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codeName="ThisWorkbook"/>
  <bookViews>
    <workbookView xWindow="3420" yWindow="3420" windowWidth="21600" windowHeight="11160" tabRatio="769" firstSheet="1" activeTab="1"/>
  </bookViews>
  <sheets>
    <sheet name="__snloffice" sheetId="339" state="veryHidden" r:id="rId1"/>
    <sheet name="1.1 Recommended Cap Structure" sheetId="413" r:id="rId2"/>
    <sheet name="1.2 Summary of CE Models" sheetId="13" r:id="rId3"/>
    <sheet name="2.4 OpCo Proxy Cap Str" sheetId="466" state="hidden" r:id="rId4"/>
    <sheet name="2.1 GasProxy CapStr Summary" sheetId="416" r:id="rId5"/>
    <sheet name="2.2 GasProxy CapStr" sheetId="417" r:id="rId6"/>
    <sheet name="11.3-4 WP" sheetId="418" state="hidden" r:id="rId7"/>
    <sheet name="2.3 OpCo Proxy Cap Str" sheetId="480" r:id="rId8"/>
    <sheet name="3.1 DCF Summary" sheetId="36" r:id="rId9"/>
    <sheet name="4.1 RP Summary" sheetId="31" r:id="rId10"/>
    <sheet name="4.2 Ind. PRPM Results" sheetId="55" r:id="rId11"/>
    <sheet name="4.3 Risk Premium Summary" sheetId="12" r:id="rId12"/>
    <sheet name="4.4 Moody's Bond Yields" sheetId="15" r:id="rId13"/>
    <sheet name="4.5 Bond Ratings" sheetId="18" r:id="rId14"/>
    <sheet name="4.6 Moody's_S&amp;P numbericl" sheetId="149" r:id="rId15"/>
    <sheet name="4.7 ERP Determination" sheetId="11" r:id="rId16"/>
    <sheet name="4.8-4.9 Beta Adjusted ERP" sheetId="10" r:id="rId17"/>
    <sheet name="4.12 S&amp;P RPM Study Returns" sheetId="14" r:id="rId18"/>
    <sheet name="4.13 Past Rate Cases Gas" sheetId="316" r:id="rId19"/>
    <sheet name="5.1 CAPM" sheetId="37" r:id="rId20"/>
    <sheet name="5.2 CAPM Notes" sheetId="150" r:id="rId21"/>
    <sheet name="6.1 Comp Earnings Criteria" sheetId="34" r:id="rId22"/>
    <sheet name="6.2 Proxy Group Equivalent" sheetId="52" r:id="rId23"/>
    <sheet name="7.1 CEM Summary" sheetId="58" r:id="rId24"/>
    <sheet name="7.2 CEM DCF" sheetId="39" r:id="rId25"/>
    <sheet name="7.3 CEM RPM Summary" sheetId="25" r:id="rId26"/>
    <sheet name="7.4 CEM RPM Bond Ratings" sheetId="38" r:id="rId27"/>
    <sheet name="7.5 CEM Beta Adjusted RP" sheetId="23" r:id="rId28"/>
    <sheet name="7.6 CEM CAPM Backup" sheetId="53" r:id="rId29"/>
    <sheet name="8.1 Equity Contributions" sheetId="420" r:id="rId30"/>
    <sheet name="9.1 Risk Adjustment" sheetId="253" r:id="rId31"/>
    <sheet name="9.2 Market Cap" sheetId="254" r:id="rId32"/>
    <sheet name="10.1 CAPEX to Net Plant" sheetId="482" r:id="rId33"/>
    <sheet name="Input" sheetId="118" r:id="rId34"/>
    <sheet name="Market Data" sheetId="121" r:id="rId35"/>
    <sheet name="Proxy Data Lookup" sheetId="119" r:id="rId36"/>
    <sheet name="Proxy Price Data" sheetId="122" r:id="rId37"/>
    <sheet name="Proxy Prices" sheetId="61" r:id="rId38"/>
    <sheet name="CEM Data Lookup" sheetId="120" r:id="rId39"/>
    <sheet name="CEM Price Data" sheetId="123" r:id="rId40"/>
    <sheet name="CEM PricesDivs" sheetId="97" r:id="rId41"/>
    <sheet name="MRP WP1" sheetId="7" r:id="rId42"/>
    <sheet name="MRP WP2" sheetId="100" r:id="rId43"/>
    <sheet name="MRP WP3" sheetId="152" r:id="rId44"/>
    <sheet name="ERP WP1" sheetId="101" r:id="rId45"/>
    <sheet name="ERP WP 2" sheetId="153" r:id="rId46"/>
    <sheet name="MRP ERP WP" sheetId="148" r:id="rId47"/>
    <sheet name="GASOpCo Cap Str WP" sheetId="478" r:id="rId48"/>
    <sheet name="PRPM WP1" sheetId="99" r:id="rId49"/>
    <sheet name="3. ATO" sheetId="358" r:id="rId50"/>
    <sheet name="3. NI" sheetId="473" r:id="rId51"/>
    <sheet name="3. NJR" sheetId="359" r:id="rId52"/>
    <sheet name="3. NWN" sheetId="360" r:id="rId53"/>
    <sheet name="3. OGS" sheetId="361" r:id="rId54"/>
    <sheet name="3. SR" sheetId="363"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s>
  <definedNames>
    <definedName name="\0">#N/A</definedName>
    <definedName name="\22" localSheetId="32">'[1]Jun 99'!#REF!</definedName>
    <definedName name="\22" localSheetId="6">'[1]Jun 99'!#REF!</definedName>
    <definedName name="\22" localSheetId="3">'[1]Jun 99'!#REF!</definedName>
    <definedName name="\22">'[1]Jun 99'!#REF!</definedName>
    <definedName name="\A" localSheetId="32">'[1]Jun 99'!#REF!</definedName>
    <definedName name="\A" localSheetId="6">'[1]Jun 99'!#REF!</definedName>
    <definedName name="\A">'[1]Jun 99'!#REF!</definedName>
    <definedName name="\c" localSheetId="32">#REF!</definedName>
    <definedName name="\c" localSheetId="3">#REF!</definedName>
    <definedName name="\c">#REF!</definedName>
    <definedName name="\d">'[2]14802'!$AG$7</definedName>
    <definedName name="\e" localSheetId="3">'[3]purch software &lt;25k'!#REF!</definedName>
    <definedName name="\e">'[3]purch software &lt;25k'!#REF!</definedName>
    <definedName name="\f" localSheetId="3">#REF!</definedName>
    <definedName name="\f">#REF!</definedName>
    <definedName name="\I" localSheetId="6">#REF!</definedName>
    <definedName name="\I" localSheetId="3">#REF!</definedName>
    <definedName name="\I">#REF!</definedName>
    <definedName name="\M" localSheetId="3">[4]FEDERAL!#REF!</definedName>
    <definedName name="\M">[4]FEDERAL!#REF!</definedName>
    <definedName name="\N" localSheetId="3">[4]FEDERAL!#REF!</definedName>
    <definedName name="\N">[4]FEDERAL!#REF!</definedName>
    <definedName name="\O" localSheetId="3">[4]FEDERAL!#REF!</definedName>
    <definedName name="\O">[4]FEDERAL!#REF!</definedName>
    <definedName name="\P" localSheetId="3">#REF!</definedName>
    <definedName name="\P">#REF!</definedName>
    <definedName name="\Q" localSheetId="3">#REF!</definedName>
    <definedName name="\Q">#REF!</definedName>
    <definedName name="\R" localSheetId="3">#REF!</definedName>
    <definedName name="\R">#REF!</definedName>
    <definedName name="\S" localSheetId="3">#REF!</definedName>
    <definedName name="\S">#REF!</definedName>
    <definedName name="\T" localSheetId="3">#REF!</definedName>
    <definedName name="\T">#REF!</definedName>
    <definedName name="\U" localSheetId="3">#REF!</definedName>
    <definedName name="\U">#REF!</definedName>
    <definedName name="\v" localSheetId="3">#REF!</definedName>
    <definedName name="\v">#REF!</definedName>
    <definedName name="\X" localSheetId="3">[4]FEDERAL!#REF!</definedName>
    <definedName name="\X">[4]FEDERAL!#REF!</definedName>
    <definedName name="\z" localSheetId="3">#REF!</definedName>
    <definedName name="\z">#REF!</definedName>
    <definedName name="__________bb" localSheetId="1" hidden="1">#REF!</definedName>
    <definedName name="__________bb" localSheetId="5" hidden="1">#REF!</definedName>
    <definedName name="__________bb" localSheetId="3" hidden="1">#REF!</definedName>
    <definedName name="__________bb" localSheetId="29" hidden="1">#REF!</definedName>
    <definedName name="__________bb" hidden="1">#REF!</definedName>
    <definedName name="__________sort" localSheetId="1" hidden="1">#REF!</definedName>
    <definedName name="__________sort" localSheetId="5" hidden="1">#REF!</definedName>
    <definedName name="__________sort" localSheetId="3" hidden="1">#REF!</definedName>
    <definedName name="__________sort" localSheetId="29" hidden="1">#REF!</definedName>
    <definedName name="__________sort" hidden="1">#REF!</definedName>
    <definedName name="_________bb" localSheetId="1" hidden="1">#REF!</definedName>
    <definedName name="_________bb" localSheetId="5" hidden="1">#REF!</definedName>
    <definedName name="_________bb" localSheetId="3" hidden="1">#REF!</definedName>
    <definedName name="_________bb" localSheetId="29" hidden="1">#REF!</definedName>
    <definedName name="_________bb" hidden="1">#REF!</definedName>
    <definedName name="_________Sort" localSheetId="1" hidden="1">#REF!</definedName>
    <definedName name="_________Sort" localSheetId="5" hidden="1">#REF!</definedName>
    <definedName name="_________Sort" localSheetId="3" hidden="1">#REF!</definedName>
    <definedName name="_________Sort" localSheetId="29" hidden="1">#REF!</definedName>
    <definedName name="_________Sort" hidden="1">#REF!</definedName>
    <definedName name="_______kay1" localSheetId="1" hidden="1">#REF!</definedName>
    <definedName name="_______kay1" localSheetId="5" hidden="1">#REF!</definedName>
    <definedName name="_______kay1" localSheetId="3" hidden="1">#REF!</definedName>
    <definedName name="_______kay1" localSheetId="29" hidden="1">#REF!</definedName>
    <definedName name="_______kay1" hidden="1">#REF!</definedName>
    <definedName name="_______ke1" localSheetId="1" hidden="1">#REF!</definedName>
    <definedName name="_______ke1" localSheetId="5" hidden="1">#REF!</definedName>
    <definedName name="_______ke1" localSheetId="3" hidden="1">#REF!</definedName>
    <definedName name="_______ke1" localSheetId="29" hidden="1">#REF!</definedName>
    <definedName name="_______ke1" hidden="1">#REF!</definedName>
    <definedName name="_______key1" localSheetId="1" hidden="1">#REF!</definedName>
    <definedName name="_______key1" localSheetId="5" hidden="1">#REF!</definedName>
    <definedName name="_______key1" localSheetId="3" hidden="1">#REF!</definedName>
    <definedName name="_______key1" localSheetId="29" hidden="1">#REF!</definedName>
    <definedName name="_______key1" hidden="1">#REF!</definedName>
    <definedName name="_______sort" localSheetId="1" hidden="1">#REF!</definedName>
    <definedName name="_______sort" localSheetId="5" hidden="1">#REF!</definedName>
    <definedName name="_______sort" localSheetId="3" hidden="1">#REF!</definedName>
    <definedName name="_______sort" localSheetId="29" hidden="1">#REF!</definedName>
    <definedName name="_______sort" hidden="1">#REF!</definedName>
    <definedName name="______key1" localSheetId="1" hidden="1">#REF!</definedName>
    <definedName name="______key1" localSheetId="5" hidden="1">#REF!</definedName>
    <definedName name="______key1" localSheetId="3" hidden="1">#REF!</definedName>
    <definedName name="______key1" localSheetId="29" hidden="1">#REF!</definedName>
    <definedName name="______key1" hidden="1">#REF!</definedName>
    <definedName name="______sort1" localSheetId="1" hidden="1">#REF!</definedName>
    <definedName name="______sort1" localSheetId="5" hidden="1">#REF!</definedName>
    <definedName name="______sort1" localSheetId="3" hidden="1">#REF!</definedName>
    <definedName name="______sort1" localSheetId="29" hidden="1">#REF!</definedName>
    <definedName name="______sort1" hidden="1">#REF!</definedName>
    <definedName name="_____BB" localSheetId="1" hidden="1">#REF!</definedName>
    <definedName name="_____BB" localSheetId="5" hidden="1">#REF!</definedName>
    <definedName name="_____BB" localSheetId="3" hidden="1">#REF!</definedName>
    <definedName name="_____BB" localSheetId="29" hidden="1">#REF!</definedName>
    <definedName name="_____BB" hidden="1">#REF!</definedName>
    <definedName name="_____Sort" localSheetId="1" hidden="1">#REF!</definedName>
    <definedName name="_____Sort" localSheetId="5" hidden="1">#REF!</definedName>
    <definedName name="_____Sort" localSheetId="3" hidden="1">#REF!</definedName>
    <definedName name="_____Sort" localSheetId="29" hidden="1">#REF!</definedName>
    <definedName name="_____Sort" hidden="1">#REF!</definedName>
    <definedName name="____sort" localSheetId="1" hidden="1">#REF!</definedName>
    <definedName name="____sort" localSheetId="5" hidden="1">#REF!</definedName>
    <definedName name="____sort" localSheetId="3" hidden="1">#REF!</definedName>
    <definedName name="____sort" localSheetId="29" hidden="1">#REF!</definedName>
    <definedName name="____sort" hidden="1">#REF!</definedName>
    <definedName name="___bb" localSheetId="1" hidden="1">#REF!</definedName>
    <definedName name="___bb" localSheetId="5" hidden="1">#REF!</definedName>
    <definedName name="___bb" localSheetId="3" hidden="1">#REF!</definedName>
    <definedName name="___bb" localSheetId="29" hidden="1">#REF!</definedName>
    <definedName name="___bb" hidden="1">#REF!</definedName>
    <definedName name="___Key1" localSheetId="1" hidden="1">#REF!</definedName>
    <definedName name="___Key1" localSheetId="5" hidden="1">#REF!</definedName>
    <definedName name="___Key1" localSheetId="3" hidden="1">#REF!</definedName>
    <definedName name="___Key1" localSheetId="29" hidden="1">#REF!</definedName>
    <definedName name="___Key1" hidden="1">#REF!</definedName>
    <definedName name="___Sort" localSheetId="1" hidden="1">#REF!</definedName>
    <definedName name="___Sort" localSheetId="5" hidden="1">#REF!</definedName>
    <definedName name="___Sort" localSheetId="3" hidden="1">#REF!</definedName>
    <definedName name="___Sort" localSheetId="29" hidden="1">#REF!</definedName>
    <definedName name="___Sort" hidden="1">#REF!</definedName>
    <definedName name="__123Graph_A" localSheetId="1" hidden="1">'[5]Plant in Ser'!#REF!</definedName>
    <definedName name="__123Graph_A" localSheetId="6" hidden="1">'[6]Plant in Ser'!#REF!</definedName>
    <definedName name="__123Graph_A" localSheetId="5" hidden="1">'[6]Plant in Ser'!#REF!</definedName>
    <definedName name="__123Graph_A" localSheetId="7" hidden="1">'[6]Plant in Ser'!#REF!</definedName>
    <definedName name="__123Graph_A" localSheetId="29" hidden="1">'[6]Plant in Ser'!#REF!</definedName>
    <definedName name="__123Graph_A" localSheetId="47" hidden="1">'[6]Plant in Ser'!#REF!</definedName>
    <definedName name="__123Graph_A" hidden="1">'[5]Plant in Ser'!#REF!</definedName>
    <definedName name="__123Graph_Achart" hidden="1">'[7]Chart Data'!$E$30:$E$233</definedName>
    <definedName name="__123Graph_ACurrent" localSheetId="1" hidden="1">[8]Summary!#REF!</definedName>
    <definedName name="__123Graph_ACurrent" localSheetId="6" hidden="1">[9]Summary!#REF!</definedName>
    <definedName name="__123Graph_ACurrent" localSheetId="7" hidden="1">[9]Summary!#REF!</definedName>
    <definedName name="__123Graph_ACurrent" localSheetId="29" hidden="1">[9]Summary!#REF!</definedName>
    <definedName name="__123Graph_ACurrent" localSheetId="47" hidden="1">[9]Summary!#REF!</definedName>
    <definedName name="__123Graph_ACurrent" hidden="1">[8]Summary!#REF!</definedName>
    <definedName name="__123Graph_AHOBKEN4H" localSheetId="1" hidden="1">#REF!</definedName>
    <definedName name="__123Graph_AHOBKEN4H" localSheetId="5" hidden="1">#REF!</definedName>
    <definedName name="__123Graph_AHOBKEN4H" localSheetId="3" hidden="1">#REF!</definedName>
    <definedName name="__123Graph_AHOBKEN4H" localSheetId="29" hidden="1">#REF!</definedName>
    <definedName name="__123Graph_AHOBKEN4H" hidden="1">#REF!</definedName>
    <definedName name="__123Graph_AJCCASH4" localSheetId="1" hidden="1">#REF!</definedName>
    <definedName name="__123Graph_AJCCASH4" localSheetId="5" hidden="1">#REF!</definedName>
    <definedName name="__123Graph_AJCCASH4" localSheetId="3" hidden="1">#REF!</definedName>
    <definedName name="__123Graph_AJCCASH4" localSheetId="29" hidden="1">#REF!</definedName>
    <definedName name="__123Graph_AJCCASH4" hidden="1">#REF!</definedName>
    <definedName name="__123Graph_AJCCASH5" localSheetId="1" hidden="1">#REF!</definedName>
    <definedName name="__123Graph_AJCCASH5" localSheetId="5" hidden="1">#REF!</definedName>
    <definedName name="__123Graph_AJCCASH5" localSheetId="3" hidden="1">#REF!</definedName>
    <definedName name="__123Graph_AJCCASH5" localSheetId="29" hidden="1">#REF!</definedName>
    <definedName name="__123Graph_AJCCASH5" hidden="1">#REF!</definedName>
    <definedName name="__123Graph_AJCCASH6" localSheetId="1" hidden="1">#REF!</definedName>
    <definedName name="__123Graph_AJCCASH6" localSheetId="5" hidden="1">#REF!</definedName>
    <definedName name="__123Graph_AJCCASH6" localSheetId="3" hidden="1">#REF!</definedName>
    <definedName name="__123Graph_AJCCASH6" hidden="1">#REF!</definedName>
    <definedName name="__123Graph_AJCCASH7" localSheetId="1" hidden="1">#REF!</definedName>
    <definedName name="__123Graph_AJCCASH7" localSheetId="5" hidden="1">#REF!</definedName>
    <definedName name="__123Graph_AJCCASH7" localSheetId="3" hidden="1">#REF!</definedName>
    <definedName name="__123Graph_AJCCASH7" hidden="1">#REF!</definedName>
    <definedName name="__123Graph_B" localSheetId="1" hidden="1">[10]SD!#REF!</definedName>
    <definedName name="__123Graph_B" localSheetId="6" hidden="1">[11]SD!#REF!</definedName>
    <definedName name="__123Graph_B" localSheetId="5" hidden="1">[11]SD!#REF!</definedName>
    <definedName name="__123Graph_B" localSheetId="7" hidden="1">[11]SD!#REF!</definedName>
    <definedName name="__123Graph_B" localSheetId="29" hidden="1">[11]SD!#REF!</definedName>
    <definedName name="__123Graph_B" localSheetId="47" hidden="1">[11]SD!#REF!</definedName>
    <definedName name="__123Graph_B" hidden="1">[10]SD!#REF!</definedName>
    <definedName name="__123Graph_BCurrent" localSheetId="1" hidden="1">[8]Summary!#REF!</definedName>
    <definedName name="__123Graph_BCurrent" localSheetId="6" hidden="1">[9]Summary!#REF!</definedName>
    <definedName name="__123Graph_BCurrent" localSheetId="5" hidden="1">[9]Summary!#REF!</definedName>
    <definedName name="__123Graph_BCurrent" localSheetId="7" hidden="1">[9]Summary!#REF!</definedName>
    <definedName name="__123Graph_BCurrent" localSheetId="29" hidden="1">[9]Summary!#REF!</definedName>
    <definedName name="__123Graph_BCurrent" localSheetId="47" hidden="1">[9]Summary!#REF!</definedName>
    <definedName name="__123Graph_BCurrent" hidden="1">[8]Summary!#REF!</definedName>
    <definedName name="__123Graph_BHOBKEN4H" localSheetId="1" hidden="1">#REF!</definedName>
    <definedName name="__123Graph_BHOBKEN4H" localSheetId="5" hidden="1">#REF!</definedName>
    <definedName name="__123Graph_BHOBKEN4H" localSheetId="3" hidden="1">#REF!</definedName>
    <definedName name="__123Graph_BHOBKEN4H" localSheetId="29" hidden="1">#REF!</definedName>
    <definedName name="__123Graph_BHOBKEN4H" hidden="1">#REF!</definedName>
    <definedName name="__123Graph_BHOBOKEN" localSheetId="1" hidden="1">#REF!</definedName>
    <definedName name="__123Graph_BHOBOKEN" localSheetId="5" hidden="1">#REF!</definedName>
    <definedName name="__123Graph_BHOBOKEN" localSheetId="3" hidden="1">#REF!</definedName>
    <definedName name="__123Graph_BHOBOKEN" localSheetId="29" hidden="1">#REF!</definedName>
    <definedName name="__123Graph_BHOBOKEN" hidden="1">#REF!</definedName>
    <definedName name="__123Graph_BJCCASH4" localSheetId="1" hidden="1">#REF!</definedName>
    <definedName name="__123Graph_BJCCASH4" localSheetId="5" hidden="1">#REF!</definedName>
    <definedName name="__123Graph_BJCCASH4" localSheetId="3" hidden="1">#REF!</definedName>
    <definedName name="__123Graph_BJCCASH4" localSheetId="29" hidden="1">#REF!</definedName>
    <definedName name="__123Graph_BJCCASH4" hidden="1">#REF!</definedName>
    <definedName name="__123Graph_BJCCASH5" localSheetId="1" hidden="1">#REF!</definedName>
    <definedName name="__123Graph_BJCCASH5" localSheetId="5" hidden="1">#REF!</definedName>
    <definedName name="__123Graph_BJCCASH5" localSheetId="3" hidden="1">#REF!</definedName>
    <definedName name="__123Graph_BJCCASH5" hidden="1">#REF!</definedName>
    <definedName name="__123Graph_BJCCASH6" localSheetId="1" hidden="1">#REF!</definedName>
    <definedName name="__123Graph_BJCCASH6" localSheetId="5" hidden="1">#REF!</definedName>
    <definedName name="__123Graph_BJCCASH6" localSheetId="3" hidden="1">#REF!</definedName>
    <definedName name="__123Graph_BJCCASH6" hidden="1">#REF!</definedName>
    <definedName name="__123Graph_BJCCASH7" localSheetId="1" hidden="1">#REF!</definedName>
    <definedName name="__123Graph_BJCCASH7" localSheetId="5" hidden="1">#REF!</definedName>
    <definedName name="__123Graph_BJCCASH7" localSheetId="3" hidden="1">#REF!</definedName>
    <definedName name="__123Graph_BJCCASH7" hidden="1">#REF!</definedName>
    <definedName name="__123Graph_C" localSheetId="1" hidden="1">#REF!</definedName>
    <definedName name="__123Graph_C" localSheetId="5" hidden="1">#REF!</definedName>
    <definedName name="__123Graph_C" localSheetId="3" hidden="1">#REF!</definedName>
    <definedName name="__123Graph_C" localSheetId="29" hidden="1">#REF!</definedName>
    <definedName name="__123Graph_C" hidden="1">#REF!</definedName>
    <definedName name="__123Graph_D" localSheetId="1" hidden="1">[12]TOPrs!#REF!</definedName>
    <definedName name="__123Graph_D" localSheetId="6" hidden="1">[13]TOPrs!#REF!</definedName>
    <definedName name="__123Graph_D" localSheetId="5" hidden="1">[13]TOPrs!#REF!</definedName>
    <definedName name="__123Graph_D" localSheetId="7" hidden="1">[13]TOPrs!#REF!</definedName>
    <definedName name="__123Graph_D" localSheetId="29" hidden="1">[13]TOPrs!#REF!</definedName>
    <definedName name="__123Graph_D" localSheetId="47" hidden="1">[13]TOPrs!#REF!</definedName>
    <definedName name="__123Graph_D" hidden="1">[12]TOPrs!#REF!</definedName>
    <definedName name="__123Graph_E" localSheetId="1" hidden="1">[14]Stmt!#REF!</definedName>
    <definedName name="__123Graph_E" localSheetId="5" hidden="1">[14]Stmt!#REF!</definedName>
    <definedName name="__123Graph_E" localSheetId="29" hidden="1">[14]Stmt!#REF!</definedName>
    <definedName name="__123Graph_E" hidden="1">[14]Stmt!#REF!</definedName>
    <definedName name="__123Graph_ECURRENT" hidden="1">[15]coss!#REF!</definedName>
    <definedName name="__123Graph_F" localSheetId="1" hidden="1">[14]Stmt!#REF!</definedName>
    <definedName name="__123Graph_F" hidden="1">[14]Stmt!#REF!</definedName>
    <definedName name="__123Graph_LBL_A" localSheetId="1" hidden="1">[16]Report!#REF!</definedName>
    <definedName name="__123Graph_LBL_A" hidden="1">[16]Report!#REF!</definedName>
    <definedName name="__123Graph_X" localSheetId="1" hidden="1">#REF!</definedName>
    <definedName name="__123Graph_X" localSheetId="5" hidden="1">#REF!</definedName>
    <definedName name="__123Graph_X" localSheetId="3" hidden="1">#REF!</definedName>
    <definedName name="__123Graph_X" localSheetId="29" hidden="1">#REF!</definedName>
    <definedName name="__123Graph_X" hidden="1">#REF!</definedName>
    <definedName name="__123Graph_XCHART" hidden="1">'[7]Chart Data'!$B$30:$B$222</definedName>
    <definedName name="__123Graph_XCurrent" localSheetId="1" hidden="1">[8]Summary!#REF!</definedName>
    <definedName name="__123Graph_XCurrent" localSheetId="6" hidden="1">[9]Summary!#REF!</definedName>
    <definedName name="__123Graph_XCurrent" localSheetId="7" hidden="1">[9]Summary!#REF!</definedName>
    <definedName name="__123Graph_XCurrent" localSheetId="29" hidden="1">[9]Summary!#REF!</definedName>
    <definedName name="__123Graph_XCurrent" localSheetId="47" hidden="1">[9]Summary!#REF!</definedName>
    <definedName name="__123Graph_XCurrent" hidden="1">[8]Summary!#REF!</definedName>
    <definedName name="__123Graph_XJCCASH4" localSheetId="1" hidden="1">#REF!</definedName>
    <definedName name="__123Graph_XJCCASH4" localSheetId="5" hidden="1">#REF!</definedName>
    <definedName name="__123Graph_XJCCASH4" localSheetId="3" hidden="1">#REF!</definedName>
    <definedName name="__123Graph_XJCCASH4" localSheetId="29" hidden="1">#REF!</definedName>
    <definedName name="__123Graph_XJCCASH4" hidden="1">#REF!</definedName>
    <definedName name="__123Graph_XJCCASH5" localSheetId="1" hidden="1">#REF!</definedName>
    <definedName name="__123Graph_XJCCASH5" localSheetId="5" hidden="1">#REF!</definedName>
    <definedName name="__123Graph_XJCCASH5" localSheetId="3" hidden="1">#REF!</definedName>
    <definedName name="__123Graph_XJCCASH5" localSheetId="29" hidden="1">#REF!</definedName>
    <definedName name="__123Graph_XJCCASH5" hidden="1">#REF!</definedName>
    <definedName name="__123Graph_XJCCASH6" localSheetId="1" hidden="1">#REF!</definedName>
    <definedName name="__123Graph_XJCCASH6" localSheetId="5" hidden="1">#REF!</definedName>
    <definedName name="__123Graph_XJCCASH6" localSheetId="3" hidden="1">#REF!</definedName>
    <definedName name="__123Graph_XJCCASH6" localSheetId="29" hidden="1">#REF!</definedName>
    <definedName name="__123Graph_XJCCASH6" hidden="1">#REF!</definedName>
    <definedName name="__123Graph_XJCCASH7" localSheetId="1" hidden="1">#REF!</definedName>
    <definedName name="__123Graph_XJCCASH7" localSheetId="5" hidden="1">#REF!</definedName>
    <definedName name="__123Graph_XJCCASH7" localSheetId="3" hidden="1">#REF!</definedName>
    <definedName name="__123Graph_XJCCASH7" hidden="1">#REF!</definedName>
    <definedName name="__BB" localSheetId="1" hidden="1">#REF!</definedName>
    <definedName name="__BB" localSheetId="5" hidden="1">#REF!</definedName>
    <definedName name="__BB" localSheetId="3" hidden="1">#REF!</definedName>
    <definedName name="__BB" localSheetId="29" hidden="1">#REF!</definedName>
    <definedName name="__BB" hidden="1">#REF!</definedName>
    <definedName name="__Div02">'[17]Alloc factors'!$D$12</definedName>
    <definedName name="__div10" localSheetId="6">'[18]WP 1-2'!#REF!</definedName>
    <definedName name="__div10" localSheetId="3">'[18]WP 1-2'!#REF!</definedName>
    <definedName name="__div10">'[18]WP 1-2'!#REF!</definedName>
    <definedName name="__DIV12">'[19]Alloc factors'!$D$13</definedName>
    <definedName name="__div21" localSheetId="6">'[18]WP 1-2'!#REF!</definedName>
    <definedName name="__div21" localSheetId="3">'[18]WP 1-2'!#REF!</definedName>
    <definedName name="__div21">'[18]WP 1-2'!#REF!</definedName>
    <definedName name="__EXH1" localSheetId="6">#REF!</definedName>
    <definedName name="__EXH1" localSheetId="3">#REF!</definedName>
    <definedName name="__EXH1">#REF!</definedName>
    <definedName name="__EXH6" localSheetId="3">#REF!</definedName>
    <definedName name="__EXH6">#REF!</definedName>
    <definedName name="__FDS_HYPERLINK_TOGGLE_STATE__" hidden="1">"ON"</definedName>
    <definedName name="__key1" localSheetId="1" hidden="1">#REF!</definedName>
    <definedName name="__key1" localSheetId="5" hidden="1">#REF!</definedName>
    <definedName name="__key1" localSheetId="3" hidden="1">#REF!</definedName>
    <definedName name="__key1" localSheetId="29" hidden="1">#REF!</definedName>
    <definedName name="__key1" hidden="1">#REF!</definedName>
    <definedName name="__pb1"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2"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3"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g1" localSheetId="6">#REF!</definedName>
    <definedName name="__pg1" localSheetId="3">#REF!</definedName>
    <definedName name="__pg1">#REF!</definedName>
    <definedName name="__pg2" localSheetId="6">#REF!</definedName>
    <definedName name="__pg2" localSheetId="3">#REF!</definedName>
    <definedName name="__pg2">#REF!</definedName>
    <definedName name="__Sort" localSheetId="1" hidden="1">#REF!</definedName>
    <definedName name="__Sort" localSheetId="5" hidden="1">#REF!</definedName>
    <definedName name="__Sort" localSheetId="3" hidden="1">#REF!</definedName>
    <definedName name="__Sort" localSheetId="29" hidden="1">#REF!</definedName>
    <definedName name="__Sort" hidden="1">#REF!</definedName>
    <definedName name="__Sort1" localSheetId="1" hidden="1">#REF!</definedName>
    <definedName name="__Sort1" localSheetId="5" hidden="1">#REF!</definedName>
    <definedName name="__Sort1" localSheetId="3" hidden="1">#REF!</definedName>
    <definedName name="__Sort1" localSheetId="29" hidden="1">#REF!</definedName>
    <definedName name="__Sort1" hidden="1">#REF!</definedName>
    <definedName name="__swe80">[20]Input!$E$29</definedName>
    <definedName name="__ucg80">[20]Input!$E$31</definedName>
    <definedName name="_1" localSheetId="1" hidden="1">{#N/A,#N/A,FALSE,"SCA";#N/A,#N/A,FALSE,"NCA";#N/A,#N/A,FALSE,"SAZ";#N/A,#N/A,FALSE,"CAZ";#N/A,#N/A,FALSE,"SNV";#N/A,#N/A,FALSE,"NNV";#N/A,#N/A,FALSE,"PP";#N/A,#N/A,FALSE,"SA"}</definedName>
    <definedName name="_1" localSheetId="32" hidden="1">{#N/A,#N/A,FALSE,"SCA";#N/A,#N/A,FALSE,"NCA";#N/A,#N/A,FALSE,"SAZ";#N/A,#N/A,FALSE,"CAZ";#N/A,#N/A,FALSE,"SNV";#N/A,#N/A,FALSE,"NNV";#N/A,#N/A,FALSE,"PP";#N/A,#N/A,FALSE,"SA"}</definedName>
    <definedName name="_1" localSheetId="6" hidden="1">{#N/A,#N/A,FALSE,"SCA";#N/A,#N/A,FALSE,"NCA";#N/A,#N/A,FALSE,"SAZ";#N/A,#N/A,FALSE,"CAZ";#N/A,#N/A,FALSE,"SNV";#N/A,#N/A,FALSE,"NNV";#N/A,#N/A,FALSE,"PP";#N/A,#N/A,FALSE,"SA"}</definedName>
    <definedName name="_1" localSheetId="4" hidden="1">{#N/A,#N/A,FALSE,"SCA";#N/A,#N/A,FALSE,"NCA";#N/A,#N/A,FALSE,"SAZ";#N/A,#N/A,FALSE,"CAZ";#N/A,#N/A,FALSE,"SNV";#N/A,#N/A,FALSE,"NNV";#N/A,#N/A,FALSE,"PP";#N/A,#N/A,FALSE,"SA"}</definedName>
    <definedName name="_1" localSheetId="5" hidden="1">{#N/A,#N/A,FALSE,"SCA";#N/A,#N/A,FALSE,"NCA";#N/A,#N/A,FALSE,"SAZ";#N/A,#N/A,FALSE,"CAZ";#N/A,#N/A,FALSE,"SNV";#N/A,#N/A,FALSE,"NNV";#N/A,#N/A,FALSE,"PP";#N/A,#N/A,FALSE,"SA"}</definedName>
    <definedName name="_1" localSheetId="7" hidden="1">{#N/A,#N/A,FALSE,"SCA";#N/A,#N/A,FALSE,"NCA";#N/A,#N/A,FALSE,"SAZ";#N/A,#N/A,FALSE,"CAZ";#N/A,#N/A,FALSE,"SNV";#N/A,#N/A,FALSE,"NNV";#N/A,#N/A,FALSE,"PP";#N/A,#N/A,FALSE,"SA"}</definedName>
    <definedName name="_1" localSheetId="3" hidden="1">{#N/A,#N/A,FALSE,"SCA";#N/A,#N/A,FALSE,"NCA";#N/A,#N/A,FALSE,"SAZ";#N/A,#N/A,FALSE,"CAZ";#N/A,#N/A,FALSE,"SNV";#N/A,#N/A,FALSE,"NNV";#N/A,#N/A,FALSE,"PP";#N/A,#N/A,FALSE,"SA"}</definedName>
    <definedName name="_1" localSheetId="47" hidden="1">{#N/A,#N/A,FALSE,"SCA";#N/A,#N/A,FALSE,"NCA";#N/A,#N/A,FALSE,"SAZ";#N/A,#N/A,FALSE,"CAZ";#N/A,#N/A,FALSE,"SNV";#N/A,#N/A,FALSE,"NNV";#N/A,#N/A,FALSE,"PP";#N/A,#N/A,FALSE,"SA"}</definedName>
    <definedName name="_1" hidden="1">{#N/A,#N/A,FALSE,"SCA";#N/A,#N/A,FALSE,"NCA";#N/A,#N/A,FALSE,"SAZ";#N/A,#N/A,FALSE,"CAZ";#N/A,#N/A,FALSE,"SNV";#N/A,#N/A,FALSE,"NNV";#N/A,#N/A,FALSE,"PP";#N/A,#N/A,FALSE,"SA"}</definedName>
    <definedName name="_1__123Graph_ACHART_1" localSheetId="6" hidden="1">[21]Data!$K$30:$K$228</definedName>
    <definedName name="_1__123Graph_ACHART_1" localSheetId="7" hidden="1">[21]Data!$K$30:$K$228</definedName>
    <definedName name="_1__123Graph_ACHART_1" localSheetId="29" hidden="1">[21]Data!$K$30:$K$228</definedName>
    <definedName name="_1__123Graph_ACHART_1" localSheetId="47" hidden="1">[21]Data!$K$30:$K$228</definedName>
    <definedName name="_1__123Graph_ACHART_1" hidden="1">[22]Data!$K$30:$K$228</definedName>
    <definedName name="_1__123Graph_ACHART_10" hidden="1">'[23]summ graf'!$D$4:$HK$4</definedName>
    <definedName name="_1__123Graph_AYIELD_CURVES" localSheetId="1" hidden="1">[24]Yield_curve!#REF!</definedName>
    <definedName name="_1__123Graph_AYIELD_CURVES" localSheetId="6" hidden="1">[25]Yield_curve!#REF!</definedName>
    <definedName name="_1__123Graph_AYIELD_CURVES" localSheetId="7" hidden="1">[25]Yield_curve!#REF!</definedName>
    <definedName name="_1__123Graph_AYIELD_CURVES" localSheetId="29" hidden="1">[25]Yield_curve!#REF!</definedName>
    <definedName name="_1__123Graph_AYIELD_CURVES" localSheetId="47" hidden="1">[25]Yield_curve!#REF!</definedName>
    <definedName name="_1__123Graph_AYIELD_CURVES" hidden="1">[24]Yield_curve!#REF!</definedName>
    <definedName name="_1_0__123Grap" localSheetId="1" hidden="1">'[26]Plant in Ser'!#REF!</definedName>
    <definedName name="_1_0__123Grap" localSheetId="6" hidden="1">'[27]Plant in Ser'!#REF!</definedName>
    <definedName name="_1_0__123Grap" localSheetId="7" hidden="1">'[27]Plant in Ser'!#REF!</definedName>
    <definedName name="_1_0__123Grap" localSheetId="29" hidden="1">'[27]Plant in Ser'!#REF!</definedName>
    <definedName name="_1_0__123Grap" localSheetId="47" hidden="1">'[27]Plant in Ser'!#REF!</definedName>
    <definedName name="_1_0__123Grap" hidden="1">'[26]Plant in Ser'!#REF!</definedName>
    <definedName name="_10" localSheetId="1" hidden="1">{"FAC_SUMMARY",#N/A,FALSE,"Summaries"}</definedName>
    <definedName name="_10" localSheetId="32" hidden="1">{"FAC_SUMMARY",#N/A,FALSE,"Summaries"}</definedName>
    <definedName name="_10" localSheetId="6" hidden="1">{"FAC_SUMMARY",#N/A,FALSE,"Summaries"}</definedName>
    <definedName name="_10" localSheetId="4" hidden="1">{"FAC_SUMMARY",#N/A,FALSE,"Summaries"}</definedName>
    <definedName name="_10" localSheetId="5" hidden="1">{"FAC_SUMMARY",#N/A,FALSE,"Summaries"}</definedName>
    <definedName name="_10" localSheetId="7" hidden="1">{"FAC_SUMMARY",#N/A,FALSE,"Summaries"}</definedName>
    <definedName name="_10" localSheetId="3" hidden="1">{"FAC_SUMMARY",#N/A,FALSE,"Summaries"}</definedName>
    <definedName name="_10" localSheetId="47" hidden="1">{"FAC_SUMMARY",#N/A,FALSE,"Summaries"}</definedName>
    <definedName name="_10" hidden="1">{"FAC_SUMMARY",#N/A,FALSE,"Summaries"}</definedName>
    <definedName name="_10__123Graph_ACHART_5" hidden="1">[22]Data!$O$30:$O$226</definedName>
    <definedName name="_10__123Graph_BCHART_17" hidden="1">'[23]summ graf'!$D$15:$HK$15</definedName>
    <definedName name="_10__123Graph_CCHART_6" localSheetId="1" hidden="1">[22]Data!#REF!</definedName>
    <definedName name="_10__123Graph_CCHART_6" localSheetId="6" hidden="1">[21]Data!#REF!</definedName>
    <definedName name="_10__123Graph_CCHART_6" localSheetId="7" hidden="1">[21]Data!#REF!</definedName>
    <definedName name="_10__123Graph_CCHART_6" localSheetId="29" hidden="1">[21]Data!#REF!</definedName>
    <definedName name="_10__123Graph_CCHART_6" localSheetId="47" hidden="1">[21]Data!#REF!</definedName>
    <definedName name="_10__123Graph_CCHART_6" hidden="1">[22]Data!#REF!</definedName>
    <definedName name="_100" localSheetId="1" hidden="1">{#N/A,#N/A,FALSE,"OTHERINPUTS";#N/A,#N/A,FALSE,"DITRATEINPUTS";#N/A,#N/A,FALSE,"SUPPLIEDADJINPUT";#N/A,#N/A,FALSE,"TIMINGDIFFINPUTS";#N/A,#N/A,FALSE,"BR&amp;SUPADJ."}</definedName>
    <definedName name="_100" localSheetId="32" hidden="1">{#N/A,#N/A,FALSE,"OTHERINPUTS";#N/A,#N/A,FALSE,"DITRATEINPUTS";#N/A,#N/A,FALSE,"SUPPLIEDADJINPUT";#N/A,#N/A,FALSE,"TIMINGDIFFINPUTS";#N/A,#N/A,FALSE,"BR&amp;SUPADJ."}</definedName>
    <definedName name="_100" localSheetId="6" hidden="1">{#N/A,#N/A,FALSE,"OTHERINPUTS";#N/A,#N/A,FALSE,"DITRATEINPUTS";#N/A,#N/A,FALSE,"SUPPLIEDADJINPUT";#N/A,#N/A,FALSE,"TIMINGDIFFINPUTS";#N/A,#N/A,FALSE,"BR&amp;SUPADJ."}</definedName>
    <definedName name="_100" localSheetId="4" hidden="1">{#N/A,#N/A,FALSE,"OTHERINPUTS";#N/A,#N/A,FALSE,"DITRATEINPUTS";#N/A,#N/A,FALSE,"SUPPLIEDADJINPUT";#N/A,#N/A,FALSE,"TIMINGDIFFINPUTS";#N/A,#N/A,FALSE,"BR&amp;SUPADJ."}</definedName>
    <definedName name="_100" localSheetId="5" hidden="1">{#N/A,#N/A,FALSE,"OTHERINPUTS";#N/A,#N/A,FALSE,"DITRATEINPUTS";#N/A,#N/A,FALSE,"SUPPLIEDADJINPUT";#N/A,#N/A,FALSE,"TIMINGDIFFINPUTS";#N/A,#N/A,FALSE,"BR&amp;SUPADJ."}</definedName>
    <definedName name="_100" localSheetId="7" hidden="1">{#N/A,#N/A,FALSE,"OTHERINPUTS";#N/A,#N/A,FALSE,"DITRATEINPUTS";#N/A,#N/A,FALSE,"SUPPLIEDADJINPUT";#N/A,#N/A,FALSE,"TIMINGDIFFINPUTS";#N/A,#N/A,FALSE,"BR&amp;SUPADJ."}</definedName>
    <definedName name="_100" localSheetId="3" hidden="1">{#N/A,#N/A,FALSE,"OTHERINPUTS";#N/A,#N/A,FALSE,"DITRATEINPUTS";#N/A,#N/A,FALSE,"SUPPLIEDADJINPUT";#N/A,#N/A,FALSE,"TIMINGDIFFINPUTS";#N/A,#N/A,FALSE,"BR&amp;SUPADJ."}</definedName>
    <definedName name="_100" localSheetId="47" hidden="1">{#N/A,#N/A,FALSE,"OTHERINPUTS";#N/A,#N/A,FALSE,"DITRATEINPUTS";#N/A,#N/A,FALSE,"SUPPLIEDADJINPUT";#N/A,#N/A,FALSE,"TIMINGDIFFINPUTS";#N/A,#N/A,FALSE,"BR&amp;SUPADJ."}</definedName>
    <definedName name="_100" hidden="1">{#N/A,#N/A,FALSE,"OTHERINPUTS";#N/A,#N/A,FALSE,"DITRATEINPUTS";#N/A,#N/A,FALSE,"SUPPLIEDADJINPUT";#N/A,#N/A,FALSE,"TIMINGDIFFINPUTS";#N/A,#N/A,FALSE,"BR&amp;SUPADJ."}</definedName>
    <definedName name="_101"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2" localSheetId="1" hidden="1">{#N/A,#N/A,FALSE,"RORMEMO";#N/A,#N/A,FALSE,"RORSUMMARY";#N/A,#N/A,FALSE,"RORDETAIL"}</definedName>
    <definedName name="_102" localSheetId="32" hidden="1">{#N/A,#N/A,FALSE,"RORMEMO";#N/A,#N/A,FALSE,"RORSUMMARY";#N/A,#N/A,FALSE,"RORDETAIL"}</definedName>
    <definedName name="_102" localSheetId="6" hidden="1">{#N/A,#N/A,FALSE,"RORMEMO";#N/A,#N/A,FALSE,"RORSUMMARY";#N/A,#N/A,FALSE,"RORDETAIL"}</definedName>
    <definedName name="_102" localSheetId="4" hidden="1">{#N/A,#N/A,FALSE,"RORMEMO";#N/A,#N/A,FALSE,"RORSUMMARY";#N/A,#N/A,FALSE,"RORDETAIL"}</definedName>
    <definedName name="_102" localSheetId="5" hidden="1">{#N/A,#N/A,FALSE,"RORMEMO";#N/A,#N/A,FALSE,"RORSUMMARY";#N/A,#N/A,FALSE,"RORDETAIL"}</definedName>
    <definedName name="_102" localSheetId="7" hidden="1">{#N/A,#N/A,FALSE,"RORMEMO";#N/A,#N/A,FALSE,"RORSUMMARY";#N/A,#N/A,FALSE,"RORDETAIL"}</definedName>
    <definedName name="_102" localSheetId="3" hidden="1">{#N/A,#N/A,FALSE,"RORMEMO";#N/A,#N/A,FALSE,"RORSUMMARY";#N/A,#N/A,FALSE,"RORDETAIL"}</definedName>
    <definedName name="_102" localSheetId="47" hidden="1">{#N/A,#N/A,FALSE,"RORMEMO";#N/A,#N/A,FALSE,"RORSUMMARY";#N/A,#N/A,FALSE,"RORDETAIL"}</definedName>
    <definedName name="_102" hidden="1">{#N/A,#N/A,FALSE,"RORMEMO";#N/A,#N/A,FALSE,"RORSUMMARY";#N/A,#N/A,FALSE,"RORDETAIL"}</definedName>
    <definedName name="_102__123Graph_ACHART_6" hidden="1">[22]Data!$E$30:$E$229</definedName>
    <definedName name="_103" localSheetId="1" hidden="1">{#N/A,#N/A,FALSE,"GLDwnLoad"}</definedName>
    <definedName name="_103" localSheetId="32" hidden="1">{#N/A,#N/A,FALSE,"GLDwnLoad"}</definedName>
    <definedName name="_103" localSheetId="6" hidden="1">{#N/A,#N/A,FALSE,"GLDwnLoad"}</definedName>
    <definedName name="_103" localSheetId="4" hidden="1">{#N/A,#N/A,FALSE,"GLDwnLoad"}</definedName>
    <definedName name="_103" localSheetId="5" hidden="1">{#N/A,#N/A,FALSE,"GLDwnLoad"}</definedName>
    <definedName name="_103" localSheetId="7" hidden="1">{#N/A,#N/A,FALSE,"GLDwnLoad"}</definedName>
    <definedName name="_103" localSheetId="3" hidden="1">{#N/A,#N/A,FALSE,"GLDwnLoad"}</definedName>
    <definedName name="_103" localSheetId="47" hidden="1">{#N/A,#N/A,FALSE,"GLDwnLoad"}</definedName>
    <definedName name="_103" hidden="1">{#N/A,#N/A,FALSE,"GLDwnLoad"}</definedName>
    <definedName name="_104" localSheetId="1" hidden="1">{#N/A,#N/A,FALSE,"OTHERINPUTS";#N/A,#N/A,FALSE,"SUPPLIEDADJINPUT";#N/A,#N/A,FALSE,"BR&amp;SUPADJ."}</definedName>
    <definedName name="_104" localSheetId="32" hidden="1">{#N/A,#N/A,FALSE,"OTHERINPUTS";#N/A,#N/A,FALSE,"SUPPLIEDADJINPUT";#N/A,#N/A,FALSE,"BR&amp;SUPADJ."}</definedName>
    <definedName name="_104" localSheetId="6" hidden="1">{#N/A,#N/A,FALSE,"OTHERINPUTS";#N/A,#N/A,FALSE,"SUPPLIEDADJINPUT";#N/A,#N/A,FALSE,"BR&amp;SUPADJ."}</definedName>
    <definedName name="_104" localSheetId="4" hidden="1">{#N/A,#N/A,FALSE,"OTHERINPUTS";#N/A,#N/A,FALSE,"SUPPLIEDADJINPUT";#N/A,#N/A,FALSE,"BR&amp;SUPADJ."}</definedName>
    <definedName name="_104" localSheetId="5" hidden="1">{#N/A,#N/A,FALSE,"OTHERINPUTS";#N/A,#N/A,FALSE,"SUPPLIEDADJINPUT";#N/A,#N/A,FALSE,"BR&amp;SUPADJ."}</definedName>
    <definedName name="_104" localSheetId="7" hidden="1">{#N/A,#N/A,FALSE,"OTHERINPUTS";#N/A,#N/A,FALSE,"SUPPLIEDADJINPUT";#N/A,#N/A,FALSE,"BR&amp;SUPADJ."}</definedName>
    <definedName name="_104" localSheetId="3" hidden="1">{#N/A,#N/A,FALSE,"OTHERINPUTS";#N/A,#N/A,FALSE,"SUPPLIEDADJINPUT";#N/A,#N/A,FALSE,"BR&amp;SUPADJ."}</definedName>
    <definedName name="_104" localSheetId="47" hidden="1">{#N/A,#N/A,FALSE,"OTHERINPUTS";#N/A,#N/A,FALSE,"SUPPLIEDADJINPUT";#N/A,#N/A,FALSE,"BR&amp;SUPADJ."}</definedName>
    <definedName name="_104" hidden="1">{#N/A,#N/A,FALSE,"OTHERINPUTS";#N/A,#N/A,FALSE,"SUPPLIEDADJINPUT";#N/A,#N/A,FALSE,"BR&amp;SUPADJ."}</definedName>
    <definedName name="_105"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__123Graph_ACHART_5" hidden="1">[28]Data!$O$30:$O$226</definedName>
    <definedName name="_106" localSheetId="1" hidden="1">{"SPA_FAC",#N/A,FALSE,"OMPA SPA FAC"}</definedName>
    <definedName name="_106" localSheetId="32" hidden="1">{"SPA_FAC",#N/A,FALSE,"OMPA SPA FAC"}</definedName>
    <definedName name="_106" localSheetId="6" hidden="1">{"SPA_FAC",#N/A,FALSE,"OMPA SPA FAC"}</definedName>
    <definedName name="_106" localSheetId="4" hidden="1">{"SPA_FAC",#N/A,FALSE,"OMPA SPA FAC"}</definedName>
    <definedName name="_106" localSheetId="5" hidden="1">{"SPA_FAC",#N/A,FALSE,"OMPA SPA FAC"}</definedName>
    <definedName name="_106" localSheetId="7" hidden="1">{"SPA_FAC",#N/A,FALSE,"OMPA SPA FAC"}</definedName>
    <definedName name="_106" localSheetId="3" hidden="1">{"SPA_FAC",#N/A,FALSE,"OMPA SPA FAC"}</definedName>
    <definedName name="_106" localSheetId="47" hidden="1">{"SPA_FAC",#N/A,FALSE,"OMPA SPA FAC"}</definedName>
    <definedName name="_106" hidden="1">{"SPA_FAC",#N/A,FALSE,"OMPA SPA FAC"}</definedName>
    <definedName name="_107" localSheetId="1" hidden="1">{#N/A,#N/A,FALSE,"GLDwnLoad"}</definedName>
    <definedName name="_107" localSheetId="32" hidden="1">{#N/A,#N/A,FALSE,"GLDwnLoad"}</definedName>
    <definedName name="_107" localSheetId="6" hidden="1">{#N/A,#N/A,FALSE,"GLDwnLoad"}</definedName>
    <definedName name="_107" localSheetId="4" hidden="1">{#N/A,#N/A,FALSE,"GLDwnLoad"}</definedName>
    <definedName name="_107" localSheetId="5" hidden="1">{#N/A,#N/A,FALSE,"GLDwnLoad"}</definedName>
    <definedName name="_107" localSheetId="7" hidden="1">{#N/A,#N/A,FALSE,"GLDwnLoad"}</definedName>
    <definedName name="_107" localSheetId="3" hidden="1">{#N/A,#N/A,FALSE,"GLDwnLoad"}</definedName>
    <definedName name="_107" localSheetId="47" hidden="1">{#N/A,#N/A,FALSE,"GLDwnLoad"}</definedName>
    <definedName name="_107" hidden="1">{#N/A,#N/A,FALSE,"GLDwnLoad"}</definedName>
    <definedName name="_108"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__123Graph_ACHART_6" hidden="1">[22]Data!$E$30:$E$229</definedName>
    <definedName name="_109"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1" localSheetId="1" hidden="1">{#N/A,#N/A,TRUE,"1990";#N/A,#N/A,TRUE,"1991";#N/A,#N/A,TRUE,"1992";#N/A,#N/A,TRUE,"1993"}</definedName>
    <definedName name="_11" localSheetId="32" hidden="1">{#N/A,#N/A,TRUE,"1990";#N/A,#N/A,TRUE,"1991";#N/A,#N/A,TRUE,"1992";#N/A,#N/A,TRUE,"1993"}</definedName>
    <definedName name="_11" localSheetId="6" hidden="1">{#N/A,#N/A,TRUE,"1990";#N/A,#N/A,TRUE,"1991";#N/A,#N/A,TRUE,"1992";#N/A,#N/A,TRUE,"1993"}</definedName>
    <definedName name="_11" localSheetId="4" hidden="1">{#N/A,#N/A,TRUE,"1990";#N/A,#N/A,TRUE,"1991";#N/A,#N/A,TRUE,"1992";#N/A,#N/A,TRUE,"1993"}</definedName>
    <definedName name="_11" localSheetId="5" hidden="1">{#N/A,#N/A,TRUE,"1990";#N/A,#N/A,TRUE,"1991";#N/A,#N/A,TRUE,"1992";#N/A,#N/A,TRUE,"1993"}</definedName>
    <definedName name="_11" localSheetId="7" hidden="1">{#N/A,#N/A,TRUE,"1990";#N/A,#N/A,TRUE,"1991";#N/A,#N/A,TRUE,"1992";#N/A,#N/A,TRUE,"1993"}</definedName>
    <definedName name="_11" localSheetId="3" hidden="1">{#N/A,#N/A,TRUE,"1990";#N/A,#N/A,TRUE,"1991";#N/A,#N/A,TRUE,"1992";#N/A,#N/A,TRUE,"1993"}</definedName>
    <definedName name="_11" localSheetId="47" hidden="1">{#N/A,#N/A,TRUE,"1990";#N/A,#N/A,TRUE,"1991";#N/A,#N/A,TRUE,"1992";#N/A,#N/A,TRUE,"1993"}</definedName>
    <definedName name="_11" hidden="1">{#N/A,#N/A,TRUE,"1990";#N/A,#N/A,TRUE,"1991";#N/A,#N/A,TRUE,"1992";#N/A,#N/A,TRUE,"1993"}</definedName>
    <definedName name="_11__123Graph_CCHART_10" hidden="1">'[23]summ graf'!$D$6:$HK$6</definedName>
    <definedName name="_11__123Graph_XCHART_1" localSheetId="6" hidden="1">[21]Data!$B$30:$B$222</definedName>
    <definedName name="_11__123Graph_XCHART_1" localSheetId="7" hidden="1">[21]Data!$B$30:$B$222</definedName>
    <definedName name="_11__123Graph_XCHART_1" localSheetId="29" hidden="1">[21]Data!$B$30:$B$222</definedName>
    <definedName name="_11__123Graph_XCHART_1" localSheetId="47" hidden="1">[21]Data!$B$30:$B$222</definedName>
    <definedName name="_11__123Graph_XCHART_1" hidden="1">[22]Data!$B$30:$B$222</definedName>
    <definedName name="_110" localSheetId="1" hidden="1">{"print1",#N/A,FALSE,"D21CUSTS";"print2",#N/A,FALSE,"D21CUSTS";"print3",#N/A,FALSE,"D21CUSTS";"print4",#N/A,FALSE,"D21CUSTS"}</definedName>
    <definedName name="_110" localSheetId="32" hidden="1">{"print1",#N/A,FALSE,"D21CUSTS";"print2",#N/A,FALSE,"D21CUSTS";"print3",#N/A,FALSE,"D21CUSTS";"print4",#N/A,FALSE,"D21CUSTS"}</definedName>
    <definedName name="_110" localSheetId="6" hidden="1">{"print1",#N/A,FALSE,"D21CUSTS";"print2",#N/A,FALSE,"D21CUSTS";"print3",#N/A,FALSE,"D21CUSTS";"print4",#N/A,FALSE,"D21CUSTS"}</definedName>
    <definedName name="_110" localSheetId="4" hidden="1">{"print1",#N/A,FALSE,"D21CUSTS";"print2",#N/A,FALSE,"D21CUSTS";"print3",#N/A,FALSE,"D21CUSTS";"print4",#N/A,FALSE,"D21CUSTS"}</definedName>
    <definedName name="_110" localSheetId="5" hidden="1">{"print1",#N/A,FALSE,"D21CUSTS";"print2",#N/A,FALSE,"D21CUSTS";"print3",#N/A,FALSE,"D21CUSTS";"print4",#N/A,FALSE,"D21CUSTS"}</definedName>
    <definedName name="_110" localSheetId="7" hidden="1">{"print1",#N/A,FALSE,"D21CUSTS";"print2",#N/A,FALSE,"D21CUSTS";"print3",#N/A,FALSE,"D21CUSTS";"print4",#N/A,FALSE,"D21CUSTS"}</definedName>
    <definedName name="_110" localSheetId="3" hidden="1">{"print1",#N/A,FALSE,"D21CUSTS";"print2",#N/A,FALSE,"D21CUSTS";"print3",#N/A,FALSE,"D21CUSTS";"print4",#N/A,FALSE,"D21CUSTS"}</definedName>
    <definedName name="_110" localSheetId="47" hidden="1">{"print1",#N/A,FALSE,"D21CUSTS";"print2",#N/A,FALSE,"D21CUSTS";"print3",#N/A,FALSE,"D21CUSTS";"print4",#N/A,FALSE,"D21CUSTS"}</definedName>
    <definedName name="_110" hidden="1">{"print1",#N/A,FALSE,"D21CUSTS";"print2",#N/A,FALSE,"D21CUSTS";"print3",#N/A,FALSE,"D21CUSTS";"print4",#N/A,FALSE,"D21CUSTS"}</definedName>
    <definedName name="_111" localSheetId="1" hidden="1">{"Fuel by Type",#N/A,FALSE,"00whfuel";"Fuel by Account",#N/A,FALSE,"00whfuel";"NTEC",#N/A,FALSE,"00whfuel";"Hope",#N/A,FALSE,"00whfuel";"Net Energy Load",#N/A,FALSE,"00whfuel";"Purchased Power",#N/A,FALSE,"00whfuel"}</definedName>
    <definedName name="_111" localSheetId="32" hidden="1">{"Fuel by Type",#N/A,FALSE,"00whfuel";"Fuel by Account",#N/A,FALSE,"00whfuel";"NTEC",#N/A,FALSE,"00whfuel";"Hope",#N/A,FALSE,"00whfuel";"Net Energy Load",#N/A,FALSE,"00whfuel";"Purchased Power",#N/A,FALSE,"00whfuel"}</definedName>
    <definedName name="_111" localSheetId="6" hidden="1">{"Fuel by Type",#N/A,FALSE,"00whfuel";"Fuel by Account",#N/A,FALSE,"00whfuel";"NTEC",#N/A,FALSE,"00whfuel";"Hope",#N/A,FALSE,"00whfuel";"Net Energy Load",#N/A,FALSE,"00whfuel";"Purchased Power",#N/A,FALSE,"00whfuel"}</definedName>
    <definedName name="_111" localSheetId="4" hidden="1">{"Fuel by Type",#N/A,FALSE,"00whfuel";"Fuel by Account",#N/A,FALSE,"00whfuel";"NTEC",#N/A,FALSE,"00whfuel";"Hope",#N/A,FALSE,"00whfuel";"Net Energy Load",#N/A,FALSE,"00whfuel";"Purchased Power",#N/A,FALSE,"00whfuel"}</definedName>
    <definedName name="_111" localSheetId="5" hidden="1">{"Fuel by Type",#N/A,FALSE,"00whfuel";"Fuel by Account",#N/A,FALSE,"00whfuel";"NTEC",#N/A,FALSE,"00whfuel";"Hope",#N/A,FALSE,"00whfuel";"Net Energy Load",#N/A,FALSE,"00whfuel";"Purchased Power",#N/A,FALSE,"00whfuel"}</definedName>
    <definedName name="_111" localSheetId="7" hidden="1">{"Fuel by Type",#N/A,FALSE,"00whfuel";"Fuel by Account",#N/A,FALSE,"00whfuel";"NTEC",#N/A,FALSE,"00whfuel";"Hope",#N/A,FALSE,"00whfuel";"Net Energy Load",#N/A,FALSE,"00whfuel";"Purchased Power",#N/A,FALSE,"00whfuel"}</definedName>
    <definedName name="_111" localSheetId="3" hidden="1">{"Fuel by Type",#N/A,FALSE,"00whfuel";"Fuel by Account",#N/A,FALSE,"00whfuel";"NTEC",#N/A,FALSE,"00whfuel";"Hope",#N/A,FALSE,"00whfuel";"Net Energy Load",#N/A,FALSE,"00whfuel";"Purchased Power",#N/A,FALSE,"00whfuel"}</definedName>
    <definedName name="_111" localSheetId="47" hidden="1">{"Fuel by Type",#N/A,FALSE,"00whfuel";"Fuel by Account",#N/A,FALSE,"00whfuel";"NTEC",#N/A,FALSE,"00whfuel";"Hope",#N/A,FALSE,"00whfuel";"Net Energy Load",#N/A,FALSE,"00whfuel";"Purchased Power",#N/A,FALSE,"00whfuel"}</definedName>
    <definedName name="_111" hidden="1">{"Fuel by Type",#N/A,FALSE,"00whfuel";"Fuel by Account",#N/A,FALSE,"00whfuel";"NTEC",#N/A,FALSE,"00whfuel";"Hope",#N/A,FALSE,"00whfuel";"Net Energy Load",#N/A,FALSE,"00whfuel";"Purchased Power",#N/A,FALSE,"00whfuel"}</definedName>
    <definedName name="_112" localSheetId="1" hidden="1">{"WEATHER_CUSTOMERS",#N/A,FALSE,"Ok_Fuel&amp;Rev"}</definedName>
    <definedName name="_112" localSheetId="32" hidden="1">{"WEATHER_CUSTOMERS",#N/A,FALSE,"Ok_Fuel&amp;Rev"}</definedName>
    <definedName name="_112" localSheetId="6" hidden="1">{"WEATHER_CUSTOMERS",#N/A,FALSE,"Ok_Fuel&amp;Rev"}</definedName>
    <definedName name="_112" localSheetId="4" hidden="1">{"WEATHER_CUSTOMERS",#N/A,FALSE,"Ok_Fuel&amp;Rev"}</definedName>
    <definedName name="_112" localSheetId="5" hidden="1">{"WEATHER_CUSTOMERS",#N/A,FALSE,"Ok_Fuel&amp;Rev"}</definedName>
    <definedName name="_112" localSheetId="7" hidden="1">{"WEATHER_CUSTOMERS",#N/A,FALSE,"Ok_Fuel&amp;Rev"}</definedName>
    <definedName name="_112" localSheetId="3" hidden="1">{"WEATHER_CUSTOMERS",#N/A,FALSE,"Ok_Fuel&amp;Rev"}</definedName>
    <definedName name="_112" localSheetId="47" hidden="1">{"WEATHER_CUSTOMERS",#N/A,FALSE,"Ok_Fuel&amp;Rev"}</definedName>
    <definedName name="_112" hidden="1">{"WEATHER_CUSTOMERS",#N/A,FALSE,"Ok_Fuel&amp;Rev"}</definedName>
    <definedName name="_113" localSheetId="1" hidden="1">{#N/A,#N/A,FALSE,"GLDwnLoad"}</definedName>
    <definedName name="_113" localSheetId="32" hidden="1">{#N/A,#N/A,FALSE,"GLDwnLoad"}</definedName>
    <definedName name="_113" localSheetId="6" hidden="1">{#N/A,#N/A,FALSE,"GLDwnLoad"}</definedName>
    <definedName name="_113" localSheetId="4" hidden="1">{#N/A,#N/A,FALSE,"GLDwnLoad"}</definedName>
    <definedName name="_113" localSheetId="5" hidden="1">{#N/A,#N/A,FALSE,"GLDwnLoad"}</definedName>
    <definedName name="_113" localSheetId="7" hidden="1">{#N/A,#N/A,FALSE,"GLDwnLoad"}</definedName>
    <definedName name="_113" localSheetId="3" hidden="1">{#N/A,#N/A,FALSE,"GLDwnLoad"}</definedName>
    <definedName name="_113" localSheetId="47" hidden="1">{#N/A,#N/A,FALSE,"GLDwnLoad"}</definedName>
    <definedName name="_113" hidden="1">{#N/A,#N/A,FALSE,"GLDwnLoad"}</definedName>
    <definedName name="_114" localSheetId="1" hidden="1">{#N/A,#N/A,FALSE,"OTHERINPUTS";#N/A,#N/A,FALSE,"DITRATEINPUTS";#N/A,#N/A,FALSE,"SUPPLIEDADJINPUT";#N/A,#N/A,FALSE,"TIMINGDIFFINPUTS";#N/A,#N/A,FALSE,"BR&amp;SUPADJ."}</definedName>
    <definedName name="_114" localSheetId="32" hidden="1">{#N/A,#N/A,FALSE,"OTHERINPUTS";#N/A,#N/A,FALSE,"DITRATEINPUTS";#N/A,#N/A,FALSE,"SUPPLIEDADJINPUT";#N/A,#N/A,FALSE,"TIMINGDIFFINPUTS";#N/A,#N/A,FALSE,"BR&amp;SUPADJ."}</definedName>
    <definedName name="_114" localSheetId="6" hidden="1">{#N/A,#N/A,FALSE,"OTHERINPUTS";#N/A,#N/A,FALSE,"DITRATEINPUTS";#N/A,#N/A,FALSE,"SUPPLIEDADJINPUT";#N/A,#N/A,FALSE,"TIMINGDIFFINPUTS";#N/A,#N/A,FALSE,"BR&amp;SUPADJ."}</definedName>
    <definedName name="_114" localSheetId="4" hidden="1">{#N/A,#N/A,FALSE,"OTHERINPUTS";#N/A,#N/A,FALSE,"DITRATEINPUTS";#N/A,#N/A,FALSE,"SUPPLIEDADJINPUT";#N/A,#N/A,FALSE,"TIMINGDIFFINPUTS";#N/A,#N/A,FALSE,"BR&amp;SUPADJ."}</definedName>
    <definedName name="_114" localSheetId="5" hidden="1">{#N/A,#N/A,FALSE,"OTHERINPUTS";#N/A,#N/A,FALSE,"DITRATEINPUTS";#N/A,#N/A,FALSE,"SUPPLIEDADJINPUT";#N/A,#N/A,FALSE,"TIMINGDIFFINPUTS";#N/A,#N/A,FALSE,"BR&amp;SUPADJ."}</definedName>
    <definedName name="_114" localSheetId="7" hidden="1">{#N/A,#N/A,FALSE,"OTHERINPUTS";#N/A,#N/A,FALSE,"DITRATEINPUTS";#N/A,#N/A,FALSE,"SUPPLIEDADJINPUT";#N/A,#N/A,FALSE,"TIMINGDIFFINPUTS";#N/A,#N/A,FALSE,"BR&amp;SUPADJ."}</definedName>
    <definedName name="_114" localSheetId="3" hidden="1">{#N/A,#N/A,FALSE,"OTHERINPUTS";#N/A,#N/A,FALSE,"DITRATEINPUTS";#N/A,#N/A,FALSE,"SUPPLIEDADJINPUT";#N/A,#N/A,FALSE,"TIMINGDIFFINPUTS";#N/A,#N/A,FALSE,"BR&amp;SUPADJ."}</definedName>
    <definedName name="_114" localSheetId="47" hidden="1">{#N/A,#N/A,FALSE,"OTHERINPUTS";#N/A,#N/A,FALSE,"DITRATEINPUTS";#N/A,#N/A,FALSE,"SUPPLIEDADJINPUT";#N/A,#N/A,FALSE,"TIMINGDIFFINPUTS";#N/A,#N/A,FALSE,"BR&amp;SUPADJ."}</definedName>
    <definedName name="_114" hidden="1">{#N/A,#N/A,FALSE,"OTHERINPUTS";#N/A,#N/A,FALSE,"DITRATEINPUTS";#N/A,#N/A,FALSE,"SUPPLIEDADJINPUT";#N/A,#N/A,FALSE,"TIMINGDIFFINPUTS";#N/A,#N/A,FALSE,"BR&amp;SUPADJ."}</definedName>
    <definedName name="_115"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6" localSheetId="1" hidden="1">{#N/A,#N/A,FALSE,"GLDwnLoad"}</definedName>
    <definedName name="_116" localSheetId="32" hidden="1">{#N/A,#N/A,FALSE,"GLDwnLoad"}</definedName>
    <definedName name="_116" localSheetId="6" hidden="1">{#N/A,#N/A,FALSE,"GLDwnLoad"}</definedName>
    <definedName name="_116" localSheetId="4" hidden="1">{#N/A,#N/A,FALSE,"GLDwnLoad"}</definedName>
    <definedName name="_116" localSheetId="5" hidden="1">{#N/A,#N/A,FALSE,"GLDwnLoad"}</definedName>
    <definedName name="_116" localSheetId="7" hidden="1">{#N/A,#N/A,FALSE,"GLDwnLoad"}</definedName>
    <definedName name="_116" localSheetId="3" hidden="1">{#N/A,#N/A,FALSE,"GLDwnLoad"}</definedName>
    <definedName name="_116" localSheetId="47" hidden="1">{#N/A,#N/A,FALSE,"GLDwnLoad"}</definedName>
    <definedName name="_116" hidden="1">{#N/A,#N/A,FALSE,"GLDwnLoad"}</definedName>
    <definedName name="_118__123Graph_BCHART_6" hidden="1">[29]Data!#REF!</definedName>
    <definedName name="_119__123Graph_BCHART_5" hidden="1">[22]Data!$P$30:$P$229</definedName>
    <definedName name="_12" localSheetId="1" hidden="1">{#N/A,#N/A,TRUE,"1990";#N/A,#N/A,TRUE,"1991";#N/A,#N/A,TRUE,"1992";#N/A,#N/A,TRUE,"1993"}</definedName>
    <definedName name="_12" localSheetId="32" hidden="1">{#N/A,#N/A,TRUE,"1990";#N/A,#N/A,TRUE,"1991";#N/A,#N/A,TRUE,"1992";#N/A,#N/A,TRUE,"1993"}</definedName>
    <definedName name="_12" localSheetId="6" hidden="1">{#N/A,#N/A,TRUE,"1990";#N/A,#N/A,TRUE,"1991";#N/A,#N/A,TRUE,"1992";#N/A,#N/A,TRUE,"1993"}</definedName>
    <definedName name="_12" localSheetId="4" hidden="1">{#N/A,#N/A,TRUE,"1990";#N/A,#N/A,TRUE,"1991";#N/A,#N/A,TRUE,"1992";#N/A,#N/A,TRUE,"1993"}</definedName>
    <definedName name="_12" localSheetId="5" hidden="1">{#N/A,#N/A,TRUE,"1990";#N/A,#N/A,TRUE,"1991";#N/A,#N/A,TRUE,"1992";#N/A,#N/A,TRUE,"1993"}</definedName>
    <definedName name="_12" localSheetId="7" hidden="1">{#N/A,#N/A,TRUE,"1990";#N/A,#N/A,TRUE,"1991";#N/A,#N/A,TRUE,"1992";#N/A,#N/A,TRUE,"1993"}</definedName>
    <definedName name="_12" localSheetId="3" hidden="1">{#N/A,#N/A,TRUE,"1990";#N/A,#N/A,TRUE,"1991";#N/A,#N/A,TRUE,"1992";#N/A,#N/A,TRUE,"1993"}</definedName>
    <definedName name="_12" localSheetId="47" hidden="1">{#N/A,#N/A,TRUE,"1990";#N/A,#N/A,TRUE,"1991";#N/A,#N/A,TRUE,"1992";#N/A,#N/A,TRUE,"1993"}</definedName>
    <definedName name="_12" hidden="1">{#N/A,#N/A,TRUE,"1990";#N/A,#N/A,TRUE,"1991";#N/A,#N/A,TRUE,"1992";#N/A,#N/A,TRUE,"1993"}</definedName>
    <definedName name="_12__123Graph_ACHART_6" hidden="1">[22]Data!$E$30:$E$229</definedName>
    <definedName name="_12__123Graph_CCHART_12" hidden="1">'[23]summ graf'!$D$11:$HK$11</definedName>
    <definedName name="_12__123Graph_XCHART_2" localSheetId="6" hidden="1">[21]Data!$B$30:$B$222</definedName>
    <definedName name="_12__123Graph_XCHART_2" localSheetId="7" hidden="1">[21]Data!$B$30:$B$222</definedName>
    <definedName name="_12__123Graph_XCHART_2" localSheetId="29" hidden="1">[21]Data!$B$30:$B$222</definedName>
    <definedName name="_12__123Graph_XCHART_2" localSheetId="47" hidden="1">[21]Data!$B$30:$B$222</definedName>
    <definedName name="_12__123Graph_XCHART_2" hidden="1">[22]Data!$B$30:$B$222</definedName>
    <definedName name="_123Graph_ACHART" hidden="1">'[7]Chart Data'!$E$30:$E$229</definedName>
    <definedName name="_126__123Graph_ACHART_6" hidden="1">[28]Data!$E$30:$E$229</definedName>
    <definedName name="_126__123Graph_BCHART_5" hidden="1">[22]Data!$P$30:$P$229</definedName>
    <definedName name="_13" localSheetId="1" hidden="1">{"summary",#N/A,TRUE,"E93ADJ";"detail",#N/A,TRUE,"E93ADJ"}</definedName>
    <definedName name="_13" localSheetId="32" hidden="1">{"summary",#N/A,TRUE,"E93ADJ";"detail",#N/A,TRUE,"E93ADJ"}</definedName>
    <definedName name="_13" localSheetId="6" hidden="1">{"summary",#N/A,TRUE,"E93ADJ";"detail",#N/A,TRUE,"E93ADJ"}</definedName>
    <definedName name="_13" localSheetId="4" hidden="1">{"summary",#N/A,TRUE,"E93ADJ";"detail",#N/A,TRUE,"E93ADJ"}</definedName>
    <definedName name="_13" localSheetId="5" hidden="1">{"summary",#N/A,TRUE,"E93ADJ";"detail",#N/A,TRUE,"E93ADJ"}</definedName>
    <definedName name="_13" localSheetId="7" hidden="1">{"summary",#N/A,TRUE,"E93ADJ";"detail",#N/A,TRUE,"E93ADJ"}</definedName>
    <definedName name="_13" localSheetId="3" hidden="1">{"summary",#N/A,TRUE,"E93ADJ";"detail",#N/A,TRUE,"E93ADJ"}</definedName>
    <definedName name="_13" localSheetId="47" hidden="1">{"summary",#N/A,TRUE,"E93ADJ";"detail",#N/A,TRUE,"E93ADJ"}</definedName>
    <definedName name="_13" hidden="1">{"summary",#N/A,TRUE,"E93ADJ";"detail",#N/A,TRUE,"E93ADJ"}</definedName>
    <definedName name="_13__123Graph_CCHART_13" hidden="1">'[23]summ graf'!$D$21:$HK$21</definedName>
    <definedName name="_13__123Graph_XCHART_3" localSheetId="6" hidden="1">[21]Data!$B$30:$B$222</definedName>
    <definedName name="_13__123Graph_XCHART_3" localSheetId="7" hidden="1">[21]Data!$B$30:$B$222</definedName>
    <definedName name="_13__123Graph_XCHART_3" localSheetId="29" hidden="1">[21]Data!$B$30:$B$222</definedName>
    <definedName name="_13__123Graph_XCHART_3" localSheetId="47" hidden="1">[21]Data!$B$30:$B$222</definedName>
    <definedName name="_13__123Graph_XCHART_3" hidden="1">[22]Data!$B$30:$B$222</definedName>
    <definedName name="_132__123Graph_CCHART_4" hidden="1">[29]Data!$C$30:$C$233</definedName>
    <definedName name="_14" localSheetId="1" hidden="1">{"summary",#N/A,TRUE,"E93ADJ";"detail",#N/A,TRUE,"E93ADJ"}</definedName>
    <definedName name="_14" localSheetId="32" hidden="1">{"summary",#N/A,TRUE,"E93ADJ";"detail",#N/A,TRUE,"E93ADJ"}</definedName>
    <definedName name="_14" localSheetId="6" hidden="1">{"summary",#N/A,TRUE,"E93ADJ";"detail",#N/A,TRUE,"E93ADJ"}</definedName>
    <definedName name="_14" localSheetId="4" hidden="1">{"summary",#N/A,TRUE,"E93ADJ";"detail",#N/A,TRUE,"E93ADJ"}</definedName>
    <definedName name="_14" localSheetId="5" hidden="1">{"summary",#N/A,TRUE,"E93ADJ";"detail",#N/A,TRUE,"E93ADJ"}</definedName>
    <definedName name="_14" localSheetId="7" hidden="1">{"summary",#N/A,TRUE,"E93ADJ";"detail",#N/A,TRUE,"E93ADJ"}</definedName>
    <definedName name="_14" localSheetId="3" hidden="1">{"summary",#N/A,TRUE,"E93ADJ";"detail",#N/A,TRUE,"E93ADJ"}</definedName>
    <definedName name="_14" localSheetId="47" hidden="1">{"summary",#N/A,TRUE,"E93ADJ";"detail",#N/A,TRUE,"E93ADJ"}</definedName>
    <definedName name="_14" hidden="1">{"summary",#N/A,TRUE,"E93ADJ";"detail",#N/A,TRUE,"E93ADJ"}</definedName>
    <definedName name="_14__123Graph_ACHART_1" hidden="1">[29]Data!$K$30:$K$228</definedName>
    <definedName name="_14__123Graph_BCHART_5" hidden="1">[22]Data!$P$30:$P$229</definedName>
    <definedName name="_14__123Graph_CCHART_14" hidden="1">'[23]summ graf'!$D$26:$HK$26</definedName>
    <definedName name="_14__123Graph_XCHART_4" localSheetId="6" hidden="1">[21]Data!$B$30:$B$222</definedName>
    <definedName name="_14__123Graph_XCHART_4" localSheetId="7" hidden="1">[21]Data!$B$30:$B$222</definedName>
    <definedName name="_14__123Graph_XCHART_4" localSheetId="29" hidden="1">[21]Data!$B$30:$B$222</definedName>
    <definedName name="_14__123Graph_XCHART_4" localSheetId="47" hidden="1">[21]Data!$B$30:$B$222</definedName>
    <definedName name="_14__123Graph_XCHART_4" hidden="1">[22]Data!$B$30:$B$222</definedName>
    <definedName name="_144__123Graph_BCHART_6" localSheetId="6" hidden="1">[22]Data!#REF!</definedName>
    <definedName name="_144__123Graph_BCHART_6" localSheetId="7" hidden="1">[22]Data!#REF!</definedName>
    <definedName name="_144__123Graph_BCHART_6" localSheetId="3" hidden="1">[22]Data!#REF!</definedName>
    <definedName name="_144__123Graph_BCHART_6" localSheetId="29" hidden="1">[22]Data!#REF!</definedName>
    <definedName name="_144__123Graph_BCHART_6" hidden="1">[22]Data!#REF!</definedName>
    <definedName name="_147__123Graph_BCHART_5" hidden="1">[28]Data!$P$30:$P$229</definedName>
    <definedName name="_15" localSheetId="1" hidden="1">{#N/A,#N/A,TRUE,"1990";#N/A,#N/A,TRUE,"1991";#N/A,#N/A,TRUE,"1992";#N/A,#N/A,TRUE,"1993"}</definedName>
    <definedName name="_15" localSheetId="32" hidden="1">{#N/A,#N/A,TRUE,"1990";#N/A,#N/A,TRUE,"1991";#N/A,#N/A,TRUE,"1992";#N/A,#N/A,TRUE,"1993"}</definedName>
    <definedName name="_15" localSheetId="6" hidden="1">{#N/A,#N/A,TRUE,"1990";#N/A,#N/A,TRUE,"1991";#N/A,#N/A,TRUE,"1992";#N/A,#N/A,TRUE,"1993"}</definedName>
    <definedName name="_15" localSheetId="4" hidden="1">{#N/A,#N/A,TRUE,"1990";#N/A,#N/A,TRUE,"1991";#N/A,#N/A,TRUE,"1992";#N/A,#N/A,TRUE,"1993"}</definedName>
    <definedName name="_15" localSheetId="5" hidden="1">{#N/A,#N/A,TRUE,"1990";#N/A,#N/A,TRUE,"1991";#N/A,#N/A,TRUE,"1992";#N/A,#N/A,TRUE,"1993"}</definedName>
    <definedName name="_15" localSheetId="7" hidden="1">{#N/A,#N/A,TRUE,"1990";#N/A,#N/A,TRUE,"1991";#N/A,#N/A,TRUE,"1992";#N/A,#N/A,TRUE,"1993"}</definedName>
    <definedName name="_15" localSheetId="3" hidden="1">{#N/A,#N/A,TRUE,"1990";#N/A,#N/A,TRUE,"1991";#N/A,#N/A,TRUE,"1992";#N/A,#N/A,TRUE,"1993"}</definedName>
    <definedName name="_15" localSheetId="47" hidden="1">{#N/A,#N/A,TRUE,"1990";#N/A,#N/A,TRUE,"1991";#N/A,#N/A,TRUE,"1992";#N/A,#N/A,TRUE,"1993"}</definedName>
    <definedName name="_15" hidden="1">{#N/A,#N/A,TRUE,"1990";#N/A,#N/A,TRUE,"1991";#N/A,#N/A,TRUE,"1992";#N/A,#N/A,TRUE,"1993"}</definedName>
    <definedName name="_15__123Graph_CCHART_15" hidden="1">'[23]summ graf'!$D$30:$HK$30</definedName>
    <definedName name="_15__123Graph_XCHART_5" localSheetId="6" hidden="1">[21]Data!$B$30:$B$222</definedName>
    <definedName name="_15__123Graph_XCHART_5" localSheetId="7" hidden="1">[21]Data!$B$30:$B$222</definedName>
    <definedName name="_15__123Graph_XCHART_5" localSheetId="29" hidden="1">[21]Data!$B$30:$B$222</definedName>
    <definedName name="_15__123Graph_XCHART_5" localSheetId="47" hidden="1">[21]Data!$B$30:$B$222</definedName>
    <definedName name="_15__123Graph_XCHART_5" hidden="1">[22]Data!$B$30:$B$222</definedName>
    <definedName name="_152__123Graph_BCHART_6" localSheetId="6" hidden="1">[22]Data!#REF!</definedName>
    <definedName name="_152__123Graph_BCHART_6" localSheetId="7" hidden="1">[22]Data!#REF!</definedName>
    <definedName name="_152__123Graph_BCHART_6" localSheetId="3" hidden="1">[22]Data!#REF!</definedName>
    <definedName name="_152__123Graph_BCHART_6" localSheetId="29" hidden="1">[22]Data!#REF!</definedName>
    <definedName name="_152__123Graph_BCHART_6" hidden="1">[22]Data!#REF!</definedName>
    <definedName name="_152__123Graph_CCHART_6" localSheetId="6" hidden="1">[29]Data!#REF!</definedName>
    <definedName name="_152__123Graph_CCHART_6" localSheetId="7" hidden="1">[29]Data!#REF!</definedName>
    <definedName name="_152__123Graph_CCHART_6" localSheetId="29" hidden="1">[29]Data!#REF!</definedName>
    <definedName name="_152__123Graph_CCHART_6" hidden="1">[29]Data!#REF!</definedName>
    <definedName name="_16" localSheetId="1" hidden="1">{"summary",#N/A,TRUE,"E93ADJ";"detail",#N/A,TRUE,"E93ADJ"}</definedName>
    <definedName name="_16" localSheetId="32" hidden="1">{"summary",#N/A,TRUE,"E93ADJ";"detail",#N/A,TRUE,"E93ADJ"}</definedName>
    <definedName name="_16" localSheetId="6" hidden="1">{"summary",#N/A,TRUE,"E93ADJ";"detail",#N/A,TRUE,"E93ADJ"}</definedName>
    <definedName name="_16" localSheetId="4" hidden="1">{"summary",#N/A,TRUE,"E93ADJ";"detail",#N/A,TRUE,"E93ADJ"}</definedName>
    <definedName name="_16" localSheetId="5" hidden="1">{"summary",#N/A,TRUE,"E93ADJ";"detail",#N/A,TRUE,"E93ADJ"}</definedName>
    <definedName name="_16" localSheetId="7" hidden="1">{"summary",#N/A,TRUE,"E93ADJ";"detail",#N/A,TRUE,"E93ADJ"}</definedName>
    <definedName name="_16" localSheetId="3" hidden="1">{"summary",#N/A,TRUE,"E93ADJ";"detail",#N/A,TRUE,"E93ADJ"}</definedName>
    <definedName name="_16" localSheetId="47" hidden="1">{"summary",#N/A,TRUE,"E93ADJ";"detail",#N/A,TRUE,"E93ADJ"}</definedName>
    <definedName name="_16" hidden="1">{"summary",#N/A,TRUE,"E93ADJ";"detail",#N/A,TRUE,"E93ADJ"}</definedName>
    <definedName name="_16__123Graph_BCHART_6" hidden="1">[22]Data!#REF!</definedName>
    <definedName name="_16__123Graph_CCHART_16" hidden="1">'[23]summ graf'!$D$36:$HK$36</definedName>
    <definedName name="_16__123Graph_XCHART_6" localSheetId="6" hidden="1">[21]Data!$B$30:$B$222</definedName>
    <definedName name="_16__123Graph_XCHART_6" localSheetId="7" hidden="1">[21]Data!$B$30:$B$222</definedName>
    <definedName name="_16__123Graph_XCHART_6" localSheetId="29" hidden="1">[21]Data!$B$30:$B$222</definedName>
    <definedName name="_16__123Graph_XCHART_6" localSheetId="47" hidden="1">[21]Data!$B$30:$B$222</definedName>
    <definedName name="_16__123Graph_XCHART_6" hidden="1">[22]Data!$B$30:$B$222</definedName>
    <definedName name="_161__123Graph_CCHART_4" hidden="1">[22]Data!$C$30:$C$233</definedName>
    <definedName name="_166__123Graph_XCHART_1" hidden="1">[29]Data!$B$30:$B$222</definedName>
    <definedName name="_17" localSheetId="1" hidden="1">{"ARK_JURIS_FUEL",#N/A,FALSE,"Ark_Fuel&amp;Rev"}</definedName>
    <definedName name="_17" localSheetId="32" hidden="1">{"ARK_JURIS_FUEL",#N/A,FALSE,"Ark_Fuel&amp;Rev"}</definedName>
    <definedName name="_17" localSheetId="6" hidden="1">{"ARK_JURIS_FUEL",#N/A,FALSE,"Ark_Fuel&amp;Rev"}</definedName>
    <definedName name="_17" localSheetId="4" hidden="1">{"ARK_JURIS_FUEL",#N/A,FALSE,"Ark_Fuel&amp;Rev"}</definedName>
    <definedName name="_17" localSheetId="5" hidden="1">{"ARK_JURIS_FUEL",#N/A,FALSE,"Ark_Fuel&amp;Rev"}</definedName>
    <definedName name="_17" localSheetId="7" hidden="1">{"ARK_JURIS_FUEL",#N/A,FALSE,"Ark_Fuel&amp;Rev"}</definedName>
    <definedName name="_17" localSheetId="3" hidden="1">{"ARK_JURIS_FUEL",#N/A,FALSE,"Ark_Fuel&amp;Rev"}</definedName>
    <definedName name="_17" localSheetId="47" hidden="1">{"ARK_JURIS_FUEL",#N/A,FALSE,"Ark_Fuel&amp;Rev"}</definedName>
    <definedName name="_17" hidden="1">{"ARK_JURIS_FUEL",#N/A,FALSE,"Ark_Fuel&amp;Rev"}</definedName>
    <definedName name="_17__123Graph_ACHART_1" hidden="1">[22]Data!$K$30:$K$228</definedName>
    <definedName name="_17__123Graph_CCHART_17" hidden="1">'[23]summ graf'!$D$16:$HK$16</definedName>
    <definedName name="_170__123Graph_CCHART_4" hidden="1">[22]Data!$C$30:$C$233</definedName>
    <definedName name="_173__123Graph_BCHART_6" hidden="1">[28]Data!#REF!</definedName>
    <definedName name="_18" localSheetId="1" hidden="1">{#N/A,#N/A,FALSE,"SCA";#N/A,#N/A,FALSE,"NCA";#N/A,#N/A,FALSE,"SAZ";#N/A,#N/A,FALSE,"CAZ";#N/A,#N/A,FALSE,"SNV";#N/A,#N/A,FALSE,"NNV";#N/A,#N/A,FALSE,"PP";#N/A,#N/A,FALSE,"SA"}</definedName>
    <definedName name="_18" localSheetId="32" hidden="1">{#N/A,#N/A,FALSE,"SCA";#N/A,#N/A,FALSE,"NCA";#N/A,#N/A,FALSE,"SAZ";#N/A,#N/A,FALSE,"CAZ";#N/A,#N/A,FALSE,"SNV";#N/A,#N/A,FALSE,"NNV";#N/A,#N/A,FALSE,"PP";#N/A,#N/A,FALSE,"SA"}</definedName>
    <definedName name="_18" localSheetId="6" hidden="1">{#N/A,#N/A,FALSE,"SCA";#N/A,#N/A,FALSE,"NCA";#N/A,#N/A,FALSE,"SAZ";#N/A,#N/A,FALSE,"CAZ";#N/A,#N/A,FALSE,"SNV";#N/A,#N/A,FALSE,"NNV";#N/A,#N/A,FALSE,"PP";#N/A,#N/A,FALSE,"SA"}</definedName>
    <definedName name="_18" localSheetId="4" hidden="1">{#N/A,#N/A,FALSE,"SCA";#N/A,#N/A,FALSE,"NCA";#N/A,#N/A,FALSE,"SAZ";#N/A,#N/A,FALSE,"CAZ";#N/A,#N/A,FALSE,"SNV";#N/A,#N/A,FALSE,"NNV";#N/A,#N/A,FALSE,"PP";#N/A,#N/A,FALSE,"SA"}</definedName>
    <definedName name="_18" localSheetId="5" hidden="1">{#N/A,#N/A,FALSE,"SCA";#N/A,#N/A,FALSE,"NCA";#N/A,#N/A,FALSE,"SAZ";#N/A,#N/A,FALSE,"CAZ";#N/A,#N/A,FALSE,"SNV";#N/A,#N/A,FALSE,"NNV";#N/A,#N/A,FALSE,"PP";#N/A,#N/A,FALSE,"SA"}</definedName>
    <definedName name="_18" localSheetId="7" hidden="1">{#N/A,#N/A,FALSE,"SCA";#N/A,#N/A,FALSE,"NCA";#N/A,#N/A,FALSE,"SAZ";#N/A,#N/A,FALSE,"CAZ";#N/A,#N/A,FALSE,"SNV";#N/A,#N/A,FALSE,"NNV";#N/A,#N/A,FALSE,"PP";#N/A,#N/A,FALSE,"SA"}</definedName>
    <definedName name="_18" localSheetId="3" hidden="1">{#N/A,#N/A,FALSE,"SCA";#N/A,#N/A,FALSE,"NCA";#N/A,#N/A,FALSE,"SAZ";#N/A,#N/A,FALSE,"CAZ";#N/A,#N/A,FALSE,"SNV";#N/A,#N/A,FALSE,"NNV";#N/A,#N/A,FALSE,"PP";#N/A,#N/A,FALSE,"SA"}</definedName>
    <definedName name="_18" localSheetId="47" hidden="1">{#N/A,#N/A,FALSE,"SCA";#N/A,#N/A,FALSE,"NCA";#N/A,#N/A,FALSE,"SAZ";#N/A,#N/A,FALSE,"CAZ";#N/A,#N/A,FALSE,"SNV";#N/A,#N/A,FALSE,"NNV";#N/A,#N/A,FALSE,"PP";#N/A,#N/A,FALSE,"SA"}</definedName>
    <definedName name="_18" hidden="1">{#N/A,#N/A,FALSE,"SCA";#N/A,#N/A,FALSE,"NCA";#N/A,#N/A,FALSE,"SAZ";#N/A,#N/A,FALSE,"CAZ";#N/A,#N/A,FALSE,"SNV";#N/A,#N/A,FALSE,"NNV";#N/A,#N/A,FALSE,"PP";#N/A,#N/A,FALSE,"SA"}</definedName>
    <definedName name="_18__123Graph_ACHART_1" hidden="1">[22]Data!$K$30:$K$228</definedName>
    <definedName name="_18__123Graph_CCHART_18" hidden="1">'[23]summ graf'!$D$48:$HK$48</definedName>
    <definedName name="_18__123Graph_CCHART_4" hidden="1">[22]Data!$C$30:$C$233</definedName>
    <definedName name="_180__123Graph_XCHART_2" hidden="1">[29]Data!$B$30:$B$222</definedName>
    <definedName name="_186__123Graph_CCHART_6" localSheetId="6" hidden="1">[22]Data!#REF!</definedName>
    <definedName name="_186__123Graph_CCHART_6" localSheetId="7" hidden="1">[22]Data!#REF!</definedName>
    <definedName name="_186__123Graph_CCHART_6" localSheetId="3" hidden="1">[22]Data!#REF!</definedName>
    <definedName name="_186__123Graph_CCHART_6" localSheetId="29" hidden="1">[22]Data!#REF!</definedName>
    <definedName name="_186__123Graph_CCHART_6" hidden="1">[22]Data!#REF!</definedName>
    <definedName name="_19"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4__123Graph_CCHART_4" hidden="1">[28]Data!$C$30:$C$233</definedName>
    <definedName name="_194__123Graph_XCHART_3" hidden="1">[29]Data!$B$30:$B$222</definedName>
    <definedName name="_196__123Graph_CCHART_6" localSheetId="6" hidden="1">[22]Data!#REF!</definedName>
    <definedName name="_196__123Graph_CCHART_6" localSheetId="7" hidden="1">[22]Data!#REF!</definedName>
    <definedName name="_196__123Graph_CCHART_6" localSheetId="3" hidden="1">[22]Data!#REF!</definedName>
    <definedName name="_196__123Graph_CCHART_6" localSheetId="29" hidden="1">[22]Data!#REF!</definedName>
    <definedName name="_196__123Graph_CCHART_6" hidden="1">[22]Data!#REF!</definedName>
    <definedName name="_1ISSUANCE_EXPENS" localSheetId="6">#REF!</definedName>
    <definedName name="_1ISSUANCE_EXPENS" localSheetId="3">#REF!</definedName>
    <definedName name="_1ISSUANCE_EXPENS">#REF!</definedName>
    <definedName name="_1Q_0_Regressio" localSheetId="1" hidden="1">#REF!</definedName>
    <definedName name="_1Q_0_Regressio" localSheetId="5" hidden="1">#REF!</definedName>
    <definedName name="_1Q_0_Regressio" localSheetId="3" hidden="1">#REF!</definedName>
    <definedName name="_1Q_0_Regressio" localSheetId="29" hidden="1">#REF!</definedName>
    <definedName name="_1Q_0_Regressio" hidden="1">#REF!</definedName>
    <definedName name="_2" localSheetId="1" hidden="1">{#N/A,#N/A,FALSE,"SCA";#N/A,#N/A,FALSE,"NCA";#N/A,#N/A,FALSE,"SAZ";#N/A,#N/A,FALSE,"CAZ";#N/A,#N/A,FALSE,"SNV";#N/A,#N/A,FALSE,"NNV";#N/A,#N/A,FALSE,"PP";#N/A,#N/A,FALSE,"SA"}</definedName>
    <definedName name="_2" localSheetId="32" hidden="1">{#N/A,#N/A,FALSE,"SCA";#N/A,#N/A,FALSE,"NCA";#N/A,#N/A,FALSE,"SAZ";#N/A,#N/A,FALSE,"CAZ";#N/A,#N/A,FALSE,"SNV";#N/A,#N/A,FALSE,"NNV";#N/A,#N/A,FALSE,"PP";#N/A,#N/A,FALSE,"SA"}</definedName>
    <definedName name="_2" localSheetId="6" hidden="1">{#N/A,#N/A,FALSE,"SCA";#N/A,#N/A,FALSE,"NCA";#N/A,#N/A,FALSE,"SAZ";#N/A,#N/A,FALSE,"CAZ";#N/A,#N/A,FALSE,"SNV";#N/A,#N/A,FALSE,"NNV";#N/A,#N/A,FALSE,"PP";#N/A,#N/A,FALSE,"SA"}</definedName>
    <definedName name="_2" localSheetId="4" hidden="1">{#N/A,#N/A,FALSE,"SCA";#N/A,#N/A,FALSE,"NCA";#N/A,#N/A,FALSE,"SAZ";#N/A,#N/A,FALSE,"CAZ";#N/A,#N/A,FALSE,"SNV";#N/A,#N/A,FALSE,"NNV";#N/A,#N/A,FALSE,"PP";#N/A,#N/A,FALSE,"SA"}</definedName>
    <definedName name="_2" localSheetId="5" hidden="1">{#N/A,#N/A,FALSE,"SCA";#N/A,#N/A,FALSE,"NCA";#N/A,#N/A,FALSE,"SAZ";#N/A,#N/A,FALSE,"CAZ";#N/A,#N/A,FALSE,"SNV";#N/A,#N/A,FALSE,"NNV";#N/A,#N/A,FALSE,"PP";#N/A,#N/A,FALSE,"SA"}</definedName>
    <definedName name="_2" localSheetId="7" hidden="1">{#N/A,#N/A,FALSE,"SCA";#N/A,#N/A,FALSE,"NCA";#N/A,#N/A,FALSE,"SAZ";#N/A,#N/A,FALSE,"CAZ";#N/A,#N/A,FALSE,"SNV";#N/A,#N/A,FALSE,"NNV";#N/A,#N/A,FALSE,"PP";#N/A,#N/A,FALSE,"SA"}</definedName>
    <definedName name="_2" localSheetId="3" hidden="1">{#N/A,#N/A,FALSE,"SCA";#N/A,#N/A,FALSE,"NCA";#N/A,#N/A,FALSE,"SAZ";#N/A,#N/A,FALSE,"CAZ";#N/A,#N/A,FALSE,"SNV";#N/A,#N/A,FALSE,"NNV";#N/A,#N/A,FALSE,"PP";#N/A,#N/A,FALSE,"SA"}</definedName>
    <definedName name="_2" localSheetId="47" hidden="1">{#N/A,#N/A,FALSE,"SCA";#N/A,#N/A,FALSE,"NCA";#N/A,#N/A,FALSE,"SAZ";#N/A,#N/A,FALSE,"CAZ";#N/A,#N/A,FALSE,"SNV";#N/A,#N/A,FALSE,"NNV";#N/A,#N/A,FALSE,"PP";#N/A,#N/A,FALSE,"SA"}</definedName>
    <definedName name="_2" hidden="1">{#N/A,#N/A,FALSE,"SCA";#N/A,#N/A,FALSE,"NCA";#N/A,#N/A,FALSE,"SAZ";#N/A,#N/A,FALSE,"CAZ";#N/A,#N/A,FALSE,"SNV";#N/A,#N/A,FALSE,"NNV";#N/A,#N/A,FALSE,"PP";#N/A,#N/A,FALSE,"SA"}</definedName>
    <definedName name="_2__123Graph_ACHART_1" hidden="1">[22]Data!$K$30:$K$228</definedName>
    <definedName name="_2__123Graph_ACHART_12" hidden="1">'[23]summ graf'!$D$9:$HK$9</definedName>
    <definedName name="_2__123Graph_ACHART_2" localSheetId="6" hidden="1">[21]Data!$G$30:$G$229</definedName>
    <definedName name="_2__123Graph_ACHART_2" localSheetId="7" hidden="1">[21]Data!$G$30:$G$229</definedName>
    <definedName name="_2__123Graph_ACHART_2" localSheetId="29" hidden="1">[21]Data!$G$30:$G$229</definedName>
    <definedName name="_2__123Graph_ACHART_2" localSheetId="47" hidden="1">[21]Data!$G$30:$G$229</definedName>
    <definedName name="_2__123Graph_ACHART_2" hidden="1">[22]Data!$G$30:$G$229</definedName>
    <definedName name="_2__123Graph_BYIELD_CURVES" localSheetId="1" hidden="1">[24]Yield_curve!#REF!</definedName>
    <definedName name="_2__123Graph_BYIELD_CURVES" localSheetId="6" hidden="1">[25]Yield_curve!#REF!</definedName>
    <definedName name="_2__123Graph_BYIELD_CURVES" localSheetId="7" hidden="1">[25]Yield_curve!#REF!</definedName>
    <definedName name="_2__123Graph_BYIELD_CURVES" localSheetId="29" hidden="1">[25]Yield_curve!#REF!</definedName>
    <definedName name="_2__123Graph_BYIELD_CURVES" localSheetId="47" hidden="1">[25]Yield_curve!#REF!</definedName>
    <definedName name="_2__123Graph_BYIELD_CURVES" hidden="1">[24]Yield_curve!#REF!</definedName>
    <definedName name="_20"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__123Graph_CCHART_6" hidden="1">[22]Data!#REF!</definedName>
    <definedName name="_203__123Graph_XCHART_1" hidden="1">[22]Data!$B$30:$B$222</definedName>
    <definedName name="_208__123Graph_XCHART_4" hidden="1">[29]Data!$B$30:$B$222</definedName>
    <definedName name="_21" localSheetId="1" hidden="1">{"wp_h4.2",#N/A,FALSE,"WP_H4.2";"wp_h4.3",#N/A,FALSE,"WP_H4.3"}</definedName>
    <definedName name="_21" localSheetId="32" hidden="1">{"wp_h4.2",#N/A,FALSE,"WP_H4.2";"wp_h4.3",#N/A,FALSE,"WP_H4.3"}</definedName>
    <definedName name="_21" localSheetId="6" hidden="1">{"wp_h4.2",#N/A,FALSE,"WP_H4.2";"wp_h4.3",#N/A,FALSE,"WP_H4.3"}</definedName>
    <definedName name="_21" localSheetId="4" hidden="1">{"wp_h4.2",#N/A,FALSE,"WP_H4.2";"wp_h4.3",#N/A,FALSE,"WP_H4.3"}</definedName>
    <definedName name="_21" localSheetId="5" hidden="1">{"wp_h4.2",#N/A,FALSE,"WP_H4.2";"wp_h4.3",#N/A,FALSE,"WP_H4.3"}</definedName>
    <definedName name="_21" localSheetId="7" hidden="1">{"wp_h4.2",#N/A,FALSE,"WP_H4.2";"wp_h4.3",#N/A,FALSE,"WP_H4.3"}</definedName>
    <definedName name="_21" localSheetId="3" hidden="1">{"wp_h4.2",#N/A,FALSE,"WP_H4.2";"wp_h4.3",#N/A,FALSE,"WP_H4.3"}</definedName>
    <definedName name="_21" localSheetId="47" hidden="1">{"wp_h4.2",#N/A,FALSE,"WP_H4.2";"wp_h4.3",#N/A,FALSE,"WP_H4.3"}</definedName>
    <definedName name="_21" hidden="1">{"wp_h4.2",#N/A,FALSE,"WP_H4.2";"wp_h4.3",#N/A,FALSE,"WP_H4.3"}</definedName>
    <definedName name="_21__123Graph_ACHART_1" hidden="1">[28]Data!$K$30:$K$228</definedName>
    <definedName name="_214__123Graph_XCHART_1" hidden="1">[22]Data!$B$30:$B$222</definedName>
    <definedName name="_22" localSheetId="1" hidden="1">{#N/A,#N/A,TRUE,"1990";#N/A,#N/A,TRUE,"1991";#N/A,#N/A,TRUE,"1992";#N/A,#N/A,TRUE,"1993"}</definedName>
    <definedName name="_22" localSheetId="32" hidden="1">{#N/A,#N/A,TRUE,"1990";#N/A,#N/A,TRUE,"1991";#N/A,#N/A,TRUE,"1992";#N/A,#N/A,TRUE,"1993"}</definedName>
    <definedName name="_22" localSheetId="6" hidden="1">{#N/A,#N/A,TRUE,"1990";#N/A,#N/A,TRUE,"1991";#N/A,#N/A,TRUE,"1992";#N/A,#N/A,TRUE,"1993"}</definedName>
    <definedName name="_22" localSheetId="4" hidden="1">{#N/A,#N/A,TRUE,"1990";#N/A,#N/A,TRUE,"1991";#N/A,#N/A,TRUE,"1992";#N/A,#N/A,TRUE,"1993"}</definedName>
    <definedName name="_22" localSheetId="5" hidden="1">{#N/A,#N/A,TRUE,"1990";#N/A,#N/A,TRUE,"1991";#N/A,#N/A,TRUE,"1992";#N/A,#N/A,TRUE,"1993"}</definedName>
    <definedName name="_22" localSheetId="7" hidden="1">{#N/A,#N/A,TRUE,"1990";#N/A,#N/A,TRUE,"1991";#N/A,#N/A,TRUE,"1992";#N/A,#N/A,TRUE,"1993"}</definedName>
    <definedName name="_22" localSheetId="3" hidden="1">{#N/A,#N/A,TRUE,"1990";#N/A,#N/A,TRUE,"1991";#N/A,#N/A,TRUE,"1992";#N/A,#N/A,TRUE,"1993"}</definedName>
    <definedName name="_22" localSheetId="47" hidden="1">{#N/A,#N/A,TRUE,"1990";#N/A,#N/A,TRUE,"1991";#N/A,#N/A,TRUE,"1992";#N/A,#N/A,TRUE,"1993"}</definedName>
    <definedName name="_22" hidden="1">{#N/A,#N/A,TRUE,"1990";#N/A,#N/A,TRUE,"1991";#N/A,#N/A,TRUE,"1992";#N/A,#N/A,TRUE,"1993"}</definedName>
    <definedName name="_22__123Graph_XCHART_1" hidden="1">[22]Data!$B$30:$B$222</definedName>
    <definedName name="_220__123Graph_CCHART_6" hidden="1">[28]Data!#REF!</definedName>
    <definedName name="_220__123Graph_XCHART_2" hidden="1">[22]Data!$B$30:$B$222</definedName>
    <definedName name="_222__123Graph_XCHART_5" hidden="1">[29]Data!$B$30:$B$222</definedName>
    <definedName name="_23"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2__123Graph_XCHART_2" hidden="1">[22]Data!$B$30:$B$222</definedName>
    <definedName name="_236__123Graph_XCHART_6" hidden="1">[29]Data!$B$30:$B$222</definedName>
    <definedName name="_237__123Graph_XCHART_3" hidden="1">[22]Data!$B$30:$B$222</definedName>
    <definedName name="_24"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__123Graph_XCHART_2" hidden="1">[22]Data!$B$30:$B$222</definedName>
    <definedName name="_241__123Graph_XCHART_1" hidden="1">[28]Data!$B$30:$B$222</definedName>
    <definedName name="_25" localSheetId="1" hidden="1">{"ARK_JURIS_FAC",#N/A,FALSE,"Ark_Fuel&amp;Rev"}</definedName>
    <definedName name="_25" localSheetId="32" hidden="1">{"ARK_JURIS_FAC",#N/A,FALSE,"Ark_Fuel&amp;Rev"}</definedName>
    <definedName name="_25" localSheetId="6" hidden="1">{"ARK_JURIS_FAC",#N/A,FALSE,"Ark_Fuel&amp;Rev"}</definedName>
    <definedName name="_25" localSheetId="4" hidden="1">{"ARK_JURIS_FAC",#N/A,FALSE,"Ark_Fuel&amp;Rev"}</definedName>
    <definedName name="_25" localSheetId="5" hidden="1">{"ARK_JURIS_FAC",#N/A,FALSE,"Ark_Fuel&amp;Rev"}</definedName>
    <definedName name="_25" localSheetId="7" hidden="1">{"ARK_JURIS_FAC",#N/A,FALSE,"Ark_Fuel&amp;Rev"}</definedName>
    <definedName name="_25" localSheetId="3" hidden="1">{"ARK_JURIS_FAC",#N/A,FALSE,"Ark_Fuel&amp;Rev"}</definedName>
    <definedName name="_25" localSheetId="47" hidden="1">{"ARK_JURIS_FAC",#N/A,FALSE,"Ark_Fuel&amp;Rev"}</definedName>
    <definedName name="_25" hidden="1">{"ARK_JURIS_FAC",#N/A,FALSE,"Ark_Fuel&amp;Rev"}</definedName>
    <definedName name="_250__123Graph_XCHART_3" hidden="1">[22]Data!$B$30:$B$222</definedName>
    <definedName name="_254__123Graph_XCHART_4" hidden="1">[22]Data!$B$30:$B$222</definedName>
    <definedName name="_26" localSheetId="1" hidden="1">{"OMPA_FAC",#N/A,FALSE,"OMPA FAC"}</definedName>
    <definedName name="_26" localSheetId="32" hidden="1">{"OMPA_FAC",#N/A,FALSE,"OMPA FAC"}</definedName>
    <definedName name="_26" localSheetId="6" hidden="1">{"OMPA_FAC",#N/A,FALSE,"OMPA FAC"}</definedName>
    <definedName name="_26" localSheetId="4" hidden="1">{"OMPA_FAC",#N/A,FALSE,"OMPA FAC"}</definedName>
    <definedName name="_26" localSheetId="5" hidden="1">{"OMPA_FAC",#N/A,FALSE,"OMPA FAC"}</definedName>
    <definedName name="_26" localSheetId="7" hidden="1">{"OMPA_FAC",#N/A,FALSE,"OMPA FAC"}</definedName>
    <definedName name="_26" localSheetId="3" hidden="1">{"OMPA_FAC",#N/A,FALSE,"OMPA FAC"}</definedName>
    <definedName name="_26" localSheetId="47" hidden="1">{"OMPA_FAC",#N/A,FALSE,"OMPA FAC"}</definedName>
    <definedName name="_26" hidden="1">{"OMPA_FAC",#N/A,FALSE,"OMPA FAC"}</definedName>
    <definedName name="_26__123Graph_XCHART_3" hidden="1">[22]Data!$B$30:$B$222</definedName>
    <definedName name="_262__123Graph_XCHART_2" hidden="1">[28]Data!$B$30:$B$222</definedName>
    <definedName name="_268__123Graph_XCHART_4" hidden="1">[22]Data!$B$30:$B$222</definedName>
    <definedName name="_27"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1__123Graph_XCHART_5" hidden="1">[22]Data!$B$30:$B$222</definedName>
    <definedName name="_28" localSheetId="1" hidden="1">{#N/A,#N/A,FALSE,"SCA";#N/A,#N/A,FALSE,"NCA";#N/A,#N/A,FALSE,"SAZ";#N/A,#N/A,FALSE,"CAZ";#N/A,#N/A,FALSE,"SNV";#N/A,#N/A,FALSE,"NNV";#N/A,#N/A,FALSE,"PP";#N/A,#N/A,FALSE,"SA"}</definedName>
    <definedName name="_28" localSheetId="32" hidden="1">{#N/A,#N/A,FALSE,"SCA";#N/A,#N/A,FALSE,"NCA";#N/A,#N/A,FALSE,"SAZ";#N/A,#N/A,FALSE,"CAZ";#N/A,#N/A,FALSE,"SNV";#N/A,#N/A,FALSE,"NNV";#N/A,#N/A,FALSE,"PP";#N/A,#N/A,FALSE,"SA"}</definedName>
    <definedName name="_28" localSheetId="6" hidden="1">{#N/A,#N/A,FALSE,"SCA";#N/A,#N/A,FALSE,"NCA";#N/A,#N/A,FALSE,"SAZ";#N/A,#N/A,FALSE,"CAZ";#N/A,#N/A,FALSE,"SNV";#N/A,#N/A,FALSE,"NNV";#N/A,#N/A,FALSE,"PP";#N/A,#N/A,FALSE,"SA"}</definedName>
    <definedName name="_28" localSheetId="4" hidden="1">{#N/A,#N/A,FALSE,"SCA";#N/A,#N/A,FALSE,"NCA";#N/A,#N/A,FALSE,"SAZ";#N/A,#N/A,FALSE,"CAZ";#N/A,#N/A,FALSE,"SNV";#N/A,#N/A,FALSE,"NNV";#N/A,#N/A,FALSE,"PP";#N/A,#N/A,FALSE,"SA"}</definedName>
    <definedName name="_28" localSheetId="5" hidden="1">{#N/A,#N/A,FALSE,"SCA";#N/A,#N/A,FALSE,"NCA";#N/A,#N/A,FALSE,"SAZ";#N/A,#N/A,FALSE,"CAZ";#N/A,#N/A,FALSE,"SNV";#N/A,#N/A,FALSE,"NNV";#N/A,#N/A,FALSE,"PP";#N/A,#N/A,FALSE,"SA"}</definedName>
    <definedName name="_28" localSheetId="7" hidden="1">{#N/A,#N/A,FALSE,"SCA";#N/A,#N/A,FALSE,"NCA";#N/A,#N/A,FALSE,"SAZ";#N/A,#N/A,FALSE,"CAZ";#N/A,#N/A,FALSE,"SNV";#N/A,#N/A,FALSE,"NNV";#N/A,#N/A,FALSE,"PP";#N/A,#N/A,FALSE,"SA"}</definedName>
    <definedName name="_28" localSheetId="3" hidden="1">{#N/A,#N/A,FALSE,"SCA";#N/A,#N/A,FALSE,"NCA";#N/A,#N/A,FALSE,"SAZ";#N/A,#N/A,FALSE,"CAZ";#N/A,#N/A,FALSE,"SNV";#N/A,#N/A,FALSE,"NNV";#N/A,#N/A,FALSE,"PP";#N/A,#N/A,FALSE,"SA"}</definedName>
    <definedName name="_28" localSheetId="47" hidden="1">{#N/A,#N/A,FALSE,"SCA";#N/A,#N/A,FALSE,"NCA";#N/A,#N/A,FALSE,"SAZ";#N/A,#N/A,FALSE,"CAZ";#N/A,#N/A,FALSE,"SNV";#N/A,#N/A,FALSE,"NNV";#N/A,#N/A,FALSE,"PP";#N/A,#N/A,FALSE,"SA"}</definedName>
    <definedName name="_28" hidden="1">{#N/A,#N/A,FALSE,"SCA";#N/A,#N/A,FALSE,"NCA";#N/A,#N/A,FALSE,"SAZ";#N/A,#N/A,FALSE,"CAZ";#N/A,#N/A,FALSE,"SNV";#N/A,#N/A,FALSE,"NNV";#N/A,#N/A,FALSE,"PP";#N/A,#N/A,FALSE,"SA"}</definedName>
    <definedName name="_28__123Graph_ACHART_2" hidden="1">[29]Data!$G$30:$G$229</definedName>
    <definedName name="_28__123Graph_XCHART_4" hidden="1">[22]Data!$B$30:$B$222</definedName>
    <definedName name="_283__123Graph_XCHART_3" hidden="1">[28]Data!$B$30:$B$222</definedName>
    <definedName name="_286__123Graph_XCHART_5" hidden="1">[22]Data!$B$30:$B$222</definedName>
    <definedName name="_288__123Graph_XCHART_6" hidden="1">[22]Data!$B$30:$B$222</definedName>
    <definedName name="_29"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LTD_EFFECTIVE">[30]A!$B$1:$T$36</definedName>
    <definedName name="_2S_0_Regressio" localSheetId="1" hidden="1">#REF!</definedName>
    <definedName name="_2S_0_Regressio" localSheetId="5" hidden="1">#REF!</definedName>
    <definedName name="_2S_0_Regressio" localSheetId="3" hidden="1">#REF!</definedName>
    <definedName name="_2S_0_Regressio" localSheetId="29" hidden="1">#REF!</definedName>
    <definedName name="_2S_0_Regressio" hidden="1">#REF!</definedName>
    <definedName name="_3" localSheetId="1" hidden="1">{#N/A,#N/A,FALSE,"SCA";#N/A,#N/A,FALSE,"NCA";#N/A,#N/A,FALSE,"SAZ";#N/A,#N/A,FALSE,"CAZ";#N/A,#N/A,FALSE,"SNV";#N/A,#N/A,FALSE,"NNV";#N/A,#N/A,FALSE,"PP";#N/A,#N/A,FALSE,"SA"}</definedName>
    <definedName name="_3" localSheetId="32" hidden="1">{#N/A,#N/A,FALSE,"SCA";#N/A,#N/A,FALSE,"NCA";#N/A,#N/A,FALSE,"SAZ";#N/A,#N/A,FALSE,"CAZ";#N/A,#N/A,FALSE,"SNV";#N/A,#N/A,FALSE,"NNV";#N/A,#N/A,FALSE,"PP";#N/A,#N/A,FALSE,"SA"}</definedName>
    <definedName name="_3" localSheetId="6" hidden="1">{#N/A,#N/A,FALSE,"SCA";#N/A,#N/A,FALSE,"NCA";#N/A,#N/A,FALSE,"SAZ";#N/A,#N/A,FALSE,"CAZ";#N/A,#N/A,FALSE,"SNV";#N/A,#N/A,FALSE,"NNV";#N/A,#N/A,FALSE,"PP";#N/A,#N/A,FALSE,"SA"}</definedName>
    <definedName name="_3" localSheetId="4" hidden="1">{#N/A,#N/A,FALSE,"SCA";#N/A,#N/A,FALSE,"NCA";#N/A,#N/A,FALSE,"SAZ";#N/A,#N/A,FALSE,"CAZ";#N/A,#N/A,FALSE,"SNV";#N/A,#N/A,FALSE,"NNV";#N/A,#N/A,FALSE,"PP";#N/A,#N/A,FALSE,"SA"}</definedName>
    <definedName name="_3" localSheetId="5" hidden="1">{#N/A,#N/A,FALSE,"SCA";#N/A,#N/A,FALSE,"NCA";#N/A,#N/A,FALSE,"SAZ";#N/A,#N/A,FALSE,"CAZ";#N/A,#N/A,FALSE,"SNV";#N/A,#N/A,FALSE,"NNV";#N/A,#N/A,FALSE,"PP";#N/A,#N/A,FALSE,"SA"}</definedName>
    <definedName name="_3" localSheetId="7" hidden="1">{#N/A,#N/A,FALSE,"SCA";#N/A,#N/A,FALSE,"NCA";#N/A,#N/A,FALSE,"SAZ";#N/A,#N/A,FALSE,"CAZ";#N/A,#N/A,FALSE,"SNV";#N/A,#N/A,FALSE,"NNV";#N/A,#N/A,FALSE,"PP";#N/A,#N/A,FALSE,"SA"}</definedName>
    <definedName name="_3" localSheetId="3" hidden="1">{#N/A,#N/A,FALSE,"SCA";#N/A,#N/A,FALSE,"NCA";#N/A,#N/A,FALSE,"SAZ";#N/A,#N/A,FALSE,"CAZ";#N/A,#N/A,FALSE,"SNV";#N/A,#N/A,FALSE,"NNV";#N/A,#N/A,FALSE,"PP";#N/A,#N/A,FALSE,"SA"}</definedName>
    <definedName name="_3" localSheetId="47" hidden="1">{#N/A,#N/A,FALSE,"SCA";#N/A,#N/A,FALSE,"NCA";#N/A,#N/A,FALSE,"SAZ";#N/A,#N/A,FALSE,"CAZ";#N/A,#N/A,FALSE,"SNV";#N/A,#N/A,FALSE,"NNV";#N/A,#N/A,FALSE,"PP";#N/A,#N/A,FALSE,"SA"}</definedName>
    <definedName name="_3" hidden="1">{#N/A,#N/A,FALSE,"SCA";#N/A,#N/A,FALSE,"NCA";#N/A,#N/A,FALSE,"SAZ";#N/A,#N/A,FALSE,"CAZ";#N/A,#N/A,FALSE,"SNV";#N/A,#N/A,FALSE,"NNV";#N/A,#N/A,FALSE,"PP";#N/A,#N/A,FALSE,"SA"}</definedName>
    <definedName name="_3__123Graph_ACHART_13" hidden="1">'[23]summ graf'!$D$19:$BM$19</definedName>
    <definedName name="_3__123Graph_ACHART_3" localSheetId="6" hidden="1">[21]Data!$R$30:$R$228</definedName>
    <definedName name="_3__123Graph_ACHART_3" localSheetId="7" hidden="1">[21]Data!$R$30:$R$228</definedName>
    <definedName name="_3__123Graph_ACHART_3" localSheetId="29" hidden="1">[21]Data!$R$30:$R$228</definedName>
    <definedName name="_3__123Graph_ACHART_3" localSheetId="47" hidden="1">[21]Data!$R$30:$R$228</definedName>
    <definedName name="_3__123Graph_ACHART_3" hidden="1">[22]Data!$R$30:$R$228</definedName>
    <definedName name="_3__123Graph_CYIELD_CURVES" localSheetId="1" hidden="1">[24]Yield_curve!#REF!</definedName>
    <definedName name="_3__123Graph_CYIELD_CURVES" localSheetId="6" hidden="1">[25]Yield_curve!#REF!</definedName>
    <definedName name="_3__123Graph_CYIELD_CURVES" localSheetId="7" hidden="1">[25]Yield_curve!#REF!</definedName>
    <definedName name="_3__123Graph_CYIELD_CURVES" localSheetId="29" hidden="1">[25]Yield_curve!#REF!</definedName>
    <definedName name="_3__123Graph_CYIELD_CURVES" localSheetId="47" hidden="1">[25]Yield_curve!#REF!</definedName>
    <definedName name="_3__123Graph_CYIELD_CURVES" hidden="1">[24]Yield_curve!#REF!</definedName>
    <definedName name="_30" localSheetId="1" hidden="1">{"caz2",#N/A,FALSE,"Central Arizona 2";"saz2",#N/A,FALSE,"Southern Arizona 2";"snv2",#N/A,FALSE,"Southern Nevada 2";"nnv2",#N/A,FALSE,"Northern Nevada 2";"sca2",#N/A,FALSE,"Southern California 2";"nca2",#N/A,FALSE,"Northern California 2";"pai2",#N/A,FALSE,"Paiute 2"}</definedName>
    <definedName name="_30" localSheetId="32" hidden="1">{"caz2",#N/A,FALSE,"Central Arizona 2";"saz2",#N/A,FALSE,"Southern Arizona 2";"snv2",#N/A,FALSE,"Southern Nevada 2";"nnv2",#N/A,FALSE,"Northern Nevada 2";"sca2",#N/A,FALSE,"Southern California 2";"nca2",#N/A,FALSE,"Northern California 2";"pai2",#N/A,FALSE,"Paiute 2"}</definedName>
    <definedName name="_30" localSheetId="6" hidden="1">{"caz2",#N/A,FALSE,"Central Arizona 2";"saz2",#N/A,FALSE,"Southern Arizona 2";"snv2",#N/A,FALSE,"Southern Nevada 2";"nnv2",#N/A,FALSE,"Northern Nevada 2";"sca2",#N/A,FALSE,"Southern California 2";"nca2",#N/A,FALSE,"Northern California 2";"pai2",#N/A,FALSE,"Paiute 2"}</definedName>
    <definedName name="_30" localSheetId="4" hidden="1">{"caz2",#N/A,FALSE,"Central Arizona 2";"saz2",#N/A,FALSE,"Southern Arizona 2";"snv2",#N/A,FALSE,"Southern Nevada 2";"nnv2",#N/A,FALSE,"Northern Nevada 2";"sca2",#N/A,FALSE,"Southern California 2";"nca2",#N/A,FALSE,"Northern California 2";"pai2",#N/A,FALSE,"Paiute 2"}</definedName>
    <definedName name="_30" localSheetId="5" hidden="1">{"caz2",#N/A,FALSE,"Central Arizona 2";"saz2",#N/A,FALSE,"Southern Arizona 2";"snv2",#N/A,FALSE,"Southern Nevada 2";"nnv2",#N/A,FALSE,"Northern Nevada 2";"sca2",#N/A,FALSE,"Southern California 2";"nca2",#N/A,FALSE,"Northern California 2";"pai2",#N/A,FALSE,"Paiute 2"}</definedName>
    <definedName name="_30" localSheetId="7" hidden="1">{"caz2",#N/A,FALSE,"Central Arizona 2";"saz2",#N/A,FALSE,"Southern Arizona 2";"snv2",#N/A,FALSE,"Southern Nevada 2";"nnv2",#N/A,FALSE,"Northern Nevada 2";"sca2",#N/A,FALSE,"Southern California 2";"nca2",#N/A,FALSE,"Northern California 2";"pai2",#N/A,FALSE,"Paiute 2"}</definedName>
    <definedName name="_30" localSheetId="3" hidden="1">{"caz2",#N/A,FALSE,"Central Arizona 2";"saz2",#N/A,FALSE,"Southern Arizona 2";"snv2",#N/A,FALSE,"Southern Nevada 2";"nnv2",#N/A,FALSE,"Northern Nevada 2";"sca2",#N/A,FALSE,"Southern California 2";"nca2",#N/A,FALSE,"Northern California 2";"pai2",#N/A,FALSE,"Paiute 2"}</definedName>
    <definedName name="_30" localSheetId="47" hidden="1">{"caz2",#N/A,FALSE,"Central Arizona 2";"saz2",#N/A,FALSE,"Southern Arizona 2";"snv2",#N/A,FALSE,"Southern Nevada 2";"nnv2",#N/A,FALSE,"Northern Nevada 2";"sca2",#N/A,FALSE,"Southern California 2";"nca2",#N/A,FALSE,"Northern California 2";"pai2",#N/A,FALSE,"Paiute 2"}</definedName>
    <definedName name="_30" hidden="1">{"caz2",#N/A,FALSE,"Central Arizona 2";"saz2",#N/A,FALSE,"Southern Arizona 2";"snv2",#N/A,FALSE,"Southern Nevada 2";"nnv2",#N/A,FALSE,"Northern Nevada 2";"sca2",#N/A,FALSE,"Southern California 2";"nca2",#N/A,FALSE,"Northern California 2";"pai2",#N/A,FALSE,"Paiute 2"}</definedName>
    <definedName name="_30__123Graph_XCHART_5" hidden="1">[22]Data!$B$30:$B$222</definedName>
    <definedName name="_304__123Graph_XCHART_4" hidden="1">[28]Data!$B$30:$B$222</definedName>
    <definedName name="_304__123Graph_XCHART_6" hidden="1">[22]Data!$B$30:$B$222</definedName>
    <definedName name="_31" localSheetId="1" hidden="1">{#N/A,#N/A,FALSE,"SCA";#N/A,#N/A,FALSE,"NCA";#N/A,#N/A,FALSE,"SAZ";#N/A,#N/A,FALSE,"CAZ";#N/A,#N/A,FALSE,"SNV";#N/A,#N/A,FALSE,"NNV";#N/A,#N/A,FALSE,"PP";#N/A,#N/A,FALSE,"SA"}</definedName>
    <definedName name="_31" localSheetId="32" hidden="1">{#N/A,#N/A,FALSE,"SCA";#N/A,#N/A,FALSE,"NCA";#N/A,#N/A,FALSE,"SAZ";#N/A,#N/A,FALSE,"CAZ";#N/A,#N/A,FALSE,"SNV";#N/A,#N/A,FALSE,"NNV";#N/A,#N/A,FALSE,"PP";#N/A,#N/A,FALSE,"SA"}</definedName>
    <definedName name="_31" localSheetId="6" hidden="1">{#N/A,#N/A,FALSE,"SCA";#N/A,#N/A,FALSE,"NCA";#N/A,#N/A,FALSE,"SAZ";#N/A,#N/A,FALSE,"CAZ";#N/A,#N/A,FALSE,"SNV";#N/A,#N/A,FALSE,"NNV";#N/A,#N/A,FALSE,"PP";#N/A,#N/A,FALSE,"SA"}</definedName>
    <definedName name="_31" localSheetId="4" hidden="1">{#N/A,#N/A,FALSE,"SCA";#N/A,#N/A,FALSE,"NCA";#N/A,#N/A,FALSE,"SAZ";#N/A,#N/A,FALSE,"CAZ";#N/A,#N/A,FALSE,"SNV";#N/A,#N/A,FALSE,"NNV";#N/A,#N/A,FALSE,"PP";#N/A,#N/A,FALSE,"SA"}</definedName>
    <definedName name="_31" localSheetId="5" hidden="1">{#N/A,#N/A,FALSE,"SCA";#N/A,#N/A,FALSE,"NCA";#N/A,#N/A,FALSE,"SAZ";#N/A,#N/A,FALSE,"CAZ";#N/A,#N/A,FALSE,"SNV";#N/A,#N/A,FALSE,"NNV";#N/A,#N/A,FALSE,"PP";#N/A,#N/A,FALSE,"SA"}</definedName>
    <definedName name="_31" localSheetId="7" hidden="1">{#N/A,#N/A,FALSE,"SCA";#N/A,#N/A,FALSE,"NCA";#N/A,#N/A,FALSE,"SAZ";#N/A,#N/A,FALSE,"CAZ";#N/A,#N/A,FALSE,"SNV";#N/A,#N/A,FALSE,"NNV";#N/A,#N/A,FALSE,"PP";#N/A,#N/A,FALSE,"SA"}</definedName>
    <definedName name="_31" localSheetId="3" hidden="1">{#N/A,#N/A,FALSE,"SCA";#N/A,#N/A,FALSE,"NCA";#N/A,#N/A,FALSE,"SAZ";#N/A,#N/A,FALSE,"CAZ";#N/A,#N/A,FALSE,"SNV";#N/A,#N/A,FALSE,"NNV";#N/A,#N/A,FALSE,"PP";#N/A,#N/A,FALSE,"SA"}</definedName>
    <definedName name="_31" localSheetId="47" hidden="1">{#N/A,#N/A,FALSE,"SCA";#N/A,#N/A,FALSE,"NCA";#N/A,#N/A,FALSE,"SAZ";#N/A,#N/A,FALSE,"CAZ";#N/A,#N/A,FALSE,"SNV";#N/A,#N/A,FALSE,"NNV";#N/A,#N/A,FALSE,"PP";#N/A,#N/A,FALSE,"SA"}</definedName>
    <definedName name="_31" hidden="1">{#N/A,#N/A,FALSE,"SCA";#N/A,#N/A,FALSE,"NCA";#N/A,#N/A,FALSE,"SAZ";#N/A,#N/A,FALSE,"CAZ";#N/A,#N/A,FALSE,"SNV";#N/A,#N/A,FALSE,"NNV";#N/A,#N/A,FALSE,"PP";#N/A,#N/A,FALSE,"SA"}</definedName>
    <definedName name="_32" localSheetId="1" hidden="1">{#N/A,#N/A,FALSE,"SCA";#N/A,#N/A,FALSE,"NCA";#N/A,#N/A,FALSE,"SAZ";#N/A,#N/A,FALSE,"CAZ";#N/A,#N/A,FALSE,"SNV";#N/A,#N/A,FALSE,"NNV";#N/A,#N/A,FALSE,"PP";#N/A,#N/A,FALSE,"SA"}</definedName>
    <definedName name="_32" localSheetId="32" hidden="1">{#N/A,#N/A,FALSE,"SCA";#N/A,#N/A,FALSE,"NCA";#N/A,#N/A,FALSE,"SAZ";#N/A,#N/A,FALSE,"CAZ";#N/A,#N/A,FALSE,"SNV";#N/A,#N/A,FALSE,"NNV";#N/A,#N/A,FALSE,"PP";#N/A,#N/A,FALSE,"SA"}</definedName>
    <definedName name="_32" localSheetId="6" hidden="1">{#N/A,#N/A,FALSE,"SCA";#N/A,#N/A,FALSE,"NCA";#N/A,#N/A,FALSE,"SAZ";#N/A,#N/A,FALSE,"CAZ";#N/A,#N/A,FALSE,"SNV";#N/A,#N/A,FALSE,"NNV";#N/A,#N/A,FALSE,"PP";#N/A,#N/A,FALSE,"SA"}</definedName>
    <definedName name="_32" localSheetId="4" hidden="1">{#N/A,#N/A,FALSE,"SCA";#N/A,#N/A,FALSE,"NCA";#N/A,#N/A,FALSE,"SAZ";#N/A,#N/A,FALSE,"CAZ";#N/A,#N/A,FALSE,"SNV";#N/A,#N/A,FALSE,"NNV";#N/A,#N/A,FALSE,"PP";#N/A,#N/A,FALSE,"SA"}</definedName>
    <definedName name="_32" localSheetId="5" hidden="1">{#N/A,#N/A,FALSE,"SCA";#N/A,#N/A,FALSE,"NCA";#N/A,#N/A,FALSE,"SAZ";#N/A,#N/A,FALSE,"CAZ";#N/A,#N/A,FALSE,"SNV";#N/A,#N/A,FALSE,"NNV";#N/A,#N/A,FALSE,"PP";#N/A,#N/A,FALSE,"SA"}</definedName>
    <definedName name="_32" localSheetId="7" hidden="1">{#N/A,#N/A,FALSE,"SCA";#N/A,#N/A,FALSE,"NCA";#N/A,#N/A,FALSE,"SAZ";#N/A,#N/A,FALSE,"CAZ";#N/A,#N/A,FALSE,"SNV";#N/A,#N/A,FALSE,"NNV";#N/A,#N/A,FALSE,"PP";#N/A,#N/A,FALSE,"SA"}</definedName>
    <definedName name="_32" localSheetId="3" hidden="1">{#N/A,#N/A,FALSE,"SCA";#N/A,#N/A,FALSE,"NCA";#N/A,#N/A,FALSE,"SAZ";#N/A,#N/A,FALSE,"CAZ";#N/A,#N/A,FALSE,"SNV";#N/A,#N/A,FALSE,"NNV";#N/A,#N/A,FALSE,"PP";#N/A,#N/A,FALSE,"SA"}</definedName>
    <definedName name="_32" localSheetId="47" hidden="1">{#N/A,#N/A,FALSE,"SCA";#N/A,#N/A,FALSE,"NCA";#N/A,#N/A,FALSE,"SAZ";#N/A,#N/A,FALSE,"CAZ";#N/A,#N/A,FALSE,"SNV";#N/A,#N/A,FALSE,"NNV";#N/A,#N/A,FALSE,"PP";#N/A,#N/A,FALSE,"SA"}</definedName>
    <definedName name="_32" hidden="1">{#N/A,#N/A,FALSE,"SCA";#N/A,#N/A,FALSE,"NCA";#N/A,#N/A,FALSE,"SAZ";#N/A,#N/A,FALSE,"CAZ";#N/A,#N/A,FALSE,"SNV";#N/A,#N/A,FALSE,"NNV";#N/A,#N/A,FALSE,"PP";#N/A,#N/A,FALSE,"SA"}</definedName>
    <definedName name="_32__123Graph_XCHART_6" hidden="1">[22]Data!$B$30:$B$222</definedName>
    <definedName name="_325__123Graph_XCHART_5" hidden="1">[28]Data!$B$30:$B$222</definedName>
    <definedName name="_33" localSheetId="1" hidden="1">{"ARK_JURIS_FUEL",#N/A,FALSE,"Ark_Fuel&amp;Rev"}</definedName>
    <definedName name="_33" localSheetId="32" hidden="1">{"ARK_JURIS_FUEL",#N/A,FALSE,"Ark_Fuel&amp;Rev"}</definedName>
    <definedName name="_33" localSheetId="6" hidden="1">{"ARK_JURIS_FUEL",#N/A,FALSE,"Ark_Fuel&amp;Rev"}</definedName>
    <definedName name="_33" localSheetId="4" hidden="1">{"ARK_JURIS_FUEL",#N/A,FALSE,"Ark_Fuel&amp;Rev"}</definedName>
    <definedName name="_33" localSheetId="5" hidden="1">{"ARK_JURIS_FUEL",#N/A,FALSE,"Ark_Fuel&amp;Rev"}</definedName>
    <definedName name="_33" localSheetId="7" hidden="1">{"ARK_JURIS_FUEL",#N/A,FALSE,"Ark_Fuel&amp;Rev"}</definedName>
    <definedName name="_33" localSheetId="3" hidden="1">{"ARK_JURIS_FUEL",#N/A,FALSE,"Ark_Fuel&amp;Rev"}</definedName>
    <definedName name="_33" localSheetId="47" hidden="1">{"ARK_JURIS_FUEL",#N/A,FALSE,"Ark_Fuel&amp;Rev"}</definedName>
    <definedName name="_33" hidden="1">{"ARK_JURIS_FUEL",#N/A,FALSE,"Ark_Fuel&amp;Rev"}</definedName>
    <definedName name="_33__123Graph_BCHART_6" hidden="1">[31]Data!#REF!</definedName>
    <definedName name="_34" localSheetId="1" hidden="1">{#N/A,#N/A,FALSE,"SCA";#N/A,#N/A,FALSE,"NCA";#N/A,#N/A,FALSE,"SAZ";#N/A,#N/A,FALSE,"CAZ";#N/A,#N/A,FALSE,"SNV";#N/A,#N/A,FALSE,"NNV";#N/A,#N/A,FALSE,"PP";#N/A,#N/A,FALSE,"SA"}</definedName>
    <definedName name="_34" localSheetId="32" hidden="1">{#N/A,#N/A,FALSE,"SCA";#N/A,#N/A,FALSE,"NCA";#N/A,#N/A,FALSE,"SAZ";#N/A,#N/A,FALSE,"CAZ";#N/A,#N/A,FALSE,"SNV";#N/A,#N/A,FALSE,"NNV";#N/A,#N/A,FALSE,"PP";#N/A,#N/A,FALSE,"SA"}</definedName>
    <definedName name="_34" localSheetId="6" hidden="1">{#N/A,#N/A,FALSE,"SCA";#N/A,#N/A,FALSE,"NCA";#N/A,#N/A,FALSE,"SAZ";#N/A,#N/A,FALSE,"CAZ";#N/A,#N/A,FALSE,"SNV";#N/A,#N/A,FALSE,"NNV";#N/A,#N/A,FALSE,"PP";#N/A,#N/A,FALSE,"SA"}</definedName>
    <definedName name="_34" localSheetId="4" hidden="1">{#N/A,#N/A,FALSE,"SCA";#N/A,#N/A,FALSE,"NCA";#N/A,#N/A,FALSE,"SAZ";#N/A,#N/A,FALSE,"CAZ";#N/A,#N/A,FALSE,"SNV";#N/A,#N/A,FALSE,"NNV";#N/A,#N/A,FALSE,"PP";#N/A,#N/A,FALSE,"SA"}</definedName>
    <definedName name="_34" localSheetId="5" hidden="1">{#N/A,#N/A,FALSE,"SCA";#N/A,#N/A,FALSE,"NCA";#N/A,#N/A,FALSE,"SAZ";#N/A,#N/A,FALSE,"CAZ";#N/A,#N/A,FALSE,"SNV";#N/A,#N/A,FALSE,"NNV";#N/A,#N/A,FALSE,"PP";#N/A,#N/A,FALSE,"SA"}</definedName>
    <definedName name="_34" localSheetId="7" hidden="1">{#N/A,#N/A,FALSE,"SCA";#N/A,#N/A,FALSE,"NCA";#N/A,#N/A,FALSE,"SAZ";#N/A,#N/A,FALSE,"CAZ";#N/A,#N/A,FALSE,"SNV";#N/A,#N/A,FALSE,"NNV";#N/A,#N/A,FALSE,"PP";#N/A,#N/A,FALSE,"SA"}</definedName>
    <definedName name="_34" localSheetId="3" hidden="1">{#N/A,#N/A,FALSE,"SCA";#N/A,#N/A,FALSE,"NCA";#N/A,#N/A,FALSE,"SAZ";#N/A,#N/A,FALSE,"CAZ";#N/A,#N/A,FALSE,"SNV";#N/A,#N/A,FALSE,"NNV";#N/A,#N/A,FALSE,"PP";#N/A,#N/A,FALSE,"SA"}</definedName>
    <definedName name="_34" localSheetId="47" hidden="1">{#N/A,#N/A,FALSE,"SCA";#N/A,#N/A,FALSE,"NCA";#N/A,#N/A,FALSE,"SAZ";#N/A,#N/A,FALSE,"CAZ";#N/A,#N/A,FALSE,"SNV";#N/A,#N/A,FALSE,"NNV";#N/A,#N/A,FALSE,"PP";#N/A,#N/A,FALSE,"SA"}</definedName>
    <definedName name="_34" hidden="1">{#N/A,#N/A,FALSE,"SCA";#N/A,#N/A,FALSE,"NCA";#N/A,#N/A,FALSE,"SAZ";#N/A,#N/A,FALSE,"CAZ";#N/A,#N/A,FALSE,"SNV";#N/A,#N/A,FALSE,"NNV";#N/A,#N/A,FALSE,"PP";#N/A,#N/A,FALSE,"SA"}</definedName>
    <definedName name="_34__123Graph_ACHART_2" hidden="1">[22]Data!$G$30:$G$229</definedName>
    <definedName name="_346__123Graph_XCHART_6" hidden="1">[28]Data!$B$30:$B$222</definedName>
    <definedName name="_35" localSheetId="1" hidden="1">{#N/A,#N/A,TRUE,"1990";#N/A,#N/A,TRUE,"1991";#N/A,#N/A,TRUE,"1992";#N/A,#N/A,TRUE,"1993"}</definedName>
    <definedName name="_35" localSheetId="32" hidden="1">{#N/A,#N/A,TRUE,"1990";#N/A,#N/A,TRUE,"1991";#N/A,#N/A,TRUE,"1992";#N/A,#N/A,TRUE,"1993"}</definedName>
    <definedName name="_35" localSheetId="6" hidden="1">{#N/A,#N/A,TRUE,"1990";#N/A,#N/A,TRUE,"1991";#N/A,#N/A,TRUE,"1992";#N/A,#N/A,TRUE,"1993"}</definedName>
    <definedName name="_35" localSheetId="4" hidden="1">{#N/A,#N/A,TRUE,"1990";#N/A,#N/A,TRUE,"1991";#N/A,#N/A,TRUE,"1992";#N/A,#N/A,TRUE,"1993"}</definedName>
    <definedName name="_35" localSheetId="5" hidden="1">{#N/A,#N/A,TRUE,"1990";#N/A,#N/A,TRUE,"1991";#N/A,#N/A,TRUE,"1992";#N/A,#N/A,TRUE,"1993"}</definedName>
    <definedName name="_35" localSheetId="7" hidden="1">{#N/A,#N/A,TRUE,"1990";#N/A,#N/A,TRUE,"1991";#N/A,#N/A,TRUE,"1992";#N/A,#N/A,TRUE,"1993"}</definedName>
    <definedName name="_35" localSheetId="3" hidden="1">{#N/A,#N/A,TRUE,"1990";#N/A,#N/A,TRUE,"1991";#N/A,#N/A,TRUE,"1992";#N/A,#N/A,TRUE,"1993"}</definedName>
    <definedName name="_35" localSheetId="47" hidden="1">{#N/A,#N/A,TRUE,"1990";#N/A,#N/A,TRUE,"1991";#N/A,#N/A,TRUE,"1992";#N/A,#N/A,TRUE,"1993"}</definedName>
    <definedName name="_35" hidden="1">{#N/A,#N/A,TRUE,"1990";#N/A,#N/A,TRUE,"1991";#N/A,#N/A,TRUE,"1992";#N/A,#N/A,TRUE,"1993"}</definedName>
    <definedName name="_36" localSheetId="1" hidden="1">{"summary",#N/A,TRUE,"E93ADJ";"detail",#N/A,TRUE,"E93ADJ"}</definedName>
    <definedName name="_36" localSheetId="32" hidden="1">{"summary",#N/A,TRUE,"E93ADJ";"detail",#N/A,TRUE,"E93ADJ"}</definedName>
    <definedName name="_36" localSheetId="6" hidden="1">{"summary",#N/A,TRUE,"E93ADJ";"detail",#N/A,TRUE,"E93ADJ"}</definedName>
    <definedName name="_36" localSheetId="4" hidden="1">{"summary",#N/A,TRUE,"E93ADJ";"detail",#N/A,TRUE,"E93ADJ"}</definedName>
    <definedName name="_36" localSheetId="5" hidden="1">{"summary",#N/A,TRUE,"E93ADJ";"detail",#N/A,TRUE,"E93ADJ"}</definedName>
    <definedName name="_36" localSheetId="7" hidden="1">{"summary",#N/A,TRUE,"E93ADJ";"detail",#N/A,TRUE,"E93ADJ"}</definedName>
    <definedName name="_36" localSheetId="3" hidden="1">{"summary",#N/A,TRUE,"E93ADJ";"detail",#N/A,TRUE,"E93ADJ"}</definedName>
    <definedName name="_36" localSheetId="47" hidden="1">{"summary",#N/A,TRUE,"E93ADJ";"detail",#N/A,TRUE,"E93ADJ"}</definedName>
    <definedName name="_36" hidden="1">{"summary",#N/A,TRUE,"E93ADJ";"detail",#N/A,TRUE,"E93ADJ"}</definedName>
    <definedName name="_36__123Graph_ACHART_2" hidden="1">[22]Data!$G$30:$G$229</definedName>
    <definedName name="_3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8"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9" localSheetId="1" hidden="1">{"summary",#N/A,TRUE,"E93ADJ";"detail",#N/A,TRUE,"E93ADJ"}</definedName>
    <definedName name="_39" localSheetId="32" hidden="1">{"summary",#N/A,TRUE,"E93ADJ";"detail",#N/A,TRUE,"E93ADJ"}</definedName>
    <definedName name="_39" localSheetId="6" hidden="1">{"summary",#N/A,TRUE,"E93ADJ";"detail",#N/A,TRUE,"E93ADJ"}</definedName>
    <definedName name="_39" localSheetId="4" hidden="1">{"summary",#N/A,TRUE,"E93ADJ";"detail",#N/A,TRUE,"E93ADJ"}</definedName>
    <definedName name="_39" localSheetId="5" hidden="1">{"summary",#N/A,TRUE,"E93ADJ";"detail",#N/A,TRUE,"E93ADJ"}</definedName>
    <definedName name="_39" localSheetId="7" hidden="1">{"summary",#N/A,TRUE,"E93ADJ";"detail",#N/A,TRUE,"E93ADJ"}</definedName>
    <definedName name="_39" localSheetId="3" hidden="1">{"summary",#N/A,TRUE,"E93ADJ";"detail",#N/A,TRUE,"E93ADJ"}</definedName>
    <definedName name="_39" localSheetId="47" hidden="1">{"summary",#N/A,TRUE,"E93ADJ";"detail",#N/A,TRUE,"E93ADJ"}</definedName>
    <definedName name="_39" hidden="1">{"summary",#N/A,TRUE,"E93ADJ";"detail",#N/A,TRUE,"E93ADJ"}</definedName>
    <definedName name="_3SERIES_R" localSheetId="6">#REF!</definedName>
    <definedName name="_3SERIES_R" localSheetId="3">#REF!</definedName>
    <definedName name="_3SERIES_R">#REF!</definedName>
    <definedName name="_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__123Graph_ACHART_14" hidden="1">'[23]summ graf'!$D$24:$BM$24</definedName>
    <definedName name="_4__123Graph_ACHART_2" hidden="1">[22]Data!$G$30:$G$229</definedName>
    <definedName name="_4__123Graph_ACHART_4" localSheetId="6" hidden="1">[21]Data!$E$30:$E$233</definedName>
    <definedName name="_4__123Graph_ACHART_4" localSheetId="7" hidden="1">[21]Data!$E$30:$E$233</definedName>
    <definedName name="_4__123Graph_ACHART_4" localSheetId="29" hidden="1">[21]Data!$E$30:$E$233</definedName>
    <definedName name="_4__123Graph_ACHART_4" localSheetId="47" hidden="1">[21]Data!$E$30:$E$233</definedName>
    <definedName name="_4__123Graph_ACHART_4" hidden="1">[22]Data!$E$30:$E$233</definedName>
    <definedName name="_4__123Graph_DYIELD_CURVES" localSheetId="1" hidden="1">[24]Yield_curve!#REF!</definedName>
    <definedName name="_4__123Graph_DYIELD_CURVES" localSheetId="6" hidden="1">[25]Yield_curve!#REF!</definedName>
    <definedName name="_4__123Graph_DYIELD_CURVES" localSheetId="7" hidden="1">[25]Yield_curve!#REF!</definedName>
    <definedName name="_4__123Graph_DYIELD_CURVES" localSheetId="29" hidden="1">[25]Yield_curve!#REF!</definedName>
    <definedName name="_4__123Graph_DYIELD_CURVES" localSheetId="47" hidden="1">[25]Yield_curve!#REF!</definedName>
    <definedName name="_4__123Graph_DYIELD_CURVES" hidden="1">[24]Yield_curve!#REF!</definedName>
    <definedName name="_4_0__123Grap" localSheetId="1" hidden="1">'[26]Plant in Ser'!#REF!</definedName>
    <definedName name="_4_0__123Grap" localSheetId="6" hidden="1">'[27]Plant in Ser'!#REF!</definedName>
    <definedName name="_4_0__123Grap" localSheetId="7" hidden="1">'[27]Plant in Ser'!#REF!</definedName>
    <definedName name="_4_0__123Grap" localSheetId="29" hidden="1">'[27]Plant in Ser'!#REF!</definedName>
    <definedName name="_4_0__123Grap" localSheetId="47" hidden="1">'[27]Plant in Ser'!#REF!</definedName>
    <definedName name="_4_0__123Grap" hidden="1">'[26]Plant in Ser'!#REF!</definedName>
    <definedName name="_40" localSheetId="1" hidden="1">{"ARK_JURIS_FUEL",#N/A,FALSE,"Ark_Fuel&amp;Rev"}</definedName>
    <definedName name="_40" localSheetId="32" hidden="1">{"ARK_JURIS_FUEL",#N/A,FALSE,"Ark_Fuel&amp;Rev"}</definedName>
    <definedName name="_40" localSheetId="6" hidden="1">{"ARK_JURIS_FUEL",#N/A,FALSE,"Ark_Fuel&amp;Rev"}</definedName>
    <definedName name="_40" localSheetId="4" hidden="1">{"ARK_JURIS_FUEL",#N/A,FALSE,"Ark_Fuel&amp;Rev"}</definedName>
    <definedName name="_40" localSheetId="5" hidden="1">{"ARK_JURIS_FUEL",#N/A,FALSE,"Ark_Fuel&amp;Rev"}</definedName>
    <definedName name="_40" localSheetId="7" hidden="1">{"ARK_JURIS_FUEL",#N/A,FALSE,"Ark_Fuel&amp;Rev"}</definedName>
    <definedName name="_40" localSheetId="3" hidden="1">{"ARK_JURIS_FUEL",#N/A,FALSE,"Ark_Fuel&amp;Rev"}</definedName>
    <definedName name="_40" localSheetId="47" hidden="1">{"ARK_JURIS_FUEL",#N/A,FALSE,"Ark_Fuel&amp;Rev"}</definedName>
    <definedName name="_40" hidden="1">{"ARK_JURIS_FUEL",#N/A,FALSE,"Ark_Fuel&amp;Rev"}</definedName>
    <definedName name="_41"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2" localSheetId="1" hidden="1">{#N/A,#N/A,TRUE,"1990";#N/A,#N/A,TRUE,"1991";#N/A,#N/A,TRUE,"1992";#N/A,#N/A,TRUE,"1993"}</definedName>
    <definedName name="_42" localSheetId="32" hidden="1">{#N/A,#N/A,TRUE,"1990";#N/A,#N/A,TRUE,"1991";#N/A,#N/A,TRUE,"1992";#N/A,#N/A,TRUE,"1993"}</definedName>
    <definedName name="_42" localSheetId="6" hidden="1">{#N/A,#N/A,TRUE,"1990";#N/A,#N/A,TRUE,"1991";#N/A,#N/A,TRUE,"1992";#N/A,#N/A,TRUE,"1993"}</definedName>
    <definedName name="_42" localSheetId="4" hidden="1">{#N/A,#N/A,TRUE,"1990";#N/A,#N/A,TRUE,"1991";#N/A,#N/A,TRUE,"1992";#N/A,#N/A,TRUE,"1993"}</definedName>
    <definedName name="_42" localSheetId="5" hidden="1">{#N/A,#N/A,TRUE,"1990";#N/A,#N/A,TRUE,"1991";#N/A,#N/A,TRUE,"1992";#N/A,#N/A,TRUE,"1993"}</definedName>
    <definedName name="_42" localSheetId="7" hidden="1">{#N/A,#N/A,TRUE,"1990";#N/A,#N/A,TRUE,"1991";#N/A,#N/A,TRUE,"1992";#N/A,#N/A,TRUE,"1993"}</definedName>
    <definedName name="_42" localSheetId="3" hidden="1">{#N/A,#N/A,TRUE,"1990";#N/A,#N/A,TRUE,"1991";#N/A,#N/A,TRUE,"1992";#N/A,#N/A,TRUE,"1993"}</definedName>
    <definedName name="_42" localSheetId="47" hidden="1">{#N/A,#N/A,TRUE,"1990";#N/A,#N/A,TRUE,"1991";#N/A,#N/A,TRUE,"1992";#N/A,#N/A,TRUE,"1993"}</definedName>
    <definedName name="_42" hidden="1">{#N/A,#N/A,TRUE,"1990";#N/A,#N/A,TRUE,"1991";#N/A,#N/A,TRUE,"1992";#N/A,#N/A,TRUE,"1993"}</definedName>
    <definedName name="_42__123Graph_ACHART_2" hidden="1">[28]Data!$G$30:$G$229</definedName>
    <definedName name="_42__123Graph_ACHART_3" hidden="1">[29]Data!$R$30:$R$228</definedName>
    <definedName name="_42__123Graph_CCHART_6" localSheetId="6" hidden="1">[31]Data!#REF!</definedName>
    <definedName name="_42__123Graph_CCHART_6" localSheetId="7" hidden="1">[31]Data!#REF!</definedName>
    <definedName name="_42__123Graph_CCHART_6" localSheetId="3" hidden="1">[31]Data!#REF!</definedName>
    <definedName name="_42__123Graph_CCHART_6" localSheetId="29" hidden="1">[31]Data!#REF!</definedName>
    <definedName name="_42__123Graph_CCHART_6" hidden="1">[31]Data!#REF!</definedName>
    <definedName name="_43" localSheetId="1" hidden="1">{#N/A,#N/A,TRUE,"1990";#N/A,#N/A,TRUE,"1991";#N/A,#N/A,TRUE,"1992";#N/A,#N/A,TRUE,"1993"}</definedName>
    <definedName name="_43" localSheetId="32" hidden="1">{#N/A,#N/A,TRUE,"1990";#N/A,#N/A,TRUE,"1991";#N/A,#N/A,TRUE,"1992";#N/A,#N/A,TRUE,"1993"}</definedName>
    <definedName name="_43" localSheetId="6" hidden="1">{#N/A,#N/A,TRUE,"1990";#N/A,#N/A,TRUE,"1991";#N/A,#N/A,TRUE,"1992";#N/A,#N/A,TRUE,"1993"}</definedName>
    <definedName name="_43" localSheetId="4" hidden="1">{#N/A,#N/A,TRUE,"1990";#N/A,#N/A,TRUE,"1991";#N/A,#N/A,TRUE,"1992";#N/A,#N/A,TRUE,"1993"}</definedName>
    <definedName name="_43" localSheetId="5" hidden="1">{#N/A,#N/A,TRUE,"1990";#N/A,#N/A,TRUE,"1991";#N/A,#N/A,TRUE,"1992";#N/A,#N/A,TRUE,"1993"}</definedName>
    <definedName name="_43" localSheetId="7" hidden="1">{#N/A,#N/A,TRUE,"1990";#N/A,#N/A,TRUE,"1991";#N/A,#N/A,TRUE,"1992";#N/A,#N/A,TRUE,"1993"}</definedName>
    <definedName name="_43" localSheetId="3" hidden="1">{#N/A,#N/A,TRUE,"1990";#N/A,#N/A,TRUE,"1991";#N/A,#N/A,TRUE,"1992";#N/A,#N/A,TRUE,"1993"}</definedName>
    <definedName name="_43" localSheetId="47" hidden="1">{#N/A,#N/A,TRUE,"1990";#N/A,#N/A,TRUE,"1991";#N/A,#N/A,TRUE,"1992";#N/A,#N/A,TRUE,"1993"}</definedName>
    <definedName name="_43" hidden="1">{#N/A,#N/A,TRUE,"1990";#N/A,#N/A,TRUE,"1991";#N/A,#N/A,TRUE,"1992";#N/A,#N/A,TRUE,"1993"}</definedName>
    <definedName name="_44" localSheetId="1" hidden="1">{"summary",#N/A,TRUE,"E93ADJ";"detail",#N/A,TRUE,"E93ADJ"}</definedName>
    <definedName name="_44" localSheetId="32" hidden="1">{"summary",#N/A,TRUE,"E93ADJ";"detail",#N/A,TRUE,"E93ADJ"}</definedName>
    <definedName name="_44" localSheetId="6" hidden="1">{"summary",#N/A,TRUE,"E93ADJ";"detail",#N/A,TRUE,"E93ADJ"}</definedName>
    <definedName name="_44" localSheetId="4" hidden="1">{"summary",#N/A,TRUE,"E93ADJ";"detail",#N/A,TRUE,"E93ADJ"}</definedName>
    <definedName name="_44" localSheetId="5" hidden="1">{"summary",#N/A,TRUE,"E93ADJ";"detail",#N/A,TRUE,"E93ADJ"}</definedName>
    <definedName name="_44" localSheetId="7" hidden="1">{"summary",#N/A,TRUE,"E93ADJ";"detail",#N/A,TRUE,"E93ADJ"}</definedName>
    <definedName name="_44" localSheetId="3" hidden="1">{"summary",#N/A,TRUE,"E93ADJ";"detail",#N/A,TRUE,"E93ADJ"}</definedName>
    <definedName name="_44" localSheetId="47" hidden="1">{"summary",#N/A,TRUE,"E93ADJ";"detail",#N/A,TRUE,"E93ADJ"}</definedName>
    <definedName name="_44" hidden="1">{"summary",#N/A,TRUE,"E93ADJ";"detail",#N/A,TRUE,"E93ADJ"}</definedName>
    <definedName name="_45" localSheetId="1" hidden="1">{"summary",#N/A,TRUE,"E93ADJ";"detail",#N/A,TRUE,"E93ADJ"}</definedName>
    <definedName name="_45" localSheetId="32" hidden="1">{"summary",#N/A,TRUE,"E93ADJ";"detail",#N/A,TRUE,"E93ADJ"}</definedName>
    <definedName name="_45" localSheetId="6" hidden="1">{"summary",#N/A,TRUE,"E93ADJ";"detail",#N/A,TRUE,"E93ADJ"}</definedName>
    <definedName name="_45" localSheetId="4" hidden="1">{"summary",#N/A,TRUE,"E93ADJ";"detail",#N/A,TRUE,"E93ADJ"}</definedName>
    <definedName name="_45" localSheetId="5" hidden="1">{"summary",#N/A,TRUE,"E93ADJ";"detail",#N/A,TRUE,"E93ADJ"}</definedName>
    <definedName name="_45" localSheetId="7" hidden="1">{"summary",#N/A,TRUE,"E93ADJ";"detail",#N/A,TRUE,"E93ADJ"}</definedName>
    <definedName name="_45" localSheetId="3" hidden="1">{"summary",#N/A,TRUE,"E93ADJ";"detail",#N/A,TRUE,"E93ADJ"}</definedName>
    <definedName name="_45" localSheetId="47" hidden="1">{"summary",#N/A,TRUE,"E93ADJ";"detail",#N/A,TRUE,"E93ADJ"}</definedName>
    <definedName name="_45" hidden="1">{"summary",#N/A,TRUE,"E93ADJ";"detail",#N/A,TRUE,"E93ADJ"}</definedName>
    <definedName name="_46" localSheetId="1" hidden="1">{#N/A,#N/A,TRUE,"1990";#N/A,#N/A,TRUE,"1991";#N/A,#N/A,TRUE,"1992";#N/A,#N/A,TRUE,"1993"}</definedName>
    <definedName name="_46" localSheetId="32" hidden="1">{#N/A,#N/A,TRUE,"1990";#N/A,#N/A,TRUE,"1991";#N/A,#N/A,TRUE,"1992";#N/A,#N/A,TRUE,"1993"}</definedName>
    <definedName name="_46" localSheetId="6" hidden="1">{#N/A,#N/A,TRUE,"1990";#N/A,#N/A,TRUE,"1991";#N/A,#N/A,TRUE,"1992";#N/A,#N/A,TRUE,"1993"}</definedName>
    <definedName name="_46" localSheetId="4" hidden="1">{#N/A,#N/A,TRUE,"1990";#N/A,#N/A,TRUE,"1991";#N/A,#N/A,TRUE,"1992";#N/A,#N/A,TRUE,"1993"}</definedName>
    <definedName name="_46" localSheetId="5" hidden="1">{#N/A,#N/A,TRUE,"1990";#N/A,#N/A,TRUE,"1991";#N/A,#N/A,TRUE,"1992";#N/A,#N/A,TRUE,"1993"}</definedName>
    <definedName name="_46" localSheetId="7" hidden="1">{#N/A,#N/A,TRUE,"1990";#N/A,#N/A,TRUE,"1991";#N/A,#N/A,TRUE,"1992";#N/A,#N/A,TRUE,"1993"}</definedName>
    <definedName name="_46" localSheetId="3" hidden="1">{#N/A,#N/A,TRUE,"1990";#N/A,#N/A,TRUE,"1991";#N/A,#N/A,TRUE,"1992";#N/A,#N/A,TRUE,"1993"}</definedName>
    <definedName name="_46" localSheetId="47" hidden="1">{#N/A,#N/A,TRUE,"1990";#N/A,#N/A,TRUE,"1991";#N/A,#N/A,TRUE,"1992";#N/A,#N/A,TRUE,"1993"}</definedName>
    <definedName name="_46" hidden="1">{#N/A,#N/A,TRUE,"1990";#N/A,#N/A,TRUE,"1991";#N/A,#N/A,TRUE,"1992";#N/A,#N/A,TRUE,"1993"}</definedName>
    <definedName name="_47" localSheetId="1" hidden="1">{"summary",#N/A,TRUE,"E93ADJ";"detail",#N/A,TRUE,"E93ADJ"}</definedName>
    <definedName name="_47" localSheetId="32" hidden="1">{"summary",#N/A,TRUE,"E93ADJ";"detail",#N/A,TRUE,"E93ADJ"}</definedName>
    <definedName name="_47" localSheetId="6" hidden="1">{"summary",#N/A,TRUE,"E93ADJ";"detail",#N/A,TRUE,"E93ADJ"}</definedName>
    <definedName name="_47" localSheetId="4" hidden="1">{"summary",#N/A,TRUE,"E93ADJ";"detail",#N/A,TRUE,"E93ADJ"}</definedName>
    <definedName name="_47" localSheetId="5" hidden="1">{"summary",#N/A,TRUE,"E93ADJ";"detail",#N/A,TRUE,"E93ADJ"}</definedName>
    <definedName name="_47" localSheetId="7" hidden="1">{"summary",#N/A,TRUE,"E93ADJ";"detail",#N/A,TRUE,"E93ADJ"}</definedName>
    <definedName name="_47" localSheetId="3" hidden="1">{"summary",#N/A,TRUE,"E93ADJ";"detail",#N/A,TRUE,"E93ADJ"}</definedName>
    <definedName name="_47" localSheetId="47" hidden="1">{"summary",#N/A,TRUE,"E93ADJ";"detail",#N/A,TRUE,"E93ADJ"}</definedName>
    <definedName name="_47" hidden="1">{"summary",#N/A,TRUE,"E93ADJ";"detail",#N/A,TRUE,"E93ADJ"}</definedName>
    <definedName name="_48" localSheetId="1" hidden="1">{#N/A,#N/A,TRUE,"1990";#N/A,#N/A,TRUE,"1991";#N/A,#N/A,TRUE,"1992";#N/A,#N/A,TRUE,"1993"}</definedName>
    <definedName name="_48" localSheetId="32" hidden="1">{#N/A,#N/A,TRUE,"1990";#N/A,#N/A,TRUE,"1991";#N/A,#N/A,TRUE,"1992";#N/A,#N/A,TRUE,"1993"}</definedName>
    <definedName name="_48" localSheetId="6" hidden="1">{#N/A,#N/A,TRUE,"1990";#N/A,#N/A,TRUE,"1991";#N/A,#N/A,TRUE,"1992";#N/A,#N/A,TRUE,"1993"}</definedName>
    <definedName name="_48" localSheetId="4" hidden="1">{#N/A,#N/A,TRUE,"1990";#N/A,#N/A,TRUE,"1991";#N/A,#N/A,TRUE,"1992";#N/A,#N/A,TRUE,"1993"}</definedName>
    <definedName name="_48" localSheetId="5" hidden="1">{#N/A,#N/A,TRUE,"1990";#N/A,#N/A,TRUE,"1991";#N/A,#N/A,TRUE,"1992";#N/A,#N/A,TRUE,"1993"}</definedName>
    <definedName name="_48" localSheetId="7" hidden="1">{#N/A,#N/A,TRUE,"1990";#N/A,#N/A,TRUE,"1991";#N/A,#N/A,TRUE,"1992";#N/A,#N/A,TRUE,"1993"}</definedName>
    <definedName name="_48" localSheetId="3" hidden="1">{#N/A,#N/A,TRUE,"1990";#N/A,#N/A,TRUE,"1991";#N/A,#N/A,TRUE,"1992";#N/A,#N/A,TRUE,"1993"}</definedName>
    <definedName name="_48" localSheetId="47" hidden="1">{#N/A,#N/A,TRUE,"1990";#N/A,#N/A,TRUE,"1991";#N/A,#N/A,TRUE,"1992";#N/A,#N/A,TRUE,"1993"}</definedName>
    <definedName name="_48" hidden="1">{#N/A,#N/A,TRUE,"1990";#N/A,#N/A,TRUE,"1991";#N/A,#N/A,TRUE,"1992";#N/A,#N/A,TRUE,"1993"}</definedName>
    <definedName name="_49" localSheetId="1" hidden="1">{#N/A,#N/A,TRUE,"1990";#N/A,#N/A,TRUE,"1991";#N/A,#N/A,TRUE,"1992";#N/A,#N/A,TRUE,"1993"}</definedName>
    <definedName name="_49" localSheetId="32" hidden="1">{#N/A,#N/A,TRUE,"1990";#N/A,#N/A,TRUE,"1991";#N/A,#N/A,TRUE,"1992";#N/A,#N/A,TRUE,"1993"}</definedName>
    <definedName name="_49" localSheetId="6" hidden="1">{#N/A,#N/A,TRUE,"1990";#N/A,#N/A,TRUE,"1991";#N/A,#N/A,TRUE,"1992";#N/A,#N/A,TRUE,"1993"}</definedName>
    <definedName name="_49" localSheetId="4" hidden="1">{#N/A,#N/A,TRUE,"1990";#N/A,#N/A,TRUE,"1991";#N/A,#N/A,TRUE,"1992";#N/A,#N/A,TRUE,"1993"}</definedName>
    <definedName name="_49" localSheetId="5" hidden="1">{#N/A,#N/A,TRUE,"1990";#N/A,#N/A,TRUE,"1991";#N/A,#N/A,TRUE,"1992";#N/A,#N/A,TRUE,"1993"}</definedName>
    <definedName name="_49" localSheetId="7" hidden="1">{#N/A,#N/A,TRUE,"1990";#N/A,#N/A,TRUE,"1991";#N/A,#N/A,TRUE,"1992";#N/A,#N/A,TRUE,"1993"}</definedName>
    <definedName name="_49" localSheetId="3" hidden="1">{#N/A,#N/A,TRUE,"1990";#N/A,#N/A,TRUE,"1991";#N/A,#N/A,TRUE,"1992";#N/A,#N/A,TRUE,"1993"}</definedName>
    <definedName name="_49" localSheetId="47" hidden="1">{#N/A,#N/A,TRUE,"1990";#N/A,#N/A,TRUE,"1991";#N/A,#N/A,TRUE,"1992";#N/A,#N/A,TRUE,"1993"}</definedName>
    <definedName name="_49" hidden="1">{#N/A,#N/A,TRUE,"1990";#N/A,#N/A,TRUE,"1991";#N/A,#N/A,TRUE,"1992";#N/A,#N/A,TRUE,"1993"}</definedName>
    <definedName name="_4SERIES_T" localSheetId="6">#REF!</definedName>
    <definedName name="_4SERIES_T" localSheetId="3">#REF!</definedName>
    <definedName name="_4SERIES_T">#REF!</definedName>
    <definedName name="_5" localSheetId="1" hidden="1">{#N/A,#N/A,FALSE,"SCA";#N/A,#N/A,FALSE,"NCA";#N/A,#N/A,FALSE,"SAZ";#N/A,#N/A,FALSE,"CAZ";#N/A,#N/A,FALSE,"SNV";#N/A,#N/A,FALSE,"NNV";#N/A,#N/A,FALSE,"PP";#N/A,#N/A,FALSE,"SA"}</definedName>
    <definedName name="_5" localSheetId="32" hidden="1">{#N/A,#N/A,FALSE,"SCA";#N/A,#N/A,FALSE,"NCA";#N/A,#N/A,FALSE,"SAZ";#N/A,#N/A,FALSE,"CAZ";#N/A,#N/A,FALSE,"SNV";#N/A,#N/A,FALSE,"NNV";#N/A,#N/A,FALSE,"PP";#N/A,#N/A,FALSE,"SA"}</definedName>
    <definedName name="_5" localSheetId="6" hidden="1">{#N/A,#N/A,FALSE,"SCA";#N/A,#N/A,FALSE,"NCA";#N/A,#N/A,FALSE,"SAZ";#N/A,#N/A,FALSE,"CAZ";#N/A,#N/A,FALSE,"SNV";#N/A,#N/A,FALSE,"NNV";#N/A,#N/A,FALSE,"PP";#N/A,#N/A,FALSE,"SA"}</definedName>
    <definedName name="_5" localSheetId="4" hidden="1">{#N/A,#N/A,FALSE,"SCA";#N/A,#N/A,FALSE,"NCA";#N/A,#N/A,FALSE,"SAZ";#N/A,#N/A,FALSE,"CAZ";#N/A,#N/A,FALSE,"SNV";#N/A,#N/A,FALSE,"NNV";#N/A,#N/A,FALSE,"PP";#N/A,#N/A,FALSE,"SA"}</definedName>
    <definedName name="_5" localSheetId="5" hidden="1">{#N/A,#N/A,FALSE,"SCA";#N/A,#N/A,FALSE,"NCA";#N/A,#N/A,FALSE,"SAZ";#N/A,#N/A,FALSE,"CAZ";#N/A,#N/A,FALSE,"SNV";#N/A,#N/A,FALSE,"NNV";#N/A,#N/A,FALSE,"PP";#N/A,#N/A,FALSE,"SA"}</definedName>
    <definedName name="_5" localSheetId="7" hidden="1">{#N/A,#N/A,FALSE,"SCA";#N/A,#N/A,FALSE,"NCA";#N/A,#N/A,FALSE,"SAZ";#N/A,#N/A,FALSE,"CAZ";#N/A,#N/A,FALSE,"SNV";#N/A,#N/A,FALSE,"NNV";#N/A,#N/A,FALSE,"PP";#N/A,#N/A,FALSE,"SA"}</definedName>
    <definedName name="_5" localSheetId="3" hidden="1">{#N/A,#N/A,FALSE,"SCA";#N/A,#N/A,FALSE,"NCA";#N/A,#N/A,FALSE,"SAZ";#N/A,#N/A,FALSE,"CAZ";#N/A,#N/A,FALSE,"SNV";#N/A,#N/A,FALSE,"NNV";#N/A,#N/A,FALSE,"PP";#N/A,#N/A,FALSE,"SA"}</definedName>
    <definedName name="_5" localSheetId="47" hidden="1">{#N/A,#N/A,FALSE,"SCA";#N/A,#N/A,FALSE,"NCA";#N/A,#N/A,FALSE,"SAZ";#N/A,#N/A,FALSE,"CAZ";#N/A,#N/A,FALSE,"SNV";#N/A,#N/A,FALSE,"NNV";#N/A,#N/A,FALSE,"PP";#N/A,#N/A,FALSE,"SA"}</definedName>
    <definedName name="_5" hidden="1">{#N/A,#N/A,FALSE,"SCA";#N/A,#N/A,FALSE,"NCA";#N/A,#N/A,FALSE,"SAZ";#N/A,#N/A,FALSE,"CAZ";#N/A,#N/A,FALSE,"SNV";#N/A,#N/A,FALSE,"NNV";#N/A,#N/A,FALSE,"PP";#N/A,#N/A,FALSE,"SA"}</definedName>
    <definedName name="_5__123Graph_ACHART_15" hidden="1">'[23]summ graf'!$D$28:$HK$28</definedName>
    <definedName name="_5__123Graph_ACHART_5" localSheetId="6" hidden="1">[21]Data!$O$30:$O$226</definedName>
    <definedName name="_5__123Graph_ACHART_5" localSheetId="7" hidden="1">[21]Data!$O$30:$O$226</definedName>
    <definedName name="_5__123Graph_ACHART_5" localSheetId="29" hidden="1">[21]Data!$O$30:$O$226</definedName>
    <definedName name="_5__123Graph_ACHART_5" localSheetId="47" hidden="1">[21]Data!$O$30:$O$226</definedName>
    <definedName name="_5__123Graph_ACHART_5" hidden="1">[22]Data!$O$30:$O$226</definedName>
    <definedName name="_50" localSheetId="1" hidden="1">{"summary",#N/A,TRUE,"E93ADJ";"detail",#N/A,TRUE,"E93ADJ"}</definedName>
    <definedName name="_50" localSheetId="32" hidden="1">{"summary",#N/A,TRUE,"E93ADJ";"detail",#N/A,TRUE,"E93ADJ"}</definedName>
    <definedName name="_50" localSheetId="6" hidden="1">{"summary",#N/A,TRUE,"E93ADJ";"detail",#N/A,TRUE,"E93ADJ"}</definedName>
    <definedName name="_50" localSheetId="4" hidden="1">{"summary",#N/A,TRUE,"E93ADJ";"detail",#N/A,TRUE,"E93ADJ"}</definedName>
    <definedName name="_50" localSheetId="5" hidden="1">{"summary",#N/A,TRUE,"E93ADJ";"detail",#N/A,TRUE,"E93ADJ"}</definedName>
    <definedName name="_50" localSheetId="7" hidden="1">{"summary",#N/A,TRUE,"E93ADJ";"detail",#N/A,TRUE,"E93ADJ"}</definedName>
    <definedName name="_50" localSheetId="3" hidden="1">{"summary",#N/A,TRUE,"E93ADJ";"detail",#N/A,TRUE,"E93ADJ"}</definedName>
    <definedName name="_50" localSheetId="47" hidden="1">{"summary",#N/A,TRUE,"E93ADJ";"detail",#N/A,TRUE,"E93ADJ"}</definedName>
    <definedName name="_50" hidden="1">{"summary",#N/A,TRUE,"E93ADJ";"detail",#N/A,TRUE,"E93ADJ"}</definedName>
    <definedName name="_51" localSheetId="1" hidden="1">{"summary",#N/A,TRUE,"E93ADJ";"detail",#N/A,TRUE,"E93ADJ"}</definedName>
    <definedName name="_51" localSheetId="32" hidden="1">{"summary",#N/A,TRUE,"E93ADJ";"detail",#N/A,TRUE,"E93ADJ"}</definedName>
    <definedName name="_51" localSheetId="6" hidden="1">{"summary",#N/A,TRUE,"E93ADJ";"detail",#N/A,TRUE,"E93ADJ"}</definedName>
    <definedName name="_51" localSheetId="4" hidden="1">{"summary",#N/A,TRUE,"E93ADJ";"detail",#N/A,TRUE,"E93ADJ"}</definedName>
    <definedName name="_51" localSheetId="5" hidden="1">{"summary",#N/A,TRUE,"E93ADJ";"detail",#N/A,TRUE,"E93ADJ"}</definedName>
    <definedName name="_51" localSheetId="7" hidden="1">{"summary",#N/A,TRUE,"E93ADJ";"detail",#N/A,TRUE,"E93ADJ"}</definedName>
    <definedName name="_51" localSheetId="3" hidden="1">{"summary",#N/A,TRUE,"E93ADJ";"detail",#N/A,TRUE,"E93ADJ"}</definedName>
    <definedName name="_51" localSheetId="47" hidden="1">{"summary",#N/A,TRUE,"E93ADJ";"detail",#N/A,TRUE,"E93ADJ"}</definedName>
    <definedName name="_51" hidden="1">{"summary",#N/A,TRUE,"E93ADJ";"detail",#N/A,TRUE,"E93ADJ"}</definedName>
    <definedName name="_51__123Graph_ACHART_3" hidden="1">[22]Data!$R$30:$R$228</definedName>
    <definedName name="_52" localSheetId="1" hidden="1">{#N/A,#N/A,TRUE,"1990";#N/A,#N/A,TRUE,"1991";#N/A,#N/A,TRUE,"1992";#N/A,#N/A,TRUE,"1993"}</definedName>
    <definedName name="_52" localSheetId="32" hidden="1">{#N/A,#N/A,TRUE,"1990";#N/A,#N/A,TRUE,"1991";#N/A,#N/A,TRUE,"1992";#N/A,#N/A,TRUE,"1993"}</definedName>
    <definedName name="_52" localSheetId="6" hidden="1">{#N/A,#N/A,TRUE,"1990";#N/A,#N/A,TRUE,"1991";#N/A,#N/A,TRUE,"1992";#N/A,#N/A,TRUE,"1993"}</definedName>
    <definedName name="_52" localSheetId="4" hidden="1">{#N/A,#N/A,TRUE,"1990";#N/A,#N/A,TRUE,"1991";#N/A,#N/A,TRUE,"1992";#N/A,#N/A,TRUE,"1993"}</definedName>
    <definedName name="_52" localSheetId="5" hidden="1">{#N/A,#N/A,TRUE,"1990";#N/A,#N/A,TRUE,"1991";#N/A,#N/A,TRUE,"1992";#N/A,#N/A,TRUE,"1993"}</definedName>
    <definedName name="_52" localSheetId="7" hidden="1">{#N/A,#N/A,TRUE,"1990";#N/A,#N/A,TRUE,"1991";#N/A,#N/A,TRUE,"1992";#N/A,#N/A,TRUE,"1993"}</definedName>
    <definedName name="_52" localSheetId="3" hidden="1">{#N/A,#N/A,TRUE,"1990";#N/A,#N/A,TRUE,"1991";#N/A,#N/A,TRUE,"1992";#N/A,#N/A,TRUE,"1993"}</definedName>
    <definedName name="_52" localSheetId="47" hidden="1">{#N/A,#N/A,TRUE,"1990";#N/A,#N/A,TRUE,"1991";#N/A,#N/A,TRUE,"1992";#N/A,#N/A,TRUE,"1993"}</definedName>
    <definedName name="_52" hidden="1">{#N/A,#N/A,TRUE,"1990";#N/A,#N/A,TRUE,"1991";#N/A,#N/A,TRUE,"1992";#N/A,#N/A,TRUE,"1993"}</definedName>
    <definedName name="_53" localSheetId="1" hidden="1">{"summary",#N/A,TRUE,"E93ADJ";"detail",#N/A,TRUE,"E93ADJ"}</definedName>
    <definedName name="_53" localSheetId="32" hidden="1">{"summary",#N/A,TRUE,"E93ADJ";"detail",#N/A,TRUE,"E93ADJ"}</definedName>
    <definedName name="_53" localSheetId="6" hidden="1">{"summary",#N/A,TRUE,"E93ADJ";"detail",#N/A,TRUE,"E93ADJ"}</definedName>
    <definedName name="_53" localSheetId="4" hidden="1">{"summary",#N/A,TRUE,"E93ADJ";"detail",#N/A,TRUE,"E93ADJ"}</definedName>
    <definedName name="_53" localSheetId="5" hidden="1">{"summary",#N/A,TRUE,"E93ADJ";"detail",#N/A,TRUE,"E93ADJ"}</definedName>
    <definedName name="_53" localSheetId="7" hidden="1">{"summary",#N/A,TRUE,"E93ADJ";"detail",#N/A,TRUE,"E93ADJ"}</definedName>
    <definedName name="_53" localSheetId="3" hidden="1">{"summary",#N/A,TRUE,"E93ADJ";"detail",#N/A,TRUE,"E93ADJ"}</definedName>
    <definedName name="_53" localSheetId="47" hidden="1">{"summary",#N/A,TRUE,"E93ADJ";"detail",#N/A,TRUE,"E93ADJ"}</definedName>
    <definedName name="_53" hidden="1">{"summary",#N/A,TRUE,"E93ADJ";"detail",#N/A,TRUE,"E93ADJ"}</definedName>
    <definedName name="_54" localSheetId="1" hidden="1">{#N/A,#N/A,FALSE,"COMPAPER";#N/A,#N/A,FALSE,"AFUDC";#N/A,#N/A,FALSE,"JE"}</definedName>
    <definedName name="_54" localSheetId="32" hidden="1">{#N/A,#N/A,FALSE,"COMPAPER";#N/A,#N/A,FALSE,"AFUDC";#N/A,#N/A,FALSE,"JE"}</definedName>
    <definedName name="_54" localSheetId="6" hidden="1">{#N/A,#N/A,FALSE,"COMPAPER";#N/A,#N/A,FALSE,"AFUDC";#N/A,#N/A,FALSE,"JE"}</definedName>
    <definedName name="_54" localSheetId="4" hidden="1">{#N/A,#N/A,FALSE,"COMPAPER";#N/A,#N/A,FALSE,"AFUDC";#N/A,#N/A,FALSE,"JE"}</definedName>
    <definedName name="_54" localSheetId="5" hidden="1">{#N/A,#N/A,FALSE,"COMPAPER";#N/A,#N/A,FALSE,"AFUDC";#N/A,#N/A,FALSE,"JE"}</definedName>
    <definedName name="_54" localSheetId="7" hidden="1">{#N/A,#N/A,FALSE,"COMPAPER";#N/A,#N/A,FALSE,"AFUDC";#N/A,#N/A,FALSE,"JE"}</definedName>
    <definedName name="_54" localSheetId="3" hidden="1">{#N/A,#N/A,FALSE,"COMPAPER";#N/A,#N/A,FALSE,"AFUDC";#N/A,#N/A,FALSE,"JE"}</definedName>
    <definedName name="_54" localSheetId="47" hidden="1">{#N/A,#N/A,FALSE,"COMPAPER";#N/A,#N/A,FALSE,"AFUDC";#N/A,#N/A,FALSE,"JE"}</definedName>
    <definedName name="_54" hidden="1">{#N/A,#N/A,FALSE,"COMPAPER";#N/A,#N/A,FALSE,"AFUDC";#N/A,#N/A,FALSE,"JE"}</definedName>
    <definedName name="_54__123Graph_ACHART_3" hidden="1">[22]Data!$R$30:$R$228</definedName>
    <definedName name="_55" localSheetId="1" hidden="1">{"pb",#N/A,FALSE,"Sheet3";"pd",#N/A,FALSE,"Sheet3";"pe",#N/A,FALSE,"Sheet3"}</definedName>
    <definedName name="_55" localSheetId="32" hidden="1">{"pb",#N/A,FALSE,"Sheet3";"pd",#N/A,FALSE,"Sheet3";"pe",#N/A,FALSE,"Sheet3"}</definedName>
    <definedName name="_55" localSheetId="6" hidden="1">{"pb",#N/A,FALSE,"Sheet3";"pd",#N/A,FALSE,"Sheet3";"pe",#N/A,FALSE,"Sheet3"}</definedName>
    <definedName name="_55" localSheetId="4" hidden="1">{"pb",#N/A,FALSE,"Sheet3";"pd",#N/A,FALSE,"Sheet3";"pe",#N/A,FALSE,"Sheet3"}</definedName>
    <definedName name="_55" localSheetId="5" hidden="1">{"pb",#N/A,FALSE,"Sheet3";"pd",#N/A,FALSE,"Sheet3";"pe",#N/A,FALSE,"Sheet3"}</definedName>
    <definedName name="_55" localSheetId="7" hidden="1">{"pb",#N/A,FALSE,"Sheet3";"pd",#N/A,FALSE,"Sheet3";"pe",#N/A,FALSE,"Sheet3"}</definedName>
    <definedName name="_55" localSheetId="3" hidden="1">{"pb",#N/A,FALSE,"Sheet3";"pd",#N/A,FALSE,"Sheet3";"pe",#N/A,FALSE,"Sheet3"}</definedName>
    <definedName name="_55" localSheetId="47" hidden="1">{"pb",#N/A,FALSE,"Sheet3";"pd",#N/A,FALSE,"Sheet3";"pe",#N/A,FALSE,"Sheet3"}</definedName>
    <definedName name="_55" hidden="1">{"pb",#N/A,FALSE,"Sheet3";"pd",#N/A,FALSE,"Sheet3";"pe",#N/A,FALSE,"Sheet3"}</definedName>
    <definedName name="_56" localSheetId="1" hidden="1">{#N/A,#N/A,TRUE,"1990";#N/A,#N/A,TRUE,"1991";#N/A,#N/A,TRUE,"1992";#N/A,#N/A,TRUE,"1993"}</definedName>
    <definedName name="_56" localSheetId="32" hidden="1">{#N/A,#N/A,TRUE,"1990";#N/A,#N/A,TRUE,"1991";#N/A,#N/A,TRUE,"1992";#N/A,#N/A,TRUE,"1993"}</definedName>
    <definedName name="_56" localSheetId="6" hidden="1">{#N/A,#N/A,TRUE,"1990";#N/A,#N/A,TRUE,"1991";#N/A,#N/A,TRUE,"1992";#N/A,#N/A,TRUE,"1993"}</definedName>
    <definedName name="_56" localSheetId="4" hidden="1">{#N/A,#N/A,TRUE,"1990";#N/A,#N/A,TRUE,"1991";#N/A,#N/A,TRUE,"1992";#N/A,#N/A,TRUE,"1993"}</definedName>
    <definedName name="_56" localSheetId="5" hidden="1">{#N/A,#N/A,TRUE,"1990";#N/A,#N/A,TRUE,"1991";#N/A,#N/A,TRUE,"1992";#N/A,#N/A,TRUE,"1993"}</definedName>
    <definedName name="_56" localSheetId="7" hidden="1">{#N/A,#N/A,TRUE,"1990";#N/A,#N/A,TRUE,"1991";#N/A,#N/A,TRUE,"1992";#N/A,#N/A,TRUE,"1993"}</definedName>
    <definedName name="_56" localSheetId="3" hidden="1">{#N/A,#N/A,TRUE,"1990";#N/A,#N/A,TRUE,"1991";#N/A,#N/A,TRUE,"1992";#N/A,#N/A,TRUE,"1993"}</definedName>
    <definedName name="_56" localSheetId="47" hidden="1">{#N/A,#N/A,TRUE,"1990";#N/A,#N/A,TRUE,"1991";#N/A,#N/A,TRUE,"1992";#N/A,#N/A,TRUE,"1993"}</definedName>
    <definedName name="_56" hidden="1">{#N/A,#N/A,TRUE,"1990";#N/A,#N/A,TRUE,"1991";#N/A,#N/A,TRUE,"1992";#N/A,#N/A,TRUE,"1993"}</definedName>
    <definedName name="_56__123Graph_ACHART_4" hidden="1">[29]Data!$E$30:$E$233</definedName>
    <definedName name="_57" localSheetId="1" hidden="1">{#N/A,#N/A,FALSE,"SCA";#N/A,#N/A,FALSE,"NCA";#N/A,#N/A,FALSE,"SAZ";#N/A,#N/A,FALSE,"CAZ";#N/A,#N/A,FALSE,"SNV";#N/A,#N/A,FALSE,"NNV";#N/A,#N/A,FALSE,"PP";#N/A,#N/A,FALSE,"SA"}</definedName>
    <definedName name="_57" localSheetId="32" hidden="1">{#N/A,#N/A,FALSE,"SCA";#N/A,#N/A,FALSE,"NCA";#N/A,#N/A,FALSE,"SAZ";#N/A,#N/A,FALSE,"CAZ";#N/A,#N/A,FALSE,"SNV";#N/A,#N/A,FALSE,"NNV";#N/A,#N/A,FALSE,"PP";#N/A,#N/A,FALSE,"SA"}</definedName>
    <definedName name="_57" localSheetId="6" hidden="1">{#N/A,#N/A,FALSE,"SCA";#N/A,#N/A,FALSE,"NCA";#N/A,#N/A,FALSE,"SAZ";#N/A,#N/A,FALSE,"CAZ";#N/A,#N/A,FALSE,"SNV";#N/A,#N/A,FALSE,"NNV";#N/A,#N/A,FALSE,"PP";#N/A,#N/A,FALSE,"SA"}</definedName>
    <definedName name="_57" localSheetId="4" hidden="1">{#N/A,#N/A,FALSE,"SCA";#N/A,#N/A,FALSE,"NCA";#N/A,#N/A,FALSE,"SAZ";#N/A,#N/A,FALSE,"CAZ";#N/A,#N/A,FALSE,"SNV";#N/A,#N/A,FALSE,"NNV";#N/A,#N/A,FALSE,"PP";#N/A,#N/A,FALSE,"SA"}</definedName>
    <definedName name="_57" localSheetId="5" hidden="1">{#N/A,#N/A,FALSE,"SCA";#N/A,#N/A,FALSE,"NCA";#N/A,#N/A,FALSE,"SAZ";#N/A,#N/A,FALSE,"CAZ";#N/A,#N/A,FALSE,"SNV";#N/A,#N/A,FALSE,"NNV";#N/A,#N/A,FALSE,"PP";#N/A,#N/A,FALSE,"SA"}</definedName>
    <definedName name="_57" localSheetId="7" hidden="1">{#N/A,#N/A,FALSE,"SCA";#N/A,#N/A,FALSE,"NCA";#N/A,#N/A,FALSE,"SAZ";#N/A,#N/A,FALSE,"CAZ";#N/A,#N/A,FALSE,"SNV";#N/A,#N/A,FALSE,"NNV";#N/A,#N/A,FALSE,"PP";#N/A,#N/A,FALSE,"SA"}</definedName>
    <definedName name="_57" localSheetId="3" hidden="1">{#N/A,#N/A,FALSE,"SCA";#N/A,#N/A,FALSE,"NCA";#N/A,#N/A,FALSE,"SAZ";#N/A,#N/A,FALSE,"CAZ";#N/A,#N/A,FALSE,"SNV";#N/A,#N/A,FALSE,"NNV";#N/A,#N/A,FALSE,"PP";#N/A,#N/A,FALSE,"SA"}</definedName>
    <definedName name="_57" localSheetId="47" hidden="1">{#N/A,#N/A,FALSE,"SCA";#N/A,#N/A,FALSE,"NCA";#N/A,#N/A,FALSE,"SAZ";#N/A,#N/A,FALSE,"CAZ";#N/A,#N/A,FALSE,"SNV";#N/A,#N/A,FALSE,"NNV";#N/A,#N/A,FALSE,"PP";#N/A,#N/A,FALSE,"SA"}</definedName>
    <definedName name="_57" hidden="1">{#N/A,#N/A,FALSE,"SCA";#N/A,#N/A,FALSE,"NCA";#N/A,#N/A,FALSE,"SAZ";#N/A,#N/A,FALSE,"CAZ";#N/A,#N/A,FALSE,"SNV";#N/A,#N/A,FALSE,"NNV";#N/A,#N/A,FALSE,"PP";#N/A,#N/A,FALSE,"SA"}</definedName>
    <definedName name="_58" localSheetId="1" hidden="1">{#N/A,#N/A,FALSE,"SCA";#N/A,#N/A,FALSE,"NCA";#N/A,#N/A,FALSE,"SAZ";#N/A,#N/A,FALSE,"CAZ";#N/A,#N/A,FALSE,"SNV";#N/A,#N/A,FALSE,"NNV";#N/A,#N/A,FALSE,"PP";#N/A,#N/A,FALSE,"SA"}</definedName>
    <definedName name="_58" localSheetId="32" hidden="1">{#N/A,#N/A,FALSE,"SCA";#N/A,#N/A,FALSE,"NCA";#N/A,#N/A,FALSE,"SAZ";#N/A,#N/A,FALSE,"CAZ";#N/A,#N/A,FALSE,"SNV";#N/A,#N/A,FALSE,"NNV";#N/A,#N/A,FALSE,"PP";#N/A,#N/A,FALSE,"SA"}</definedName>
    <definedName name="_58" localSheetId="6" hidden="1">{#N/A,#N/A,FALSE,"SCA";#N/A,#N/A,FALSE,"NCA";#N/A,#N/A,FALSE,"SAZ";#N/A,#N/A,FALSE,"CAZ";#N/A,#N/A,FALSE,"SNV";#N/A,#N/A,FALSE,"NNV";#N/A,#N/A,FALSE,"PP";#N/A,#N/A,FALSE,"SA"}</definedName>
    <definedName name="_58" localSheetId="4" hidden="1">{#N/A,#N/A,FALSE,"SCA";#N/A,#N/A,FALSE,"NCA";#N/A,#N/A,FALSE,"SAZ";#N/A,#N/A,FALSE,"CAZ";#N/A,#N/A,FALSE,"SNV";#N/A,#N/A,FALSE,"NNV";#N/A,#N/A,FALSE,"PP";#N/A,#N/A,FALSE,"SA"}</definedName>
    <definedName name="_58" localSheetId="5" hidden="1">{#N/A,#N/A,FALSE,"SCA";#N/A,#N/A,FALSE,"NCA";#N/A,#N/A,FALSE,"SAZ";#N/A,#N/A,FALSE,"CAZ";#N/A,#N/A,FALSE,"SNV";#N/A,#N/A,FALSE,"NNV";#N/A,#N/A,FALSE,"PP";#N/A,#N/A,FALSE,"SA"}</definedName>
    <definedName name="_58" localSheetId="7" hidden="1">{#N/A,#N/A,FALSE,"SCA";#N/A,#N/A,FALSE,"NCA";#N/A,#N/A,FALSE,"SAZ";#N/A,#N/A,FALSE,"CAZ";#N/A,#N/A,FALSE,"SNV";#N/A,#N/A,FALSE,"NNV";#N/A,#N/A,FALSE,"PP";#N/A,#N/A,FALSE,"SA"}</definedName>
    <definedName name="_58" localSheetId="3" hidden="1">{#N/A,#N/A,FALSE,"SCA";#N/A,#N/A,FALSE,"NCA";#N/A,#N/A,FALSE,"SAZ";#N/A,#N/A,FALSE,"CAZ";#N/A,#N/A,FALSE,"SNV";#N/A,#N/A,FALSE,"NNV";#N/A,#N/A,FALSE,"PP";#N/A,#N/A,FALSE,"SA"}</definedName>
    <definedName name="_58" localSheetId="47" hidden="1">{#N/A,#N/A,FALSE,"SCA";#N/A,#N/A,FALSE,"NCA";#N/A,#N/A,FALSE,"SAZ";#N/A,#N/A,FALSE,"CAZ";#N/A,#N/A,FALSE,"SNV";#N/A,#N/A,FALSE,"NNV";#N/A,#N/A,FALSE,"PP";#N/A,#N/A,FALSE,"SA"}</definedName>
    <definedName name="_58" hidden="1">{#N/A,#N/A,FALSE,"SCA";#N/A,#N/A,FALSE,"NCA";#N/A,#N/A,FALSE,"SAZ";#N/A,#N/A,FALSE,"CAZ";#N/A,#N/A,FALSE,"SNV";#N/A,#N/A,FALSE,"NNV";#N/A,#N/A,FALSE,"PP";#N/A,#N/A,FALSE,"SA"}</definedName>
    <definedName name="_59" localSheetId="1" hidden="1">{"ARK_JURIS_FAC",#N/A,FALSE,"Ark_Fuel&amp;Rev"}</definedName>
    <definedName name="_59" localSheetId="32" hidden="1">{"ARK_JURIS_FAC",#N/A,FALSE,"Ark_Fuel&amp;Rev"}</definedName>
    <definedName name="_59" localSheetId="6" hidden="1">{"ARK_JURIS_FAC",#N/A,FALSE,"Ark_Fuel&amp;Rev"}</definedName>
    <definedName name="_59" localSheetId="4" hidden="1">{"ARK_JURIS_FAC",#N/A,FALSE,"Ark_Fuel&amp;Rev"}</definedName>
    <definedName name="_59" localSheetId="5" hidden="1">{"ARK_JURIS_FAC",#N/A,FALSE,"Ark_Fuel&amp;Rev"}</definedName>
    <definedName name="_59" localSheetId="7" hidden="1">{"ARK_JURIS_FAC",#N/A,FALSE,"Ark_Fuel&amp;Rev"}</definedName>
    <definedName name="_59" localSheetId="3" hidden="1">{"ARK_JURIS_FAC",#N/A,FALSE,"Ark_Fuel&amp;Rev"}</definedName>
    <definedName name="_59" localSheetId="47" hidden="1">{"ARK_JURIS_FAC",#N/A,FALSE,"Ark_Fuel&amp;Rev"}</definedName>
    <definedName name="_59" hidden="1">{"ARK_JURIS_FAC",#N/A,FALSE,"Ark_Fuel&amp;Rev"}</definedName>
    <definedName name="_6" localSheetId="1" hidden="1">{#N/A,#N/A,FALSE,"SCA";#N/A,#N/A,FALSE,"NCA";#N/A,#N/A,FALSE,"SAZ";#N/A,#N/A,FALSE,"CAZ";#N/A,#N/A,FALSE,"SNV";#N/A,#N/A,FALSE,"NNV";#N/A,#N/A,FALSE,"PP";#N/A,#N/A,FALSE,"SA"}</definedName>
    <definedName name="_6" localSheetId="32" hidden="1">{#N/A,#N/A,FALSE,"SCA";#N/A,#N/A,FALSE,"NCA";#N/A,#N/A,FALSE,"SAZ";#N/A,#N/A,FALSE,"CAZ";#N/A,#N/A,FALSE,"SNV";#N/A,#N/A,FALSE,"NNV";#N/A,#N/A,FALSE,"PP";#N/A,#N/A,FALSE,"SA"}</definedName>
    <definedName name="_6" localSheetId="6" hidden="1">{#N/A,#N/A,FALSE,"SCA";#N/A,#N/A,FALSE,"NCA";#N/A,#N/A,FALSE,"SAZ";#N/A,#N/A,FALSE,"CAZ";#N/A,#N/A,FALSE,"SNV";#N/A,#N/A,FALSE,"NNV";#N/A,#N/A,FALSE,"PP";#N/A,#N/A,FALSE,"SA"}</definedName>
    <definedName name="_6" localSheetId="4" hidden="1">{#N/A,#N/A,FALSE,"SCA";#N/A,#N/A,FALSE,"NCA";#N/A,#N/A,FALSE,"SAZ";#N/A,#N/A,FALSE,"CAZ";#N/A,#N/A,FALSE,"SNV";#N/A,#N/A,FALSE,"NNV";#N/A,#N/A,FALSE,"PP";#N/A,#N/A,FALSE,"SA"}</definedName>
    <definedName name="_6" localSheetId="5" hidden="1">{#N/A,#N/A,FALSE,"SCA";#N/A,#N/A,FALSE,"NCA";#N/A,#N/A,FALSE,"SAZ";#N/A,#N/A,FALSE,"CAZ";#N/A,#N/A,FALSE,"SNV";#N/A,#N/A,FALSE,"NNV";#N/A,#N/A,FALSE,"PP";#N/A,#N/A,FALSE,"SA"}</definedName>
    <definedName name="_6" localSheetId="7" hidden="1">{#N/A,#N/A,FALSE,"SCA";#N/A,#N/A,FALSE,"NCA";#N/A,#N/A,FALSE,"SAZ";#N/A,#N/A,FALSE,"CAZ";#N/A,#N/A,FALSE,"SNV";#N/A,#N/A,FALSE,"NNV";#N/A,#N/A,FALSE,"PP";#N/A,#N/A,FALSE,"SA"}</definedName>
    <definedName name="_6" localSheetId="3" hidden="1">{#N/A,#N/A,FALSE,"SCA";#N/A,#N/A,FALSE,"NCA";#N/A,#N/A,FALSE,"SAZ";#N/A,#N/A,FALSE,"CAZ";#N/A,#N/A,FALSE,"SNV";#N/A,#N/A,FALSE,"NNV";#N/A,#N/A,FALSE,"PP";#N/A,#N/A,FALSE,"SA"}</definedName>
    <definedName name="_6" localSheetId="47" hidden="1">{#N/A,#N/A,FALSE,"SCA";#N/A,#N/A,FALSE,"NCA";#N/A,#N/A,FALSE,"SAZ";#N/A,#N/A,FALSE,"CAZ";#N/A,#N/A,FALSE,"SNV";#N/A,#N/A,FALSE,"NNV";#N/A,#N/A,FALSE,"PP";#N/A,#N/A,FALSE,"SA"}</definedName>
    <definedName name="_6" hidden="1">{#N/A,#N/A,FALSE,"SCA";#N/A,#N/A,FALSE,"NCA";#N/A,#N/A,FALSE,"SAZ";#N/A,#N/A,FALSE,"CAZ";#N/A,#N/A,FALSE,"SNV";#N/A,#N/A,FALSE,"NNV";#N/A,#N/A,FALSE,"PP";#N/A,#N/A,FALSE,"SA"}</definedName>
    <definedName name="_6__123Graph_ACHART_16" hidden="1">'[23]summ graf'!$D$34:$HK$34</definedName>
    <definedName name="_6__123Graph_ACHART_3" hidden="1">[22]Data!$R$30:$R$228</definedName>
    <definedName name="_6__123Graph_ACHART_6" localSheetId="6" hidden="1">[21]Data!$E$30:$E$229</definedName>
    <definedName name="_6__123Graph_ACHART_6" localSheetId="7" hidden="1">[21]Data!$E$30:$E$229</definedName>
    <definedName name="_6__123Graph_ACHART_6" localSheetId="29" hidden="1">[21]Data!$E$30:$E$229</definedName>
    <definedName name="_6__123Graph_ACHART_6" localSheetId="47" hidden="1">[21]Data!$E$30:$E$229</definedName>
    <definedName name="_6__123Graph_ACHART_6" hidden="1">[22]Data!$E$30:$E$229</definedName>
    <definedName name="_60" localSheetId="1" hidden="1">{"ARK_JURIS_FUEL",#N/A,FALSE,"Ark_Fuel&amp;Rev"}</definedName>
    <definedName name="_60" localSheetId="32" hidden="1">{"ARK_JURIS_FUEL",#N/A,FALSE,"Ark_Fuel&amp;Rev"}</definedName>
    <definedName name="_60" localSheetId="6" hidden="1">{"ARK_JURIS_FUEL",#N/A,FALSE,"Ark_Fuel&amp;Rev"}</definedName>
    <definedName name="_60" localSheetId="4" hidden="1">{"ARK_JURIS_FUEL",#N/A,FALSE,"Ark_Fuel&amp;Rev"}</definedName>
    <definedName name="_60" localSheetId="5" hidden="1">{"ARK_JURIS_FUEL",#N/A,FALSE,"Ark_Fuel&amp;Rev"}</definedName>
    <definedName name="_60" localSheetId="7" hidden="1">{"ARK_JURIS_FUEL",#N/A,FALSE,"Ark_Fuel&amp;Rev"}</definedName>
    <definedName name="_60" localSheetId="3" hidden="1">{"ARK_JURIS_FUEL",#N/A,FALSE,"Ark_Fuel&amp;Rev"}</definedName>
    <definedName name="_60" localSheetId="47" hidden="1">{"ARK_JURIS_FUEL",#N/A,FALSE,"Ark_Fuel&amp;Rev"}</definedName>
    <definedName name="_60" hidden="1">{"ARK_JURIS_FUEL",#N/A,FALSE,"Ark_Fuel&amp;Rev"}</definedName>
    <definedName name="_61" localSheetId="1" hidden="1">{"ATOKA_FAC",#N/A,FALSE,"Atoka"}</definedName>
    <definedName name="_61" localSheetId="32" hidden="1">{"ATOKA_FAC",#N/A,FALSE,"Atoka"}</definedName>
    <definedName name="_61" localSheetId="6" hidden="1">{"ATOKA_FAC",#N/A,FALSE,"Atoka"}</definedName>
    <definedName name="_61" localSheetId="4" hidden="1">{"ATOKA_FAC",#N/A,FALSE,"Atoka"}</definedName>
    <definedName name="_61" localSheetId="5" hidden="1">{"ATOKA_FAC",#N/A,FALSE,"Atoka"}</definedName>
    <definedName name="_61" localSheetId="7" hidden="1">{"ATOKA_FAC",#N/A,FALSE,"Atoka"}</definedName>
    <definedName name="_61" localSheetId="3" hidden="1">{"ATOKA_FAC",#N/A,FALSE,"Atoka"}</definedName>
    <definedName name="_61" localSheetId="47" hidden="1">{"ATOKA_FAC",#N/A,FALSE,"Atoka"}</definedName>
    <definedName name="_61" hidden="1">{"ATOKA_FAC",#N/A,FALSE,"Atoka"}</definedName>
    <definedName name="_62" localSheetId="1" hidden="1">{"Benefits Summary",#N/A,FALSE,"Benefits Info without WC Amount";"Medical and Dental Costs",#N/A,FALSE,"Benefits Info without WC Amount";"Workers' Compensation",#N/A,FALSE,"Benefits Info without WC Amount"}</definedName>
    <definedName name="_62" localSheetId="32" hidden="1">{"Benefits Summary",#N/A,FALSE,"Benefits Info without WC Amount";"Medical and Dental Costs",#N/A,FALSE,"Benefits Info without WC Amount";"Workers' Compensation",#N/A,FALSE,"Benefits Info without WC Amount"}</definedName>
    <definedName name="_62" localSheetId="6" hidden="1">{"Benefits Summary",#N/A,FALSE,"Benefits Info without WC Amount";"Medical and Dental Costs",#N/A,FALSE,"Benefits Info without WC Amount";"Workers' Compensation",#N/A,FALSE,"Benefits Info without WC Amount"}</definedName>
    <definedName name="_62" localSheetId="4" hidden="1">{"Benefits Summary",#N/A,FALSE,"Benefits Info without WC Amount";"Medical and Dental Costs",#N/A,FALSE,"Benefits Info without WC Amount";"Workers' Compensation",#N/A,FALSE,"Benefits Info without WC Amount"}</definedName>
    <definedName name="_62" localSheetId="5" hidden="1">{"Benefits Summary",#N/A,FALSE,"Benefits Info without WC Amount";"Medical and Dental Costs",#N/A,FALSE,"Benefits Info without WC Amount";"Workers' Compensation",#N/A,FALSE,"Benefits Info without WC Amount"}</definedName>
    <definedName name="_62" localSheetId="7" hidden="1">{"Benefits Summary",#N/A,FALSE,"Benefits Info without WC Amount";"Medical and Dental Costs",#N/A,FALSE,"Benefits Info without WC Amount";"Workers' Compensation",#N/A,FALSE,"Benefits Info without WC Amount"}</definedName>
    <definedName name="_62" localSheetId="3" hidden="1">{"Benefits Summary",#N/A,FALSE,"Benefits Info without WC Amount";"Medical and Dental Costs",#N/A,FALSE,"Benefits Info without WC Amount";"Workers' Compensation",#N/A,FALSE,"Benefits Info without WC Amount"}</definedName>
    <definedName name="_62" localSheetId="47" hidden="1">{"Benefits Summary",#N/A,FALSE,"Benefits Info without WC Amount";"Medical and Dental Costs",#N/A,FALSE,"Benefits Info without WC Amount";"Workers' Compensation",#N/A,FALSE,"Benefits Info without WC Amount"}</definedName>
    <definedName name="_62" hidden="1">{"Benefits Summary",#N/A,FALSE,"Benefits Info without WC Amount";"Medical and Dental Costs",#N/A,FALSE,"Benefits Info without WC Amount";"Workers' Compensation",#N/A,FALSE,"Benefits Info without WC Amount"}</definedName>
    <definedName name="_63" localSheetId="1" hidden="1">{#N/A,#N/A,FALSE,"Rev Seg Taxes";#N/A,#N/A,FALSE,"BookRev Seg";#N/A,#N/A,FALSE,"Supp Adj Seg";#N/A,#N/A,FALSE,"outside prov seg taxes"}</definedName>
    <definedName name="_63" localSheetId="32" hidden="1">{#N/A,#N/A,FALSE,"Rev Seg Taxes";#N/A,#N/A,FALSE,"BookRev Seg";#N/A,#N/A,FALSE,"Supp Adj Seg";#N/A,#N/A,FALSE,"outside prov seg taxes"}</definedName>
    <definedName name="_63" localSheetId="6" hidden="1">{#N/A,#N/A,FALSE,"Rev Seg Taxes";#N/A,#N/A,FALSE,"BookRev Seg";#N/A,#N/A,FALSE,"Supp Adj Seg";#N/A,#N/A,FALSE,"outside prov seg taxes"}</definedName>
    <definedName name="_63" localSheetId="4" hidden="1">{#N/A,#N/A,FALSE,"Rev Seg Taxes";#N/A,#N/A,FALSE,"BookRev Seg";#N/A,#N/A,FALSE,"Supp Adj Seg";#N/A,#N/A,FALSE,"outside prov seg taxes"}</definedName>
    <definedName name="_63" localSheetId="5" hidden="1">{#N/A,#N/A,FALSE,"Rev Seg Taxes";#N/A,#N/A,FALSE,"BookRev Seg";#N/A,#N/A,FALSE,"Supp Adj Seg";#N/A,#N/A,FALSE,"outside prov seg taxes"}</definedName>
    <definedName name="_63" localSheetId="7" hidden="1">{#N/A,#N/A,FALSE,"Rev Seg Taxes";#N/A,#N/A,FALSE,"BookRev Seg";#N/A,#N/A,FALSE,"Supp Adj Seg";#N/A,#N/A,FALSE,"outside prov seg taxes"}</definedName>
    <definedName name="_63" localSheetId="3" hidden="1">{#N/A,#N/A,FALSE,"Rev Seg Taxes";#N/A,#N/A,FALSE,"BookRev Seg";#N/A,#N/A,FALSE,"Supp Adj Seg";#N/A,#N/A,FALSE,"outside prov seg taxes"}</definedName>
    <definedName name="_63" localSheetId="47" hidden="1">{#N/A,#N/A,FALSE,"Rev Seg Taxes";#N/A,#N/A,FALSE,"BookRev Seg";#N/A,#N/A,FALSE,"Supp Adj Seg";#N/A,#N/A,FALSE,"outside prov seg taxes"}</definedName>
    <definedName name="_63" hidden="1">{#N/A,#N/A,FALSE,"Rev Seg Taxes";#N/A,#N/A,FALSE,"BookRev Seg";#N/A,#N/A,FALSE,"Supp Adj Seg";#N/A,#N/A,FALSE,"outside prov seg taxes"}</definedName>
    <definedName name="_63__123Graph_ACHART_3" hidden="1">[28]Data!$R$30:$R$228</definedName>
    <definedName name="_64"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5" localSheetId="1" hidden="1">{#N/A,#N/A,FALSE,"GLDwnLoad"}</definedName>
    <definedName name="_65" localSheetId="32" hidden="1">{#N/A,#N/A,FALSE,"GLDwnLoad"}</definedName>
    <definedName name="_65" localSheetId="6" hidden="1">{#N/A,#N/A,FALSE,"GLDwnLoad"}</definedName>
    <definedName name="_65" localSheetId="4" hidden="1">{#N/A,#N/A,FALSE,"GLDwnLoad"}</definedName>
    <definedName name="_65" localSheetId="5" hidden="1">{#N/A,#N/A,FALSE,"GLDwnLoad"}</definedName>
    <definedName name="_65" localSheetId="7" hidden="1">{#N/A,#N/A,FALSE,"GLDwnLoad"}</definedName>
    <definedName name="_65" localSheetId="3" hidden="1">{#N/A,#N/A,FALSE,"GLDwnLoad"}</definedName>
    <definedName name="_65" localSheetId="47" hidden="1">{#N/A,#N/A,FALSE,"GLDwnLoad"}</definedName>
    <definedName name="_65" hidden="1">{#N/A,#N/A,FALSE,"GLDwnLoad"}</definedName>
    <definedName name="_66" localSheetId="1" hidden="1">{#N/A,#N/A,FALSE,"OTHERINPUTS";#N/A,#N/A,FALSE,"DITRATEINPUTS";#N/A,#N/A,FALSE,"SUPPLIEDADJINPUT";#N/A,#N/A,FALSE,"BR&amp;SUPADJ."}</definedName>
    <definedName name="_66" localSheetId="32" hidden="1">{#N/A,#N/A,FALSE,"OTHERINPUTS";#N/A,#N/A,FALSE,"DITRATEINPUTS";#N/A,#N/A,FALSE,"SUPPLIEDADJINPUT";#N/A,#N/A,FALSE,"BR&amp;SUPADJ."}</definedName>
    <definedName name="_66" localSheetId="6" hidden="1">{#N/A,#N/A,FALSE,"OTHERINPUTS";#N/A,#N/A,FALSE,"DITRATEINPUTS";#N/A,#N/A,FALSE,"SUPPLIEDADJINPUT";#N/A,#N/A,FALSE,"BR&amp;SUPADJ."}</definedName>
    <definedName name="_66" localSheetId="4" hidden="1">{#N/A,#N/A,FALSE,"OTHERINPUTS";#N/A,#N/A,FALSE,"DITRATEINPUTS";#N/A,#N/A,FALSE,"SUPPLIEDADJINPUT";#N/A,#N/A,FALSE,"BR&amp;SUPADJ."}</definedName>
    <definedName name="_66" localSheetId="5" hidden="1">{#N/A,#N/A,FALSE,"OTHERINPUTS";#N/A,#N/A,FALSE,"DITRATEINPUTS";#N/A,#N/A,FALSE,"SUPPLIEDADJINPUT";#N/A,#N/A,FALSE,"BR&amp;SUPADJ."}</definedName>
    <definedName name="_66" localSheetId="7" hidden="1">{#N/A,#N/A,FALSE,"OTHERINPUTS";#N/A,#N/A,FALSE,"DITRATEINPUTS";#N/A,#N/A,FALSE,"SUPPLIEDADJINPUT";#N/A,#N/A,FALSE,"BR&amp;SUPADJ."}</definedName>
    <definedName name="_66" localSheetId="3" hidden="1">{#N/A,#N/A,FALSE,"OTHERINPUTS";#N/A,#N/A,FALSE,"DITRATEINPUTS";#N/A,#N/A,FALSE,"SUPPLIEDADJINPUT";#N/A,#N/A,FALSE,"BR&amp;SUPADJ."}</definedName>
    <definedName name="_66" localSheetId="47" hidden="1">{#N/A,#N/A,FALSE,"OTHERINPUTS";#N/A,#N/A,FALSE,"DITRATEINPUTS";#N/A,#N/A,FALSE,"SUPPLIEDADJINPUT";#N/A,#N/A,FALSE,"BR&amp;SUPADJ."}</definedName>
    <definedName name="_66" hidden="1">{#N/A,#N/A,FALSE,"OTHERINPUTS";#N/A,#N/A,FALSE,"DITRATEINPUTS";#N/A,#N/A,FALSE,"SUPPLIEDADJINPUT";#N/A,#N/A,FALSE,"BR&amp;SUPADJ."}</definedName>
    <definedName name="_67"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8" localSheetId="1" hidden="1">{"CONOCO_FAC",#N/A,FALSE,"Conoco FAC"}</definedName>
    <definedName name="_68" localSheetId="32" hidden="1">{"CONOCO_FAC",#N/A,FALSE,"Conoco FAC"}</definedName>
    <definedName name="_68" localSheetId="6" hidden="1">{"CONOCO_FAC",#N/A,FALSE,"Conoco FAC"}</definedName>
    <definedName name="_68" localSheetId="4" hidden="1">{"CONOCO_FAC",#N/A,FALSE,"Conoco FAC"}</definedName>
    <definedName name="_68" localSheetId="5" hidden="1">{"CONOCO_FAC",#N/A,FALSE,"Conoco FAC"}</definedName>
    <definedName name="_68" localSheetId="7" hidden="1">{"CONOCO_FAC",#N/A,FALSE,"Conoco FAC"}</definedName>
    <definedName name="_68" localSheetId="3" hidden="1">{"CONOCO_FAC",#N/A,FALSE,"Conoco FAC"}</definedName>
    <definedName name="_68" localSheetId="47" hidden="1">{"CONOCO_FAC",#N/A,FALSE,"Conoco FAC"}</definedName>
    <definedName name="_68" hidden="1">{"CONOCO_FAC",#N/A,FALSE,"Conoco FAC"}</definedName>
    <definedName name="_68__123Graph_ACHART_4" hidden="1">[22]Data!$E$30:$E$233</definedName>
    <definedName name="_69" localSheetId="1" hidden="1">{#N/A,#N/A,FALSE,"GLDwnLoad"}</definedName>
    <definedName name="_69" localSheetId="32" hidden="1">{#N/A,#N/A,FALSE,"GLDwnLoad"}</definedName>
    <definedName name="_69" localSheetId="6" hidden="1">{#N/A,#N/A,FALSE,"GLDwnLoad"}</definedName>
    <definedName name="_69" localSheetId="4" hidden="1">{#N/A,#N/A,FALSE,"GLDwnLoad"}</definedName>
    <definedName name="_69" localSheetId="5" hidden="1">{#N/A,#N/A,FALSE,"GLDwnLoad"}</definedName>
    <definedName name="_69" localSheetId="7" hidden="1">{#N/A,#N/A,FALSE,"GLDwnLoad"}</definedName>
    <definedName name="_69" localSheetId="3" hidden="1">{#N/A,#N/A,FALSE,"GLDwnLoad"}</definedName>
    <definedName name="_69" localSheetId="47" hidden="1">{#N/A,#N/A,FALSE,"GLDwnLoad"}</definedName>
    <definedName name="_69" hidden="1">{#N/A,#N/A,FALSE,"GLDwnLoad"}</definedName>
    <definedName name="_7" localSheetId="1" hidden="1">{#N/A,#N/A,FALSE,"Page 1";#N/A,#N/A,FALSE,"Page 2";#N/A,#N/A,FALSE,"Page 3";#N/A,#N/A,FALSE,"Page 4";#N/A,#N/A,FALSE,"Page 5";#N/A,#N/A,FALSE,"Page 6";#N/A,#N/A,FALSE,"Page 7";#N/A,#N/A,FALSE,"Page 8";#N/A,#N/A,FALSE,"Page 9";#N/A,#N/A,FALSE,"PG8WP";#N/A,#N/A,FALSE,"PG9WP"}</definedName>
    <definedName name="_7" localSheetId="32" hidden="1">{#N/A,#N/A,FALSE,"Page 1";#N/A,#N/A,FALSE,"Page 2";#N/A,#N/A,FALSE,"Page 3";#N/A,#N/A,FALSE,"Page 4";#N/A,#N/A,FALSE,"Page 5";#N/A,#N/A,FALSE,"Page 6";#N/A,#N/A,FALSE,"Page 7";#N/A,#N/A,FALSE,"Page 8";#N/A,#N/A,FALSE,"Page 9";#N/A,#N/A,FALSE,"PG8WP";#N/A,#N/A,FALSE,"PG9WP"}</definedName>
    <definedName name="_7" localSheetId="6" hidden="1">{#N/A,#N/A,FALSE,"Page 1";#N/A,#N/A,FALSE,"Page 2";#N/A,#N/A,FALSE,"Page 3";#N/A,#N/A,FALSE,"Page 4";#N/A,#N/A,FALSE,"Page 5";#N/A,#N/A,FALSE,"Page 6";#N/A,#N/A,FALSE,"Page 7";#N/A,#N/A,FALSE,"Page 8";#N/A,#N/A,FALSE,"Page 9";#N/A,#N/A,FALSE,"PG8WP";#N/A,#N/A,FALSE,"PG9WP"}</definedName>
    <definedName name="_7" localSheetId="4" hidden="1">{#N/A,#N/A,FALSE,"Page 1";#N/A,#N/A,FALSE,"Page 2";#N/A,#N/A,FALSE,"Page 3";#N/A,#N/A,FALSE,"Page 4";#N/A,#N/A,FALSE,"Page 5";#N/A,#N/A,FALSE,"Page 6";#N/A,#N/A,FALSE,"Page 7";#N/A,#N/A,FALSE,"Page 8";#N/A,#N/A,FALSE,"Page 9";#N/A,#N/A,FALSE,"PG8WP";#N/A,#N/A,FALSE,"PG9WP"}</definedName>
    <definedName name="_7" localSheetId="5" hidden="1">{#N/A,#N/A,FALSE,"Page 1";#N/A,#N/A,FALSE,"Page 2";#N/A,#N/A,FALSE,"Page 3";#N/A,#N/A,FALSE,"Page 4";#N/A,#N/A,FALSE,"Page 5";#N/A,#N/A,FALSE,"Page 6";#N/A,#N/A,FALSE,"Page 7";#N/A,#N/A,FALSE,"Page 8";#N/A,#N/A,FALSE,"Page 9";#N/A,#N/A,FALSE,"PG8WP";#N/A,#N/A,FALSE,"PG9WP"}</definedName>
    <definedName name="_7" localSheetId="7" hidden="1">{#N/A,#N/A,FALSE,"Page 1";#N/A,#N/A,FALSE,"Page 2";#N/A,#N/A,FALSE,"Page 3";#N/A,#N/A,FALSE,"Page 4";#N/A,#N/A,FALSE,"Page 5";#N/A,#N/A,FALSE,"Page 6";#N/A,#N/A,FALSE,"Page 7";#N/A,#N/A,FALSE,"Page 8";#N/A,#N/A,FALSE,"Page 9";#N/A,#N/A,FALSE,"PG8WP";#N/A,#N/A,FALSE,"PG9WP"}</definedName>
    <definedName name="_7" localSheetId="3" hidden="1">{#N/A,#N/A,FALSE,"Page 1";#N/A,#N/A,FALSE,"Page 2";#N/A,#N/A,FALSE,"Page 3";#N/A,#N/A,FALSE,"Page 4";#N/A,#N/A,FALSE,"Page 5";#N/A,#N/A,FALSE,"Page 6";#N/A,#N/A,FALSE,"Page 7";#N/A,#N/A,FALSE,"Page 8";#N/A,#N/A,FALSE,"Page 9";#N/A,#N/A,FALSE,"PG8WP";#N/A,#N/A,FALSE,"PG9WP"}</definedName>
    <definedName name="_7" localSheetId="47" hidden="1">{#N/A,#N/A,FALSE,"Page 1";#N/A,#N/A,FALSE,"Page 2";#N/A,#N/A,FALSE,"Page 3";#N/A,#N/A,FALSE,"Page 4";#N/A,#N/A,FALSE,"Page 5";#N/A,#N/A,FALSE,"Page 6";#N/A,#N/A,FALSE,"Page 7";#N/A,#N/A,FALSE,"Page 8";#N/A,#N/A,FALSE,"Page 9";#N/A,#N/A,FALSE,"PG8WP";#N/A,#N/A,FALSE,"PG9WP"}</definedName>
    <definedName name="_7" hidden="1">{#N/A,#N/A,FALSE,"Page 1";#N/A,#N/A,FALSE,"Page 2";#N/A,#N/A,FALSE,"Page 3";#N/A,#N/A,FALSE,"Page 4";#N/A,#N/A,FALSE,"Page 5";#N/A,#N/A,FALSE,"Page 6";#N/A,#N/A,FALSE,"Page 7";#N/A,#N/A,FALSE,"Page 8";#N/A,#N/A,FALSE,"Page 9";#N/A,#N/A,FALSE,"PG8WP";#N/A,#N/A,FALSE,"PG9WP"}</definedName>
    <definedName name="_7__123Graph_ACHART_17" hidden="1">'[23]summ graf'!$D$14:$HK$14</definedName>
    <definedName name="_7__123Graph_BCHART_5" localSheetId="6" hidden="1">[21]Data!$P$30:$P$229</definedName>
    <definedName name="_7__123Graph_BCHART_5" localSheetId="7" hidden="1">[21]Data!$P$30:$P$229</definedName>
    <definedName name="_7__123Graph_BCHART_5" localSheetId="29" hidden="1">[21]Data!$P$30:$P$229</definedName>
    <definedName name="_7__123Graph_BCHART_5" localSheetId="47" hidden="1">[21]Data!$P$30:$P$229</definedName>
    <definedName name="_7__123Graph_BCHART_5" hidden="1">[22]Data!$P$30:$P$229</definedName>
    <definedName name="_70" localSheetId="1" hidden="1">{#N/A,#N/A,FALSE,"OTHERINPUTS";#N/A,#N/A,FALSE,"DITRATEINPUTS";#N/A,#N/A,FALSE,"SUPPLIEDADJINPUT";#N/A,#N/A,FALSE,"TIMINGDIFFINPUTS";#N/A,#N/A,FALSE,"COSSINPUT";#N/A,#N/A,FALSE,"BR&amp;SUPADJ."}</definedName>
    <definedName name="_70" localSheetId="32" hidden="1">{#N/A,#N/A,FALSE,"OTHERINPUTS";#N/A,#N/A,FALSE,"DITRATEINPUTS";#N/A,#N/A,FALSE,"SUPPLIEDADJINPUT";#N/A,#N/A,FALSE,"TIMINGDIFFINPUTS";#N/A,#N/A,FALSE,"COSSINPUT";#N/A,#N/A,FALSE,"BR&amp;SUPADJ."}</definedName>
    <definedName name="_70" localSheetId="6" hidden="1">{#N/A,#N/A,FALSE,"OTHERINPUTS";#N/A,#N/A,FALSE,"DITRATEINPUTS";#N/A,#N/A,FALSE,"SUPPLIEDADJINPUT";#N/A,#N/A,FALSE,"TIMINGDIFFINPUTS";#N/A,#N/A,FALSE,"COSSINPUT";#N/A,#N/A,FALSE,"BR&amp;SUPADJ."}</definedName>
    <definedName name="_70" localSheetId="4" hidden="1">{#N/A,#N/A,FALSE,"OTHERINPUTS";#N/A,#N/A,FALSE,"DITRATEINPUTS";#N/A,#N/A,FALSE,"SUPPLIEDADJINPUT";#N/A,#N/A,FALSE,"TIMINGDIFFINPUTS";#N/A,#N/A,FALSE,"COSSINPUT";#N/A,#N/A,FALSE,"BR&amp;SUPADJ."}</definedName>
    <definedName name="_70" localSheetId="5" hidden="1">{#N/A,#N/A,FALSE,"OTHERINPUTS";#N/A,#N/A,FALSE,"DITRATEINPUTS";#N/A,#N/A,FALSE,"SUPPLIEDADJINPUT";#N/A,#N/A,FALSE,"TIMINGDIFFINPUTS";#N/A,#N/A,FALSE,"COSSINPUT";#N/A,#N/A,FALSE,"BR&amp;SUPADJ."}</definedName>
    <definedName name="_70" localSheetId="7" hidden="1">{#N/A,#N/A,FALSE,"OTHERINPUTS";#N/A,#N/A,FALSE,"DITRATEINPUTS";#N/A,#N/A,FALSE,"SUPPLIEDADJINPUT";#N/A,#N/A,FALSE,"TIMINGDIFFINPUTS";#N/A,#N/A,FALSE,"COSSINPUT";#N/A,#N/A,FALSE,"BR&amp;SUPADJ."}</definedName>
    <definedName name="_70" localSheetId="3" hidden="1">{#N/A,#N/A,FALSE,"OTHERINPUTS";#N/A,#N/A,FALSE,"DITRATEINPUTS";#N/A,#N/A,FALSE,"SUPPLIEDADJINPUT";#N/A,#N/A,FALSE,"TIMINGDIFFINPUTS";#N/A,#N/A,FALSE,"COSSINPUT";#N/A,#N/A,FALSE,"BR&amp;SUPADJ."}</definedName>
    <definedName name="_70" localSheetId="47" hidden="1">{#N/A,#N/A,FALSE,"OTHERINPUTS";#N/A,#N/A,FALSE,"DITRATEINPUTS";#N/A,#N/A,FALSE,"SUPPLIEDADJINPUT";#N/A,#N/A,FALSE,"TIMINGDIFFINPUTS";#N/A,#N/A,FALSE,"COSSINPUT";#N/A,#N/A,FALSE,"BR&amp;SUPADJ."}</definedName>
    <definedName name="_70" hidden="1">{#N/A,#N/A,FALSE,"OTHERINPUTS";#N/A,#N/A,FALSE,"DITRATEINPUTS";#N/A,#N/A,FALSE,"SUPPLIEDADJINPUT";#N/A,#N/A,FALSE,"TIMINGDIFFINPUTS";#N/A,#N/A,FALSE,"COSSINPUT";#N/A,#N/A,FALSE,"BR&amp;SUPADJ."}</definedName>
    <definedName name="_70__123Graph_ACHART_5" hidden="1">[29]Data!$O$30:$O$226</definedName>
    <definedName name="_71"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2" localSheetId="1" hidden="1">{#N/A,#N/A,FALSE,"FAS109 Summary";#N/A,#N/A,FALSE,"FAS109 OPER 190 ITC";#N/A,#N/A,FALSE,"FAS109 OPER 190 Other";#N/A,#N/A,FALSE,"FAS109 OPER 282";#N/A,#N/A,FALSE,"FAS109 OPER 283";#N/A,#N/A,FALSE,"FAS109 Non OPER 283 ";#N/A,#N/A,FALSE,"J.E.UPLOAD DATA"}</definedName>
    <definedName name="_72" localSheetId="32" hidden="1">{#N/A,#N/A,FALSE,"FAS109 Summary";#N/A,#N/A,FALSE,"FAS109 OPER 190 ITC";#N/A,#N/A,FALSE,"FAS109 OPER 190 Other";#N/A,#N/A,FALSE,"FAS109 OPER 282";#N/A,#N/A,FALSE,"FAS109 OPER 283";#N/A,#N/A,FALSE,"FAS109 Non OPER 283 ";#N/A,#N/A,FALSE,"J.E.UPLOAD DATA"}</definedName>
    <definedName name="_72" localSheetId="6" hidden="1">{#N/A,#N/A,FALSE,"FAS109 Summary";#N/A,#N/A,FALSE,"FAS109 OPER 190 ITC";#N/A,#N/A,FALSE,"FAS109 OPER 190 Other";#N/A,#N/A,FALSE,"FAS109 OPER 282";#N/A,#N/A,FALSE,"FAS109 OPER 283";#N/A,#N/A,FALSE,"FAS109 Non OPER 283 ";#N/A,#N/A,FALSE,"J.E.UPLOAD DATA"}</definedName>
    <definedName name="_72" localSheetId="4" hidden="1">{#N/A,#N/A,FALSE,"FAS109 Summary";#N/A,#N/A,FALSE,"FAS109 OPER 190 ITC";#N/A,#N/A,FALSE,"FAS109 OPER 190 Other";#N/A,#N/A,FALSE,"FAS109 OPER 282";#N/A,#N/A,FALSE,"FAS109 OPER 283";#N/A,#N/A,FALSE,"FAS109 Non OPER 283 ";#N/A,#N/A,FALSE,"J.E.UPLOAD DATA"}</definedName>
    <definedName name="_72" localSheetId="5" hidden="1">{#N/A,#N/A,FALSE,"FAS109 Summary";#N/A,#N/A,FALSE,"FAS109 OPER 190 ITC";#N/A,#N/A,FALSE,"FAS109 OPER 190 Other";#N/A,#N/A,FALSE,"FAS109 OPER 282";#N/A,#N/A,FALSE,"FAS109 OPER 283";#N/A,#N/A,FALSE,"FAS109 Non OPER 283 ";#N/A,#N/A,FALSE,"J.E.UPLOAD DATA"}</definedName>
    <definedName name="_72" localSheetId="7" hidden="1">{#N/A,#N/A,FALSE,"FAS109 Summary";#N/A,#N/A,FALSE,"FAS109 OPER 190 ITC";#N/A,#N/A,FALSE,"FAS109 OPER 190 Other";#N/A,#N/A,FALSE,"FAS109 OPER 282";#N/A,#N/A,FALSE,"FAS109 OPER 283";#N/A,#N/A,FALSE,"FAS109 Non OPER 283 ";#N/A,#N/A,FALSE,"J.E.UPLOAD DATA"}</definedName>
    <definedName name="_72" localSheetId="3" hidden="1">{#N/A,#N/A,FALSE,"FAS109 Summary";#N/A,#N/A,FALSE,"FAS109 OPER 190 ITC";#N/A,#N/A,FALSE,"FAS109 OPER 190 Other";#N/A,#N/A,FALSE,"FAS109 OPER 282";#N/A,#N/A,FALSE,"FAS109 OPER 283";#N/A,#N/A,FALSE,"FAS109 Non OPER 283 ";#N/A,#N/A,FALSE,"J.E.UPLOAD DATA"}</definedName>
    <definedName name="_72" localSheetId="47" hidden="1">{#N/A,#N/A,FALSE,"FAS109 Summary";#N/A,#N/A,FALSE,"FAS109 OPER 190 ITC";#N/A,#N/A,FALSE,"FAS109 OPER 190 Other";#N/A,#N/A,FALSE,"FAS109 OPER 282";#N/A,#N/A,FALSE,"FAS109 OPER 283";#N/A,#N/A,FALSE,"FAS109 Non OPER 283 ";#N/A,#N/A,FALSE,"J.E.UPLOAD DATA"}</definedName>
    <definedName name="_72" hidden="1">{#N/A,#N/A,FALSE,"FAS109 Summary";#N/A,#N/A,FALSE,"FAS109 OPER 190 ITC";#N/A,#N/A,FALSE,"FAS109 OPER 190 Other";#N/A,#N/A,FALSE,"FAS109 OPER 282";#N/A,#N/A,FALSE,"FAS109 OPER 283";#N/A,#N/A,FALSE,"FAS109 Non OPER 283 ";#N/A,#N/A,FALSE,"J.E.UPLOAD DATA"}</definedName>
    <definedName name="_72__123Graph_ACHART_4" hidden="1">[22]Data!$E$30:$E$233</definedName>
    <definedName name="_73" localSheetId="1" hidden="1">{"FAC_SUMMARY",#N/A,FALSE,"Summaries"}</definedName>
    <definedName name="_73" localSheetId="32" hidden="1">{"FAC_SUMMARY",#N/A,FALSE,"Summaries"}</definedName>
    <definedName name="_73" localSheetId="6" hidden="1">{"FAC_SUMMARY",#N/A,FALSE,"Summaries"}</definedName>
    <definedName name="_73" localSheetId="4" hidden="1">{"FAC_SUMMARY",#N/A,FALSE,"Summaries"}</definedName>
    <definedName name="_73" localSheetId="5" hidden="1">{"FAC_SUMMARY",#N/A,FALSE,"Summaries"}</definedName>
    <definedName name="_73" localSheetId="7" hidden="1">{"FAC_SUMMARY",#N/A,FALSE,"Summaries"}</definedName>
    <definedName name="_73" localSheetId="3" hidden="1">{"FAC_SUMMARY",#N/A,FALSE,"Summaries"}</definedName>
    <definedName name="_73" localSheetId="47" hidden="1">{"FAC_SUMMARY",#N/A,FALSE,"Summaries"}</definedName>
    <definedName name="_73" hidden="1">{"FAC_SUMMARY",#N/A,FALSE,"Summaries"}</definedName>
    <definedName name="_74" localSheetId="1" hidden="1">{"FERC_FAC",#N/A,FALSE,"FERC_Fuel&amp;Rev"}</definedName>
    <definedName name="_74" localSheetId="32" hidden="1">{"FERC_FAC",#N/A,FALSE,"FERC_Fuel&amp;Rev"}</definedName>
    <definedName name="_74" localSheetId="6" hidden="1">{"FERC_FAC",#N/A,FALSE,"FERC_Fuel&amp;Rev"}</definedName>
    <definedName name="_74" localSheetId="4" hidden="1">{"FERC_FAC",#N/A,FALSE,"FERC_Fuel&amp;Rev"}</definedName>
    <definedName name="_74" localSheetId="5" hidden="1">{"FERC_FAC",#N/A,FALSE,"FERC_Fuel&amp;Rev"}</definedName>
    <definedName name="_74" localSheetId="7" hidden="1">{"FERC_FAC",#N/A,FALSE,"FERC_Fuel&amp;Rev"}</definedName>
    <definedName name="_74" localSheetId="3" hidden="1">{"FERC_FAC",#N/A,FALSE,"FERC_Fuel&amp;Rev"}</definedName>
    <definedName name="_74" localSheetId="47" hidden="1">{"FERC_FAC",#N/A,FALSE,"FERC_Fuel&amp;Rev"}</definedName>
    <definedName name="_74" hidden="1">{"FERC_FAC",#N/A,FALSE,"FERC_Fuel&amp;Rev"}</definedName>
    <definedName name="_75" localSheetId="1" hidden="1">{"FERC_WEATHER_AND_FUEL",#N/A,FALSE,"FERC_Fuel&amp;Rev"}</definedName>
    <definedName name="_75" localSheetId="32" hidden="1">{"FERC_WEATHER_AND_FUEL",#N/A,FALSE,"FERC_Fuel&amp;Rev"}</definedName>
    <definedName name="_75" localSheetId="6" hidden="1">{"FERC_WEATHER_AND_FUEL",#N/A,FALSE,"FERC_Fuel&amp;Rev"}</definedName>
    <definedName name="_75" localSheetId="4" hidden="1">{"FERC_WEATHER_AND_FUEL",#N/A,FALSE,"FERC_Fuel&amp;Rev"}</definedName>
    <definedName name="_75" localSheetId="5" hidden="1">{"FERC_WEATHER_AND_FUEL",#N/A,FALSE,"FERC_Fuel&amp;Rev"}</definedName>
    <definedName name="_75" localSheetId="7" hidden="1">{"FERC_WEATHER_AND_FUEL",#N/A,FALSE,"FERC_Fuel&amp;Rev"}</definedName>
    <definedName name="_75" localSheetId="3" hidden="1">{"FERC_WEATHER_AND_FUEL",#N/A,FALSE,"FERC_Fuel&amp;Rev"}</definedName>
    <definedName name="_75" localSheetId="47" hidden="1">{"FERC_WEATHER_AND_FUEL",#N/A,FALSE,"FERC_Fuel&amp;Rev"}</definedName>
    <definedName name="_75" hidden="1">{"FERC_WEATHER_AND_FUEL",#N/A,FALSE,"FERC_Fuel&amp;Rev"}</definedName>
    <definedName name="_76" localSheetId="1" hidden="1">{"wp_h4.2",#N/A,FALSE,"WP_H4.2";"wp_h4.3",#N/A,FALSE,"WP_H4.3"}</definedName>
    <definedName name="_76" localSheetId="32" hidden="1">{"wp_h4.2",#N/A,FALSE,"WP_H4.2";"wp_h4.3",#N/A,FALSE,"WP_H4.3"}</definedName>
    <definedName name="_76" localSheetId="6" hidden="1">{"wp_h4.2",#N/A,FALSE,"WP_H4.2";"wp_h4.3",#N/A,FALSE,"WP_H4.3"}</definedName>
    <definedName name="_76" localSheetId="4" hidden="1">{"wp_h4.2",#N/A,FALSE,"WP_H4.2";"wp_h4.3",#N/A,FALSE,"WP_H4.3"}</definedName>
    <definedName name="_76" localSheetId="5" hidden="1">{"wp_h4.2",#N/A,FALSE,"WP_H4.2";"wp_h4.3",#N/A,FALSE,"WP_H4.3"}</definedName>
    <definedName name="_76" localSheetId="7" hidden="1">{"wp_h4.2",#N/A,FALSE,"WP_H4.2";"wp_h4.3",#N/A,FALSE,"WP_H4.3"}</definedName>
    <definedName name="_76" localSheetId="3" hidden="1">{"wp_h4.2",#N/A,FALSE,"WP_H4.2";"wp_h4.3",#N/A,FALSE,"WP_H4.3"}</definedName>
    <definedName name="_76" localSheetId="47" hidden="1">{"wp_h4.2",#N/A,FALSE,"WP_H4.2";"wp_h4.3",#N/A,FALSE,"WP_H4.3"}</definedName>
    <definedName name="_76" hidden="1">{"wp_h4.2",#N/A,FALSE,"WP_H4.2";"wp_h4.3",#N/A,FALSE,"WP_H4.3"}</definedName>
    <definedName name="_77" localSheetId="1" hidden="1">{#N/A,#N/A,FALSE,"GLDwnLoad"}</definedName>
    <definedName name="_77" localSheetId="32" hidden="1">{#N/A,#N/A,FALSE,"GLDwnLoad"}</definedName>
    <definedName name="_77" localSheetId="6" hidden="1">{#N/A,#N/A,FALSE,"GLDwnLoad"}</definedName>
    <definedName name="_77" localSheetId="4" hidden="1">{#N/A,#N/A,FALSE,"GLDwnLoad"}</definedName>
    <definedName name="_77" localSheetId="5" hidden="1">{#N/A,#N/A,FALSE,"GLDwnLoad"}</definedName>
    <definedName name="_77" localSheetId="7" hidden="1">{#N/A,#N/A,FALSE,"GLDwnLoad"}</definedName>
    <definedName name="_77" localSheetId="3" hidden="1">{#N/A,#N/A,FALSE,"GLDwnLoad"}</definedName>
    <definedName name="_77" localSheetId="47" hidden="1">{#N/A,#N/A,FALSE,"GLDwnLoad"}</definedName>
    <definedName name="_77" hidden="1">{#N/A,#N/A,FALSE,"GLDwnLoad"}</definedName>
    <definedName name="_78" localSheetId="1" hidden="1">{#N/A,#N/A,FALSE,"OTHERINPUTS";#N/A,#N/A,FALSE,"SUPPLIEDADJINPUT";#N/A,#N/A,FALSE,"BR&amp;SUPADJ."}</definedName>
    <definedName name="_78" localSheetId="32" hidden="1">{#N/A,#N/A,FALSE,"OTHERINPUTS";#N/A,#N/A,FALSE,"SUPPLIEDADJINPUT";#N/A,#N/A,FALSE,"BR&amp;SUPADJ."}</definedName>
    <definedName name="_78" localSheetId="6" hidden="1">{#N/A,#N/A,FALSE,"OTHERINPUTS";#N/A,#N/A,FALSE,"SUPPLIEDADJINPUT";#N/A,#N/A,FALSE,"BR&amp;SUPADJ."}</definedName>
    <definedName name="_78" localSheetId="4" hidden="1">{#N/A,#N/A,FALSE,"OTHERINPUTS";#N/A,#N/A,FALSE,"SUPPLIEDADJINPUT";#N/A,#N/A,FALSE,"BR&amp;SUPADJ."}</definedName>
    <definedName name="_78" localSheetId="5" hidden="1">{#N/A,#N/A,FALSE,"OTHERINPUTS";#N/A,#N/A,FALSE,"SUPPLIEDADJINPUT";#N/A,#N/A,FALSE,"BR&amp;SUPADJ."}</definedName>
    <definedName name="_78" localSheetId="7" hidden="1">{#N/A,#N/A,FALSE,"OTHERINPUTS";#N/A,#N/A,FALSE,"SUPPLIEDADJINPUT";#N/A,#N/A,FALSE,"BR&amp;SUPADJ."}</definedName>
    <definedName name="_78" localSheetId="3" hidden="1">{#N/A,#N/A,FALSE,"OTHERINPUTS";#N/A,#N/A,FALSE,"SUPPLIEDADJINPUT";#N/A,#N/A,FALSE,"BR&amp;SUPADJ."}</definedName>
    <definedName name="_78" localSheetId="47" hidden="1">{#N/A,#N/A,FALSE,"OTHERINPUTS";#N/A,#N/A,FALSE,"SUPPLIEDADJINPUT";#N/A,#N/A,FALSE,"BR&amp;SUPADJ."}</definedName>
    <definedName name="_78" hidden="1">{#N/A,#N/A,FALSE,"OTHERINPUTS";#N/A,#N/A,FALSE,"SUPPLIEDADJINPUT";#N/A,#N/A,FALSE,"BR&amp;SUPADJ."}</definedName>
    <definedName name="_79"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8"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__123Graph_ACHART_18" hidden="1">'[23]summ graf'!$D$46:$HK$46</definedName>
    <definedName name="_8__123Graph_ACHART_4" hidden="1">[22]Data!$E$30:$E$233</definedName>
    <definedName name="_8__123Graph_BCHART_6" localSheetId="1" hidden="1">[22]Data!#REF!</definedName>
    <definedName name="_8__123Graph_BCHART_6" localSheetId="6" hidden="1">[21]Data!#REF!</definedName>
    <definedName name="_8__123Graph_BCHART_6" localSheetId="7" hidden="1">[21]Data!#REF!</definedName>
    <definedName name="_8__123Graph_BCHART_6" localSheetId="29" hidden="1">[21]Data!#REF!</definedName>
    <definedName name="_8__123Graph_BCHART_6" localSheetId="47" hidden="1">[21]Data!#REF!</definedName>
    <definedName name="_8__123Graph_BCHART_6" hidden="1">[22]Data!#REF!</definedName>
    <definedName name="_80"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2" localSheetId="1" hidden="1">{#N/A,#N/A,FALSE,"Page 1";#N/A,#N/A,FALSE,"Page 2";#N/A,#N/A,FALSE,"Page 3";#N/A,#N/A,FALSE,"Page 4";#N/A,#N/A,FALSE,"Page 5";#N/A,#N/A,FALSE,"Page 6";#N/A,#N/A,FALSE,"Page 7";#N/A,#N/A,FALSE,"Page 8";#N/A,#N/A,FALSE,"Page 9";#N/A,#N/A,FALSE,"PG8WP";#N/A,#N/A,FALSE,"PG9WP"}</definedName>
    <definedName name="_82" localSheetId="32" hidden="1">{#N/A,#N/A,FALSE,"Page 1";#N/A,#N/A,FALSE,"Page 2";#N/A,#N/A,FALSE,"Page 3";#N/A,#N/A,FALSE,"Page 4";#N/A,#N/A,FALSE,"Page 5";#N/A,#N/A,FALSE,"Page 6";#N/A,#N/A,FALSE,"Page 7";#N/A,#N/A,FALSE,"Page 8";#N/A,#N/A,FALSE,"Page 9";#N/A,#N/A,FALSE,"PG8WP";#N/A,#N/A,FALSE,"PG9WP"}</definedName>
    <definedName name="_82" localSheetId="6" hidden="1">{#N/A,#N/A,FALSE,"Page 1";#N/A,#N/A,FALSE,"Page 2";#N/A,#N/A,FALSE,"Page 3";#N/A,#N/A,FALSE,"Page 4";#N/A,#N/A,FALSE,"Page 5";#N/A,#N/A,FALSE,"Page 6";#N/A,#N/A,FALSE,"Page 7";#N/A,#N/A,FALSE,"Page 8";#N/A,#N/A,FALSE,"Page 9";#N/A,#N/A,FALSE,"PG8WP";#N/A,#N/A,FALSE,"PG9WP"}</definedName>
    <definedName name="_82" localSheetId="4" hidden="1">{#N/A,#N/A,FALSE,"Page 1";#N/A,#N/A,FALSE,"Page 2";#N/A,#N/A,FALSE,"Page 3";#N/A,#N/A,FALSE,"Page 4";#N/A,#N/A,FALSE,"Page 5";#N/A,#N/A,FALSE,"Page 6";#N/A,#N/A,FALSE,"Page 7";#N/A,#N/A,FALSE,"Page 8";#N/A,#N/A,FALSE,"Page 9";#N/A,#N/A,FALSE,"PG8WP";#N/A,#N/A,FALSE,"PG9WP"}</definedName>
    <definedName name="_82" localSheetId="5" hidden="1">{#N/A,#N/A,FALSE,"Page 1";#N/A,#N/A,FALSE,"Page 2";#N/A,#N/A,FALSE,"Page 3";#N/A,#N/A,FALSE,"Page 4";#N/A,#N/A,FALSE,"Page 5";#N/A,#N/A,FALSE,"Page 6";#N/A,#N/A,FALSE,"Page 7";#N/A,#N/A,FALSE,"Page 8";#N/A,#N/A,FALSE,"Page 9";#N/A,#N/A,FALSE,"PG8WP";#N/A,#N/A,FALSE,"PG9WP"}</definedName>
    <definedName name="_82" localSheetId="7" hidden="1">{#N/A,#N/A,FALSE,"Page 1";#N/A,#N/A,FALSE,"Page 2";#N/A,#N/A,FALSE,"Page 3";#N/A,#N/A,FALSE,"Page 4";#N/A,#N/A,FALSE,"Page 5";#N/A,#N/A,FALSE,"Page 6";#N/A,#N/A,FALSE,"Page 7";#N/A,#N/A,FALSE,"Page 8";#N/A,#N/A,FALSE,"Page 9";#N/A,#N/A,FALSE,"PG8WP";#N/A,#N/A,FALSE,"PG9WP"}</definedName>
    <definedName name="_82" localSheetId="3" hidden="1">{#N/A,#N/A,FALSE,"Page 1";#N/A,#N/A,FALSE,"Page 2";#N/A,#N/A,FALSE,"Page 3";#N/A,#N/A,FALSE,"Page 4";#N/A,#N/A,FALSE,"Page 5";#N/A,#N/A,FALSE,"Page 6";#N/A,#N/A,FALSE,"Page 7";#N/A,#N/A,FALSE,"Page 8";#N/A,#N/A,FALSE,"Page 9";#N/A,#N/A,FALSE,"PG8WP";#N/A,#N/A,FALSE,"PG9WP"}</definedName>
    <definedName name="_82" localSheetId="47" hidden="1">{#N/A,#N/A,FALSE,"Page 1";#N/A,#N/A,FALSE,"Page 2";#N/A,#N/A,FALSE,"Page 3";#N/A,#N/A,FALSE,"Page 4";#N/A,#N/A,FALSE,"Page 5";#N/A,#N/A,FALSE,"Page 6";#N/A,#N/A,FALSE,"Page 7";#N/A,#N/A,FALSE,"Page 8";#N/A,#N/A,FALSE,"Page 9";#N/A,#N/A,FALSE,"PG8WP";#N/A,#N/A,FALSE,"PG9WP"}</definedName>
    <definedName name="_82" hidden="1">{#N/A,#N/A,FALSE,"Page 1";#N/A,#N/A,FALSE,"Page 2";#N/A,#N/A,FALSE,"Page 3";#N/A,#N/A,FALSE,"Page 4";#N/A,#N/A,FALSE,"Page 5";#N/A,#N/A,FALSE,"Page 6";#N/A,#N/A,FALSE,"Page 7";#N/A,#N/A,FALSE,"Page 8";#N/A,#N/A,FALSE,"Page 9";#N/A,#N/A,FALSE,"PG8WP";#N/A,#N/A,FALSE,"PG9WP"}</definedName>
    <definedName name="_83" localSheetId="1" hidden="1">{#N/A,#N/A,FALSE,"Page 1";#N/A,#N/A,FALSE,"Page 2";#N/A,#N/A,FALSE,"Page 3";#N/A,#N/A,FALSE,"Page 4";#N/A,#N/A,FALSE,"Page 5";#N/A,#N/A,FALSE,"Page 6";#N/A,#N/A,FALSE,"Page 7";#N/A,#N/A,FALSE,"Page 8";#N/A,#N/A,FALSE,"Page 9";#N/A,#N/A,FALSE,"PG8WP";#N/A,#N/A,FALSE,"PG9WP"}</definedName>
    <definedName name="_83" localSheetId="32" hidden="1">{#N/A,#N/A,FALSE,"Page 1";#N/A,#N/A,FALSE,"Page 2";#N/A,#N/A,FALSE,"Page 3";#N/A,#N/A,FALSE,"Page 4";#N/A,#N/A,FALSE,"Page 5";#N/A,#N/A,FALSE,"Page 6";#N/A,#N/A,FALSE,"Page 7";#N/A,#N/A,FALSE,"Page 8";#N/A,#N/A,FALSE,"Page 9";#N/A,#N/A,FALSE,"PG8WP";#N/A,#N/A,FALSE,"PG9WP"}</definedName>
    <definedName name="_83" localSheetId="6" hidden="1">{#N/A,#N/A,FALSE,"Page 1";#N/A,#N/A,FALSE,"Page 2";#N/A,#N/A,FALSE,"Page 3";#N/A,#N/A,FALSE,"Page 4";#N/A,#N/A,FALSE,"Page 5";#N/A,#N/A,FALSE,"Page 6";#N/A,#N/A,FALSE,"Page 7";#N/A,#N/A,FALSE,"Page 8";#N/A,#N/A,FALSE,"Page 9";#N/A,#N/A,FALSE,"PG8WP";#N/A,#N/A,FALSE,"PG9WP"}</definedName>
    <definedName name="_83" localSheetId="4" hidden="1">{#N/A,#N/A,FALSE,"Page 1";#N/A,#N/A,FALSE,"Page 2";#N/A,#N/A,FALSE,"Page 3";#N/A,#N/A,FALSE,"Page 4";#N/A,#N/A,FALSE,"Page 5";#N/A,#N/A,FALSE,"Page 6";#N/A,#N/A,FALSE,"Page 7";#N/A,#N/A,FALSE,"Page 8";#N/A,#N/A,FALSE,"Page 9";#N/A,#N/A,FALSE,"PG8WP";#N/A,#N/A,FALSE,"PG9WP"}</definedName>
    <definedName name="_83" localSheetId="5" hidden="1">{#N/A,#N/A,FALSE,"Page 1";#N/A,#N/A,FALSE,"Page 2";#N/A,#N/A,FALSE,"Page 3";#N/A,#N/A,FALSE,"Page 4";#N/A,#N/A,FALSE,"Page 5";#N/A,#N/A,FALSE,"Page 6";#N/A,#N/A,FALSE,"Page 7";#N/A,#N/A,FALSE,"Page 8";#N/A,#N/A,FALSE,"Page 9";#N/A,#N/A,FALSE,"PG8WP";#N/A,#N/A,FALSE,"PG9WP"}</definedName>
    <definedName name="_83" localSheetId="7" hidden="1">{#N/A,#N/A,FALSE,"Page 1";#N/A,#N/A,FALSE,"Page 2";#N/A,#N/A,FALSE,"Page 3";#N/A,#N/A,FALSE,"Page 4";#N/A,#N/A,FALSE,"Page 5";#N/A,#N/A,FALSE,"Page 6";#N/A,#N/A,FALSE,"Page 7";#N/A,#N/A,FALSE,"Page 8";#N/A,#N/A,FALSE,"Page 9";#N/A,#N/A,FALSE,"PG8WP";#N/A,#N/A,FALSE,"PG9WP"}</definedName>
    <definedName name="_83" localSheetId="3" hidden="1">{#N/A,#N/A,FALSE,"Page 1";#N/A,#N/A,FALSE,"Page 2";#N/A,#N/A,FALSE,"Page 3";#N/A,#N/A,FALSE,"Page 4";#N/A,#N/A,FALSE,"Page 5";#N/A,#N/A,FALSE,"Page 6";#N/A,#N/A,FALSE,"Page 7";#N/A,#N/A,FALSE,"Page 8";#N/A,#N/A,FALSE,"Page 9";#N/A,#N/A,FALSE,"PG8WP";#N/A,#N/A,FALSE,"PG9WP"}</definedName>
    <definedName name="_83" localSheetId="47" hidden="1">{#N/A,#N/A,FALSE,"Page 1";#N/A,#N/A,FALSE,"Page 2";#N/A,#N/A,FALSE,"Page 3";#N/A,#N/A,FALSE,"Page 4";#N/A,#N/A,FALSE,"Page 5";#N/A,#N/A,FALSE,"Page 6";#N/A,#N/A,FALSE,"Page 7";#N/A,#N/A,FALSE,"Page 8";#N/A,#N/A,FALSE,"Page 9";#N/A,#N/A,FALSE,"PG8WP";#N/A,#N/A,FALSE,"PG9WP"}</definedName>
    <definedName name="_83" hidden="1">{#N/A,#N/A,FALSE,"Page 1";#N/A,#N/A,FALSE,"Page 2";#N/A,#N/A,FALSE,"Page 3";#N/A,#N/A,FALSE,"Page 4";#N/A,#N/A,FALSE,"Page 5";#N/A,#N/A,FALSE,"Page 6";#N/A,#N/A,FALSE,"Page 7";#N/A,#N/A,FALSE,"Page 8";#N/A,#N/A,FALSE,"Page 9";#N/A,#N/A,FALSE,"PG8WP";#N/A,#N/A,FALSE,"PG9WP"}</definedName>
    <definedName name="_84" localSheetId="1" hidden="1">{"OK_FUEL_COMPARISON",#N/A,FALSE,"Ok_Fuel&amp;Rev"}</definedName>
    <definedName name="_84" localSheetId="32" hidden="1">{"OK_FUEL_COMPARISON",#N/A,FALSE,"Ok_Fuel&amp;Rev"}</definedName>
    <definedName name="_84" localSheetId="6" hidden="1">{"OK_FUEL_COMPARISON",#N/A,FALSE,"Ok_Fuel&amp;Rev"}</definedName>
    <definedName name="_84" localSheetId="4" hidden="1">{"OK_FUEL_COMPARISON",#N/A,FALSE,"Ok_Fuel&amp;Rev"}</definedName>
    <definedName name="_84" localSheetId="5" hidden="1">{"OK_FUEL_COMPARISON",#N/A,FALSE,"Ok_Fuel&amp;Rev"}</definedName>
    <definedName name="_84" localSheetId="7" hidden="1">{"OK_FUEL_COMPARISON",#N/A,FALSE,"Ok_Fuel&amp;Rev"}</definedName>
    <definedName name="_84" localSheetId="3" hidden="1">{"OK_FUEL_COMPARISON",#N/A,FALSE,"Ok_Fuel&amp;Rev"}</definedName>
    <definedName name="_84" localSheetId="47" hidden="1">{"OK_FUEL_COMPARISON",#N/A,FALSE,"Ok_Fuel&amp;Rev"}</definedName>
    <definedName name="_84" hidden="1">{"OK_FUEL_COMPARISON",#N/A,FALSE,"Ok_Fuel&amp;Rev"}</definedName>
    <definedName name="_84__123Graph_ACHART_4" hidden="1">[28]Data!$E$30:$E$233</definedName>
    <definedName name="_84__123Graph_ACHART_6" hidden="1">[29]Data!$E$30:$E$229</definedName>
    <definedName name="_85" localSheetId="1" hidden="1">{"OK_JURIS_FAC",#N/A,FALSE,"Ok_Fuel&amp;Rev"}</definedName>
    <definedName name="_85" localSheetId="32" hidden="1">{"OK_JURIS_FAC",#N/A,FALSE,"Ok_Fuel&amp;Rev"}</definedName>
    <definedName name="_85" localSheetId="6" hidden="1">{"OK_JURIS_FAC",#N/A,FALSE,"Ok_Fuel&amp;Rev"}</definedName>
    <definedName name="_85" localSheetId="4" hidden="1">{"OK_JURIS_FAC",#N/A,FALSE,"Ok_Fuel&amp;Rev"}</definedName>
    <definedName name="_85" localSheetId="5" hidden="1">{"OK_JURIS_FAC",#N/A,FALSE,"Ok_Fuel&amp;Rev"}</definedName>
    <definedName name="_85" localSheetId="7" hidden="1">{"OK_JURIS_FAC",#N/A,FALSE,"Ok_Fuel&amp;Rev"}</definedName>
    <definedName name="_85" localSheetId="3" hidden="1">{"OK_JURIS_FAC",#N/A,FALSE,"Ok_Fuel&amp;Rev"}</definedName>
    <definedName name="_85" localSheetId="47" hidden="1">{"OK_JURIS_FAC",#N/A,FALSE,"Ok_Fuel&amp;Rev"}</definedName>
    <definedName name="_85" hidden="1">{"OK_JURIS_FAC",#N/A,FALSE,"Ok_Fuel&amp;Rev"}</definedName>
    <definedName name="_85__123Graph_ACHART_5" hidden="1">[22]Data!$O$30:$O$226</definedName>
    <definedName name="_86" localSheetId="1" hidden="1">{"OK_JURIS_FUEL",#N/A,FALSE,"Ok_Fuel&amp;Rev"}</definedName>
    <definedName name="_86" localSheetId="32" hidden="1">{"OK_JURIS_FUEL",#N/A,FALSE,"Ok_Fuel&amp;Rev"}</definedName>
    <definedName name="_86" localSheetId="6" hidden="1">{"OK_JURIS_FUEL",#N/A,FALSE,"Ok_Fuel&amp;Rev"}</definedName>
    <definedName name="_86" localSheetId="4" hidden="1">{"OK_JURIS_FUEL",#N/A,FALSE,"Ok_Fuel&amp;Rev"}</definedName>
    <definedName name="_86" localSheetId="5" hidden="1">{"OK_JURIS_FUEL",#N/A,FALSE,"Ok_Fuel&amp;Rev"}</definedName>
    <definedName name="_86" localSheetId="7" hidden="1">{"OK_JURIS_FUEL",#N/A,FALSE,"Ok_Fuel&amp;Rev"}</definedName>
    <definedName name="_86" localSheetId="3" hidden="1">{"OK_JURIS_FUEL",#N/A,FALSE,"Ok_Fuel&amp;Rev"}</definedName>
    <definedName name="_86" localSheetId="47" hidden="1">{"OK_JURIS_FUEL",#N/A,FALSE,"Ok_Fuel&amp;Rev"}</definedName>
    <definedName name="_86" hidden="1">{"OK_JURIS_FUEL",#N/A,FALSE,"Ok_Fuel&amp;Rev"}</definedName>
    <definedName name="_87" localSheetId="1" hidden="1">{"OK_PRO_FORMA_FUEL",#N/A,FALSE,"Ok_Fuel&amp;Rev"}</definedName>
    <definedName name="_87" localSheetId="32" hidden="1">{"OK_PRO_FORMA_FUEL",#N/A,FALSE,"Ok_Fuel&amp;Rev"}</definedName>
    <definedName name="_87" localSheetId="6" hidden="1">{"OK_PRO_FORMA_FUEL",#N/A,FALSE,"Ok_Fuel&amp;Rev"}</definedName>
    <definedName name="_87" localSheetId="4" hidden="1">{"OK_PRO_FORMA_FUEL",#N/A,FALSE,"Ok_Fuel&amp;Rev"}</definedName>
    <definedName name="_87" localSheetId="5" hidden="1">{"OK_PRO_FORMA_FUEL",#N/A,FALSE,"Ok_Fuel&amp;Rev"}</definedName>
    <definedName name="_87" localSheetId="7" hidden="1">{"OK_PRO_FORMA_FUEL",#N/A,FALSE,"Ok_Fuel&amp;Rev"}</definedName>
    <definedName name="_87" localSheetId="3" hidden="1">{"OK_PRO_FORMA_FUEL",#N/A,FALSE,"Ok_Fuel&amp;Rev"}</definedName>
    <definedName name="_87" localSheetId="47" hidden="1">{"OK_PRO_FORMA_FUEL",#N/A,FALSE,"Ok_Fuel&amp;Rev"}</definedName>
    <definedName name="_87" hidden="1">{"OK_PRO_FORMA_FUEL",#N/A,FALSE,"Ok_Fuel&amp;Rev"}</definedName>
    <definedName name="_88" localSheetId="1" hidden="1">{"PF",#N/A,FALSE,"Sheet4";"PG",#N/A,FALSE,"Sheet4";"PH",#N/A,FALSE,"Sheet4";"PI",#N/A,FALSE,"Sheet4";"PJ",#N/A,FALSE,"Sheet4"}</definedName>
    <definedName name="_88" localSheetId="32" hidden="1">{"PF",#N/A,FALSE,"Sheet4";"PG",#N/A,FALSE,"Sheet4";"PH",#N/A,FALSE,"Sheet4";"PI",#N/A,FALSE,"Sheet4";"PJ",#N/A,FALSE,"Sheet4"}</definedName>
    <definedName name="_88" localSheetId="6" hidden="1">{"PF",#N/A,FALSE,"Sheet4";"PG",#N/A,FALSE,"Sheet4";"PH",#N/A,FALSE,"Sheet4";"PI",#N/A,FALSE,"Sheet4";"PJ",#N/A,FALSE,"Sheet4"}</definedName>
    <definedName name="_88" localSheetId="4" hidden="1">{"PF",#N/A,FALSE,"Sheet4";"PG",#N/A,FALSE,"Sheet4";"PH",#N/A,FALSE,"Sheet4";"PI",#N/A,FALSE,"Sheet4";"PJ",#N/A,FALSE,"Sheet4"}</definedName>
    <definedName name="_88" localSheetId="5" hidden="1">{"PF",#N/A,FALSE,"Sheet4";"PG",#N/A,FALSE,"Sheet4";"PH",#N/A,FALSE,"Sheet4";"PI",#N/A,FALSE,"Sheet4";"PJ",#N/A,FALSE,"Sheet4"}</definedName>
    <definedName name="_88" localSheetId="7" hidden="1">{"PF",#N/A,FALSE,"Sheet4";"PG",#N/A,FALSE,"Sheet4";"PH",#N/A,FALSE,"Sheet4";"PI",#N/A,FALSE,"Sheet4";"PJ",#N/A,FALSE,"Sheet4"}</definedName>
    <definedName name="_88" localSheetId="3" hidden="1">{"PF",#N/A,FALSE,"Sheet4";"PG",#N/A,FALSE,"Sheet4";"PH",#N/A,FALSE,"Sheet4";"PI",#N/A,FALSE,"Sheet4";"PJ",#N/A,FALSE,"Sheet4"}</definedName>
    <definedName name="_88" localSheetId="47" hidden="1">{"PF",#N/A,FALSE,"Sheet4";"PG",#N/A,FALSE,"Sheet4";"PH",#N/A,FALSE,"Sheet4";"PI",#N/A,FALSE,"Sheet4";"PJ",#N/A,FALSE,"Sheet4"}</definedName>
    <definedName name="_88" hidden="1">{"PF",#N/A,FALSE,"Sheet4";"PG",#N/A,FALSE,"Sheet4";"PH",#N/A,FALSE,"Sheet4";"PI",#N/A,FALSE,"Sheet4";"PJ",#N/A,FALSE,"Sheet4"}</definedName>
    <definedName name="_89" localSheetId="1" hidden="1">{"OMPA_FAC",#N/A,FALSE,"OMPA FAC"}</definedName>
    <definedName name="_89" localSheetId="32" hidden="1">{"OMPA_FAC",#N/A,FALSE,"OMPA FAC"}</definedName>
    <definedName name="_89" localSheetId="6" hidden="1">{"OMPA_FAC",#N/A,FALSE,"OMPA FAC"}</definedName>
    <definedName name="_89" localSheetId="4" hidden="1">{"OMPA_FAC",#N/A,FALSE,"OMPA FAC"}</definedName>
    <definedName name="_89" localSheetId="5" hidden="1">{"OMPA_FAC",#N/A,FALSE,"OMPA FAC"}</definedName>
    <definedName name="_89" localSheetId="7" hidden="1">{"OMPA_FAC",#N/A,FALSE,"OMPA FAC"}</definedName>
    <definedName name="_89" localSheetId="3" hidden="1">{"OMPA_FAC",#N/A,FALSE,"OMPA FAC"}</definedName>
    <definedName name="_89" localSheetId="47" hidden="1">{"OMPA_FAC",#N/A,FALSE,"OMPA FAC"}</definedName>
    <definedName name="_89" hidden="1">{"OMPA_FAC",#N/A,FALSE,"OMPA FAC"}</definedName>
    <definedName name="_9" localSheetId="1" hidden="1">{"caz2",#N/A,FALSE,"Central Arizona 2";"saz2",#N/A,FALSE,"Southern Arizona 2";"snv2",#N/A,FALSE,"Southern Nevada 2";"nnv2",#N/A,FALSE,"Northern Nevada 2";"sca2",#N/A,FALSE,"Southern California 2";"nca2",#N/A,FALSE,"Northern California 2";"pai2",#N/A,FALSE,"Paiute 2"}</definedName>
    <definedName name="_9" localSheetId="32" hidden="1">{"caz2",#N/A,FALSE,"Central Arizona 2";"saz2",#N/A,FALSE,"Southern Arizona 2";"snv2",#N/A,FALSE,"Southern Nevada 2";"nnv2",#N/A,FALSE,"Northern Nevada 2";"sca2",#N/A,FALSE,"Southern California 2";"nca2",#N/A,FALSE,"Northern California 2";"pai2",#N/A,FALSE,"Paiute 2"}</definedName>
    <definedName name="_9" localSheetId="6" hidden="1">{"caz2",#N/A,FALSE,"Central Arizona 2";"saz2",#N/A,FALSE,"Southern Arizona 2";"snv2",#N/A,FALSE,"Southern Nevada 2";"nnv2",#N/A,FALSE,"Northern Nevada 2";"sca2",#N/A,FALSE,"Southern California 2";"nca2",#N/A,FALSE,"Northern California 2";"pai2",#N/A,FALSE,"Paiute 2"}</definedName>
    <definedName name="_9" localSheetId="4" hidden="1">{"caz2",#N/A,FALSE,"Central Arizona 2";"saz2",#N/A,FALSE,"Southern Arizona 2";"snv2",#N/A,FALSE,"Southern Nevada 2";"nnv2",#N/A,FALSE,"Northern Nevada 2";"sca2",#N/A,FALSE,"Southern California 2";"nca2",#N/A,FALSE,"Northern California 2";"pai2",#N/A,FALSE,"Paiute 2"}</definedName>
    <definedName name="_9" localSheetId="5" hidden="1">{"caz2",#N/A,FALSE,"Central Arizona 2";"saz2",#N/A,FALSE,"Southern Arizona 2";"snv2",#N/A,FALSE,"Southern Nevada 2";"nnv2",#N/A,FALSE,"Northern Nevada 2";"sca2",#N/A,FALSE,"Southern California 2";"nca2",#N/A,FALSE,"Northern California 2";"pai2",#N/A,FALSE,"Paiute 2"}</definedName>
    <definedName name="_9" localSheetId="7" hidden="1">{"caz2",#N/A,FALSE,"Central Arizona 2";"saz2",#N/A,FALSE,"Southern Arizona 2";"snv2",#N/A,FALSE,"Southern Nevada 2";"nnv2",#N/A,FALSE,"Northern Nevada 2";"sca2",#N/A,FALSE,"Southern California 2";"nca2",#N/A,FALSE,"Northern California 2";"pai2",#N/A,FALSE,"Paiute 2"}</definedName>
    <definedName name="_9" localSheetId="3" hidden="1">{"caz2",#N/A,FALSE,"Central Arizona 2";"saz2",#N/A,FALSE,"Southern Arizona 2";"snv2",#N/A,FALSE,"Southern Nevada 2";"nnv2",#N/A,FALSE,"Northern Nevada 2";"sca2",#N/A,FALSE,"Southern California 2";"nca2",#N/A,FALSE,"Northern California 2";"pai2",#N/A,FALSE,"Paiute 2"}</definedName>
    <definedName name="_9" localSheetId="47" hidden="1">{"caz2",#N/A,FALSE,"Central Arizona 2";"saz2",#N/A,FALSE,"Southern Arizona 2";"snv2",#N/A,FALSE,"Southern Nevada 2";"nnv2",#N/A,FALSE,"Northern Nevada 2";"sca2",#N/A,FALSE,"Southern California 2";"nca2",#N/A,FALSE,"Northern California 2";"pai2",#N/A,FALSE,"Paiute 2"}</definedName>
    <definedName name="_9" hidden="1">{"caz2",#N/A,FALSE,"Central Arizona 2";"saz2",#N/A,FALSE,"Southern Arizona 2";"snv2",#N/A,FALSE,"Southern Nevada 2";"nnv2",#N/A,FALSE,"Northern Nevada 2";"sca2",#N/A,FALSE,"Southern California 2";"nca2",#N/A,FALSE,"Northern California 2";"pai2",#N/A,FALSE,"Paiute 2"}</definedName>
    <definedName name="_9__123Graph_BCHART_13" hidden="1">'[23]summ graf'!$D$20:$BM$20</definedName>
    <definedName name="_9__123Graph_CCHART_4" localSheetId="6" hidden="1">[21]Data!$C$30:$C$233</definedName>
    <definedName name="_9__123Graph_CCHART_4" localSheetId="7" hidden="1">[21]Data!$C$30:$C$233</definedName>
    <definedName name="_9__123Graph_CCHART_4" localSheetId="29" hidden="1">[21]Data!$C$30:$C$233</definedName>
    <definedName name="_9__123Graph_CCHART_4" localSheetId="47" hidden="1">[21]Data!$C$30:$C$233</definedName>
    <definedName name="_9__123Graph_CCHART_4" hidden="1">[22]Data!$C$30:$C$233</definedName>
    <definedName name="_90" localSheetId="1" hidden="1">{"OTHER_DATA",#N/A,FALSE,"Ok_Fuel&amp;Rev"}</definedName>
    <definedName name="_90" localSheetId="32" hidden="1">{"OTHER_DATA",#N/A,FALSE,"Ok_Fuel&amp;Rev"}</definedName>
    <definedName name="_90" localSheetId="6" hidden="1">{"OTHER_DATA",#N/A,FALSE,"Ok_Fuel&amp;Rev"}</definedName>
    <definedName name="_90" localSheetId="4" hidden="1">{"OTHER_DATA",#N/A,FALSE,"Ok_Fuel&amp;Rev"}</definedName>
    <definedName name="_90" localSheetId="5" hidden="1">{"OTHER_DATA",#N/A,FALSE,"Ok_Fuel&amp;Rev"}</definedName>
    <definedName name="_90" localSheetId="7" hidden="1">{"OTHER_DATA",#N/A,FALSE,"Ok_Fuel&amp;Rev"}</definedName>
    <definedName name="_90" localSheetId="3" hidden="1">{"OTHER_DATA",#N/A,FALSE,"Ok_Fuel&amp;Rev"}</definedName>
    <definedName name="_90" localSheetId="47" hidden="1">{"OTHER_DATA",#N/A,FALSE,"Ok_Fuel&amp;Rev"}</definedName>
    <definedName name="_90" hidden="1">{"OTHER_DATA",#N/A,FALSE,"Ok_Fuel&amp;Rev"}</definedName>
    <definedName name="_90__123Graph_ACHART_5" hidden="1">[22]Data!$O$30:$O$226</definedName>
    <definedName name="_91"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5"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4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2" localSheetId="1" hidden="1">{"summary",#N/A,TRUE,"E93ADJ";"detail",#N/A,TRUE,"E93ADJ"}</definedName>
    <definedName name="_92" localSheetId="32" hidden="1">{"summary",#N/A,TRUE,"E93ADJ";"detail",#N/A,TRUE,"E93ADJ"}</definedName>
    <definedName name="_92" localSheetId="6" hidden="1">{"summary",#N/A,TRUE,"E93ADJ";"detail",#N/A,TRUE,"E93ADJ"}</definedName>
    <definedName name="_92" localSheetId="4" hidden="1">{"summary",#N/A,TRUE,"E93ADJ";"detail",#N/A,TRUE,"E93ADJ"}</definedName>
    <definedName name="_92" localSheetId="5" hidden="1">{"summary",#N/A,TRUE,"E93ADJ";"detail",#N/A,TRUE,"E93ADJ"}</definedName>
    <definedName name="_92" localSheetId="7" hidden="1">{"summary",#N/A,TRUE,"E93ADJ";"detail",#N/A,TRUE,"E93ADJ"}</definedName>
    <definedName name="_92" localSheetId="3" hidden="1">{"summary",#N/A,TRUE,"E93ADJ";"detail",#N/A,TRUE,"E93ADJ"}</definedName>
    <definedName name="_92" localSheetId="47" hidden="1">{"summary",#N/A,TRUE,"E93ADJ";"detail",#N/A,TRUE,"E93ADJ"}</definedName>
    <definedName name="_92" hidden="1">{"summary",#N/A,TRUE,"E93ADJ";"detail",#N/A,TRUE,"E93ADJ"}</definedName>
    <definedName name="_93" localSheetId="1" hidden="1">{"print1",#N/A,FALSE,"D21CUSTS"}</definedName>
    <definedName name="_93" localSheetId="32" hidden="1">{"print1",#N/A,FALSE,"D21CUSTS"}</definedName>
    <definedName name="_93" localSheetId="6" hidden="1">{"print1",#N/A,FALSE,"D21CUSTS"}</definedName>
    <definedName name="_93" localSheetId="4" hidden="1">{"print1",#N/A,FALSE,"D21CUSTS"}</definedName>
    <definedName name="_93" localSheetId="5" hidden="1">{"print1",#N/A,FALSE,"D21CUSTS"}</definedName>
    <definedName name="_93" localSheetId="7" hidden="1">{"print1",#N/A,FALSE,"D21CUSTS"}</definedName>
    <definedName name="_93" localSheetId="3" hidden="1">{"print1",#N/A,FALSE,"D21CUSTS"}</definedName>
    <definedName name="_93" localSheetId="47" hidden="1">{"print1",#N/A,FALSE,"D21CUSTS"}</definedName>
    <definedName name="_93" hidden="1">{"print1",#N/A,FALSE,"D21CUSTS"}</definedName>
    <definedName name="_94" localSheetId="1" hidden="1">{"print2",#N/A,FALSE,"D21CUSTS"}</definedName>
    <definedName name="_94" localSheetId="32" hidden="1">{"print2",#N/A,FALSE,"D21CUSTS"}</definedName>
    <definedName name="_94" localSheetId="6" hidden="1">{"print2",#N/A,FALSE,"D21CUSTS"}</definedName>
    <definedName name="_94" localSheetId="4" hidden="1">{"print2",#N/A,FALSE,"D21CUSTS"}</definedName>
    <definedName name="_94" localSheetId="5" hidden="1">{"print2",#N/A,FALSE,"D21CUSTS"}</definedName>
    <definedName name="_94" localSheetId="7" hidden="1">{"print2",#N/A,FALSE,"D21CUSTS"}</definedName>
    <definedName name="_94" localSheetId="3" hidden="1">{"print2",#N/A,FALSE,"D21CUSTS"}</definedName>
    <definedName name="_94" localSheetId="47" hidden="1">{"print2",#N/A,FALSE,"D21CUSTS"}</definedName>
    <definedName name="_94" hidden="1">{"print2",#N/A,FALSE,"D21CUSTS"}</definedName>
    <definedName name="_95" localSheetId="1" hidden="1">{"print3",#N/A,FALSE,"D21CUSTS"}</definedName>
    <definedName name="_95" localSheetId="32" hidden="1">{"print3",#N/A,FALSE,"D21CUSTS"}</definedName>
    <definedName name="_95" localSheetId="6" hidden="1">{"print3",#N/A,FALSE,"D21CUSTS"}</definedName>
    <definedName name="_95" localSheetId="4" hidden="1">{"print3",#N/A,FALSE,"D21CUSTS"}</definedName>
    <definedName name="_95" localSheetId="5" hidden="1">{"print3",#N/A,FALSE,"D21CUSTS"}</definedName>
    <definedName name="_95" localSheetId="7" hidden="1">{"print3",#N/A,FALSE,"D21CUSTS"}</definedName>
    <definedName name="_95" localSheetId="3" hidden="1">{"print3",#N/A,FALSE,"D21CUSTS"}</definedName>
    <definedName name="_95" localSheetId="47" hidden="1">{"print3",#N/A,FALSE,"D21CUSTS"}</definedName>
    <definedName name="_95" hidden="1">{"print3",#N/A,FALSE,"D21CUSTS"}</definedName>
    <definedName name="_96" localSheetId="1" hidden="1">{"print4",#N/A,FALSE,"D21CUSTS"}</definedName>
    <definedName name="_96" localSheetId="32" hidden="1">{"print4",#N/A,FALSE,"D21CUSTS"}</definedName>
    <definedName name="_96" localSheetId="6" hidden="1">{"print4",#N/A,FALSE,"D21CUSTS"}</definedName>
    <definedName name="_96" localSheetId="4" hidden="1">{"print4",#N/A,FALSE,"D21CUSTS"}</definedName>
    <definedName name="_96" localSheetId="5" hidden="1">{"print4",#N/A,FALSE,"D21CUSTS"}</definedName>
    <definedName name="_96" localSheetId="7" hidden="1">{"print4",#N/A,FALSE,"D21CUSTS"}</definedName>
    <definedName name="_96" localSheetId="3" hidden="1">{"print4",#N/A,FALSE,"D21CUSTS"}</definedName>
    <definedName name="_96" localSheetId="47" hidden="1">{"print4",#N/A,FALSE,"D21CUSTS"}</definedName>
    <definedName name="_96" hidden="1">{"print4",#N/A,FALSE,"D21CUSTS"}</definedName>
    <definedName name="_9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8" localSheetId="1" hidden="1">{"caz2",#N/A,FALSE,"Central Arizona 2";"saz2",#N/A,FALSE,"Southern Arizona 2";"snv2",#N/A,FALSE,"Southern Nevada 2";"nnv2",#N/A,FALSE,"Northern Nevada 2";"sca2",#N/A,FALSE,"Southern California 2";"nca2",#N/A,FALSE,"Northern California 2";"pai2",#N/A,FALSE,"Paiute 2"}</definedName>
    <definedName name="_98" localSheetId="32" hidden="1">{"caz2",#N/A,FALSE,"Central Arizona 2";"saz2",#N/A,FALSE,"Southern Arizona 2";"snv2",#N/A,FALSE,"Southern Nevada 2";"nnv2",#N/A,FALSE,"Northern Nevada 2";"sca2",#N/A,FALSE,"Southern California 2";"nca2",#N/A,FALSE,"Northern California 2";"pai2",#N/A,FALSE,"Paiute 2"}</definedName>
    <definedName name="_98" localSheetId="6" hidden="1">{"caz2",#N/A,FALSE,"Central Arizona 2";"saz2",#N/A,FALSE,"Southern Arizona 2";"snv2",#N/A,FALSE,"Southern Nevada 2";"nnv2",#N/A,FALSE,"Northern Nevada 2";"sca2",#N/A,FALSE,"Southern California 2";"nca2",#N/A,FALSE,"Northern California 2";"pai2",#N/A,FALSE,"Paiute 2"}</definedName>
    <definedName name="_98" localSheetId="4" hidden="1">{"caz2",#N/A,FALSE,"Central Arizona 2";"saz2",#N/A,FALSE,"Southern Arizona 2";"snv2",#N/A,FALSE,"Southern Nevada 2";"nnv2",#N/A,FALSE,"Northern Nevada 2";"sca2",#N/A,FALSE,"Southern California 2";"nca2",#N/A,FALSE,"Northern California 2";"pai2",#N/A,FALSE,"Paiute 2"}</definedName>
    <definedName name="_98" localSheetId="5" hidden="1">{"caz2",#N/A,FALSE,"Central Arizona 2";"saz2",#N/A,FALSE,"Southern Arizona 2";"snv2",#N/A,FALSE,"Southern Nevada 2";"nnv2",#N/A,FALSE,"Northern Nevada 2";"sca2",#N/A,FALSE,"Southern California 2";"nca2",#N/A,FALSE,"Northern California 2";"pai2",#N/A,FALSE,"Paiute 2"}</definedName>
    <definedName name="_98" localSheetId="7" hidden="1">{"caz2",#N/A,FALSE,"Central Arizona 2";"saz2",#N/A,FALSE,"Southern Arizona 2";"snv2",#N/A,FALSE,"Southern Nevada 2";"nnv2",#N/A,FALSE,"Northern Nevada 2";"sca2",#N/A,FALSE,"Southern California 2";"nca2",#N/A,FALSE,"Northern California 2";"pai2",#N/A,FALSE,"Paiute 2"}</definedName>
    <definedName name="_98" localSheetId="3" hidden="1">{"caz2",#N/A,FALSE,"Central Arizona 2";"saz2",#N/A,FALSE,"Southern Arizona 2";"snv2",#N/A,FALSE,"Southern Nevada 2";"nnv2",#N/A,FALSE,"Northern Nevada 2";"sca2",#N/A,FALSE,"Southern California 2";"nca2",#N/A,FALSE,"Northern California 2";"pai2",#N/A,FALSE,"Paiute 2"}</definedName>
    <definedName name="_98" localSheetId="47" hidden="1">{"caz2",#N/A,FALSE,"Central Arizona 2";"saz2",#N/A,FALSE,"Southern Arizona 2";"snv2",#N/A,FALSE,"Southern Nevada 2";"nnv2",#N/A,FALSE,"Northern Nevada 2";"sca2",#N/A,FALSE,"Southern California 2";"nca2",#N/A,FALSE,"Northern California 2";"pai2",#N/A,FALSE,"Paiute 2"}</definedName>
    <definedName name="_98" hidden="1">{"caz2",#N/A,FALSE,"Central Arizona 2";"saz2",#N/A,FALSE,"Southern Arizona 2";"snv2",#N/A,FALSE,"Southern Nevada 2";"nnv2",#N/A,FALSE,"Northern Nevada 2";"sca2",#N/A,FALSE,"Southern California 2";"nca2",#N/A,FALSE,"Northern California 2";"pai2",#N/A,FALSE,"Paiute 2"}</definedName>
    <definedName name="_98__123Graph_BCHART_5" hidden="1">[29]Data!$P$30:$P$229</definedName>
    <definedName name="_99" localSheetId="1" hidden="1">{#N/A,#N/A,FALSE,"GLDwnLoad"}</definedName>
    <definedName name="_99" localSheetId="32" hidden="1">{#N/A,#N/A,FALSE,"GLDwnLoad"}</definedName>
    <definedName name="_99" localSheetId="6" hidden="1">{#N/A,#N/A,FALSE,"GLDwnLoad"}</definedName>
    <definedName name="_99" localSheetId="4" hidden="1">{#N/A,#N/A,FALSE,"GLDwnLoad"}</definedName>
    <definedName name="_99" localSheetId="5" hidden="1">{#N/A,#N/A,FALSE,"GLDwnLoad"}</definedName>
    <definedName name="_99" localSheetId="7" hidden="1">{#N/A,#N/A,FALSE,"GLDwnLoad"}</definedName>
    <definedName name="_99" localSheetId="3" hidden="1">{#N/A,#N/A,FALSE,"GLDwnLoad"}</definedName>
    <definedName name="_99" localSheetId="47" hidden="1">{#N/A,#N/A,FALSE,"GLDwnLoad"}</definedName>
    <definedName name="_99" hidden="1">{#N/A,#N/A,FALSE,"GLDwnLoad"}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localSheetId="1" hidden="1">{#N/A,#N/A,FALSE,"SCA";#N/A,#N/A,FALSE,"NCA";#N/A,#N/A,FALSE,"SAZ";#N/A,#N/A,FALSE,"CAZ";#N/A,#N/A,FALSE,"SNV";#N/A,#N/A,FALSE,"NNV";#N/A,#N/A,FALSE,"PP";#N/A,#N/A,FALSE,"SA"}</definedName>
    <definedName name="_b" localSheetId="32" hidden="1">{#N/A,#N/A,FALSE,"SCA";#N/A,#N/A,FALSE,"NCA";#N/A,#N/A,FALSE,"SAZ";#N/A,#N/A,FALSE,"CAZ";#N/A,#N/A,FALSE,"SNV";#N/A,#N/A,FALSE,"NNV";#N/A,#N/A,FALSE,"PP";#N/A,#N/A,FALSE,"SA"}</definedName>
    <definedName name="_b" localSheetId="6" hidden="1">{#N/A,#N/A,FALSE,"SCA";#N/A,#N/A,FALSE,"NCA";#N/A,#N/A,FALSE,"SAZ";#N/A,#N/A,FALSE,"CAZ";#N/A,#N/A,FALSE,"SNV";#N/A,#N/A,FALSE,"NNV";#N/A,#N/A,FALSE,"PP";#N/A,#N/A,FALSE,"SA"}</definedName>
    <definedName name="_b" localSheetId="4" hidden="1">{#N/A,#N/A,FALSE,"SCA";#N/A,#N/A,FALSE,"NCA";#N/A,#N/A,FALSE,"SAZ";#N/A,#N/A,FALSE,"CAZ";#N/A,#N/A,FALSE,"SNV";#N/A,#N/A,FALSE,"NNV";#N/A,#N/A,FALSE,"PP";#N/A,#N/A,FALSE,"SA"}</definedName>
    <definedName name="_b" localSheetId="5" hidden="1">{#N/A,#N/A,FALSE,"SCA";#N/A,#N/A,FALSE,"NCA";#N/A,#N/A,FALSE,"SAZ";#N/A,#N/A,FALSE,"CAZ";#N/A,#N/A,FALSE,"SNV";#N/A,#N/A,FALSE,"NNV";#N/A,#N/A,FALSE,"PP";#N/A,#N/A,FALSE,"SA"}</definedName>
    <definedName name="_b" localSheetId="7" hidden="1">{#N/A,#N/A,FALSE,"SCA";#N/A,#N/A,FALSE,"NCA";#N/A,#N/A,FALSE,"SAZ";#N/A,#N/A,FALSE,"CAZ";#N/A,#N/A,FALSE,"SNV";#N/A,#N/A,FALSE,"NNV";#N/A,#N/A,FALSE,"PP";#N/A,#N/A,FALSE,"SA"}</definedName>
    <definedName name="_b" localSheetId="3" hidden="1">{#N/A,#N/A,FALSE,"SCA";#N/A,#N/A,FALSE,"NCA";#N/A,#N/A,FALSE,"SAZ";#N/A,#N/A,FALSE,"CAZ";#N/A,#N/A,FALSE,"SNV";#N/A,#N/A,FALSE,"NNV";#N/A,#N/A,FALSE,"PP";#N/A,#N/A,FALSE,"SA"}</definedName>
    <definedName name="_b" localSheetId="47" hidden="1">{#N/A,#N/A,FALSE,"SCA";#N/A,#N/A,FALSE,"NCA";#N/A,#N/A,FALSE,"SAZ";#N/A,#N/A,FALSE,"CAZ";#N/A,#N/A,FALSE,"SNV";#N/A,#N/A,FALSE,"NNV";#N/A,#N/A,FALSE,"PP";#N/A,#N/A,FALSE,"SA"}</definedName>
    <definedName name="_b" hidden="1">{#N/A,#N/A,FALSE,"SCA";#N/A,#N/A,FALSE,"NCA";#N/A,#N/A,FALSE,"SAZ";#N/A,#N/A,FALSE,"CAZ";#N/A,#N/A,FALSE,"SNV";#N/A,#N/A,FALSE,"NNV";#N/A,#N/A,FALSE,"PP";#N/A,#N/A,FALSE,"SA"}</definedName>
    <definedName name="_bdm.0291A1646F1441D7AC944D0E5EFE3283.edm" localSheetId="6" hidden="1">#REF!</definedName>
    <definedName name="_bdm.0291A1646F1441D7AC944D0E5EFE3283.edm" localSheetId="7" hidden="1">#REF!</definedName>
    <definedName name="_bdm.0291A1646F1441D7AC944D0E5EFE3283.edm" localSheetId="3" hidden="1">#REF!</definedName>
    <definedName name="_bdm.0291A1646F1441D7AC944D0E5EFE3283.edm" localSheetId="47" hidden="1">#REF!</definedName>
    <definedName name="_bdm.0291A1646F1441D7AC944D0E5EFE3283.edm" hidden="1">#REF!</definedName>
    <definedName name="_bdm.4DE531A3AAE1459EA607D86D30555044.edm" localSheetId="5" hidden="1">#REF!</definedName>
    <definedName name="_bdm.4DE531A3AAE1459EA607D86D30555044.edm" localSheetId="3" hidden="1">#REF!</definedName>
    <definedName name="_bdm.4DE531A3AAE1459EA607D86D30555044.edm" hidden="1">#REF!</definedName>
    <definedName name="_bdm.61ECA6B5D6964E25B194F839DA09F1DE.edm" localSheetId="5" hidden="1">#REF!</definedName>
    <definedName name="_bdm.61ECA6B5D6964E25B194F839DA09F1DE.edm" localSheetId="3" hidden="1">#REF!</definedName>
    <definedName name="_bdm.61ECA6B5D6964E25B194F839DA09F1DE.edm" hidden="1">#REF!</definedName>
    <definedName name="_bdm.EF8E132A659C430387D12CF4C0897727.edm" localSheetId="5" hidden="1">#REF!</definedName>
    <definedName name="_bdm.EF8E132A659C430387D12CF4C0897727.edm" localSheetId="3" hidden="1">#REF!</definedName>
    <definedName name="_bdm.EF8E132A659C430387D12CF4C0897727.edm" hidden="1">#REF!</definedName>
    <definedName name="_con4050" localSheetId="32" hidden="1">{#N/A,"Anonymous",FALSE,"30 30k Table";#N/A,#N/A,FALSE,"30 50k Table";#N/A,#N/A,FALSE,"40 100k Table"}</definedName>
    <definedName name="_con4050" localSheetId="6" hidden="1">{#N/A,"Anonymous",FALSE,"30 30k Table";#N/A,#N/A,FALSE,"30 50k Table";#N/A,#N/A,FALSE,"40 100k Table"}</definedName>
    <definedName name="_con4050" localSheetId="4" hidden="1">{#N/A,"Anonymous",FALSE,"30 30k Table";#N/A,#N/A,FALSE,"30 50k Table";#N/A,#N/A,FALSE,"40 100k Table"}</definedName>
    <definedName name="_con4050" localSheetId="5" hidden="1">{#N/A,"Anonymous",FALSE,"30 30k Table";#N/A,#N/A,FALSE,"30 50k Table";#N/A,#N/A,FALSE,"40 100k Table"}</definedName>
    <definedName name="_con4050" localSheetId="7" hidden="1">{#N/A,"Anonymous",FALSE,"30 30k Table";#N/A,#N/A,FALSE,"30 50k Table";#N/A,#N/A,FALSE,"40 100k Table"}</definedName>
    <definedName name="_con4050" localSheetId="3" hidden="1">{#N/A,"Anonymous",FALSE,"30 30k Table";#N/A,#N/A,FALSE,"30 50k Table";#N/A,#N/A,FALSE,"40 100k Table"}</definedName>
    <definedName name="_con4050" localSheetId="29" hidden="1">{#N/A,"Anonymous",FALSE,"30 30k Table";#N/A,#N/A,FALSE,"30 50k Table";#N/A,#N/A,FALSE,"40 100k Table"}</definedName>
    <definedName name="_con4050" localSheetId="47" hidden="1">{#N/A,"Anonymous",FALSE,"30 30k Table";#N/A,#N/A,FALSE,"30 50k Table";#N/A,#N/A,FALSE,"40 100k Table"}</definedName>
    <definedName name="_con4050" hidden="1">{#N/A,"Anonymous",FALSE,"30 30k Table";#N/A,#N/A,FALSE,"30 50k Table";#N/A,#N/A,FALSE,"40 100k Table"}</definedName>
    <definedName name="_d" localSheetId="1" hidden="1">{"caz2",#N/A,FALSE,"Central Arizona 2";"saz2",#N/A,FALSE,"Southern Arizona 2";"snv2",#N/A,FALSE,"Southern Nevada 2";"nnv2",#N/A,FALSE,"Northern Nevada 2";"sca2",#N/A,FALSE,"Southern California 2";"nca2",#N/A,FALSE,"Northern California 2";"pai2",#N/A,FALSE,"Paiute 2"}</definedName>
    <definedName name="_d" localSheetId="32" hidden="1">{"caz2",#N/A,FALSE,"Central Arizona 2";"saz2",#N/A,FALSE,"Southern Arizona 2";"snv2",#N/A,FALSE,"Southern Nevada 2";"nnv2",#N/A,FALSE,"Northern Nevada 2";"sca2",#N/A,FALSE,"Southern California 2";"nca2",#N/A,FALSE,"Northern California 2";"pai2",#N/A,FALSE,"Paiute 2"}</definedName>
    <definedName name="_d" localSheetId="6" hidden="1">{"caz2",#N/A,FALSE,"Central Arizona 2";"saz2",#N/A,FALSE,"Southern Arizona 2";"snv2",#N/A,FALSE,"Southern Nevada 2";"nnv2",#N/A,FALSE,"Northern Nevada 2";"sca2",#N/A,FALSE,"Southern California 2";"nca2",#N/A,FALSE,"Northern California 2";"pai2",#N/A,FALSE,"Paiute 2"}</definedName>
    <definedName name="_d" localSheetId="4" hidden="1">{"caz2",#N/A,FALSE,"Central Arizona 2";"saz2",#N/A,FALSE,"Southern Arizona 2";"snv2",#N/A,FALSE,"Southern Nevada 2";"nnv2",#N/A,FALSE,"Northern Nevada 2";"sca2",#N/A,FALSE,"Southern California 2";"nca2",#N/A,FALSE,"Northern California 2";"pai2",#N/A,FALSE,"Paiute 2"}</definedName>
    <definedName name="_d" localSheetId="5" hidden="1">{"caz2",#N/A,FALSE,"Central Arizona 2";"saz2",#N/A,FALSE,"Southern Arizona 2";"snv2",#N/A,FALSE,"Southern Nevada 2";"nnv2",#N/A,FALSE,"Northern Nevada 2";"sca2",#N/A,FALSE,"Southern California 2";"nca2",#N/A,FALSE,"Northern California 2";"pai2",#N/A,FALSE,"Paiute 2"}</definedName>
    <definedName name="_d" localSheetId="7" hidden="1">{"caz2",#N/A,FALSE,"Central Arizona 2";"saz2",#N/A,FALSE,"Southern Arizona 2";"snv2",#N/A,FALSE,"Southern Nevada 2";"nnv2",#N/A,FALSE,"Northern Nevada 2";"sca2",#N/A,FALSE,"Southern California 2";"nca2",#N/A,FALSE,"Northern California 2";"pai2",#N/A,FALSE,"Paiute 2"}</definedName>
    <definedName name="_d" localSheetId="3" hidden="1">{"caz2",#N/A,FALSE,"Central Arizona 2";"saz2",#N/A,FALSE,"Southern Arizona 2";"snv2",#N/A,FALSE,"Southern Nevada 2";"nnv2",#N/A,FALSE,"Northern Nevada 2";"sca2",#N/A,FALSE,"Southern California 2";"nca2",#N/A,FALSE,"Northern California 2";"pai2",#N/A,FALSE,"Paiute 2"}</definedName>
    <definedName name="_d" localSheetId="47" hidden="1">{"caz2",#N/A,FALSE,"Central Arizona 2";"saz2",#N/A,FALSE,"Southern Arizona 2";"snv2",#N/A,FALSE,"Southern Nevada 2";"nnv2",#N/A,FALSE,"Northern Nevada 2";"sca2",#N/A,FALSE,"Southern California 2";"nca2",#N/A,FALSE,"Northern California 2";"pai2",#N/A,FALSE,"Paiute 2"}</definedName>
    <definedName name="_d" hidden="1">{"caz2",#N/A,FALSE,"Central Arizona 2";"saz2",#N/A,FALSE,"Southern Arizona 2";"snv2",#N/A,FALSE,"Southern Nevada 2";"nnv2",#N/A,FALSE,"Northern Nevada 2";"sca2",#N/A,FALSE,"Southern California 2";"nca2",#N/A,FALSE,"Northern California 2";"pai2",#N/A,FALSE,"Paiute 2"}</definedName>
    <definedName name="_DAT1">'[32]WP-H-14-682010_Lobby'!$A$3:$A$31</definedName>
    <definedName name="_DAT10">'[32]WP-H-14-682010_LobbyA'!$J$2:$J$586</definedName>
    <definedName name="_DAT2">'[32]WP-H-14-682010_Lobby'!$B$3:$B$31</definedName>
    <definedName name="_DAT3">'[32]WP-H-14-682010_Lobby'!$C$3:$C$31</definedName>
    <definedName name="_DAT4">'[32]WP-H-14-682010_Lobby'!$E$3:$E$31</definedName>
    <definedName name="_DAT5">'[32]WP-H-14-682010_Lobby'!$F$3:$F$31</definedName>
    <definedName name="_DAT6">'[32]WP-H-14-682010_Lobby'!$G$3:$G$31</definedName>
    <definedName name="_DAT7">'[32]WP-H-14-682010_LobbyA'!$G$2:$G$586</definedName>
    <definedName name="_DAT8">'[32]WP-H-14-682010_LobbyA'!$H$2:$H$586</definedName>
    <definedName name="_DAT9">'[32]WP-H-14-682010_LobbyA'!$I$2:$I$586</definedName>
    <definedName name="_Div02">'[17]Alloc factors'!$D$12</definedName>
    <definedName name="_div1" localSheetId="6">#REF!</definedName>
    <definedName name="_div1" localSheetId="3">#REF!</definedName>
    <definedName name="_div1">#REF!</definedName>
    <definedName name="_div10" localSheetId="6">'[18]WP 1-2'!#REF!</definedName>
    <definedName name="_div10" localSheetId="3">'[18]WP 1-2'!#REF!</definedName>
    <definedName name="_div10">'[18]WP 1-2'!#REF!</definedName>
    <definedName name="_DIV12">'[19]Alloc factors'!$D$13</definedName>
    <definedName name="_div2" localSheetId="6">#REF!</definedName>
    <definedName name="_div2" localSheetId="3">#REF!</definedName>
    <definedName name="_div2">#REF!</definedName>
    <definedName name="_div21" localSheetId="6">'[18]WP 1-2'!#REF!</definedName>
    <definedName name="_div21" localSheetId="3">'[18]WP 1-2'!#REF!</definedName>
    <definedName name="_div21">'[18]WP 1-2'!#REF!</definedName>
    <definedName name="_div3" localSheetId="6">#REF!</definedName>
    <definedName name="_div3" localSheetId="3">#REF!</definedName>
    <definedName name="_div3">#REF!</definedName>
    <definedName name="_div4" localSheetId="3">#REF!</definedName>
    <definedName name="_div4">#REF!</definedName>
    <definedName name="_EXH1" localSheetId="3">#REF!</definedName>
    <definedName name="_EXH1">#REF!</definedName>
    <definedName name="_EXH6" localSheetId="3">#REF!</definedName>
    <definedName name="_EXH6">#REF!</definedName>
    <definedName name="_Fill" localSheetId="1" hidden="1">#REF!</definedName>
    <definedName name="_Fill" localSheetId="5" hidden="1">#REF!</definedName>
    <definedName name="_Fill" localSheetId="3" hidden="1">#REF!</definedName>
    <definedName name="_Fill" localSheetId="29" hidden="1">#REF!</definedName>
    <definedName name="_Fill" hidden="1">#REF!</definedName>
    <definedName name="_xlnm._FilterDatabase" localSheetId="32" hidden="1">'10.1 CAPEX to Net Plant'!$N$3:$O$10</definedName>
    <definedName name="_Key1" localSheetId="1" hidden="1">#REF!</definedName>
    <definedName name="_Key1" localSheetId="5" hidden="1">#REF!</definedName>
    <definedName name="_Key1" localSheetId="3" hidden="1">#REF!</definedName>
    <definedName name="_Key1" localSheetId="29" hidden="1">#REF!</definedName>
    <definedName name="_Key1" hidden="1">#REF!</definedName>
    <definedName name="_Key11" localSheetId="1" hidden="1">#REF!</definedName>
    <definedName name="_Key11" localSheetId="5" hidden="1">#REF!</definedName>
    <definedName name="_Key11" localSheetId="3" hidden="1">#REF!</definedName>
    <definedName name="_Key11" localSheetId="29" hidden="1">#REF!</definedName>
    <definedName name="_Key11" hidden="1">#REF!</definedName>
    <definedName name="_key2" localSheetId="1" hidden="1">#REF!</definedName>
    <definedName name="_key2" localSheetId="5" hidden="1">#REF!</definedName>
    <definedName name="_key2" localSheetId="3" hidden="1">#REF!</definedName>
    <definedName name="_key2" localSheetId="29" hidden="1">#REF!</definedName>
    <definedName name="_key2" hidden="1">#REF!</definedName>
    <definedName name="_lslkdjf" localSheetId="1" hidden="1">#REF!</definedName>
    <definedName name="_lslkdjf" localSheetId="5" hidden="1">#REF!</definedName>
    <definedName name="_lslkdjf" localSheetId="3" hidden="1">#REF!</definedName>
    <definedName name="_lslkdjf" localSheetId="29" hidden="1">#REF!</definedName>
    <definedName name="_lslkdjf" hidden="1">#REF!</definedName>
    <definedName name="_MatInverse_In" localSheetId="1" hidden="1">#REF!</definedName>
    <definedName name="_MatInverse_In" localSheetId="5" hidden="1">#REF!</definedName>
    <definedName name="_MatInverse_In" localSheetId="3" hidden="1">#REF!</definedName>
    <definedName name="_MatInverse_In" hidden="1">#REF!</definedName>
    <definedName name="_MatInverse_Out" localSheetId="1" hidden="1">#REF!</definedName>
    <definedName name="_MatInverse_Out" localSheetId="5" hidden="1">#REF!</definedName>
    <definedName name="_MatInverse_Out" localSheetId="3" hidden="1">#REF!</definedName>
    <definedName name="_MatInverse_Out" hidden="1">#REF!</definedName>
    <definedName name="_MatMult_A" localSheetId="6" hidden="1">'[33]Fall 2008 Forecast'!#REF!</definedName>
    <definedName name="_MatMult_A" localSheetId="7" hidden="1">'[33]Fall 2008 Forecast'!#REF!</definedName>
    <definedName name="_MatMult_A" localSheetId="3" hidden="1">'[33]Fall 2008 Forecast'!#REF!</definedName>
    <definedName name="_MatMult_A" localSheetId="47" hidden="1">'[33]Fall 2008 Forecast'!#REF!</definedName>
    <definedName name="_MatMult_A" hidden="1">'[33]Fall 2008 Forecast'!#REF!</definedName>
    <definedName name="_new22" localSheetId="1" hidden="1">{#N/A,#N/A,FALSE,"SCA";#N/A,#N/A,FALSE,"NCA";#N/A,#N/A,FALSE,"SAZ";#N/A,#N/A,FALSE,"CAZ";#N/A,#N/A,FALSE,"SNV";#N/A,#N/A,FALSE,"NNV";#N/A,#N/A,FALSE,"PP";#N/A,#N/A,FALSE,"SA"}</definedName>
    <definedName name="_new22" localSheetId="32" hidden="1">{#N/A,#N/A,FALSE,"SCA";#N/A,#N/A,FALSE,"NCA";#N/A,#N/A,FALSE,"SAZ";#N/A,#N/A,FALSE,"CAZ";#N/A,#N/A,FALSE,"SNV";#N/A,#N/A,FALSE,"NNV";#N/A,#N/A,FALSE,"PP";#N/A,#N/A,FALSE,"SA"}</definedName>
    <definedName name="_new22" localSheetId="6" hidden="1">{#N/A,#N/A,FALSE,"SCA";#N/A,#N/A,FALSE,"NCA";#N/A,#N/A,FALSE,"SAZ";#N/A,#N/A,FALSE,"CAZ";#N/A,#N/A,FALSE,"SNV";#N/A,#N/A,FALSE,"NNV";#N/A,#N/A,FALSE,"PP";#N/A,#N/A,FALSE,"SA"}</definedName>
    <definedName name="_new22" localSheetId="4" hidden="1">{#N/A,#N/A,FALSE,"SCA";#N/A,#N/A,FALSE,"NCA";#N/A,#N/A,FALSE,"SAZ";#N/A,#N/A,FALSE,"CAZ";#N/A,#N/A,FALSE,"SNV";#N/A,#N/A,FALSE,"NNV";#N/A,#N/A,FALSE,"PP";#N/A,#N/A,FALSE,"SA"}</definedName>
    <definedName name="_new22" localSheetId="5" hidden="1">{#N/A,#N/A,FALSE,"SCA";#N/A,#N/A,FALSE,"NCA";#N/A,#N/A,FALSE,"SAZ";#N/A,#N/A,FALSE,"CAZ";#N/A,#N/A,FALSE,"SNV";#N/A,#N/A,FALSE,"NNV";#N/A,#N/A,FALSE,"PP";#N/A,#N/A,FALSE,"SA"}</definedName>
    <definedName name="_new22" localSheetId="7" hidden="1">{#N/A,#N/A,FALSE,"SCA";#N/A,#N/A,FALSE,"NCA";#N/A,#N/A,FALSE,"SAZ";#N/A,#N/A,FALSE,"CAZ";#N/A,#N/A,FALSE,"SNV";#N/A,#N/A,FALSE,"NNV";#N/A,#N/A,FALSE,"PP";#N/A,#N/A,FALSE,"SA"}</definedName>
    <definedName name="_new22" localSheetId="3" hidden="1">{#N/A,#N/A,FALSE,"SCA";#N/A,#N/A,FALSE,"NCA";#N/A,#N/A,FALSE,"SAZ";#N/A,#N/A,FALSE,"CAZ";#N/A,#N/A,FALSE,"SNV";#N/A,#N/A,FALSE,"NNV";#N/A,#N/A,FALSE,"PP";#N/A,#N/A,FALSE,"SA"}</definedName>
    <definedName name="_new22" localSheetId="47" hidden="1">{#N/A,#N/A,FALSE,"SCA";#N/A,#N/A,FALSE,"NCA";#N/A,#N/A,FALSE,"SAZ";#N/A,#N/A,FALSE,"CAZ";#N/A,#N/A,FALSE,"SNV";#N/A,#N/A,FALSE,"NNV";#N/A,#N/A,FALSE,"PP";#N/A,#N/A,FALSE,"SA"}</definedName>
    <definedName name="_new22" hidden="1">{#N/A,#N/A,FALSE,"SCA";#N/A,#N/A,FALSE,"NCA";#N/A,#N/A,FALSE,"SAZ";#N/A,#N/A,FALSE,"CAZ";#N/A,#N/A,FALSE,"SNV";#N/A,#N/A,FALSE,"NNV";#N/A,#N/A,FALSE,"PP";#N/A,#N/A,FALSE,"SA"}</definedName>
    <definedName name="_new23" localSheetId="1" hidden="1">{#N/A,#N/A,FALSE,"SCA";#N/A,#N/A,FALSE,"NCA";#N/A,#N/A,FALSE,"SAZ";#N/A,#N/A,FALSE,"CAZ";#N/A,#N/A,FALSE,"SNV";#N/A,#N/A,FALSE,"NNV";#N/A,#N/A,FALSE,"PP";#N/A,#N/A,FALSE,"SA"}</definedName>
    <definedName name="_new23" localSheetId="32"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4" hidden="1">{#N/A,#N/A,FALSE,"SCA";#N/A,#N/A,FALSE,"NCA";#N/A,#N/A,FALSE,"SAZ";#N/A,#N/A,FALSE,"CAZ";#N/A,#N/A,FALSE,"SNV";#N/A,#N/A,FALSE,"NNV";#N/A,#N/A,FALSE,"PP";#N/A,#N/A,FALSE,"SA"}</definedName>
    <definedName name="_new23" localSheetId="5" hidden="1">{#N/A,#N/A,FALSE,"SCA";#N/A,#N/A,FALSE,"NCA";#N/A,#N/A,FALSE,"SAZ";#N/A,#N/A,FALSE,"CAZ";#N/A,#N/A,FALSE,"SNV";#N/A,#N/A,FALSE,"NNV";#N/A,#N/A,FALSE,"PP";#N/A,#N/A,FALSE,"SA"}</definedName>
    <definedName name="_new23" localSheetId="7" hidden="1">{#N/A,#N/A,FALSE,"SCA";#N/A,#N/A,FALSE,"NCA";#N/A,#N/A,FALSE,"SAZ";#N/A,#N/A,FALSE,"CAZ";#N/A,#N/A,FALSE,"SNV";#N/A,#N/A,FALSE,"NNV";#N/A,#N/A,FALSE,"PP";#N/A,#N/A,FALSE,"SA"}</definedName>
    <definedName name="_new23" localSheetId="3" hidden="1">{#N/A,#N/A,FALSE,"SCA";#N/A,#N/A,FALSE,"NCA";#N/A,#N/A,FALSE,"SAZ";#N/A,#N/A,FALSE,"CAZ";#N/A,#N/A,FALSE,"SNV";#N/A,#N/A,FALSE,"NNV";#N/A,#N/A,FALSE,"PP";#N/A,#N/A,FALSE,"SA"}</definedName>
    <definedName name="_new23" localSheetId="47" hidden="1">{#N/A,#N/A,FALSE,"SCA";#N/A,#N/A,FALSE,"NCA";#N/A,#N/A,FALSE,"SAZ";#N/A,#N/A,FALSE,"CAZ";#N/A,#N/A,FALSE,"SNV";#N/A,#N/A,FALSE,"NNV";#N/A,#N/A,FALSE,"PP";#N/A,#N/A,FALSE,"SA"}</definedName>
    <definedName name="_new23" hidden="1">{#N/A,#N/A,FALSE,"SCA";#N/A,#N/A,FALSE,"NCA";#N/A,#N/A,FALSE,"SAZ";#N/A,#N/A,FALSE,"CAZ";#N/A,#N/A,FALSE,"SNV";#N/A,#N/A,FALSE,"NNV";#N/A,#N/A,FALSE,"PP";#N/A,#N/A,FALSE,"SA"}</definedName>
    <definedName name="_new37" localSheetId="1" hidden="1">{#N/A,#N/A,FALSE,"SCA";#N/A,#N/A,FALSE,"NCA";#N/A,#N/A,FALSE,"SAZ";#N/A,#N/A,FALSE,"CAZ";#N/A,#N/A,FALSE,"SNV";#N/A,#N/A,FALSE,"NNV";#N/A,#N/A,FALSE,"PP";#N/A,#N/A,FALSE,"SA"}</definedName>
    <definedName name="_new37" localSheetId="32"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4" hidden="1">{#N/A,#N/A,FALSE,"SCA";#N/A,#N/A,FALSE,"NCA";#N/A,#N/A,FALSE,"SAZ";#N/A,#N/A,FALSE,"CAZ";#N/A,#N/A,FALSE,"SNV";#N/A,#N/A,FALSE,"NNV";#N/A,#N/A,FALSE,"PP";#N/A,#N/A,FALSE,"SA"}</definedName>
    <definedName name="_new37" localSheetId="5" hidden="1">{#N/A,#N/A,FALSE,"SCA";#N/A,#N/A,FALSE,"NCA";#N/A,#N/A,FALSE,"SAZ";#N/A,#N/A,FALSE,"CAZ";#N/A,#N/A,FALSE,"SNV";#N/A,#N/A,FALSE,"NNV";#N/A,#N/A,FALSE,"PP";#N/A,#N/A,FALSE,"SA"}</definedName>
    <definedName name="_new37" localSheetId="7" hidden="1">{#N/A,#N/A,FALSE,"SCA";#N/A,#N/A,FALSE,"NCA";#N/A,#N/A,FALSE,"SAZ";#N/A,#N/A,FALSE,"CAZ";#N/A,#N/A,FALSE,"SNV";#N/A,#N/A,FALSE,"NNV";#N/A,#N/A,FALSE,"PP";#N/A,#N/A,FALSE,"SA"}</definedName>
    <definedName name="_new37" localSheetId="3" hidden="1">{#N/A,#N/A,FALSE,"SCA";#N/A,#N/A,FALSE,"NCA";#N/A,#N/A,FALSE,"SAZ";#N/A,#N/A,FALSE,"CAZ";#N/A,#N/A,FALSE,"SNV";#N/A,#N/A,FALSE,"NNV";#N/A,#N/A,FALSE,"PP";#N/A,#N/A,FALSE,"SA"}</definedName>
    <definedName name="_new37" localSheetId="47" hidden="1">{#N/A,#N/A,FALSE,"SCA";#N/A,#N/A,FALSE,"NCA";#N/A,#N/A,FALSE,"SAZ";#N/A,#N/A,FALSE,"CAZ";#N/A,#N/A,FALSE,"SNV";#N/A,#N/A,FALSE,"NNV";#N/A,#N/A,FALSE,"PP";#N/A,#N/A,FALSE,"SA"}</definedName>
    <definedName name="_new37" hidden="1">{#N/A,#N/A,FALSE,"SCA";#N/A,#N/A,FALSE,"NCA";#N/A,#N/A,FALSE,"SAZ";#N/A,#N/A,FALSE,"CAZ";#N/A,#N/A,FALSE,"SNV";#N/A,#N/A,FALSE,"NNV";#N/A,#N/A,FALSE,"PP";#N/A,#N/A,FALSE,"SA"}</definedName>
    <definedName name="_new41" localSheetId="1" hidden="1">{"caz2",#N/A,FALSE,"Central Arizona 2";"saz2",#N/A,FALSE,"Southern Arizona 2";"snv2",#N/A,FALSE,"Southern Nevada 2";"nnv2",#N/A,FALSE,"Northern Nevada 2";"sca2",#N/A,FALSE,"Southern California 2";"nca2",#N/A,FALSE,"Northern California 2";"pai2",#N/A,FALSE,"Paiute 2"}</definedName>
    <definedName name="_new41" localSheetId="32"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4" hidden="1">{"caz2",#N/A,FALSE,"Central Arizona 2";"saz2",#N/A,FALSE,"Southern Arizona 2";"snv2",#N/A,FALSE,"Southern Nevada 2";"nnv2",#N/A,FALSE,"Northern Nevada 2";"sca2",#N/A,FALSE,"Southern California 2";"nca2",#N/A,FALSE,"Northern California 2";"pai2",#N/A,FALSE,"Paiute 2"}</definedName>
    <definedName name="_new41" localSheetId="5" hidden="1">{"caz2",#N/A,FALSE,"Central Arizona 2";"saz2",#N/A,FALSE,"Southern Arizona 2";"snv2",#N/A,FALSE,"Southern Nevada 2";"nnv2",#N/A,FALSE,"Northern Nevada 2";"sca2",#N/A,FALSE,"Southern California 2";"nca2",#N/A,FALSE,"Northern California 2";"pai2",#N/A,FALSE,"Paiute 2"}</definedName>
    <definedName name="_new41" localSheetId="7" hidden="1">{"caz2",#N/A,FALSE,"Central Arizona 2";"saz2",#N/A,FALSE,"Southern Arizona 2";"snv2",#N/A,FALSE,"Southern Nevada 2";"nnv2",#N/A,FALSE,"Northern Nevada 2";"sca2",#N/A,FALSE,"Southern California 2";"nca2",#N/A,FALSE,"Northern California 2";"pai2",#N/A,FALSE,"Paiute 2"}</definedName>
    <definedName name="_new41" localSheetId="3" hidden="1">{"caz2",#N/A,FALSE,"Central Arizona 2";"saz2",#N/A,FALSE,"Southern Arizona 2";"snv2",#N/A,FALSE,"Southern Nevada 2";"nnv2",#N/A,FALSE,"Northern Nevada 2";"sca2",#N/A,FALSE,"Southern California 2";"nca2",#N/A,FALSE,"Northern California 2";"pai2",#N/A,FALSE,"Paiute 2"}</definedName>
    <definedName name="_new41" localSheetId="47" hidden="1">{"caz2",#N/A,FALSE,"Central Arizona 2";"saz2",#N/A,FALSE,"Southern Arizona 2";"snv2",#N/A,FALSE,"Southern Nevada 2";"nnv2",#N/A,FALSE,"Northern Nevada 2";"sca2",#N/A,FALSE,"Southern California 2";"nca2",#N/A,FALSE,"Northern California 2";"pai2",#N/A,FALSE,"Paiute 2"}</definedName>
    <definedName name="_new41" hidden="1">{"caz2",#N/A,FALSE,"Central Arizona 2";"saz2",#N/A,FALSE,"Southern Arizona 2";"snv2",#N/A,FALSE,"Southern Nevada 2";"nnv2",#N/A,FALSE,"Northern Nevada 2";"sca2",#N/A,FALSE,"Southern California 2";"nca2",#N/A,FALSE,"Northern California 2";"pai2",#N/A,FALSE,"Paiute 2"}</definedName>
    <definedName name="_new43" localSheetId="1" hidden="1">{#N/A,#N/A,FALSE,"SCA";#N/A,#N/A,FALSE,"NCA";#N/A,#N/A,FALSE,"SAZ";#N/A,#N/A,FALSE,"CAZ";#N/A,#N/A,FALSE,"SNV";#N/A,#N/A,FALSE,"NNV";#N/A,#N/A,FALSE,"PP";#N/A,#N/A,FALSE,"SA"}</definedName>
    <definedName name="_new43" localSheetId="32"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4" hidden="1">{#N/A,#N/A,FALSE,"SCA";#N/A,#N/A,FALSE,"NCA";#N/A,#N/A,FALSE,"SAZ";#N/A,#N/A,FALSE,"CAZ";#N/A,#N/A,FALSE,"SNV";#N/A,#N/A,FALSE,"NNV";#N/A,#N/A,FALSE,"PP";#N/A,#N/A,FALSE,"SA"}</definedName>
    <definedName name="_new43" localSheetId="5" hidden="1">{#N/A,#N/A,FALSE,"SCA";#N/A,#N/A,FALSE,"NCA";#N/A,#N/A,FALSE,"SAZ";#N/A,#N/A,FALSE,"CAZ";#N/A,#N/A,FALSE,"SNV";#N/A,#N/A,FALSE,"NNV";#N/A,#N/A,FALSE,"PP";#N/A,#N/A,FALSE,"SA"}</definedName>
    <definedName name="_new43" localSheetId="7" hidden="1">{#N/A,#N/A,FALSE,"SCA";#N/A,#N/A,FALSE,"NCA";#N/A,#N/A,FALSE,"SAZ";#N/A,#N/A,FALSE,"CAZ";#N/A,#N/A,FALSE,"SNV";#N/A,#N/A,FALSE,"NNV";#N/A,#N/A,FALSE,"PP";#N/A,#N/A,FALSE,"SA"}</definedName>
    <definedName name="_new43" localSheetId="3" hidden="1">{#N/A,#N/A,FALSE,"SCA";#N/A,#N/A,FALSE,"NCA";#N/A,#N/A,FALSE,"SAZ";#N/A,#N/A,FALSE,"CAZ";#N/A,#N/A,FALSE,"SNV";#N/A,#N/A,FALSE,"NNV";#N/A,#N/A,FALSE,"PP";#N/A,#N/A,FALSE,"SA"}</definedName>
    <definedName name="_new43" localSheetId="47" hidden="1">{#N/A,#N/A,FALSE,"SCA";#N/A,#N/A,FALSE,"NCA";#N/A,#N/A,FALSE,"SAZ";#N/A,#N/A,FALSE,"CAZ";#N/A,#N/A,FALSE,"SNV";#N/A,#N/A,FALSE,"NNV";#N/A,#N/A,FALSE,"PP";#N/A,#N/A,FALSE,"SA"}</definedName>
    <definedName name="_new43" hidden="1">{#N/A,#N/A,FALSE,"SCA";#N/A,#N/A,FALSE,"NCA";#N/A,#N/A,FALSE,"SAZ";#N/A,#N/A,FALSE,"CAZ";#N/A,#N/A,FALSE,"SNV";#N/A,#N/A,FALSE,"NNV";#N/A,#N/A,FALSE,"PP";#N/A,#N/A,FALSE,"SA"}</definedName>
    <definedName name="_new57" localSheetId="1" hidden="1">{#N/A,#N/A,FALSE,"SCA";#N/A,#N/A,FALSE,"NCA";#N/A,#N/A,FALSE,"SAZ";#N/A,#N/A,FALSE,"CAZ";#N/A,#N/A,FALSE,"SNV";#N/A,#N/A,FALSE,"NNV";#N/A,#N/A,FALSE,"PP";#N/A,#N/A,FALSE,"SA"}</definedName>
    <definedName name="_new57" localSheetId="32"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4" hidden="1">{#N/A,#N/A,FALSE,"SCA";#N/A,#N/A,FALSE,"NCA";#N/A,#N/A,FALSE,"SAZ";#N/A,#N/A,FALSE,"CAZ";#N/A,#N/A,FALSE,"SNV";#N/A,#N/A,FALSE,"NNV";#N/A,#N/A,FALSE,"PP";#N/A,#N/A,FALSE,"SA"}</definedName>
    <definedName name="_new57" localSheetId="5" hidden="1">{#N/A,#N/A,FALSE,"SCA";#N/A,#N/A,FALSE,"NCA";#N/A,#N/A,FALSE,"SAZ";#N/A,#N/A,FALSE,"CAZ";#N/A,#N/A,FALSE,"SNV";#N/A,#N/A,FALSE,"NNV";#N/A,#N/A,FALSE,"PP";#N/A,#N/A,FALSE,"SA"}</definedName>
    <definedName name="_new57" localSheetId="7" hidden="1">{#N/A,#N/A,FALSE,"SCA";#N/A,#N/A,FALSE,"NCA";#N/A,#N/A,FALSE,"SAZ";#N/A,#N/A,FALSE,"CAZ";#N/A,#N/A,FALSE,"SNV";#N/A,#N/A,FALSE,"NNV";#N/A,#N/A,FALSE,"PP";#N/A,#N/A,FALSE,"SA"}</definedName>
    <definedName name="_new57" localSheetId="3" hidden="1">{#N/A,#N/A,FALSE,"SCA";#N/A,#N/A,FALSE,"NCA";#N/A,#N/A,FALSE,"SAZ";#N/A,#N/A,FALSE,"CAZ";#N/A,#N/A,FALSE,"SNV";#N/A,#N/A,FALSE,"NNV";#N/A,#N/A,FALSE,"PP";#N/A,#N/A,FALSE,"SA"}</definedName>
    <definedName name="_new57" localSheetId="47" hidden="1">{#N/A,#N/A,FALSE,"SCA";#N/A,#N/A,FALSE,"NCA";#N/A,#N/A,FALSE,"SAZ";#N/A,#N/A,FALSE,"CAZ";#N/A,#N/A,FALSE,"SNV";#N/A,#N/A,FALSE,"NNV";#N/A,#N/A,FALSE,"PP";#N/A,#N/A,FALSE,"SA"}</definedName>
    <definedName name="_new57" hidden="1">{#N/A,#N/A,FALSE,"SCA";#N/A,#N/A,FALSE,"NCA";#N/A,#N/A,FALSE,"SAZ";#N/A,#N/A,FALSE,"CAZ";#N/A,#N/A,FALSE,"SNV";#N/A,#N/A,FALSE,"NNV";#N/A,#N/A,FALSE,"PP";#N/A,#N/A,FALSE,"SA"}</definedName>
    <definedName name="_new58" localSheetId="1" hidden="1">{#N/A,#N/A,FALSE,"SCA";#N/A,#N/A,FALSE,"NCA";#N/A,#N/A,FALSE,"SAZ";#N/A,#N/A,FALSE,"CAZ";#N/A,#N/A,FALSE,"SNV";#N/A,#N/A,FALSE,"NNV";#N/A,#N/A,FALSE,"PP";#N/A,#N/A,FALSE,"SA"}</definedName>
    <definedName name="_new58" localSheetId="32"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4" hidden="1">{#N/A,#N/A,FALSE,"SCA";#N/A,#N/A,FALSE,"NCA";#N/A,#N/A,FALSE,"SAZ";#N/A,#N/A,FALSE,"CAZ";#N/A,#N/A,FALSE,"SNV";#N/A,#N/A,FALSE,"NNV";#N/A,#N/A,FALSE,"PP";#N/A,#N/A,FALSE,"SA"}</definedName>
    <definedName name="_new58" localSheetId="5" hidden="1">{#N/A,#N/A,FALSE,"SCA";#N/A,#N/A,FALSE,"NCA";#N/A,#N/A,FALSE,"SAZ";#N/A,#N/A,FALSE,"CAZ";#N/A,#N/A,FALSE,"SNV";#N/A,#N/A,FALSE,"NNV";#N/A,#N/A,FALSE,"PP";#N/A,#N/A,FALSE,"SA"}</definedName>
    <definedName name="_new58" localSheetId="7" hidden="1">{#N/A,#N/A,FALSE,"SCA";#N/A,#N/A,FALSE,"NCA";#N/A,#N/A,FALSE,"SAZ";#N/A,#N/A,FALSE,"CAZ";#N/A,#N/A,FALSE,"SNV";#N/A,#N/A,FALSE,"NNV";#N/A,#N/A,FALSE,"PP";#N/A,#N/A,FALSE,"SA"}</definedName>
    <definedName name="_new58" localSheetId="3" hidden="1">{#N/A,#N/A,FALSE,"SCA";#N/A,#N/A,FALSE,"NCA";#N/A,#N/A,FALSE,"SAZ";#N/A,#N/A,FALSE,"CAZ";#N/A,#N/A,FALSE,"SNV";#N/A,#N/A,FALSE,"NNV";#N/A,#N/A,FALSE,"PP";#N/A,#N/A,FALSE,"SA"}</definedName>
    <definedName name="_new58" localSheetId="47" hidden="1">{#N/A,#N/A,FALSE,"SCA";#N/A,#N/A,FALSE,"NCA";#N/A,#N/A,FALSE,"SAZ";#N/A,#N/A,FALSE,"CAZ";#N/A,#N/A,FALSE,"SNV";#N/A,#N/A,FALSE,"NNV";#N/A,#N/A,FALSE,"PP";#N/A,#N/A,FALSE,"SA"}</definedName>
    <definedName name="_new58" hidden="1">{#N/A,#N/A,FALSE,"SCA";#N/A,#N/A,FALSE,"NCA";#N/A,#N/A,FALSE,"SAZ";#N/A,#N/A,FALSE,"CAZ";#N/A,#N/A,FALSE,"SNV";#N/A,#N/A,FALSE,"NNV";#N/A,#N/A,FALSE,"PP";#N/A,#N/A,FALSE,"SA"}</definedName>
    <definedName name="_new61"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1" hidden="1">{#N/A,#N/A,FALSE,"SCA";#N/A,#N/A,FALSE,"NCA";#N/A,#N/A,FALSE,"SAZ";#N/A,#N/A,FALSE,"CAZ";#N/A,#N/A,FALSE,"SNV";#N/A,#N/A,FALSE,"NNV";#N/A,#N/A,FALSE,"PP";#N/A,#N/A,FALSE,"SA"}</definedName>
    <definedName name="_new71" localSheetId="32"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4" hidden="1">{#N/A,#N/A,FALSE,"SCA";#N/A,#N/A,FALSE,"NCA";#N/A,#N/A,FALSE,"SAZ";#N/A,#N/A,FALSE,"CAZ";#N/A,#N/A,FALSE,"SNV";#N/A,#N/A,FALSE,"NNV";#N/A,#N/A,FALSE,"PP";#N/A,#N/A,FALSE,"SA"}</definedName>
    <definedName name="_new71" localSheetId="5" hidden="1">{#N/A,#N/A,FALSE,"SCA";#N/A,#N/A,FALSE,"NCA";#N/A,#N/A,FALSE,"SAZ";#N/A,#N/A,FALSE,"CAZ";#N/A,#N/A,FALSE,"SNV";#N/A,#N/A,FALSE,"NNV";#N/A,#N/A,FALSE,"PP";#N/A,#N/A,FALSE,"SA"}</definedName>
    <definedName name="_new71" localSheetId="7" hidden="1">{#N/A,#N/A,FALSE,"SCA";#N/A,#N/A,FALSE,"NCA";#N/A,#N/A,FALSE,"SAZ";#N/A,#N/A,FALSE,"CAZ";#N/A,#N/A,FALSE,"SNV";#N/A,#N/A,FALSE,"NNV";#N/A,#N/A,FALSE,"PP";#N/A,#N/A,FALSE,"SA"}</definedName>
    <definedName name="_new71" localSheetId="3" hidden="1">{#N/A,#N/A,FALSE,"SCA";#N/A,#N/A,FALSE,"NCA";#N/A,#N/A,FALSE,"SAZ";#N/A,#N/A,FALSE,"CAZ";#N/A,#N/A,FALSE,"SNV";#N/A,#N/A,FALSE,"NNV";#N/A,#N/A,FALSE,"PP";#N/A,#N/A,FALSE,"SA"}</definedName>
    <definedName name="_new71" localSheetId="47" hidden="1">{#N/A,#N/A,FALSE,"SCA";#N/A,#N/A,FALSE,"NCA";#N/A,#N/A,FALSE,"SAZ";#N/A,#N/A,FALSE,"CAZ";#N/A,#N/A,FALSE,"SNV";#N/A,#N/A,FALSE,"NNV";#N/A,#N/A,FALSE,"PP";#N/A,#N/A,FALSE,"SA"}</definedName>
    <definedName name="_new71" hidden="1">{#N/A,#N/A,FALSE,"SCA";#N/A,#N/A,FALSE,"NCA";#N/A,#N/A,FALSE,"SAZ";#N/A,#N/A,FALSE,"CAZ";#N/A,#N/A,FALSE,"SNV";#N/A,#N/A,FALSE,"NNV";#N/A,#N/A,FALSE,"PP";#N/A,#N/A,FALSE,"SA"}</definedName>
    <definedName name="_new72" localSheetId="1" hidden="1">{#N/A,#N/A,FALSE,"SCA";#N/A,#N/A,FALSE,"NCA";#N/A,#N/A,FALSE,"SAZ";#N/A,#N/A,FALSE,"CAZ";#N/A,#N/A,FALSE,"SNV";#N/A,#N/A,FALSE,"NNV";#N/A,#N/A,FALSE,"PP";#N/A,#N/A,FALSE,"SA"}</definedName>
    <definedName name="_new72" localSheetId="32"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4" hidden="1">{#N/A,#N/A,FALSE,"SCA";#N/A,#N/A,FALSE,"NCA";#N/A,#N/A,FALSE,"SAZ";#N/A,#N/A,FALSE,"CAZ";#N/A,#N/A,FALSE,"SNV";#N/A,#N/A,FALSE,"NNV";#N/A,#N/A,FALSE,"PP";#N/A,#N/A,FALSE,"SA"}</definedName>
    <definedName name="_new72" localSheetId="5" hidden="1">{#N/A,#N/A,FALSE,"SCA";#N/A,#N/A,FALSE,"NCA";#N/A,#N/A,FALSE,"SAZ";#N/A,#N/A,FALSE,"CAZ";#N/A,#N/A,FALSE,"SNV";#N/A,#N/A,FALSE,"NNV";#N/A,#N/A,FALSE,"PP";#N/A,#N/A,FALSE,"SA"}</definedName>
    <definedName name="_new72" localSheetId="7" hidden="1">{#N/A,#N/A,FALSE,"SCA";#N/A,#N/A,FALSE,"NCA";#N/A,#N/A,FALSE,"SAZ";#N/A,#N/A,FALSE,"CAZ";#N/A,#N/A,FALSE,"SNV";#N/A,#N/A,FALSE,"NNV";#N/A,#N/A,FALSE,"PP";#N/A,#N/A,FALSE,"SA"}</definedName>
    <definedName name="_new72" localSheetId="3" hidden="1">{#N/A,#N/A,FALSE,"SCA";#N/A,#N/A,FALSE,"NCA";#N/A,#N/A,FALSE,"SAZ";#N/A,#N/A,FALSE,"CAZ";#N/A,#N/A,FALSE,"SNV";#N/A,#N/A,FALSE,"NNV";#N/A,#N/A,FALSE,"PP";#N/A,#N/A,FALSE,"SA"}</definedName>
    <definedName name="_new72" localSheetId="47" hidden="1">{#N/A,#N/A,FALSE,"SCA";#N/A,#N/A,FALSE,"NCA";#N/A,#N/A,FALSE,"SAZ";#N/A,#N/A,FALSE,"CAZ";#N/A,#N/A,FALSE,"SNV";#N/A,#N/A,FALSE,"NNV";#N/A,#N/A,FALSE,"PP";#N/A,#N/A,FALSE,"SA"}</definedName>
    <definedName name="_new72" hidden="1">{#N/A,#N/A,FALSE,"SCA";#N/A,#N/A,FALSE,"NCA";#N/A,#N/A,FALSE,"SAZ";#N/A,#N/A,FALSE,"CAZ";#N/A,#N/A,FALSE,"SNV";#N/A,#N/A,FALSE,"NNV";#N/A,#N/A,FALSE,"PP";#N/A,#N/A,FALSE,"SA"}</definedName>
    <definedName name="_new73" localSheetId="1" hidden="1">{#N/A,#N/A,FALSE,"Page 1";#N/A,#N/A,FALSE,"Page 2";#N/A,#N/A,FALSE,"Page 3";#N/A,#N/A,FALSE,"Page 4";#N/A,#N/A,FALSE,"Page 5";#N/A,#N/A,FALSE,"Page 6";#N/A,#N/A,FALSE,"Page 7";#N/A,#N/A,FALSE,"Page 8";#N/A,#N/A,FALSE,"Page 9";#N/A,#N/A,FALSE,"PG8WP";#N/A,#N/A,FALSE,"PG9WP"}</definedName>
    <definedName name="_new73" localSheetId="32"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4" hidden="1">{#N/A,#N/A,FALSE,"Page 1";#N/A,#N/A,FALSE,"Page 2";#N/A,#N/A,FALSE,"Page 3";#N/A,#N/A,FALSE,"Page 4";#N/A,#N/A,FALSE,"Page 5";#N/A,#N/A,FALSE,"Page 6";#N/A,#N/A,FALSE,"Page 7";#N/A,#N/A,FALSE,"Page 8";#N/A,#N/A,FALSE,"Page 9";#N/A,#N/A,FALSE,"PG8WP";#N/A,#N/A,FALSE,"PG9WP"}</definedName>
    <definedName name="_new73" localSheetId="5" hidden="1">{#N/A,#N/A,FALSE,"Page 1";#N/A,#N/A,FALSE,"Page 2";#N/A,#N/A,FALSE,"Page 3";#N/A,#N/A,FALSE,"Page 4";#N/A,#N/A,FALSE,"Page 5";#N/A,#N/A,FALSE,"Page 6";#N/A,#N/A,FALSE,"Page 7";#N/A,#N/A,FALSE,"Page 8";#N/A,#N/A,FALSE,"Page 9";#N/A,#N/A,FALSE,"PG8WP";#N/A,#N/A,FALSE,"PG9WP"}</definedName>
    <definedName name="_new73" localSheetId="7" hidden="1">{#N/A,#N/A,FALSE,"Page 1";#N/A,#N/A,FALSE,"Page 2";#N/A,#N/A,FALSE,"Page 3";#N/A,#N/A,FALSE,"Page 4";#N/A,#N/A,FALSE,"Page 5";#N/A,#N/A,FALSE,"Page 6";#N/A,#N/A,FALSE,"Page 7";#N/A,#N/A,FALSE,"Page 8";#N/A,#N/A,FALSE,"Page 9";#N/A,#N/A,FALSE,"PG8WP";#N/A,#N/A,FALSE,"PG9WP"}</definedName>
    <definedName name="_new73" localSheetId="3" hidden="1">{#N/A,#N/A,FALSE,"Page 1";#N/A,#N/A,FALSE,"Page 2";#N/A,#N/A,FALSE,"Page 3";#N/A,#N/A,FALSE,"Page 4";#N/A,#N/A,FALSE,"Page 5";#N/A,#N/A,FALSE,"Page 6";#N/A,#N/A,FALSE,"Page 7";#N/A,#N/A,FALSE,"Page 8";#N/A,#N/A,FALSE,"Page 9";#N/A,#N/A,FALSE,"PG8WP";#N/A,#N/A,FALSE,"PG9WP"}</definedName>
    <definedName name="_new73" localSheetId="47" hidden="1">{#N/A,#N/A,FALSE,"Page 1";#N/A,#N/A,FALSE,"Page 2";#N/A,#N/A,FALSE,"Page 3";#N/A,#N/A,FALSE,"Page 4";#N/A,#N/A,FALSE,"Page 5";#N/A,#N/A,FALSE,"Page 6";#N/A,#N/A,FALSE,"Page 7";#N/A,#N/A,FALSE,"Page 8";#N/A,#N/A,FALSE,"Page 9";#N/A,#N/A,FALSE,"PG8WP";#N/A,#N/A,FALSE,"PG9WP"}</definedName>
    <definedName name="_new73" hidden="1">{#N/A,#N/A,FALSE,"Page 1";#N/A,#N/A,FALSE,"Page 2";#N/A,#N/A,FALSE,"Page 3";#N/A,#N/A,FALSE,"Page 4";#N/A,#N/A,FALSE,"Page 5";#N/A,#N/A,FALSE,"Page 6";#N/A,#N/A,FALSE,"Page 7";#N/A,#N/A,FALSE,"Page 8";#N/A,#N/A,FALSE,"Page 9";#N/A,#N/A,FALSE,"PG8WP";#N/A,#N/A,FALSE,"PG9WP"}</definedName>
    <definedName name="_new7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1" hidden="1">{"caz2",#N/A,FALSE,"Central Arizona 2";"saz2",#N/A,FALSE,"Southern Arizona 2";"snv2",#N/A,FALSE,"Southern Nevada 2";"nnv2",#N/A,FALSE,"Northern Nevada 2";"sca2",#N/A,FALSE,"Southern California 2";"nca2",#N/A,FALSE,"Northern California 2";"pai2",#N/A,FALSE,"Paiute 2"}</definedName>
    <definedName name="_new75" localSheetId="32"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4" hidden="1">{"caz2",#N/A,FALSE,"Central Arizona 2";"saz2",#N/A,FALSE,"Southern Arizona 2";"snv2",#N/A,FALSE,"Southern Nevada 2";"nnv2",#N/A,FALSE,"Northern Nevada 2";"sca2",#N/A,FALSE,"Southern California 2";"nca2",#N/A,FALSE,"Northern California 2";"pai2",#N/A,FALSE,"Paiute 2"}</definedName>
    <definedName name="_new75" localSheetId="5" hidden="1">{"caz2",#N/A,FALSE,"Central Arizona 2";"saz2",#N/A,FALSE,"Southern Arizona 2";"snv2",#N/A,FALSE,"Southern Nevada 2";"nnv2",#N/A,FALSE,"Northern Nevada 2";"sca2",#N/A,FALSE,"Southern California 2";"nca2",#N/A,FALSE,"Northern California 2";"pai2",#N/A,FALSE,"Paiute 2"}</definedName>
    <definedName name="_new75" localSheetId="7" hidden="1">{"caz2",#N/A,FALSE,"Central Arizona 2";"saz2",#N/A,FALSE,"Southern Arizona 2";"snv2",#N/A,FALSE,"Southern Nevada 2";"nnv2",#N/A,FALSE,"Northern Nevada 2";"sca2",#N/A,FALSE,"Southern California 2";"nca2",#N/A,FALSE,"Northern California 2";"pai2",#N/A,FALSE,"Paiute 2"}</definedName>
    <definedName name="_new75" localSheetId="3" hidden="1">{"caz2",#N/A,FALSE,"Central Arizona 2";"saz2",#N/A,FALSE,"Southern Arizona 2";"snv2",#N/A,FALSE,"Southern Nevada 2";"nnv2",#N/A,FALSE,"Northern Nevada 2";"sca2",#N/A,FALSE,"Southern California 2";"nca2",#N/A,FALSE,"Northern California 2";"pai2",#N/A,FALSE,"Paiute 2"}</definedName>
    <definedName name="_new75" localSheetId="47" hidden="1">{"caz2",#N/A,FALSE,"Central Arizona 2";"saz2",#N/A,FALSE,"Southern Arizona 2";"snv2",#N/A,FALSE,"Southern Nevada 2";"nnv2",#N/A,FALSE,"Northern Nevada 2";"sca2",#N/A,FALSE,"Southern California 2";"nca2",#N/A,FALSE,"Northern California 2";"pai2",#N/A,FALSE,"Paiute 2"}</definedName>
    <definedName name="_new75" hidden="1">{"caz2",#N/A,FALSE,"Central Arizona 2";"saz2",#N/A,FALSE,"Southern Arizona 2";"snv2",#N/A,FALSE,"Southern Nevada 2";"nnv2",#N/A,FALSE,"Northern Nevada 2";"sca2",#N/A,FALSE,"Southern California 2";"nca2",#N/A,FALSE,"Northern California 2";"pai2",#N/A,FALSE,"Paiute 2"}</definedName>
    <definedName name="_NRG1">[4]FEDERAL!#REF!</definedName>
    <definedName name="_NRG2">[4]FEDERAL!#REF!</definedName>
    <definedName name="_NRG3">[4]FEDERAL!#REF!</definedName>
    <definedName name="_NRG5">[4]FEDERAL!#REF!</definedName>
    <definedName name="_NRG6">[4]FEDERAL!#REF!</definedName>
    <definedName name="_NRG8">[4]FEDERAL!#REF!</definedName>
    <definedName name="_num1" localSheetId="6">#REF!</definedName>
    <definedName name="_num1" localSheetId="3">#REF!</definedName>
    <definedName name="_num1">#REF!</definedName>
    <definedName name="_num10" localSheetId="3">#REF!</definedName>
    <definedName name="_num10">#REF!</definedName>
    <definedName name="_num11" localSheetId="3">#REF!</definedName>
    <definedName name="_num11">#REF!</definedName>
    <definedName name="_num12" localSheetId="3">#REF!</definedName>
    <definedName name="_num12">#REF!</definedName>
    <definedName name="_num13" localSheetId="3">#REF!</definedName>
    <definedName name="_num13">#REF!</definedName>
    <definedName name="_num14" localSheetId="3">#REF!</definedName>
    <definedName name="_num14">#REF!</definedName>
    <definedName name="_num15" localSheetId="3">#REF!</definedName>
    <definedName name="_num15">#REF!</definedName>
    <definedName name="_num16" localSheetId="3">#REF!</definedName>
    <definedName name="_num16">#REF!</definedName>
    <definedName name="_num17" localSheetId="3">#REF!</definedName>
    <definedName name="_num17">#REF!</definedName>
    <definedName name="_num18" localSheetId="3">#REF!</definedName>
    <definedName name="_num18">#REF!</definedName>
    <definedName name="_num19" localSheetId="3">#REF!</definedName>
    <definedName name="_num19">#REF!</definedName>
    <definedName name="_num2" localSheetId="3">#REF!</definedName>
    <definedName name="_num2">#REF!</definedName>
    <definedName name="_num20" localSheetId="3">#REF!</definedName>
    <definedName name="_num20">#REF!</definedName>
    <definedName name="_num21" localSheetId="3">#REF!</definedName>
    <definedName name="_num21">#REF!</definedName>
    <definedName name="_num22" localSheetId="3">#REF!</definedName>
    <definedName name="_num22">#REF!</definedName>
    <definedName name="_num23" localSheetId="3">#REF!</definedName>
    <definedName name="_num23">#REF!</definedName>
    <definedName name="_num24" localSheetId="3">#REF!</definedName>
    <definedName name="_num24">#REF!</definedName>
    <definedName name="_num25" localSheetId="3">#REF!</definedName>
    <definedName name="_num25">#REF!</definedName>
    <definedName name="_num26" localSheetId="3">#REF!</definedName>
    <definedName name="_num26">#REF!</definedName>
    <definedName name="_num27" localSheetId="3">#REF!</definedName>
    <definedName name="_num27">#REF!</definedName>
    <definedName name="_num28" localSheetId="3">#REF!</definedName>
    <definedName name="_num28">#REF!</definedName>
    <definedName name="_num29" localSheetId="3">#REF!</definedName>
    <definedName name="_num29">#REF!</definedName>
    <definedName name="_num3" localSheetId="3">#REF!</definedName>
    <definedName name="_num3">#REF!</definedName>
    <definedName name="_num30" localSheetId="3">#REF!</definedName>
    <definedName name="_num30">#REF!</definedName>
    <definedName name="_num31" localSheetId="3">#REF!</definedName>
    <definedName name="_num31">#REF!</definedName>
    <definedName name="_num32" localSheetId="3">#REF!</definedName>
    <definedName name="_num32">#REF!</definedName>
    <definedName name="_num33" localSheetId="3">#REF!</definedName>
    <definedName name="_num33">#REF!</definedName>
    <definedName name="_num4" localSheetId="3">#REF!</definedName>
    <definedName name="_num4">#REF!</definedName>
    <definedName name="_num5" localSheetId="3">#REF!</definedName>
    <definedName name="_num5">#REF!</definedName>
    <definedName name="_num6" localSheetId="3">#REF!</definedName>
    <definedName name="_num6">#REF!</definedName>
    <definedName name="_num7" localSheetId="3">#REF!</definedName>
    <definedName name="_num7">#REF!</definedName>
    <definedName name="_num8" localSheetId="3">#REF!</definedName>
    <definedName name="_num8">#REF!</definedName>
    <definedName name="_num9" localSheetId="3">#REF!</definedName>
    <definedName name="_num9">#REF!</definedName>
    <definedName name="_Order1" hidden="1">255</definedName>
    <definedName name="_Order2" hidden="1">255</definedName>
    <definedName name="_pb1"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2"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3"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g1" localSheetId="6">#REF!</definedName>
    <definedName name="_pg1" localSheetId="3">#REF!</definedName>
    <definedName name="_pg1">#REF!</definedName>
    <definedName name="_pg2" localSheetId="3">#REF!</definedName>
    <definedName name="_pg2">#REF!</definedName>
    <definedName name="_R" localSheetId="6">'[34]Schedule RAM-2'!#REF!</definedName>
    <definedName name="_R">'[34]Schedule RAM-2'!#REF!</definedName>
    <definedName name="_Regression_Int" hidden="1">1</definedName>
    <definedName name="_Regression_Out" localSheetId="1" hidden="1">#REF!</definedName>
    <definedName name="_Regression_Out" localSheetId="5" hidden="1">#REF!</definedName>
    <definedName name="_Regression_Out" localSheetId="3" hidden="1">#REF!</definedName>
    <definedName name="_Regression_Out" localSheetId="29" hidden="1">#REF!</definedName>
    <definedName name="_Regression_Out" hidden="1">#REF!</definedName>
    <definedName name="_Regression_X" localSheetId="1" hidden="1">#REF!</definedName>
    <definedName name="_Regression_X" localSheetId="5" hidden="1">#REF!</definedName>
    <definedName name="_Regression_X" localSheetId="3" hidden="1">#REF!</definedName>
    <definedName name="_Regression_X" localSheetId="29" hidden="1">#REF!</definedName>
    <definedName name="_Regression_X" hidden="1">#REF!</definedName>
    <definedName name="_Regression_Y" localSheetId="1" hidden="1">#REF!</definedName>
    <definedName name="_Regression_Y" localSheetId="5" hidden="1">#REF!</definedName>
    <definedName name="_Regression_Y" localSheetId="3" hidden="1">#REF!</definedName>
    <definedName name="_Regression_Y" localSheetId="29" hidden="1">#REF!</definedName>
    <definedName name="_Regression_Y" hidden="1">#REF!</definedName>
    <definedName name="_RMA1" localSheetId="3">#REF!</definedName>
    <definedName name="_RMA1">#REF!</definedName>
    <definedName name="_RMA2" localSheetId="3">#REF!</definedName>
    <definedName name="_RMA2">#REF!</definedName>
    <definedName name="_Sort" localSheetId="1" hidden="1">#REF!</definedName>
    <definedName name="_Sort" localSheetId="5" hidden="1">#REF!</definedName>
    <definedName name="_Sort" localSheetId="3" hidden="1">#REF!</definedName>
    <definedName name="_Sort" localSheetId="29" hidden="1">#REF!</definedName>
    <definedName name="_Sort" hidden="1">#REF!</definedName>
    <definedName name="_sort2" localSheetId="1" hidden="1">#REF!</definedName>
    <definedName name="_sort2" localSheetId="5" hidden="1">#REF!</definedName>
    <definedName name="_sort2" localSheetId="3" hidden="1">#REF!</definedName>
    <definedName name="_sort2" localSheetId="29" hidden="1">#REF!</definedName>
    <definedName name="_sort2" hidden="1">#REF!</definedName>
    <definedName name="_swe80">[20]Input!$E$29</definedName>
    <definedName name="_Table1_In1" localSheetId="6" hidden="1">#REF!</definedName>
    <definedName name="_Table1_In1" localSheetId="5" hidden="1">#REF!</definedName>
    <definedName name="_Table1_In1" localSheetId="7" hidden="1">#REF!</definedName>
    <definedName name="_Table1_In1" localSheetId="3" hidden="1">#REF!</definedName>
    <definedName name="_Table1_In1" hidden="1">#REF!</definedName>
    <definedName name="_Table1_Out" localSheetId="5" hidden="1">#REF!</definedName>
    <definedName name="_Table1_Out" localSheetId="3" hidden="1">#REF!</definedName>
    <definedName name="_Table1_Out" hidden="1">#REF!</definedName>
    <definedName name="_Table2_Out" localSheetId="5" hidden="1">#REF!</definedName>
    <definedName name="_Table2_Out" localSheetId="3" hidden="1">#REF!</definedName>
    <definedName name="_Table2_Out" hidden="1">#REF!</definedName>
    <definedName name="_ucg80">[20]Input!$E$31</definedName>
    <definedName name="_x" localSheetId="6" hidden="1">#REF!</definedName>
    <definedName name="_x" localSheetId="5" hidden="1">#REF!</definedName>
    <definedName name="_x" localSheetId="7" hidden="1">#REF!</definedName>
    <definedName name="_x" localSheetId="3" hidden="1">#REF!</definedName>
    <definedName name="_x" hidden="1">#REF!</definedName>
    <definedName name="A" localSheetId="1" hidden="1">#REF!</definedName>
    <definedName name="A" localSheetId="5" hidden="1">#REF!</definedName>
    <definedName name="A" localSheetId="3" hidden="1">#REF!</definedName>
    <definedName name="A" localSheetId="29" hidden="1">#REF!</definedName>
    <definedName name="A" hidden="1">#REF!</definedName>
    <definedName name="aa" localSheetId="1" hidden="1">{"FAC_SUMMARY",#N/A,FALSE,"Summaries"}</definedName>
    <definedName name="aa" localSheetId="32" hidden="1">{"FAC_SUMMARY",#N/A,FALSE,"Summaries"}</definedName>
    <definedName name="aa" localSheetId="6" hidden="1">{"FAC_SUMMARY",#N/A,FALSE,"Summaries"}</definedName>
    <definedName name="aa" localSheetId="4" hidden="1">{"FAC_SUMMARY",#N/A,FALSE,"Summaries"}</definedName>
    <definedName name="aa" localSheetId="5" hidden="1">{"FAC_SUMMARY",#N/A,FALSE,"Summaries"}</definedName>
    <definedName name="aa" localSheetId="7" hidden="1">{"FAC_SUMMARY",#N/A,FALSE,"Summaries"}</definedName>
    <definedName name="aa" localSheetId="3" hidden="1">{"FAC_SUMMARY",#N/A,FALSE,"Summaries"}</definedName>
    <definedName name="aa" localSheetId="47" hidden="1">{"FAC_SUMMARY",#N/A,FALSE,"Summaries"}</definedName>
    <definedName name="aa" hidden="1">{"FAC_SUMMARY",#N/A,FALSE,"Summaries"}</definedName>
    <definedName name="AAA" localSheetId="6">#REF!</definedName>
    <definedName name="AAA" localSheetId="3">#REF!</definedName>
    <definedName name="AAA">#REF!</definedName>
    <definedName name="AAA_DOCTOPS" hidden="1">"AAA_SET"</definedName>
    <definedName name="AAA_duser" hidden="1">"OFF"</definedName>
    <definedName name="aaaa" localSheetId="1" hidden="1">{"caz2",#N/A,FALSE,"Central Arizona 2";"saz2",#N/A,FALSE,"Southern Arizona 2";"snv2",#N/A,FALSE,"Southern Nevada 2";"nnv2",#N/A,FALSE,"Northern Nevada 2";"sca2",#N/A,FALSE,"Southern California 2";"nca2",#N/A,FALSE,"Northern California 2";"pai2",#N/A,FALSE,"Paiute 2"}</definedName>
    <definedName name="aaaa" localSheetId="32" hidden="1">{"caz2",#N/A,FALSE,"Central Arizona 2";"saz2",#N/A,FALSE,"Southern Arizona 2";"snv2",#N/A,FALSE,"Southern Nevada 2";"nnv2",#N/A,FALSE,"Northern Nevada 2";"sca2",#N/A,FALSE,"Southern California 2";"nca2",#N/A,FALSE,"Northern California 2";"pai2",#N/A,FALSE,"Paiute 2"}</definedName>
    <definedName name="aaaa" localSheetId="6" hidden="1">{"caz2",#N/A,FALSE,"Central Arizona 2";"saz2",#N/A,FALSE,"Southern Arizona 2";"snv2",#N/A,FALSE,"Southern Nevada 2";"nnv2",#N/A,FALSE,"Northern Nevada 2";"sca2",#N/A,FALSE,"Southern California 2";"nca2",#N/A,FALSE,"Northern California 2";"pai2",#N/A,FALSE,"Paiute 2"}</definedName>
    <definedName name="aaaa" localSheetId="4" hidden="1">{"caz2",#N/A,FALSE,"Central Arizona 2";"saz2",#N/A,FALSE,"Southern Arizona 2";"snv2",#N/A,FALSE,"Southern Nevada 2";"nnv2",#N/A,FALSE,"Northern Nevada 2";"sca2",#N/A,FALSE,"Southern California 2";"nca2",#N/A,FALSE,"Northern California 2";"pai2",#N/A,FALSE,"Paiute 2"}</definedName>
    <definedName name="aaaa" localSheetId="5" hidden="1">{"caz2",#N/A,FALSE,"Central Arizona 2";"saz2",#N/A,FALSE,"Southern Arizona 2";"snv2",#N/A,FALSE,"Southern Nevada 2";"nnv2",#N/A,FALSE,"Northern Nevada 2";"sca2",#N/A,FALSE,"Southern California 2";"nca2",#N/A,FALSE,"Northern California 2";"pai2",#N/A,FALSE,"Paiute 2"}</definedName>
    <definedName name="aaaa" localSheetId="7" hidden="1">{"caz2",#N/A,FALSE,"Central Arizona 2";"saz2",#N/A,FALSE,"Southern Arizona 2";"snv2",#N/A,FALSE,"Southern Nevada 2";"nnv2",#N/A,FALSE,"Northern Nevada 2";"sca2",#N/A,FALSE,"Southern California 2";"nca2",#N/A,FALSE,"Northern California 2";"pai2",#N/A,FALSE,"Paiute 2"}</definedName>
    <definedName name="aaaa" localSheetId="3" hidden="1">{"caz2",#N/A,FALSE,"Central Arizona 2";"saz2",#N/A,FALSE,"Southern Arizona 2";"snv2",#N/A,FALSE,"Southern Nevada 2";"nnv2",#N/A,FALSE,"Northern Nevada 2";"sca2",#N/A,FALSE,"Southern California 2";"nca2",#N/A,FALSE,"Northern California 2";"pai2",#N/A,FALSE,"Paiute 2"}</definedName>
    <definedName name="aaaa" localSheetId="29" hidden="1">{"caz2",#N/A,FALSE,"Central Arizona 2";"saz2",#N/A,FALSE,"Southern Arizona 2";"snv2",#N/A,FALSE,"Southern Nevada 2";"nnv2",#N/A,FALSE,"Northern Nevada 2";"sca2",#N/A,FALSE,"Southern California 2";"nca2",#N/A,FALSE,"Northern California 2";"pai2",#N/A,FALSE,"Paiute 2"}</definedName>
    <definedName name="aaaa" localSheetId="47" hidden="1">{"caz2",#N/A,FALSE,"Central Arizona 2";"saz2",#N/A,FALSE,"Southern Arizona 2";"snv2",#N/A,FALSE,"Southern Nevada 2";"nnv2",#N/A,FALSE,"Northern Nevada 2";"sca2",#N/A,FALSE,"Southern California 2";"nca2",#N/A,FALSE,"Northern California 2";"pai2",#N/A,FALSE,"Paiute 2"}</definedName>
    <definedName name="aaaa" hidden="1">{"caz2",#N/A,FALSE,"Central Arizona 2";"saz2",#N/A,FALSE,"Southern Arizona 2";"snv2",#N/A,FALSE,"Southern Nevada 2";"nnv2",#N/A,FALSE,"Northern Nevada 2";"sca2",#N/A,FALSE,"Southern California 2";"nca2",#N/A,FALSE,"Northern California 2";"pai2",#N/A,FALSE,"Paiute 2"}</definedName>
    <definedName name="aaaaaa" localSheetId="1" hidden="1">{#N/A,#N/A,FALSE,"SCA";#N/A,#N/A,FALSE,"NCA";#N/A,#N/A,FALSE,"SAZ";#N/A,#N/A,FALSE,"CAZ";#N/A,#N/A,FALSE,"SNV";#N/A,#N/A,FALSE,"NNV";#N/A,#N/A,FALSE,"PP";#N/A,#N/A,FALSE,"SA"}</definedName>
    <definedName name="aaaaaa" localSheetId="32" hidden="1">{#N/A,#N/A,FALSE,"SCA";#N/A,#N/A,FALSE,"NCA";#N/A,#N/A,FALSE,"SAZ";#N/A,#N/A,FALSE,"CAZ";#N/A,#N/A,FALSE,"SNV";#N/A,#N/A,FALSE,"NNV";#N/A,#N/A,FALSE,"PP";#N/A,#N/A,FALSE,"SA"}</definedName>
    <definedName name="aaaaaa" localSheetId="6" hidden="1">{#N/A,#N/A,FALSE,"SCA";#N/A,#N/A,FALSE,"NCA";#N/A,#N/A,FALSE,"SAZ";#N/A,#N/A,FALSE,"CAZ";#N/A,#N/A,FALSE,"SNV";#N/A,#N/A,FALSE,"NNV";#N/A,#N/A,FALSE,"PP";#N/A,#N/A,FALSE,"SA"}</definedName>
    <definedName name="aaaaaa" localSheetId="4" hidden="1">{#N/A,#N/A,FALSE,"SCA";#N/A,#N/A,FALSE,"NCA";#N/A,#N/A,FALSE,"SAZ";#N/A,#N/A,FALSE,"CAZ";#N/A,#N/A,FALSE,"SNV";#N/A,#N/A,FALSE,"NNV";#N/A,#N/A,FALSE,"PP";#N/A,#N/A,FALSE,"SA"}</definedName>
    <definedName name="aaaaaa" localSheetId="5" hidden="1">{#N/A,#N/A,FALSE,"SCA";#N/A,#N/A,FALSE,"NCA";#N/A,#N/A,FALSE,"SAZ";#N/A,#N/A,FALSE,"CAZ";#N/A,#N/A,FALSE,"SNV";#N/A,#N/A,FALSE,"NNV";#N/A,#N/A,FALSE,"PP";#N/A,#N/A,FALSE,"SA"}</definedName>
    <definedName name="aaaaaa" localSheetId="7" hidden="1">{#N/A,#N/A,FALSE,"SCA";#N/A,#N/A,FALSE,"NCA";#N/A,#N/A,FALSE,"SAZ";#N/A,#N/A,FALSE,"CAZ";#N/A,#N/A,FALSE,"SNV";#N/A,#N/A,FALSE,"NNV";#N/A,#N/A,FALSE,"PP";#N/A,#N/A,FALSE,"SA"}</definedName>
    <definedName name="aaaaaa" localSheetId="3" hidden="1">{#N/A,#N/A,FALSE,"SCA";#N/A,#N/A,FALSE,"NCA";#N/A,#N/A,FALSE,"SAZ";#N/A,#N/A,FALSE,"CAZ";#N/A,#N/A,FALSE,"SNV";#N/A,#N/A,FALSE,"NNV";#N/A,#N/A,FALSE,"PP";#N/A,#N/A,FALSE,"SA"}</definedName>
    <definedName name="aaaaaa" localSheetId="29" hidden="1">{#N/A,#N/A,FALSE,"SCA";#N/A,#N/A,FALSE,"NCA";#N/A,#N/A,FALSE,"SAZ";#N/A,#N/A,FALSE,"CAZ";#N/A,#N/A,FALSE,"SNV";#N/A,#N/A,FALSE,"NNV";#N/A,#N/A,FALSE,"PP";#N/A,#N/A,FALSE,"SA"}</definedName>
    <definedName name="aaaaaa" localSheetId="47" hidden="1">{#N/A,#N/A,FALSE,"SCA";#N/A,#N/A,FALSE,"NCA";#N/A,#N/A,FALSE,"SAZ";#N/A,#N/A,FALSE,"CAZ";#N/A,#N/A,FALSE,"SNV";#N/A,#N/A,FALSE,"NNV";#N/A,#N/A,FALSE,"PP";#N/A,#N/A,FALSE,"SA"}</definedName>
    <definedName name="aaaaaa" hidden="1">{#N/A,#N/A,FALSE,"SCA";#N/A,#N/A,FALSE,"NCA";#N/A,#N/A,FALSE,"SAZ";#N/A,#N/A,FALSE,"CAZ";#N/A,#N/A,FALSE,"SNV";#N/A,#N/A,FALSE,"NNV";#N/A,#N/A,FALSE,"PP";#N/A,#N/A,FALSE,"SA"}</definedName>
    <definedName name="aaaaaaa" localSheetId="1" hidden="1">{#N/A,#N/A,FALSE,"SCA";#N/A,#N/A,FALSE,"NCA";#N/A,#N/A,FALSE,"SAZ";#N/A,#N/A,FALSE,"CAZ";#N/A,#N/A,FALSE,"SNV";#N/A,#N/A,FALSE,"NNV";#N/A,#N/A,FALSE,"PP";#N/A,#N/A,FALSE,"SA"}</definedName>
    <definedName name="aaaaaaa" localSheetId="32" hidden="1">{#N/A,#N/A,FALSE,"SCA";#N/A,#N/A,FALSE,"NCA";#N/A,#N/A,FALSE,"SAZ";#N/A,#N/A,FALSE,"CAZ";#N/A,#N/A,FALSE,"SNV";#N/A,#N/A,FALSE,"NNV";#N/A,#N/A,FALSE,"PP";#N/A,#N/A,FALSE,"SA"}</definedName>
    <definedName name="aaaaaaa" localSheetId="6" hidden="1">{#N/A,#N/A,FALSE,"SCA";#N/A,#N/A,FALSE,"NCA";#N/A,#N/A,FALSE,"SAZ";#N/A,#N/A,FALSE,"CAZ";#N/A,#N/A,FALSE,"SNV";#N/A,#N/A,FALSE,"NNV";#N/A,#N/A,FALSE,"PP";#N/A,#N/A,FALSE,"SA"}</definedName>
    <definedName name="aaaaaaa" localSheetId="4" hidden="1">{#N/A,#N/A,FALSE,"SCA";#N/A,#N/A,FALSE,"NCA";#N/A,#N/A,FALSE,"SAZ";#N/A,#N/A,FALSE,"CAZ";#N/A,#N/A,FALSE,"SNV";#N/A,#N/A,FALSE,"NNV";#N/A,#N/A,FALSE,"PP";#N/A,#N/A,FALSE,"SA"}</definedName>
    <definedName name="aaaaaaa" localSheetId="5" hidden="1">{#N/A,#N/A,FALSE,"SCA";#N/A,#N/A,FALSE,"NCA";#N/A,#N/A,FALSE,"SAZ";#N/A,#N/A,FALSE,"CAZ";#N/A,#N/A,FALSE,"SNV";#N/A,#N/A,FALSE,"NNV";#N/A,#N/A,FALSE,"PP";#N/A,#N/A,FALSE,"SA"}</definedName>
    <definedName name="aaaaaaa" localSheetId="7" hidden="1">{#N/A,#N/A,FALSE,"SCA";#N/A,#N/A,FALSE,"NCA";#N/A,#N/A,FALSE,"SAZ";#N/A,#N/A,FALSE,"CAZ";#N/A,#N/A,FALSE,"SNV";#N/A,#N/A,FALSE,"NNV";#N/A,#N/A,FALSE,"PP";#N/A,#N/A,FALSE,"SA"}</definedName>
    <definedName name="aaaaaaa" localSheetId="3" hidden="1">{#N/A,#N/A,FALSE,"SCA";#N/A,#N/A,FALSE,"NCA";#N/A,#N/A,FALSE,"SAZ";#N/A,#N/A,FALSE,"CAZ";#N/A,#N/A,FALSE,"SNV";#N/A,#N/A,FALSE,"NNV";#N/A,#N/A,FALSE,"PP";#N/A,#N/A,FALSE,"SA"}</definedName>
    <definedName name="aaaaaaa" localSheetId="29" hidden="1">{#N/A,#N/A,FALSE,"SCA";#N/A,#N/A,FALSE,"NCA";#N/A,#N/A,FALSE,"SAZ";#N/A,#N/A,FALSE,"CAZ";#N/A,#N/A,FALSE,"SNV";#N/A,#N/A,FALSE,"NNV";#N/A,#N/A,FALSE,"PP";#N/A,#N/A,FALSE,"SA"}</definedName>
    <definedName name="aaaaaaa" localSheetId="47" hidden="1">{#N/A,#N/A,FALSE,"SCA";#N/A,#N/A,FALSE,"NCA";#N/A,#N/A,FALSE,"SAZ";#N/A,#N/A,FALSE,"CAZ";#N/A,#N/A,FALSE,"SNV";#N/A,#N/A,FALSE,"NNV";#N/A,#N/A,FALSE,"PP";#N/A,#N/A,FALSE,"SA"}</definedName>
    <definedName name="aaaaaaa" hidden="1">{#N/A,#N/A,FALSE,"SCA";#N/A,#N/A,FALSE,"NCA";#N/A,#N/A,FALSE,"SAZ";#N/A,#N/A,FALSE,"CAZ";#N/A,#N/A,FALSE,"SNV";#N/A,#N/A,FALSE,"NNV";#N/A,#N/A,FALSE,"PP";#N/A,#N/A,FALSE,"SA"}</definedName>
    <definedName name="aaaaaaaa" localSheetId="1" hidden="1">{#N/A,#N/A,FALSE,"SCA";#N/A,#N/A,FALSE,"NCA";#N/A,#N/A,FALSE,"SAZ";#N/A,#N/A,FALSE,"CAZ";#N/A,#N/A,FALSE,"SNV";#N/A,#N/A,FALSE,"NNV";#N/A,#N/A,FALSE,"PP";#N/A,#N/A,FALSE,"SA"}</definedName>
    <definedName name="aaaaaaaa" localSheetId="32" hidden="1">{#N/A,#N/A,FALSE,"SCA";#N/A,#N/A,FALSE,"NCA";#N/A,#N/A,FALSE,"SAZ";#N/A,#N/A,FALSE,"CAZ";#N/A,#N/A,FALSE,"SNV";#N/A,#N/A,FALSE,"NNV";#N/A,#N/A,FALSE,"PP";#N/A,#N/A,FALSE,"SA"}</definedName>
    <definedName name="aaaaaaaa" localSheetId="6" hidden="1">{#N/A,#N/A,FALSE,"SCA";#N/A,#N/A,FALSE,"NCA";#N/A,#N/A,FALSE,"SAZ";#N/A,#N/A,FALSE,"CAZ";#N/A,#N/A,FALSE,"SNV";#N/A,#N/A,FALSE,"NNV";#N/A,#N/A,FALSE,"PP";#N/A,#N/A,FALSE,"SA"}</definedName>
    <definedName name="aaaaaaaa" localSheetId="4" hidden="1">{#N/A,#N/A,FALSE,"SCA";#N/A,#N/A,FALSE,"NCA";#N/A,#N/A,FALSE,"SAZ";#N/A,#N/A,FALSE,"CAZ";#N/A,#N/A,FALSE,"SNV";#N/A,#N/A,FALSE,"NNV";#N/A,#N/A,FALSE,"PP";#N/A,#N/A,FALSE,"SA"}</definedName>
    <definedName name="aaaaaaaa" localSheetId="5" hidden="1">{#N/A,#N/A,FALSE,"SCA";#N/A,#N/A,FALSE,"NCA";#N/A,#N/A,FALSE,"SAZ";#N/A,#N/A,FALSE,"CAZ";#N/A,#N/A,FALSE,"SNV";#N/A,#N/A,FALSE,"NNV";#N/A,#N/A,FALSE,"PP";#N/A,#N/A,FALSE,"SA"}</definedName>
    <definedName name="aaaaaaaa" localSheetId="7" hidden="1">{#N/A,#N/A,FALSE,"SCA";#N/A,#N/A,FALSE,"NCA";#N/A,#N/A,FALSE,"SAZ";#N/A,#N/A,FALSE,"CAZ";#N/A,#N/A,FALSE,"SNV";#N/A,#N/A,FALSE,"NNV";#N/A,#N/A,FALSE,"PP";#N/A,#N/A,FALSE,"SA"}</definedName>
    <definedName name="aaaaaaaa" localSheetId="3" hidden="1">{#N/A,#N/A,FALSE,"SCA";#N/A,#N/A,FALSE,"NCA";#N/A,#N/A,FALSE,"SAZ";#N/A,#N/A,FALSE,"CAZ";#N/A,#N/A,FALSE,"SNV";#N/A,#N/A,FALSE,"NNV";#N/A,#N/A,FALSE,"PP";#N/A,#N/A,FALSE,"SA"}</definedName>
    <definedName name="aaaaaaaa" localSheetId="29" hidden="1">{#N/A,#N/A,FALSE,"SCA";#N/A,#N/A,FALSE,"NCA";#N/A,#N/A,FALSE,"SAZ";#N/A,#N/A,FALSE,"CAZ";#N/A,#N/A,FALSE,"SNV";#N/A,#N/A,FALSE,"NNV";#N/A,#N/A,FALSE,"PP";#N/A,#N/A,FALSE,"SA"}</definedName>
    <definedName name="aaaaaaaa" localSheetId="47" hidden="1">{#N/A,#N/A,FALSE,"SCA";#N/A,#N/A,FALSE,"NCA";#N/A,#N/A,FALSE,"SAZ";#N/A,#N/A,FALSE,"CAZ";#N/A,#N/A,FALSE,"SNV";#N/A,#N/A,FALSE,"NNV";#N/A,#N/A,FALSE,"PP";#N/A,#N/A,FALSE,"SA"}</definedName>
    <definedName name="aaaaaaaa" hidden="1">{#N/A,#N/A,FALSE,"SCA";#N/A,#N/A,FALSE,"NCA";#N/A,#N/A,FALSE,"SAZ";#N/A,#N/A,FALSE,"CAZ";#N/A,#N/A,FALSE,"SNV";#N/A,#N/A,FALSE,"NNV";#N/A,#N/A,FALSE,"PP";#N/A,#N/A,FALSE,"SA"}</definedName>
    <definedName name="aaaaaaaaaaaaaaa" localSheetId="32" hidden="1">{#N/A,#N/A,FALSE,"O&amp;M by processes";#N/A,#N/A,FALSE,"Elec Act vs Bud";#N/A,#N/A,FALSE,"G&amp;A";#N/A,#N/A,FALSE,"BGS";#N/A,#N/A,FALSE,"Res Cost"}</definedName>
    <definedName name="aaaaaaaaaaaaaaa" localSheetId="6" hidden="1">{#N/A,#N/A,FALSE,"O&amp;M by processes";#N/A,#N/A,FALSE,"Elec Act vs Bud";#N/A,#N/A,FALSE,"G&amp;A";#N/A,#N/A,FALSE,"BGS";#N/A,#N/A,FALSE,"Res Cost"}</definedName>
    <definedName name="aaaaaaaaaaaaaaa" localSheetId="7"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29" hidden="1">{#N/A,#N/A,FALSE,"O&amp;M by processes";#N/A,#N/A,FALSE,"Elec Act vs Bud";#N/A,#N/A,FALSE,"G&amp;A";#N/A,#N/A,FALSE,"BGS";#N/A,#N/A,FALSE,"Res Cost"}</definedName>
    <definedName name="aaaaaaaaaaaaaaa" localSheetId="47" hidden="1">{#N/A,#N/A,FALSE,"O&amp;M by processes";#N/A,#N/A,FALSE,"Elec Act vs Bud";#N/A,#N/A,FALSE,"G&amp;A";#N/A,#N/A,FALSE,"BGS";#N/A,#N/A,FALSE,"Res Cost"}</definedName>
    <definedName name="aaaaaaaaaaaaaaa" hidden="1">{#N/A,#N/A,FALSE,"O&amp;M by processes";#N/A,#N/A,FALSE,"Elec Act vs Bud";#N/A,#N/A,FALSE,"G&amp;A";#N/A,#N/A,FALSE,"BGS";#N/A,#N/A,FALSE,"Res Cost"}</definedName>
    <definedName name="aaaaaaag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B_Addin5" hidden="1">"AAB_Description for addin 5,Description for addin 5,Description for addin 5,Description for addin 5,Description for addin 5,Description for addin 5"</definedName>
    <definedName name="abc" localSheetId="1" hidden="1">{#N/A,#N/A,TRUE,"1990";#N/A,#N/A,TRUE,"1991";#N/A,#N/A,TRUE,"1992";#N/A,#N/A,TRUE,"1993"}</definedName>
    <definedName name="abc" localSheetId="32" hidden="1">{#N/A,#N/A,TRUE,"1990";#N/A,#N/A,TRUE,"1991";#N/A,#N/A,TRUE,"1992";#N/A,#N/A,TRUE,"1993"}</definedName>
    <definedName name="abc" localSheetId="6" hidden="1">{#N/A,#N/A,TRUE,"1990";#N/A,#N/A,TRUE,"1991";#N/A,#N/A,TRUE,"1992";#N/A,#N/A,TRUE,"1993"}</definedName>
    <definedName name="abc" localSheetId="4" hidden="1">{#N/A,#N/A,TRUE,"1990";#N/A,#N/A,TRUE,"1991";#N/A,#N/A,TRUE,"1992";#N/A,#N/A,TRUE,"1993"}</definedName>
    <definedName name="abc" localSheetId="5" hidden="1">{#N/A,#N/A,TRUE,"1990";#N/A,#N/A,TRUE,"1991";#N/A,#N/A,TRUE,"1992";#N/A,#N/A,TRUE,"1993"}</definedName>
    <definedName name="abc" localSheetId="7" hidden="1">{#N/A,#N/A,TRUE,"1990";#N/A,#N/A,TRUE,"1991";#N/A,#N/A,TRUE,"1992";#N/A,#N/A,TRUE,"1993"}</definedName>
    <definedName name="abc" localSheetId="3" hidden="1">{#N/A,#N/A,TRUE,"1990";#N/A,#N/A,TRUE,"1991";#N/A,#N/A,TRUE,"1992";#N/A,#N/A,TRUE,"1993"}</definedName>
    <definedName name="abc" localSheetId="47" hidden="1">{#N/A,#N/A,TRUE,"1990";#N/A,#N/A,TRUE,"1991";#N/A,#N/A,TRUE,"1992";#N/A,#N/A,TRUE,"1993"}</definedName>
    <definedName name="abc" hidden="1">{#N/A,#N/A,TRUE,"1990";#N/A,#N/A,TRUE,"1991";#N/A,#N/A,TRUE,"1992";#N/A,#N/A,TRUE,"1993"}</definedName>
    <definedName name="abcd" localSheetId="1" hidden="1">{#N/A,#N/A,TRUE,"1990";#N/A,#N/A,TRUE,"1991";#N/A,#N/A,TRUE,"1992";#N/A,#N/A,TRUE,"1993"}</definedName>
    <definedName name="abcd" localSheetId="32" hidden="1">{#N/A,#N/A,TRUE,"1990";#N/A,#N/A,TRUE,"1991";#N/A,#N/A,TRUE,"1992";#N/A,#N/A,TRUE,"1993"}</definedName>
    <definedName name="abcd" localSheetId="6" hidden="1">{#N/A,#N/A,TRUE,"1990";#N/A,#N/A,TRUE,"1991";#N/A,#N/A,TRUE,"1992";#N/A,#N/A,TRUE,"1993"}</definedName>
    <definedName name="abcd" localSheetId="4" hidden="1">{#N/A,#N/A,TRUE,"1990";#N/A,#N/A,TRUE,"1991";#N/A,#N/A,TRUE,"1992";#N/A,#N/A,TRUE,"1993"}</definedName>
    <definedName name="abcd" localSheetId="5" hidden="1">{#N/A,#N/A,TRUE,"1990";#N/A,#N/A,TRUE,"1991";#N/A,#N/A,TRUE,"1992";#N/A,#N/A,TRUE,"1993"}</definedName>
    <definedName name="abcd" localSheetId="7" hidden="1">{#N/A,#N/A,TRUE,"1990";#N/A,#N/A,TRUE,"1991";#N/A,#N/A,TRUE,"1992";#N/A,#N/A,TRUE,"1993"}</definedName>
    <definedName name="abcd" localSheetId="3" hidden="1">{#N/A,#N/A,TRUE,"1990";#N/A,#N/A,TRUE,"1991";#N/A,#N/A,TRUE,"1992";#N/A,#N/A,TRUE,"1993"}</definedName>
    <definedName name="abcd" localSheetId="47" hidden="1">{#N/A,#N/A,TRUE,"1990";#N/A,#N/A,TRUE,"1991";#N/A,#N/A,TRUE,"1992";#N/A,#N/A,TRUE,"1993"}</definedName>
    <definedName name="abcd" hidden="1">{#N/A,#N/A,TRUE,"1990";#N/A,#N/A,TRUE,"1991";#N/A,#N/A,TRUE,"1992";#N/A,#N/A,TRUE,"1993"}</definedName>
    <definedName name="abcde" localSheetId="1" hidden="1">{"summary",#N/A,TRUE,"E93ADJ";"detail",#N/A,TRUE,"E93ADJ"}</definedName>
    <definedName name="abcde" localSheetId="32" hidden="1">{"summary",#N/A,TRUE,"E93ADJ";"detail",#N/A,TRUE,"E93ADJ"}</definedName>
    <definedName name="abcde" localSheetId="6" hidden="1">{"summary",#N/A,TRUE,"E93ADJ";"detail",#N/A,TRUE,"E93ADJ"}</definedName>
    <definedName name="abcde" localSheetId="4" hidden="1">{"summary",#N/A,TRUE,"E93ADJ";"detail",#N/A,TRUE,"E93ADJ"}</definedName>
    <definedName name="abcde" localSheetId="5" hidden="1">{"summary",#N/A,TRUE,"E93ADJ";"detail",#N/A,TRUE,"E93ADJ"}</definedName>
    <definedName name="abcde" localSheetId="7" hidden="1">{"summary",#N/A,TRUE,"E93ADJ";"detail",#N/A,TRUE,"E93ADJ"}</definedName>
    <definedName name="abcde" localSheetId="3" hidden="1">{"summary",#N/A,TRUE,"E93ADJ";"detail",#N/A,TRUE,"E93ADJ"}</definedName>
    <definedName name="abcde" localSheetId="47" hidden="1">{"summary",#N/A,TRUE,"E93ADJ";"detail",#N/A,TRUE,"E93ADJ"}</definedName>
    <definedName name="abcde" hidden="1">{"summary",#N/A,TRUE,"E93ADJ";"detail",#N/A,TRUE,"E93ADJ"}</definedName>
    <definedName name="abcdef" localSheetId="1" hidden="1">{"summary",#N/A,TRUE,"E93ADJ";"detail",#N/A,TRUE,"E93ADJ"}</definedName>
    <definedName name="abcdef" localSheetId="32" hidden="1">{"summary",#N/A,TRUE,"E93ADJ";"detail",#N/A,TRUE,"E93ADJ"}</definedName>
    <definedName name="abcdef" localSheetId="6" hidden="1">{"summary",#N/A,TRUE,"E93ADJ";"detail",#N/A,TRUE,"E93ADJ"}</definedName>
    <definedName name="abcdef" localSheetId="4" hidden="1">{"summary",#N/A,TRUE,"E93ADJ";"detail",#N/A,TRUE,"E93ADJ"}</definedName>
    <definedName name="abcdef" localSheetId="5" hidden="1">{"summary",#N/A,TRUE,"E93ADJ";"detail",#N/A,TRUE,"E93ADJ"}</definedName>
    <definedName name="abcdef" localSheetId="7" hidden="1">{"summary",#N/A,TRUE,"E93ADJ";"detail",#N/A,TRUE,"E93ADJ"}</definedName>
    <definedName name="abcdef" localSheetId="3" hidden="1">{"summary",#N/A,TRUE,"E93ADJ";"detail",#N/A,TRUE,"E93ADJ"}</definedName>
    <definedName name="abcdef" localSheetId="47" hidden="1">{"summary",#N/A,TRUE,"E93ADJ";"detail",#N/A,TRUE,"E93ADJ"}</definedName>
    <definedName name="abcdef" hidden="1">{"summary",#N/A,TRUE,"E93ADJ";"detail",#N/A,TRUE,"E93ADJ"}</definedName>
    <definedName name="ACCTPAY00" localSheetId="3">#REF!</definedName>
    <definedName name="ACCTPAY00">#REF!</definedName>
    <definedName name="ACCTPAY98" localSheetId="3">#REF!</definedName>
    <definedName name="ACCTPAY98">#REF!</definedName>
    <definedName name="ACCTPAY99" localSheetId="3">#REF!</definedName>
    <definedName name="ACCTPAY99">#REF!</definedName>
    <definedName name="ACwvu.DATABASE." localSheetId="3" hidden="1">[35]DATABASE!#REF!</definedName>
    <definedName name="ACwvu.DATABASE." localSheetId="47" hidden="1">[35]DATABASE!#REF!</definedName>
    <definedName name="ACwvu.DATABASE." hidden="1">[35]DATABASE!#REF!</definedName>
    <definedName name="ACwvu.OP." localSheetId="6" hidden="1">#REF!</definedName>
    <definedName name="ACwvu.OP." localSheetId="7" hidden="1">#REF!</definedName>
    <definedName name="ACwvu.OP." localSheetId="3" hidden="1">#REF!</definedName>
    <definedName name="ACwvu.OP." localSheetId="29" hidden="1">#REF!</definedName>
    <definedName name="ACwvu.OP." hidden="1">#REF!</definedName>
    <definedName name="ad" localSheetId="3">#REF!</definedName>
    <definedName name="ad">#REF!</definedName>
    <definedName name="adadf" localSheetId="3">#REF!</definedName>
    <definedName name="adadf">#REF!</definedName>
    <definedName name="AdditionalOPEX" localSheetId="3">#REF!</definedName>
    <definedName name="AdditionalOPEX">#REF!</definedName>
    <definedName name="AdditionalOPEX_Early" localSheetId="3">#REF!</definedName>
    <definedName name="AdditionalOPEX_Early">#REF!</definedName>
    <definedName name="adf">'[36]METERS_&amp;_TRANSFORMERS'!$AB$324:$AH$354</definedName>
    <definedName name="adfadfdfadsfdsa" hidden="1">'[7]Chart Data'!$K$30:$K$228</definedName>
    <definedName name="ADJGROWTHRATES" localSheetId="6">#REF!</definedName>
    <definedName name="ADJGROWTHRATES" localSheetId="3">#REF!</definedName>
    <definedName name="ADJGROWTHRATES">#REF!</definedName>
    <definedName name="adsfadf" localSheetId="3">#REF!</definedName>
    <definedName name="adsfadf">#REF!</definedName>
    <definedName name="aedf" localSheetId="1" hidden="1">#REF!</definedName>
    <definedName name="aedf" localSheetId="5" hidden="1">#REF!</definedName>
    <definedName name="aedf" localSheetId="3" hidden="1">#REF!</definedName>
    <definedName name="aedf" localSheetId="29" hidden="1">#REF!</definedName>
    <definedName name="aedf" hidden="1">#REF!</definedName>
    <definedName name="AEP">#REF!</definedName>
    <definedName name="aewc12" localSheetId="1" hidden="1">#REF!</definedName>
    <definedName name="aewc12" localSheetId="5" hidden="1">#REF!</definedName>
    <definedName name="aewc12" localSheetId="3" hidden="1">#REF!</definedName>
    <definedName name="aewc12" localSheetId="29" hidden="1">#REF!</definedName>
    <definedName name="aewc12" hidden="1">#REF!</definedName>
    <definedName name="afd"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dafadfs" hidden="1">'[7]Chart Data'!$B$30:$B$222</definedName>
    <definedName name="afddfadfdsfafdas" hidden="1">'[7]Chart Data'!$O$30:$O$226</definedName>
    <definedName name="Airport">'[37]Customer Bill Details (External'!$O$157</definedName>
    <definedName name="ajw2n" localSheetId="1" hidden="1">#REF!</definedName>
    <definedName name="ajw2n" localSheetId="5" hidden="1">#REF!</definedName>
    <definedName name="ajw2n" localSheetId="3" hidden="1">#REF!</definedName>
    <definedName name="ajw2n" localSheetId="29" hidden="1">#REF!</definedName>
    <definedName name="ajw2n" hidden="1">#REF!</definedName>
    <definedName name="ALL">[38]A!$P$10:$Q$117</definedName>
    <definedName name="alldcfh" localSheetId="6">#REF!</definedName>
    <definedName name="alldcfh" localSheetId="3">#REF!</definedName>
    <definedName name="alldcfh">#REF!</definedName>
    <definedName name="alldcfl" localSheetId="3">#REF!</definedName>
    <definedName name="alldcfl">#REF!</definedName>
    <definedName name="AMORT" localSheetId="3">#REF!</definedName>
    <definedName name="AMORT">#REF!</definedName>
    <definedName name="AmtTable" localSheetId="3">#REF!</definedName>
    <definedName name="AmtTable">#REF!</definedName>
    <definedName name="anscount" hidden="1">1</definedName>
    <definedName name="antra" localSheetId="6">'[34]Schedule RAM-2'!#REF!</definedName>
    <definedName name="antra" localSheetId="3">'[34]Schedule RAM-2'!#REF!</definedName>
    <definedName name="antra">'[34]Schedule RAM-2'!#REF!</definedName>
    <definedName name="ap" localSheetId="1" hidden="1">#REF!</definedName>
    <definedName name="ap" localSheetId="5" hidden="1">#REF!</definedName>
    <definedName name="ap" localSheetId="3" hidden="1">#REF!</definedName>
    <definedName name="ap" localSheetId="29" hidden="1">#REF!</definedName>
    <definedName name="ap" hidden="1">#REF!</definedName>
    <definedName name="AP00" localSheetId="3">#REF!</definedName>
    <definedName name="AP00">#REF!</definedName>
    <definedName name="aprilAMT" localSheetId="3">'2.4 OpCo Proxy Cap Str'!AmtTable</definedName>
    <definedName name="aprilAMT">[39]!AmtTable</definedName>
    <definedName name="aprilDT" localSheetId="3">'2.4 OpCo Proxy Cap Str'!DTTable</definedName>
    <definedName name="aprilDT">[39]!DTTable</definedName>
    <definedName name="ARTNA" localSheetId="3">#REF!</definedName>
    <definedName name="ARTNA">#REF!</definedName>
    <definedName name="as" localSheetId="1" hidden="1">{"Summary",#N/A,FALSE,"Options "}</definedName>
    <definedName name="as" localSheetId="32" hidden="1">{"Summary",#N/A,FALSE,"Options "}</definedName>
    <definedName name="as" localSheetId="6" hidden="1">{"Summary",#N/A,FALSE,"Options "}</definedName>
    <definedName name="as" localSheetId="4" hidden="1">{"Summary",#N/A,FALSE,"Options "}</definedName>
    <definedName name="as" localSheetId="5" hidden="1">{"Summary",#N/A,FALSE,"Options "}</definedName>
    <definedName name="as" localSheetId="7" hidden="1">{"Summary",#N/A,FALSE,"Options "}</definedName>
    <definedName name="as" localSheetId="3" hidden="1">{"Summary",#N/A,FALSE,"Options "}</definedName>
    <definedName name="as" localSheetId="29" hidden="1">{"Summary",#N/A,FALSE,"Options "}</definedName>
    <definedName name="as" localSheetId="47" hidden="1">{"Summary",#N/A,FALSE,"Options "}</definedName>
    <definedName name="as" hidden="1">{"Summary",#N/A,FALSE,"Options "}</definedName>
    <definedName name="AS2DocOpenMode" hidden="1">"AS2DocumentEdit"</definedName>
    <definedName name="AS2NamedRange" hidden="1">7</definedName>
    <definedName name="asd" localSheetId="1" hidden="1">#REF!</definedName>
    <definedName name="asd" localSheetId="5" hidden="1">#REF!</definedName>
    <definedName name="asd" localSheetId="3" hidden="1">#REF!</definedName>
    <definedName name="asd" localSheetId="29" hidden="1">#REF!</definedName>
    <definedName name="asd" hidden="1">#REF!</definedName>
    <definedName name="asdf" localSheetId="1" hidden="1">#REF!</definedName>
    <definedName name="asdf" localSheetId="5" hidden="1">#REF!</definedName>
    <definedName name="asdf" localSheetId="3" hidden="1">#REF!</definedName>
    <definedName name="asdf" localSheetId="29" hidden="1">#REF!</definedName>
    <definedName name="asdf" hidden="1">#REF!</definedName>
    <definedName name="asdij" localSheetId="5" hidden="1">#REF!</definedName>
    <definedName name="asdij" localSheetId="3" hidden="1">#REF!</definedName>
    <definedName name="asdij" localSheetId="29" hidden="1">#REF!</definedName>
    <definedName name="asdij" hidden="1">#REF!</definedName>
    <definedName name="asf" localSheetId="5" hidden="1">#REF!</definedName>
    <definedName name="asf" localSheetId="3" hidden="1">#REF!</definedName>
    <definedName name="asf" localSheetId="29" hidden="1">#REF!</definedName>
    <definedName name="asf" hidden="1">#REF!</definedName>
    <definedName name="ashwin" localSheetId="1" hidden="1">{#N/A,"Anonymous",FALSE,"30 30k Table";#N/A,#N/A,FALSE,"30 50k Table";#N/A,#N/A,FALSE,"40 100k Table"}</definedName>
    <definedName name="ashwin" localSheetId="32" hidden="1">{#N/A,"Anonymous",FALSE,"30 30k Table";#N/A,#N/A,FALSE,"30 50k Table";#N/A,#N/A,FALSE,"40 100k Table"}</definedName>
    <definedName name="ashwin" localSheetId="6" hidden="1">{#N/A,"Anonymous",FALSE,"30 30k Table";#N/A,#N/A,FALSE,"30 50k Table";#N/A,#N/A,FALSE,"40 100k Table"}</definedName>
    <definedName name="ashwin" localSheetId="4" hidden="1">{#N/A,"Anonymous",FALSE,"30 30k Table";#N/A,#N/A,FALSE,"30 50k Table";#N/A,#N/A,FALSE,"40 100k Table"}</definedName>
    <definedName name="ashwin" localSheetId="5" hidden="1">{#N/A,"Anonymous",FALSE,"30 30k Table";#N/A,#N/A,FALSE,"30 50k Table";#N/A,#N/A,FALSE,"40 100k Table"}</definedName>
    <definedName name="ashwin" localSheetId="7" hidden="1">{#N/A,"Anonymous",FALSE,"30 30k Table";#N/A,#N/A,FALSE,"30 50k Table";#N/A,#N/A,FALSE,"40 100k Table"}</definedName>
    <definedName name="ashwin" localSheetId="3" hidden="1">{#N/A,"Anonymous",FALSE,"30 30k Table";#N/A,#N/A,FALSE,"30 50k Table";#N/A,#N/A,FALSE,"40 100k Table"}</definedName>
    <definedName name="ashwin" localSheetId="29" hidden="1">{#N/A,"Anonymous",FALSE,"30 30k Table";#N/A,#N/A,FALSE,"30 50k Table";#N/A,#N/A,FALSE,"40 100k Table"}</definedName>
    <definedName name="ashwin" localSheetId="47" hidden="1">{#N/A,"Anonymous",FALSE,"30 30k Table";#N/A,#N/A,FALSE,"30 50k Table";#N/A,#N/A,FALSE,"40 100k Table"}</definedName>
    <definedName name="ashwin" hidden="1">{#N/A,"Anonymous",FALSE,"30 30k Table";#N/A,#N/A,FALSE,"30 50k Table";#N/A,#N/A,FALSE,"40 100k Table"}</definedName>
    <definedName name="aspd" localSheetId="1" hidden="1">#REF!</definedName>
    <definedName name="aspd" localSheetId="5" hidden="1">#REF!</definedName>
    <definedName name="aspd" localSheetId="3" hidden="1">#REF!</definedName>
    <definedName name="aspd" localSheetId="29" hidden="1">#REF!</definedName>
    <definedName name="aspd" hidden="1">#REF!</definedName>
    <definedName name="Assessment_FooterType" hidden="1">"NONE"</definedName>
    <definedName name="Assessments_FooterType" hidden="1">"NONE"</definedName>
    <definedName name="aswac" localSheetId="1" hidden="1">#REF!</definedName>
    <definedName name="aswac" localSheetId="5" hidden="1">#REF!</definedName>
    <definedName name="aswac" localSheetId="3" hidden="1">#REF!</definedName>
    <definedName name="aswac" localSheetId="29" hidden="1">#REF!</definedName>
    <definedName name="aswac" hidden="1">#REF!</definedName>
    <definedName name="aswc" localSheetId="1" hidden="1">#REF!</definedName>
    <definedName name="aswc" localSheetId="5" hidden="1">#REF!</definedName>
    <definedName name="aswc" localSheetId="3" hidden="1">#REF!</definedName>
    <definedName name="aswc" localSheetId="29" hidden="1">#REF!</definedName>
    <definedName name="aswc" hidden="1">#REF!</definedName>
    <definedName name="atmos" localSheetId="3">#REF!</definedName>
    <definedName name="atmos">#REF!</definedName>
    <definedName name="ATOKA">[40]Atoka!$A$1:$K$33</definedName>
    <definedName name="AUGAMT" localSheetId="3">'2.4 OpCo Proxy Cap Str'!AmtTable</definedName>
    <definedName name="AUGAMT">[39]!AmtTable</definedName>
    <definedName name="AUGDT" localSheetId="3">'2.4 OpCo Proxy Cap Str'!DTTable</definedName>
    <definedName name="AUGDT">[39]!DTTable</definedName>
    <definedName name="AUGUSTAMT">#N/A</definedName>
    <definedName name="AUGUSTDT">#N/A</definedName>
    <definedName name="avbc" localSheetId="3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3"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4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erage_Calculated_Beta" localSheetId="6">#REF!</definedName>
    <definedName name="Average_Calculated_Beta" localSheetId="3">#REF!</definedName>
    <definedName name="Average_Calculated_Beta">#REF!</definedName>
    <definedName name="average_p_v">'[41]Preferred Equity Market Ratio'!$1:$1048576</definedName>
    <definedName name="average_p_v_h">'[41]Preferred Equity Market Ratio'!$13:$13</definedName>
    <definedName name="average_p_v_vh">'[41]Preferred Equity Market Ratio'!$A:$A</definedName>
    <definedName name="avg">'[42]20.7 Prices'!$M$5:$U$506</definedName>
    <definedName name="Avg_CmnEqtyRatioWST" localSheetId="6">#REF!</definedName>
    <definedName name="Avg_CmnEqtyRatioWST" localSheetId="3">#REF!</definedName>
    <definedName name="Avg_CmnEqtyRatioWST">#REF!</definedName>
    <definedName name="avg_date">'[42]20.7 Prices'!$L$5:$L$506</definedName>
    <definedName name="AVG_RESIDUAL_PROFORMA">'[43]DATA INPUT'!$D$43</definedName>
    <definedName name="avg_ticker">'[42]20.7 Prices'!$M$4:$U$4</definedName>
    <definedName name="AvgStockPrice">'[44]Stock Prices (WP)'!$F$2:$AX$2</definedName>
    <definedName name="aw3dq" localSheetId="1" hidden="1">#REF!</definedName>
    <definedName name="aw3dq" localSheetId="5" hidden="1">#REF!</definedName>
    <definedName name="aw3dq" localSheetId="3" hidden="1">#REF!</definedName>
    <definedName name="aw3dq" localSheetId="29" hidden="1">#REF!</definedName>
    <definedName name="aw3dq" hidden="1">#REF!</definedName>
    <definedName name="awd" localSheetId="5" hidden="1">#REF!</definedName>
    <definedName name="awd" localSheetId="3" hidden="1">#REF!</definedName>
    <definedName name="awd" localSheetId="29" hidden="1">#REF!</definedName>
    <definedName name="awd" hidden="1">#REF!</definedName>
    <definedName name="awef" localSheetId="5" hidden="1">#REF!</definedName>
    <definedName name="awef" localSheetId="3" hidden="1">#REF!</definedName>
    <definedName name="awef" localSheetId="29" hidden="1">#REF!</definedName>
    <definedName name="awef" hidden="1">#REF!</definedName>
    <definedName name="AWS" localSheetId="5" hidden="1">#REF!</definedName>
    <definedName name="AWS" localSheetId="3" hidden="1">#REF!</definedName>
    <definedName name="AWS" localSheetId="29" hidden="1">#REF!</definedName>
    <definedName name="AWS" hidden="1">#REF!</definedName>
    <definedName name="az" localSheetId="5" hidden="1">#REF!</definedName>
    <definedName name="az" localSheetId="3" hidden="1">#REF!</definedName>
    <definedName name="az" localSheetId="29" hidden="1">#REF!</definedName>
    <definedName name="az" hidden="1">#REF!</definedName>
    <definedName name="b" localSheetId="1" hidden="1">{#N/A,#N/A,TRUE,"SLDE";#N/A,#N/A,TRUE,"Concession Summary"}</definedName>
    <definedName name="b" localSheetId="32" hidden="1">{#N/A,#N/A,TRUE,"SLDE";#N/A,#N/A,TRUE,"Concession Summary"}</definedName>
    <definedName name="b" localSheetId="6" hidden="1">{#N/A,#N/A,TRUE,"SLDE";#N/A,#N/A,TRUE,"Concession Summary"}</definedName>
    <definedName name="b" localSheetId="4" hidden="1">{#N/A,#N/A,TRUE,"SLDE";#N/A,#N/A,TRUE,"Concession Summary"}</definedName>
    <definedName name="b" localSheetId="5" hidden="1">{#N/A,#N/A,TRUE,"SLDE";#N/A,#N/A,TRUE,"Concession Summary"}</definedName>
    <definedName name="b" localSheetId="7" hidden="1">{#N/A,#N/A,TRUE,"SLDE";#N/A,#N/A,TRUE,"Concession Summary"}</definedName>
    <definedName name="b" localSheetId="3" hidden="1">{#N/A,#N/A,TRUE,"SLDE";#N/A,#N/A,TRUE,"Concession Summary"}</definedName>
    <definedName name="b" localSheetId="29" hidden="1">{#N/A,#N/A,TRUE,"SLDE";#N/A,#N/A,TRUE,"Concession Summary"}</definedName>
    <definedName name="b" localSheetId="47" hidden="1">{#N/A,#N/A,TRUE,"SLDE";#N/A,#N/A,TRUE,"Concession Summary"}</definedName>
    <definedName name="b" hidden="1">{#N/A,#N/A,TRUE,"SLDE";#N/A,#N/A,TRUE,"Concession Summary"}</definedName>
    <definedName name="BaaUBondYldFY06">[45]MonthlyYields!$G$7:$G$18</definedName>
    <definedName name="BaaUBondYldFY07">[45]MonthlyYields!$G$19:$G$30</definedName>
    <definedName name="BaaUBondYldFY08">[45]MonthlyYields!$G$31:$G$42</definedName>
    <definedName name="BaaUBondYldFY09">[45]MonthlyYields!$G$43:$G$54</definedName>
    <definedName name="BaaUBondYldFY10">[45]MonthlyYields!$G$55:$G$66</definedName>
    <definedName name="BaaUBondYldFY11">[45]MonthlyYields!$G$67:$G$78</definedName>
    <definedName name="BaaUBondYldFY12">[45]MonthlyYields!$G$79:$G$90</definedName>
    <definedName name="BaaUBondYldFY13">[45]MonthlyYields!$G$91:$G$102</definedName>
    <definedName name="BaaUBondYldFY14">[45]MonthlyYields!$G$103:$G$114</definedName>
    <definedName name="BACKUP">'[46]CAPM Backup (Sc 12 - p. 2)'!$A$18:$K$79</definedName>
    <definedName name="badger" localSheetId="1" hidden="1">{"TOT_QTR_TO_PREV",#N/A,FALSE,"Site Sum"}</definedName>
    <definedName name="badger" localSheetId="32" hidden="1">{"TOT_QTR_TO_PREV",#N/A,FALSE,"Site Sum"}</definedName>
    <definedName name="badger" localSheetId="6" hidden="1">{"TOT_QTR_TO_PREV",#N/A,FALSE,"Site Sum"}</definedName>
    <definedName name="badger" localSheetId="4" hidden="1">{"TOT_QTR_TO_PREV",#N/A,FALSE,"Site Sum"}</definedName>
    <definedName name="badger" localSheetId="5" hidden="1">{"TOT_QTR_TO_PREV",#N/A,FALSE,"Site Sum"}</definedName>
    <definedName name="badger" localSheetId="7" hidden="1">{"TOT_QTR_TO_PREV",#N/A,FALSE,"Site Sum"}</definedName>
    <definedName name="badger" localSheetId="3" hidden="1">{"TOT_QTR_TO_PREV",#N/A,FALSE,"Site Sum"}</definedName>
    <definedName name="badger" localSheetId="29" hidden="1">{"TOT_QTR_TO_PREV",#N/A,FALSE,"Site Sum"}</definedName>
    <definedName name="badger" localSheetId="47" hidden="1">{"TOT_QTR_TO_PREV",#N/A,FALSE,"Site Sum"}</definedName>
    <definedName name="badger" hidden="1">{"TOT_QTR_TO_PREV",#N/A,FALSE,"Site Sum"}</definedName>
    <definedName name="badger1" localSheetId="1" hidden="1">{"TOT_QTR_TO_PREV",#N/A,FALSE,"Site Sum"}</definedName>
    <definedName name="badger1" localSheetId="32" hidden="1">{"TOT_QTR_TO_PREV",#N/A,FALSE,"Site Sum"}</definedName>
    <definedName name="badger1" localSheetId="6" hidden="1">{"TOT_QTR_TO_PREV",#N/A,FALSE,"Site Sum"}</definedName>
    <definedName name="badger1" localSheetId="4" hidden="1">{"TOT_QTR_TO_PREV",#N/A,FALSE,"Site Sum"}</definedName>
    <definedName name="badger1" localSheetId="5" hidden="1">{"TOT_QTR_TO_PREV",#N/A,FALSE,"Site Sum"}</definedName>
    <definedName name="badger1" localSheetId="7" hidden="1">{"TOT_QTR_TO_PREV",#N/A,FALSE,"Site Sum"}</definedName>
    <definedName name="badger1" localSheetId="3" hidden="1">{"TOT_QTR_TO_PREV",#N/A,FALSE,"Site Sum"}</definedName>
    <definedName name="badger1" localSheetId="29" hidden="1">{"TOT_QTR_TO_PREV",#N/A,FALSE,"Site Sum"}</definedName>
    <definedName name="badger1" localSheetId="47" hidden="1">{"TOT_QTR_TO_PREV",#N/A,FALSE,"Site Sum"}</definedName>
    <definedName name="badger1" hidden="1">{"TOT_QTR_TO_PREV",#N/A,FALSE,"Site Sum"}</definedName>
    <definedName name="BAL" localSheetId="3">#REF!</definedName>
    <definedName name="BAL">#REF!</definedName>
    <definedName name="BALTITLE" localSheetId="3">#REF!</definedName>
    <definedName name="BALTITLE">#REF!</definedName>
    <definedName name="BB" localSheetId="1" hidden="1">#REF!</definedName>
    <definedName name="BB" localSheetId="5" hidden="1">#REF!</definedName>
    <definedName name="BB" localSheetId="3" hidden="1">#REF!</definedName>
    <definedName name="BB" localSheetId="29" hidden="1">#REF!</definedName>
    <definedName name="BB" hidden="1">#REF!</definedName>
    <definedName name="bb_mdm" localSheetId="5" hidden="1">#REF!</definedName>
    <definedName name="bb_mdm" localSheetId="3" hidden="1">#REF!</definedName>
    <definedName name="bb_mdm" localSheetId="29" hidden="1">#REF!</definedName>
    <definedName name="bb_mdm" hidden="1">#REF!</definedName>
    <definedName name="bb_MDMyNTU0NDRBODY1NDVEQz" localSheetId="5" hidden="1">#REF!</definedName>
    <definedName name="bb_MDMyNTU0NDRBODY1NDVEQz" localSheetId="3" hidden="1">#REF!</definedName>
    <definedName name="bb_MDMyNTU0NDRBODY1NDVEQz" localSheetId="29" hidden="1">#REF!</definedName>
    <definedName name="bb_MDMyNTU0NDRBODY1NDVEQz" hidden="1">#REF!</definedName>
    <definedName name="BBB" localSheetId="3">#REF!</definedName>
    <definedName name="BBB">#REF!</definedName>
    <definedName name="bbbb" localSheetId="5" hidden="1">#REF!</definedName>
    <definedName name="bbbb" localSheetId="3" hidden="1">#REF!</definedName>
    <definedName name="bbbb" localSheetId="29" hidden="1">#REF!</definedName>
    <definedName name="bbbb" hidden="1">#REF!</definedName>
    <definedName name="bbbbb" localSheetId="32" hidden="1">{#N/A,#N/A,FALSE,"O&amp;M by processes";#N/A,#N/A,FALSE,"Elec Act vs Bud";#N/A,#N/A,FALSE,"G&amp;A";#N/A,#N/A,FALSE,"BGS";#N/A,#N/A,FALSE,"Res Cost"}</definedName>
    <definedName name="bbbbb" localSheetId="6"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29" hidden="1">{#N/A,#N/A,FALSE,"O&amp;M by processes";#N/A,#N/A,FALSE,"Elec Act vs Bud";#N/A,#N/A,FALSE,"G&amp;A";#N/A,#N/A,FALSE,"BGS";#N/A,#N/A,FALSE,"Res Cost"}</definedName>
    <definedName name="bbbbb" localSheetId="47"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32" hidden="1">{#N/A,#N/A,FALSE,"O&amp;M by processes";#N/A,#N/A,FALSE,"Elec Act vs Bud";#N/A,#N/A,FALSE,"G&amp;A";#N/A,#N/A,FALSE,"BGS";#N/A,#N/A,FALSE,"Res Cost"}</definedName>
    <definedName name="bbc" localSheetId="6"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29" hidden="1">{#N/A,#N/A,FALSE,"O&amp;M by processes";#N/A,#N/A,FALSE,"Elec Act vs Bud";#N/A,#N/A,FALSE,"G&amp;A";#N/A,#N/A,FALSE,"BGS";#N/A,#N/A,FALSE,"Res Cost"}</definedName>
    <definedName name="bbc" localSheetId="47" hidden="1">{#N/A,#N/A,FALSE,"O&amp;M by processes";#N/A,#N/A,FALSE,"Elec Act vs Bud";#N/A,#N/A,FALSE,"G&amp;A";#N/A,#N/A,FALSE,"BGS";#N/A,#N/A,FALSE,"Res Cost"}</definedName>
    <definedName name="bbc" hidden="1">{#N/A,#N/A,FALSE,"O&amp;M by processes";#N/A,#N/A,FALSE,"Elec Act vs Bud";#N/A,#N/A,FALSE,"G&amp;A";#N/A,#N/A,FALSE,"BGS";#N/A,#N/A,FALSE,"Res Cost"}</definedName>
    <definedName name="bcd" localSheetId="1" hidden="1">{#N/A,#N/A,TRUE,"1990";#N/A,#N/A,TRUE,"1991";#N/A,#N/A,TRUE,"1992";#N/A,#N/A,TRUE,"1993"}</definedName>
    <definedName name="bcd" localSheetId="32" hidden="1">{#N/A,#N/A,TRUE,"1990";#N/A,#N/A,TRUE,"1991";#N/A,#N/A,TRUE,"1992";#N/A,#N/A,TRUE,"1993"}</definedName>
    <definedName name="bcd" localSheetId="6" hidden="1">{#N/A,#N/A,TRUE,"1990";#N/A,#N/A,TRUE,"1991";#N/A,#N/A,TRUE,"1992";#N/A,#N/A,TRUE,"1993"}</definedName>
    <definedName name="bcd" localSheetId="4" hidden="1">{#N/A,#N/A,TRUE,"1990";#N/A,#N/A,TRUE,"1991";#N/A,#N/A,TRUE,"1992";#N/A,#N/A,TRUE,"1993"}</definedName>
    <definedName name="bcd" localSheetId="5" hidden="1">{#N/A,#N/A,TRUE,"1990";#N/A,#N/A,TRUE,"1991";#N/A,#N/A,TRUE,"1992";#N/A,#N/A,TRUE,"1993"}</definedName>
    <definedName name="bcd" localSheetId="7" hidden="1">{#N/A,#N/A,TRUE,"1990";#N/A,#N/A,TRUE,"1991";#N/A,#N/A,TRUE,"1992";#N/A,#N/A,TRUE,"1993"}</definedName>
    <definedName name="bcd" localSheetId="3" hidden="1">{#N/A,#N/A,TRUE,"1990";#N/A,#N/A,TRUE,"1991";#N/A,#N/A,TRUE,"1992";#N/A,#N/A,TRUE,"1993"}</definedName>
    <definedName name="bcd" localSheetId="47" hidden="1">{#N/A,#N/A,TRUE,"1990";#N/A,#N/A,TRUE,"1991";#N/A,#N/A,TRUE,"1992";#N/A,#N/A,TRUE,"1993"}</definedName>
    <definedName name="bcd" hidden="1">{#N/A,#N/A,TRUE,"1990";#N/A,#N/A,TRUE,"1991";#N/A,#N/A,TRUE,"1992";#N/A,#N/A,TRUE,"1993"}</definedName>
    <definedName name="bcde" localSheetId="1" hidden="1">{"summary",#N/A,TRUE,"E93ADJ";"detail",#N/A,TRUE,"E93ADJ"}</definedName>
    <definedName name="bcde" localSheetId="32" hidden="1">{"summary",#N/A,TRUE,"E93ADJ";"detail",#N/A,TRUE,"E93ADJ"}</definedName>
    <definedName name="bcde" localSheetId="6" hidden="1">{"summary",#N/A,TRUE,"E93ADJ";"detail",#N/A,TRUE,"E93ADJ"}</definedName>
    <definedName name="bcde" localSheetId="4" hidden="1">{"summary",#N/A,TRUE,"E93ADJ";"detail",#N/A,TRUE,"E93ADJ"}</definedName>
    <definedName name="bcde" localSheetId="5" hidden="1">{"summary",#N/A,TRUE,"E93ADJ";"detail",#N/A,TRUE,"E93ADJ"}</definedName>
    <definedName name="bcde" localSheetId="7" hidden="1">{"summary",#N/A,TRUE,"E93ADJ";"detail",#N/A,TRUE,"E93ADJ"}</definedName>
    <definedName name="bcde" localSheetId="3" hidden="1">{"summary",#N/A,TRUE,"E93ADJ";"detail",#N/A,TRUE,"E93ADJ"}</definedName>
    <definedName name="bcde" localSheetId="47" hidden="1">{"summary",#N/A,TRUE,"E93ADJ";"detail",#N/A,TRUE,"E93ADJ"}</definedName>
    <definedName name="bcde" hidden="1">{"summary",#N/A,TRUE,"E93ADJ";"detail",#N/A,TRUE,"E93ADJ"}</definedName>
    <definedName name="Beg_Bal">#REF!</definedName>
    <definedName name="begretre" localSheetId="1" hidden="1">{#N/A,#N/A,FALSE,"OTHERINPUTS";#N/A,#N/A,FALSE,"DITRATEINPUTS";#N/A,#N/A,FALSE,"SUPPLIEDADJINPUT";#N/A,#N/A,FALSE,"TIMINGDIFFINPUTS";#N/A,#N/A,FALSE,"BR&amp;SUPADJ."}</definedName>
    <definedName name="begretre" localSheetId="32" hidden="1">{#N/A,#N/A,FALSE,"OTHERINPUTS";#N/A,#N/A,FALSE,"DITRATEINPUTS";#N/A,#N/A,FALSE,"SUPPLIEDADJINPUT";#N/A,#N/A,FALSE,"TIMINGDIFFINPUTS";#N/A,#N/A,FALSE,"BR&amp;SUPADJ."}</definedName>
    <definedName name="begretre" localSheetId="6" hidden="1">{#N/A,#N/A,FALSE,"OTHERINPUTS";#N/A,#N/A,FALSE,"DITRATEINPUTS";#N/A,#N/A,FALSE,"SUPPLIEDADJINPUT";#N/A,#N/A,FALSE,"TIMINGDIFFINPUTS";#N/A,#N/A,FALSE,"BR&amp;SUPADJ."}</definedName>
    <definedName name="begretre" localSheetId="4" hidden="1">{#N/A,#N/A,FALSE,"OTHERINPUTS";#N/A,#N/A,FALSE,"DITRATEINPUTS";#N/A,#N/A,FALSE,"SUPPLIEDADJINPUT";#N/A,#N/A,FALSE,"TIMINGDIFFINPUTS";#N/A,#N/A,FALSE,"BR&amp;SUPADJ."}</definedName>
    <definedName name="begretre" localSheetId="5" hidden="1">{#N/A,#N/A,FALSE,"OTHERINPUTS";#N/A,#N/A,FALSE,"DITRATEINPUTS";#N/A,#N/A,FALSE,"SUPPLIEDADJINPUT";#N/A,#N/A,FALSE,"TIMINGDIFFINPUTS";#N/A,#N/A,FALSE,"BR&amp;SUPADJ."}</definedName>
    <definedName name="begretre" localSheetId="7" hidden="1">{#N/A,#N/A,FALSE,"OTHERINPUTS";#N/A,#N/A,FALSE,"DITRATEINPUTS";#N/A,#N/A,FALSE,"SUPPLIEDADJINPUT";#N/A,#N/A,FALSE,"TIMINGDIFFINPUTS";#N/A,#N/A,FALSE,"BR&amp;SUPADJ."}</definedName>
    <definedName name="begretre" localSheetId="3" hidden="1">{#N/A,#N/A,FALSE,"OTHERINPUTS";#N/A,#N/A,FALSE,"DITRATEINPUTS";#N/A,#N/A,FALSE,"SUPPLIEDADJINPUT";#N/A,#N/A,FALSE,"TIMINGDIFFINPUTS";#N/A,#N/A,FALSE,"BR&amp;SUPADJ."}</definedName>
    <definedName name="begretre" localSheetId="29" hidden="1">{#N/A,#N/A,FALSE,"OTHERINPUTS";#N/A,#N/A,FALSE,"DITRATEINPUTS";#N/A,#N/A,FALSE,"SUPPLIEDADJINPUT";#N/A,#N/A,FALSE,"TIMINGDIFFINPUTS";#N/A,#N/A,FALSE,"BR&amp;SUPADJ."}</definedName>
    <definedName name="begretre" localSheetId="47" hidden="1">{#N/A,#N/A,FALSE,"OTHERINPUTS";#N/A,#N/A,FALSE,"DITRATEINPUTS";#N/A,#N/A,FALSE,"SUPPLIEDADJINPUT";#N/A,#N/A,FALSE,"TIMINGDIFFINPUTS";#N/A,#N/A,FALSE,"BR&amp;SUPADJ."}</definedName>
    <definedName name="begretre" hidden="1">{#N/A,#N/A,FALSE,"OTHERINPUTS";#N/A,#N/A,FALSE,"DITRATEINPUTS";#N/A,#N/A,FALSE,"SUPPLIEDADJINPUT";#N/A,#N/A,FALSE,"TIMINGDIFFINPUTS";#N/A,#N/A,FALSE,"BR&amp;SUPADJ."}</definedName>
    <definedName name="BETA" localSheetId="6">#REF!</definedName>
    <definedName name="BETA" localSheetId="3">#REF!</definedName>
    <definedName name="BETA">#REF!</definedName>
    <definedName name="BETA_CURR_SELECTED">[47]Data!$K$8</definedName>
    <definedName name="BETA_CURRENCIES">[48]Data!$F$6:$F$40</definedName>
    <definedName name="BETA_CURRENCY">[48]Data!$F$6:$G$40</definedName>
    <definedName name="BETA_DATA_FIELDS" localSheetId="6">[48]Data!#REF!</definedName>
    <definedName name="BETA_DATA_FIELDS" localSheetId="3">[49]Data!#REF!</definedName>
    <definedName name="BETA_DATA_FIELDS">[48]Data!#REF!</definedName>
    <definedName name="BETA_OVERRIDE_FIELDS">[47]Data!$J$4:$J$7</definedName>
    <definedName name="BETA_OVERRIDE_VALUES">[47]Data!$K$4:$K$7</definedName>
    <definedName name="BETA_PERIOD">[48]Data!$B$6:$C$10</definedName>
    <definedName name="BETA_PERIODS">[48]Data!$B$6:$B$10</definedName>
    <definedName name="betaadj" localSheetId="6">#REF!</definedName>
    <definedName name="betaadj" localSheetId="3">#REF!</definedName>
    <definedName name="betaadj">#REF!</definedName>
    <definedName name="Bk_Tax_OH_Columns" localSheetId="3">#REF!</definedName>
    <definedName name="Bk_Tax_OH_Columns">#REF!</definedName>
    <definedName name="Bk_Tax_OH_Report" localSheetId="3">#REF!</definedName>
    <definedName name="Bk_Tax_OH_Report">#REF!</definedName>
    <definedName name="Bk_Tax_OH_Rows" localSheetId="3">#REF!</definedName>
    <definedName name="Bk_Tax_OH_Rows">#REF!</definedName>
    <definedName name="bl" localSheetId="1" hidden="1">#REF!</definedName>
    <definedName name="bl" localSheetId="5" hidden="1">#REF!</definedName>
    <definedName name="bl" localSheetId="3" hidden="1">#REF!</definedName>
    <definedName name="bl" localSheetId="29" hidden="1">#REF!</definedName>
    <definedName name="bl" hidden="1">#REF!</definedName>
    <definedName name="Blank" localSheetId="1" hidden="1">{"ARK_JURIS_FUEL",#N/A,FALSE,"Ark_Fuel&amp;Rev"}</definedName>
    <definedName name="Blank" localSheetId="32" hidden="1">{"ARK_JURIS_FUEL",#N/A,FALSE,"Ark_Fuel&amp;Rev"}</definedName>
    <definedName name="Blank" localSheetId="6" hidden="1">{"ARK_JURIS_FUEL",#N/A,FALSE,"Ark_Fuel&amp;Rev"}</definedName>
    <definedName name="Blank" localSheetId="4" hidden="1">{"ARK_JURIS_FUEL",#N/A,FALSE,"Ark_Fuel&amp;Rev"}</definedName>
    <definedName name="Blank" localSheetId="5" hidden="1">{"ARK_JURIS_FUEL",#N/A,FALSE,"Ark_Fuel&amp;Rev"}</definedName>
    <definedName name="Blank" localSheetId="7" hidden="1">{"ARK_JURIS_FUEL",#N/A,FALSE,"Ark_Fuel&amp;Rev"}</definedName>
    <definedName name="Blank" localSheetId="3" hidden="1">{"ARK_JURIS_FUEL",#N/A,FALSE,"Ark_Fuel&amp;Rev"}</definedName>
    <definedName name="Blank" localSheetId="47" hidden="1">{"ARK_JURIS_FUEL",#N/A,FALSE,"Ark_Fuel&amp;Rev"}</definedName>
    <definedName name="Blank" hidden="1">{"ARK_JURIS_FUEL",#N/A,FALSE,"Ark_Fuel&amp;Rev"}</definedName>
    <definedName name="bloomberg_footnote">'[41]Input Sheet'!$A$67</definedName>
    <definedName name="BLPH2" hidden="1">'[50]Commercial Paper'!#REF!</definedName>
    <definedName name="BLPH3" hidden="1">'[50]Commercial Paper'!#REF!</definedName>
    <definedName name="BLPH4" hidden="1">'[50]Commercial Paper'!#REF!</definedName>
    <definedName name="BLPH5" hidden="1">'[50]Commercial Paper'!#REF!</definedName>
    <definedName name="BLPH6" hidden="1">'[50]Commercial Paper'!#REF!</definedName>
    <definedName name="bnca" localSheetId="1" hidden="1">#REF!</definedName>
    <definedName name="bnca" localSheetId="5" hidden="1">#REF!</definedName>
    <definedName name="bnca" localSheetId="3" hidden="1">#REF!</definedName>
    <definedName name="bnca" localSheetId="29" hidden="1">#REF!</definedName>
    <definedName name="bnca" hidden="1">#REF!</definedName>
    <definedName name="bned" localSheetId="5" hidden="1">#REF!</definedName>
    <definedName name="bned" localSheetId="3" hidden="1">#REF!</definedName>
    <definedName name="bned" localSheetId="29" hidden="1">#REF!</definedName>
    <definedName name="bned" hidden="1">#REF!</definedName>
    <definedName name="BODER8" localSheetId="3">[4]FEDERAL!#REF!</definedName>
    <definedName name="BODER8">[4]FEDERAL!#REF!</definedName>
    <definedName name="bond_rating">'[41]Company Bond Ratings'!$1:$1048576</definedName>
    <definedName name="bond_rating_h">'[41]Company Bond Ratings'!$6:$6</definedName>
    <definedName name="bond_rating_vh">'[41]Company Bond Ratings'!$A:$A</definedName>
    <definedName name="bond_yield_summary">'[41]Bond Yields'!$1:$1048576</definedName>
    <definedName name="bond_yield_summary_h">'[41]Bond Yields'!$13:$13</definedName>
    <definedName name="bond_yield_summary_vh">'[41]Bond Yields'!$A:$A</definedName>
    <definedName name="Book_Depr_Rate_10" localSheetId="3">#REF!</definedName>
    <definedName name="Book_Depr_Rate_10">#REF!</definedName>
    <definedName name="Book_Depr_Rate_10_WGS" localSheetId="3">#REF!</definedName>
    <definedName name="Book_Depr_Rate_10_WGS">#REF!</definedName>
    <definedName name="Book_Depr_Rate_15E" localSheetId="3">#REF!</definedName>
    <definedName name="Book_Depr_Rate_15E">#REF!</definedName>
    <definedName name="Book_Depr_Rate_15G" localSheetId="3">#REF!</definedName>
    <definedName name="Book_Depr_Rate_15G">#REF!</definedName>
    <definedName name="Book_Depr_Rate_15S" localSheetId="3">#REF!</definedName>
    <definedName name="Book_Depr_Rate_15S">#REF!</definedName>
    <definedName name="Book_Depr_Rate_5" localSheetId="3">#REF!</definedName>
    <definedName name="Book_Depr_Rate_5">#REF!</definedName>
    <definedName name="Book_Depr_Rate_5_WGS" localSheetId="3">#REF!</definedName>
    <definedName name="Book_Depr_Rate_5_WGS">#REF!</definedName>
    <definedName name="Book_Depr_Rate_5NU" localSheetId="3">#REF!</definedName>
    <definedName name="Book_Depr_Rate_5NU">#REF!</definedName>
    <definedName name="borst" localSheetId="5" hidden="1">#REF!</definedName>
    <definedName name="borst" localSheetId="3" hidden="1">#REF!</definedName>
    <definedName name="borst" localSheetId="29" hidden="1">#REF!</definedName>
    <definedName name="borst" hidden="1">#REF!</definedName>
    <definedName name="Bruce" localSheetId="1" hidden="1">{#N/A,#N/A,FALSE,"SCA";#N/A,#N/A,FALSE,"NCA";#N/A,#N/A,FALSE,"SAZ";#N/A,#N/A,FALSE,"CAZ";#N/A,#N/A,FALSE,"SNV";#N/A,#N/A,FALSE,"NNV";#N/A,#N/A,FALSE,"PP";#N/A,#N/A,FALSE,"SA"}</definedName>
    <definedName name="Bruce" localSheetId="32" hidden="1">{#N/A,#N/A,FALSE,"SCA";#N/A,#N/A,FALSE,"NCA";#N/A,#N/A,FALSE,"SAZ";#N/A,#N/A,FALSE,"CAZ";#N/A,#N/A,FALSE,"SNV";#N/A,#N/A,FALSE,"NNV";#N/A,#N/A,FALSE,"PP";#N/A,#N/A,FALSE,"SA"}</definedName>
    <definedName name="Bruce" localSheetId="6" hidden="1">{#N/A,#N/A,FALSE,"SCA";#N/A,#N/A,FALSE,"NCA";#N/A,#N/A,FALSE,"SAZ";#N/A,#N/A,FALSE,"CAZ";#N/A,#N/A,FALSE,"SNV";#N/A,#N/A,FALSE,"NNV";#N/A,#N/A,FALSE,"PP";#N/A,#N/A,FALSE,"SA"}</definedName>
    <definedName name="Bruce" localSheetId="4" hidden="1">{#N/A,#N/A,FALSE,"SCA";#N/A,#N/A,FALSE,"NCA";#N/A,#N/A,FALSE,"SAZ";#N/A,#N/A,FALSE,"CAZ";#N/A,#N/A,FALSE,"SNV";#N/A,#N/A,FALSE,"NNV";#N/A,#N/A,FALSE,"PP";#N/A,#N/A,FALSE,"SA"}</definedName>
    <definedName name="Bruce" localSheetId="5" hidden="1">{#N/A,#N/A,FALSE,"SCA";#N/A,#N/A,FALSE,"NCA";#N/A,#N/A,FALSE,"SAZ";#N/A,#N/A,FALSE,"CAZ";#N/A,#N/A,FALSE,"SNV";#N/A,#N/A,FALSE,"NNV";#N/A,#N/A,FALSE,"PP";#N/A,#N/A,FALSE,"SA"}</definedName>
    <definedName name="Bruce" localSheetId="7" hidden="1">{#N/A,#N/A,FALSE,"SCA";#N/A,#N/A,FALSE,"NCA";#N/A,#N/A,FALSE,"SAZ";#N/A,#N/A,FALSE,"CAZ";#N/A,#N/A,FALSE,"SNV";#N/A,#N/A,FALSE,"NNV";#N/A,#N/A,FALSE,"PP";#N/A,#N/A,FALSE,"SA"}</definedName>
    <definedName name="Bruce" localSheetId="3" hidden="1">{#N/A,#N/A,FALSE,"SCA";#N/A,#N/A,FALSE,"NCA";#N/A,#N/A,FALSE,"SAZ";#N/A,#N/A,FALSE,"CAZ";#N/A,#N/A,FALSE,"SNV";#N/A,#N/A,FALSE,"NNV";#N/A,#N/A,FALSE,"PP";#N/A,#N/A,FALSE,"SA"}</definedName>
    <definedName name="Bruce" localSheetId="47" hidden="1">{#N/A,#N/A,FALSE,"SCA";#N/A,#N/A,FALSE,"NCA";#N/A,#N/A,FALSE,"SAZ";#N/A,#N/A,FALSE,"CAZ";#N/A,#N/A,FALSE,"SNV";#N/A,#N/A,FALSE,"NNV";#N/A,#N/A,FALSE,"PP";#N/A,#N/A,FALSE,"SA"}</definedName>
    <definedName name="Bruce" hidden="1">{#N/A,#N/A,FALSE,"SCA";#N/A,#N/A,FALSE,"NCA";#N/A,#N/A,FALSE,"SAZ";#N/A,#N/A,FALSE,"CAZ";#N/A,#N/A,FALSE,"SNV";#N/A,#N/A,FALSE,"NNV";#N/A,#N/A,FALSE,"PP";#N/A,#N/A,FALSE,"SA"}</definedName>
    <definedName name="Bruce1" localSheetId="1" hidden="1">{#N/A,#N/A,FALSE,"Page 1";#N/A,#N/A,FALSE,"Page 2";#N/A,#N/A,FALSE,"Page 3";#N/A,#N/A,FALSE,"Page 4";#N/A,#N/A,FALSE,"Page 5";#N/A,#N/A,FALSE,"Page 6";#N/A,#N/A,FALSE,"Page 7";#N/A,#N/A,FALSE,"Page 8";#N/A,#N/A,FALSE,"Page 9";#N/A,#N/A,FALSE,"PG8WP";#N/A,#N/A,FALSE,"PG9WP"}</definedName>
    <definedName name="Bruce1" localSheetId="32" hidden="1">{#N/A,#N/A,FALSE,"Page 1";#N/A,#N/A,FALSE,"Page 2";#N/A,#N/A,FALSE,"Page 3";#N/A,#N/A,FALSE,"Page 4";#N/A,#N/A,FALSE,"Page 5";#N/A,#N/A,FALSE,"Page 6";#N/A,#N/A,FALSE,"Page 7";#N/A,#N/A,FALSE,"Page 8";#N/A,#N/A,FALSE,"Page 9";#N/A,#N/A,FALSE,"PG8WP";#N/A,#N/A,FALSE,"PG9WP"}</definedName>
    <definedName name="Bruce1" localSheetId="6" hidden="1">{#N/A,#N/A,FALSE,"Page 1";#N/A,#N/A,FALSE,"Page 2";#N/A,#N/A,FALSE,"Page 3";#N/A,#N/A,FALSE,"Page 4";#N/A,#N/A,FALSE,"Page 5";#N/A,#N/A,FALSE,"Page 6";#N/A,#N/A,FALSE,"Page 7";#N/A,#N/A,FALSE,"Page 8";#N/A,#N/A,FALSE,"Page 9";#N/A,#N/A,FALSE,"PG8WP";#N/A,#N/A,FALSE,"PG9WP"}</definedName>
    <definedName name="Bruce1" localSheetId="4" hidden="1">{#N/A,#N/A,FALSE,"Page 1";#N/A,#N/A,FALSE,"Page 2";#N/A,#N/A,FALSE,"Page 3";#N/A,#N/A,FALSE,"Page 4";#N/A,#N/A,FALSE,"Page 5";#N/A,#N/A,FALSE,"Page 6";#N/A,#N/A,FALSE,"Page 7";#N/A,#N/A,FALSE,"Page 8";#N/A,#N/A,FALSE,"Page 9";#N/A,#N/A,FALSE,"PG8WP";#N/A,#N/A,FALSE,"PG9WP"}</definedName>
    <definedName name="Bruce1" localSheetId="5" hidden="1">{#N/A,#N/A,FALSE,"Page 1";#N/A,#N/A,FALSE,"Page 2";#N/A,#N/A,FALSE,"Page 3";#N/A,#N/A,FALSE,"Page 4";#N/A,#N/A,FALSE,"Page 5";#N/A,#N/A,FALSE,"Page 6";#N/A,#N/A,FALSE,"Page 7";#N/A,#N/A,FALSE,"Page 8";#N/A,#N/A,FALSE,"Page 9";#N/A,#N/A,FALSE,"PG8WP";#N/A,#N/A,FALSE,"PG9WP"}</definedName>
    <definedName name="Bruce1" localSheetId="7" hidden="1">{#N/A,#N/A,FALSE,"Page 1";#N/A,#N/A,FALSE,"Page 2";#N/A,#N/A,FALSE,"Page 3";#N/A,#N/A,FALSE,"Page 4";#N/A,#N/A,FALSE,"Page 5";#N/A,#N/A,FALSE,"Page 6";#N/A,#N/A,FALSE,"Page 7";#N/A,#N/A,FALSE,"Page 8";#N/A,#N/A,FALSE,"Page 9";#N/A,#N/A,FALSE,"PG8WP";#N/A,#N/A,FALSE,"PG9WP"}</definedName>
    <definedName name="Bruce1" localSheetId="3" hidden="1">{#N/A,#N/A,FALSE,"Page 1";#N/A,#N/A,FALSE,"Page 2";#N/A,#N/A,FALSE,"Page 3";#N/A,#N/A,FALSE,"Page 4";#N/A,#N/A,FALSE,"Page 5";#N/A,#N/A,FALSE,"Page 6";#N/A,#N/A,FALSE,"Page 7";#N/A,#N/A,FALSE,"Page 8";#N/A,#N/A,FALSE,"Page 9";#N/A,#N/A,FALSE,"PG8WP";#N/A,#N/A,FALSE,"PG9WP"}</definedName>
    <definedName name="Bruce1" localSheetId="47" hidden="1">{#N/A,#N/A,FALSE,"Page 1";#N/A,#N/A,FALSE,"Page 2";#N/A,#N/A,FALSE,"Page 3";#N/A,#N/A,FALSE,"Page 4";#N/A,#N/A,FALSE,"Page 5";#N/A,#N/A,FALSE,"Page 6";#N/A,#N/A,FALSE,"Page 7";#N/A,#N/A,FALSE,"Page 8";#N/A,#N/A,FALSE,"Page 9";#N/A,#N/A,FALSE,"PG8WP";#N/A,#N/A,FALSE,"PG9WP"}</definedName>
    <definedName name="Bruce1" hidden="1">{#N/A,#N/A,FALSE,"Page 1";#N/A,#N/A,FALSE,"Page 2";#N/A,#N/A,FALSE,"Page 3";#N/A,#N/A,FALSE,"Page 4";#N/A,#N/A,FALSE,"Page 5";#N/A,#N/A,FALSE,"Page 6";#N/A,#N/A,FALSE,"Page 7";#N/A,#N/A,FALSE,"Page 8";#N/A,#N/A,FALSE,"Page 9";#N/A,#N/A,FALSE,"PG8WP";#N/A,#N/A,FALSE,"PG9WP"}</definedName>
    <definedName name="BUSUNIT">'[51]Input '!$C$9</definedName>
    <definedName name="BUTLER" localSheetId="6">#REF!</definedName>
    <definedName name="BUTLER" localSheetId="3">#REF!</definedName>
    <definedName name="BUTLER">#REF!</definedName>
    <definedName name="bvvrr"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2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c.LTMYear" localSheetId="6" hidden="1">#REF!</definedName>
    <definedName name="c.LTMYear" localSheetId="7" hidden="1">#REF!</definedName>
    <definedName name="c.LTMYear" hidden="1">#REF!</definedName>
    <definedName name="C_" localSheetId="6">'[19]Schedule 4 O&amp;M'!#REF!</definedName>
    <definedName name="C_" localSheetId="3">'[19]Schedule 4 O&amp;M'!#REF!</definedName>
    <definedName name="C_">'[19]Schedule 4 O&amp;M'!#REF!</definedName>
    <definedName name="C_A">OFFSET('[52]Moodys Yields(WP)'!$K$4,0,0,'[52]Moodys Yields(WP)'!$A$1-3,1)</definedName>
    <definedName name="C_Aa">OFFSET('[52]Moodys Yields(WP)'!$J$4,0,0,'[52]Moodys Yields(WP)'!$A$1-3,1)</definedName>
    <definedName name="C_Aaa">OFFSET('[52]Moodys Yields(WP)'!$I$4,0,0,'[52]Moodys Yields(WP)'!$A$1-3,1)</definedName>
    <definedName name="C_Avg">OFFSET('[52]Moodys Yields(WP)'!$M$4,0,0,'[52]Moodys Yields(WP)'!$A$1-3,1)</definedName>
    <definedName name="C_Baa">OFFSET('[52]Moodys Yields(WP)'!$L$4,0,0,'[52]Moodys Yields(WP)'!$A$1-3,1)</definedName>
    <definedName name="ca" localSheetId="1" hidden="1">#REF!</definedName>
    <definedName name="ca" localSheetId="5" hidden="1">#REF!</definedName>
    <definedName name="ca" localSheetId="3" hidden="1">#REF!</definedName>
    <definedName name="ca" localSheetId="29" hidden="1">#REF!</definedName>
    <definedName name="ca" hidden="1">#REF!</definedName>
    <definedName name="cadfed" localSheetId="3">'[53]summary 98_1'!#REF!</definedName>
    <definedName name="cadfed">'[54]summary 98_1'!#REF!</definedName>
    <definedName name="calcDiv1">[55]Calculate!$G$6:$G$104</definedName>
    <definedName name="calcDiv2">[55]Calculate!$H$6:$H$104</definedName>
    <definedName name="calcDiv3">[55]Calculate!$I$6:$I$104</definedName>
    <definedName name="calcDiv4">[55]Calculate!$J$6:$J$104</definedName>
    <definedName name="calcEDiv01">[55]Calculate!$G$7:$J$7</definedName>
    <definedName name="calcEDiv02">[55]Calculate!$G$11:$J$11</definedName>
    <definedName name="calcEDiv03">[55]Calculate!$G$15:$J$15</definedName>
    <definedName name="calcEDiv04">[55]Calculate!$G$19:$J$19</definedName>
    <definedName name="calcEDiv05">[55]Calculate!$G$23:$J$23</definedName>
    <definedName name="calcEDiv06">[55]Calculate!$G$27:$J$27</definedName>
    <definedName name="calcEDiv07">[55]Calculate!$G$31:$J$31</definedName>
    <definedName name="calcEDiv08">[55]Calculate!$G$35:$J$35</definedName>
    <definedName name="calcEDiv09" localSheetId="6">'[56]Phipps DCF Excl NWN'!#REF!</definedName>
    <definedName name="calcEDiv09">[57]Calculate!#REF!</definedName>
    <definedName name="calcEDiv10">[55]Calculate!$G$43:$J$43</definedName>
    <definedName name="calcEDiv11">[55]Calculate!$G$47:$J$47</definedName>
    <definedName name="calcEDiv12">[55]Calculate!$G$51:$J$51</definedName>
    <definedName name="calcEDiv13">[55]Calculate!$G$55:$J$55</definedName>
    <definedName name="calcEDiv14">[55]Calculate!$G$59:$J$59</definedName>
    <definedName name="calcEDiv15">[55]Calculate!$G$63:$J$63</definedName>
    <definedName name="calcEDiv16">[55]Calculate!$G$67:$J$67</definedName>
    <definedName name="calcEDiv17">[55]Calculate!$G$71:$J$71</definedName>
    <definedName name="calcEDiv18">[55]Calculate!$G$75:$J$75</definedName>
    <definedName name="calcEDiv19">[55]Calculate!$G$79:$J$79</definedName>
    <definedName name="calcEDiv20">[55]Calculate!$G$83:$J$83</definedName>
    <definedName name="calcEDiv21">[55]Calculate!$G$87:$J$87</definedName>
    <definedName name="calcEDiv22">[55]Calculate!$G$91:$J$91</definedName>
    <definedName name="calcEDiv23">[55]Calculate!$G$95:$J$95</definedName>
    <definedName name="calcEDiv24">[55]Calculate!$G$99:$J$99</definedName>
    <definedName name="calcEDiv25">[55]Calculate!$G$103:$J$103</definedName>
    <definedName name="Calculation_of_Ok_Juris_Cost_of_Fuel">#REF!</definedName>
    <definedName name="can" localSheetId="32" hidden="1">{#N/A,#N/A,FALSE,"O&amp;M by processes";#N/A,#N/A,FALSE,"Elec Act vs Bud";#N/A,#N/A,FALSE,"G&amp;A";#N/A,#N/A,FALSE,"BGS";#N/A,#N/A,FALSE,"Res Cost"}</definedName>
    <definedName name="can" localSheetId="6" hidden="1">{#N/A,#N/A,FALSE,"O&amp;M by processes";#N/A,#N/A,FALSE,"Elec Act vs Bud";#N/A,#N/A,FALSE,"G&amp;A";#N/A,#N/A,FALSE,"BGS";#N/A,#N/A,FALSE,"Res Cost"}</definedName>
    <definedName name="can" localSheetId="7"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29" hidden="1">{#N/A,#N/A,FALSE,"O&amp;M by processes";#N/A,#N/A,FALSE,"Elec Act vs Bud";#N/A,#N/A,FALSE,"G&amp;A";#N/A,#N/A,FALSE,"BGS";#N/A,#N/A,FALSE,"Res Cost"}</definedName>
    <definedName name="can" localSheetId="47" hidden="1">{#N/A,#N/A,FALSE,"O&amp;M by processes";#N/A,#N/A,FALSE,"Elec Act vs Bud";#N/A,#N/A,FALSE,"G&amp;A";#N/A,#N/A,FALSE,"BGS";#N/A,#N/A,FALSE,"Res Cost"}</definedName>
    <definedName name="can" hidden="1">{#N/A,#N/A,FALSE,"O&amp;M by processes";#N/A,#N/A,FALSE,"Elec Act vs Bud";#N/A,#N/A,FALSE,"G&amp;A";#N/A,#N/A,FALSE,"BGS";#N/A,#N/A,FALSE,"Res Cost"}</definedName>
    <definedName name="CapCash">[58]CapSpendCashFlow!$A$1:$J$100</definedName>
    <definedName name="CapCashTic">[58]CapSpendCashFlow!$B$1:$B$100</definedName>
    <definedName name="capital_structure">'[41]Capital Structure Average Summa'!$1:$1048576</definedName>
    <definedName name="capital_structure_h">'[41]Capital Structure Average Summa'!$17:$17</definedName>
    <definedName name="capital_structure_vh">'[41]Capital Structure Average Summa'!$A:$A</definedName>
    <definedName name="capitalization">'[59]CS Data'!$B$16:$J$69</definedName>
    <definedName name="CapSpending">[58]CapS!$B$3:$M$85</definedName>
    <definedName name="CashFlow">[58]CF!$B$3:$M$86</definedName>
    <definedName name="cbwe" localSheetId="1" hidden="1">#REF!</definedName>
    <definedName name="cbwe" localSheetId="5" hidden="1">#REF!</definedName>
    <definedName name="cbwe" localSheetId="3" hidden="1">#REF!</definedName>
    <definedName name="cbwe" localSheetId="29" hidden="1">#REF!</definedName>
    <definedName name="cbwe" hidden="1">#REF!</definedName>
    <definedName name="CBWorkbookPriority" hidden="1">-1523877792</definedName>
    <definedName name="CC" localSheetId="6">#REF!</definedName>
    <definedName name="CC" localSheetId="3">#REF!</definedName>
    <definedName name="CC">#REF!</definedName>
    <definedName name="CCC" localSheetId="3">#REF!</definedName>
    <definedName name="CCC">#REF!</definedName>
    <definedName name="cccc" localSheetId="32" hidden="1">{#N/A,#N/A,FALSE,"O&amp;M by processes";#N/A,#N/A,FALSE,"Elec Act vs Bud";#N/A,#N/A,FALSE,"G&amp;A";#N/A,#N/A,FALSE,"BGS";#N/A,#N/A,FALSE,"Res Cost"}</definedName>
    <definedName name="cccc" localSheetId="6"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29" hidden="1">{#N/A,#N/A,FALSE,"O&amp;M by processes";#N/A,#N/A,FALSE,"Elec Act vs Bud";#N/A,#N/A,FALSE,"G&amp;A";#N/A,#N/A,FALSE,"BGS";#N/A,#N/A,FALSE,"Res Cost"}</definedName>
    <definedName name="cccc" localSheetId="47" hidden="1">{#N/A,#N/A,FALSE,"O&amp;M by processes";#N/A,#N/A,FALSE,"Elec Act vs Bud";#N/A,#N/A,FALSE,"G&amp;A";#N/A,#N/A,FALSE,"BGS";#N/A,#N/A,FALSE,"Res Cost"}</definedName>
    <definedName name="cccc" hidden="1">{#N/A,#N/A,FALSE,"O&amp;M by processes";#N/A,#N/A,FALSE,"Elec Act vs Bud";#N/A,#N/A,FALSE,"G&amp;A";#N/A,#N/A,FALSE,"BGS";#N/A,#N/A,FALSE,"Res Cost"}</definedName>
    <definedName name="cdcfcomph" localSheetId="6">#REF!</definedName>
    <definedName name="cdcfcomph" localSheetId="3">#REF!</definedName>
    <definedName name="cdcfcomph">#REF!</definedName>
    <definedName name="cdcfcompl" localSheetId="3">#REF!</definedName>
    <definedName name="cdcfcompl">#REF!</definedName>
    <definedName name="cdcfcowith" localSheetId="3">#REF!</definedName>
    <definedName name="cdcfcowith">#REF!</definedName>
    <definedName name="cdcfcowitl" localSheetId="3">#REF!</definedName>
    <definedName name="cdcfcowitl">#REF!</definedName>
    <definedName name="cdcfh" localSheetId="3">#REF!</definedName>
    <definedName name="cdcfh">#REF!</definedName>
    <definedName name="cdcfl" localSheetId="3">#REF!</definedName>
    <definedName name="cdcfl">#REF!</definedName>
    <definedName name="cdiv1">'[55]Prices &amp; Dividends'!$D$5:$D$29</definedName>
    <definedName name="cdiv2">'[55]Prices &amp; Dividends'!$F$5:$F$29</definedName>
    <definedName name="cdiv3">'[55]Prices &amp; Dividends'!$H$5:$H$29</definedName>
    <definedName name="cdiv4">'[55]Prices &amp; Dividends'!$J$5:$J$29</definedName>
    <definedName name="Central_Only" localSheetId="6">'[19]Alloc factors'!#REF!</definedName>
    <definedName name="Central_Only" localSheetId="3">'[19]Alloc factors'!#REF!</definedName>
    <definedName name="Central_Only">'[19]Alloc factors'!#REF!</definedName>
    <definedName name="CF_CAP_WP">'[58]CF-Cap Spend (WP)'!$B$4:$Q$86</definedName>
    <definedName name="cgcoe" localSheetId="6">#REF!</definedName>
    <definedName name="cgcoe" localSheetId="3">#REF!</definedName>
    <definedName name="cgcoe">#REF!</definedName>
    <definedName name="chj" localSheetId="1" hidden="1">#REF!</definedName>
    <definedName name="chj" localSheetId="5" hidden="1">#REF!</definedName>
    <definedName name="chj" localSheetId="3" hidden="1">#REF!</definedName>
    <definedName name="chj" localSheetId="29" hidden="1">#REF!</definedName>
    <definedName name="chj" hidden="1">#REF!</definedName>
    <definedName name="chy" localSheetId="3">#REF!</definedName>
    <definedName name="chy">#REF!</definedName>
    <definedName name="CHY_ACCUM_RES_REPORT" localSheetId="3">#REF!</definedName>
    <definedName name="CHY_ACCUM_RES_REPORT">#REF!</definedName>
    <definedName name="CHY_CUST_ADV_COLUMNS" localSheetId="3">#REF!</definedName>
    <definedName name="CHY_CUST_ADV_COLUMNS">#REF!</definedName>
    <definedName name="CHY_CUST_ADV_REPORT" localSheetId="3">#REF!</definedName>
    <definedName name="CHY_CUST_ADV_REPORT">#REF!</definedName>
    <definedName name="CHY_CUST_ADV_ROWS" localSheetId="3">#REF!</definedName>
    <definedName name="CHY_CUST_ADV_ROWS">#REF!</definedName>
    <definedName name="CHY_DCAS_ACRS" localSheetId="3">#REF!</definedName>
    <definedName name="CHY_DCAS_ACRS">#REF!</definedName>
    <definedName name="CHY_DCAS_ADR" localSheetId="3">#REF!</definedName>
    <definedName name="CHY_DCAS_ADR">#REF!</definedName>
    <definedName name="CHY_DCAS_COLUMNS" localSheetId="3">#REF!</definedName>
    <definedName name="CHY_DCAS_COLUMNS">#REF!</definedName>
    <definedName name="CHY_DCAS_DDB" localSheetId="3">#REF!</definedName>
    <definedName name="CHY_DCAS_DDB">#REF!</definedName>
    <definedName name="CHY_DCAS_DEPR" localSheetId="3">#REF!</definedName>
    <definedName name="CHY_DCAS_DEPR">#REF!</definedName>
    <definedName name="CHY_DCAS_MACRS" localSheetId="3">#REF!</definedName>
    <definedName name="CHY_DCAS_MACRS">#REF!</definedName>
    <definedName name="CHY_DCAS_NONDEPR" localSheetId="3">#REF!</definedName>
    <definedName name="CHY_DCAS_NONDEPR">#REF!</definedName>
    <definedName name="CHY_DCAS_ROWS" localSheetId="3">#REF!</definedName>
    <definedName name="CHY_DCAS_ROWS">#REF!</definedName>
    <definedName name="CHY_DCAS_STLINE" localSheetId="3">#REF!</definedName>
    <definedName name="CHY_DCAS_STLINE">#REF!</definedName>
    <definedName name="CHY_DEF_TAX_ANAL_ROWS" localSheetId="3">#REF!</definedName>
    <definedName name="CHY_DEF_TAX_ANAL_ROWS">#REF!</definedName>
    <definedName name="CHY_DEPR_CAP_ANAL_REPORT" localSheetId="3">#REF!</definedName>
    <definedName name="CHY_DEPR_CAP_ANAL_REPORT">#REF!</definedName>
    <definedName name="CHY_PPE_COLUMNS" localSheetId="3">#REF!</definedName>
    <definedName name="CHY_PPE_COLUMNS">#REF!</definedName>
    <definedName name="CHY_PPE_REPORT" localSheetId="3">#REF!</definedName>
    <definedName name="CHY_PPE_REPORT">#REF!</definedName>
    <definedName name="CHY_PPE_ROWS" localSheetId="3">#REF!</definedName>
    <definedName name="CHY_PPE_ROWS">#REF!</definedName>
    <definedName name="CHY_RAR" localSheetId="3">#REF!</definedName>
    <definedName name="CHY_RAR">#REF!</definedName>
    <definedName name="CHY_RAR_DETAIL" localSheetId="3">#REF!</definedName>
    <definedName name="CHY_RAR_DETAIL">#REF!</definedName>
    <definedName name="CHY_RAR_ROWS" localSheetId="3">#REF!</definedName>
    <definedName name="CHY_RAR_ROWS">#REF!</definedName>
    <definedName name="CHY_RES" localSheetId="3">#REF!</definedName>
    <definedName name="CHY_RES">#REF!</definedName>
    <definedName name="CHY_RES_ADDS" localSheetId="3">#REF!</definedName>
    <definedName name="CHY_RES_ADDS">#REF!</definedName>
    <definedName name="CHY_RES_COLUMNS" localSheetId="3">#REF!</definedName>
    <definedName name="CHY_RES_COLUMNS">#REF!</definedName>
    <definedName name="CHY_RES_DEDUCTS" localSheetId="3">#REF!</definedName>
    <definedName name="CHY_RES_DEDUCTS">#REF!</definedName>
    <definedName name="CHY_RES_ROWS" localSheetId="3">#REF!</definedName>
    <definedName name="CHY_RES_ROWS">#REF!</definedName>
    <definedName name="CHY_ROW_DEF_TAX_ANAL_REPORT" localSheetId="3">#REF!</definedName>
    <definedName name="CHY_ROW_DEF_TAX_ANAL_REPORT">#REF!</definedName>
    <definedName name="CHY_TAX_BASIS_ADD_REPORT" localSheetId="3">#REF!</definedName>
    <definedName name="CHY_TAX_BASIS_ADD_REPORT">#REF!</definedName>
    <definedName name="chyfbAMT" localSheetId="3">'2.4 OpCo Proxy Cap Str'!AmtTable</definedName>
    <definedName name="chyfbAMT">[39]!AmtTable</definedName>
    <definedName name="chyfbDT" localSheetId="3">'2.4 OpCo Proxy Cap Str'!DTTable</definedName>
    <definedName name="chyfbDT">[39]!DTTable</definedName>
    <definedName name="CHYMARAMT" localSheetId="3">'2.4 OpCo Proxy Cap Str'!AmtTable</definedName>
    <definedName name="CHYMARAMT">[39]!AmtTable</definedName>
    <definedName name="CHYMARDT" localSheetId="3">'2.4 OpCo Proxy Cap Str'!DTTable</definedName>
    <definedName name="CHYMARDT">[39]!DTTable</definedName>
    <definedName name="CIQANR_54746e34064d474d99f979470604f0cb" localSheetId="3" hidden="1">#REF!</definedName>
    <definedName name="CIQANR_54746e34064d474d99f979470604f0cb" localSheetId="29" hidden="1">#REF!</definedName>
    <definedName name="CIQANR_54746e34064d474d99f979470604f0cb" localSheetId="47" hidden="1">#REF!</definedName>
    <definedName name="CIQANR_54746e34064d474d99f979470604f0cb" hidden="1">#REF!</definedName>
    <definedName name="CIQANR_9170e773fe574b34ba3f8c73c13a53ef" localSheetId="6" hidden="1">'[60]8.1R Reg Mechanisms'!#REF!</definedName>
    <definedName name="CIQANR_9170e773fe574b34ba3f8c73c13a53ef" localSheetId="7" hidden="1">'[60]8.1R Reg Mechanisms'!#REF!</definedName>
    <definedName name="CIQANR_9170e773fe574b34ba3f8c73c13a53ef" localSheetId="47" hidden="1">'[60]8.1R Reg Mechanisms'!#REF!</definedName>
    <definedName name="CIQANR_9170e773fe574b34ba3f8c73c13a53ef" hidden="1">#REF!</definedName>
    <definedName name="CIQWBGuid" hidden="1">"0a162ba8-f85b-49e3-88c3-69ce2b8033eb"</definedName>
    <definedName name="CIQWBInfo" hidden="1">"{ ""CIQVersion"":""9.45.614.5792"" }"</definedName>
    <definedName name="client_debt_cost">'[41]Input Sheet'!$F$45</definedName>
    <definedName name="client_deemed_d_v">'[41]Input Sheet'!$B$32</definedName>
    <definedName name="client_deemed_e_v">'[41]Input Sheet'!$B$34</definedName>
    <definedName name="client_deemed_p_v">'[41]Input Sheet'!$B$33</definedName>
    <definedName name="client_name">'[41]Input Sheet'!$F$6</definedName>
    <definedName name="client_pref_cost">'[41]Input Sheet'!$F$46</definedName>
    <definedName name="co_number">'[41]Input Sheet'!$F$55</definedName>
    <definedName name="codcfh" localSheetId="6">#REF!</definedName>
    <definedName name="codcfh" localSheetId="3">#REF!</definedName>
    <definedName name="codcfh">#REF!</definedName>
    <definedName name="codcfl" localSheetId="6">#REF!</definedName>
    <definedName name="codcfl" localSheetId="3">#REF!</definedName>
    <definedName name="codcfl">#REF!</definedName>
    <definedName name="Common" localSheetId="1" hidden="1">{#N/A,#N/A,FALSE,"SCA";#N/A,#N/A,FALSE,"NCA";#N/A,#N/A,FALSE,"SAZ";#N/A,#N/A,FALSE,"CAZ";#N/A,#N/A,FALSE,"SNV";#N/A,#N/A,FALSE,"NNV";#N/A,#N/A,FALSE,"PP";#N/A,#N/A,FALSE,"SA"}</definedName>
    <definedName name="Common" localSheetId="32"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4" hidden="1">{#N/A,#N/A,FALSE,"SCA";#N/A,#N/A,FALSE,"NCA";#N/A,#N/A,FALSE,"SAZ";#N/A,#N/A,FALSE,"CAZ";#N/A,#N/A,FALSE,"SNV";#N/A,#N/A,FALSE,"NNV";#N/A,#N/A,FALSE,"PP";#N/A,#N/A,FALSE,"SA"}</definedName>
    <definedName name="Common" localSheetId="5" hidden="1">{#N/A,#N/A,FALSE,"SCA";#N/A,#N/A,FALSE,"NCA";#N/A,#N/A,FALSE,"SAZ";#N/A,#N/A,FALSE,"CAZ";#N/A,#N/A,FALSE,"SNV";#N/A,#N/A,FALSE,"NNV";#N/A,#N/A,FALSE,"PP";#N/A,#N/A,FALSE,"SA"}</definedName>
    <definedName name="Common" localSheetId="7" hidden="1">{#N/A,#N/A,FALSE,"SCA";#N/A,#N/A,FALSE,"NCA";#N/A,#N/A,FALSE,"SAZ";#N/A,#N/A,FALSE,"CAZ";#N/A,#N/A,FALSE,"SNV";#N/A,#N/A,FALSE,"NNV";#N/A,#N/A,FALSE,"PP";#N/A,#N/A,FALSE,"SA"}</definedName>
    <definedName name="Common" localSheetId="3" hidden="1">{#N/A,#N/A,FALSE,"SCA";#N/A,#N/A,FALSE,"NCA";#N/A,#N/A,FALSE,"SAZ";#N/A,#N/A,FALSE,"CAZ";#N/A,#N/A,FALSE,"SNV";#N/A,#N/A,FALSE,"NNV";#N/A,#N/A,FALSE,"PP";#N/A,#N/A,FALSE,"SA"}</definedName>
    <definedName name="Common" localSheetId="47" hidden="1">{#N/A,#N/A,FALSE,"SCA";#N/A,#N/A,FALSE,"NCA";#N/A,#N/A,FALSE,"SAZ";#N/A,#N/A,FALSE,"CAZ";#N/A,#N/A,FALSE,"SNV";#N/A,#N/A,FALSE,"NNV";#N/A,#N/A,FALSE,"PP";#N/A,#N/A,FALSE,"SA"}</definedName>
    <definedName name="Common" hidden="1">{#N/A,#N/A,FALSE,"SCA";#N/A,#N/A,FALSE,"NCA";#N/A,#N/A,FALSE,"SAZ";#N/A,#N/A,FALSE,"CAZ";#N/A,#N/A,FALSE,"SNV";#N/A,#N/A,FALSE,"NNV";#N/A,#N/A,FALSE,"PP";#N/A,#N/A,FALSE,"SA"}</definedName>
    <definedName name="Common___Pre__81" localSheetId="3">#REF!</definedName>
    <definedName name="Common___Pre__81">#REF!</definedName>
    <definedName name="company">'[61]Company Groups'!#REF!</definedName>
    <definedName name="company_map" localSheetId="6">#REF!</definedName>
    <definedName name="company_map" localSheetId="3">#REF!</definedName>
    <definedName name="company_map">#REF!</definedName>
    <definedName name="company1" localSheetId="3">#REF!</definedName>
    <definedName name="company1">#REF!</definedName>
    <definedName name="company10" localSheetId="3">#REF!</definedName>
    <definedName name="company10">#REF!</definedName>
    <definedName name="company11" localSheetId="3">#REF!</definedName>
    <definedName name="company11">#REF!</definedName>
    <definedName name="company12" localSheetId="3">#REF!</definedName>
    <definedName name="company12">#REF!</definedName>
    <definedName name="company13" localSheetId="3">#REF!</definedName>
    <definedName name="company13">#REF!</definedName>
    <definedName name="company14" localSheetId="3">#REF!</definedName>
    <definedName name="company14">#REF!</definedName>
    <definedName name="company15" localSheetId="3">#REF!</definedName>
    <definedName name="company15">#REF!</definedName>
    <definedName name="company16" localSheetId="3">#REF!</definedName>
    <definedName name="company16">#REF!</definedName>
    <definedName name="company17" localSheetId="3">#REF!</definedName>
    <definedName name="company17">#REF!</definedName>
    <definedName name="company18" localSheetId="3">#REF!</definedName>
    <definedName name="company18">#REF!</definedName>
    <definedName name="company19" localSheetId="3">#REF!</definedName>
    <definedName name="company19">#REF!</definedName>
    <definedName name="company2" localSheetId="3">#REF!</definedName>
    <definedName name="company2">#REF!</definedName>
    <definedName name="company20" localSheetId="3">#REF!</definedName>
    <definedName name="company20">#REF!</definedName>
    <definedName name="company21" localSheetId="3">#REF!</definedName>
    <definedName name="company21">#REF!</definedName>
    <definedName name="company22" localSheetId="3">#REF!</definedName>
    <definedName name="company22">#REF!</definedName>
    <definedName name="company23" localSheetId="3">#REF!</definedName>
    <definedName name="company23">#REF!</definedName>
    <definedName name="company24" localSheetId="3">#REF!</definedName>
    <definedName name="company24">#REF!</definedName>
    <definedName name="company25" localSheetId="3">#REF!</definedName>
    <definedName name="company25">#REF!</definedName>
    <definedName name="company26" localSheetId="3">#REF!</definedName>
    <definedName name="company26">#REF!</definedName>
    <definedName name="company27" localSheetId="3">#REF!</definedName>
    <definedName name="company27">#REF!</definedName>
    <definedName name="company28" localSheetId="3">#REF!</definedName>
    <definedName name="company28">#REF!</definedName>
    <definedName name="company29" localSheetId="3">#REF!</definedName>
    <definedName name="company29">#REF!</definedName>
    <definedName name="company3" localSheetId="3">#REF!</definedName>
    <definedName name="company3">#REF!</definedName>
    <definedName name="company30" localSheetId="3">#REF!</definedName>
    <definedName name="company30">#REF!</definedName>
    <definedName name="company31" localSheetId="3">#REF!</definedName>
    <definedName name="company31">#REF!</definedName>
    <definedName name="company32" localSheetId="3">#REF!</definedName>
    <definedName name="company32">#REF!</definedName>
    <definedName name="company33" localSheetId="3">#REF!</definedName>
    <definedName name="company33">#REF!</definedName>
    <definedName name="company4" localSheetId="3">#REF!</definedName>
    <definedName name="company4">#REF!</definedName>
    <definedName name="company5" localSheetId="3">#REF!</definedName>
    <definedName name="company5">#REF!</definedName>
    <definedName name="company6" localSheetId="3">#REF!</definedName>
    <definedName name="company6">#REF!</definedName>
    <definedName name="company7" localSheetId="3">#REF!</definedName>
    <definedName name="company7">#REF!</definedName>
    <definedName name="company8" localSheetId="3">#REF!</definedName>
    <definedName name="company8">#REF!</definedName>
    <definedName name="company9" localSheetId="3">#REF!</definedName>
    <definedName name="company9">#REF!</definedName>
    <definedName name="companylist">OFFSET([62]Power_NaturalGas_Coal_cos!$C$8,0,0,COUNTA([62]Power_NaturalGas_Coal_cos!$C$8:$C$65536),6)</definedName>
    <definedName name="Comparison_of_Fuel_Okla_Juris">#REF!</definedName>
    <definedName name="Composite" localSheetId="6">#REF!</definedName>
    <definedName name="Composite" localSheetId="3">#REF!</definedName>
    <definedName name="Composite">#REF!</definedName>
    <definedName name="con00" localSheetId="1" hidden="1">{#N/A,"Anonymous",FALSE,"30 30k Table";#N/A,#N/A,FALSE,"30 50k Table";#N/A,#N/A,FALSE,"40 100k Table"}</definedName>
    <definedName name="con00" localSheetId="32" hidden="1">{#N/A,"Anonymous",FALSE,"30 30k Table";#N/A,#N/A,FALSE,"30 50k Table";#N/A,#N/A,FALSE,"40 100k Table"}</definedName>
    <definedName name="con00" localSheetId="6" hidden="1">{#N/A,"Anonymous",FALSE,"30 30k Table";#N/A,#N/A,FALSE,"30 50k Table";#N/A,#N/A,FALSE,"40 100k Table"}</definedName>
    <definedName name="con00" localSheetId="4" hidden="1">{#N/A,"Anonymous",FALSE,"30 30k Table";#N/A,#N/A,FALSE,"30 50k Table";#N/A,#N/A,FALSE,"40 100k Table"}</definedName>
    <definedName name="con00" localSheetId="5" hidden="1">{#N/A,"Anonymous",FALSE,"30 30k Table";#N/A,#N/A,FALSE,"30 50k Table";#N/A,#N/A,FALSE,"40 100k Table"}</definedName>
    <definedName name="con00" localSheetId="7" hidden="1">{#N/A,"Anonymous",FALSE,"30 30k Table";#N/A,#N/A,FALSE,"30 50k Table";#N/A,#N/A,FALSE,"40 100k Table"}</definedName>
    <definedName name="con00" localSheetId="3" hidden="1">{#N/A,"Anonymous",FALSE,"30 30k Table";#N/A,#N/A,FALSE,"30 50k Table";#N/A,#N/A,FALSE,"40 100k Table"}</definedName>
    <definedName name="con00" localSheetId="29" hidden="1">{#N/A,"Anonymous",FALSE,"30 30k Table";#N/A,#N/A,FALSE,"30 50k Table";#N/A,#N/A,FALSE,"40 100k Table"}</definedName>
    <definedName name="con00" localSheetId="47" hidden="1">{#N/A,"Anonymous",FALSE,"30 30k Table";#N/A,#N/A,FALSE,"30 50k Table";#N/A,#N/A,FALSE,"40 100k Table"}</definedName>
    <definedName name="con00" hidden="1">{#N/A,"Anonymous",FALSE,"30 30k Table";#N/A,#N/A,FALSE,"30 50k Table";#N/A,#N/A,FALSE,"40 100k Table"}</definedName>
    <definedName name="conflic40100k" localSheetId="1" hidden="1">{#N/A,"Anonymous",FALSE,"30 30k Table";#N/A,#N/A,FALSE,"30 50k Table";#N/A,#N/A,FALSE,"40 100k Table"}</definedName>
    <definedName name="conflic40100k" localSheetId="32" hidden="1">{#N/A,"Anonymous",FALSE,"30 30k Table";#N/A,#N/A,FALSE,"30 50k Table";#N/A,#N/A,FALSE,"40 100k Table"}</definedName>
    <definedName name="conflic40100k" localSheetId="6" hidden="1">{#N/A,"Anonymous",FALSE,"30 30k Table";#N/A,#N/A,FALSE,"30 50k Table";#N/A,#N/A,FALSE,"40 100k Table"}</definedName>
    <definedName name="conflic40100k" localSheetId="4" hidden="1">{#N/A,"Anonymous",FALSE,"30 30k Table";#N/A,#N/A,FALSE,"30 50k Table";#N/A,#N/A,FALSE,"40 100k Table"}</definedName>
    <definedName name="conflic40100k" localSheetId="5" hidden="1">{#N/A,"Anonymous",FALSE,"30 30k Table";#N/A,#N/A,FALSE,"30 50k Table";#N/A,#N/A,FALSE,"40 100k Table"}</definedName>
    <definedName name="conflic40100k" localSheetId="7" hidden="1">{#N/A,"Anonymous",FALSE,"30 30k Table";#N/A,#N/A,FALSE,"30 50k Table";#N/A,#N/A,FALSE,"40 100k Table"}</definedName>
    <definedName name="conflic40100k" localSheetId="3" hidden="1">{#N/A,"Anonymous",FALSE,"30 30k Table";#N/A,#N/A,FALSE,"30 50k Table";#N/A,#N/A,FALSE,"40 100k Table"}</definedName>
    <definedName name="conflic40100k" localSheetId="29" hidden="1">{#N/A,"Anonymous",FALSE,"30 30k Table";#N/A,#N/A,FALSE,"30 50k Table";#N/A,#N/A,FALSE,"40 100k Table"}</definedName>
    <definedName name="conflic40100k" localSheetId="47" hidden="1">{#N/A,"Anonymous",FALSE,"30 30k Table";#N/A,#N/A,FALSE,"30 50k Table";#N/A,#N/A,FALSE,"40 100k Table"}</definedName>
    <definedName name="conflic40100k" hidden="1">{#N/A,"Anonymous",FALSE,"30 30k Table";#N/A,#N/A,FALSE,"30 50k Table";#N/A,#N/A,FALSE,"40 100k Table"}</definedName>
    <definedName name="conflict" localSheetId="1" hidden="1">{#N/A,"Anonymous",FALSE,"30 30k Table";#N/A,#N/A,FALSE,"30 50k Table";#N/A,#N/A,FALSE,"40 100k Table"}</definedName>
    <definedName name="conflict" localSheetId="32" hidden="1">{#N/A,"Anonymous",FALSE,"30 30k Table";#N/A,#N/A,FALSE,"30 50k Table";#N/A,#N/A,FALSE,"40 100k Table"}</definedName>
    <definedName name="conflict" localSheetId="6" hidden="1">{#N/A,"Anonymous",FALSE,"30 30k Table";#N/A,#N/A,FALSE,"30 50k Table";#N/A,#N/A,FALSE,"40 100k Table"}</definedName>
    <definedName name="conflict" localSheetId="4" hidden="1">{#N/A,"Anonymous",FALSE,"30 30k Table";#N/A,#N/A,FALSE,"30 50k Table";#N/A,#N/A,FALSE,"40 100k Table"}</definedName>
    <definedName name="conflict" localSheetId="5" hidden="1">{#N/A,"Anonymous",FALSE,"30 30k Table";#N/A,#N/A,FALSE,"30 50k Table";#N/A,#N/A,FALSE,"40 100k Table"}</definedName>
    <definedName name="conflict" localSheetId="7" hidden="1">{#N/A,"Anonymous",FALSE,"30 30k Table";#N/A,#N/A,FALSE,"30 50k Table";#N/A,#N/A,FALSE,"40 100k Table"}</definedName>
    <definedName name="conflict" localSheetId="3" hidden="1">{#N/A,"Anonymous",FALSE,"30 30k Table";#N/A,#N/A,FALSE,"30 50k Table";#N/A,#N/A,FALSE,"40 100k Table"}</definedName>
    <definedName name="conflict" localSheetId="29" hidden="1">{#N/A,"Anonymous",FALSE,"30 30k Table";#N/A,#N/A,FALSE,"30 50k Table";#N/A,#N/A,FALSE,"40 100k Table"}</definedName>
    <definedName name="conflict" localSheetId="47" hidden="1">{#N/A,"Anonymous",FALSE,"30 30k Table";#N/A,#N/A,FALSE,"30 50k Table";#N/A,#N/A,FALSE,"40 100k Table"}</definedName>
    <definedName name="conflict" hidden="1">{#N/A,"Anonymous",FALSE,"30 30k Table";#N/A,#N/A,FALSE,"30 50k Table";#N/A,#N/A,FALSE,"40 100k Table"}</definedName>
    <definedName name="conflict3" localSheetId="1" hidden="1">{#N/A,"Anonymous",FALSE,"30 30k Table";#N/A,#N/A,FALSE,"30 50k Table";#N/A,#N/A,FALSE,"40 100k Table"}</definedName>
    <definedName name="conflict3" localSheetId="32" hidden="1">{#N/A,"Anonymous",FALSE,"30 30k Table";#N/A,#N/A,FALSE,"30 50k Table";#N/A,#N/A,FALSE,"40 100k Table"}</definedName>
    <definedName name="conflict3" localSheetId="6" hidden="1">{#N/A,"Anonymous",FALSE,"30 30k Table";#N/A,#N/A,FALSE,"30 50k Table";#N/A,#N/A,FALSE,"40 100k Table"}</definedName>
    <definedName name="conflict3" localSheetId="4" hidden="1">{#N/A,"Anonymous",FALSE,"30 30k Table";#N/A,#N/A,FALSE,"30 50k Table";#N/A,#N/A,FALSE,"40 100k Table"}</definedName>
    <definedName name="conflict3" localSheetId="5" hidden="1">{#N/A,"Anonymous",FALSE,"30 30k Table";#N/A,#N/A,FALSE,"30 50k Table";#N/A,#N/A,FALSE,"40 100k Table"}</definedName>
    <definedName name="conflict3" localSheetId="7" hidden="1">{#N/A,"Anonymous",FALSE,"30 30k Table";#N/A,#N/A,FALSE,"30 50k Table";#N/A,#N/A,FALSE,"40 100k Table"}</definedName>
    <definedName name="conflict3" localSheetId="3" hidden="1">{#N/A,"Anonymous",FALSE,"30 30k Table";#N/A,#N/A,FALSE,"30 50k Table";#N/A,#N/A,FALSE,"40 100k Table"}</definedName>
    <definedName name="conflict3" localSheetId="29" hidden="1">{#N/A,"Anonymous",FALSE,"30 30k Table";#N/A,#N/A,FALSE,"30 50k Table";#N/A,#N/A,FALSE,"40 100k Table"}</definedName>
    <definedName name="conflict3" localSheetId="47" hidden="1">{#N/A,"Anonymous",FALSE,"30 30k Table";#N/A,#N/A,FALSE,"30 50k Table";#N/A,#N/A,FALSE,"40 100k Table"}</definedName>
    <definedName name="conflict3" hidden="1">{#N/A,"Anonymous",FALSE,"30 30k Table";#N/A,#N/A,FALSE,"30 50k Table";#N/A,#N/A,FALSE,"40 100k Table"}</definedName>
    <definedName name="conflict40100k" localSheetId="1" hidden="1">{#N/A,"Anonymous",FALSE,"30 30k Table";#N/A,#N/A,FALSE,"30 50k Table";#N/A,#N/A,FALSE,"40 100k Table"}</definedName>
    <definedName name="conflict40100k" localSheetId="32" hidden="1">{#N/A,"Anonymous",FALSE,"30 30k Table";#N/A,#N/A,FALSE,"30 50k Table";#N/A,#N/A,FALSE,"40 100k Table"}</definedName>
    <definedName name="conflict40100k" localSheetId="6" hidden="1">{#N/A,"Anonymous",FALSE,"30 30k Table";#N/A,#N/A,FALSE,"30 50k Table";#N/A,#N/A,FALSE,"40 100k Table"}</definedName>
    <definedName name="conflict40100k" localSheetId="4" hidden="1">{#N/A,"Anonymous",FALSE,"30 30k Table";#N/A,#N/A,FALSE,"30 50k Table";#N/A,#N/A,FALSE,"40 100k Table"}</definedName>
    <definedName name="conflict40100k" localSheetId="5" hidden="1">{#N/A,"Anonymous",FALSE,"30 30k Table";#N/A,#N/A,FALSE,"30 50k Table";#N/A,#N/A,FALSE,"40 100k Table"}</definedName>
    <definedName name="conflict40100k" localSheetId="7" hidden="1">{#N/A,"Anonymous",FALSE,"30 30k Table";#N/A,#N/A,FALSE,"30 50k Table";#N/A,#N/A,FALSE,"40 100k Table"}</definedName>
    <definedName name="conflict40100k" localSheetId="3" hidden="1">{#N/A,"Anonymous",FALSE,"30 30k Table";#N/A,#N/A,FALSE,"30 50k Table";#N/A,#N/A,FALSE,"40 100k Table"}</definedName>
    <definedName name="conflict40100k" localSheetId="29" hidden="1">{#N/A,"Anonymous",FALSE,"30 30k Table";#N/A,#N/A,FALSE,"30 50k Table";#N/A,#N/A,FALSE,"40 100k Table"}</definedName>
    <definedName name="conflict40100k" localSheetId="47" hidden="1">{#N/A,"Anonymous",FALSE,"30 30k Table";#N/A,#N/A,FALSE,"30 50k Table";#N/A,#N/A,FALSE,"40 100k Table"}</definedName>
    <definedName name="conflict40100k" hidden="1">{#N/A,"Anonymous",FALSE,"30 30k Table";#N/A,#N/A,FALSE,"30 50k Table";#N/A,#N/A,FALSE,"40 100k Table"}</definedName>
    <definedName name="conflict404050k" localSheetId="1" hidden="1">{#N/A,"Anonymous",FALSE,"30 30k Table";#N/A,#N/A,FALSE,"30 50k Table";#N/A,#N/A,FALSE,"40 100k Table"}</definedName>
    <definedName name="conflict404050k" localSheetId="32" hidden="1">{#N/A,"Anonymous",FALSE,"30 30k Table";#N/A,#N/A,FALSE,"30 50k Table";#N/A,#N/A,FALSE,"40 100k Table"}</definedName>
    <definedName name="conflict404050k" localSheetId="6" hidden="1">{#N/A,"Anonymous",FALSE,"30 30k Table";#N/A,#N/A,FALSE,"30 50k Table";#N/A,#N/A,FALSE,"40 100k Table"}</definedName>
    <definedName name="conflict404050k" localSheetId="4" hidden="1">{#N/A,"Anonymous",FALSE,"30 30k Table";#N/A,#N/A,FALSE,"30 50k Table";#N/A,#N/A,FALSE,"40 100k Table"}</definedName>
    <definedName name="conflict404050k" localSheetId="5" hidden="1">{#N/A,"Anonymous",FALSE,"30 30k Table";#N/A,#N/A,FALSE,"30 50k Table";#N/A,#N/A,FALSE,"40 100k Table"}</definedName>
    <definedName name="conflict404050k" localSheetId="7" hidden="1">{#N/A,"Anonymous",FALSE,"30 30k Table";#N/A,#N/A,FALSE,"30 50k Table";#N/A,#N/A,FALSE,"40 100k Table"}</definedName>
    <definedName name="conflict404050k" localSheetId="3" hidden="1">{#N/A,"Anonymous",FALSE,"30 30k Table";#N/A,#N/A,FALSE,"30 50k Table";#N/A,#N/A,FALSE,"40 100k Table"}</definedName>
    <definedName name="conflict404050k" localSheetId="29" hidden="1">{#N/A,"Anonymous",FALSE,"30 30k Table";#N/A,#N/A,FALSE,"30 50k Table";#N/A,#N/A,FALSE,"40 100k Table"}</definedName>
    <definedName name="conflict404050k" localSheetId="47" hidden="1">{#N/A,"Anonymous",FALSE,"30 30k Table";#N/A,#N/A,FALSE,"30 50k Table";#N/A,#N/A,FALSE,"40 100k Table"}</definedName>
    <definedName name="conflict404050k" hidden="1">{#N/A,"Anonymous",FALSE,"30 30k Table";#N/A,#N/A,FALSE,"30 50k Table";#N/A,#N/A,FALSE,"40 100k Table"}</definedName>
    <definedName name="conflict4050k" localSheetId="1" hidden="1">{#N/A,"Anonymous",FALSE,"30 30k Table";#N/A,#N/A,FALSE,"30 50k Table";#N/A,#N/A,FALSE,"40 100k Table"}</definedName>
    <definedName name="conflict4050k" localSheetId="32" hidden="1">{#N/A,"Anonymous",FALSE,"30 30k Table";#N/A,#N/A,FALSE,"30 50k Table";#N/A,#N/A,FALSE,"40 100k Table"}</definedName>
    <definedName name="conflict4050k" localSheetId="6" hidden="1">{#N/A,"Anonymous",FALSE,"30 30k Table";#N/A,#N/A,FALSE,"30 50k Table";#N/A,#N/A,FALSE,"40 100k Table"}</definedName>
    <definedName name="conflict4050k" localSheetId="4" hidden="1">{#N/A,"Anonymous",FALSE,"30 30k Table";#N/A,#N/A,FALSE,"30 50k Table";#N/A,#N/A,FALSE,"40 100k Table"}</definedName>
    <definedName name="conflict4050k" localSheetId="5" hidden="1">{#N/A,"Anonymous",FALSE,"30 30k Table";#N/A,#N/A,FALSE,"30 50k Table";#N/A,#N/A,FALSE,"40 100k Table"}</definedName>
    <definedName name="conflict4050k" localSheetId="7" hidden="1">{#N/A,"Anonymous",FALSE,"30 30k Table";#N/A,#N/A,FALSE,"30 50k Table";#N/A,#N/A,FALSE,"40 100k Table"}</definedName>
    <definedName name="conflict4050k" localSheetId="3" hidden="1">{#N/A,"Anonymous",FALSE,"30 30k Table";#N/A,#N/A,FALSE,"30 50k Table";#N/A,#N/A,FALSE,"40 100k Table"}</definedName>
    <definedName name="conflict4050k" localSheetId="29" hidden="1">{#N/A,"Anonymous",FALSE,"30 30k Table";#N/A,#N/A,FALSE,"30 50k Table";#N/A,#N/A,FALSE,"40 100k Table"}</definedName>
    <definedName name="conflict4050k" localSheetId="47" hidden="1">{#N/A,"Anonymous",FALSE,"30 30k Table";#N/A,#N/A,FALSE,"30 50k Table";#N/A,#N/A,FALSE,"40 100k Table"}</definedName>
    <definedName name="conflict4050k" hidden="1">{#N/A,"Anonymous",FALSE,"30 30k Table";#N/A,#N/A,FALSE,"30 50k Table";#N/A,#N/A,FALSE,"40 100k Table"}</definedName>
    <definedName name="conflict4050kkk" localSheetId="1" hidden="1">{#N/A,"Anonymous",FALSE,"30 30k Table";#N/A,#N/A,FALSE,"30 50k Table";#N/A,#N/A,FALSE,"40 100k Table"}</definedName>
    <definedName name="conflict4050kkk" localSheetId="32" hidden="1">{#N/A,"Anonymous",FALSE,"30 30k Table";#N/A,#N/A,FALSE,"30 50k Table";#N/A,#N/A,FALSE,"40 100k Table"}</definedName>
    <definedName name="conflict4050kkk" localSheetId="6" hidden="1">{#N/A,"Anonymous",FALSE,"30 30k Table";#N/A,#N/A,FALSE,"30 50k Table";#N/A,#N/A,FALSE,"40 100k Table"}</definedName>
    <definedName name="conflict4050kkk" localSheetId="4" hidden="1">{#N/A,"Anonymous",FALSE,"30 30k Table";#N/A,#N/A,FALSE,"30 50k Table";#N/A,#N/A,FALSE,"40 100k Table"}</definedName>
    <definedName name="conflict4050kkk" localSheetId="5" hidden="1">{#N/A,"Anonymous",FALSE,"30 30k Table";#N/A,#N/A,FALSE,"30 50k Table";#N/A,#N/A,FALSE,"40 100k Table"}</definedName>
    <definedName name="conflict4050kkk" localSheetId="7" hidden="1">{#N/A,"Anonymous",FALSE,"30 30k Table";#N/A,#N/A,FALSE,"30 50k Table";#N/A,#N/A,FALSE,"40 100k Table"}</definedName>
    <definedName name="conflict4050kkk" localSheetId="3" hidden="1">{#N/A,"Anonymous",FALSE,"30 30k Table";#N/A,#N/A,FALSE,"30 50k Table";#N/A,#N/A,FALSE,"40 100k Table"}</definedName>
    <definedName name="conflict4050kkk" localSheetId="29" hidden="1">{#N/A,"Anonymous",FALSE,"30 30k Table";#N/A,#N/A,FALSE,"30 50k Table";#N/A,#N/A,FALSE,"40 100k Table"}</definedName>
    <definedName name="conflict4050kkk" localSheetId="47" hidden="1">{#N/A,"Anonymous",FALSE,"30 30k Table";#N/A,#N/A,FALSE,"30 50k Table";#N/A,#N/A,FALSE,"40 100k Table"}</definedName>
    <definedName name="conflict4050kkk" hidden="1">{#N/A,"Anonymous",FALSE,"30 30k Table";#N/A,#N/A,FALSE,"30 50k Table";#N/A,#N/A,FALSE,"40 100k Table"}</definedName>
    <definedName name="conflt40100k" localSheetId="1" hidden="1">{#N/A,"Anonymous",FALSE,"30 30k Table";#N/A,#N/A,FALSE,"30 50k Table";#N/A,#N/A,FALSE,"40 100k Table"}</definedName>
    <definedName name="conflt40100k" localSheetId="32" hidden="1">{#N/A,"Anonymous",FALSE,"30 30k Table";#N/A,#N/A,FALSE,"30 50k Table";#N/A,#N/A,FALSE,"40 100k Table"}</definedName>
    <definedName name="conflt40100k" localSheetId="6" hidden="1">{#N/A,"Anonymous",FALSE,"30 30k Table";#N/A,#N/A,FALSE,"30 50k Table";#N/A,#N/A,FALSE,"40 100k Table"}</definedName>
    <definedName name="conflt40100k" localSheetId="4" hidden="1">{#N/A,"Anonymous",FALSE,"30 30k Table";#N/A,#N/A,FALSE,"30 50k Table";#N/A,#N/A,FALSE,"40 100k Table"}</definedName>
    <definedName name="conflt40100k" localSheetId="5" hidden="1">{#N/A,"Anonymous",FALSE,"30 30k Table";#N/A,#N/A,FALSE,"30 50k Table";#N/A,#N/A,FALSE,"40 100k Table"}</definedName>
    <definedName name="conflt40100k" localSheetId="7" hidden="1">{#N/A,"Anonymous",FALSE,"30 30k Table";#N/A,#N/A,FALSE,"30 50k Table";#N/A,#N/A,FALSE,"40 100k Table"}</definedName>
    <definedName name="conflt40100k" localSheetId="3" hidden="1">{#N/A,"Anonymous",FALSE,"30 30k Table";#N/A,#N/A,FALSE,"30 50k Table";#N/A,#N/A,FALSE,"40 100k Table"}</definedName>
    <definedName name="conflt40100k" localSheetId="29" hidden="1">{#N/A,"Anonymous",FALSE,"30 30k Table";#N/A,#N/A,FALSE,"30 50k Table";#N/A,#N/A,FALSE,"40 100k Table"}</definedName>
    <definedName name="conflt40100k" localSheetId="47" hidden="1">{#N/A,"Anonymous",FALSE,"30 30k Table";#N/A,#N/A,FALSE,"30 50k Table";#N/A,#N/A,FALSE,"40 100k Table"}</definedName>
    <definedName name="conflt40100k" hidden="1">{#N/A,"Anonymous",FALSE,"30 30k Table";#N/A,#N/A,FALSE,"30 50k Table";#N/A,#N/A,FALSE,"40 100k Table"}</definedName>
    <definedName name="CONOCO_FAC">#REF!</definedName>
    <definedName name="Conoco_Sale_Columns" localSheetId="3">#REF!</definedName>
    <definedName name="Conoco_Sale_Columns">#REF!</definedName>
    <definedName name="CONOCO_SALE_REPORT" localSheetId="3">#REF!</definedName>
    <definedName name="CONOCO_SALE_REPORT">#REF!</definedName>
    <definedName name="Conoco_Sale_Rows" localSheetId="3">#REF!</definedName>
    <definedName name="Conoco_Sale_Rows">#REF!</definedName>
    <definedName name="CONSOL5" localSheetId="3">#REF!</definedName>
    <definedName name="CONSOL5">#REF!</definedName>
    <definedName name="CONSOL6" localSheetId="3">#REF!</definedName>
    <definedName name="CONSOL6">#REF!</definedName>
    <definedName name="CONSOL8" localSheetId="3">#REF!</definedName>
    <definedName name="CONSOL8">#REF!</definedName>
    <definedName name="Consolid" localSheetId="32" hidden="1">{#N/A,#N/A,FALSE,"O&amp;M by processes";#N/A,#N/A,FALSE,"Elec Act vs Bud";#N/A,#N/A,FALSE,"G&amp;A";#N/A,#N/A,FALSE,"BGS";#N/A,#N/A,FALSE,"Res Cost"}</definedName>
    <definedName name="Consolid" localSheetId="6" hidden="1">{#N/A,#N/A,FALSE,"O&amp;M by processes";#N/A,#N/A,FALSE,"Elec Act vs Bud";#N/A,#N/A,FALSE,"G&amp;A";#N/A,#N/A,FALSE,"BGS";#N/A,#N/A,FALSE,"Res Cost"}</definedName>
    <definedName name="Consolid" localSheetId="7"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29" hidden="1">{#N/A,#N/A,FALSE,"O&amp;M by processes";#N/A,#N/A,FALSE,"Elec Act vs Bud";#N/A,#N/A,FALSE,"G&amp;A";#N/A,#N/A,FALSE,"BGS";#N/A,#N/A,FALSE,"Res Cost"}</definedName>
    <definedName name="Consolid" localSheetId="47"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32" hidden="1">{#N/A,#N/A,FALSE,"O&amp;M by processes";#N/A,#N/A,FALSE,"Elec Act vs Bud";#N/A,#N/A,FALSE,"G&amp;A";#N/A,#N/A,FALSE,"BGS";#N/A,#N/A,FALSE,"Res Cost"}</definedName>
    <definedName name="Consolidated" localSheetId="6"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29" hidden="1">{#N/A,#N/A,FALSE,"O&amp;M by processes";#N/A,#N/A,FALSE,"Elec Act vs Bud";#N/A,#N/A,FALSE,"G&amp;A";#N/A,#N/A,FALSE,"BGS";#N/A,#N/A,FALSE,"Res Cost"}</definedName>
    <definedName name="Consolidated" localSheetId="47" hidden="1">{#N/A,#N/A,FALSE,"O&amp;M by processes";#N/A,#N/A,FALSE,"Elec Act vs Bud";#N/A,#N/A,FALSE,"G&amp;A";#N/A,#N/A,FALSE,"BGS";#N/A,#N/A,FALSE,"Res Cost"}</definedName>
    <definedName name="Consolidated" hidden="1">{#N/A,#N/A,FALSE,"O&amp;M by processes";#N/A,#N/A,FALSE,"Elec Act vs Bud";#N/A,#N/A,FALSE,"G&amp;A";#N/A,#N/A,FALSE,"BGS";#N/A,#N/A,FALSE,"Res Cost"}</definedName>
    <definedName name="corrh" localSheetId="6">#REF!</definedName>
    <definedName name="corrh" localSheetId="3">#REF!</definedName>
    <definedName name="corrh">#REF!</definedName>
    <definedName name="corrl" localSheetId="3">#REF!</definedName>
    <definedName name="corrl">#REF!</definedName>
    <definedName name="Cortez" localSheetId="6">'[19]Alloc factors'!#REF!</definedName>
    <definedName name="Cortez" localSheetId="3">'[19]Alloc factors'!#REF!</definedName>
    <definedName name="Cortez">'[19]Alloc factors'!#REF!</definedName>
    <definedName name="COST" localSheetId="6">#REF!</definedName>
    <definedName name="COST" localSheetId="3">#REF!</definedName>
    <definedName name="COST">#REF!</definedName>
    <definedName name="Cosum" localSheetId="6">[63]!Cosum</definedName>
    <definedName name="Cosum">[63]!Cosum</definedName>
    <definedName name="COUNTCELL" localSheetId="3">#REF!</definedName>
    <definedName name="COUNTCELL">#REF!</definedName>
    <definedName name="cover" localSheetId="1" hidden="1">#REF!</definedName>
    <definedName name="cover" localSheetId="5" hidden="1">#REF!</definedName>
    <definedName name="cover" localSheetId="3" hidden="1">#REF!</definedName>
    <definedName name="cover" localSheetId="29" hidden="1">#REF!</definedName>
    <definedName name="cover" hidden="1">#REF!</definedName>
    <definedName name="cp_by_group">#REF!</definedName>
    <definedName name="cp_by_serv_level">#REF!</definedName>
    <definedName name="cp_input_area">#REF!</definedName>
    <definedName name="_xlnm.Criteria" localSheetId="3">#REF!</definedName>
    <definedName name="_xlnm.Criteria">#REF!</definedName>
    <definedName name="csadj" localSheetId="3">#REF!</definedName>
    <definedName name="csadj">#REF!</definedName>
    <definedName name="cscomp" localSheetId="3">#REF!</definedName>
    <definedName name="cscomp">#REF!</definedName>
    <definedName name="csDesignMode">1</definedName>
    <definedName name="cust_dep">'[64]SNL Data'!$AQ$6:$AX$148</definedName>
    <definedName name="customerinput" localSheetId="6">#REF!</definedName>
    <definedName name="customerinput" localSheetId="3">#REF!</definedName>
    <definedName name="customerinput">#REF!</definedName>
    <definedName name="cvdsza" localSheetId="5" hidden="1">#REF!</definedName>
    <definedName name="cvdsza" localSheetId="3" hidden="1">#REF!</definedName>
    <definedName name="cvdsza" localSheetId="29" hidden="1">#REF!</definedName>
    <definedName name="cvdsza" hidden="1">#REF!</definedName>
    <definedName name="CWIP"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1" hidden="1">#REF!</definedName>
    <definedName name="d" localSheetId="5" hidden="1">#REF!</definedName>
    <definedName name="d" localSheetId="3" hidden="1">#REF!</definedName>
    <definedName name="d" localSheetId="29" hidden="1">#REF!</definedName>
    <definedName name="d" hidden="1">#REF!</definedName>
    <definedName name="da" localSheetId="32" hidden="1">{#N/A,#N/A,FALSE,"O&amp;M by processes";#N/A,#N/A,FALSE,"Elec Act vs Bud";#N/A,#N/A,FALSE,"G&amp;A";#N/A,#N/A,FALSE,"BGS";#N/A,#N/A,FALSE,"Res Cost"}</definedName>
    <definedName name="da" localSheetId="6" hidden="1">{#N/A,#N/A,FALSE,"O&amp;M by processes";#N/A,#N/A,FALSE,"Elec Act vs Bud";#N/A,#N/A,FALSE,"G&amp;A";#N/A,#N/A,FALSE,"BGS";#N/A,#N/A,FALSE,"Res Cost"}</definedName>
    <definedName name="da" localSheetId="7"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29" hidden="1">{#N/A,#N/A,FALSE,"O&amp;M by processes";#N/A,#N/A,FALSE,"Elec Act vs Bud";#N/A,#N/A,FALSE,"G&amp;A";#N/A,#N/A,FALSE,"BGS";#N/A,#N/A,FALSE,"Res Cost"}</definedName>
    <definedName name="da" localSheetId="47" hidden="1">{#N/A,#N/A,FALSE,"O&amp;M by processes";#N/A,#N/A,FALSE,"Elec Act vs Bud";#N/A,#N/A,FALSE,"G&amp;A";#N/A,#N/A,FALSE,"BGS";#N/A,#N/A,FALSE,"Res Cost"}</definedName>
    <definedName name="da" hidden="1">{#N/A,#N/A,FALSE,"O&amp;M by processes";#N/A,#N/A,FALSE,"Elec Act vs Bud";#N/A,#N/A,FALSE,"G&amp;A";#N/A,#N/A,FALSE,"BGS";#N/A,#N/A,FALSE,"Res Cost"}</definedName>
    <definedName name="da3a" localSheetId="1" hidden="1">#REF!</definedName>
    <definedName name="da3a" localSheetId="5" hidden="1">#REF!</definedName>
    <definedName name="da3a" localSheetId="3" hidden="1">#REF!</definedName>
    <definedName name="da3a" localSheetId="29" hidden="1">#REF!</definedName>
    <definedName name="da3a" hidden="1">#REF!</definedName>
    <definedName name="dada" localSheetId="32" hidden="1">{#N/A,#N/A,FALSE,"O&amp;M by processes";#N/A,#N/A,FALSE,"Elec Act vs Bud";#N/A,#N/A,FALSE,"G&amp;A";#N/A,#N/A,FALSE,"BGS";#N/A,#N/A,FALSE,"Res Cost"}</definedName>
    <definedName name="dada" localSheetId="6"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29" hidden="1">{#N/A,#N/A,FALSE,"O&amp;M by processes";#N/A,#N/A,FALSE,"Elec Act vs Bud";#N/A,#N/A,FALSE,"G&amp;A";#N/A,#N/A,FALSE,"BGS";#N/A,#N/A,FALSE,"Res Cost"}</definedName>
    <definedName name="dada" localSheetId="47" hidden="1">{#N/A,#N/A,FALSE,"O&amp;M by processes";#N/A,#N/A,FALSE,"Elec Act vs Bud";#N/A,#N/A,FALSE,"G&amp;A";#N/A,#N/A,FALSE,"BGS";#N/A,#N/A,FALSE,"Res Cost"}</definedName>
    <definedName name="dada" hidden="1">{#N/A,#N/A,FALSE,"O&amp;M by processes";#N/A,#N/A,FALSE,"Elec Act vs Bud";#N/A,#N/A,FALSE,"G&amp;A";#N/A,#N/A,FALSE,"BGS";#N/A,#N/A,FALSE,"Res Cost"}</definedName>
    <definedName name="dadffadfa" localSheetId="1" hidden="1">'[7]Chart Data'!#REF!</definedName>
    <definedName name="dadffadfa" localSheetId="5" hidden="1">'[7]Chart Data'!#REF!</definedName>
    <definedName name="dadffadfa" localSheetId="29" hidden="1">'[7]Chart Data'!#REF!</definedName>
    <definedName name="dadffadfa" hidden="1">'[7]Chart Data'!#REF!</definedName>
    <definedName name="DATA">#N/A</definedName>
    <definedName name="Data_for_Above_Calculations">#REF!</definedName>
    <definedName name="_xlnm.Database" localSheetId="6">#REF!</definedName>
    <definedName name="_xlnm.Database" localSheetId="3">#REF!</definedName>
    <definedName name="_xlnm.Database">#REF!</definedName>
    <definedName name="dataset" localSheetId="3">#REF!</definedName>
    <definedName name="dataset">#REF!</definedName>
    <definedName name="DATE" localSheetId="3">#REF!</definedName>
    <definedName name="DATE">#REF!</definedName>
    <definedName name="db" localSheetId="5" hidden="1">#REF!</definedName>
    <definedName name="db" localSheetId="3" hidden="1">#REF!</definedName>
    <definedName name="db" localSheetId="29" hidden="1">#REF!</definedName>
    <definedName name="db" hidden="1">#REF!</definedName>
    <definedName name="dcf_cost_equity">'[41]DCF RoE -A'!$1:$1048576</definedName>
    <definedName name="dcf_cost_equity_h">'[41]DCF RoE -A'!$13:$13</definedName>
    <definedName name="dcf_cost_equity_vh">'[41]DCF RoE -A'!$A:$A</definedName>
    <definedName name="dcf_date">'[41]Input Sheet'!$F$19</definedName>
    <definedName name="dd" localSheetId="1" hidden="1">{"Print_Detail",#N/A,FALSE,"Redemption_Maturity Extract"}</definedName>
    <definedName name="dd" localSheetId="32" hidden="1">{"Print_Detail",#N/A,FALSE,"Redemption_Maturity Extract"}</definedName>
    <definedName name="dd" localSheetId="6" hidden="1">{"Print_Detail",#N/A,FALSE,"Redemption_Maturity Extract"}</definedName>
    <definedName name="dd" localSheetId="4" hidden="1">{"Print_Detail",#N/A,FALSE,"Redemption_Maturity Extract"}</definedName>
    <definedName name="dd" localSheetId="5" hidden="1">{"Print_Detail",#N/A,FALSE,"Redemption_Maturity Extract"}</definedName>
    <definedName name="dd" localSheetId="7" hidden="1">{"Print_Detail",#N/A,FALSE,"Redemption_Maturity Extract"}</definedName>
    <definedName name="dd" localSheetId="3" hidden="1">{"Print_Detail",#N/A,FALSE,"Redemption_Maturity Extract"}</definedName>
    <definedName name="dd" localSheetId="47" hidden="1">{"Print_Detail",#N/A,FALSE,"Redemption_Maturity Extract"}</definedName>
    <definedName name="dd" hidden="1">{"Print_Detail",#N/A,FALSE,"Redemption_Maturity Extract"}</definedName>
    <definedName name="ddd" localSheetId="1" hidden="1">{"Full",#N/A,FALSE,"Sec MTN B Summary"}</definedName>
    <definedName name="ddd" localSheetId="32" hidden="1">{"Full",#N/A,FALSE,"Sec MTN B Summary"}</definedName>
    <definedName name="ddd" localSheetId="6" hidden="1">{"Full",#N/A,FALSE,"Sec MTN B Summary"}</definedName>
    <definedName name="ddd" localSheetId="4" hidden="1">{"Full",#N/A,FALSE,"Sec MTN B Summary"}</definedName>
    <definedName name="ddd" localSheetId="5" hidden="1">{"Full",#N/A,FALSE,"Sec MTN B Summary"}</definedName>
    <definedName name="ddd" localSheetId="7" hidden="1">{"Full",#N/A,FALSE,"Sec MTN B Summary"}</definedName>
    <definedName name="ddd" localSheetId="3" hidden="1">{"Full",#N/A,FALSE,"Sec MTN B Summary"}</definedName>
    <definedName name="ddd" localSheetId="47" hidden="1">{"Full",#N/A,FALSE,"Sec MTN B Summary"}</definedName>
    <definedName name="ddd" hidden="1">{"Full",#N/A,FALSE,"Sec MTN B Summary"}</definedName>
    <definedName name="dddd" localSheetId="1" hidden="1">{"RedPrem_InitRed View",#N/A,FALSE,"Sec MTN B Summary"}</definedName>
    <definedName name="dddd" localSheetId="32" hidden="1">{"RedPrem_InitRed View",#N/A,FALSE,"Sec MTN B Summary"}</definedName>
    <definedName name="dddd" localSheetId="6" hidden="1">{"RedPrem_InitRed View",#N/A,FALSE,"Sec MTN B Summary"}</definedName>
    <definedName name="dddd" localSheetId="4" hidden="1">{"RedPrem_InitRed View",#N/A,FALSE,"Sec MTN B Summary"}</definedName>
    <definedName name="dddd" localSheetId="5" hidden="1">{"RedPrem_InitRed View",#N/A,FALSE,"Sec MTN B Summary"}</definedName>
    <definedName name="dddd" localSheetId="7" hidden="1">{"RedPrem_InitRed View",#N/A,FALSE,"Sec MTN B Summary"}</definedName>
    <definedName name="dddd" localSheetId="3" hidden="1">{"RedPrem_InitRed View",#N/A,FALSE,"Sec MTN B Summary"}</definedName>
    <definedName name="dddd" localSheetId="47" hidden="1">{"RedPrem_InitRed View",#N/A,FALSE,"Sec MTN B Summary"}</definedName>
    <definedName name="dddd" hidden="1">{"RedPrem_InitRed View",#N/A,FALSE,"Sec MTN B Summary"}</definedName>
    <definedName name="dddddd" localSheetId="1" hidden="1">{"Pivot1",#N/A,FALSE,"Redemption_Maturity Extract"}</definedName>
    <definedName name="dddddd" localSheetId="32" hidden="1">{"Pivot1",#N/A,FALSE,"Redemption_Maturity Extract"}</definedName>
    <definedName name="dddddd" localSheetId="6" hidden="1">{"Pivot1",#N/A,FALSE,"Redemption_Maturity Extract"}</definedName>
    <definedName name="dddddd" localSheetId="4" hidden="1">{"Pivot1",#N/A,FALSE,"Redemption_Maturity Extract"}</definedName>
    <definedName name="dddddd" localSheetId="5" hidden="1">{"Pivot1",#N/A,FALSE,"Redemption_Maturity Extract"}</definedName>
    <definedName name="dddddd" localSheetId="7" hidden="1">{"Pivot1",#N/A,FALSE,"Redemption_Maturity Extract"}</definedName>
    <definedName name="dddddd" localSheetId="3" hidden="1">{"Pivot1",#N/A,FALSE,"Redemption_Maturity Extract"}</definedName>
    <definedName name="dddddd" localSheetId="47" hidden="1">{"Pivot1",#N/A,FALSE,"Redemption_Maturity Extract"}</definedName>
    <definedName name="dddddd" hidden="1">{"Pivot1",#N/A,FALSE,"Redemption_Maturity Extract"}</definedName>
    <definedName name="dddddddd" localSheetId="1" hidden="1">{"Pivot2",#N/A,FALSE,"Redemption_Maturity Extract"}</definedName>
    <definedName name="dddddddd" localSheetId="32" hidden="1">{"Pivot2",#N/A,FALSE,"Redemption_Maturity Extract"}</definedName>
    <definedName name="dddddddd" localSheetId="6" hidden="1">{"Pivot2",#N/A,FALSE,"Redemption_Maturity Extract"}</definedName>
    <definedName name="dddddddd" localSheetId="4" hidden="1">{"Pivot2",#N/A,FALSE,"Redemption_Maturity Extract"}</definedName>
    <definedName name="dddddddd" localSheetId="5" hidden="1">{"Pivot2",#N/A,FALSE,"Redemption_Maturity Extract"}</definedName>
    <definedName name="dddddddd" localSheetId="7" hidden="1">{"Pivot2",#N/A,FALSE,"Redemption_Maturity Extract"}</definedName>
    <definedName name="dddddddd" localSheetId="3" hidden="1">{"Pivot2",#N/A,FALSE,"Redemption_Maturity Extract"}</definedName>
    <definedName name="dddddddd" localSheetId="47" hidden="1">{"Pivot2",#N/A,FALSE,"Redemption_Maturity Extract"}</definedName>
    <definedName name="dddddddd" hidden="1">{"Pivot2",#N/A,FALSE,"Redemption_Maturity Extract"}</definedName>
    <definedName name="ddrfef" localSheetId="1" hidden="1">{"'Sheet1'!$A$1:$O$40"}</definedName>
    <definedName name="ddrfef" localSheetId="32" hidden="1">{"'Sheet1'!$A$1:$O$40"}</definedName>
    <definedName name="ddrfef" localSheetId="6" hidden="1">{"'Sheet1'!$A$1:$O$40"}</definedName>
    <definedName name="ddrfef" localSheetId="4" hidden="1">{"'Sheet1'!$A$1:$O$40"}</definedName>
    <definedName name="ddrfef" localSheetId="5" hidden="1">{"'Sheet1'!$A$1:$O$40"}</definedName>
    <definedName name="ddrfef" localSheetId="7" hidden="1">{"'Sheet1'!$A$1:$O$40"}</definedName>
    <definedName name="ddrfef" localSheetId="3" hidden="1">{"'Sheet1'!$A$1:$O$40"}</definedName>
    <definedName name="ddrfef" localSheetId="29" hidden="1">{"'Sheet1'!$A$1:$O$40"}</definedName>
    <definedName name="ddrfef" localSheetId="47" hidden="1">{"'Sheet1'!$A$1:$O$40"}</definedName>
    <definedName name="ddrfef" hidden="1">{"'Sheet1'!$A$1:$O$40"}</definedName>
    <definedName name="DEBT" localSheetId="6">#REF!</definedName>
    <definedName name="DEBT" localSheetId="3">#REF!</definedName>
    <definedName name="DEBT">#REF!</definedName>
    <definedName name="debt_rating">'[41]Input Sheet'!$F$43</definedName>
    <definedName name="DEBTCOST" localSheetId="3">#REF!</definedName>
    <definedName name="DEBTCOST">#REF!</definedName>
    <definedName name="DECAMT" localSheetId="3">'2.4 OpCo Proxy Cap Str'!AmtTable</definedName>
    <definedName name="DECAMT">[39]!AmtTable</definedName>
    <definedName name="DECDT" localSheetId="3">'2.4 OpCo Proxy Cap Str'!DTTable</definedName>
    <definedName name="DECDT">[39]!DTTable</definedName>
    <definedName name="DECEMBER2ndCloseAMT" localSheetId="3">'2.4 OpCo Proxy Cap Str'!AmtTable</definedName>
    <definedName name="DECEMBER2ndCloseAMT">[39]!AmtTable</definedName>
    <definedName name="DECEMBER2ndCloseDT" localSheetId="3">'2.4 OpCo Proxy Cap Str'!DTTable</definedName>
    <definedName name="DECEMBER2ndCloseDT">[39]!DTTable</definedName>
    <definedName name="DECEMBERAMT">#N/A</definedName>
    <definedName name="DECEMBERDT">#N/A</definedName>
    <definedName name="DEF_INTER_GAIN_REPORT" localSheetId="3">#REF!</definedName>
    <definedName name="DEF_INTER_GAIN_REPORT">#REF!</definedName>
    <definedName name="DEFERREDITEMS" localSheetId="3">#REF!</definedName>
    <definedName name="DEFERREDITEMS">#REF!</definedName>
    <definedName name="delete" localSheetId="32" hidden="1">{#N/A,#N/A,FALSE,"CURRENT"}</definedName>
    <definedName name="delete" localSheetId="6" hidden="1">{#N/A,#N/A,FALSE,"CURRENT"}</definedName>
    <definedName name="delete" localSheetId="7" hidden="1">{#N/A,#N/A,FALSE,"CURRENT"}</definedName>
    <definedName name="delete" localSheetId="3" hidden="1">{#N/A,#N/A,FALSE,"CURRENT"}</definedName>
    <definedName name="delete" localSheetId="29" hidden="1">{#N/A,#N/A,FALSE,"CURRENT"}</definedName>
    <definedName name="delete" localSheetId="47" hidden="1">{#N/A,#N/A,FALSE,"CURRENT"}</definedName>
    <definedName name="delete" hidden="1">{#N/A,#N/A,FALSE,"CURRENT"}</definedName>
    <definedName name="DEPR_CAP_ANAL_REPORT" localSheetId="3">#REF!</definedName>
    <definedName name="DEPR_CAP_ANAL_REPORT">#REF!</definedName>
    <definedName name="DEPR_CAP_ANAL_ROWS" localSheetId="3">#REF!</definedName>
    <definedName name="DEPR_CAP_ANAL_ROWS">#REF!</definedName>
    <definedName name="DEPR_CAP_VOUCHER_6_REPORT" localSheetId="3">#REF!</definedName>
    <definedName name="DEPR_CAP_VOUCHER_6_REPORT">#REF!</definedName>
    <definedName name="DEPR_CAP_VOUCHER_9_REPORT" localSheetId="3">#REF!</definedName>
    <definedName name="DEPR_CAP_VOUCHER_9_REPORT">#REF!</definedName>
    <definedName name="DEPRECIATION" localSheetId="3">'[1]Jun 99'!#REF!</definedName>
    <definedName name="DEPRECIATION">'[1]Jun 99'!#REF!</definedName>
    <definedName name="dfghj" localSheetId="1" hidden="1">#REF!</definedName>
    <definedName name="dfghj" localSheetId="5" hidden="1">#REF!</definedName>
    <definedName name="dfghj" localSheetId="3" hidden="1">#REF!</definedName>
    <definedName name="dfghj" localSheetId="29" hidden="1">#REF!</definedName>
    <definedName name="dfghj" hidden="1">#REF!</definedName>
    <definedName name="dfjhdbfhdbf" localSheetId="1" hidden="1">#REF!</definedName>
    <definedName name="dfjhdbfhdbf" localSheetId="5" hidden="1">#REF!</definedName>
    <definedName name="dfjhdbfhdbf" localSheetId="3" hidden="1">#REF!</definedName>
    <definedName name="dfjhdbfhdbf" localSheetId="29" hidden="1">#REF!</definedName>
    <definedName name="dfjhdbfhdbf" hidden="1">#REF!</definedName>
    <definedName name="dfl" localSheetId="5" hidden="1">#REF!</definedName>
    <definedName name="dfl" localSheetId="3" hidden="1">#REF!</definedName>
    <definedName name="dfl" localSheetId="29" hidden="1">#REF!</definedName>
    <definedName name="dfl" hidden="1">#REF!</definedName>
    <definedName name="dfsdfsdfsdf" localSheetId="6" hidden="1">'[65]COST OF SERVICE'!#REF!</definedName>
    <definedName name="dfsdfsdfsdf" localSheetId="5" hidden="1">'[65]COST OF SERVICE'!#REF!</definedName>
    <definedName name="dfsdfsdfsdf" localSheetId="7" hidden="1">'[65]COST OF SERVICE'!#REF!</definedName>
    <definedName name="dfsdfsdfsdf" localSheetId="29" hidden="1">'[65]COST OF SERVICE'!#REF!</definedName>
    <definedName name="dfsdfsdfsdf" hidden="1">'[65]COST OF SERVICE'!#REF!</definedName>
    <definedName name="dggfgdgdg" localSheetId="1" hidden="1">{#N/A,#N/A,FALSE,"RORMEMO";#N/A,#N/A,FALSE,"RORSUMMARY";#N/A,#N/A,FALSE,"RORDETAIL"}</definedName>
    <definedName name="dggfgdgdg" localSheetId="32" hidden="1">{#N/A,#N/A,FALSE,"RORMEMO";#N/A,#N/A,FALSE,"RORSUMMARY";#N/A,#N/A,FALSE,"RORDETAIL"}</definedName>
    <definedName name="dggfgdgdg" localSheetId="6" hidden="1">{#N/A,#N/A,FALSE,"RORMEMO";#N/A,#N/A,FALSE,"RORSUMMARY";#N/A,#N/A,FALSE,"RORDETAIL"}</definedName>
    <definedName name="dggfgdgdg" localSheetId="4" hidden="1">{#N/A,#N/A,FALSE,"RORMEMO";#N/A,#N/A,FALSE,"RORSUMMARY";#N/A,#N/A,FALSE,"RORDETAIL"}</definedName>
    <definedName name="dggfgdgdg" localSheetId="5" hidden="1">{#N/A,#N/A,FALSE,"RORMEMO";#N/A,#N/A,FALSE,"RORSUMMARY";#N/A,#N/A,FALSE,"RORDETAIL"}</definedName>
    <definedName name="dggfgdgdg" localSheetId="7" hidden="1">{#N/A,#N/A,FALSE,"RORMEMO";#N/A,#N/A,FALSE,"RORSUMMARY";#N/A,#N/A,FALSE,"RORDETAIL"}</definedName>
    <definedName name="dggfgdgdg" localSheetId="3" hidden="1">{#N/A,#N/A,FALSE,"RORMEMO";#N/A,#N/A,FALSE,"RORSUMMARY";#N/A,#N/A,FALSE,"RORDETAIL"}</definedName>
    <definedName name="dggfgdgdg" localSheetId="29" hidden="1">{#N/A,#N/A,FALSE,"RORMEMO";#N/A,#N/A,FALSE,"RORSUMMARY";#N/A,#N/A,FALSE,"RORDETAIL"}</definedName>
    <definedName name="dggfgdgdg" localSheetId="47" hidden="1">{#N/A,#N/A,FALSE,"RORMEMO";#N/A,#N/A,FALSE,"RORSUMMARY";#N/A,#N/A,FALSE,"RORDETAIL"}</definedName>
    <definedName name="dggfgdgdg" hidden="1">{#N/A,#N/A,FALSE,"RORMEMO";#N/A,#N/A,FALSE,"RORSUMMARY";#N/A,#N/A,FALSE,"RORDETAIL"}</definedName>
    <definedName name="Discount" hidden="1">'[7]Chart Data'!$O$30:$O$226</definedName>
    <definedName name="discount2" hidden="1">'[7]Chart Data'!$C$30:$C$233</definedName>
    <definedName name="discsens3">'[66]Liabilities-roll &amp; load-North'!$D$34</definedName>
    <definedName name="distr" localSheetId="1" hidden="1">{"wp_h4.2",#N/A,FALSE,"WP_H4.2";"wp_h4.3",#N/A,FALSE,"WP_H4.3"}</definedName>
    <definedName name="distr" localSheetId="32" hidden="1">{"wp_h4.2",#N/A,FALSE,"WP_H4.2";"wp_h4.3",#N/A,FALSE,"WP_H4.3"}</definedName>
    <definedName name="distr" localSheetId="6" hidden="1">{"wp_h4.2",#N/A,FALSE,"WP_H4.2";"wp_h4.3",#N/A,FALSE,"WP_H4.3"}</definedName>
    <definedName name="distr" localSheetId="4" hidden="1">{"wp_h4.2",#N/A,FALSE,"WP_H4.2";"wp_h4.3",#N/A,FALSE,"WP_H4.3"}</definedName>
    <definedName name="distr" localSheetId="5" hidden="1">{"wp_h4.2",#N/A,FALSE,"WP_H4.2";"wp_h4.3",#N/A,FALSE,"WP_H4.3"}</definedName>
    <definedName name="distr" localSheetId="7" hidden="1">{"wp_h4.2",#N/A,FALSE,"WP_H4.2";"wp_h4.3",#N/A,FALSE,"WP_H4.3"}</definedName>
    <definedName name="distr" localSheetId="3" hidden="1">{"wp_h4.2",#N/A,FALSE,"WP_H4.2";"wp_h4.3",#N/A,FALSE,"WP_H4.3"}</definedName>
    <definedName name="distr" localSheetId="47" hidden="1">{"wp_h4.2",#N/A,FALSE,"WP_H4.2";"wp_h4.3",#N/A,FALSE,"WP_H4.3"}</definedName>
    <definedName name="distr" hidden="1">{"wp_h4.2",#N/A,FALSE,"WP_H4.2";"wp_h4.3",#N/A,FALSE,"WP_H4.3"}</definedName>
    <definedName name="DIV" localSheetId="6">#REF!</definedName>
    <definedName name="DIV" localSheetId="3">#REF!</definedName>
    <definedName name="DIV">#REF!</definedName>
    <definedName name="DIV_BV_WP">'[58]DIV-BV (WP)'!$B$4:$Q$86</definedName>
    <definedName name="DIV_EARN_WP">'[58]DIV-Earnings (WP)'!$B$4:$Q$89</definedName>
    <definedName name="DIV_MP_WP">'[58]DIV-MP (WP)'!$B$4:$Q$89</definedName>
    <definedName name="div1a" localSheetId="6">#REF!</definedName>
    <definedName name="div1a" localSheetId="3">#REF!</definedName>
    <definedName name="div1a">#REF!</definedName>
    <definedName name="div2a" localSheetId="3">#REF!</definedName>
    <definedName name="div2a">#REF!</definedName>
    <definedName name="Dividends">[58]DIV!$B$3:$M$86</definedName>
    <definedName name="DJInd" localSheetId="6">#REF!</definedName>
    <definedName name="DJInd" localSheetId="3">#REF!</definedName>
    <definedName name="DJInd">#REF!</definedName>
    <definedName name="DJUtil" localSheetId="3">#REF!</definedName>
    <definedName name="DJUtil">#REF!</definedName>
    <definedName name="dle" localSheetId="5" hidden="1">#REF!</definedName>
    <definedName name="dle" localSheetId="3" hidden="1">#REF!</definedName>
    <definedName name="dle" localSheetId="29" hidden="1">#REF!</definedName>
    <definedName name="dle" hidden="1">#REF!</definedName>
    <definedName name="DocketNo">[67]Inputs!$K$3</definedName>
    <definedName name="dp" localSheetId="1" hidden="1">#REF!</definedName>
    <definedName name="dp" localSheetId="5" hidden="1">#REF!</definedName>
    <definedName name="dp" localSheetId="3" hidden="1">#REF!</definedName>
    <definedName name="dp" localSheetId="29" hidden="1">#REF!</definedName>
    <definedName name="dp" hidden="1">#REF!</definedName>
    <definedName name="DPREPORT" localSheetId="6">'[68]DEPRSch-Using1983StaffRpt'!#REF!</definedName>
    <definedName name="DPREPORT" localSheetId="3">'[68]DEPRSch-Using1983StaffRpt'!#REF!</definedName>
    <definedName name="DPREPORT">'[68]DEPRSch-Using1983StaffRpt'!#REF!</definedName>
    <definedName name="DPREPORT1" localSheetId="6">#REF!</definedName>
    <definedName name="DPREPORT1" localSheetId="3">#REF!</definedName>
    <definedName name="DPREPORT1">#REF!</definedName>
    <definedName name="DRI_Mnemonics" localSheetId="3">#REF!</definedName>
    <definedName name="DRI_Mnemonics">#REF!</definedName>
    <definedName name="dsac" localSheetId="1" hidden="1">#REF!</definedName>
    <definedName name="dsac" localSheetId="5" hidden="1">#REF!</definedName>
    <definedName name="dsac" localSheetId="3" hidden="1">#REF!</definedName>
    <definedName name="dsac" localSheetId="29" hidden="1">#REF!</definedName>
    <definedName name="dsac" hidden="1">#REF!</definedName>
    <definedName name="dsfsd">'[69]Credit Ratings-DO Not'!$E$5:$F$23</definedName>
    <definedName name="dslakfjk" localSheetId="1" hidden="1">#REF!</definedName>
    <definedName name="dslakfjk" localSheetId="5" hidden="1">#REF!</definedName>
    <definedName name="dslakfjk" localSheetId="3" hidden="1">#REF!</definedName>
    <definedName name="dslakfjk" localSheetId="29" hidden="1">#REF!</definedName>
    <definedName name="dslakfjk" hidden="1">#REF!</definedName>
    <definedName name="dsld" localSheetId="5" hidden="1">#REF!</definedName>
    <definedName name="dsld" localSheetId="3" hidden="1">#REF!</definedName>
    <definedName name="dsld" localSheetId="29" hidden="1">#REF!</definedName>
    <definedName name="dsld" hidden="1">#REF!</definedName>
    <definedName name="DTTable" localSheetId="3">#REF!</definedName>
    <definedName name="DTTable">#REF!</definedName>
    <definedName name="dud" localSheetId="1" hidden="1">{#N/A,#N/A,TRUE,"1990";#N/A,#N/A,TRUE,"1991";#N/A,#N/A,TRUE,"1992";#N/A,#N/A,TRUE,"1993"}</definedName>
    <definedName name="dud" localSheetId="32" hidden="1">{#N/A,#N/A,TRUE,"1990";#N/A,#N/A,TRUE,"1991";#N/A,#N/A,TRUE,"1992";#N/A,#N/A,TRUE,"1993"}</definedName>
    <definedName name="dud" localSheetId="6" hidden="1">{#N/A,#N/A,TRUE,"1990";#N/A,#N/A,TRUE,"1991";#N/A,#N/A,TRUE,"1992";#N/A,#N/A,TRUE,"1993"}</definedName>
    <definedName name="dud" localSheetId="4" hidden="1">{#N/A,#N/A,TRUE,"1990";#N/A,#N/A,TRUE,"1991";#N/A,#N/A,TRUE,"1992";#N/A,#N/A,TRUE,"1993"}</definedName>
    <definedName name="dud" localSheetId="5" hidden="1">{#N/A,#N/A,TRUE,"1990";#N/A,#N/A,TRUE,"1991";#N/A,#N/A,TRUE,"1992";#N/A,#N/A,TRUE,"1993"}</definedName>
    <definedName name="dud" localSheetId="7" hidden="1">{#N/A,#N/A,TRUE,"1990";#N/A,#N/A,TRUE,"1991";#N/A,#N/A,TRUE,"1992";#N/A,#N/A,TRUE,"1993"}</definedName>
    <definedName name="dud" localSheetId="3" hidden="1">{#N/A,#N/A,TRUE,"1990";#N/A,#N/A,TRUE,"1991";#N/A,#N/A,TRUE,"1992";#N/A,#N/A,TRUE,"1993"}</definedName>
    <definedName name="dud" localSheetId="47" hidden="1">{#N/A,#N/A,TRUE,"1990";#N/A,#N/A,TRUE,"1991";#N/A,#N/A,TRUE,"1992";#N/A,#N/A,TRUE,"1993"}</definedName>
    <definedName name="dud" hidden="1">{#N/A,#N/A,TRUE,"1990";#N/A,#N/A,TRUE,"1991";#N/A,#N/A,TRUE,"1992";#N/A,#N/A,TRUE,"1993"}</definedName>
    <definedName name="Durango">'[19]Alloc factors'!#REF!</definedName>
    <definedName name="e"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2"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6"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4"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5"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9"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47" hidden="1">{"PR=O&amp;M per Customer",#N/A,FALSE,"Prod-Ratios";"PR=Customer per Equivalent Employee",#N/A,FALSE,"Prod-Ratios";"PR=Operating Ratio(OI to Revenue)",#N/A,FALSE,"Prod-Ratios";"PR=Return on Net Utility Plant",#N/A,FALSE,"Prod-Ratios";"PR=Revenue per Equivalent Employee",#N/A,FALSE,"Prod-Ratios"}</definedName>
    <definedName name="e" hidden="1">{"PR=O&amp;M per Customer",#N/A,FALSE,"Prod-Ratios";"PR=Customer per Equivalent Employee",#N/A,FALSE,"Prod-Ratios";"PR=Operating Ratio(OI to Revenue)",#N/A,FALSE,"Prod-Ratios";"PR=Return on Net Utility Plant",#N/A,FALSE,"Prod-Ratios";"PR=Revenue per Equivalent Employee",#N/A,FALSE,"Prod-Ratios"}</definedName>
    <definedName name="E_PRIME_ACCUM_TAX_RES_REPORT" localSheetId="3">#REF!</definedName>
    <definedName name="E_PRIME_ACCUM_TAX_RES_REPORT">#REF!</definedName>
    <definedName name="E_PRIME_TAX_CLASS" localSheetId="3">#REF!</definedName>
    <definedName name="E_PRIME_TAX_CLASS">#REF!</definedName>
    <definedName name="Earnings">[58]EPS!$B$3:$M$86</definedName>
    <definedName name="ebere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cao" localSheetId="1" hidden="1">#REF!</definedName>
    <definedName name="ecao" localSheetId="5" hidden="1">#REF!</definedName>
    <definedName name="ecao" localSheetId="3" hidden="1">#REF!</definedName>
    <definedName name="ecao" localSheetId="29" hidden="1">#REF!</definedName>
    <definedName name="ecao" hidden="1">#REF!</definedName>
    <definedName name="ecapmlt1">'[41]Input Sheet'!$B$27</definedName>
    <definedName name="ecapmlt2">'[41]Input Sheet'!$B$28</definedName>
    <definedName name="ecsaop" localSheetId="1" hidden="1">#REF!</definedName>
    <definedName name="ecsaop" localSheetId="5" hidden="1">#REF!</definedName>
    <definedName name="ecsaop" localSheetId="3" hidden="1">#REF!</definedName>
    <definedName name="ecsaop" localSheetId="29" hidden="1">#REF!</definedName>
    <definedName name="ecsaop" hidden="1">#REF!</definedName>
    <definedName name="EDALL">[70]YTD!$F$121:$F$148,[70]YTD!$F$150:$F$208,[70]YTD!$F$212:$F$213,[70]YTD!$F$216:$F$217</definedName>
    <definedName name="edd"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f" localSheetId="1" hidden="1">{#N/A,"Anonymous",FALSE,"30 30k Table";#N/A,#N/A,FALSE,"30 50k Table";#N/A,#N/A,FALSE,"40 100k Table"}</definedName>
    <definedName name="edf" localSheetId="32" hidden="1">{#N/A,"Anonymous",FALSE,"30 30k Table";#N/A,#N/A,FALSE,"30 50k Table";#N/A,#N/A,FALSE,"40 100k Table"}</definedName>
    <definedName name="edf" localSheetId="6" hidden="1">{#N/A,"Anonymous",FALSE,"30 30k Table";#N/A,#N/A,FALSE,"30 50k Table";#N/A,#N/A,FALSE,"40 100k Table"}</definedName>
    <definedName name="edf" localSheetId="4" hidden="1">{#N/A,"Anonymous",FALSE,"30 30k Table";#N/A,#N/A,FALSE,"30 50k Table";#N/A,#N/A,FALSE,"40 100k Table"}</definedName>
    <definedName name="edf" localSheetId="5" hidden="1">{#N/A,"Anonymous",FALSE,"30 30k Table";#N/A,#N/A,FALSE,"30 50k Table";#N/A,#N/A,FALSE,"40 100k Table"}</definedName>
    <definedName name="edf" localSheetId="7" hidden="1">{#N/A,"Anonymous",FALSE,"30 30k Table";#N/A,#N/A,FALSE,"30 50k Table";#N/A,#N/A,FALSE,"40 100k Table"}</definedName>
    <definedName name="edf" localSheetId="3" hidden="1">{#N/A,"Anonymous",FALSE,"30 30k Table";#N/A,#N/A,FALSE,"30 50k Table";#N/A,#N/A,FALSE,"40 100k Table"}</definedName>
    <definedName name="edf" localSheetId="29" hidden="1">{#N/A,"Anonymous",FALSE,"30 30k Table";#N/A,#N/A,FALSE,"30 50k Table";#N/A,#N/A,FALSE,"40 100k Table"}</definedName>
    <definedName name="edf" localSheetId="47" hidden="1">{#N/A,"Anonymous",FALSE,"30 30k Table";#N/A,#N/A,FALSE,"30 50k Table";#N/A,#N/A,FALSE,"40 100k Table"}</definedName>
    <definedName name="edf" hidden="1">{#N/A,"Anonymous",FALSE,"30 30k Table";#N/A,#N/A,FALSE,"30 50k Table";#N/A,#N/A,FALSE,"40 100k Table"}</definedName>
    <definedName name="EEE" localSheetId="6">#REF!</definedName>
    <definedName name="EEE" localSheetId="3">#REF!</definedName>
    <definedName name="EEE">#REF!</definedName>
    <definedName name="EEEE"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gfdbbdgre"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GEXMPCA.XLS">[71]Input_Data!#REF!</definedName>
    <definedName name="elec_comp_book_depr_rate" localSheetId="3">#REF!</definedName>
    <definedName name="elec_comp_book_depr_rate">#REF!</definedName>
    <definedName name="elec_comp_book_depr_rate_2000" localSheetId="3">#REF!</definedName>
    <definedName name="elec_comp_book_depr_rate_2000">#REF!</definedName>
    <definedName name="ELEC_MTR_STATS" localSheetId="3">#REF!</definedName>
    <definedName name="ELEC_MTR_STATS">#REF!</definedName>
    <definedName name="Elec10A">[70]YTD!$P$15:$P$93,[70]YTD!$P$98:$P$98,[70]YTD!$P$105:$P$106,[70]YTD!$P$109</definedName>
    <definedName name="Elec10DA">[70]YTD!$P$122:$P$207,[70]YTD!$P$213,[70]YTD!$P$217</definedName>
    <definedName name="Elec11DA">[70]YTD!$Q$122:$Q$207,[70]YTD!$Q$213,[70]YTD!$Q$217</definedName>
    <definedName name="Elec12DA">[70]YTD!$H$122:$H$207,[70]YTD!$H$213,[70]YTD!$H$217,[70]YTD!$H$212</definedName>
    <definedName name="Elec1a">[70]YTD!$G$15:$G$93,[70]YTD!$G$98:$G$98,[70]YTD!$G$105:$G$106,[70]YTD!$G$109</definedName>
    <definedName name="Elec1DA">[70]YTD!$G$122:$G$207,[70]YTD!$G$213,[70]YTD!$G$217</definedName>
    <definedName name="Elec2a">[70]YTD!$H$15:$H$93,[70]YTD!$H$98:$H$98,[70]YTD!$H$105:$H$106,[70]YTD!$H$109</definedName>
    <definedName name="Elec2DA">[70]YTD!$H$122:$H$207,[70]YTD!$H$213,[70]YTD!$H$217</definedName>
    <definedName name="Elec3A">[70]YTD!$I$15:$I$93,[70]YTD!$I$98:$I$98,[70]YTD!$I$105:$I$106,[70]YTD!$I$109</definedName>
    <definedName name="Elec3DA">[70]YTD!$I$122:$I$207,[70]YTD!$I$213,[70]YTD!$I$217</definedName>
    <definedName name="Elec4DA">[70]YTD!$J$122:$J$207,[70]YTD!$J$213,[70]YTD!$J$217</definedName>
    <definedName name="Elec5A">[70]YTD!$K$109,[70]YTD!$K$105:$K$106,[70]YTD!$K$98:$K$98,[70]YTD!$K$15:$K$93</definedName>
    <definedName name="Elec5DA">[70]YTD!$K$122:$K$207,[70]YTD!$K$213,[70]YTD!$K$217</definedName>
    <definedName name="Elec6A">[70]YTD!$L$15:$L$93,[70]YTD!$L$98:$L$98,[70]YTD!$L$105:$L$106,[70]YTD!$L$109</definedName>
    <definedName name="Elec6DA">[70]YTD!$L$217,[70]YTD!$L$213,[70]YTD!$L$122:$L$207</definedName>
    <definedName name="Elec7A">[70]YTD!$M$15:$M$93,[70]YTD!$M$98:$M$98,[70]YTD!$M$105:$M$106,[70]YTD!$M$109</definedName>
    <definedName name="Elec7DA">[70]YTD!$M$122:$M$207,[70]YTD!$M$213,[70]YTD!$M$217</definedName>
    <definedName name="Elec8A">[70]YTD!$N$15:$N$93,[70]YTD!$N$98:$N$98,[70]YTD!$N$105:$N$106,[70]YTD!$N$109</definedName>
    <definedName name="Elec8DA">[70]YTD!$N$122:$N$207,[70]YTD!$N$213,[70]YTD!$N$217</definedName>
    <definedName name="Elec9A">[70]YTD!$O$15:$O$93,[70]YTD!$O$98:$O$98,[70]YTD!$O$105:$O$106,[70]YTD!$O$109</definedName>
    <definedName name="Elec9DA">[70]YTD!$O$122:$O$207,[70]YTD!$O$213,[70]YTD!$O$217</definedName>
    <definedName name="ElecAprilA">[63]YTD!$J$15:$J$29,[63]YTD!$J$31:$J$40,[63]YTD!$J$51:$J$52,[63]YTD!$J$56</definedName>
    <definedName name="ElecAprilDA">[63]YTD!$J$70:$J$87,[63]YTD!$J$89:$J$101,[63]YTD!$J$105:$J$106,[63]YTD!$J$110</definedName>
    <definedName name="ElecAugA">[63]YTD!$N$56,[63]YTD!$N$51:$N$52,[63]YTD!$N$31:$N$40,[63]YTD!$N$15:$N$29</definedName>
    <definedName name="ElecAugDA">[63]YTD!$N$70:$N$87,[63]YTD!$N$89:$N$101,[63]YTD!$N$105:$N$106,[63]YTD!$N$110</definedName>
    <definedName name="ElecDecA">[63]YTD!$R$56,[63]YTD!$R$51:$R$52,[63]YTD!$R$31:$R$40,[63]YTD!$R$15:$R$29</definedName>
    <definedName name="ElecDecDA">[63]YTD!$R$70:$R$87,[63]YTD!$R$89:$R$101,[63]YTD!$R$105:$R$106,[63]YTD!$R$110</definedName>
    <definedName name="ElecFebA">[63]YTD!$H$15:$H$29,[63]YTD!$H$31:$H$40,[63]YTD!$H$51:$H$52,[63]YTD!$H$56</definedName>
    <definedName name="ElecFebDA">[63]YTD!$H$70:$H$87,[63]YTD!$H$89:$H$101,[63]YTD!$H$105:$H$106,[63]YTD!$H$110</definedName>
    <definedName name="ElecJanA">[70]YTD!$G$15:$G$36,[70]YTD!$G$38:$G$93,[70]YTD!$G$98:$G$98,[70]YTD!$G$105:$G$106,[70]YTD!$G$109</definedName>
    <definedName name="ElecJanDA">[63]YTD!$G$70:$G$87,[63]YTD!$G$89:$G$101,[63]YTD!$G$105:$G$106,[63]YTD!$G$110</definedName>
    <definedName name="ElecJulyA">[63]YTD!$M$15:$M$29,[63]YTD!$M$31:$M$40,[63]YTD!$M$51:$M$52,[63]YTD!$M$56</definedName>
    <definedName name="ElecJulyDA">[63]YTD!$M$70:$M$87,[63]YTD!$M$89:$M$101,[63]YTD!$M$105:$M$106,[63]YTD!$M$110</definedName>
    <definedName name="ElecJuneA">[63]YTD!$L$56,[63]YTD!$L$51:$L$52,[63]YTD!$L$31:$L$40,[63]YTD!$L$15:$L$29</definedName>
    <definedName name="elecJuneDA">[63]YTD!$L$70:$L$87,[63]YTD!$L$89:$L$101,[63]YTD!$L$105:$L$106,[63]YTD!$L$110</definedName>
    <definedName name="ElecMarchA">[63]YTD!$I$15:$I$29,[63]YTD!$I$31:$I$40,[63]YTD!$I$51:$I$52,[63]YTD!$I$56</definedName>
    <definedName name="ElecMarchDA">[63]YTD!$I$70:$I$87,[63]YTD!$I$89:$I$101,[63]YTD!$I$105:$I$106,[63]YTD!$I$110</definedName>
    <definedName name="ElecMayA">[63]YTD!$K$15:$K$29,[63]YTD!$K$31:$K$40,[63]YTD!$K$51:$K$52,[63]YTD!$K$56</definedName>
    <definedName name="ElecMayDA">[63]YTD!$K$70:$K$87,[63]YTD!$K$89:$K$101,[63]YTD!$K$105:$K$106,[63]YTD!$K$110</definedName>
    <definedName name="ElecNovA">[63]YTD!$P$15:$P$29,[63]YTD!$P$31:$P$40,[63]YTD!$P$51:$P$52,[63]YTD!$P$56</definedName>
    <definedName name="ElecNovDA">[63]YTD!$P$70:$P$87,[63]YTD!$P$89:$P$101,[63]YTD!$P$105:$P$106,[63]YTD!$P$110</definedName>
    <definedName name="ElecOctA">[63]YTD!$O$56,[63]YTD!$O$51:$O$52,[63]YTD!$O$31:$O$40,[63]YTD!$O$15:$O$29</definedName>
    <definedName name="ElecOctDA">[63]YTD!$O$70:$O$87,[63]YTD!$O$89:$O$101,[63]YTD!$O$105:$O$106,[63]YTD!$O$110</definedName>
    <definedName name="ELECSEPT">[63]YTD!#REF!</definedName>
    <definedName name="ElecSeptA" localSheetId="3">[63]YTD!#REF!,[63]YTD!#REF!,[63]YTD!#REF!,[63]YTD!#REF!</definedName>
    <definedName name="ElecSeptA">[63]YTD!#REF!,[63]YTD!#REF!,[63]YTD!#REF!,[63]YTD!#REF!</definedName>
    <definedName name="ElecSeptD" localSheetId="3">[63]YTD!#REF!</definedName>
    <definedName name="ElecSeptD">[63]YTD!#REF!</definedName>
    <definedName name="ElecSeptDA" localSheetId="3">[63]YTD!#REF!,[63]YTD!#REF!,[63]YTD!#REF!,[63]YTD!#REF!</definedName>
    <definedName name="ElecSeptDA">[63]YTD!#REF!,[63]YTD!#REF!,[63]YTD!#REF!,[63]YTD!#REF!</definedName>
    <definedName name="Electric___Pre__81" localSheetId="3">'[72]Non-Statutory Deferred Taxes'!#REF!</definedName>
    <definedName name="Electric___Pre__81">'[72]Non-Statutory Deferred Taxes'!#REF!</definedName>
    <definedName name="emk" localSheetId="3">#REF!</definedName>
    <definedName name="emk">#REF!</definedName>
    <definedName name="End_Bal" localSheetId="6">#REF!</definedName>
    <definedName name="End_Bal" localSheetId="3">#REF!</definedName>
    <definedName name="End_Bal">#REF!</definedName>
    <definedName name="End_Row" localSheetId="32">IF('10.1 CAPEX to Net Plant'!Values_Entered,Header_Row+'10.1 CAPEX to Net Plant'!Number_of_Payments,Header_Row)</definedName>
    <definedName name="End_Row" localSheetId="6">IF('11.3-4 WP'!Values_Entered,Header_Row+'11.3-4 WP'!Number_of_Payments,Header_Row)</definedName>
    <definedName name="End_Row" localSheetId="3">IF('2.4 OpCo Proxy Cap Str'!Values_Entered,Header_Row+'2.4 OpCo Proxy Cap Str'!Number_of_Payments,Header_Row)</definedName>
    <definedName name="End_Row">IF(Values_Entered,Header_Row+Number_of_Payments,Header_Row)</definedName>
    <definedName name="ENERGY1" localSheetId="32">[4]FEDERAL!#REF!</definedName>
    <definedName name="ENERGY1">[4]FEDERAL!#REF!</definedName>
    <definedName name="ENERGY3" localSheetId="3">[4]FEDERAL!#REF!</definedName>
    <definedName name="ENERGY3">[4]FEDERAL!#REF!</definedName>
    <definedName name="ENERGY5" localSheetId="3">[4]FEDERAL!#REF!</definedName>
    <definedName name="ENERGY5">[4]FEDERAL!#REF!</definedName>
    <definedName name="ENERGY6" localSheetId="3">[4]FEDERAL!#REF!</definedName>
    <definedName name="ENERGY6">[4]FEDERAL!#REF!</definedName>
    <definedName name="EntityComboCacheDate" hidden="1">39099</definedName>
    <definedName name="EntityComboCacheTestDate" hidden="1">39099</definedName>
    <definedName name="epsrec" localSheetId="6">#REF!</definedName>
    <definedName name="epsrec" localSheetId="3">#REF!</definedName>
    <definedName name="epsrec">#REF!</definedName>
    <definedName name="eq" localSheetId="1" hidden="1">#REF!</definedName>
    <definedName name="eq" localSheetId="5" hidden="1">#REF!</definedName>
    <definedName name="eq" localSheetId="3" hidden="1">#REF!</definedName>
    <definedName name="eq" localSheetId="29" hidden="1">#REF!</definedName>
    <definedName name="eq" hidden="1">#REF!</definedName>
    <definedName name="er" localSheetId="32" hidden="1">{TRUE,TRUE,-1.25,-15.5,484.5,279.75,FALSE,FALSE,TRUE,TRUE,0,3,#N/A,1,#N/A,6.54545454545454,15.55,1,FALSE,FALSE,3,TRUE,1,FALSE,100,"Swvu.WP1.","ACwvu.WP1.",1,FALSE,FALSE,0.25,0.25,0.25,0.25,1,"","&amp;L&amp;D &amp;T NBW&amp;C&amp;P&amp;R&amp;F",FALSE,FALSE,FALSE,FALSE,1,100,#N/A,#N/A,FALSE,FALSE,#N/A,#N/A,FALSE,FALSE}</definedName>
    <definedName name="er" localSheetId="6" hidden="1">{TRUE,TRUE,-1.25,-15.5,484.5,279.75,FALSE,FALSE,TRUE,TRUE,0,3,#N/A,1,#N/A,6.54545454545454,15.55,1,FALSE,FALSE,3,TRUE,1,FALSE,100,"Swvu.WP1.","ACwvu.WP1.",1,FALSE,FALSE,0.25,0.25,0.25,0.25,1,"","&amp;L&amp;D &amp;T NBW&amp;C&amp;P&amp;R&amp;F",FALSE,FALSE,FALSE,FALSE,1,100,#N/A,#N/A,FALSE,FALSE,#N/A,#N/A,FALSE,FALSE}</definedName>
    <definedName name="er" localSheetId="7" hidden="1">{TRUE,TRUE,-1.25,-15.5,484.5,279.75,FALSE,FALSE,TRUE,TRUE,0,3,#N/A,1,#N/A,6.54545454545454,15.55,1,FALSE,FALSE,3,TRUE,1,FALSE,100,"Swvu.WP1.","ACwvu.WP1.",1,FALSE,FALSE,0.25,0.25,0.25,0.25,1,"","&amp;L&amp;D &amp;T NBW&amp;C&amp;P&amp;R&amp;F",FALSE,FALSE,FALSE,FALSE,1,100,#N/A,#N/A,FALSE,FALSE,#N/A,#N/A,FALSE,FALSE}</definedName>
    <definedName name="er" localSheetId="3" hidden="1">{TRUE,TRUE,-1.25,-15.5,484.5,279.75,FALSE,FALSE,TRUE,TRUE,0,3,#N/A,1,#N/A,6.54545454545454,15.55,1,FALSE,FALSE,3,TRUE,1,FALSE,100,"Swvu.WP1.","ACwvu.WP1.",1,FALSE,FALSE,0.25,0.25,0.25,0.25,1,"","&amp;L&amp;D &amp;T NBW&amp;C&amp;P&amp;R&amp;F",FALSE,FALSE,FALSE,FALSE,1,100,#N/A,#N/A,FALSE,FALSE,#N/A,#N/A,FALSE,FALSE}</definedName>
    <definedName name="er" localSheetId="29" hidden="1">{TRUE,TRUE,-1.25,-15.5,484.5,279.75,FALSE,FALSE,TRUE,TRUE,0,3,#N/A,1,#N/A,6.54545454545454,15.55,1,FALSE,FALSE,3,TRUE,1,FALSE,100,"Swvu.WP1.","ACwvu.WP1.",1,FALSE,FALSE,0.25,0.25,0.25,0.25,1,"","&amp;L&amp;D &amp;T NBW&amp;C&amp;P&amp;R&amp;F",FALSE,FALSE,FALSE,FALSE,1,100,#N/A,#N/A,FALSE,FALSE,#N/A,#N/A,FALSE,FALSE}</definedName>
    <definedName name="er" localSheetId="47" hidden="1">{TRUE,TRUE,-1.25,-15.5,484.5,279.75,FALSE,FALSE,TRUE,TRUE,0,3,#N/A,1,#N/A,6.54545454545454,15.55,1,FALSE,FALSE,3,TRUE,1,FALSE,100,"Swvu.WP1.","ACwvu.WP1.",1,FALSE,FALSE,0.25,0.25,0.25,0.25,1,"","&amp;L&amp;D &amp;T NBW&amp;C&amp;P&amp;R&amp;F",FALSE,FALSE,FALSE,FALSE,1,100,#N/A,#N/A,FALSE,FALSE,#N/A,#N/A,FALSE,FALSE}</definedName>
    <definedName name="er" hidden="1">{TRUE,TRUE,-1.25,-15.5,484.5,279.75,FALSE,FALSE,TRUE,TRUE,0,3,#N/A,1,#N/A,6.54545454545454,15.55,1,FALSE,FALSE,3,TRUE,1,FALSE,100,"Swvu.WP1.","ACwvu.WP1.",1,FALSE,FALSE,0.25,0.25,0.25,0.25,1,"","&amp;L&amp;D &amp;T NBW&amp;C&amp;P&amp;R&amp;F",FALSE,FALSE,FALSE,FALSE,1,100,#N/A,#N/A,FALSE,FALSE,#N/A,#N/A,FALSE,FALSE}</definedName>
    <definedName name="ergfdgeg" localSheetId="1" hidden="1">{"print2",#N/A,FALSE,"D21CUSTS"}</definedName>
    <definedName name="ergfdgeg" localSheetId="32" hidden="1">{"print2",#N/A,FALSE,"D21CUSTS"}</definedName>
    <definedName name="ergfdgeg" localSheetId="6" hidden="1">{"print2",#N/A,FALSE,"D21CUSTS"}</definedName>
    <definedName name="ergfdgeg" localSheetId="4" hidden="1">{"print2",#N/A,FALSE,"D21CUSTS"}</definedName>
    <definedName name="ergfdgeg" localSheetId="5" hidden="1">{"print2",#N/A,FALSE,"D21CUSTS"}</definedName>
    <definedName name="ergfdgeg" localSheetId="7" hidden="1">{"print2",#N/A,FALSE,"D21CUSTS"}</definedName>
    <definedName name="ergfdgeg" localSheetId="3" hidden="1">{"print2",#N/A,FALSE,"D21CUSTS"}</definedName>
    <definedName name="ergfdgeg" localSheetId="29" hidden="1">{"print2",#N/A,FALSE,"D21CUSTS"}</definedName>
    <definedName name="ergfdgeg" localSheetId="47" hidden="1">{"print2",#N/A,FALSE,"D21CUSTS"}</definedName>
    <definedName name="ergfdgeg" hidden="1">{"print2",#N/A,FALSE,"D21CUSTS"}</definedName>
    <definedName name="ert" localSheetId="1" hidden="1">#REF!</definedName>
    <definedName name="ert" localSheetId="5" hidden="1">#REF!</definedName>
    <definedName name="ert" localSheetId="3" hidden="1">#REF!</definedName>
    <definedName name="ert" localSheetId="29" hidden="1">#REF!</definedName>
    <definedName name="ert" hidden="1">#REF!</definedName>
    <definedName name="ertertertet" localSheetId="1" hidden="1">{#N/A,#N/A,FALSE,"GLDwnLoad"}</definedName>
    <definedName name="ertertertet" localSheetId="32" hidden="1">{#N/A,#N/A,FALSE,"GLDwnLoad"}</definedName>
    <definedName name="ertertertet" localSheetId="6" hidden="1">{#N/A,#N/A,FALSE,"GLDwnLoad"}</definedName>
    <definedName name="ertertertet" localSheetId="4" hidden="1">{#N/A,#N/A,FALSE,"GLDwnLoad"}</definedName>
    <definedName name="ertertertet" localSheetId="5" hidden="1">{#N/A,#N/A,FALSE,"GLDwnLoad"}</definedName>
    <definedName name="ertertertet" localSheetId="7" hidden="1">{#N/A,#N/A,FALSE,"GLDwnLoad"}</definedName>
    <definedName name="ertertertet" localSheetId="3" hidden="1">{#N/A,#N/A,FALSE,"GLDwnLoad"}</definedName>
    <definedName name="ertertertet" localSheetId="29" hidden="1">{#N/A,#N/A,FALSE,"GLDwnLoad"}</definedName>
    <definedName name="ertertertet" localSheetId="47" hidden="1">{#N/A,#N/A,FALSE,"GLDwnLoad"}</definedName>
    <definedName name="ertertertet" hidden="1">{#N/A,#N/A,FALSE,"GLDwnLoad"}</definedName>
    <definedName name="ertyu" localSheetId="1" hidden="1">#REF!</definedName>
    <definedName name="ertyu" localSheetId="5" hidden="1">#REF!</definedName>
    <definedName name="ertyu" localSheetId="3" hidden="1">#REF!</definedName>
    <definedName name="ertyu" localSheetId="29" hidden="1">#REF!</definedName>
    <definedName name="ertyu" hidden="1">#REF!</definedName>
    <definedName name="esdateno.21" localSheetId="3">#REF!</definedName>
    <definedName name="esdateno.21">#REF!</definedName>
    <definedName name="EST_95_CHY_REPORT" localSheetId="3">#REF!</definedName>
    <definedName name="EST_95_CHY_REPORT">#REF!</definedName>
    <definedName name="EST_95_COLUMNS" localSheetId="3">#REF!</definedName>
    <definedName name="EST_95_COLUMNS">#REF!</definedName>
    <definedName name="EST_95_PSC_DETAIL_ANAL" localSheetId="3">#REF!</definedName>
    <definedName name="EST_95_PSC_DETAIL_ANAL">#REF!</definedName>
    <definedName name="EST_95_PSC_REPORT_PG1" localSheetId="3">#REF!</definedName>
    <definedName name="EST_95_PSC_REPORT_PG1">#REF!</definedName>
    <definedName name="EST_95_PSC_REPORT_PG2" localSheetId="3">#REF!</definedName>
    <definedName name="EST_95_PSC_REPORT_PG2">#REF!</definedName>
    <definedName name="EST_95_PSC_REPORT_PG3" localSheetId="3">#REF!</definedName>
    <definedName name="EST_95_PSC_REPORT_PG3">#REF!</definedName>
    <definedName name="EST_95_ROWS" localSheetId="3">#REF!</definedName>
    <definedName name="EST_95_ROWS">#REF!</definedName>
    <definedName name="EST_95_WEL_REPORT" localSheetId="3">#REF!</definedName>
    <definedName name="EST_95_WEL_REPORT">#REF!</definedName>
    <definedName name="EST_95_WGI_REPORT" localSheetId="3">#REF!</definedName>
    <definedName name="EST_95_WGI_REPORT">#REF!</definedName>
    <definedName name="estte1" localSheetId="3">#REF!</definedName>
    <definedName name="estte1">#REF!</definedName>
    <definedName name="etertretee" localSheetId="1" hidden="1">{#N/A,#N/A,FALSE,"GLDwnLoad"}</definedName>
    <definedName name="etertretee" localSheetId="32" hidden="1">{#N/A,#N/A,FALSE,"GLDwnLoad"}</definedName>
    <definedName name="etertretee" localSheetId="6" hidden="1">{#N/A,#N/A,FALSE,"GLDwnLoad"}</definedName>
    <definedName name="etertretee" localSheetId="4" hidden="1">{#N/A,#N/A,FALSE,"GLDwnLoad"}</definedName>
    <definedName name="etertretee" localSheetId="5" hidden="1">{#N/A,#N/A,FALSE,"GLDwnLoad"}</definedName>
    <definedName name="etertretee" localSheetId="7" hidden="1">{#N/A,#N/A,FALSE,"GLDwnLoad"}</definedName>
    <definedName name="etertretee" localSheetId="3" hidden="1">{#N/A,#N/A,FALSE,"GLDwnLoad"}</definedName>
    <definedName name="etertretee" localSheetId="29" hidden="1">{#N/A,#N/A,FALSE,"GLDwnLoad"}</definedName>
    <definedName name="etertretee" localSheetId="47" hidden="1">{#N/A,#N/A,FALSE,"GLDwnLoad"}</definedName>
    <definedName name="etertretee" hidden="1">{#N/A,#N/A,FALSE,"GLDwnLoad"}</definedName>
    <definedName name="etretete" localSheetId="1" hidden="1">{"print3",#N/A,FALSE,"D21CUSTS"}</definedName>
    <definedName name="etretete" localSheetId="32" hidden="1">{"print3",#N/A,FALSE,"D21CUSTS"}</definedName>
    <definedName name="etretete" localSheetId="6" hidden="1">{"print3",#N/A,FALSE,"D21CUSTS"}</definedName>
    <definedName name="etretete" localSheetId="4" hidden="1">{"print3",#N/A,FALSE,"D21CUSTS"}</definedName>
    <definedName name="etretete" localSheetId="5" hidden="1">{"print3",#N/A,FALSE,"D21CUSTS"}</definedName>
    <definedName name="etretete" localSheetId="7" hidden="1">{"print3",#N/A,FALSE,"D21CUSTS"}</definedName>
    <definedName name="etretete" localSheetId="3" hidden="1">{"print3",#N/A,FALSE,"D21CUSTS"}</definedName>
    <definedName name="etretete" localSheetId="29" hidden="1">{"print3",#N/A,FALSE,"D21CUSTS"}</definedName>
    <definedName name="etretete" localSheetId="47" hidden="1">{"print3",#N/A,FALSE,"D21CUSTS"}</definedName>
    <definedName name="etretete" hidden="1">{"print3",#N/A,FALSE,"D21CUSTS"}</definedName>
    <definedName name="etretrtehdhe"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2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wretrete"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2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orig"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tertet" localSheetId="1" hidden="1">{#N/A,#N/A,FALSE,"OTHERINPUTS";#N/A,#N/A,FALSE,"DITRATEINPUTS";#N/A,#N/A,FALSE,"SUPPLIEDADJINPUT";#N/A,#N/A,FALSE,"TIMINGDIFFINPUTS";#N/A,#N/A,FALSE,"COSSINPUT";#N/A,#N/A,FALSE,"BR&amp;SUPADJ."}</definedName>
    <definedName name="etrtertet" localSheetId="32" hidden="1">{#N/A,#N/A,FALSE,"OTHERINPUTS";#N/A,#N/A,FALSE,"DITRATEINPUTS";#N/A,#N/A,FALSE,"SUPPLIEDADJINPUT";#N/A,#N/A,FALSE,"TIMINGDIFFINPUTS";#N/A,#N/A,FALSE,"COSSINPUT";#N/A,#N/A,FALSE,"BR&amp;SUPADJ."}</definedName>
    <definedName name="etrtertet" localSheetId="6" hidden="1">{#N/A,#N/A,FALSE,"OTHERINPUTS";#N/A,#N/A,FALSE,"DITRATEINPUTS";#N/A,#N/A,FALSE,"SUPPLIEDADJINPUT";#N/A,#N/A,FALSE,"TIMINGDIFFINPUTS";#N/A,#N/A,FALSE,"COSSINPUT";#N/A,#N/A,FALSE,"BR&amp;SUPADJ."}</definedName>
    <definedName name="etrtertet" localSheetId="4" hidden="1">{#N/A,#N/A,FALSE,"OTHERINPUTS";#N/A,#N/A,FALSE,"DITRATEINPUTS";#N/A,#N/A,FALSE,"SUPPLIEDADJINPUT";#N/A,#N/A,FALSE,"TIMINGDIFFINPUTS";#N/A,#N/A,FALSE,"COSSINPUT";#N/A,#N/A,FALSE,"BR&amp;SUPADJ."}</definedName>
    <definedName name="etrtertet" localSheetId="5" hidden="1">{#N/A,#N/A,FALSE,"OTHERINPUTS";#N/A,#N/A,FALSE,"DITRATEINPUTS";#N/A,#N/A,FALSE,"SUPPLIEDADJINPUT";#N/A,#N/A,FALSE,"TIMINGDIFFINPUTS";#N/A,#N/A,FALSE,"COSSINPUT";#N/A,#N/A,FALSE,"BR&amp;SUPADJ."}</definedName>
    <definedName name="etrtertet" localSheetId="7" hidden="1">{#N/A,#N/A,FALSE,"OTHERINPUTS";#N/A,#N/A,FALSE,"DITRATEINPUTS";#N/A,#N/A,FALSE,"SUPPLIEDADJINPUT";#N/A,#N/A,FALSE,"TIMINGDIFFINPUTS";#N/A,#N/A,FALSE,"COSSINPUT";#N/A,#N/A,FALSE,"BR&amp;SUPADJ."}</definedName>
    <definedName name="etrtertet" localSheetId="3" hidden="1">{#N/A,#N/A,FALSE,"OTHERINPUTS";#N/A,#N/A,FALSE,"DITRATEINPUTS";#N/A,#N/A,FALSE,"SUPPLIEDADJINPUT";#N/A,#N/A,FALSE,"TIMINGDIFFINPUTS";#N/A,#N/A,FALSE,"COSSINPUT";#N/A,#N/A,FALSE,"BR&amp;SUPADJ."}</definedName>
    <definedName name="etrtertet" localSheetId="29" hidden="1">{#N/A,#N/A,FALSE,"OTHERINPUTS";#N/A,#N/A,FALSE,"DITRATEINPUTS";#N/A,#N/A,FALSE,"SUPPLIEDADJINPUT";#N/A,#N/A,FALSE,"TIMINGDIFFINPUTS";#N/A,#N/A,FALSE,"COSSINPUT";#N/A,#N/A,FALSE,"BR&amp;SUPADJ."}</definedName>
    <definedName name="etrtertet" localSheetId="47" hidden="1">{#N/A,#N/A,FALSE,"OTHERINPUTS";#N/A,#N/A,FALSE,"DITRATEINPUTS";#N/A,#N/A,FALSE,"SUPPLIEDADJINPUT";#N/A,#N/A,FALSE,"TIMINGDIFFINPUTS";#N/A,#N/A,FALSE,"COSSINPUT";#N/A,#N/A,FALSE,"BR&amp;SUPADJ."}</definedName>
    <definedName name="etrtertet" hidden="1">{#N/A,#N/A,FALSE,"OTHERINPUTS";#N/A,#N/A,FALSE,"DITRATEINPUTS";#N/A,#N/A,FALSE,"SUPPLIEDADJINPUT";#N/A,#N/A,FALSE,"TIMINGDIFFINPUTS";#N/A,#N/A,FALSE,"COSSINPUT";#N/A,#N/A,FALSE,"BR&amp;SUPADJ."}</definedName>
    <definedName name="etrtete" localSheetId="1" hidden="1">{#N/A,#N/A,FALSE,"OTHERINPUTS";#N/A,#N/A,FALSE,"SUPPLIEDADJINPUT";#N/A,#N/A,FALSE,"BR&amp;SUPADJ."}</definedName>
    <definedName name="etrtete" localSheetId="32" hidden="1">{#N/A,#N/A,FALSE,"OTHERINPUTS";#N/A,#N/A,FALSE,"SUPPLIEDADJINPUT";#N/A,#N/A,FALSE,"BR&amp;SUPADJ."}</definedName>
    <definedName name="etrtete" localSheetId="6" hidden="1">{#N/A,#N/A,FALSE,"OTHERINPUTS";#N/A,#N/A,FALSE,"SUPPLIEDADJINPUT";#N/A,#N/A,FALSE,"BR&amp;SUPADJ."}</definedName>
    <definedName name="etrtete" localSheetId="4" hidden="1">{#N/A,#N/A,FALSE,"OTHERINPUTS";#N/A,#N/A,FALSE,"SUPPLIEDADJINPUT";#N/A,#N/A,FALSE,"BR&amp;SUPADJ."}</definedName>
    <definedName name="etrtete" localSheetId="5" hidden="1">{#N/A,#N/A,FALSE,"OTHERINPUTS";#N/A,#N/A,FALSE,"SUPPLIEDADJINPUT";#N/A,#N/A,FALSE,"BR&amp;SUPADJ."}</definedName>
    <definedName name="etrtete" localSheetId="7" hidden="1">{#N/A,#N/A,FALSE,"OTHERINPUTS";#N/A,#N/A,FALSE,"SUPPLIEDADJINPUT";#N/A,#N/A,FALSE,"BR&amp;SUPADJ."}</definedName>
    <definedName name="etrtete" localSheetId="3" hidden="1">{#N/A,#N/A,FALSE,"OTHERINPUTS";#N/A,#N/A,FALSE,"SUPPLIEDADJINPUT";#N/A,#N/A,FALSE,"BR&amp;SUPADJ."}</definedName>
    <definedName name="etrtete" localSheetId="29" hidden="1">{#N/A,#N/A,FALSE,"OTHERINPUTS";#N/A,#N/A,FALSE,"SUPPLIEDADJINPUT";#N/A,#N/A,FALSE,"BR&amp;SUPADJ."}</definedName>
    <definedName name="etrtete" localSheetId="47" hidden="1">{#N/A,#N/A,FALSE,"OTHERINPUTS";#N/A,#N/A,FALSE,"SUPPLIEDADJINPUT";#N/A,#N/A,FALSE,"BR&amp;SUPADJ."}</definedName>
    <definedName name="etrtete" hidden="1">{#N/A,#N/A,FALSE,"OTHERINPUTS";#N/A,#N/A,FALSE,"SUPPLIEDADJINPUT";#N/A,#N/A,FALSE,"BR&amp;SUPADJ."}</definedName>
    <definedName name="ev.Calculation" hidden="1">-4105</definedName>
    <definedName name="ev.Initialized" hidden="1">FALSE</definedName>
    <definedName name="EV__ALLOWSTOPEXPAND__" hidden="1">1</definedName>
    <definedName name="EV__EVCOM_OPTIONS__" hidden="1">8</definedName>
    <definedName name="EV__EXPOPTIONS__" hidden="1">1</definedName>
    <definedName name="EV__LASTREFTIME__" hidden="1">39198.5712152778</definedName>
    <definedName name="EV__LOCKEDCVW__BGE_FP" hidden="1">"INCOMESTATEMENT,ACTUAL,ALL_COMPANIES,NO_ORG,TOTALADJ,2002.TOTAL,PERIODIC,"</definedName>
    <definedName name="EV__LOCKEDCVW__CAPITAL" hidden="1">"ACTUAL,3XXXXX,CAPITAL_EXP_TYPES,MAJOR_CATEGORY,FACTORS,TOTAL_PORTFOLIO,2002.TOTAL,PERIODIC,"</definedName>
    <definedName name="EV__LOCKEDCVW__CPA" hidden="1">"O_M,ALL_ACTIVITIES,ACTUAL,ALL_SPENDERS,ALL_EXPTYPES,ALL_PROCESSES,OM_MAJOR_CATEGORY,2005.TOTAL,PERIODIC,"</definedName>
    <definedName name="EV__LOCKEDCVW__SLR" hidden="1">"2005_ORIGBUDGET,ALL_EXPTYPES,IN_UNIT,ALL_COMPANIES,ALL_EMPLOYEES,ALL_SPENDERS,2006.TOTAL,PERIODIC,"</definedName>
    <definedName name="EV__LOCKEDCVW__STAFF_PLANNING" hidden="1">"ALL_STAT_ACCOUNTS,ACTUAL,BGE_CC,ALL_EXP_RESOURCES,ALL_RESOURCES,2002.TOTAL,PERIODIC,"</definedName>
    <definedName name="EV__LOCKSTATUS__" hidden="1">1</definedName>
    <definedName name="EV__MAXEXPCOLS__" hidden="1">100</definedName>
    <definedName name="EV__MAXEXPROWS__" hidden="1">20000</definedName>
    <definedName name="EV__MEMORYCVW__" hidden="1">0</definedName>
    <definedName name="EV__WBEVMODE__" hidden="1">0</definedName>
    <definedName name="EV__WBREFOPTIONS__" hidden="1">134217799</definedName>
    <definedName name="EV__WBVERSION__" hidden="1">0</definedName>
    <definedName name="ewqwe" localSheetId="1" hidden="1">#REF!</definedName>
    <definedName name="ewqwe" localSheetId="5" hidden="1">#REF!</definedName>
    <definedName name="ewqwe" localSheetId="3" hidden="1">#REF!</definedName>
    <definedName name="ewqwe" localSheetId="29" hidden="1">#REF!</definedName>
    <definedName name="ewqwe" hidden="1">#REF!</definedName>
    <definedName name="exdate" localSheetId="3">#REF!</definedName>
    <definedName name="exdate">#REF!</definedName>
    <definedName name="EXECCOMP" localSheetId="3">#REF!</definedName>
    <definedName name="EXECCOMP">#REF!</definedName>
    <definedName name="EXH1A" localSheetId="3">#REF!</definedName>
    <definedName name="EXH1A">#REF!</definedName>
    <definedName name="exhb_capm_coc" localSheetId="6">[73]Inputs!#REF!</definedName>
    <definedName name="exhb_capm_coc" localSheetId="3">[73]Inputs!#REF!</definedName>
    <definedName name="exhb_capm_coc">[73]Inputs!#REF!</definedName>
    <definedName name="exhb_capm_roe" localSheetId="6">[73]Inputs!#REF!</definedName>
    <definedName name="exhb_capm_roe">[73]Inputs!#REF!</definedName>
    <definedName name="exhb_capstruct">'[41]Input Sheet'!$B$55</definedName>
    <definedName name="exhb_dcf_atwacc">'[41]Input Sheet'!$B$58</definedName>
    <definedName name="exhb_dcf_client_roe">'[41]Input Sheet'!$B$59</definedName>
    <definedName name="exhb_dcf_roe">'[41]Input Sheet'!$B$57</definedName>
    <definedName name="exp.div.a">[74]Calculate!$B$15:$B$180</definedName>
    <definedName name="exp.div.b">[74]Calculate!$F$15:$F$180</definedName>
    <definedName name="ExpDurant">'[37]Customer Bill Details (External'!$O$113</definedName>
    <definedName name="ExpGlenpool">'[37]Customer Bill Details (External'!$O$41</definedName>
    <definedName name="exproe" localSheetId="6">#REF!</definedName>
    <definedName name="exproe" localSheetId="3">#REF!</definedName>
    <definedName name="exproe">#REF!</definedName>
    <definedName name="Extra_Pay" localSheetId="6">#REF!</definedName>
    <definedName name="Extra_Pay" localSheetId="3">#REF!</definedName>
    <definedName name="Extra_Pay">#REF!</definedName>
    <definedName name="f" localSheetId="5" hidden="1">#REF!</definedName>
    <definedName name="f" localSheetId="3" hidden="1">#REF!</definedName>
    <definedName name="f" localSheetId="29" hidden="1">#REF!</definedName>
    <definedName name="f" hidden="1">#REF!</definedName>
    <definedName name="FAC_CALC">#REF!</definedName>
    <definedName name="Factor_Million" localSheetId="3">#REF!</definedName>
    <definedName name="Factor_Million">#REF!</definedName>
    <definedName name="FACTOR1" localSheetId="3">#REF!</definedName>
    <definedName name="FACTOR1">#REF!</definedName>
    <definedName name="FCTCcalcN">"optbox_FCcalcN"</definedName>
    <definedName name="FCTCcalcY">"optbox_FccalcY"</definedName>
    <definedName name="fdafafdfdafdfafds" hidden="1">'[7]Chart Data'!$I$30:$I$228</definedName>
    <definedName name="fdv" localSheetId="1" hidden="1">#REF!</definedName>
    <definedName name="fdv" localSheetId="5" hidden="1">#REF!</definedName>
    <definedName name="fdv" localSheetId="3" hidden="1">#REF!</definedName>
    <definedName name="fdv" localSheetId="29" hidden="1">#REF!</definedName>
    <definedName name="fdv" hidden="1">#REF!</definedName>
    <definedName name="FE_EST_95_DETAIL_ANAL" localSheetId="3">#REF!</definedName>
    <definedName name="FE_EST_95_DETAIL_ANAL">#REF!</definedName>
    <definedName name="FE95_CHY_MEMO" localSheetId="3">#REF!</definedName>
    <definedName name="FE95_CHY_MEMO">#REF!</definedName>
    <definedName name="FE95_COLO_UTE_DEF_TAX" localSheetId="3">#REF!</definedName>
    <definedName name="FE95_COLO_UTE_DEF_TAX">#REF!</definedName>
    <definedName name="FE95_PSC_MEMO" localSheetId="3">#REF!</definedName>
    <definedName name="FE95_PSC_MEMO">#REF!</definedName>
    <definedName name="FE95_WEL_MEMO" localSheetId="3">#REF!</definedName>
    <definedName name="FE95_WEL_MEMO">#REF!</definedName>
    <definedName name="FE95_WGI_MEMO" localSheetId="3">#REF!</definedName>
    <definedName name="FE95_WGI_MEMO">#REF!</definedName>
    <definedName name="FEBAMT" localSheetId="3">'2.4 OpCo Proxy Cap Str'!AmtTable</definedName>
    <definedName name="FEBAMT">[39]!AmtTable</definedName>
    <definedName name="FEBDT" localSheetId="3">'2.4 OpCo Proxy Cap Str'!DTTable</definedName>
    <definedName name="FEBDT">[39]!DTTable</definedName>
    <definedName name="ff" localSheetId="5" hidden="1">#REF!</definedName>
    <definedName name="ff" localSheetId="3" hidden="1">#REF!</definedName>
    <definedName name="ff" localSheetId="29" hidden="1">#REF!</definedName>
    <definedName name="ff" localSheetId="47" hidden="1">#REF!</definedName>
    <definedName name="ff" hidden="1">#REF!</definedName>
    <definedName name="fff" localSheetId="5" hidden="1">#REF!</definedName>
    <definedName name="fff" localSheetId="3" hidden="1">#REF!</definedName>
    <definedName name="fff" localSheetId="29" hidden="1">#REF!</definedName>
    <definedName name="fff" hidden="1">#REF!</definedName>
    <definedName name="fffff" localSheetId="5" hidden="1">#REF!</definedName>
    <definedName name="fffff" localSheetId="3" hidden="1">#REF!</definedName>
    <definedName name="fffff" hidden="1">#REF!</definedName>
    <definedName name="ffffff" localSheetId="5" hidden="1">#REF!</definedName>
    <definedName name="ffffff" localSheetId="3" hidden="1">#REF!</definedName>
    <definedName name="ffffff" localSheetId="29" hidden="1">#REF!</definedName>
    <definedName name="ffffff" hidden="1">#REF!</definedName>
    <definedName name="fffffffffffffffffffff" localSheetId="5" hidden="1">#REF!</definedName>
    <definedName name="fffffffffffffffffffff" localSheetId="3" hidden="1">#REF!</definedName>
    <definedName name="fffffffffffffffffffff" hidden="1">#REF!</definedName>
    <definedName name="ffggfgfgf" localSheetId="1" hidden="1">{#N/A,#N/A,FALSE,"SCA";#N/A,#N/A,FALSE,"NCA";#N/A,#N/A,FALSE,"SAZ";#N/A,#N/A,FALSE,"CAZ";#N/A,#N/A,FALSE,"SNV";#N/A,#N/A,FALSE,"NNV";#N/A,#N/A,FALSE,"PP";#N/A,#N/A,FALSE,"SA"}</definedName>
    <definedName name="ffggfgfgf" localSheetId="32" hidden="1">{#N/A,#N/A,FALSE,"SCA";#N/A,#N/A,FALSE,"NCA";#N/A,#N/A,FALSE,"SAZ";#N/A,#N/A,FALSE,"CAZ";#N/A,#N/A,FALSE,"SNV";#N/A,#N/A,FALSE,"NNV";#N/A,#N/A,FALSE,"PP";#N/A,#N/A,FALSE,"SA"}</definedName>
    <definedName name="ffggfgfgf" localSheetId="6" hidden="1">{#N/A,#N/A,FALSE,"SCA";#N/A,#N/A,FALSE,"NCA";#N/A,#N/A,FALSE,"SAZ";#N/A,#N/A,FALSE,"CAZ";#N/A,#N/A,FALSE,"SNV";#N/A,#N/A,FALSE,"NNV";#N/A,#N/A,FALSE,"PP";#N/A,#N/A,FALSE,"SA"}</definedName>
    <definedName name="ffggfgfgf" localSheetId="4" hidden="1">{#N/A,#N/A,FALSE,"SCA";#N/A,#N/A,FALSE,"NCA";#N/A,#N/A,FALSE,"SAZ";#N/A,#N/A,FALSE,"CAZ";#N/A,#N/A,FALSE,"SNV";#N/A,#N/A,FALSE,"NNV";#N/A,#N/A,FALSE,"PP";#N/A,#N/A,FALSE,"SA"}</definedName>
    <definedName name="ffggfgfgf" localSheetId="5" hidden="1">{#N/A,#N/A,FALSE,"SCA";#N/A,#N/A,FALSE,"NCA";#N/A,#N/A,FALSE,"SAZ";#N/A,#N/A,FALSE,"CAZ";#N/A,#N/A,FALSE,"SNV";#N/A,#N/A,FALSE,"NNV";#N/A,#N/A,FALSE,"PP";#N/A,#N/A,FALSE,"SA"}</definedName>
    <definedName name="ffggfgfgf" localSheetId="7" hidden="1">{#N/A,#N/A,FALSE,"SCA";#N/A,#N/A,FALSE,"NCA";#N/A,#N/A,FALSE,"SAZ";#N/A,#N/A,FALSE,"CAZ";#N/A,#N/A,FALSE,"SNV";#N/A,#N/A,FALSE,"NNV";#N/A,#N/A,FALSE,"PP";#N/A,#N/A,FALSE,"SA"}</definedName>
    <definedName name="ffggfgfgf" localSheetId="3" hidden="1">{#N/A,#N/A,FALSE,"SCA";#N/A,#N/A,FALSE,"NCA";#N/A,#N/A,FALSE,"SAZ";#N/A,#N/A,FALSE,"CAZ";#N/A,#N/A,FALSE,"SNV";#N/A,#N/A,FALSE,"NNV";#N/A,#N/A,FALSE,"PP";#N/A,#N/A,FALSE,"SA"}</definedName>
    <definedName name="ffggfgfgf" localSheetId="29" hidden="1">{#N/A,#N/A,FALSE,"SCA";#N/A,#N/A,FALSE,"NCA";#N/A,#N/A,FALSE,"SAZ";#N/A,#N/A,FALSE,"CAZ";#N/A,#N/A,FALSE,"SNV";#N/A,#N/A,FALSE,"NNV";#N/A,#N/A,FALSE,"PP";#N/A,#N/A,FALSE,"SA"}</definedName>
    <definedName name="ffggfgfgf" localSheetId="47" hidden="1">{#N/A,#N/A,FALSE,"SCA";#N/A,#N/A,FALSE,"NCA";#N/A,#N/A,FALSE,"SAZ";#N/A,#N/A,FALSE,"CAZ";#N/A,#N/A,FALSE,"SNV";#N/A,#N/A,FALSE,"NNV";#N/A,#N/A,FALSE,"PP";#N/A,#N/A,FALSE,"SA"}</definedName>
    <definedName name="ffggfgfgf" hidden="1">{#N/A,#N/A,FALSE,"SCA";#N/A,#N/A,FALSE,"NCA";#N/A,#N/A,FALSE,"SAZ";#N/A,#N/A,FALSE,"CAZ";#N/A,#N/A,FALSE,"SNV";#N/A,#N/A,FALSE,"NNV";#N/A,#N/A,FALSE,"PP";#N/A,#N/A,FALSE,"SA"}</definedName>
    <definedName name="ffkf" localSheetId="1" hidden="1">#REF!</definedName>
    <definedName name="ffkf" localSheetId="5" hidden="1">#REF!</definedName>
    <definedName name="ffkf" localSheetId="3" hidden="1">#REF!</definedName>
    <definedName name="ffkf" localSheetId="29" hidden="1">#REF!</definedName>
    <definedName name="ffkf" hidden="1">#REF!</definedName>
    <definedName name="fhjmyuu" localSheetId="1" hidden="1">{"print1",#N/A,FALSE,"D21CUSTS";"print2",#N/A,FALSE,"D21CUSTS";"print3",#N/A,FALSE,"D21CUSTS";"print4",#N/A,FALSE,"D21CUSTS"}</definedName>
    <definedName name="fhjmyuu" localSheetId="32" hidden="1">{"print1",#N/A,FALSE,"D21CUSTS";"print2",#N/A,FALSE,"D21CUSTS";"print3",#N/A,FALSE,"D21CUSTS";"print4",#N/A,FALSE,"D21CUSTS"}</definedName>
    <definedName name="fhjmyuu" localSheetId="6" hidden="1">{"print1",#N/A,FALSE,"D21CUSTS";"print2",#N/A,FALSE,"D21CUSTS";"print3",#N/A,FALSE,"D21CUSTS";"print4",#N/A,FALSE,"D21CUSTS"}</definedName>
    <definedName name="fhjmyuu" localSheetId="4" hidden="1">{"print1",#N/A,FALSE,"D21CUSTS";"print2",#N/A,FALSE,"D21CUSTS";"print3",#N/A,FALSE,"D21CUSTS";"print4",#N/A,FALSE,"D21CUSTS"}</definedName>
    <definedName name="fhjmyuu" localSheetId="5" hidden="1">{"print1",#N/A,FALSE,"D21CUSTS";"print2",#N/A,FALSE,"D21CUSTS";"print3",#N/A,FALSE,"D21CUSTS";"print4",#N/A,FALSE,"D21CUSTS"}</definedName>
    <definedName name="fhjmyuu" localSheetId="7" hidden="1">{"print1",#N/A,FALSE,"D21CUSTS";"print2",#N/A,FALSE,"D21CUSTS";"print3",#N/A,FALSE,"D21CUSTS";"print4",#N/A,FALSE,"D21CUSTS"}</definedName>
    <definedName name="fhjmyuu" localSheetId="3" hidden="1">{"print1",#N/A,FALSE,"D21CUSTS";"print2",#N/A,FALSE,"D21CUSTS";"print3",#N/A,FALSE,"D21CUSTS";"print4",#N/A,FALSE,"D21CUSTS"}</definedName>
    <definedName name="fhjmyuu" localSheetId="29" hidden="1">{"print1",#N/A,FALSE,"D21CUSTS";"print2",#N/A,FALSE,"D21CUSTS";"print3",#N/A,FALSE,"D21CUSTS";"print4",#N/A,FALSE,"D21CUSTS"}</definedName>
    <definedName name="fhjmyuu" localSheetId="47" hidden="1">{"print1",#N/A,FALSE,"D21CUSTS";"print2",#N/A,FALSE,"D21CUSTS";"print3",#N/A,FALSE,"D21CUSTS";"print4",#N/A,FALSE,"D21CUSTS"}</definedName>
    <definedName name="fhjmyuu" hidden="1">{"print1",#N/A,FALSE,"D21CUSTS";"print2",#N/A,FALSE,"D21CUSTS";"print3",#N/A,FALSE,"D21CUSTS";"print4",#N/A,FALSE,"D21CUSTS"}</definedName>
    <definedName name="finalpassnorth">'[66]Liabilities - Input - North'!$C$6</definedName>
    <definedName name="First.Conflict" localSheetId="1" hidden="1">{#N/A,#N/A,TRUE,"1 (2)";#N/A,#N/A,TRUE,"2";#N/A,#N/A,TRUE,"3"}</definedName>
    <definedName name="First.Conflict" localSheetId="32" hidden="1">{#N/A,#N/A,TRUE,"1 (2)";#N/A,#N/A,TRUE,"2";#N/A,#N/A,TRUE,"3"}</definedName>
    <definedName name="First.Conflict" localSheetId="6" hidden="1">{#N/A,#N/A,TRUE,"1 (2)";#N/A,#N/A,TRUE,"2";#N/A,#N/A,TRUE,"3"}</definedName>
    <definedName name="First.Conflict" localSheetId="4" hidden="1">{#N/A,#N/A,TRUE,"1 (2)";#N/A,#N/A,TRUE,"2";#N/A,#N/A,TRUE,"3"}</definedName>
    <definedName name="First.Conflict" localSheetId="5" hidden="1">{#N/A,#N/A,TRUE,"1 (2)";#N/A,#N/A,TRUE,"2";#N/A,#N/A,TRUE,"3"}</definedName>
    <definedName name="First.Conflict" localSheetId="7" hidden="1">{#N/A,#N/A,TRUE,"1 (2)";#N/A,#N/A,TRUE,"2";#N/A,#N/A,TRUE,"3"}</definedName>
    <definedName name="First.Conflict" localSheetId="3" hidden="1">{#N/A,#N/A,TRUE,"1 (2)";#N/A,#N/A,TRUE,"2";#N/A,#N/A,TRUE,"3"}</definedName>
    <definedName name="First.Conflict" localSheetId="29" hidden="1">{#N/A,#N/A,TRUE,"1 (2)";#N/A,#N/A,TRUE,"2";#N/A,#N/A,TRUE,"3"}</definedName>
    <definedName name="First.Conflict" localSheetId="47" hidden="1">{#N/A,#N/A,TRUE,"1 (2)";#N/A,#N/A,TRUE,"2";#N/A,#N/A,TRUE,"3"}</definedName>
    <definedName name="First.Conflict" hidden="1">{#N/A,#N/A,TRUE,"1 (2)";#N/A,#N/A,TRUE,"2";#N/A,#N/A,TRUE,"3"}</definedName>
    <definedName name="First.conflict2" localSheetId="1" hidden="1">{#N/A,#N/A,TRUE,"1 (2)";#N/A,#N/A,TRUE,"2";#N/A,#N/A,TRUE,"3"}</definedName>
    <definedName name="First.conflict2" localSheetId="32" hidden="1">{#N/A,#N/A,TRUE,"1 (2)";#N/A,#N/A,TRUE,"2";#N/A,#N/A,TRUE,"3"}</definedName>
    <definedName name="First.conflict2" localSheetId="6" hidden="1">{#N/A,#N/A,TRUE,"1 (2)";#N/A,#N/A,TRUE,"2";#N/A,#N/A,TRUE,"3"}</definedName>
    <definedName name="First.conflict2" localSheetId="4" hidden="1">{#N/A,#N/A,TRUE,"1 (2)";#N/A,#N/A,TRUE,"2";#N/A,#N/A,TRUE,"3"}</definedName>
    <definedName name="First.conflict2" localSheetId="5" hidden="1">{#N/A,#N/A,TRUE,"1 (2)";#N/A,#N/A,TRUE,"2";#N/A,#N/A,TRUE,"3"}</definedName>
    <definedName name="First.conflict2" localSheetId="7" hidden="1">{#N/A,#N/A,TRUE,"1 (2)";#N/A,#N/A,TRUE,"2";#N/A,#N/A,TRUE,"3"}</definedName>
    <definedName name="First.conflict2" localSheetId="3" hidden="1">{#N/A,#N/A,TRUE,"1 (2)";#N/A,#N/A,TRUE,"2";#N/A,#N/A,TRUE,"3"}</definedName>
    <definedName name="First.conflict2" localSheetId="29" hidden="1">{#N/A,#N/A,TRUE,"1 (2)";#N/A,#N/A,TRUE,"2";#N/A,#N/A,TRUE,"3"}</definedName>
    <definedName name="First.conflict2" localSheetId="47" hidden="1">{#N/A,#N/A,TRUE,"1 (2)";#N/A,#N/A,TRUE,"2";#N/A,#N/A,TRUE,"3"}</definedName>
    <definedName name="First.conflict2" hidden="1">{#N/A,#N/A,TRUE,"1 (2)";#N/A,#N/A,TRUE,"2";#N/A,#N/A,TRUE,"3"}</definedName>
    <definedName name="First.Conflict2006" localSheetId="1" hidden="1">{#N/A,#N/A,TRUE,"1 (2)";#N/A,#N/A,TRUE,"2";#N/A,#N/A,TRUE,"3"}</definedName>
    <definedName name="First.Conflict2006" localSheetId="32" hidden="1">{#N/A,#N/A,TRUE,"1 (2)";#N/A,#N/A,TRUE,"2";#N/A,#N/A,TRUE,"3"}</definedName>
    <definedName name="First.Conflict2006" localSheetId="6" hidden="1">{#N/A,#N/A,TRUE,"1 (2)";#N/A,#N/A,TRUE,"2";#N/A,#N/A,TRUE,"3"}</definedName>
    <definedName name="First.Conflict2006" localSheetId="4" hidden="1">{#N/A,#N/A,TRUE,"1 (2)";#N/A,#N/A,TRUE,"2";#N/A,#N/A,TRUE,"3"}</definedName>
    <definedName name="First.Conflict2006" localSheetId="5" hidden="1">{#N/A,#N/A,TRUE,"1 (2)";#N/A,#N/A,TRUE,"2";#N/A,#N/A,TRUE,"3"}</definedName>
    <definedName name="First.Conflict2006" localSheetId="7" hidden="1">{#N/A,#N/A,TRUE,"1 (2)";#N/A,#N/A,TRUE,"2";#N/A,#N/A,TRUE,"3"}</definedName>
    <definedName name="First.Conflict2006" localSheetId="3" hidden="1">{#N/A,#N/A,TRUE,"1 (2)";#N/A,#N/A,TRUE,"2";#N/A,#N/A,TRUE,"3"}</definedName>
    <definedName name="First.Conflict2006" localSheetId="29" hidden="1">{#N/A,#N/A,TRUE,"1 (2)";#N/A,#N/A,TRUE,"2";#N/A,#N/A,TRUE,"3"}</definedName>
    <definedName name="First.Conflict2006" localSheetId="47" hidden="1">{#N/A,#N/A,TRUE,"1 (2)";#N/A,#N/A,TRUE,"2";#N/A,#N/A,TRUE,"3"}</definedName>
    <definedName name="First.Conflict2006" hidden="1">{#N/A,#N/A,TRUE,"1 (2)";#N/A,#N/A,TRUE,"2";#N/A,#N/A,TRUE,"3"}</definedName>
    <definedName name="fkfkf" localSheetId="1" hidden="1">#REF!</definedName>
    <definedName name="fkfkf" localSheetId="5" hidden="1">#REF!</definedName>
    <definedName name="fkfkf" localSheetId="3" hidden="1">#REF!</definedName>
    <definedName name="fkfkf" localSheetId="29" hidden="1">#REF!</definedName>
    <definedName name="fkfkf" hidden="1">#REF!</definedName>
    <definedName name="FORM_4562_ANAL_REPORT" localSheetId="3">#REF!</definedName>
    <definedName name="FORM_4562_ANAL_REPORT">#REF!</definedName>
    <definedName name="FORM_4562_ANAL_ROWS" localSheetId="3">#REF!</definedName>
    <definedName name="FORM_4562_ANAL_ROWS">#REF!</definedName>
    <definedName name="FOURTH_QTR_PUR_ANAL_ML_REPORT" localSheetId="3">#REF!</definedName>
    <definedName name="FOURTH_QTR_PUR_ANAL_ML_REPORT">#REF!</definedName>
    <definedName name="FOURTH_QTR_PUR_ANAL_ML_ROWS" localSheetId="3">#REF!</definedName>
    <definedName name="FOURTH_QTR_PUR_ANAL_ML_ROWS">#REF!</definedName>
    <definedName name="FOURTH_QTR_PUR_ANAL_REPORT" localSheetId="3">#REF!</definedName>
    <definedName name="FOURTH_QTR_PUR_ANAL_REPORT">#REF!</definedName>
    <definedName name="FOURTH_QTR_PUR_ANAL_ROWS" localSheetId="3">#REF!</definedName>
    <definedName name="FOURTH_QTR_PUR_ANAL_ROWS">#REF!</definedName>
    <definedName name="fpfl" localSheetId="1" hidden="1">#REF!</definedName>
    <definedName name="fpfl" localSheetId="5" hidden="1">#REF!</definedName>
    <definedName name="fpfl" localSheetId="3" hidden="1">#REF!</definedName>
    <definedName name="fpfl" localSheetId="29" hidden="1">#REF!</definedName>
    <definedName name="fpfl" hidden="1">#REF!</definedName>
    <definedName name="Fremont" localSheetId="6">'[19]Alloc factors'!#REF!</definedName>
    <definedName name="Fremont" localSheetId="3">'[19]Alloc factors'!#REF!</definedName>
    <definedName name="Fremont">'[19]Alloc factors'!#REF!</definedName>
    <definedName name="fuckioff"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_EXCLUSION_SECTION">#REF!</definedName>
    <definedName name="Fuel_Pro_Forma_Adj">#REF!</definedName>
    <definedName name="FUELCO_SALE_REPORT" localSheetId="3">#REF!</definedName>
    <definedName name="FUELCO_SALE_REPORT">#REF!</definedName>
    <definedName name="FuelCycle" localSheetId="32" hidden="1">{#N/A,#N/A,FALSE,"AltFuel"}</definedName>
    <definedName name="FuelCycle" localSheetId="6" hidden="1">{#N/A,#N/A,FALSE,"AltFuel"}</definedName>
    <definedName name="FuelCycle" localSheetId="7" hidden="1">{#N/A,#N/A,FALSE,"AltFuel"}</definedName>
    <definedName name="FuelCycle" localSheetId="3" hidden="1">{#N/A,#N/A,FALSE,"AltFuel"}</definedName>
    <definedName name="FuelCycle" localSheetId="47" hidden="1">{#N/A,#N/A,FALSE,"AltFuel"}</definedName>
    <definedName name="FuelCycle" hidden="1">{#N/A,#N/A,FALSE,"AltFuel"}</definedName>
    <definedName name="Full_Print" localSheetId="6">#REF!</definedName>
    <definedName name="Full_Print" localSheetId="3">#REF!</definedName>
    <definedName name="Full_Print">#REF!</definedName>
    <definedName name="furn_comp_book_depr_rate" localSheetId="3">#REF!</definedName>
    <definedName name="furn_comp_book_depr_rate">#REF!</definedName>
    <definedName name="furn_comp_book_depr_rate_2000" localSheetId="3">#REF!</definedName>
    <definedName name="furn_comp_book_depr_rate_2000">#REF!</definedName>
    <definedName name="fvgbn" localSheetId="1" hidden="1">#REF!</definedName>
    <definedName name="fvgbn" localSheetId="5" hidden="1">#REF!</definedName>
    <definedName name="fvgbn" localSheetId="3" hidden="1">#REF!</definedName>
    <definedName name="fvgbn" localSheetId="29" hidden="1">#REF!</definedName>
    <definedName name="fvgbn" hidden="1">#REF!</definedName>
    <definedName name="FY18OPEX_ADJ" localSheetId="3">#REF!</definedName>
    <definedName name="FY18OPEX_ADJ">#REF!</definedName>
    <definedName name="g" localSheetId="32" hidden="1">{#N/A,#N/A,FALSE,"O&amp;M by processes";#N/A,#N/A,FALSE,"Elec Act vs Bud";#N/A,#N/A,FALSE,"G&amp;A";#N/A,#N/A,FALSE,"BGS";#N/A,#N/A,FALSE,"Res Cost"}</definedName>
    <definedName name="g" localSheetId="6" hidden="1">{#N/A,#N/A,FALSE,"O&amp;M by processes";#N/A,#N/A,FALSE,"Elec Act vs Bud";#N/A,#N/A,FALSE,"G&amp;A";#N/A,#N/A,FALSE,"BGS";#N/A,#N/A,FALSE,"Res Cost"}</definedName>
    <definedName name="g" localSheetId="7" hidden="1">{#N/A,#N/A,FALSE,"O&amp;M by processes";#N/A,#N/A,FALSE,"Elec Act vs Bud";#N/A,#N/A,FALSE,"G&amp;A";#N/A,#N/A,FALSE,"BGS";#N/A,#N/A,FALSE,"Res Cost"}</definedName>
    <definedName name="g" localSheetId="3" hidden="1">{#N/A,#N/A,FALSE,"O&amp;M by processes";#N/A,#N/A,FALSE,"Elec Act vs Bud";#N/A,#N/A,FALSE,"G&amp;A";#N/A,#N/A,FALSE,"BGS";#N/A,#N/A,FALSE,"Res Cost"}</definedName>
    <definedName name="g" localSheetId="47" hidden="1">{#N/A,#N/A,FALSE,"O&amp;M by processes";#N/A,#N/A,FALSE,"Elec Act vs Bud";#N/A,#N/A,FALSE,"G&amp;A";#N/A,#N/A,FALSE,"BGS";#N/A,#N/A,FALSE,"Res Cost"}</definedName>
    <definedName name="g" hidden="1">{#N/A,#N/A,FALSE,"O&amp;M by processes";#N/A,#N/A,FALSE,"Elec Act vs Bud";#N/A,#N/A,FALSE,"G&amp;A";#N/A,#N/A,FALSE,"BGS";#N/A,#N/A,FALSE,"Res Cost"}</definedName>
    <definedName name="Gas.calc" localSheetId="1" hidden="1">{"ARK_JURIS_FAC",#N/A,FALSE,"Ark_Fuel&amp;Rev"}</definedName>
    <definedName name="Gas.calc" localSheetId="32" hidden="1">{"ARK_JURIS_FAC",#N/A,FALSE,"Ark_Fuel&amp;Rev"}</definedName>
    <definedName name="Gas.calc" localSheetId="6" hidden="1">{"ARK_JURIS_FAC",#N/A,FALSE,"Ark_Fuel&amp;Rev"}</definedName>
    <definedName name="Gas.calc" localSheetId="4" hidden="1">{"ARK_JURIS_FAC",#N/A,FALSE,"Ark_Fuel&amp;Rev"}</definedName>
    <definedName name="Gas.calc" localSheetId="5" hidden="1">{"ARK_JURIS_FAC",#N/A,FALSE,"Ark_Fuel&amp;Rev"}</definedName>
    <definedName name="Gas.calc" localSheetId="7" hidden="1">{"ARK_JURIS_FAC",#N/A,FALSE,"Ark_Fuel&amp;Rev"}</definedName>
    <definedName name="Gas.calc" localSheetId="3" hidden="1">{"ARK_JURIS_FAC",#N/A,FALSE,"Ark_Fuel&amp;Rev"}</definedName>
    <definedName name="Gas.calc" localSheetId="47" hidden="1">{"ARK_JURIS_FAC",#N/A,FALSE,"Ark_Fuel&amp;Rev"}</definedName>
    <definedName name="Gas.calc" hidden="1">{"ARK_JURIS_FAC",#N/A,FALSE,"Ark_Fuel&amp;Rev"}</definedName>
    <definedName name="Gas___Pre__81">'[72]Non-Statutory Deferred Taxes'!#REF!</definedName>
    <definedName name="gas_comp_book_depr_rate" localSheetId="3">#REF!</definedName>
    <definedName name="gas_comp_book_depr_rate">#REF!</definedName>
    <definedName name="gas_comp_book_depr_rate_2000" localSheetId="3">#REF!</definedName>
    <definedName name="gas_comp_book_depr_rate_2000">#REF!</definedName>
    <definedName name="Gas10A">[70]YTD!$AD$109,[70]YTD!$AD$105:$AD$106,[70]YTD!$AD$98:$AD$98,[70]YTD!$AD$15:$AD$93</definedName>
    <definedName name="Gas10DA">[70]YTD!$AD$122:$AD$207,[70]YTD!$AD$213,[70]YTD!$AD$217</definedName>
    <definedName name="Gas11DA">[70]YTD!$AE$122:$AE$207,[70]YTD!$AE$213,[70]YTD!$AE$217</definedName>
    <definedName name="Gas12A">[70]YTD!$AF$15:$AF$93,[70]YTD!$AF$98:$AF$98,[70]YTD!$AF$105:$AF$106,[70]YTD!$AF$109</definedName>
    <definedName name="Gas12DA">[70]YTD!$AF$122:$AF$207,[70]YTD!$AF$213,[70]YTD!$AF$217</definedName>
    <definedName name="Gas1A">[70]YTD!$U$15:$U$93,[70]YTD!$U$98:$U$98,[70]YTD!$U$105:$U$106,[70]YTD!$U$109</definedName>
    <definedName name="Gas1DA">[70]YTD!$U$122:$U$207,[70]YTD!$U$213,[70]YTD!$U$217</definedName>
    <definedName name="Gas2A">[70]YTD!$V$15:$V$93,[70]YTD!$V$98:$V$98,[70]YTD!$V$105:$V$106,[70]YTD!$V$109</definedName>
    <definedName name="Gas2DA">[70]YTD!$V$122:$V$207,[70]YTD!$V$213,[70]YTD!$V$217</definedName>
    <definedName name="Gas3A">[70]YTD!$W$109,[70]YTD!$W$105:$W$106,[70]YTD!$W$98:$W$98,[70]YTD!$W$15:$W$93</definedName>
    <definedName name="Gas3DA">[70]YTD!$W$122:$W$207,[70]YTD!$W$213,[70]YTD!$W$217</definedName>
    <definedName name="Gas4A">[70]YTD!$X$15:$X$93,[70]YTD!$X$98:$X$98,[70]YTD!$X$105:$X$106,[70]YTD!$X$109</definedName>
    <definedName name="Gas4DA">[70]YTD!$X$122:$X$207,[70]YTD!$X$213,[70]YTD!$X$217</definedName>
    <definedName name="Gas5A">[70]YTD!$Y$15:$Y$93,[70]YTD!$Y$98:$Y$98,[70]YTD!$Y$105:$Y$106,[70]YTD!$Y$109</definedName>
    <definedName name="Gas5DA">[70]YTD!$Y$122:$Y$207,[70]YTD!$Y$213,[70]YTD!$Y$217</definedName>
    <definedName name="Gas6A">[70]YTD!$Z$15:$Z$93,[70]YTD!$Z$98:$Z$98,[70]YTD!$Z$105:$Z$106,[70]YTD!$Z$109</definedName>
    <definedName name="Gas6DA">[70]YTD!$Z$122:$Z$207,[70]YTD!$Z$213,[70]YTD!$Z$217</definedName>
    <definedName name="Gas7A">[70]YTD!$AA$98:$AA$98,[70]YTD!$AA$105:$AA$106,[70]YTD!$AA$109,[70]YTD!$AA$15:$AA$93</definedName>
    <definedName name="Gas7DA">[70]YTD!$AA$122:$AA$207,[70]YTD!$AA$213,[70]YTD!$AA$217</definedName>
    <definedName name="Gas8A">[70]YTD!$AB$15:$AB$93,[70]YTD!$AB$98:$AB$98,[70]YTD!$AB$105:$AB$106,[70]YTD!$AB$109</definedName>
    <definedName name="Gas8DA">[70]YTD!$AB$217,[70]YTD!$AB$213,[70]YTD!$AB$122:$AB$207</definedName>
    <definedName name="Gas9A">[70]YTD!$AC$15:$AC$93,[70]YTD!$AC$98:$AC$98,[70]YTD!$AC$105:$AC$106,[70]YTD!$AC$109</definedName>
    <definedName name="Gas9DA">[70]YTD!$AC$122:$AC$207,[70]YTD!$AC$213,[70]YTD!$AC$217</definedName>
    <definedName name="GasAprilA">[63]YTD!$X$15:$X$29,[63]YTD!$X$31:$X$40,[63]YTD!$X$51:$X$52,[63]YTD!$X$56</definedName>
    <definedName name="GasAprilDA">[63]YTD!$X$70:$X$87,[63]YTD!$X$89:$X$101,[63]YTD!$X$105:$X$106,[63]YTD!$X$110</definedName>
    <definedName name="GasAugA">[63]YTD!$AB$15:$AB$29,[63]YTD!$AB$31:$AB$40,[63]YTD!$AB$51:$AB$52,[63]YTD!$AB$56</definedName>
    <definedName name="GasAugDA">[63]YTD!$AB$70:$AB$87,[63]YTD!$AB$89:$AB$101,[63]YTD!$AB$105:$AB$106,[63]YTD!$AB$110</definedName>
    <definedName name="GASCOST">#REF!</definedName>
    <definedName name="GasDecA">[63]YTD!$AF$15:$AF$29,[63]YTD!$AF$31:$AF$40,[63]YTD!$AF$51:$AF$52,[63]YTD!$AF$56</definedName>
    <definedName name="GasDecDA">[63]YTD!$AF$70:$AF$87,[63]YTD!$AF$89:$AF$101,[63]YTD!$AF$105:$AF$106,[63]YTD!$AF$110</definedName>
    <definedName name="GasFebA">[63]YTD!$V$15:$V$29,[63]YTD!$V$31:$V$40,[63]YTD!$V$51:$V$52,[63]YTD!$V$56</definedName>
    <definedName name="GasFebDA">[63]YTD!$V$70:$V$87,[63]YTD!$V$89:$V$101,[63]YTD!$V$105:$V$106,[63]YTD!$V$110</definedName>
    <definedName name="GasJanA">[70]YTD!$U$15:$U$36,[70]YTD!$U$38:$U$93,[70]YTD!$U$98:$U$98,[70]YTD!$U$105:$U$106,[70]YTD!$U$109</definedName>
    <definedName name="GasJanDA">[63]YTD!$U$70:$U$87,[63]YTD!$U$89:$U$101,[63]YTD!$U$105:$U$106,[63]YTD!$U$110</definedName>
    <definedName name="GasJulyA">[63]YTD!$AA$51:$AA$52,[63]YTD!$AA$56,[63]YTD!$AA$31:$AA$40,[63]YTD!$AA$15:$AA$29</definedName>
    <definedName name="GasJulyDA">[63]YTD!$AA$70:$AA$87,[63]YTD!$AA$89:$AA$101,[63]YTD!$AA$105:$AA$106,[63]YTD!$AA$110</definedName>
    <definedName name="GasJuneA">[63]YTD!$Z$15:$Z$29,[63]YTD!$Z$31:$Z$40,[63]YTD!$Z$51:$Z$52,[63]YTD!$Z$56</definedName>
    <definedName name="GasJuneDA">[63]YTD!$Z$70:$Z$87,[63]YTD!$Z$89:$Z$101,[63]YTD!$Z$105:$Z$106,[63]YTD!$Z$110</definedName>
    <definedName name="GasMarchA">[63]YTD!$W$56,[63]YTD!$W$51:$W$52,[63]YTD!$W$31:$W$40,[63]YTD!$W$15:$W$29</definedName>
    <definedName name="GasMarchDA">[63]YTD!$W$70:$W$87,[63]YTD!$W$89:$W$101,[63]YTD!$W$105:$W$106,[63]YTD!$W$110</definedName>
    <definedName name="GasMayA">[63]YTD!$Y$56,[63]YTD!$Y$51:$Y$52,[63]YTD!$Y$31:$Y$40,[63]YTD!$Y$15:$Y$29</definedName>
    <definedName name="GasMayDA">[63]YTD!$Y$70:$Y$87,[63]YTD!$Y$89:$Y$101,[63]YTD!$Y$105:$Y$106,[63]YTD!$Y$110</definedName>
    <definedName name="GasNovA">[63]YTD!$AE$56,[63]YTD!$AD$51:$AD$52,[63]YTD!$AE$31:$AE$40,[63]YTD!$AD$15:$AD$29</definedName>
    <definedName name="GasNovDA">[63]YTD!$AD$70:$AD$87,[63]YTD!$AD$89:$AD$101,[63]YTD!$AD$105:$AD$106,[63]YTD!$AD$110</definedName>
    <definedName name="GasOctA">[63]YTD!$AC$15:$AC$29,[63]YTD!$AC$31:$AC$40,[63]YTD!$AC$51:$AC$52,[63]YTD!$AC$56</definedName>
    <definedName name="GasOctDA">[63]YTD!$AC$70:$AC$87,[63]YTD!$AC$89:$AC$101,[63]YTD!$AC$105:$AC$106,[63]YTD!$AC$110</definedName>
    <definedName name="GASSEPT">[63]YTD!#REF!</definedName>
    <definedName name="GasSeptA" localSheetId="3">[63]YTD!#REF!,[63]YTD!#REF!,[63]YTD!#REF!,[63]YTD!#REF!</definedName>
    <definedName name="GasSeptA">[63]YTD!#REF!,[63]YTD!#REF!,[63]YTD!#REF!,[63]YTD!#REF!</definedName>
    <definedName name="GasSeptD" localSheetId="3">[63]YTD!#REF!</definedName>
    <definedName name="GasSeptD">[63]YTD!#REF!</definedName>
    <definedName name="GasSeptDA" localSheetId="3">[63]YTD!#REF!,[63]YTD!#REF!,[63]YTD!#REF!,[63]YTD!#REF!</definedName>
    <definedName name="GasSeptDA">[63]YTD!#REF!,[63]YTD!#REF!,[63]YTD!#REF!,[63]YTD!#REF!</definedName>
    <definedName name="GasU">'[58]Gas - 1'!$C$1</definedName>
    <definedName name="GDALL">[70]YTD!$T$121:$T$148,[70]YTD!$T$150:$T$208,[70]YTD!$T$212:$T$213,[70]YTD!$T$216:$T$217</definedName>
    <definedName name="gdp_grate">'[41]DCF RoE -B'!$1:$1048576</definedName>
    <definedName name="gdp_grate_h">'[41]DCF RoE -B'!$14:$14</definedName>
    <definedName name="gdp_grate_vh">'[41]DCF RoE -B'!$A:$A</definedName>
    <definedName name="GDP_Growth">'[75]AEB-3 GDP Growth'!$E$28</definedName>
    <definedName name="gegerrtetetr" localSheetId="1" hidden="1">{#N/A,#N/A,FALSE,"GLDwnLoad"}</definedName>
    <definedName name="gegerrtetetr" localSheetId="32" hidden="1">{#N/A,#N/A,FALSE,"GLDwnLoad"}</definedName>
    <definedName name="gegerrtetetr" localSheetId="6" hidden="1">{#N/A,#N/A,FALSE,"GLDwnLoad"}</definedName>
    <definedName name="gegerrtetetr" localSheetId="4" hidden="1">{#N/A,#N/A,FALSE,"GLDwnLoad"}</definedName>
    <definedName name="gegerrtetetr" localSheetId="5" hidden="1">{#N/A,#N/A,FALSE,"GLDwnLoad"}</definedName>
    <definedName name="gegerrtetetr" localSheetId="7" hidden="1">{#N/A,#N/A,FALSE,"GLDwnLoad"}</definedName>
    <definedName name="gegerrtetetr" localSheetId="3" hidden="1">{#N/A,#N/A,FALSE,"GLDwnLoad"}</definedName>
    <definedName name="gegerrtetetr" localSheetId="29" hidden="1">{#N/A,#N/A,FALSE,"GLDwnLoad"}</definedName>
    <definedName name="gegerrtetetr" localSheetId="47" hidden="1">{#N/A,#N/A,FALSE,"GLDwnLoad"}</definedName>
    <definedName name="gegerrtetetr" hidden="1">{#N/A,#N/A,FALSE,"GLDwnLoad"}</definedName>
    <definedName name="GeogiaPac">'[37]Customer Bill Details (External'!$O$319</definedName>
    <definedName name="gfgfgf" localSheetId="1" hidden="1">{"pb",#N/A,FALSE,"Sheet3";"pd",#N/A,FALSE,"Sheet3";"pe",#N/A,FALSE,"Sheet3"}</definedName>
    <definedName name="gfgfgf" localSheetId="32" hidden="1">{"pb",#N/A,FALSE,"Sheet3";"pd",#N/A,FALSE,"Sheet3";"pe",#N/A,FALSE,"Sheet3"}</definedName>
    <definedName name="gfgfgf" localSheetId="6" hidden="1">{"pb",#N/A,FALSE,"Sheet3";"pd",#N/A,FALSE,"Sheet3";"pe",#N/A,FALSE,"Sheet3"}</definedName>
    <definedName name="gfgfgf" localSheetId="4" hidden="1">{"pb",#N/A,FALSE,"Sheet3";"pd",#N/A,FALSE,"Sheet3";"pe",#N/A,FALSE,"Sheet3"}</definedName>
    <definedName name="gfgfgf" localSheetId="5" hidden="1">{"pb",#N/A,FALSE,"Sheet3";"pd",#N/A,FALSE,"Sheet3";"pe",#N/A,FALSE,"Sheet3"}</definedName>
    <definedName name="gfgfgf" localSheetId="7" hidden="1">{"pb",#N/A,FALSE,"Sheet3";"pd",#N/A,FALSE,"Sheet3";"pe",#N/A,FALSE,"Sheet3"}</definedName>
    <definedName name="gfgfgf" localSheetId="3" hidden="1">{"pb",#N/A,FALSE,"Sheet3";"pd",#N/A,FALSE,"Sheet3";"pe",#N/A,FALSE,"Sheet3"}</definedName>
    <definedName name="gfgfgf" localSheetId="29" hidden="1">{"pb",#N/A,FALSE,"Sheet3";"pd",#N/A,FALSE,"Sheet3";"pe",#N/A,FALSE,"Sheet3"}</definedName>
    <definedName name="gfgfgf" localSheetId="47" hidden="1">{"pb",#N/A,FALSE,"Sheet3";"pd",#N/A,FALSE,"Sheet3";"pe",#N/A,FALSE,"Sheet3"}</definedName>
    <definedName name="gfgfgf" hidden="1">{"pb",#N/A,FALSE,"Sheet3";"pd",#N/A,FALSE,"Sheet3";"pe",#N/A,FALSE,"Sheet3"}</definedName>
    <definedName name="gfhj" localSheetId="1" hidden="1">#REF!</definedName>
    <definedName name="gfhj" localSheetId="5" hidden="1">#REF!</definedName>
    <definedName name="gfhj" localSheetId="3" hidden="1">#REF!</definedName>
    <definedName name="gfhj" localSheetId="29" hidden="1">#REF!</definedName>
    <definedName name="gfhj" hidden="1">#REF!</definedName>
    <definedName name="GGG" localSheetId="3">#REF!</definedName>
    <definedName name="GGG">#REF!</definedName>
    <definedName name="gggggg" localSheetId="5" hidden="1">#REF!</definedName>
    <definedName name="gggggg" localSheetId="3" hidden="1">#REF!</definedName>
    <definedName name="gggggg" localSheetId="29" hidden="1">#REF!</definedName>
    <definedName name="gggggg" hidden="1">#REF!</definedName>
    <definedName name="ghfgh">#REF!</definedName>
    <definedName name="ghjk" localSheetId="5" hidden="1">#REF!</definedName>
    <definedName name="ghjk" localSheetId="3" hidden="1">#REF!</definedName>
    <definedName name="ghjk" localSheetId="29" hidden="1">#REF!</definedName>
    <definedName name="ghjk" hidden="1">#REF!</definedName>
    <definedName name="gita" localSheetId="32" hidden="1">{#N/A,#N/A,FALSE,"O&amp;M by processes";#N/A,#N/A,FALSE,"Elec Act vs Bud";#N/A,#N/A,FALSE,"G&amp;A";#N/A,#N/A,FALSE,"BGS";#N/A,#N/A,FALSE,"Res Cost"}</definedName>
    <definedName name="gita" localSheetId="6" hidden="1">{#N/A,#N/A,FALSE,"O&amp;M by processes";#N/A,#N/A,FALSE,"Elec Act vs Bud";#N/A,#N/A,FALSE,"G&amp;A";#N/A,#N/A,FALSE,"BGS";#N/A,#N/A,FALSE,"Res Cost"}</definedName>
    <definedName name="gita" localSheetId="7"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29" hidden="1">{#N/A,#N/A,FALSE,"O&amp;M by processes";#N/A,#N/A,FALSE,"Elec Act vs Bud";#N/A,#N/A,FALSE,"G&amp;A";#N/A,#N/A,FALSE,"BGS";#N/A,#N/A,FALSE,"Res Cost"}</definedName>
    <definedName name="gita" localSheetId="47"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32" hidden="1">{#N/A,#N/A,FALSE,"O&amp;M by processes";#N/A,#N/A,FALSE,"Elec Act vs Bud";#N/A,#N/A,FALSE,"G&amp;A";#N/A,#N/A,FALSE,"BGS";#N/A,#N/A,FALSE,"Res Cost"}</definedName>
    <definedName name="gitah" localSheetId="6"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29" hidden="1">{#N/A,#N/A,FALSE,"O&amp;M by processes";#N/A,#N/A,FALSE,"Elec Act vs Bud";#N/A,#N/A,FALSE,"G&amp;A";#N/A,#N/A,FALSE,"BGS";#N/A,#N/A,FALSE,"Res Cost"}</definedName>
    <definedName name="gitah" localSheetId="47" hidden="1">{#N/A,#N/A,FALSE,"O&amp;M by processes";#N/A,#N/A,FALSE,"Elec Act vs Bud";#N/A,#N/A,FALSE,"G&amp;A";#N/A,#N/A,FALSE,"BGS";#N/A,#N/A,FALSE,"Res Cost"}</definedName>
    <definedName name="gitah" hidden="1">{#N/A,#N/A,FALSE,"O&amp;M by processes";#N/A,#N/A,FALSE,"Elec Act vs Bud";#N/A,#N/A,FALSE,"G&amp;A";#N/A,#N/A,FALSE,"BGS";#N/A,#N/A,FALSE,"Res Cost"}</definedName>
    <definedName name="goaway" localSheetId="32" hidden="1">{#N/A,#N/A,TRUE,"TAXPROV";#N/A,#N/A,TRUE,"FLOWTHRU";#N/A,#N/A,TRUE,"SCHEDULE M'S";#N/A,#N/A,TRUE,"PLANT M'S";#N/A,#N/A,TRUE,"TAXJE"}</definedName>
    <definedName name="goaway" localSheetId="6" hidden="1">{#N/A,#N/A,TRUE,"TAXPROV";#N/A,#N/A,TRUE,"FLOWTHRU";#N/A,#N/A,TRUE,"SCHEDULE M'S";#N/A,#N/A,TRUE,"PLANT M'S";#N/A,#N/A,TRUE,"TAXJE"}</definedName>
    <definedName name="goaway" localSheetId="7" hidden="1">{#N/A,#N/A,TRUE,"TAXPROV";#N/A,#N/A,TRUE,"FLOWTHRU";#N/A,#N/A,TRUE,"SCHEDULE M'S";#N/A,#N/A,TRUE,"PLANT M'S";#N/A,#N/A,TRUE,"TAXJE"}</definedName>
    <definedName name="goaway" localSheetId="3" hidden="1">{#N/A,#N/A,TRUE,"TAXPROV";#N/A,#N/A,TRUE,"FLOWTHRU";#N/A,#N/A,TRUE,"SCHEDULE M'S";#N/A,#N/A,TRUE,"PLANT M'S";#N/A,#N/A,TRUE,"TAXJE"}</definedName>
    <definedName name="goaway" localSheetId="29" hidden="1">{#N/A,#N/A,TRUE,"TAXPROV";#N/A,#N/A,TRUE,"FLOWTHRU";#N/A,#N/A,TRUE,"SCHEDULE M'S";#N/A,#N/A,TRUE,"PLANT M'S";#N/A,#N/A,TRUE,"TAXJE"}</definedName>
    <definedName name="goaway" localSheetId="47" hidden="1">{#N/A,#N/A,TRUE,"TAXPROV";#N/A,#N/A,TRUE,"FLOWTHRU";#N/A,#N/A,TRUE,"SCHEDULE M'S";#N/A,#N/A,TRUE,"PLANT M'S";#N/A,#N/A,TRUE,"TAXJE"}</definedName>
    <definedName name="goaway" hidden="1">{#N/A,#N/A,TRUE,"TAXPROV";#N/A,#N/A,TRUE,"FLOWTHRU";#N/A,#N/A,TRUE,"SCHEDULE M'S";#N/A,#N/A,TRUE,"PLANT M'S";#N/A,#N/A,TRUE,"TAXJE"}</definedName>
    <definedName name="GOEXP">'[51]Input '!#REF!</definedName>
    <definedName name="GOEXP_PROFORMA">'[43]DATA INPUT'!$D$53</definedName>
    <definedName name="gONE" localSheetId="6">#REF!</definedName>
    <definedName name="gONE" localSheetId="3">#REF!</definedName>
    <definedName name="gONE">#REF!</definedName>
    <definedName name="gONE_3" localSheetId="3">#REF!</definedName>
    <definedName name="gONE_3">#REF!</definedName>
    <definedName name="gONE_4" localSheetId="3">#REF!</definedName>
    <definedName name="gONE_4">#REF!</definedName>
    <definedName name="GOPLANT" localSheetId="6">'[51]Input '!#REF!</definedName>
    <definedName name="GOPLANT" localSheetId="3">'[51]Input '!#REF!</definedName>
    <definedName name="GOPLANT">'[51]Input '!#REF!</definedName>
    <definedName name="GOPLANT_PROFORMA">'[43]DATA INPUT'!$D$57</definedName>
    <definedName name="got" localSheetId="1" hidden="1">#REF!</definedName>
    <definedName name="got" localSheetId="5" hidden="1">#REF!</definedName>
    <definedName name="got" localSheetId="3" hidden="1">#REF!</definedName>
    <definedName name="got" localSheetId="29" hidden="1">#REF!</definedName>
    <definedName name="got" hidden="1">#REF!</definedName>
    <definedName name="GRLU">'[44]Growth Rate LU'!$B$6:$M$55</definedName>
    <definedName name="Grouping_RateBase" localSheetId="3">#REF!</definedName>
    <definedName name="Grouping_RateBase">#REF!</definedName>
    <definedName name="GROWTH" localSheetId="6">#REF!</definedName>
    <definedName name="GROWTH" localSheetId="3">#REF!</definedName>
    <definedName name="GROWTH">#REF!</definedName>
    <definedName name="GROWTH_Table">'[76]Growth Rate'!$B$1:$AI$58</definedName>
    <definedName name="growth1st01">'[55]Growth Rates'!$L$6</definedName>
    <definedName name="growth1st02">'[55]Growth Rates'!$L$7</definedName>
    <definedName name="growth1st03">'[55]Growth Rates'!$L$8</definedName>
    <definedName name="growth1st04">'[55]Growth Rates'!$L$9</definedName>
    <definedName name="growth1st05">'[55]Growth Rates'!$L$10</definedName>
    <definedName name="growth1st06">'[55]Growth Rates'!$L$11</definedName>
    <definedName name="growth1st07">'[55]Growth Rates'!$L$12</definedName>
    <definedName name="growth1st08">'[55]Growth Rates'!$L$13</definedName>
    <definedName name="growth1st09">'[55]Growth Rates'!$L$14</definedName>
    <definedName name="growth1st10">'[55]Growth Rates'!$L$15</definedName>
    <definedName name="growth1st11">'[55]Growth Rates'!$L$16</definedName>
    <definedName name="growth1st12">'[55]Growth Rates'!$L$17</definedName>
    <definedName name="growth1st13">'[55]Growth Rates'!$L$18</definedName>
    <definedName name="growth1st14">'[55]Growth Rates'!$L$19</definedName>
    <definedName name="growth1st15">'[55]Growth Rates'!$L$20</definedName>
    <definedName name="growth1st16">'[55]Growth Rates'!$L$21</definedName>
    <definedName name="growth1st17">'[55]Growth Rates'!$L$22</definedName>
    <definedName name="growth1st18">'[55]Growth Rates'!$L$23</definedName>
    <definedName name="growth1st19">'[55]Growth Rates'!$L$24</definedName>
    <definedName name="growth1st20">'[55]Growth Rates'!$L$25</definedName>
    <definedName name="growth1st21">'[55]Growth Rates'!$L$26</definedName>
    <definedName name="growth1st22">'[55]Growth Rates'!$L$27</definedName>
    <definedName name="growth1st23">'[55]Growth Rates'!$L$28</definedName>
    <definedName name="growth1st24">'[55]Growth Rates'!$L$29</definedName>
    <definedName name="growth1st25">'[55]Growth Rates'!$L$30</definedName>
    <definedName name="growthnum21" localSheetId="6">#REF!</definedName>
    <definedName name="growthnum21" localSheetId="3">#REF!</definedName>
    <definedName name="growthnum21">#REF!</definedName>
    <definedName name="GrowthSS01" localSheetId="6">'[55]Growth Rates'!#REF!</definedName>
    <definedName name="GrowthSS01" localSheetId="3">'[77]Growth Rates'!#REF!</definedName>
    <definedName name="GrowthSS01">'[55]Growth Rates'!#REF!</definedName>
    <definedName name="GrowthSS02" localSheetId="6">'[55]Growth Rates'!#REF!</definedName>
    <definedName name="GrowthSS02">'[55]Growth Rates'!#REF!</definedName>
    <definedName name="GrowthSS03" localSheetId="6">'[55]Growth Rates'!#REF!</definedName>
    <definedName name="GrowthSS03">'[55]Growth Rates'!#REF!</definedName>
    <definedName name="GrowthSS04" localSheetId="6">'[55]Growth Rates'!#REF!</definedName>
    <definedName name="GrowthSS04">'[55]Growth Rates'!#REF!</definedName>
    <definedName name="GrowthSS05" localSheetId="6">'[55]Growth Rates'!#REF!</definedName>
    <definedName name="GrowthSS05">'[55]Growth Rates'!#REF!</definedName>
    <definedName name="GrowthSS06" localSheetId="6">'[55]Growth Rates'!#REF!</definedName>
    <definedName name="GrowthSS06">'[55]Growth Rates'!#REF!</definedName>
    <definedName name="GrowthSS07" localSheetId="6">'[55]Growth Rates'!#REF!</definedName>
    <definedName name="GrowthSS07">'[55]Growth Rates'!#REF!</definedName>
    <definedName name="GrowthSS08" localSheetId="6">'[55]Growth Rates'!#REF!</definedName>
    <definedName name="GrowthSS08">'[55]Growth Rates'!#REF!</definedName>
    <definedName name="GrowthSS09" localSheetId="6">'[55]Growth Rates'!#REF!</definedName>
    <definedName name="GrowthSS09">'[55]Growth Rates'!#REF!</definedName>
    <definedName name="GrowthSS10" localSheetId="6">'[55]Growth Rates'!#REF!</definedName>
    <definedName name="GrowthSS10">'[55]Growth Rates'!#REF!</definedName>
    <definedName name="GrowthSS11" localSheetId="6">'[55]Growth Rates'!#REF!</definedName>
    <definedName name="GrowthSS11">'[55]Growth Rates'!#REF!</definedName>
    <definedName name="GrowthSS12" localSheetId="6">'[55]Growth Rates'!#REF!</definedName>
    <definedName name="GrowthSS12">'[55]Growth Rates'!#REF!</definedName>
    <definedName name="GrowthSS13" localSheetId="6">'[55]Growth Rates'!#REF!</definedName>
    <definedName name="GrowthSS13">'[55]Growth Rates'!#REF!</definedName>
    <definedName name="GrowthSS14" localSheetId="6">'[55]Growth Rates'!#REF!</definedName>
    <definedName name="GrowthSS14">'[55]Growth Rates'!#REF!</definedName>
    <definedName name="GrowthSS15" localSheetId="6">'[55]Growth Rates'!#REF!</definedName>
    <definedName name="GrowthSS15">'[55]Growth Rates'!#REF!</definedName>
    <definedName name="GrowthSS16" localSheetId="6">'[55]Growth Rates'!#REF!</definedName>
    <definedName name="GrowthSS16">'[55]Growth Rates'!#REF!</definedName>
    <definedName name="GrowthSS17" localSheetId="6">'[55]Growth Rates'!#REF!</definedName>
    <definedName name="GrowthSS17">'[55]Growth Rates'!#REF!</definedName>
    <definedName name="GrowthSS18" localSheetId="6">'[55]Growth Rates'!#REF!</definedName>
    <definedName name="GrowthSS18">'[55]Growth Rates'!#REF!</definedName>
    <definedName name="GrowthSS19" localSheetId="6">'[55]Growth Rates'!#REF!</definedName>
    <definedName name="GrowthSS19">'[55]Growth Rates'!#REF!</definedName>
    <definedName name="GrowthSS20" localSheetId="6">'[55]Growth Rates'!#REF!</definedName>
    <definedName name="GrowthSS20">'[55]Growth Rates'!#REF!</definedName>
    <definedName name="GrowthSS21" localSheetId="6">'[55]Growth Rates'!#REF!</definedName>
    <definedName name="GrowthSS21">'[55]Growth Rates'!#REF!</definedName>
    <definedName name="GrowthSS22" localSheetId="6">'[55]Growth Rates'!#REF!</definedName>
    <definedName name="GrowthSS22">'[55]Growth Rates'!#REF!</definedName>
    <definedName name="GrowthSS23" localSheetId="6">'[55]Growth Rates'!#REF!</definedName>
    <definedName name="GrowthSS23">'[55]Growth Rates'!#REF!</definedName>
    <definedName name="GrowthSS24" localSheetId="6">'[55]Growth Rates'!#REF!</definedName>
    <definedName name="GrowthSS24">'[55]Growth Rates'!#REF!</definedName>
    <definedName name="GrowthSS25" localSheetId="6">'[55]Growth Rates'!#REF!</definedName>
    <definedName name="GrowthSS25">'[55]Growth Rates'!#REF!</definedName>
    <definedName name="GrowthTrans01" localSheetId="6">'[55]Growth Rates'!#REF!</definedName>
    <definedName name="GrowthTrans01">'[55]Growth Rates'!#REF!</definedName>
    <definedName name="GrowthTrans02" localSheetId="6">'[55]Growth Rates'!#REF!</definedName>
    <definedName name="GrowthTrans02">'[55]Growth Rates'!#REF!</definedName>
    <definedName name="GrowthTrans03" localSheetId="6">'[55]Growth Rates'!#REF!</definedName>
    <definedName name="GrowthTrans03">'[55]Growth Rates'!#REF!</definedName>
    <definedName name="GrowthTrans04" localSheetId="6">'[55]Growth Rates'!#REF!</definedName>
    <definedName name="GrowthTrans04">'[55]Growth Rates'!#REF!</definedName>
    <definedName name="GrowthTrans05" localSheetId="6">'[55]Growth Rates'!#REF!</definedName>
    <definedName name="GrowthTrans05">'[55]Growth Rates'!#REF!</definedName>
    <definedName name="GrowthTrans06" localSheetId="6">'[55]Growth Rates'!#REF!</definedName>
    <definedName name="GrowthTrans06">'[55]Growth Rates'!#REF!</definedName>
    <definedName name="GrowthTrans07" localSheetId="6">'[55]Growth Rates'!#REF!</definedName>
    <definedName name="GrowthTrans07">'[55]Growth Rates'!#REF!</definedName>
    <definedName name="GrowthTrans08" localSheetId="6">'[55]Growth Rates'!#REF!</definedName>
    <definedName name="GrowthTrans08">'[55]Growth Rates'!#REF!</definedName>
    <definedName name="GrowthTrans09" localSheetId="6">'[55]Growth Rates'!#REF!</definedName>
    <definedName name="GrowthTrans09">'[55]Growth Rates'!#REF!</definedName>
    <definedName name="GrowthTrans10" localSheetId="6">'[55]Growth Rates'!#REF!</definedName>
    <definedName name="GrowthTrans10">'[55]Growth Rates'!#REF!</definedName>
    <definedName name="GrowthTrans11" localSheetId="6">'[55]Growth Rates'!#REF!</definedName>
    <definedName name="GrowthTrans11">'[55]Growth Rates'!#REF!</definedName>
    <definedName name="GrowthTrans12" localSheetId="6">'[55]Growth Rates'!#REF!</definedName>
    <definedName name="GrowthTrans12">'[55]Growth Rates'!#REF!</definedName>
    <definedName name="GrowthTrans13" localSheetId="6">'[55]Growth Rates'!#REF!</definedName>
    <definedName name="GrowthTrans13">'[55]Growth Rates'!#REF!</definedName>
    <definedName name="GrowthTrans14" localSheetId="6">'[55]Growth Rates'!#REF!</definedName>
    <definedName name="GrowthTrans14">'[55]Growth Rates'!#REF!</definedName>
    <definedName name="GrowthTrans15" localSheetId="6">'[55]Growth Rates'!#REF!</definedName>
    <definedName name="GrowthTrans15">'[55]Growth Rates'!#REF!</definedName>
    <definedName name="GrowthTrans16" localSheetId="6">'[55]Growth Rates'!#REF!</definedName>
    <definedName name="GrowthTrans16">'[55]Growth Rates'!#REF!</definedName>
    <definedName name="GrowthTrans17" localSheetId="6">'[55]Growth Rates'!#REF!</definedName>
    <definedName name="GrowthTrans17">'[55]Growth Rates'!#REF!</definedName>
    <definedName name="GrowthTrans18" localSheetId="6">'[55]Growth Rates'!#REF!</definedName>
    <definedName name="GrowthTrans18">'[55]Growth Rates'!#REF!</definedName>
    <definedName name="GrowthTrans19" localSheetId="6">'[55]Growth Rates'!#REF!</definedName>
    <definedName name="GrowthTrans19">'[55]Growth Rates'!#REF!</definedName>
    <definedName name="GrowthTrans20" localSheetId="6">'[55]Growth Rates'!#REF!</definedName>
    <definedName name="GrowthTrans20">'[55]Growth Rates'!#REF!</definedName>
    <definedName name="GrowthTrans21" localSheetId="6">'[55]Growth Rates'!#REF!</definedName>
    <definedName name="GrowthTrans21">'[55]Growth Rates'!#REF!</definedName>
    <definedName name="GrowthTrans22" localSheetId="6">'[55]Growth Rates'!#REF!</definedName>
    <definedName name="GrowthTrans22">'[55]Growth Rates'!#REF!</definedName>
    <definedName name="GrowthTrans23" localSheetId="6">'[55]Growth Rates'!#REF!</definedName>
    <definedName name="GrowthTrans23">'[55]Growth Rates'!#REF!</definedName>
    <definedName name="GrowthTrans24" localSheetId="6">'[55]Growth Rates'!#REF!</definedName>
    <definedName name="GrowthTrans24">'[55]Growth Rates'!#REF!</definedName>
    <definedName name="GrowthTrans25" localSheetId="6">'[55]Growth Rates'!#REF!</definedName>
    <definedName name="GrowthTrans25">'[55]Growth Rates'!#REF!</definedName>
    <definedName name="haha" localSheetId="1" hidden="1">{"OMPA_FAC",#N/A,FALSE,"OMPA FAC"}</definedName>
    <definedName name="haha" localSheetId="32" hidden="1">{"OMPA_FAC",#N/A,FALSE,"OMPA FAC"}</definedName>
    <definedName name="haha" localSheetId="6" hidden="1">{"OMPA_FAC",#N/A,FALSE,"OMPA FAC"}</definedName>
    <definedName name="haha" localSheetId="4" hidden="1">{"OMPA_FAC",#N/A,FALSE,"OMPA FAC"}</definedName>
    <definedName name="haha" localSheetId="5" hidden="1">{"OMPA_FAC",#N/A,FALSE,"OMPA FAC"}</definedName>
    <definedName name="haha" localSheetId="7" hidden="1">{"OMPA_FAC",#N/A,FALSE,"OMPA FAC"}</definedName>
    <definedName name="haha" localSheetId="3" hidden="1">{"OMPA_FAC",#N/A,FALSE,"OMPA FAC"}</definedName>
    <definedName name="haha" localSheetId="47" hidden="1">{"OMPA_FAC",#N/A,FALSE,"OMPA FAC"}</definedName>
    <definedName name="haha" hidden="1">{"OMPA_FAC",#N/A,FALSE,"OMPA FAC"}</definedName>
    <definedName name="HB2INCOME" localSheetId="3">#REF!</definedName>
    <definedName name="HB2INCOME">#REF!</definedName>
    <definedName name="HBINCOME" localSheetId="3">#REF!</definedName>
    <definedName name="HBINCOME">#REF!</definedName>
    <definedName name="Header_Row">ROW(#REF!)</definedName>
    <definedName name="henry" localSheetId="6">#REF!</definedName>
    <definedName name="henry" localSheetId="3">#REF!</definedName>
    <definedName name="henry">#REF!</definedName>
    <definedName name="HertzData">'[37]Customer Bill Details (External'!$O$280</definedName>
    <definedName name="HertzRes">'[37]Customer Bill Details (External'!$O$239</definedName>
    <definedName name="hhhdffg"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2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hh" localSheetId="1" hidden="1">#REF!</definedName>
    <definedName name="hhhhh" localSheetId="5" hidden="1">#REF!</definedName>
    <definedName name="hhhhh" localSheetId="3" hidden="1">#REF!</definedName>
    <definedName name="hhhhh" localSheetId="29" hidden="1">#REF!</definedName>
    <definedName name="hhhhh" hidden="1">#REF!</definedName>
    <definedName name="Histogram" localSheetId="3">#REF!</definedName>
    <definedName name="Histogram">#REF!</definedName>
    <definedName name="history" localSheetId="3">#REF!</definedName>
    <definedName name="history">#REF!</definedName>
    <definedName name="hldgpd" localSheetId="3">#REF!</definedName>
    <definedName name="hldgpd">#REF!</definedName>
    <definedName name="HLP_DIV_RETIRE_TRFS_REPORT" localSheetId="3">#REF!</definedName>
    <definedName name="HLP_DIV_RETIRE_TRFS_REPORT">#REF!</definedName>
    <definedName name="HMMM"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n._I006" localSheetId="6" hidden="1">#REF!</definedName>
    <definedName name="hn._I006" localSheetId="7" hidden="1">#REF!</definedName>
    <definedName name="hn._I006" hidden="1">#REF!</definedName>
    <definedName name="hn._I018" localSheetId="6" hidden="1">#REF!</definedName>
    <definedName name="hn._I018" localSheetId="7" hidden="1">#REF!</definedName>
    <definedName name="hn._I018" localSheetId="3" hidden="1">#REF!</definedName>
    <definedName name="hn._I018" hidden="1">#REF!</definedName>
    <definedName name="hn._I024" localSheetId="6" hidden="1">#REF!</definedName>
    <definedName name="hn._I024" localSheetId="7" hidden="1">#REF!</definedName>
    <definedName name="hn._I024" localSheetId="3" hidden="1">#REF!</definedName>
    <definedName name="hn._I024" hidden="1">#REF!</definedName>
    <definedName name="hn._I028" localSheetId="3" hidden="1">#REF!</definedName>
    <definedName name="hn._I028" hidden="1">#REF!</definedName>
    <definedName name="hn._I029" localSheetId="3" hidden="1">#REF!</definedName>
    <definedName name="hn._I029" hidden="1">#REF!</definedName>
    <definedName name="hn._I030" localSheetId="3" hidden="1">#REF!</definedName>
    <definedName name="hn._I030" hidden="1">#REF!</definedName>
    <definedName name="hn._I031" localSheetId="3" hidden="1">#REF!</definedName>
    <definedName name="hn._I031" hidden="1">#REF!</definedName>
    <definedName name="hn._I059" localSheetId="3" hidden="1">#REF!</definedName>
    <definedName name="hn._I059" hidden="1">#REF!</definedName>
    <definedName name="hn._I071" localSheetId="3" hidden="1">#REF!</definedName>
    <definedName name="hn._I071" hidden="1">#REF!</definedName>
    <definedName name="hn._I075" localSheetId="3" hidden="1">#REF!</definedName>
    <definedName name="hn._I075" hidden="1">#REF!</definedName>
    <definedName name="hn._I083" localSheetId="3" hidden="1">#REF!</definedName>
    <definedName name="hn._I083" hidden="1">#REF!</definedName>
    <definedName name="hn._I085" localSheetId="3" hidden="1">#REF!</definedName>
    <definedName name="hn._I085" hidden="1">#REF!</definedName>
    <definedName name="hn._P001" localSheetId="3" hidden="1">#REF!</definedName>
    <definedName name="hn._P001" hidden="1">#REF!</definedName>
    <definedName name="hn._P004" localSheetId="3" hidden="1">#REF!</definedName>
    <definedName name="hn._P004" hidden="1">#REF!</definedName>
    <definedName name="hn._P014" localSheetId="3" hidden="1">#REF!</definedName>
    <definedName name="hn._P014" hidden="1">#REF!</definedName>
    <definedName name="hn._P016" localSheetId="3" hidden="1">#REF!</definedName>
    <definedName name="hn._P016" hidden="1">#REF!</definedName>
    <definedName name="hn._P021" localSheetId="3" hidden="1">#REF!</definedName>
    <definedName name="hn._P021" hidden="1">#REF!</definedName>
    <definedName name="hn._P024" localSheetId="3" hidden="1">#REF!</definedName>
    <definedName name="hn._P024" hidden="1">#REF!</definedName>
    <definedName name="hn.Add015" localSheetId="3" hidden="1">#REF!</definedName>
    <definedName name="hn.Add015" hidden="1">#REF!</definedName>
    <definedName name="hn.Delete015" localSheetId="6" hidden="1">#REF!,#REF!,#REF!,#REF!,#REF!</definedName>
    <definedName name="hn.Delete015" localSheetId="7" hidden="1">#REF!,#REF!,#REF!,#REF!,#REF!</definedName>
    <definedName name="hn.Delete015" localSheetId="3" hidden="1">#REF!,#REF!,#REF!,#REF!,#REF!</definedName>
    <definedName name="hn.Delete015" hidden="1">#REF!,#REF!,#REF!,#REF!,#REF!</definedName>
    <definedName name="hn.ModelVersion" hidden="1">1</definedName>
    <definedName name="hn.NoUpload" hidden="1">0</definedName>
    <definedName name="hn.PrivateLTMYear" localSheetId="6" hidden="1">#REF!</definedName>
    <definedName name="hn.PrivateLTMYear" localSheetId="7" hidden="1">#REF!</definedName>
    <definedName name="hn.PrivateLTMYear" localSheetId="3" hidden="1">#REF!</definedName>
    <definedName name="hn.PrivateLTMYear" hidden="1">#REF!</definedName>
    <definedName name="hrehehr" localSheetId="1" hidden="1">{"caz2",#N/A,FALSE,"Central Arizona 2";"saz2",#N/A,FALSE,"Southern Arizona 2";"snv2",#N/A,FALSE,"Southern Nevada 2";"nnv2",#N/A,FALSE,"Northern Nevada 2";"sca2",#N/A,FALSE,"Southern California 2";"nca2",#N/A,FALSE,"Northern California 2";"pai2",#N/A,FALSE,"Paiute 2"}</definedName>
    <definedName name="hrehehr" localSheetId="32" hidden="1">{"caz2",#N/A,FALSE,"Central Arizona 2";"saz2",#N/A,FALSE,"Southern Arizona 2";"snv2",#N/A,FALSE,"Southern Nevada 2";"nnv2",#N/A,FALSE,"Northern Nevada 2";"sca2",#N/A,FALSE,"Southern California 2";"nca2",#N/A,FALSE,"Northern California 2";"pai2",#N/A,FALSE,"Paiute 2"}</definedName>
    <definedName name="hrehehr" localSheetId="6" hidden="1">{"caz2",#N/A,FALSE,"Central Arizona 2";"saz2",#N/A,FALSE,"Southern Arizona 2";"snv2",#N/A,FALSE,"Southern Nevada 2";"nnv2",#N/A,FALSE,"Northern Nevada 2";"sca2",#N/A,FALSE,"Southern California 2";"nca2",#N/A,FALSE,"Northern California 2";"pai2",#N/A,FALSE,"Paiute 2"}</definedName>
    <definedName name="hrehehr" localSheetId="4" hidden="1">{"caz2",#N/A,FALSE,"Central Arizona 2";"saz2",#N/A,FALSE,"Southern Arizona 2";"snv2",#N/A,FALSE,"Southern Nevada 2";"nnv2",#N/A,FALSE,"Northern Nevada 2";"sca2",#N/A,FALSE,"Southern California 2";"nca2",#N/A,FALSE,"Northern California 2";"pai2",#N/A,FALSE,"Paiute 2"}</definedName>
    <definedName name="hrehehr" localSheetId="5" hidden="1">{"caz2",#N/A,FALSE,"Central Arizona 2";"saz2",#N/A,FALSE,"Southern Arizona 2";"snv2",#N/A,FALSE,"Southern Nevada 2";"nnv2",#N/A,FALSE,"Northern Nevada 2";"sca2",#N/A,FALSE,"Southern California 2";"nca2",#N/A,FALSE,"Northern California 2";"pai2",#N/A,FALSE,"Paiute 2"}</definedName>
    <definedName name="hrehehr" localSheetId="7" hidden="1">{"caz2",#N/A,FALSE,"Central Arizona 2";"saz2",#N/A,FALSE,"Southern Arizona 2";"snv2",#N/A,FALSE,"Southern Nevada 2";"nnv2",#N/A,FALSE,"Northern Nevada 2";"sca2",#N/A,FALSE,"Southern California 2";"nca2",#N/A,FALSE,"Northern California 2";"pai2",#N/A,FALSE,"Paiute 2"}</definedName>
    <definedName name="hrehehr" localSheetId="3" hidden="1">{"caz2",#N/A,FALSE,"Central Arizona 2";"saz2",#N/A,FALSE,"Southern Arizona 2";"snv2",#N/A,FALSE,"Southern Nevada 2";"nnv2",#N/A,FALSE,"Northern Nevada 2";"sca2",#N/A,FALSE,"Southern California 2";"nca2",#N/A,FALSE,"Northern California 2";"pai2",#N/A,FALSE,"Paiute 2"}</definedName>
    <definedName name="hrehehr" localSheetId="29" hidden="1">{"caz2",#N/A,FALSE,"Central Arizona 2";"saz2",#N/A,FALSE,"Southern Arizona 2";"snv2",#N/A,FALSE,"Southern Nevada 2";"nnv2",#N/A,FALSE,"Northern Nevada 2";"sca2",#N/A,FALSE,"Southern California 2";"nca2",#N/A,FALSE,"Northern California 2";"pai2",#N/A,FALSE,"Paiute 2"}</definedName>
    <definedName name="hrehehr" localSheetId="47" hidden="1">{"caz2",#N/A,FALSE,"Central Arizona 2";"saz2",#N/A,FALSE,"Southern Arizona 2";"snv2",#N/A,FALSE,"Southern Nevada 2";"nnv2",#N/A,FALSE,"Northern Nevada 2";"sca2",#N/A,FALSE,"Southern California 2";"nca2",#N/A,FALSE,"Northern California 2";"pai2",#N/A,FALSE,"Paiute 2"}</definedName>
    <definedName name="hrehehr" hidden="1">{"caz2",#N/A,FALSE,"Central Arizona 2";"saz2",#N/A,FALSE,"Southern Arizona 2";"snv2",#N/A,FALSE,"Southern Nevada 2";"nnv2",#N/A,FALSE,"Northern Nevada 2";"sca2",#N/A,FALSE,"Southern California 2";"nca2",#N/A,FALSE,"Northern California 2";"pai2",#N/A,FALSE,"Paiute 2"}</definedName>
    <definedName name="HTML_CodePage" hidden="1">1252</definedName>
    <definedName name="HTML_Control" localSheetId="1" hidden="1">{"'Sheet1'!$A$1:$O$40"}</definedName>
    <definedName name="HTML_Control" localSheetId="32" hidden="1">{"'Sheet1'!$A$1:$O$40"}</definedName>
    <definedName name="HTML_Control" localSheetId="6" hidden="1">{"'Sheet1'!$A$1:$O$40"}</definedName>
    <definedName name="HTML_Control" localSheetId="4" hidden="1">{"'Sheet1'!$A$1:$O$40"}</definedName>
    <definedName name="HTML_Control" localSheetId="5" hidden="1">{"'Sheet1'!$A$1:$O$40"}</definedName>
    <definedName name="HTML_Control" localSheetId="7" hidden="1">{"'Sheet1'!$A$1:$O$40"}</definedName>
    <definedName name="HTML_Control" localSheetId="3" hidden="1">{"'Sheet1'!$A$1:$O$40"}</definedName>
    <definedName name="HTML_Control" localSheetId="29" hidden="1">{"'Sheet1'!$A$1:$O$40"}</definedName>
    <definedName name="HTML_Control" localSheetId="47" hidden="1">{"'Sheet1'!$A$1:$O$40"}</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1</definedName>
    <definedName name="i" localSheetId="1" hidden="1">{"Support Net Plant=Net Utility Plant",#N/A,FALSE,"Net Plant"}</definedName>
    <definedName name="i" localSheetId="32" hidden="1">{"Support Net Plant=Net Utility Plant",#N/A,FALSE,"Net Plant"}</definedName>
    <definedName name="i" localSheetId="6" hidden="1">{"Support Net Plant=Net Utility Plant",#N/A,FALSE,"Net Plant"}</definedName>
    <definedName name="i" localSheetId="4" hidden="1">{"Support Net Plant=Net Utility Plant",#N/A,FALSE,"Net Plant"}</definedName>
    <definedName name="i" localSheetId="5" hidden="1">{"Support Net Plant=Net Utility Plant",#N/A,FALSE,"Net Plant"}</definedName>
    <definedName name="i" localSheetId="7" hidden="1">{"Support Net Plant=Net Utility Plant",#N/A,FALSE,"Net Plant"}</definedName>
    <definedName name="i" localSheetId="3" hidden="1">{"Support Net Plant=Net Utility Plant",#N/A,FALSE,"Net Plant"}</definedName>
    <definedName name="i" localSheetId="29" hidden="1">{"Support Net Plant=Net Utility Plant",#N/A,FALSE,"Net Plant"}</definedName>
    <definedName name="i" localSheetId="47" hidden="1">{"Support Net Plant=Net Utility Plant",#N/A,FALSE,"Net Plant"}</definedName>
    <definedName name="i" hidden="1">{"Support Net Plant=Net Utility Plant",#N/A,FALSE,"Net Plant"}</definedName>
    <definedName name="ifch" localSheetId="1" hidden="1">#REF!</definedName>
    <definedName name="ifch" localSheetId="5" hidden="1">#REF!</definedName>
    <definedName name="ifch" localSheetId="3" hidden="1">#REF!</definedName>
    <definedName name="ifch" localSheetId="29" hidden="1">#REF!</definedName>
    <definedName name="ifch" hidden="1">#REF!</definedName>
    <definedName name="INCOME1" localSheetId="3">#REF!</definedName>
    <definedName name="INCOME1">#REF!</definedName>
    <definedName name="INCOME2" localSheetId="3">#REF!</definedName>
    <definedName name="INCOME2">#REF!</definedName>
    <definedName name="INCOME3" localSheetId="3">#REF!</definedName>
    <definedName name="INCOME3">#REF!</definedName>
    <definedName name="IncomeStatement" localSheetId="32" hidden="1">{#N/A,#N/A,FALSE,"FinStateUS"}</definedName>
    <definedName name="IncomeStatement" localSheetId="6" hidden="1">{#N/A,#N/A,FALSE,"FinStateUS"}</definedName>
    <definedName name="IncomeStatement" localSheetId="7" hidden="1">{#N/A,#N/A,FALSE,"FinStateUS"}</definedName>
    <definedName name="IncomeStatement" localSheetId="3" hidden="1">{#N/A,#N/A,FALSE,"FinStateUS"}</definedName>
    <definedName name="IncomeStatement" localSheetId="47" hidden="1">{#N/A,#N/A,FALSE,"FinStateUS"}</definedName>
    <definedName name="IncomeStatement" hidden="1">{#N/A,#N/A,FALSE,"FinStateUS"}</definedName>
    <definedName name="IncomeStatement6Years" localSheetId="32" hidden="1">{"IncStatement 6 years",#N/A,FALSE,"FinStateUS"}</definedName>
    <definedName name="IncomeStatement6Years" localSheetId="6" hidden="1">{"IncStatement 6 years",#N/A,FALSE,"FinStateUS"}</definedName>
    <definedName name="IncomeStatement6Years" localSheetId="7" hidden="1">{"IncStatement 6 years",#N/A,FALSE,"FinStateUS"}</definedName>
    <definedName name="IncomeStatement6Years" localSheetId="3" hidden="1">{"IncStatement 6 years",#N/A,FALSE,"FinStateUS"}</definedName>
    <definedName name="IncomeStatement6Years" localSheetId="47" hidden="1">{"IncStatement 6 years",#N/A,FALSE,"FinStateUS"}</definedName>
    <definedName name="IncomeStatement6Years" hidden="1">{"IncStatement 6 years",#N/A,FALSE,"FinStateUS"}</definedName>
    <definedName name="ind" localSheetId="6">#REF!</definedName>
    <definedName name="ind" localSheetId="3">#REF!</definedName>
    <definedName name="ind">#REF!</definedName>
    <definedName name="index" localSheetId="6">#REF!</definedName>
    <definedName name="index" localSheetId="3">#REF!</definedName>
    <definedName name="index">#REF!</definedName>
    <definedName name="index_name" localSheetId="3">OFFSET(#REF!,10,0,COUNTA(#REF!),1)</definedName>
    <definedName name="index_name">OFFSET(#REF!,10,0,COUNTA(#REF!),1)</definedName>
    <definedName name="Inflation" localSheetId="1" hidden="1">[22]Data!$C$30:$C$233</definedName>
    <definedName name="Inflation" hidden="1">[21]Data!$C$30:$C$233</definedName>
    <definedName name="INPUT" localSheetId="6">#REF!</definedName>
    <definedName name="INPUT" localSheetId="3">#REF!</definedName>
    <definedName name="INPUT">#REF!</definedName>
    <definedName name="Int" localSheetId="6">#REF!</definedName>
    <definedName name="Int" localSheetId="3">#REF!</definedName>
    <definedName name="Int">#REF!</definedName>
    <definedName name="INTACCR001" localSheetId="3">#REF!</definedName>
    <definedName name="INTACCR001">#REF!</definedName>
    <definedName name="INTACCR002" localSheetId="3">#REF!</definedName>
    <definedName name="INTACCR002">#REF!</definedName>
    <definedName name="INTACCR981" localSheetId="3">#REF!</definedName>
    <definedName name="INTACCR981">#REF!</definedName>
    <definedName name="INTACCR982" localSheetId="3">#REF!</definedName>
    <definedName name="INTACCR982">#REF!</definedName>
    <definedName name="INTACCR991" localSheetId="3">#REF!</definedName>
    <definedName name="INTACCR991">#REF!</definedName>
    <definedName name="INTACCR992" localSheetId="3">#REF!</definedName>
    <definedName name="INTACCR992">#REF!</definedName>
    <definedName name="Interest_Rate" localSheetId="3">#REF!</definedName>
    <definedName name="Interest_Rate">#REF!</definedName>
    <definedName name="INTSCH001" localSheetId="3">#REF!</definedName>
    <definedName name="INTSCH001">#REF!</definedName>
    <definedName name="INTSCH002" localSheetId="3">#REF!</definedName>
    <definedName name="INTSCH002">#REF!</definedName>
    <definedName name="INTSCH981" localSheetId="3">#REF!</definedName>
    <definedName name="INTSCH981">#REF!</definedName>
    <definedName name="INTSCH982" localSheetId="3">#REF!</definedName>
    <definedName name="INTSCH982">#REF!</definedName>
    <definedName name="INTSCH991" localSheetId="3">#REF!</definedName>
    <definedName name="INTSCH991">#REF!</definedName>
    <definedName name="INTSCH992" localSheetId="3">#REF!</definedName>
    <definedName name="INTSCH992">#REF!</definedName>
    <definedName name="INTSYNCH">'[78]summary:proforma int'!$A$2:$AB$414</definedName>
    <definedName name="ipowAC" localSheetId="1" hidden="1">#REF!</definedName>
    <definedName name="ipowAC" localSheetId="5" hidden="1">#REF!</definedName>
    <definedName name="ipowAC" localSheetId="3" hidden="1">#REF!</definedName>
    <definedName name="ipowAC" localSheetId="29" hidden="1">#REF!</definedName>
    <definedName name="ipowAC"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40164.5046875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y" localSheetId="1" hidden="1">#REF!</definedName>
    <definedName name="iuy" localSheetId="5" hidden="1">#REF!</definedName>
    <definedName name="iuy" localSheetId="3" hidden="1">#REF!</definedName>
    <definedName name="iuy" localSheetId="29" hidden="1">#REF!</definedName>
    <definedName name="iuy" hidden="1">#REF!</definedName>
    <definedName name="iuyt" localSheetId="1" hidden="1">#REF!</definedName>
    <definedName name="iuyt" localSheetId="5" hidden="1">#REF!</definedName>
    <definedName name="iuyt" localSheetId="3" hidden="1">#REF!</definedName>
    <definedName name="iuyt" localSheetId="29" hidden="1">#REF!</definedName>
    <definedName name="iuyt" hidden="1">#REF!</definedName>
    <definedName name="j" localSheetId="5" hidden="1">#REF!</definedName>
    <definedName name="j" localSheetId="3" hidden="1">#REF!</definedName>
    <definedName name="j" localSheetId="29" hidden="1">#REF!</definedName>
    <definedName name="j" hidden="1">#REF!</definedName>
    <definedName name="JANAMT" localSheetId="3">'2.4 OpCo Proxy Cap Str'!AmtTable</definedName>
    <definedName name="JANAMT">[39]!AmtTable</definedName>
    <definedName name="JANDT" localSheetId="3">'2.4 OpCo Proxy Cap Str'!DTTable</definedName>
    <definedName name="JANDT">[39]!DTTable</definedName>
    <definedName name="JBL">#REF!</definedName>
    <definedName name="jdn" localSheetId="5" hidden="1">#REF!</definedName>
    <definedName name="jdn" localSheetId="3" hidden="1">#REF!</definedName>
    <definedName name="jdn" localSheetId="29" hidden="1">#REF!</definedName>
    <definedName name="jdn" hidden="1">#REF!</definedName>
    <definedName name="je" localSheetId="1" hidden="1">{#N/A,#N/A,FALSE,"SCA";#N/A,#N/A,FALSE,"NCA";#N/A,#N/A,FALSE,"SAZ";#N/A,#N/A,FALSE,"CAZ";#N/A,#N/A,FALSE,"SNV";#N/A,#N/A,FALSE,"NNV";#N/A,#N/A,FALSE,"PP";#N/A,#N/A,FALSE,"SA"}</definedName>
    <definedName name="je" localSheetId="32"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4" hidden="1">{#N/A,#N/A,FALSE,"SCA";#N/A,#N/A,FALSE,"NCA";#N/A,#N/A,FALSE,"SAZ";#N/A,#N/A,FALSE,"CAZ";#N/A,#N/A,FALSE,"SNV";#N/A,#N/A,FALSE,"NNV";#N/A,#N/A,FALSE,"PP";#N/A,#N/A,FALSE,"SA"}</definedName>
    <definedName name="je" localSheetId="5" hidden="1">{#N/A,#N/A,FALSE,"SCA";#N/A,#N/A,FALSE,"NCA";#N/A,#N/A,FALSE,"SAZ";#N/A,#N/A,FALSE,"CAZ";#N/A,#N/A,FALSE,"SNV";#N/A,#N/A,FALSE,"NNV";#N/A,#N/A,FALSE,"PP";#N/A,#N/A,FALSE,"SA"}</definedName>
    <definedName name="je" localSheetId="7" hidden="1">{#N/A,#N/A,FALSE,"SCA";#N/A,#N/A,FALSE,"NCA";#N/A,#N/A,FALSE,"SAZ";#N/A,#N/A,FALSE,"CAZ";#N/A,#N/A,FALSE,"SNV";#N/A,#N/A,FALSE,"NNV";#N/A,#N/A,FALSE,"PP";#N/A,#N/A,FALSE,"SA"}</definedName>
    <definedName name="je" localSheetId="3" hidden="1">{#N/A,#N/A,FALSE,"SCA";#N/A,#N/A,FALSE,"NCA";#N/A,#N/A,FALSE,"SAZ";#N/A,#N/A,FALSE,"CAZ";#N/A,#N/A,FALSE,"SNV";#N/A,#N/A,FALSE,"NNV";#N/A,#N/A,FALSE,"PP";#N/A,#N/A,FALSE,"SA"}</definedName>
    <definedName name="je" localSheetId="47" hidden="1">{#N/A,#N/A,FALSE,"SCA";#N/A,#N/A,FALSE,"NCA";#N/A,#N/A,FALSE,"SAZ";#N/A,#N/A,FALSE,"CAZ";#N/A,#N/A,FALSE,"SNV";#N/A,#N/A,FALSE,"NNV";#N/A,#N/A,FALSE,"PP";#N/A,#N/A,FALSE,"SA"}</definedName>
    <definedName name="je" hidden="1">{#N/A,#N/A,FALSE,"SCA";#N/A,#N/A,FALSE,"NCA";#N/A,#N/A,FALSE,"SAZ";#N/A,#N/A,FALSE,"CAZ";#N/A,#N/A,FALSE,"SNV";#N/A,#N/A,FALSE,"NNV";#N/A,#N/A,FALSE,"PP";#N/A,#N/A,FALSE,"SA"}</definedName>
    <definedName name="jhlkqFL" localSheetId="1" hidden="1">{"'Sheet1'!$A$1:$O$40"}</definedName>
    <definedName name="jhlkqFL" localSheetId="32" hidden="1">{"'Sheet1'!$A$1:$O$40"}</definedName>
    <definedName name="jhlkqFL" localSheetId="6" hidden="1">{"'Sheet1'!$A$1:$O$40"}</definedName>
    <definedName name="jhlkqFL" localSheetId="4" hidden="1">{"'Sheet1'!$A$1:$O$40"}</definedName>
    <definedName name="jhlkqFL" localSheetId="5" hidden="1">{"'Sheet1'!$A$1:$O$40"}</definedName>
    <definedName name="jhlkqFL" localSheetId="7" hidden="1">{"'Sheet1'!$A$1:$O$40"}</definedName>
    <definedName name="jhlkqFL" localSheetId="3" hidden="1">{"'Sheet1'!$A$1:$O$40"}</definedName>
    <definedName name="jhlkqFL" localSheetId="29" hidden="1">{"'Sheet1'!$A$1:$O$40"}</definedName>
    <definedName name="jhlkqFL" localSheetId="47" hidden="1">{"'Sheet1'!$A$1:$O$40"}</definedName>
    <definedName name="jhlkqFL" hidden="1">{"'Sheet1'!$A$1:$O$40"}</definedName>
    <definedName name="jkdf" localSheetId="1" hidden="1">#REF!</definedName>
    <definedName name="jkdf" localSheetId="5" hidden="1">#REF!</definedName>
    <definedName name="jkdf" localSheetId="3" hidden="1">#REF!</definedName>
    <definedName name="jkdf" localSheetId="29" hidden="1">#REF!</definedName>
    <definedName name="jkdf" hidden="1">#REF!</definedName>
    <definedName name="jkdsac" localSheetId="1" hidden="1">#REF!</definedName>
    <definedName name="jkdsac" localSheetId="5" hidden="1">#REF!</definedName>
    <definedName name="jkdsac" localSheetId="3" hidden="1">#REF!</definedName>
    <definedName name="jkdsac" localSheetId="29" hidden="1">#REF!</definedName>
    <definedName name="jkdsac" hidden="1">#REF!</definedName>
    <definedName name="jkfoo" localSheetId="5" hidden="1">#REF!</definedName>
    <definedName name="jkfoo" localSheetId="3" hidden="1">#REF!</definedName>
    <definedName name="jkfoo" localSheetId="29" hidden="1">#REF!</definedName>
    <definedName name="jkfoo" hidden="1">#REF!</definedName>
    <definedName name="jkrhtr" localSheetId="1" hidden="1">{"print1",#N/A,FALSE,"D21CUSTS"}</definedName>
    <definedName name="jkrhtr" localSheetId="32" hidden="1">{"print1",#N/A,FALSE,"D21CUSTS"}</definedName>
    <definedName name="jkrhtr" localSheetId="6" hidden="1">{"print1",#N/A,FALSE,"D21CUSTS"}</definedName>
    <definedName name="jkrhtr" localSheetId="4" hidden="1">{"print1",#N/A,FALSE,"D21CUSTS"}</definedName>
    <definedName name="jkrhtr" localSheetId="5" hidden="1">{"print1",#N/A,FALSE,"D21CUSTS"}</definedName>
    <definedName name="jkrhtr" localSheetId="7" hidden="1">{"print1",#N/A,FALSE,"D21CUSTS"}</definedName>
    <definedName name="jkrhtr" localSheetId="3" hidden="1">{"print1",#N/A,FALSE,"D21CUSTS"}</definedName>
    <definedName name="jkrhtr" localSheetId="29" hidden="1">{"print1",#N/A,FALSE,"D21CUSTS"}</definedName>
    <definedName name="jkrhtr" localSheetId="47" hidden="1">{"print1",#N/A,FALSE,"D21CUSTS"}</definedName>
    <definedName name="jkrhtr" hidden="1">{"print1",#N/A,FALSE,"D21CUSTS"}</definedName>
    <definedName name="jktrjhjhjh"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2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ohn">#REF!</definedName>
    <definedName name="jrththtr" localSheetId="1" hidden="1">{#N/A,#N/A,FALSE,"OTHERINPUTS";#N/A,#N/A,FALSE,"SUPPLIEDADJINPUT";#N/A,#N/A,FALSE,"BR&amp;SUPADJ."}</definedName>
    <definedName name="jrththtr" localSheetId="32" hidden="1">{#N/A,#N/A,FALSE,"OTHERINPUTS";#N/A,#N/A,FALSE,"SUPPLIEDADJINPUT";#N/A,#N/A,FALSE,"BR&amp;SUPADJ."}</definedName>
    <definedName name="jrththtr" localSheetId="6" hidden="1">{#N/A,#N/A,FALSE,"OTHERINPUTS";#N/A,#N/A,FALSE,"SUPPLIEDADJINPUT";#N/A,#N/A,FALSE,"BR&amp;SUPADJ."}</definedName>
    <definedName name="jrththtr" localSheetId="4" hidden="1">{#N/A,#N/A,FALSE,"OTHERINPUTS";#N/A,#N/A,FALSE,"SUPPLIEDADJINPUT";#N/A,#N/A,FALSE,"BR&amp;SUPADJ."}</definedName>
    <definedName name="jrththtr" localSheetId="5" hidden="1">{#N/A,#N/A,FALSE,"OTHERINPUTS";#N/A,#N/A,FALSE,"SUPPLIEDADJINPUT";#N/A,#N/A,FALSE,"BR&amp;SUPADJ."}</definedName>
    <definedName name="jrththtr" localSheetId="7" hidden="1">{#N/A,#N/A,FALSE,"OTHERINPUTS";#N/A,#N/A,FALSE,"SUPPLIEDADJINPUT";#N/A,#N/A,FALSE,"BR&amp;SUPADJ."}</definedName>
    <definedName name="jrththtr" localSheetId="3" hidden="1">{#N/A,#N/A,FALSE,"OTHERINPUTS";#N/A,#N/A,FALSE,"SUPPLIEDADJINPUT";#N/A,#N/A,FALSE,"BR&amp;SUPADJ."}</definedName>
    <definedName name="jrththtr" localSheetId="29" hidden="1">{#N/A,#N/A,FALSE,"OTHERINPUTS";#N/A,#N/A,FALSE,"SUPPLIEDADJINPUT";#N/A,#N/A,FALSE,"BR&amp;SUPADJ."}</definedName>
    <definedName name="jrththtr" localSheetId="47" hidden="1">{#N/A,#N/A,FALSE,"OTHERINPUTS";#N/A,#N/A,FALSE,"SUPPLIEDADJINPUT";#N/A,#N/A,FALSE,"BR&amp;SUPADJ."}</definedName>
    <definedName name="jrththtr" hidden="1">{#N/A,#N/A,FALSE,"OTHERINPUTS";#N/A,#N/A,FALSE,"SUPPLIEDADJINPUT";#N/A,#N/A,FALSE,"BR&amp;SUPADJ."}</definedName>
    <definedName name="jseqf" localSheetId="1" hidden="1">#REF!</definedName>
    <definedName name="jseqf" localSheetId="5" hidden="1">#REF!</definedName>
    <definedName name="jseqf" localSheetId="3" hidden="1">#REF!</definedName>
    <definedName name="jseqf" localSheetId="29" hidden="1">#REF!</definedName>
    <definedName name="jseqf" hidden="1">#REF!</definedName>
    <definedName name="JULYAMT" localSheetId="3">'2.4 OpCo Proxy Cap Str'!AmtTable</definedName>
    <definedName name="JULYAMT">[39]!AmtTable</definedName>
    <definedName name="JULYDT" localSheetId="3">'2.4 OpCo Proxy Cap Str'!DTTable</definedName>
    <definedName name="JULYDT">[39]!DTTable</definedName>
    <definedName name="JUNEAMT" localSheetId="3">'2.4 OpCo Proxy Cap Str'!AmtTable</definedName>
    <definedName name="JUNEAMT">[39]!AmtTable</definedName>
    <definedName name="JUNEDT" localSheetId="3">'2.4 OpCo Proxy Cap Str'!DTTable</definedName>
    <definedName name="JUNEDT">[39]!DTTable</definedName>
    <definedName name="JUNK">[70]APRIL!$F$228,[70]APRIL!$F$229:$F$232,[70]APRIL!$F$235,[70]APRIL!$F$238:$F$243,[70]APRIL!$F$252:$F$253,[70]APRIL!$F$256:$F$261,[70]APRIL!$F$270:$F$275,[70]APRIL!$F$279,[70]APRIL!$F$282:$F$287,[70]APRIL!$F$300:$F$301,[70]APRIL!$F$304:$F$309,[70]APRIL!$F$318:$F$319,[70]APRIL!$F$322:$F$327</definedName>
    <definedName name="Juris_Weather_Adj_Data">#REF!</definedName>
    <definedName name="JURISDICTION">'[51]Input '!$C$8</definedName>
    <definedName name="JurisdictionalFactor" localSheetId="6">#REF!</definedName>
    <definedName name="JurisdictionalFactor" localSheetId="3">#REF!</definedName>
    <definedName name="JurisdictionalFactor">#REF!</definedName>
    <definedName name="jz" localSheetId="1" hidden="1">#REF!</definedName>
    <definedName name="jz" localSheetId="5" hidden="1">#REF!</definedName>
    <definedName name="jz" localSheetId="3" hidden="1">#REF!</definedName>
    <definedName name="jz" localSheetId="29" hidden="1">#REF!</definedName>
    <definedName name="jz" hidden="1">#REF!</definedName>
    <definedName name="jzs" localSheetId="1" hidden="1">#REF!</definedName>
    <definedName name="jzs" localSheetId="5" hidden="1">#REF!</definedName>
    <definedName name="jzs" localSheetId="3" hidden="1">#REF!</definedName>
    <definedName name="jzs" localSheetId="29" hidden="1">#REF!</definedName>
    <definedName name="jzs" hidden="1">#REF!</definedName>
    <definedName name="k" localSheetId="5" hidden="1">#REF!</definedName>
    <definedName name="k" localSheetId="3" hidden="1">#REF!</definedName>
    <definedName name="k" localSheetId="29" hidden="1">#REF!</definedName>
    <definedName name="k" hidden="1">#REF!</definedName>
    <definedName name="k.1">[79]Calculate!$C$11</definedName>
    <definedName name="k.10">[79]Calculate!$G$83</definedName>
    <definedName name="k.11">[79]Calculate!$C$101</definedName>
    <definedName name="k.12">[79]Calculate!$G$101</definedName>
    <definedName name="k.13">[79]Calculate!$C$119</definedName>
    <definedName name="k.14">'[80]12.03 wp4 Water Calculate'!$G$119</definedName>
    <definedName name="k.15">[79]Calculate!$C$137</definedName>
    <definedName name="k.16">[79]Calculate!$G$137</definedName>
    <definedName name="k.17">[79]Calculate!$C$155</definedName>
    <definedName name="k.18">[79]Calculate!$G$155</definedName>
    <definedName name="k.19">[79]Calculate!$C$173</definedName>
    <definedName name="k.2">[79]Calculate!$G$11</definedName>
    <definedName name="k.20">[79]Calculate!$G$173</definedName>
    <definedName name="k.21">[79]Calculate!$C$191</definedName>
    <definedName name="k.22">[79]Calculate!$G$191</definedName>
    <definedName name="k.23">[79]Calculate!$C$209</definedName>
    <definedName name="k.24">[79]Calculate!$G$209</definedName>
    <definedName name="k.25">[79]Calculate!$C$227</definedName>
    <definedName name="k.26">[79]Calculate!$G$227</definedName>
    <definedName name="k.27">[79]Calculate!$C$245</definedName>
    <definedName name="k.28">[79]Calculate!$G$245</definedName>
    <definedName name="k.29">[79]Calculate!$C$263</definedName>
    <definedName name="k.3">[79]Calculate!$C$29</definedName>
    <definedName name="k.30">[79]Calculate!$G$263</definedName>
    <definedName name="k.31">[79]Calculate!$C$281</definedName>
    <definedName name="k.32">[79]Calculate!$G$281</definedName>
    <definedName name="k.33">[79]Calculate!$C$299</definedName>
    <definedName name="k.4">[79]Calculate!$G$29</definedName>
    <definedName name="k.5">[79]Calculate!$C$47</definedName>
    <definedName name="k.6">[79]Calculate!$G$47</definedName>
    <definedName name="k.7">[79]Calculate!$C$65</definedName>
    <definedName name="k.8">[79]Calculate!$G$65</definedName>
    <definedName name="k.9">[79]Calculate!$C$83</definedName>
    <definedName name="K2_WBEVMODE" hidden="1">0</definedName>
    <definedName name="kal" localSheetId="1" hidden="1">#REF!</definedName>
    <definedName name="kal" localSheetId="5" hidden="1">#REF!</definedName>
    <definedName name="kal" localSheetId="3" hidden="1">#REF!</definedName>
    <definedName name="kal" localSheetId="29" hidden="1">#REF!</definedName>
    <definedName name="kal" hidden="1">#REF!</definedName>
    <definedName name="kaw" localSheetId="5" hidden="1">#REF!</definedName>
    <definedName name="kaw" localSheetId="3" hidden="1">#REF!</definedName>
    <definedName name="kaw" localSheetId="29" hidden="1">#REF!</definedName>
    <definedName name="kaw" hidden="1">#REF!</definedName>
    <definedName name="Kcgeq01">[55]Calculate!$L$8</definedName>
    <definedName name="Kcgeq02">[55]Calculate!$L$12</definedName>
    <definedName name="Kcgeq03">[55]Calculate!$L$16</definedName>
    <definedName name="Kcgeq04">[55]Calculate!$L$20</definedName>
    <definedName name="Kcgeq05">[55]Calculate!$L$24</definedName>
    <definedName name="Kcgeq06">[55]Calculate!$L$28</definedName>
    <definedName name="Kcgeq07">'[56]Phipps DCF Excl NWN'!$L$33</definedName>
    <definedName name="Kcgeq08">[55]Calculate!$L$36</definedName>
    <definedName name="Kcgeq09" localSheetId="6">'[56]Phipps DCF Excl NWN'!#REF!</definedName>
    <definedName name="Kcgeq09">[57]Calculate!#REF!</definedName>
    <definedName name="Kcgeq10" localSheetId="6">'[56]Phipps DCF Excl NWN'!#REF!</definedName>
    <definedName name="Kcgeq10">[57]Calculate!#REF!</definedName>
    <definedName name="Kcgeq11" localSheetId="6">'[56]Phipps DCF Excl NWN'!#REF!</definedName>
    <definedName name="Kcgeq11">[57]Calculate!#REF!</definedName>
    <definedName name="Kcgeq12" localSheetId="6">'[56]Phipps DCF Excl NWN'!#REF!</definedName>
    <definedName name="Kcgeq12">[57]Calculate!#REF!</definedName>
    <definedName name="Kcgeq13">[57]Calculate!#REF!</definedName>
    <definedName name="Kcgeq14">[57]Calculate!#REF!</definedName>
    <definedName name="Kcgeq15">[57]Calculate!#REF!</definedName>
    <definedName name="Kcgeq16">[57]Calculate!#REF!</definedName>
    <definedName name="Kcgeq17">[57]Calculate!#REF!</definedName>
    <definedName name="Kcgeq18">[57]Calculate!#REF!</definedName>
    <definedName name="Kcgeq19">[57]Calculate!#REF!</definedName>
    <definedName name="Kcgeq20">[57]Calculate!#REF!</definedName>
    <definedName name="Kcgeq21">[57]Calculate!#REF!</definedName>
    <definedName name="Kcgeq22">[57]Calculate!#REF!</definedName>
    <definedName name="Kcgeq23">[57]Calculate!#REF!</definedName>
    <definedName name="Kcgeq24">[57]Calculate!#REF!</definedName>
    <definedName name="Kcgeq25">[57]Calculate!#REF!</definedName>
    <definedName name="kdkd" localSheetId="1" hidden="1">#REF!</definedName>
    <definedName name="kdkd" localSheetId="5" hidden="1">#REF!</definedName>
    <definedName name="kdkd" localSheetId="3" hidden="1">#REF!</definedName>
    <definedName name="kdkd" localSheetId="29" hidden="1">#REF!</definedName>
    <definedName name="kdkd" hidden="1">#REF!</definedName>
    <definedName name="kdkjrt" localSheetId="5" hidden="1">#REF!</definedName>
    <definedName name="kdkjrt" localSheetId="3" hidden="1">#REF!</definedName>
    <definedName name="kdkjrt" localSheetId="29" hidden="1">#REF!</definedName>
    <definedName name="kdkjrt" hidden="1">#REF!</definedName>
    <definedName name="kdsfj" localSheetId="5" hidden="1">#REF!</definedName>
    <definedName name="kdsfj" localSheetId="3" hidden="1">#REF!</definedName>
    <definedName name="kdsfj" localSheetId="29" hidden="1">#REF!</definedName>
    <definedName name="kdsfj" hidden="1">#REF!</definedName>
    <definedName name="kfdlsg" localSheetId="5" hidden="1">#REF!</definedName>
    <definedName name="kfdlsg" localSheetId="3" hidden="1">#REF!</definedName>
    <definedName name="kfdlsg" localSheetId="29" hidden="1">#REF!</definedName>
    <definedName name="kfdlsg" hidden="1">#REF!</definedName>
    <definedName name="kfkf" localSheetId="5" hidden="1">#REF!</definedName>
    <definedName name="kfkf" localSheetId="3" hidden="1">#REF!</definedName>
    <definedName name="kfkf" localSheetId="29" hidden="1">#REF!</definedName>
    <definedName name="kfkf" hidden="1">#REF!</definedName>
    <definedName name="kfkfkf" localSheetId="5" hidden="1">#REF!</definedName>
    <definedName name="kfkfkf" localSheetId="3" hidden="1">#REF!</definedName>
    <definedName name="kfkfkf" localSheetId="29" hidden="1">#REF!</definedName>
    <definedName name="kfkfkf" hidden="1">#REF!</definedName>
    <definedName name="kfkfkfkf" localSheetId="5" hidden="1">#REF!</definedName>
    <definedName name="kfkfkfkf" localSheetId="3" hidden="1">#REF!</definedName>
    <definedName name="kfkfkfkf" localSheetId="29" hidden="1">#REF!</definedName>
    <definedName name="kfkfkfkf" hidden="1">#REF!</definedName>
    <definedName name="kfkfkfl" localSheetId="5" hidden="1">#REF!</definedName>
    <definedName name="kfkfkfl" localSheetId="3" hidden="1">#REF!</definedName>
    <definedName name="kfkfkfl" localSheetId="29" hidden="1">#REF!</definedName>
    <definedName name="kfkfkfl" hidden="1">#REF!</definedName>
    <definedName name="kfkfksm" localSheetId="5" hidden="1">#REF!</definedName>
    <definedName name="kfkfksm" localSheetId="3" hidden="1">#REF!</definedName>
    <definedName name="kfkfksm" localSheetId="29" hidden="1">#REF!</definedName>
    <definedName name="kfkfksm" hidden="1">#REF!</definedName>
    <definedName name="KI" localSheetId="6" hidden="1">#REF!,#REF!</definedName>
    <definedName name="KI" localSheetId="7" hidden="1">#REF!,#REF!</definedName>
    <definedName name="KI" localSheetId="3" hidden="1">#REF!,#REF!</definedName>
    <definedName name="KI" hidden="1">#REF!,#REF!</definedName>
    <definedName name="KIRK" localSheetId="6">#REF!</definedName>
    <definedName name="KIRK" localSheetId="3">#REF!</definedName>
    <definedName name="KIRK">#REF!</definedName>
    <definedName name="Kirk_Plant" localSheetId="6">#REF!</definedName>
    <definedName name="Kirk_Plant" localSheetId="3">#REF!</definedName>
    <definedName name="Kirk_Plant">#REF!</definedName>
    <definedName name="kiujh" localSheetId="5" hidden="1">#REF!</definedName>
    <definedName name="kiujh" localSheetId="3" hidden="1">#REF!</definedName>
    <definedName name="kiujh" localSheetId="29" hidden="1">#REF!</definedName>
    <definedName name="kiujh" hidden="1">#REF!</definedName>
    <definedName name="kjfdjfei" localSheetId="1" hidden="1">{#N/A,#N/A,FALSE,"OTHERINPUTS";#N/A,#N/A,FALSE,"DITRATEINPUTS";#N/A,#N/A,FALSE,"SUPPLIEDADJINPUT";#N/A,#N/A,FALSE,"TIMINGDIFFINPUTS";#N/A,#N/A,FALSE,"BR&amp;SUPADJ."}</definedName>
    <definedName name="kjfdjfei" localSheetId="32" hidden="1">{#N/A,#N/A,FALSE,"OTHERINPUTS";#N/A,#N/A,FALSE,"DITRATEINPUTS";#N/A,#N/A,FALSE,"SUPPLIEDADJINPUT";#N/A,#N/A,FALSE,"TIMINGDIFFINPUTS";#N/A,#N/A,FALSE,"BR&amp;SUPADJ."}</definedName>
    <definedName name="kjfdjfei" localSheetId="6" hidden="1">{#N/A,#N/A,FALSE,"OTHERINPUTS";#N/A,#N/A,FALSE,"DITRATEINPUTS";#N/A,#N/A,FALSE,"SUPPLIEDADJINPUT";#N/A,#N/A,FALSE,"TIMINGDIFFINPUTS";#N/A,#N/A,FALSE,"BR&amp;SUPADJ."}</definedName>
    <definedName name="kjfdjfei" localSheetId="4" hidden="1">{#N/A,#N/A,FALSE,"OTHERINPUTS";#N/A,#N/A,FALSE,"DITRATEINPUTS";#N/A,#N/A,FALSE,"SUPPLIEDADJINPUT";#N/A,#N/A,FALSE,"TIMINGDIFFINPUTS";#N/A,#N/A,FALSE,"BR&amp;SUPADJ."}</definedName>
    <definedName name="kjfdjfei" localSheetId="5" hidden="1">{#N/A,#N/A,FALSE,"OTHERINPUTS";#N/A,#N/A,FALSE,"DITRATEINPUTS";#N/A,#N/A,FALSE,"SUPPLIEDADJINPUT";#N/A,#N/A,FALSE,"TIMINGDIFFINPUTS";#N/A,#N/A,FALSE,"BR&amp;SUPADJ."}</definedName>
    <definedName name="kjfdjfei" localSheetId="7" hidden="1">{#N/A,#N/A,FALSE,"OTHERINPUTS";#N/A,#N/A,FALSE,"DITRATEINPUTS";#N/A,#N/A,FALSE,"SUPPLIEDADJINPUT";#N/A,#N/A,FALSE,"TIMINGDIFFINPUTS";#N/A,#N/A,FALSE,"BR&amp;SUPADJ."}</definedName>
    <definedName name="kjfdjfei" localSheetId="3" hidden="1">{#N/A,#N/A,FALSE,"OTHERINPUTS";#N/A,#N/A,FALSE,"DITRATEINPUTS";#N/A,#N/A,FALSE,"SUPPLIEDADJINPUT";#N/A,#N/A,FALSE,"TIMINGDIFFINPUTS";#N/A,#N/A,FALSE,"BR&amp;SUPADJ."}</definedName>
    <definedName name="kjfdjfei" localSheetId="29" hidden="1">{#N/A,#N/A,FALSE,"OTHERINPUTS";#N/A,#N/A,FALSE,"DITRATEINPUTS";#N/A,#N/A,FALSE,"SUPPLIEDADJINPUT";#N/A,#N/A,FALSE,"TIMINGDIFFINPUTS";#N/A,#N/A,FALSE,"BR&amp;SUPADJ."}</definedName>
    <definedName name="kjfdjfei" localSheetId="47" hidden="1">{#N/A,#N/A,FALSE,"OTHERINPUTS";#N/A,#N/A,FALSE,"DITRATEINPUTS";#N/A,#N/A,FALSE,"SUPPLIEDADJINPUT";#N/A,#N/A,FALSE,"TIMINGDIFFINPUTS";#N/A,#N/A,FALSE,"BR&amp;SUPADJ."}</definedName>
    <definedName name="kjfdjfei" hidden="1">{#N/A,#N/A,FALSE,"OTHERINPUTS";#N/A,#N/A,FALSE,"DITRATEINPUTS";#N/A,#N/A,FALSE,"SUPPLIEDADJINPUT";#N/A,#N/A,FALSE,"TIMINGDIFFINPUTS";#N/A,#N/A,FALSE,"BR&amp;SUPADJ."}</definedName>
    <definedName name="kjfjffnnf" localSheetId="1" hidden="1">#REF!</definedName>
    <definedName name="kjfjffnnf" localSheetId="5" hidden="1">#REF!</definedName>
    <definedName name="kjfjffnnf" localSheetId="3" hidden="1">#REF!</definedName>
    <definedName name="kjfjffnnf" localSheetId="29" hidden="1">#REF!</definedName>
    <definedName name="kjfjffnnf" hidden="1">#REF!</definedName>
    <definedName name="kjhg" localSheetId="1" hidden="1">#REF!</definedName>
    <definedName name="kjhg" localSheetId="5" hidden="1">#REF!</definedName>
    <definedName name="kjhg" localSheetId="3" hidden="1">#REF!</definedName>
    <definedName name="kjhg" localSheetId="29" hidden="1">#REF!</definedName>
    <definedName name="kjhg" hidden="1">#REF!</definedName>
    <definedName name="kjhgf" localSheetId="5" hidden="1">#REF!</definedName>
    <definedName name="kjhgf" localSheetId="3" hidden="1">#REF!</definedName>
    <definedName name="kjhgf" localSheetId="29" hidden="1">#REF!</definedName>
    <definedName name="kjhgf" hidden="1">#REF!</definedName>
    <definedName name="kjk" localSheetId="1" hidden="1">'[5]Plant in Ser'!#REF!</definedName>
    <definedName name="kjk" localSheetId="6" hidden="1">'[6]Plant in Ser'!#REF!</definedName>
    <definedName name="kjk" localSheetId="5" hidden="1">'[6]Plant in Ser'!#REF!</definedName>
    <definedName name="kjk" localSheetId="7" hidden="1">'[6]Plant in Ser'!#REF!</definedName>
    <definedName name="kjk" localSheetId="29" hidden="1">'[6]Plant in Ser'!#REF!</definedName>
    <definedName name="kjk" hidden="1">'[6]Plant in Ser'!#REF!</definedName>
    <definedName name="kjzd" localSheetId="1" hidden="1">#REF!</definedName>
    <definedName name="kjzd" localSheetId="5" hidden="1">#REF!</definedName>
    <definedName name="kjzd" localSheetId="3" hidden="1">#REF!</definedName>
    <definedName name="kjzd" localSheetId="29" hidden="1">#REF!</definedName>
    <definedName name="kjzd" hidden="1">#REF!</definedName>
    <definedName name="kk"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kkk" localSheetId="1" hidden="1">#REF!</definedName>
    <definedName name="kkkkk" localSheetId="5" hidden="1">#REF!</definedName>
    <definedName name="kkkkk" localSheetId="3" hidden="1">#REF!</definedName>
    <definedName name="kkkkk" localSheetId="29" hidden="1">#REF!</definedName>
    <definedName name="kkkkk" hidden="1">#REF!</definedName>
    <definedName name="KL" localSheetId="3" hidden="1">#REF!</definedName>
    <definedName name="KL" hidden="1">#REF!</definedName>
    <definedName name="kldk" localSheetId="1" hidden="1">#REF!</definedName>
    <definedName name="kldk" localSheetId="5" hidden="1">#REF!</definedName>
    <definedName name="kldk" localSheetId="3" hidden="1">#REF!</definedName>
    <definedName name="kldk" localSheetId="29" hidden="1">#REF!</definedName>
    <definedName name="kldk" hidden="1">#REF!</definedName>
    <definedName name="klfeqw" localSheetId="5" hidden="1">#REF!</definedName>
    <definedName name="klfeqw" localSheetId="3" hidden="1">#REF!</definedName>
    <definedName name="klfeqw" localSheetId="29" hidden="1">#REF!</definedName>
    <definedName name="klfeqw" hidden="1">#REF!</definedName>
    <definedName name="kqwh" localSheetId="5" hidden="1">#REF!</definedName>
    <definedName name="kqwh" localSheetId="3" hidden="1">#REF!</definedName>
    <definedName name="kqwh" localSheetId="29" hidden="1">#REF!</definedName>
    <definedName name="kqwh" hidden="1">#REF!</definedName>
    <definedName name="ksadfl" localSheetId="5" hidden="1">#REF!</definedName>
    <definedName name="ksadfl" localSheetId="3" hidden="1">#REF!</definedName>
    <definedName name="ksadfl" localSheetId="29" hidden="1">#REF!</definedName>
    <definedName name="ksadfl" hidden="1">#REF!</definedName>
    <definedName name="ku" localSheetId="1" hidden="1">{#N/A,#N/A,FALSE,"SCA";#N/A,#N/A,FALSE,"NCA";#N/A,#N/A,FALSE,"SAZ";#N/A,#N/A,FALSE,"CAZ";#N/A,#N/A,FALSE,"SNV";#N/A,#N/A,FALSE,"NNV";#N/A,#N/A,FALSE,"PP";#N/A,#N/A,FALSE,"SA"}</definedName>
    <definedName name="ku" localSheetId="32" hidden="1">{#N/A,#N/A,FALSE,"SCA";#N/A,#N/A,FALSE,"NCA";#N/A,#N/A,FALSE,"SAZ";#N/A,#N/A,FALSE,"CAZ";#N/A,#N/A,FALSE,"SNV";#N/A,#N/A,FALSE,"NNV";#N/A,#N/A,FALSE,"PP";#N/A,#N/A,FALSE,"SA"}</definedName>
    <definedName name="ku" localSheetId="6" hidden="1">{#N/A,#N/A,FALSE,"SCA";#N/A,#N/A,FALSE,"NCA";#N/A,#N/A,FALSE,"SAZ";#N/A,#N/A,FALSE,"CAZ";#N/A,#N/A,FALSE,"SNV";#N/A,#N/A,FALSE,"NNV";#N/A,#N/A,FALSE,"PP";#N/A,#N/A,FALSE,"SA"}</definedName>
    <definedName name="ku" localSheetId="4" hidden="1">{#N/A,#N/A,FALSE,"SCA";#N/A,#N/A,FALSE,"NCA";#N/A,#N/A,FALSE,"SAZ";#N/A,#N/A,FALSE,"CAZ";#N/A,#N/A,FALSE,"SNV";#N/A,#N/A,FALSE,"NNV";#N/A,#N/A,FALSE,"PP";#N/A,#N/A,FALSE,"SA"}</definedName>
    <definedName name="ku" localSheetId="5" hidden="1">{#N/A,#N/A,FALSE,"SCA";#N/A,#N/A,FALSE,"NCA";#N/A,#N/A,FALSE,"SAZ";#N/A,#N/A,FALSE,"CAZ";#N/A,#N/A,FALSE,"SNV";#N/A,#N/A,FALSE,"NNV";#N/A,#N/A,FALSE,"PP";#N/A,#N/A,FALSE,"SA"}</definedName>
    <definedName name="ku" localSheetId="7" hidden="1">{#N/A,#N/A,FALSE,"SCA";#N/A,#N/A,FALSE,"NCA";#N/A,#N/A,FALSE,"SAZ";#N/A,#N/A,FALSE,"CAZ";#N/A,#N/A,FALSE,"SNV";#N/A,#N/A,FALSE,"NNV";#N/A,#N/A,FALSE,"PP";#N/A,#N/A,FALSE,"SA"}</definedName>
    <definedName name="ku" localSheetId="3" hidden="1">{#N/A,#N/A,FALSE,"SCA";#N/A,#N/A,FALSE,"NCA";#N/A,#N/A,FALSE,"SAZ";#N/A,#N/A,FALSE,"CAZ";#N/A,#N/A,FALSE,"SNV";#N/A,#N/A,FALSE,"NNV";#N/A,#N/A,FALSE,"PP";#N/A,#N/A,FALSE,"SA"}</definedName>
    <definedName name="ku" localSheetId="29" hidden="1">{#N/A,#N/A,FALSE,"SCA";#N/A,#N/A,FALSE,"NCA";#N/A,#N/A,FALSE,"SAZ";#N/A,#N/A,FALSE,"CAZ";#N/A,#N/A,FALSE,"SNV";#N/A,#N/A,FALSE,"NNV";#N/A,#N/A,FALSE,"PP";#N/A,#N/A,FALSE,"SA"}</definedName>
    <definedName name="ku" localSheetId="47" hidden="1">{#N/A,#N/A,FALSE,"SCA";#N/A,#N/A,FALSE,"NCA";#N/A,#N/A,FALSE,"SAZ";#N/A,#N/A,FALSE,"CAZ";#N/A,#N/A,FALSE,"SNV";#N/A,#N/A,FALSE,"NNV";#N/A,#N/A,FALSE,"PP";#N/A,#N/A,FALSE,"SA"}</definedName>
    <definedName name="ku" hidden="1">{#N/A,#N/A,FALSE,"SCA";#N/A,#N/A,FALSE,"NCA";#N/A,#N/A,FALSE,"SAZ";#N/A,#N/A,FALSE,"CAZ";#N/A,#N/A,FALSE,"SNV";#N/A,#N/A,FALSE,"NNV";#N/A,#N/A,FALSE,"PP";#N/A,#N/A,FALSE,"SA"}</definedName>
    <definedName name="kw" localSheetId="1" hidden="1">#REF!</definedName>
    <definedName name="kw" localSheetId="5" hidden="1">#REF!</definedName>
    <definedName name="kw" localSheetId="3" hidden="1">#REF!</definedName>
    <definedName name="kw" localSheetId="29" hidden="1">#REF!</definedName>
    <definedName name="kw" hidden="1">#REF!</definedName>
    <definedName name="kz" localSheetId="1" hidden="1">#REF!</definedName>
    <definedName name="kz" localSheetId="5" hidden="1">#REF!</definedName>
    <definedName name="kz" localSheetId="3" hidden="1">#REF!</definedName>
    <definedName name="kz" localSheetId="29" hidden="1">#REF!</definedName>
    <definedName name="kz" hidden="1">#REF!</definedName>
    <definedName name="l" localSheetId="5" hidden="1">#REF!</definedName>
    <definedName name="l" localSheetId="3" hidden="1">#REF!</definedName>
    <definedName name="l" localSheetId="29" hidden="1">#REF!</definedName>
    <definedName name="l" hidden="1">#REF!</definedName>
    <definedName name="Last_Row" localSheetId="32">IF('10.1 CAPEX to Net Plant'!Values_Entered,Header_Row+'10.1 CAPEX to Net Plant'!Number_of_Payments,Header_Row)</definedName>
    <definedName name="Last_Row" localSheetId="6">IF('11.3-4 WP'!Values_Entered,Header_Row+'11.3-4 WP'!Number_of_Payments,Header_Row)</definedName>
    <definedName name="Last_Row" localSheetId="3">IF('2.4 OpCo Proxy Cap Str'!Values_Entered,Header_Row+'2.4 OpCo Proxy Cap Str'!Number_of_Payments,Header_Row)</definedName>
    <definedName name="Last_Row">IF(Values_Entered,Header_Row+Number_of_Payments,Header_Row)</definedName>
    <definedName name="LastRow" localSheetId="32">IF('10.1 CAPEX to Net Plant'!Values_Entered,Header_Row+'10.1 CAPEX to Net Plant'!NumberofPayments,Header_Row)</definedName>
    <definedName name="LastRow" localSheetId="6">IF('11.3-4 WP'!Values_Entered,Header_Row+'11.3-4 WP'!NumberofPayments,Header_Row)</definedName>
    <definedName name="LastRow" localSheetId="3">IF('2.4 OpCo Proxy Cap Str'!Values_Entered,Header_Row+'2.4 OpCo Proxy Cap Str'!NumberofPayments,Header_Row)</definedName>
    <definedName name="LastRow">IF(Values_Entered,Header_Row+NumberofPayments,Header_Row)</definedName>
    <definedName name="LASTYR" localSheetId="32">OFFSET(#REF!,0,0,#REF!,MAX(#REF!))</definedName>
    <definedName name="LASTYR" localSheetId="6">OFFSET(#REF!,0,0,#REF!,MAX(#REF!))</definedName>
    <definedName name="LASTYR" localSheetId="3">OFFSET(#REF!,0,0,#REF!,MAX(#REF!))</definedName>
    <definedName name="LASTYR">OFFSET(#REF!,0,0,#REF!,MAX(#REF!))</definedName>
    <definedName name="LDCs" localSheetId="6">#REF!</definedName>
    <definedName name="LDCs" localSheetId="3">#REF!</definedName>
    <definedName name="LDCs">#REF!</definedName>
    <definedName name="LEYDON_UNGND_STORAGE" localSheetId="3">#REF!</definedName>
    <definedName name="LEYDON_UNGND_STORAGE">#REF!</definedName>
    <definedName name="lfkfjnn" localSheetId="1" hidden="1">#REF!</definedName>
    <definedName name="lfkfjnn" localSheetId="5" hidden="1">#REF!</definedName>
    <definedName name="lfkfjnn" localSheetId="3" hidden="1">#REF!</definedName>
    <definedName name="lfkfjnn" localSheetId="29" hidden="1">#REF!</definedName>
    <definedName name="lfkfjnn" hidden="1">#REF!</definedName>
    <definedName name="limcount" hidden="1">1</definedName>
    <definedName name="Line" localSheetId="3">#REF!</definedName>
    <definedName name="Line">#REF!</definedName>
    <definedName name="LIPA_FY15" localSheetId="3">#REF!</definedName>
    <definedName name="LIPA_FY15">#REF!</definedName>
    <definedName name="LIPA_FY16" localSheetId="3">#REF!</definedName>
    <definedName name="LIPA_FY16">#REF!</definedName>
    <definedName name="LIPA_FY17" localSheetId="3">#REF!</definedName>
    <definedName name="LIPA_FY17">#REF!</definedName>
    <definedName name="LIPA_FY18" localSheetId="3">#REF!</definedName>
    <definedName name="LIPA_FY18">#REF!</definedName>
    <definedName name="LIPA_FY19" localSheetId="3">#REF!</definedName>
    <definedName name="LIPA_FY19">#REF!</definedName>
    <definedName name="List_CadillacTax" localSheetId="3">#REF!</definedName>
    <definedName name="List_CadillacTax">#REF!</definedName>
    <definedName name="ListOffset" hidden="1">1</definedName>
    <definedName name="Litigated_BaseROEs_2006" localSheetId="3">#REF!</definedName>
    <definedName name="Litigated_BaseROEs_2006">#REF!</definedName>
    <definedName name="Litigated_BaseROEs_2007" localSheetId="3">#REF!</definedName>
    <definedName name="Litigated_BaseROEs_2007">#REF!</definedName>
    <definedName name="Litigated_BaseROEs_2008" localSheetId="3">#REF!</definedName>
    <definedName name="Litigated_BaseROEs_2008">#REF!</definedName>
    <definedName name="Litigated_BaseROEs_2009" localSheetId="3">#REF!</definedName>
    <definedName name="Litigated_BaseROEs_2009">#REF!</definedName>
    <definedName name="Litigated_BaseROEs_2010" localSheetId="3">#REF!</definedName>
    <definedName name="Litigated_BaseROEs_2010">#REF!</definedName>
    <definedName name="Litigated_BaseROEs_2011" localSheetId="3">#REF!</definedName>
    <definedName name="Litigated_BaseROEs_2011">#REF!</definedName>
    <definedName name="Litigated_BaseROEs_2012" localSheetId="3">#REF!</definedName>
    <definedName name="Litigated_BaseROEs_2012">#REF!</definedName>
    <definedName name="Litigated_BaseROEs_2013" localSheetId="3">#REF!</definedName>
    <definedName name="Litigated_BaseROEs_2013">#REF!</definedName>
    <definedName name="Litigated_BaseROEs_2014" localSheetId="3">#REF!</definedName>
    <definedName name="Litigated_BaseROEs_2014">#REF!</definedName>
    <definedName name="lkajsdfg" localSheetId="5" hidden="1">#REF!</definedName>
    <definedName name="lkajsdfg" localSheetId="3" hidden="1">#REF!</definedName>
    <definedName name="lkajsdfg" localSheetId="29" hidden="1">#REF!</definedName>
    <definedName name="lkajsdfg" hidden="1">#REF!</definedName>
    <definedName name="lkjh" localSheetId="5" hidden="1">#REF!</definedName>
    <definedName name="lkjh" localSheetId="3" hidden="1">#REF!</definedName>
    <definedName name="lkjh" localSheetId="29" hidden="1">#REF!</definedName>
    <definedName name="lkjh" hidden="1">#REF!</definedName>
    <definedName name="lkjkju"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ohsvd" localSheetId="1" hidden="1">#REF!</definedName>
    <definedName name="lkohsvd" localSheetId="5" hidden="1">#REF!</definedName>
    <definedName name="lkohsvd" localSheetId="3" hidden="1">#REF!</definedName>
    <definedName name="lkohsvd" localSheetId="29" hidden="1">#REF!</definedName>
    <definedName name="lkohsvd" hidden="1">#REF!</definedName>
    <definedName name="llllllllll" localSheetId="1" hidden="1">#REF!</definedName>
    <definedName name="llllllllll" localSheetId="5" hidden="1">#REF!</definedName>
    <definedName name="llllllllll" localSheetId="3" hidden="1">#REF!</definedName>
    <definedName name="llllllllll" localSheetId="29" hidden="1">#REF!</definedName>
    <definedName name="llllllllll" hidden="1">#REF!</definedName>
    <definedName name="Loan_Amount" localSheetId="3">#REF!</definedName>
    <definedName name="Loan_Amount">#REF!</definedName>
    <definedName name="Loan_Start" localSheetId="3">#REF!</definedName>
    <definedName name="Loan_Start">#REF!</definedName>
    <definedName name="Loan_Years" localSheetId="3">#REF!</definedName>
    <definedName name="Loan_Years">#REF!</definedName>
    <definedName name="loke" localSheetId="5" hidden="1">#REF!</definedName>
    <definedName name="loke" localSheetId="3" hidden="1">#REF!</definedName>
    <definedName name="loke" localSheetId="29" hidden="1">#REF!</definedName>
    <definedName name="loke" hidden="1">#REF!</definedName>
    <definedName name="LowCAPEX_PERCENT" localSheetId="3">#REF!</definedName>
    <definedName name="LowCAPEX_PERCENT">#REF!</definedName>
    <definedName name="lpoicea" localSheetId="5" hidden="1">#REF!</definedName>
    <definedName name="lpoicea" localSheetId="3" hidden="1">#REF!</definedName>
    <definedName name="lpoicea" localSheetId="29" hidden="1">#REF!</definedName>
    <definedName name="lpoicea" hidden="1">#REF!</definedName>
    <definedName name="ls"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t_debt">'[64]SNL Data'!$S$6:$Z$148</definedName>
    <definedName name="LTD_Rate">'[51]Input '!$C$23</definedName>
    <definedName name="LTDcostrate" localSheetId="6">#REF!</definedName>
    <definedName name="LTDcostrate" localSheetId="3">#REF!</definedName>
    <definedName name="LTDcostrate">#REF!</definedName>
    <definedName name="LUCurYr">'[58]2018 Data (WP)'!$D$9:$AC$72</definedName>
    <definedName name="m">'[81]Credit Ratings-DO Not'!$E$5:$F$23</definedName>
    <definedName name="ma_months">24</definedName>
    <definedName name="MacSteel">'[37]Customer Bill Details (External'!$O$77</definedName>
    <definedName name="MARCHAMT" localSheetId="3">'2.4 OpCo Proxy Cap Str'!AmtTable</definedName>
    <definedName name="MARCHAMT">[39]!AmtTable</definedName>
    <definedName name="MARCHDT" localSheetId="3">'2.4 OpCo Proxy Cap Str'!DTTable</definedName>
    <definedName name="MARCHDT">[39]!DTTable</definedName>
    <definedName name="Market_Return" localSheetId="6">#REF!</definedName>
    <definedName name="Market_Return" localSheetId="3">#REF!</definedName>
    <definedName name="Market_Return">#REF!</definedName>
    <definedName name="MarketPrice">[58]MP!$B$3:$M$86</definedName>
    <definedName name="Mass_Assets_Elec._Book_Depr_Rate" localSheetId="3">#REF!</definedName>
    <definedName name="Mass_Assets_Elec._Book_Depr_Rate">#REF!</definedName>
    <definedName name="Mass_Assets_Gas_Book_Depr_Rate" localSheetId="3">#REF!</definedName>
    <definedName name="Mass_Assets_Gas_Book_Depr_Rate">#REF!</definedName>
    <definedName name="mat_ltd">'[64]SNL Data'!$AY$6:$BF$148</definedName>
    <definedName name="mayAMT" localSheetId="3">'2.4 OpCo Proxy Cap Str'!AmtTable</definedName>
    <definedName name="mayAMT">[39]!AmtTable</definedName>
    <definedName name="mayDT" localSheetId="3">'2.4 OpCo Proxy Cap Str'!DTTable</definedName>
    <definedName name="mayDT">[39]!DTTable</definedName>
    <definedName name="MB">[38]A!$I$125:$HH$180</definedName>
    <definedName name="MB_PCH_Assessment_FooterType" hidden="1">"NONE"</definedName>
    <definedName name="MB_PCH_Gen_Ind_FooterType" hidden="1">"NONE"</definedName>
    <definedName name="MB_PCH_Sector_Specific_FooterType" hidden="1">"NONE"</definedName>
    <definedName name="MENNU" localSheetId="3">#REF!</definedName>
    <definedName name="MENNU">#REF!</definedName>
    <definedName name="MENU" localSheetId="6">#REF!</definedName>
    <definedName name="MENU" localSheetId="3">#REF!</definedName>
    <definedName name="MENU">#REF!</definedName>
    <definedName name="mergent_note">'[41]Input Sheet'!$A$66</definedName>
    <definedName name="METERS_AND_TRANSFORMERS_REPORT" localSheetId="3">#REF!</definedName>
    <definedName name="METERS_AND_TRANSFORMERS_REPORT">#REF!</definedName>
    <definedName name="meters_and_transformers_rows" localSheetId="3">#REF!</definedName>
    <definedName name="meters_and_transformers_rows">#REF!</definedName>
    <definedName name="meters_and_transformers_summary_report" localSheetId="3">#REF!</definedName>
    <definedName name="meters_and_transformers_summary_report">#REF!</definedName>
    <definedName name="MH" localSheetId="3">#REF!</definedName>
    <definedName name="MH">#REF!</definedName>
    <definedName name="misc" localSheetId="3" hidden="1">#REF!</definedName>
    <definedName name="misc" hidden="1">#REF!</definedName>
    <definedName name="MISCL" localSheetId="3">#REF!</definedName>
    <definedName name="MISCL">#REF!</definedName>
    <definedName name="ML_RETIRE_ANAL_REPORT" localSheetId="3">#REF!</definedName>
    <definedName name="ML_RETIRE_ANAL_REPORT">#REF!</definedName>
    <definedName name="ML_RETIRE_ANAL_ROWS" localSheetId="3">#REF!</definedName>
    <definedName name="ML_RETIRE_ANAL_ROWS">#REF!</definedName>
    <definedName name="ML_RETIRE_PUR_BY_3PARTY_COLUMNS" localSheetId="3">#REF!</definedName>
    <definedName name="ML_RETIRE_PUR_BY_3PARTY_COLUMNS">#REF!</definedName>
    <definedName name="ML_RETIRE_PUR_BY_3PARTY_REPORT" localSheetId="3">#REF!</definedName>
    <definedName name="ML_RETIRE_PUR_BY_3PARTY_REPORT">#REF!</definedName>
    <definedName name="ML_RETIRE_PUR_BY_3PARTY_ROWS" localSheetId="3">#REF!</definedName>
    <definedName name="ML_RETIRE_PUR_BY_3PARTY_ROWS">#REF!</definedName>
    <definedName name="ML_RETIRE_PUR_BY_PSC_REPORT" localSheetId="3">#REF!</definedName>
    <definedName name="ML_RETIRE_PUR_BY_PSC_REPORT">#REF!</definedName>
    <definedName name="ML_RETIRE_REPORT" localSheetId="3">#REF!</definedName>
    <definedName name="ML_RETIRE_REPORT">#REF!</definedName>
    <definedName name="mlaw" localSheetId="1" hidden="1">#REF!</definedName>
    <definedName name="mlaw" localSheetId="5" hidden="1">#REF!</definedName>
    <definedName name="mlaw" localSheetId="3" hidden="1">#REF!</definedName>
    <definedName name="mlaw" localSheetId="29" hidden="1">#REF!</definedName>
    <definedName name="mlaw" hidden="1">#REF!</definedName>
    <definedName name="mnbv" localSheetId="5" hidden="1">#REF!</definedName>
    <definedName name="mnbv" localSheetId="3" hidden="1">#REF!</definedName>
    <definedName name="mnbv" localSheetId="29" hidden="1">#REF!</definedName>
    <definedName name="mnbv" hidden="1">#REF!</definedName>
    <definedName name="mnkp" localSheetId="5" hidden="1">#REF!</definedName>
    <definedName name="mnkp" localSheetId="3" hidden="1">#REF!</definedName>
    <definedName name="mnkp" localSheetId="29" hidden="1">#REF!</definedName>
    <definedName name="mnkp" hidden="1">#REF!</definedName>
    <definedName name="mo" localSheetId="5" hidden="1">#REF!</definedName>
    <definedName name="mo" localSheetId="3" hidden="1">#REF!</definedName>
    <definedName name="mo" localSheetId="29" hidden="1">#REF!</definedName>
    <definedName name="mo" hidden="1">#REF!</definedName>
    <definedName name="Module1.Deferred" localSheetId="6">[63]!Module1.Deferred</definedName>
    <definedName name="Module1.Deferred">[63]!Module1.Deferred</definedName>
    <definedName name="Module1.Print_Income1" localSheetId="6">[63]!Module1.Print_Income1</definedName>
    <definedName name="Module1.Print_Income1">[63]!Module1.Print_Income1</definedName>
    <definedName name="mol" localSheetId="5" hidden="1">#REF!</definedName>
    <definedName name="mol" localSheetId="3" hidden="1">#REF!</definedName>
    <definedName name="mol" localSheetId="29" hidden="1">#REF!</definedName>
    <definedName name="mol" localSheetId="47" hidden="1">#REF!</definedName>
    <definedName name="mol" hidden="1">#REF!</definedName>
    <definedName name="molp" localSheetId="5" hidden="1">#REF!</definedName>
    <definedName name="molp" localSheetId="3" hidden="1">#REF!</definedName>
    <definedName name="molp" localSheetId="29" hidden="1">#REF!</definedName>
    <definedName name="molp" hidden="1">#REF!</definedName>
    <definedName name="month_yr">OFFSET('[52]Moodys Yields(WP)'!$O$4,0,0,'[52]Moodys Yields(WP)'!$A$1-3,1)</definedName>
    <definedName name="Moodys" localSheetId="6">#REF!</definedName>
    <definedName name="Moodys" localSheetId="3">#REF!</definedName>
    <definedName name="Moodys">#REF!</definedName>
    <definedName name="MoodysDalies">OFFSET('[52]Moodys Yields(WP)'!$A$4:$Q$4,0,0,'[52]Moodys Yields(WP)'!$A$1-ROW('[52]Moodys Yields(WP)'!$A$3),'[52]Moodys Yields(WP)'!$Q$2)</definedName>
    <definedName name="movelines">"movelines"</definedName>
    <definedName name="MP_BV_WP">'[58]MP-BV (WP)'!$B$4:$U$86</definedName>
    <definedName name="MP_CF_WP">'[58]MP-CF (WP)'!$B$4:$U$86</definedName>
    <definedName name="mrh" localSheetId="6">#REF!</definedName>
    <definedName name="mrh" localSheetId="3">#REF!</definedName>
    <definedName name="mrh">#REF!</definedName>
    <definedName name="MRP_adjustment_1">'[41]Input Sheet'!$B$17</definedName>
    <definedName name="mrp_lt">'[41]Input Sheet'!$B$16</definedName>
    <definedName name="MS" localSheetId="3">#REF!</definedName>
    <definedName name="MS">#REF!</definedName>
    <definedName name="MS_Plant" localSheetId="3">#REF!</definedName>
    <definedName name="MS_Plant">#REF!</definedName>
    <definedName name="MSB" localSheetId="3">#REF!</definedName>
    <definedName name="MSB">#REF!</definedName>
    <definedName name="MSD" localSheetId="3">#REF!</definedName>
    <definedName name="MSD">#REF!</definedName>
    <definedName name="MSEB" localSheetId="3">#REF!</definedName>
    <definedName name="MSEB">#REF!</definedName>
    <definedName name="MSED" localSheetId="3">#REF!</definedName>
    <definedName name="MSED">#REF!</definedName>
    <definedName name="MSEF" localSheetId="3">#REF!</definedName>
    <definedName name="MSEF">#REF!</definedName>
    <definedName name="MSF" localSheetId="3">#REF!</definedName>
    <definedName name="MSF">#REF!</definedName>
    <definedName name="MST" localSheetId="3">#REF!</definedName>
    <definedName name="MST">#REF!</definedName>
    <definedName name="myty" localSheetId="1" hidden="1">{#N/A,#N/A,FALSE,"GLDwnLoad"}</definedName>
    <definedName name="myty" localSheetId="32" hidden="1">{#N/A,#N/A,FALSE,"GLDwnLoad"}</definedName>
    <definedName name="myty" localSheetId="6" hidden="1">{#N/A,#N/A,FALSE,"GLDwnLoad"}</definedName>
    <definedName name="myty" localSheetId="4" hidden="1">{#N/A,#N/A,FALSE,"GLDwnLoad"}</definedName>
    <definedName name="myty" localSheetId="5" hidden="1">{#N/A,#N/A,FALSE,"GLDwnLoad"}</definedName>
    <definedName name="myty" localSheetId="7" hidden="1">{#N/A,#N/A,FALSE,"GLDwnLoad"}</definedName>
    <definedName name="myty" localSheetId="3" hidden="1">{#N/A,#N/A,FALSE,"GLDwnLoad"}</definedName>
    <definedName name="myty" localSheetId="29" hidden="1">{#N/A,#N/A,FALSE,"GLDwnLoad"}</definedName>
    <definedName name="myty" localSheetId="47" hidden="1">{#N/A,#N/A,FALSE,"GLDwnLoad"}</definedName>
    <definedName name="myty" hidden="1">{#N/A,#N/A,FALSE,"GLDwnLoad"}</definedName>
    <definedName name="myuyj" localSheetId="1" hidden="1">{#N/A,#N/A,FALSE,"GLDwnLoad"}</definedName>
    <definedName name="myuyj" localSheetId="32" hidden="1">{#N/A,#N/A,FALSE,"GLDwnLoad"}</definedName>
    <definedName name="myuyj" localSheetId="6" hidden="1">{#N/A,#N/A,FALSE,"GLDwnLoad"}</definedName>
    <definedName name="myuyj" localSheetId="4" hidden="1">{#N/A,#N/A,FALSE,"GLDwnLoad"}</definedName>
    <definedName name="myuyj" localSheetId="5" hidden="1">{#N/A,#N/A,FALSE,"GLDwnLoad"}</definedName>
    <definedName name="myuyj" localSheetId="7" hidden="1">{#N/A,#N/A,FALSE,"GLDwnLoad"}</definedName>
    <definedName name="myuyj" localSheetId="3" hidden="1">{#N/A,#N/A,FALSE,"GLDwnLoad"}</definedName>
    <definedName name="myuyj" localSheetId="29" hidden="1">{#N/A,#N/A,FALSE,"GLDwnLoad"}</definedName>
    <definedName name="myuyj" localSheetId="47" hidden="1">{#N/A,#N/A,FALSE,"GLDwnLoad"}</definedName>
    <definedName name="myuyj" hidden="1">{#N/A,#N/A,FALSE,"GLDwnLoad"}</definedName>
    <definedName name="n" localSheetId="1" hidden="1">{"Assumption-Description",#N/A,FALSE,"Assumptions"}</definedName>
    <definedName name="n" localSheetId="32" hidden="1">{"Assumption-Description",#N/A,FALSE,"Assumptions"}</definedName>
    <definedName name="n" localSheetId="6" hidden="1">{"Assumption-Description",#N/A,FALSE,"Assumptions"}</definedName>
    <definedName name="n" localSheetId="4" hidden="1">{"Assumption-Description",#N/A,FALSE,"Assumptions"}</definedName>
    <definedName name="n" localSheetId="5" hidden="1">{"Assumption-Description",#N/A,FALSE,"Assumptions"}</definedName>
    <definedName name="n" localSheetId="7" hidden="1">{"Assumption-Description",#N/A,FALSE,"Assumptions"}</definedName>
    <definedName name="n" localSheetId="3" hidden="1">{"Assumption-Description",#N/A,FALSE,"Assumptions"}</definedName>
    <definedName name="n" localSheetId="29" hidden="1">{"Assumption-Description",#N/A,FALSE,"Assumptions"}</definedName>
    <definedName name="n" localSheetId="47" hidden="1">{"Assumption-Description",#N/A,FALSE,"Assumptions"}</definedName>
    <definedName name="n" hidden="1">{"Assumption-Description",#N/A,FALSE,"Assumptions"}</definedName>
    <definedName name="n_3" localSheetId="6">#REF!</definedName>
    <definedName name="n_3" localSheetId="3">#REF!</definedName>
    <definedName name="n_3">#REF!</definedName>
    <definedName name="n_4" localSheetId="6">#REF!</definedName>
    <definedName name="n_4" localSheetId="3">#REF!</definedName>
    <definedName name="n_4">#REF!</definedName>
    <definedName name="NADA" localSheetId="1" hidden="1">{"caz2",#N/A,FALSE,"Central Arizona 2";"saz2",#N/A,FALSE,"Southern Arizona 2";"snv2",#N/A,FALSE,"Southern Nevada 2";"nnv2",#N/A,FALSE,"Northern Nevada 2";"sca2",#N/A,FALSE,"Southern California 2";"nca2",#N/A,FALSE,"Northern California 2";"pai2",#N/A,FALSE,"Paiute 2"}</definedName>
    <definedName name="NADA" localSheetId="32"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4" hidden="1">{"caz2",#N/A,FALSE,"Central Arizona 2";"saz2",#N/A,FALSE,"Southern Arizona 2";"snv2",#N/A,FALSE,"Southern Nevada 2";"nnv2",#N/A,FALSE,"Northern Nevada 2";"sca2",#N/A,FALSE,"Southern California 2";"nca2",#N/A,FALSE,"Northern California 2";"pai2",#N/A,FALSE,"Paiute 2"}</definedName>
    <definedName name="NADA" localSheetId="5" hidden="1">{"caz2",#N/A,FALSE,"Central Arizona 2";"saz2",#N/A,FALSE,"Southern Arizona 2";"snv2",#N/A,FALSE,"Southern Nevada 2";"nnv2",#N/A,FALSE,"Northern Nevada 2";"sca2",#N/A,FALSE,"Southern California 2";"nca2",#N/A,FALSE,"Northern California 2";"pai2",#N/A,FALSE,"Paiute 2"}</definedName>
    <definedName name="NADA" localSheetId="7" hidden="1">{"caz2",#N/A,FALSE,"Central Arizona 2";"saz2",#N/A,FALSE,"Southern Arizona 2";"snv2",#N/A,FALSE,"Southern Nevada 2";"nnv2",#N/A,FALSE,"Northern Nevada 2";"sca2",#N/A,FALSE,"Southern California 2";"nca2",#N/A,FALSE,"Northern California 2";"pai2",#N/A,FALSE,"Paiute 2"}</definedName>
    <definedName name="NADA" localSheetId="3" hidden="1">{"caz2",#N/A,FALSE,"Central Arizona 2";"saz2",#N/A,FALSE,"Southern Arizona 2";"snv2",#N/A,FALSE,"Southern Nevada 2";"nnv2",#N/A,FALSE,"Northern Nevada 2";"sca2",#N/A,FALSE,"Southern California 2";"nca2",#N/A,FALSE,"Northern California 2";"pai2",#N/A,FALSE,"Paiute 2"}</definedName>
    <definedName name="NADA" localSheetId="47" hidden="1">{"caz2",#N/A,FALSE,"Central Arizona 2";"saz2",#N/A,FALSE,"Southern Arizona 2";"snv2",#N/A,FALSE,"Southern Nevada 2";"nnv2",#N/A,FALSE,"Northern Nevada 2";"sca2",#N/A,FALSE,"Southern California 2";"nca2",#N/A,FALSE,"Northern California 2";"pai2",#N/A,FALSE,"Paiute 2"}</definedName>
    <definedName name="NADA" hidden="1">{"caz2",#N/A,FALSE,"Central Arizona 2";"saz2",#N/A,FALSE,"Southern Arizona 2";"snv2",#N/A,FALSE,"Southern Nevada 2";"nnv2",#N/A,FALSE,"Northern Nevada 2";"sca2",#N/A,FALSE,"Southern California 2";"nca2",#N/A,FALSE,"Northern California 2";"pai2",#N/A,FALSE,"Paiute 2"}</definedName>
    <definedName name="NAME">#N/A</definedName>
    <definedName name="name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field" localSheetId="1" hidden="1">#REF!</definedName>
    <definedName name="namefield" localSheetId="5" hidden="1">#REF!</definedName>
    <definedName name="namefield" localSheetId="3" hidden="1">#REF!</definedName>
    <definedName name="namefield" localSheetId="29" hidden="1">#REF!</definedName>
    <definedName name="namefield" hidden="1">#REF!</definedName>
    <definedName name="nameLU">OFFSET([82]CF!$A$4,0,0,[82]CF!$B$1,1)</definedName>
    <definedName name="naow" localSheetId="5" hidden="1">#REF!</definedName>
    <definedName name="naow" localSheetId="3" hidden="1">#REF!</definedName>
    <definedName name="naow" localSheetId="29" hidden="1">#REF!</definedName>
    <definedName name="naow" hidden="1">#REF!</definedName>
    <definedName name="Natural_Fuels_Corporation" localSheetId="3">#REF!</definedName>
    <definedName name="Natural_Fuels_Corporation">#REF!</definedName>
    <definedName name="nbeo" localSheetId="5" hidden="1">#REF!</definedName>
    <definedName name="nbeo" localSheetId="3" hidden="1">#REF!</definedName>
    <definedName name="nbeo" localSheetId="29" hidden="1">#REF!</definedName>
    <definedName name="nbeo" hidden="1">#REF!</definedName>
    <definedName name="nbw" localSheetId="5" hidden="1">#REF!</definedName>
    <definedName name="nbw" localSheetId="3" hidden="1">#REF!</definedName>
    <definedName name="nbw" localSheetId="29" hidden="1">#REF!</definedName>
    <definedName name="nbw" hidden="1">#REF!</definedName>
    <definedName name="NEadit" localSheetId="3">#REF!</definedName>
    <definedName name="NEadit">#REF!</definedName>
    <definedName name="NEadv" localSheetId="3">#REF!</definedName>
    <definedName name="NEadv">#REF!</definedName>
    <definedName name="NEcash" localSheetId="3">#REF!</definedName>
    <definedName name="NEcash">#REF!</definedName>
    <definedName name="NEcwip" localSheetId="3">#REF!</definedName>
    <definedName name="NEcwip">#REF!</definedName>
    <definedName name="NEdep" localSheetId="3">#REF!</definedName>
    <definedName name="NEdep">#REF!</definedName>
    <definedName name="NEmatsup" localSheetId="3">#REF!</definedName>
    <definedName name="NEmatsup">#REF!</definedName>
    <definedName name="NEplant" localSheetId="3">#REF!</definedName>
    <definedName name="NEplant">#REF!</definedName>
    <definedName name="NEpp" localSheetId="3">#REF!</definedName>
    <definedName name="NEpp">#REF!</definedName>
    <definedName name="NEST" localSheetId="3">#REF!</definedName>
    <definedName name="NEST">#REF!</definedName>
    <definedName name="NEstorg" localSheetId="3">#REF!</definedName>
    <definedName name="NEstorg">#REF!</definedName>
    <definedName name="new" localSheetId="1" hidden="1">{"Summary",#N/A,FALSE,"Options "}</definedName>
    <definedName name="new" localSheetId="32" hidden="1">{"Summary",#N/A,FALSE,"Options "}</definedName>
    <definedName name="new" localSheetId="6" hidden="1">{"Summary",#N/A,FALSE,"Options "}</definedName>
    <definedName name="new" localSheetId="4" hidden="1">{"Summary",#N/A,FALSE,"Options "}</definedName>
    <definedName name="new" localSheetId="5" hidden="1">{"Summary",#N/A,FALSE,"Options "}</definedName>
    <definedName name="new" localSheetId="7" hidden="1">{"Summary",#N/A,FALSE,"Options "}</definedName>
    <definedName name="new" localSheetId="3" hidden="1">{"Summary",#N/A,FALSE,"Options "}</definedName>
    <definedName name="new" localSheetId="29" hidden="1">{"Summary",#N/A,FALSE,"Options "}</definedName>
    <definedName name="new" localSheetId="47" hidden="1">{"Summary",#N/A,FALSE,"Options "}</definedName>
    <definedName name="new" hidden="1">{"Summary",#N/A,FALSE,"Options "}</definedName>
    <definedName name="nfgh" localSheetId="6">#REF!</definedName>
    <definedName name="nfgh" localSheetId="3">#REF!</definedName>
    <definedName name="nfgh">#REF!</definedName>
    <definedName name="nfgl" localSheetId="3">#REF!</definedName>
    <definedName name="nfgl">#REF!</definedName>
    <definedName name="niPO" localSheetId="1" hidden="1">#REF!</definedName>
    <definedName name="niPO" localSheetId="5" hidden="1">#REF!</definedName>
    <definedName name="niPO" localSheetId="3" hidden="1">#REF!</definedName>
    <definedName name="niPO" localSheetId="29" hidden="1">#REF!</definedName>
    <definedName name="niPO" hidden="1">#REF!</definedName>
    <definedName name="nipxre" localSheetId="5" hidden="1">#REF!</definedName>
    <definedName name="nipxre" localSheetId="3" hidden="1">#REF!</definedName>
    <definedName name="nipxre" localSheetId="29" hidden="1">#REF!</definedName>
    <definedName name="nipxre" hidden="1">#REF!</definedName>
    <definedName name="nixre" localSheetId="5" hidden="1">#REF!</definedName>
    <definedName name="nixre" localSheetId="3" hidden="1">#REF!</definedName>
    <definedName name="nixre" localSheetId="29" hidden="1">#REF!</definedName>
    <definedName name="nixre" hidden="1">#REF!</definedName>
    <definedName name="nk" localSheetId="5" hidden="1">#REF!</definedName>
    <definedName name="nk" localSheetId="3" hidden="1">#REF!</definedName>
    <definedName name="nk" localSheetId="29" hidden="1">#REF!</definedName>
    <definedName name="nk" hidden="1">#REF!</definedName>
    <definedName name="nki" localSheetId="5" hidden="1">#REF!</definedName>
    <definedName name="nki" localSheetId="3" hidden="1">#REF!</definedName>
    <definedName name="nki" localSheetId="29" hidden="1">#REF!</definedName>
    <definedName name="nki" hidden="1">#REF!</definedName>
    <definedName name="nkiw" localSheetId="5" hidden="1">#REF!</definedName>
    <definedName name="nkiw" localSheetId="3" hidden="1">#REF!</definedName>
    <definedName name="nkiw" localSheetId="29" hidden="1">#REF!</definedName>
    <definedName name="nkiw" hidden="1">#REF!</definedName>
    <definedName name="nKLqw" localSheetId="5" hidden="1">#REF!</definedName>
    <definedName name="nKLqw" localSheetId="3" hidden="1">#REF!</definedName>
    <definedName name="nKLqw" localSheetId="29" hidden="1">#REF!</definedName>
    <definedName name="nKLqw" hidden="1">#REF!</definedName>
    <definedName name="nkse" localSheetId="5" hidden="1">#REF!</definedName>
    <definedName name="nkse" localSheetId="3" hidden="1">#REF!</definedName>
    <definedName name="nkse" localSheetId="29" hidden="1">#REF!</definedName>
    <definedName name="nkse" hidden="1">#REF!</definedName>
    <definedName name="nkw" localSheetId="5" hidden="1">#REF!</definedName>
    <definedName name="nkw" localSheetId="3" hidden="1">#REF!</definedName>
    <definedName name="nkw" localSheetId="29" hidden="1">#REF!</definedName>
    <definedName name="nkw" hidden="1">#REF!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N" localSheetId="1" hidden="1">#REF!</definedName>
    <definedName name="NMN" localSheetId="5" hidden="1">#REF!</definedName>
    <definedName name="NMN" localSheetId="3" hidden="1">#REF!</definedName>
    <definedName name="NMN" localSheetId="29" hidden="1">#REF!</definedName>
    <definedName name="NMN" hidden="1">#REF!</definedName>
    <definedName name="nmop" localSheetId="1" hidden="1">#REF!</definedName>
    <definedName name="nmop" localSheetId="5" hidden="1">#REF!</definedName>
    <definedName name="nmop" localSheetId="3" hidden="1">#REF!</definedName>
    <definedName name="nmop" localSheetId="29" hidden="1">#REF!</definedName>
    <definedName name="nmop" hidden="1">#REF!</definedName>
    <definedName name="nmwqi" localSheetId="5" hidden="1">#REF!</definedName>
    <definedName name="nmwqi" localSheetId="3" hidden="1">#REF!</definedName>
    <definedName name="nmwqi" localSheetId="29" hidden="1">#REF!</definedName>
    <definedName name="nmwqi" hidden="1">#REF!</definedName>
    <definedName name="nnnnnnn" localSheetId="5" hidden="1">#REF!</definedName>
    <definedName name="nnnnnnn" localSheetId="3" hidden="1">#REF!</definedName>
    <definedName name="nnnnnnn" localSheetId="29" hidden="1">#REF!</definedName>
    <definedName name="nnnnnnn" hidden="1">#REF!</definedName>
    <definedName name="no" localSheetId="5" hidden="1">#REF!</definedName>
    <definedName name="no" localSheetId="3" hidden="1">#REF!</definedName>
    <definedName name="no" localSheetId="29" hidden="1">#REF!</definedName>
    <definedName name="no" hidden="1">#REF!</definedName>
    <definedName name="no.1" localSheetId="3">#REF!</definedName>
    <definedName name="no.1">#REF!</definedName>
    <definedName name="no.10" localSheetId="3">#REF!</definedName>
    <definedName name="no.10">#REF!</definedName>
    <definedName name="no.11" localSheetId="3">#REF!</definedName>
    <definedName name="no.11">#REF!</definedName>
    <definedName name="no.12" localSheetId="3">#REF!</definedName>
    <definedName name="no.12">#REF!</definedName>
    <definedName name="no.13" localSheetId="3">#REF!</definedName>
    <definedName name="no.13">#REF!</definedName>
    <definedName name="no.14" localSheetId="3">#REF!</definedName>
    <definedName name="no.14">#REF!</definedName>
    <definedName name="no.15" localSheetId="3">#REF!</definedName>
    <definedName name="no.15">#REF!</definedName>
    <definedName name="no.16" localSheetId="3">#REF!</definedName>
    <definedName name="no.16">#REF!</definedName>
    <definedName name="no.17" localSheetId="3">#REF!</definedName>
    <definedName name="no.17">#REF!</definedName>
    <definedName name="no.18" localSheetId="3">#REF!</definedName>
    <definedName name="no.18">#REF!</definedName>
    <definedName name="no.19" localSheetId="3">#REF!</definedName>
    <definedName name="no.19">#REF!</definedName>
    <definedName name="no.2" localSheetId="3">#REF!</definedName>
    <definedName name="no.2">#REF!</definedName>
    <definedName name="no.20" localSheetId="3">#REF!</definedName>
    <definedName name="no.20">#REF!</definedName>
    <definedName name="no.21" localSheetId="3">#REF!</definedName>
    <definedName name="no.21">#REF!</definedName>
    <definedName name="no.22" localSheetId="3">#REF!</definedName>
    <definedName name="no.22">#REF!</definedName>
    <definedName name="no.23" localSheetId="3">#REF!</definedName>
    <definedName name="no.23">#REF!</definedName>
    <definedName name="no.24" localSheetId="3">#REF!</definedName>
    <definedName name="no.24">#REF!</definedName>
    <definedName name="no.25" localSheetId="3">#REF!</definedName>
    <definedName name="no.25">#REF!</definedName>
    <definedName name="no.26" localSheetId="3">#REF!</definedName>
    <definedName name="no.26">#REF!</definedName>
    <definedName name="no.27" localSheetId="3">#REF!</definedName>
    <definedName name="no.27">#REF!</definedName>
    <definedName name="no.28" localSheetId="3">#REF!</definedName>
    <definedName name="no.28">#REF!</definedName>
    <definedName name="no.29" localSheetId="3">#REF!</definedName>
    <definedName name="no.29">#REF!</definedName>
    <definedName name="no.3" localSheetId="3">#REF!</definedName>
    <definedName name="no.3">#REF!</definedName>
    <definedName name="no.30" localSheetId="3">#REF!</definedName>
    <definedName name="no.30">#REF!</definedName>
    <definedName name="no.31" localSheetId="3">#REF!</definedName>
    <definedName name="no.31">#REF!</definedName>
    <definedName name="no.32" localSheetId="3">#REF!</definedName>
    <definedName name="no.32">#REF!</definedName>
    <definedName name="no.33" localSheetId="3">#REF!</definedName>
    <definedName name="no.33">#REF!</definedName>
    <definedName name="no.4" localSheetId="3">#REF!</definedName>
    <definedName name="no.4">#REF!</definedName>
    <definedName name="no.5" localSheetId="3">#REF!</definedName>
    <definedName name="no.5">#REF!</definedName>
    <definedName name="no.6" localSheetId="3">#REF!</definedName>
    <definedName name="no.6">#REF!</definedName>
    <definedName name="no.7" localSheetId="3">#REF!</definedName>
    <definedName name="no.7">#REF!</definedName>
    <definedName name="no.8" localSheetId="3">#REF!</definedName>
    <definedName name="no.8">#REF!</definedName>
    <definedName name="no.9" localSheetId="3">#REF!</definedName>
    <definedName name="no.9">#REF!</definedName>
    <definedName name="NO_DIV" localSheetId="3">#REF!</definedName>
    <definedName name="NO_DIV">#REF!</definedName>
    <definedName name="noD">TRUE</definedName>
    <definedName name="noip" localSheetId="5" hidden="1">#REF!</definedName>
    <definedName name="noip" localSheetId="3" hidden="1">#REF!</definedName>
    <definedName name="noip" localSheetId="29" hidden="1">#REF!</definedName>
    <definedName name="noip" hidden="1">#REF!</definedName>
    <definedName name="noipx" localSheetId="5" hidden="1">#REF!</definedName>
    <definedName name="noipx" localSheetId="3" hidden="1">#REF!</definedName>
    <definedName name="noipx" localSheetId="29" hidden="1">#REF!</definedName>
    <definedName name="noipx" hidden="1">#REF!</definedName>
    <definedName name="no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E" localSheetId="1" hidden="1">{#N/A,#N/A,FALSE,"SCA";#N/A,#N/A,FALSE,"NCA";#N/A,#N/A,FALSE,"SAZ";#N/A,#N/A,FALSE,"CAZ";#N/A,#N/A,FALSE,"SNV";#N/A,#N/A,FALSE,"NNV";#N/A,#N/A,FALSE,"PP";#N/A,#N/A,FALSE,"SA"}</definedName>
    <definedName name="NONE" localSheetId="32"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4" hidden="1">{#N/A,#N/A,FALSE,"SCA";#N/A,#N/A,FALSE,"NCA";#N/A,#N/A,FALSE,"SAZ";#N/A,#N/A,FALSE,"CAZ";#N/A,#N/A,FALSE,"SNV";#N/A,#N/A,FALSE,"NNV";#N/A,#N/A,FALSE,"PP";#N/A,#N/A,FALSE,"SA"}</definedName>
    <definedName name="NONE" localSheetId="5" hidden="1">{#N/A,#N/A,FALSE,"SCA";#N/A,#N/A,FALSE,"NCA";#N/A,#N/A,FALSE,"SAZ";#N/A,#N/A,FALSE,"CAZ";#N/A,#N/A,FALSE,"SNV";#N/A,#N/A,FALSE,"NNV";#N/A,#N/A,FALSE,"PP";#N/A,#N/A,FALSE,"SA"}</definedName>
    <definedName name="NONE" localSheetId="7" hidden="1">{#N/A,#N/A,FALSE,"SCA";#N/A,#N/A,FALSE,"NCA";#N/A,#N/A,FALSE,"SAZ";#N/A,#N/A,FALSE,"CAZ";#N/A,#N/A,FALSE,"SNV";#N/A,#N/A,FALSE,"NNV";#N/A,#N/A,FALSE,"PP";#N/A,#N/A,FALSE,"SA"}</definedName>
    <definedName name="NONE" localSheetId="3" hidden="1">{#N/A,#N/A,FALSE,"SCA";#N/A,#N/A,FALSE,"NCA";#N/A,#N/A,FALSE,"SAZ";#N/A,#N/A,FALSE,"CAZ";#N/A,#N/A,FALSE,"SNV";#N/A,#N/A,FALSE,"NNV";#N/A,#N/A,FALSE,"PP";#N/A,#N/A,FALSE,"SA"}</definedName>
    <definedName name="NONE" localSheetId="47" hidden="1">{#N/A,#N/A,FALSE,"SCA";#N/A,#N/A,FALSE,"NCA";#N/A,#N/A,FALSE,"SAZ";#N/A,#N/A,FALSE,"CAZ";#N/A,#N/A,FALSE,"SNV";#N/A,#N/A,FALSE,"NNV";#N/A,#N/A,FALSE,"PP";#N/A,#N/A,FALSE,"SA"}</definedName>
    <definedName name="NONE" hidden="1">{#N/A,#N/A,FALSE,"SCA";#N/A,#N/A,FALSE,"NCA";#N/A,#N/A,FALSE,"SAZ";#N/A,#N/A,FALSE,"CAZ";#N/A,#N/A,FALSE,"SNV";#N/A,#N/A,FALSE,"NNV";#N/A,#N/A,FALSE,"PP";#N/A,#N/A,FALSE,"SA"}</definedName>
    <definedName name="nop" localSheetId="1" hidden="1">#REF!</definedName>
    <definedName name="nop" localSheetId="5" hidden="1">#REF!</definedName>
    <definedName name="nop" localSheetId="3" hidden="1">#REF!</definedName>
    <definedName name="nop" localSheetId="29" hidden="1">#REF!</definedName>
    <definedName name="nop" hidden="1">#REF!</definedName>
    <definedName name="nope" localSheetId="1" hidden="1">#REF!</definedName>
    <definedName name="nope" localSheetId="5" hidden="1">#REF!</definedName>
    <definedName name="nope" localSheetId="3" hidden="1">#REF!</definedName>
    <definedName name="nope" localSheetId="29" hidden="1">#REF!</definedName>
    <definedName name="nope" hidden="1">#REF!</definedName>
    <definedName name="noper" localSheetId="5" hidden="1">#REF!</definedName>
    <definedName name="noper" localSheetId="3" hidden="1">#REF!</definedName>
    <definedName name="noper" localSheetId="29" hidden="1">#REF!</definedName>
    <definedName name="noper" hidden="1">#REF!</definedName>
    <definedName name="notes_pay">'[64]SNL Data'!$AA$6:$AH$148</definedName>
    <definedName name="notes_pay_assoc">'[64]SNL Data'!$AI$6:$AP$148</definedName>
    <definedName name="NOVAMT" localSheetId="3">'2.4 OpCo Proxy Cap Str'!AmtTable</definedName>
    <definedName name="NOVAMT">[39]!AmtTable</definedName>
    <definedName name="NOVDT" localSheetId="3">'2.4 OpCo Proxy Cap Str'!DTTable</definedName>
    <definedName name="NOVDT">[39]!DTTable</definedName>
    <definedName name="NOVEMBERAMT">#N/A</definedName>
    <definedName name="NOVEMBERDT">#N/A</definedName>
    <definedName name="no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sz" localSheetId="1" hidden="1">#REF!</definedName>
    <definedName name="nsz" localSheetId="5" hidden="1">#REF!</definedName>
    <definedName name="nsz" localSheetId="3" hidden="1">#REF!</definedName>
    <definedName name="nsz" localSheetId="29" hidden="1">#REF!</definedName>
    <definedName name="nsz" hidden="1">#REF!</definedName>
    <definedName name="ntgt" localSheetId="1" hidden="1">{"'Sheet1'!$A$1:$O$40"}</definedName>
    <definedName name="ntgt" localSheetId="32" hidden="1">{"'Sheet1'!$A$1:$O$40"}</definedName>
    <definedName name="ntgt" localSheetId="6" hidden="1">{"'Sheet1'!$A$1:$O$40"}</definedName>
    <definedName name="ntgt" localSheetId="4" hidden="1">{"'Sheet1'!$A$1:$O$40"}</definedName>
    <definedName name="ntgt" localSheetId="5" hidden="1">{"'Sheet1'!$A$1:$O$40"}</definedName>
    <definedName name="ntgt" localSheetId="7" hidden="1">{"'Sheet1'!$A$1:$O$40"}</definedName>
    <definedName name="ntgt" localSheetId="3" hidden="1">{"'Sheet1'!$A$1:$O$40"}</definedName>
    <definedName name="ntgt" localSheetId="29" hidden="1">{"'Sheet1'!$A$1:$O$40"}</definedName>
    <definedName name="ntgt" localSheetId="47" hidden="1">{"'Sheet1'!$A$1:$O$40"}</definedName>
    <definedName name="ntgt" hidden="1">{"'Sheet1'!$A$1:$O$40"}</definedName>
    <definedName name="NucCostEscalator" localSheetId="6">#REF!</definedName>
    <definedName name="NucCostEscalator" localSheetId="3">#REF!</definedName>
    <definedName name="NucCostEscalator">#REF!</definedName>
    <definedName name="nu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_Pmt_Per_Year">#REF!</definedName>
    <definedName name="Number_of_Payments" localSheetId="32">MATCH(0.01,End_Bal,-1)+1</definedName>
    <definedName name="Number_of_Payments" localSheetId="6">MATCH(0.01,'11.3-4 WP'!End_Bal,-1)+1</definedName>
    <definedName name="Number_of_Payments" localSheetId="3">MATCH(0.01,'2.4 OpCo Proxy Cap Str'!End_Bal,-1)+1</definedName>
    <definedName name="Number_of_Payments">MATCH(0.01,End_Bal,-1)+1</definedName>
    <definedName name="NumberofPayments" localSheetId="32">MATCH(0.01,[0]!End_Bal,-1)+1</definedName>
    <definedName name="NumberofPayments" localSheetId="6">MATCH(0.01,[39]!End_Bal,-1)+1</definedName>
    <definedName name="NumberofPayments" localSheetId="3">MATCH(0.01,'2.4 OpCo Proxy Cap Str'!End_Bal,-1)+1</definedName>
    <definedName name="NumberofPayments">MATCH(0.01,[0]!End_Bal,-1)+1</definedName>
    <definedName name="NvsASD">"V2011-12-31"</definedName>
    <definedName name="NvsAutoDrillOk">"VN"</definedName>
    <definedName name="NvsElapsedTime">0.000162037038535345</definedName>
    <definedName name="NvsEndTime">40921.1792824074</definedName>
    <definedName name="NvsInstLang">"VENG"</definedName>
    <definedName name="NvsInstSpec">"%,FBUSINESS_UNIT,V00049"</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"V2003-11-05"</definedName>
    <definedName name="NvsPanelSetid">"VSHARE"</definedName>
    <definedName name="NvsReqBU">"VNVSDD"</definedName>
    <definedName name="NvsReqBUOnly">"VN"</definedName>
    <definedName name="NvsStyleNme">"NoFormat.xls"</definedName>
    <definedName name="NvsTransLed">"VN"</definedName>
    <definedName name="NvsTreeASD">"V2011-12-31"</definedName>
    <definedName name="NvsValTbl.OPERATING_UNIT">"OPER_UNIT_TBL"</definedName>
    <definedName name="NW_Only" localSheetId="6">'[19]Alloc factors'!#REF!</definedName>
    <definedName name="NW_Only" localSheetId="3">'[19]Alloc factors'!#REF!</definedName>
    <definedName name="NW_Only">'[19]Alloc factors'!#REF!</definedName>
    <definedName name="NWadit" localSheetId="6">#REF!</definedName>
    <definedName name="NWadit" localSheetId="3">#REF!</definedName>
    <definedName name="NWadit">#REF!</definedName>
    <definedName name="NWadv" localSheetId="3">#REF!</definedName>
    <definedName name="NWadv">#REF!</definedName>
    <definedName name="NWcash" localSheetId="3">#REF!</definedName>
    <definedName name="NWcash">#REF!</definedName>
    <definedName name="NWcwip" localSheetId="3">#REF!</definedName>
    <definedName name="NWcwip">#REF!</definedName>
    <definedName name="NWdep" localSheetId="3">#REF!</definedName>
    <definedName name="NWdep">#REF!</definedName>
    <definedName name="NWmatsup" localSheetId="3">#REF!</definedName>
    <definedName name="NWmatsup">#REF!</definedName>
    <definedName name="NWplant" localSheetId="3">#REF!</definedName>
    <definedName name="NWplant">#REF!</definedName>
    <definedName name="NWpp" localSheetId="3">#REF!</definedName>
    <definedName name="NWpp">#REF!</definedName>
    <definedName name="NWstorg" localSheetId="3">#REF!</definedName>
    <definedName name="NWstorg">#REF!</definedName>
    <definedName name="o" localSheetId="5" hidden="1">#REF!</definedName>
    <definedName name="o" localSheetId="3" hidden="1">#REF!</definedName>
    <definedName name="o" localSheetId="29" hidden="1">#REF!</definedName>
    <definedName name="o" hidden="1">#REF!</definedName>
    <definedName name="occ" localSheetId="3">#REF!</definedName>
    <definedName name="occ">#REF!</definedName>
    <definedName name="ocq" localSheetId="5" hidden="1">#REF!</definedName>
    <definedName name="ocq" localSheetId="3" hidden="1">#REF!</definedName>
    <definedName name="ocq" localSheetId="29" hidden="1">#REF!</definedName>
    <definedName name="ocq" hidden="1">#REF!</definedName>
    <definedName name="OCTAMT" localSheetId="3">'2.4 OpCo Proxy Cap Str'!AmtTable</definedName>
    <definedName name="OCTAMT">[39]!AmtTable</definedName>
    <definedName name="OCTDT" localSheetId="3">'2.4 OpCo Proxy Cap Str'!DTTable</definedName>
    <definedName name="OCTDT">[39]!DTTable</definedName>
    <definedName name="OCTOBERAMT">#N/A</definedName>
    <definedName name="OCTOBERDT">#N/A</definedName>
    <definedName name="odezscv" localSheetId="5" hidden="1">#REF!</definedName>
    <definedName name="odezscv" localSheetId="3" hidden="1">#REF!</definedName>
    <definedName name="odezscv" localSheetId="29" hidden="1">#REF!</definedName>
    <definedName name="odezscv" localSheetId="47" hidden="1">#REF!</definedName>
    <definedName name="odezscv" hidden="1">#REF!</definedName>
    <definedName name="OE96_COLO_UTE_DEF_TAX" localSheetId="3">#REF!</definedName>
    <definedName name="OE96_COLO_UTE_DEF_TAX">#REF!</definedName>
    <definedName name="oe96_detail_anal" localSheetId="3">#REF!</definedName>
    <definedName name="oe96_detail_anal">#REF!</definedName>
    <definedName name="OE96_MEMO" localSheetId="3">#REF!</definedName>
    <definedName name="OE96_MEMO">#REF!</definedName>
    <definedName name="OE96_MEMO_ROWS" localSheetId="3">#REF!</definedName>
    <definedName name="OE96_MEMO_ROWS">#REF!</definedName>
    <definedName name="ofooooo" localSheetId="5" hidden="1">#REF!</definedName>
    <definedName name="ofooooo" localSheetId="3" hidden="1">#REF!</definedName>
    <definedName name="ofooooo" localSheetId="29" hidden="1">#REF!</definedName>
    <definedName name="ofooooo" hidden="1">#REF!</definedName>
    <definedName name="OH_Factor_Distribution" localSheetId="3">#REF!</definedName>
    <definedName name="OH_Factor_Distribution">#REF!</definedName>
    <definedName name="OH_FACTOR_GEN_PROP" localSheetId="3">#REF!</definedName>
    <definedName name="OH_FACTOR_GEN_PROP">#REF!</definedName>
    <definedName name="oia" localSheetId="5" hidden="1">#REF!</definedName>
    <definedName name="oia" localSheetId="3" hidden="1">#REF!</definedName>
    <definedName name="oia" localSheetId="29" hidden="1">#REF!</definedName>
    <definedName name="oia" hidden="1">#REF!</definedName>
    <definedName name="oiacew" localSheetId="5" hidden="1">#REF!</definedName>
    <definedName name="oiacew" localSheetId="3" hidden="1">#REF!</definedName>
    <definedName name="oiacew" localSheetId="29" hidden="1">#REF!</definedName>
    <definedName name="oiacew" hidden="1">#REF!</definedName>
    <definedName name="oicw" localSheetId="5" hidden="1">#REF!</definedName>
    <definedName name="oicw" localSheetId="3" hidden="1">#REF!</definedName>
    <definedName name="oicw" localSheetId="29" hidden="1">#REF!</definedName>
    <definedName name="oicw" hidden="1">#REF!</definedName>
    <definedName name="oieac" localSheetId="5" hidden="1">#REF!</definedName>
    <definedName name="oieac" localSheetId="3" hidden="1">#REF!</definedName>
    <definedName name="oieac" localSheetId="29" hidden="1">#REF!</definedName>
    <definedName name="oieac" hidden="1">#REF!</definedName>
    <definedName name="oiewq" localSheetId="5" hidden="1">#REF!</definedName>
    <definedName name="oiewq" localSheetId="3" hidden="1">#REF!</definedName>
    <definedName name="oiewq" localSheetId="29" hidden="1">#REF!</definedName>
    <definedName name="oiewq" hidden="1">#REF!</definedName>
    <definedName name="oihyecv" localSheetId="5" hidden="1">#REF!</definedName>
    <definedName name="oihyecv" localSheetId="3" hidden="1">#REF!</definedName>
    <definedName name="oihyecv" localSheetId="29" hidden="1">#REF!</definedName>
    <definedName name="oihyecv" hidden="1">#REF!</definedName>
    <definedName name="oips" localSheetId="5" hidden="1">#REF!</definedName>
    <definedName name="oips" localSheetId="3" hidden="1">#REF!</definedName>
    <definedName name="oips" localSheetId="29" hidden="1">#REF!</definedName>
    <definedName name="oips" hidden="1">#REF!</definedName>
    <definedName name="ok" localSheetId="5" hidden="1">#REF!</definedName>
    <definedName name="ok" localSheetId="3" hidden="1">#REF!</definedName>
    <definedName name="ok" localSheetId="29" hidden="1">#REF!</definedName>
    <definedName name="ok" hidden="1">#REF!</definedName>
    <definedName name="OKCOALADJ">#REF!</definedName>
    <definedName name="okey" localSheetId="5" hidden="1">#REF!</definedName>
    <definedName name="okey" localSheetId="3" hidden="1">#REF!</definedName>
    <definedName name="okey" localSheetId="29" hidden="1">#REF!</definedName>
    <definedName name="okey" hidden="1">#REF!</definedName>
    <definedName name="okeydokey" localSheetId="5" hidden="1">#REF!</definedName>
    <definedName name="okeydokey" localSheetId="3" hidden="1">#REF!</definedName>
    <definedName name="okeydokey" localSheetId="29" hidden="1">#REF!</definedName>
    <definedName name="okeydokey" hidden="1">#REF!</definedName>
    <definedName name="OKLAFAC">#REF!</definedName>
    <definedName name="oklpwa" localSheetId="5" hidden="1">#REF!</definedName>
    <definedName name="oklpwa" localSheetId="3" hidden="1">#REF!</definedName>
    <definedName name="oklpwa" localSheetId="29" hidden="1">#REF!</definedName>
    <definedName name="oklpwa" hidden="1">#REF!</definedName>
    <definedName name="olpuwce" localSheetId="5" hidden="1">#REF!</definedName>
    <definedName name="olpuwce" localSheetId="3" hidden="1">#REF!</definedName>
    <definedName name="olpuwce" localSheetId="29" hidden="1">#REF!</definedName>
    <definedName name="olpuwce" hidden="1">#REF!</definedName>
    <definedName name="oluw" localSheetId="5" hidden="1">#REF!</definedName>
    <definedName name="oluw" localSheetId="3" hidden="1">#REF!</definedName>
    <definedName name="oluw" localSheetId="29" hidden="1">#REF!</definedName>
    <definedName name="oluw" hidden="1">#REF!</definedName>
    <definedName name="OneYear">[83]Data!$A:$B</definedName>
    <definedName name="oooofp" localSheetId="6" hidden="1">#REF!</definedName>
    <definedName name="oooofp" localSheetId="5" hidden="1">#REF!</definedName>
    <definedName name="oooofp" localSheetId="7" hidden="1">#REF!</definedName>
    <definedName name="oooofp" localSheetId="3" hidden="1">#REF!</definedName>
    <definedName name="oooofp" localSheetId="29" hidden="1">#REF!</definedName>
    <definedName name="oooofp" hidden="1">#REF!</definedName>
    <definedName name="OPCO_LIST" localSheetId="3">#REF!</definedName>
    <definedName name="OPCO_LIST">#REF!</definedName>
    <definedName name="opec" localSheetId="5" hidden="1">#REF!</definedName>
    <definedName name="opec" localSheetId="3" hidden="1">#REF!</definedName>
    <definedName name="opec" localSheetId="29" hidden="1">#REF!</definedName>
    <definedName name="opec" hidden="1">#REF!</definedName>
    <definedName name="opewqr" localSheetId="5" hidden="1">#REF!</definedName>
    <definedName name="opewqr" localSheetId="3" hidden="1">#REF!</definedName>
    <definedName name="opewqr" localSheetId="29" hidden="1">#REF!</definedName>
    <definedName name="opewqr" hidden="1">#REF!</definedName>
    <definedName name="opicaew" localSheetId="5" hidden="1">#REF!</definedName>
    <definedName name="opicaew" localSheetId="3" hidden="1">#REF!</definedName>
    <definedName name="opicaew" localSheetId="29" hidden="1">#REF!</definedName>
    <definedName name="opicaew" hidden="1">#REF!</definedName>
    <definedName name="opiecv" localSheetId="5" hidden="1">#REF!</definedName>
    <definedName name="opiecv" localSheetId="3" hidden="1">#REF!</definedName>
    <definedName name="opiecv" localSheetId="29" hidden="1">#REF!</definedName>
    <definedName name="opiecv" hidden="1">#REF!</definedName>
    <definedName name="opiyu" localSheetId="5" hidden="1">#REF!</definedName>
    <definedName name="opiyu" localSheetId="3" hidden="1">#REF!</definedName>
    <definedName name="opiyu" localSheetId="29" hidden="1">#REF!</definedName>
    <definedName name="opiyu" hidden="1">#REF!</definedName>
    <definedName name="oplpp" localSheetId="5" hidden="1">#REF!</definedName>
    <definedName name="oplpp" localSheetId="3" hidden="1">#REF!</definedName>
    <definedName name="oplpp" localSheetId="29" hidden="1">#REF!</definedName>
    <definedName name="oplpp" hidden="1">#REF!</definedName>
    <definedName name="opp" localSheetId="5" hidden="1">#REF!</definedName>
    <definedName name="opp" localSheetId="3" hidden="1">#REF!</definedName>
    <definedName name="opp" localSheetId="29" hidden="1">#REF!</definedName>
    <definedName name="opp" hidden="1">#REF!</definedName>
    <definedName name="opuafw" localSheetId="5" hidden="1">#REF!</definedName>
    <definedName name="opuafw" localSheetId="3" hidden="1">#REF!</definedName>
    <definedName name="opuafw" localSheetId="29" hidden="1">#REF!</definedName>
    <definedName name="opuafw" hidden="1">#REF!</definedName>
    <definedName name="opuc3e" localSheetId="5" hidden="1">#REF!</definedName>
    <definedName name="opuc3e" localSheetId="3" hidden="1">#REF!</definedName>
    <definedName name="opuc3e" localSheetId="29" hidden="1">#REF!</definedName>
    <definedName name="opuc3e" hidden="1">#REF!</definedName>
    <definedName name="opueac" localSheetId="5" hidden="1">#REF!</definedName>
    <definedName name="opueac" localSheetId="3" hidden="1">#REF!</definedName>
    <definedName name="opueac" localSheetId="29" hidden="1">#REF!</definedName>
    <definedName name="opueac" hidden="1">#REF!</definedName>
    <definedName name="opufw" localSheetId="5" hidden="1">#REF!</definedName>
    <definedName name="opufw" localSheetId="3" hidden="1">#REF!</definedName>
    <definedName name="opufw" localSheetId="29" hidden="1">#REF!</definedName>
    <definedName name="opufw" hidden="1">#REF!</definedName>
    <definedName name="opuwa" localSheetId="5" hidden="1">#REF!</definedName>
    <definedName name="opuwa" localSheetId="3" hidden="1">#REF!</definedName>
    <definedName name="opuwa" localSheetId="29" hidden="1">#REF!</definedName>
    <definedName name="opuwa" hidden="1">#REF!</definedName>
    <definedName name="opvs" localSheetId="5" hidden="1">#REF!</definedName>
    <definedName name="opvs" localSheetId="3" hidden="1">#REF!</definedName>
    <definedName name="opvs" localSheetId="29" hidden="1">#REF!</definedName>
    <definedName name="opvs" hidden="1">#REF!</definedName>
    <definedName name="os" localSheetId="5" hidden="1">#REF!</definedName>
    <definedName name="os" localSheetId="3" hidden="1">#REF!</definedName>
    <definedName name="os" localSheetId="29" hidden="1">#REF!</definedName>
    <definedName name="os" hidden="1">#REF!</definedName>
    <definedName name="Other_WestGas_Supply_Loc_Code_Report" localSheetId="3">#REF!</definedName>
    <definedName name="Other_WestGas_Supply_Loc_Code_Report">#REF!</definedName>
    <definedName name="Other10A">[70]YTD!$BF$109,[70]YTD!$BF$105:$BF$106,[70]YTD!$BF$98:$BF$98,[70]YTD!$BF$15:$BF$93</definedName>
    <definedName name="Other10DA">[70]YTD!$BF$217,[70]YTD!$BF$213,[70]YTD!$BF$122:$BF$207</definedName>
    <definedName name="Other11A">[70]YTD!$BG$15:$BG$93,[70]YTD!$BG$98:$BG$98,[70]YTD!$BG$105:$BG$106,[70]YTD!$BG$109</definedName>
    <definedName name="other11da">[70]YTD!$BF$217,[70]YTD!$BF$213,[70]YTD!$BF$122:$BF$207</definedName>
    <definedName name="Other12A">[70]YTD!$BH$15:$BH$93,[70]YTD!$BH$98:$BH$98,[70]YTD!$BH$105:$BH$106,[70]YTD!$BH$109</definedName>
    <definedName name="Other12DA">[70]YTD!$BH$122:$BH$207,[70]YTD!$BH$213,[70]YTD!$BH$217</definedName>
    <definedName name="Other1A">[70]YTD!$AW$15:$AW$93,[70]YTD!$AW$98:$AW$98,[70]YTD!$AW$105:$AW$106,[70]YTD!$AW$109</definedName>
    <definedName name="Other1Da">[70]YTD!$AW$122:$AW$207,[70]YTD!$AW$213,[70]YTD!$AW$217</definedName>
    <definedName name="Other2A">[70]YTD!$AX$109,[70]YTD!$AX$105:$AX$106,[70]YTD!$AX$98:$AX$98,[70]YTD!$AX$15:$AX$93</definedName>
    <definedName name="Other2DA">[70]YTD!$AX$213,[70]YTD!$AX$217,[70]YTD!$AX$122:$AX$207</definedName>
    <definedName name="Other3A">[70]YTD!$AY$15:$AY$93,[70]YTD!$AY$98:$AY$99,[70]YTD!$AY$105:$AY$106,[70]YTD!$AY$109</definedName>
    <definedName name="Other3DA">[70]YTD!$AY$213,[70]YTD!$AY$217,[70]YTD!$AY$122:$AY$207</definedName>
    <definedName name="Other4A">[70]YTD!$AZ$109,[70]YTD!$AZ$105:$AZ$106,[70]YTD!$AZ$98:$AZ$98,[70]YTD!$AZ$15:$AZ$93</definedName>
    <definedName name="Other4Da">[70]YTD!$AZ$122:$AZ$207,[70]YTD!$AZ$213,[70]YTD!$AZ$217</definedName>
    <definedName name="Other5A">[70]YTD!$BA$15:$BA$93,[70]YTD!$BA$98:$BA$98,[70]YTD!$BA$105:$BA$106,[70]YTD!$BA$109</definedName>
    <definedName name="Other5Da">[70]YTD!$BA$217,[70]YTD!$BA$213,[70]YTD!$BA$122:$BA$207</definedName>
    <definedName name="Other6DA">[70]YTD!$BB$122:$BB$207,[70]YTD!$BB$213,[70]YTD!$BB$217</definedName>
    <definedName name="Other7A">[70]YTD!$BC$15:$BC$93,[70]YTD!$BC$98:$BC$98,[70]YTD!$BC$105:$BC$106,[70]YTD!$BC$109</definedName>
    <definedName name="Other7DA">[70]YTD!$BC$217,[70]YTD!$BC$213,[70]YTD!$BC$122:$BC$207</definedName>
    <definedName name="Other8A">[70]YTD!$BD$109,[70]YTD!$BD$105:$BD$106,[70]YTD!$BD$98:$BD$98,[70]YTD!$BD$15:$BD$93</definedName>
    <definedName name="Other8DA">[70]YTD!$BD$122:$BD$207,[70]YTD!$BD$213,[70]YTD!$BD$217</definedName>
    <definedName name="Other9A">[70]YTD!$BE$15:$BE$93,[70]YTD!$BE$98:$BE$98,[70]YTD!$BE$105:$BE$106,[70]YTD!$BE$109</definedName>
    <definedName name="Other9DA">[70]YTD!$BE$123:$BE$207,[70]YTD!$BE$213,[70]YTD!$BE$217</definedName>
    <definedName name="OtherAprilA">[63]YTD!$AL$15:$AL$29,[63]YTD!$AL$31:$AL$40,[63]YTD!$AL$51:$AL$52,[63]YTD!$AL$56</definedName>
    <definedName name="OtherAprilDA">[63]YTD!$AL$70:$AL$87,[63]YTD!$AL$89:$AL$101,[63]YTD!$AL$105:$AL$106,[63]YTD!$AL$110</definedName>
    <definedName name="OtherArpilA">[70]YTD!$AZ$109,[70]YTD!$AZ$105:$AZ$106,[70]YTD!$AZ$98:$AZ$98,[70]YTD!$AZ$15:$AZ$93</definedName>
    <definedName name="OtherAugA">[63]YTD!$AP$15:$AP$29,[63]YTD!$AP$31:$AP$40,[63]YTD!$AP$51:$AP$52,[63]YTD!$AP$56</definedName>
    <definedName name="OtherAugDa">[63]YTD!$AP$70:$AP$87,[63]YTD!$AP$89:$AP$101,[63]YTD!$AP$105:$AP$106,[63]YTD!$AP$110</definedName>
    <definedName name="OtherDecA">[63]YTD!$AT$15:$AT$29,[63]YTD!$AT$31:$AT$40,[63]YTD!$AT$51:$AT$52,[63]YTD!$AT$56</definedName>
    <definedName name="OtherDecDA">[63]YTD!$AT$70:$AT$87,[63]YTD!$AT$89:$AT$101,[63]YTD!$AT$105:$AT$106,[63]YTD!$AT$110</definedName>
    <definedName name="OtherFebA">[63]YTD!$AJ$15:$AJ$29,[63]YTD!$AJ$31:$AJ$40,[63]YTD!$AJ$51:$AJ$52,[63]YTD!$AJ$56</definedName>
    <definedName name="OtherFebDA">[63]YTD!$AJ$70:$AJ$87,[63]YTD!$AJ$89:$AJ$101,[63]YTD!$AJ$105:$AJ$106,[63]YTD!$AJ$110</definedName>
    <definedName name="OtherJanA">[70]YTD!$AW$15:$AW$36,[70]YTD!$AW$38:$AW$93,[70]YTD!$AW$98:$AW$98,[70]YTD!$AW$105:$AW$106,[70]YTD!$AW$109</definedName>
    <definedName name="OtherJanDA">[63]YTD!$AI$70:$AI$87,[63]YTD!$AI$89:$AI$101,[63]YTD!$AI$105:$AI$106,[63]YTD!$AI$110</definedName>
    <definedName name="OtherJulyA">[63]YTD!$AO$56,[63]YTD!$AO$51:$AO$52,[63]YTD!$AO$32:$AO$40,[63]YTD!$AO$31:$AO$32,[63]YTD!$AO$31:$AO$32,[63]YTD!$AO$15:$AO$29</definedName>
    <definedName name="OtherJulyDA">[63]YTD!$AO$70:$AO$87,[63]YTD!$AO$89:$AO$101,[63]YTD!$AO$105:$AO$106,[63]YTD!$AO$110</definedName>
    <definedName name="OtherJuneA">[63]YTD!$AN$15:$AN$29,[63]YTD!$AN$31:$AN$40,[63]YTD!$AN$51:$AN$52,[63]YTD!$AN$56</definedName>
    <definedName name="OtherJuneDA">[63]YTD!$AN$70:$AN$87,[63]YTD!$AN$89:$AN$101,[63]YTD!$AN$105:$AN$106,[63]YTD!$AN$110</definedName>
    <definedName name="Otherm6A">[70]YTD!$BB$109,[70]YTD!$BB$105:$BB$106,[70]YTD!$BB$98:$BB$98,[70]YTD!$BB$15:$BB$93</definedName>
    <definedName name="OtherMarchA">[63]YTD!$AK$56,[63]YTD!$AK$51:$AK$52,[63]YTD!$AK$31:$AK$40,[63]YTD!$AK$15:$AK$29</definedName>
    <definedName name="OtherMarchDA">[63]YTD!$AK$70:$AK$87,[63]YTD!$AK$89:$AK$101,[63]YTD!$AK$105:$AK$106,[63]YTD!$AK$110</definedName>
    <definedName name="OtherMayA">[63]YTD!$AM$56,[63]YTD!$AM$51:$AM$52,[63]YTD!$AM$31:$AM$40,[63]YTD!$AM$15:$AM$29</definedName>
    <definedName name="OtherMayDA">[63]YTD!$AM$70:$AM$87,[63]YTD!$AM$89:$AM$101,[63]YTD!$AM$105:$AM$106,[63]YTD!$AM$110</definedName>
    <definedName name="OtherNovA">[63]YTD!$AR$15:$AR$29,[63]YTD!$AR$31:$AR$40,[63]YTD!$AR$51:$AR$52,[63]YTD!$AR$56</definedName>
    <definedName name="OtherNovDA">[63]YTD!$AS$70:$AS$87,[63]YTD!$AR$89:$AR$101,[63]YTD!$AR$105:$AR$106,[63]YTD!$AR$110</definedName>
    <definedName name="OtherOctA">[63]YTD!$AQ$56,[63]YTD!$AQ$51:$AQ$52,[63]YTD!$AQ$31:$AQ$40,[63]YTD!$AQ$15:$AQ$29</definedName>
    <definedName name="OtherOctDA">[63]YTD!$AR$70:$AR$86,[63]YTD!$AQ$89:$AQ$101,[63]YTD!$AQ$105:$AQ$106,[63]YTD!$AQ$110</definedName>
    <definedName name="OTHERSEPT">[63]YTD!#REF!</definedName>
    <definedName name="OtherSeptA" localSheetId="3">[63]YTD!#REF!,[63]YTD!#REF!,[63]YTD!#REF!,[63]YTD!#REF!</definedName>
    <definedName name="OtherSeptA">[63]YTD!#REF!,[63]YTD!#REF!,[63]YTD!#REF!,[63]YTD!#REF!</definedName>
    <definedName name="OtherSeptDA" localSheetId="3">[63]YTD!$AQ$70:$AQ$86,[63]YTD!#REF!,[63]YTD!#REF!,[63]YTD!#REF!</definedName>
    <definedName name="OtherSeptDA">[63]YTD!$AQ$70:$AQ$86,[63]YTD!#REF!,[63]YTD!#REF!,[63]YTD!#REF!</definedName>
    <definedName name="oupc" localSheetId="5" hidden="1">#REF!</definedName>
    <definedName name="oupc" localSheetId="3" hidden="1">#REF!</definedName>
    <definedName name="oupc" localSheetId="29" hidden="1">#REF!</definedName>
    <definedName name="oupc" localSheetId="47" hidden="1">#REF!</definedName>
    <definedName name="oupc" hidden="1">#REF!</definedName>
    <definedName name="OUTPUT">[84]A!$C$11:$Z$98</definedName>
    <definedName name="Overhead_Factor" localSheetId="3">#REF!</definedName>
    <definedName name="Overhead_Factor">#REF!</definedName>
    <definedName name="ovwe" localSheetId="1" hidden="1">#REF!</definedName>
    <definedName name="ovwe" localSheetId="5" hidden="1">#REF!</definedName>
    <definedName name="ovwe" localSheetId="3" hidden="1">#REF!</definedName>
    <definedName name="ovwe" localSheetId="29" hidden="1">#REF!</definedName>
    <definedName name="ovwe" hidden="1">#REF!</definedName>
    <definedName name="OwnershipShare" localSheetId="3">#REF!</definedName>
    <definedName name="OwnershipShare">#REF!</definedName>
    <definedName name="p" localSheetId="1" hidden="1">{"Support/Rev Op Inc=Total revenue + OIBT",#N/A,FALSE,"Rev-Op Inc"}</definedName>
    <definedName name="p" localSheetId="32" hidden="1">{"Support/Rev Op Inc=Total revenue + OIBT",#N/A,FALSE,"Rev-Op Inc"}</definedName>
    <definedName name="p" localSheetId="6" hidden="1">{"Support/Rev Op Inc=Total revenue + OIBT",#N/A,FALSE,"Rev-Op Inc"}</definedName>
    <definedName name="p" localSheetId="4" hidden="1">{"Support/Rev Op Inc=Total revenue + OIBT",#N/A,FALSE,"Rev-Op Inc"}</definedName>
    <definedName name="p" localSheetId="5" hidden="1">{"Support/Rev Op Inc=Total revenue + OIBT",#N/A,FALSE,"Rev-Op Inc"}</definedName>
    <definedName name="p" localSheetId="7" hidden="1">{"Support/Rev Op Inc=Total revenue + OIBT",#N/A,FALSE,"Rev-Op Inc"}</definedName>
    <definedName name="p" localSheetId="3" hidden="1">{"Support/Rev Op Inc=Total revenue + OIBT",#N/A,FALSE,"Rev-Op Inc"}</definedName>
    <definedName name="p" localSheetId="29" hidden="1">{"Support/Rev Op Inc=Total revenue + OIBT",#N/A,FALSE,"Rev-Op Inc"}</definedName>
    <definedName name="p" localSheetId="47" hidden="1">{"Support/Rev Op Inc=Total revenue + OIBT",#N/A,FALSE,"Rev-Op Inc"}</definedName>
    <definedName name="p" hidden="1">{"Support/Rev Op Inc=Total revenue + OIBT",#N/A,FALSE,"Rev-Op Inc"}</definedName>
    <definedName name="P1_" localSheetId="6">#REF!</definedName>
    <definedName name="P1_" localSheetId="3">#REF!</definedName>
    <definedName name="P1_">#REF!</definedName>
    <definedName name="P2_" localSheetId="3">#REF!</definedName>
    <definedName name="P2_">#REF!</definedName>
    <definedName name="PAGE">#N/A</definedName>
    <definedName name="PAGE_1">#REF!</definedName>
    <definedName name="PAGE_2">#REF!</definedName>
    <definedName name="PAGE_3">#N/A</definedName>
    <definedName name="PAGE_4">#N/A</definedName>
    <definedName name="PAGE1">#N/A</definedName>
    <definedName name="PAGE4">#N/A</definedName>
    <definedName name="PAGE5" localSheetId="6">#REF!</definedName>
    <definedName name="PAGE5" localSheetId="3">#REF!</definedName>
    <definedName name="PAGE5">#REF!</definedName>
    <definedName name="PAGE6" localSheetId="3">#REF!</definedName>
    <definedName name="PAGE6">#REF!</definedName>
    <definedName name="PAGE7" localSheetId="3">#REF!</definedName>
    <definedName name="PAGE7">#REF!</definedName>
    <definedName name="PAGE8" localSheetId="3">#REF!</definedName>
    <definedName name="PAGE8">#REF!</definedName>
    <definedName name="Pageheaders">'[85]COST OF SERVICE'!#REF!</definedName>
    <definedName name="Pal_Workbook_GUID" localSheetId="29" hidden="1">"31D6I8PXZ2UBY1JJ5B7BIZ2J"</definedName>
    <definedName name="Pal_Workbook_GUID" hidden="1">"2L986F145WYGX229IDPE7YKM"</definedName>
    <definedName name="Parent">'[86]Parent Companies'!$A$1:$A$28</definedName>
    <definedName name="Parent_Company">'[87]Company Groups'!$B$3</definedName>
    <definedName name="Pay_Date" localSheetId="6">#REF!</definedName>
    <definedName name="Pay_Date" localSheetId="3">#REF!</definedName>
    <definedName name="Pay_Date">#REF!</definedName>
    <definedName name="Pay_Num" localSheetId="6">#REF!</definedName>
    <definedName name="Pay_Num" localSheetId="3">#REF!</definedName>
    <definedName name="Pay_Num">#REF!</definedName>
    <definedName name="paydate" localSheetId="3">#REF!</definedName>
    <definedName name="paydate">#REF!</definedName>
    <definedName name="paydateno.7" localSheetId="3">#REF!</definedName>
    <definedName name="paydateno.7">#REF!</definedName>
    <definedName name="Payment_Date" localSheetId="32">DATE(YEAR(Loan_Start),MONTH(Loan_Start)+Payment_Number,DAY(Loan_Start))</definedName>
    <definedName name="Payment_Date" localSheetId="6">DATE(YEAR([0]!Loan_Start),MONTH([0]!Loan_Start)+Payment_Number,DAY([0]!Loan_Start))</definedName>
    <definedName name="Payment_Date" localSheetId="3">DATE(YEAR('2.4 OpCo Proxy Cap Str'!Loan_Start),MONTH('2.4 OpCo Proxy Cap Str'!Loan_Start)+Payment_Number,DAY('2.4 OpCo Proxy Cap Str'!Loan_Start))</definedName>
    <definedName name="Payment_Date">DATE(YEAR(Loan_Start),MONTH(Loan_Start)+Payment_Number,DAY(Loan_Start))</definedName>
    <definedName name="pb" localSheetId="32" hidden="1">{#N/A,#N/A,FALSE,"04 Target Calc.";#N/A,#N/A,FALSE,"03 Projection Calc"}</definedName>
    <definedName name="pb" localSheetId="6" hidden="1">{#N/A,#N/A,FALSE,"04 Target Calc.";#N/A,#N/A,FALSE,"03 Projection Calc"}</definedName>
    <definedName name="pb" localSheetId="7" hidden="1">{#N/A,#N/A,FALSE,"04 Target Calc.";#N/A,#N/A,FALSE,"03 Projection Calc"}</definedName>
    <definedName name="pb" localSheetId="3" hidden="1">{#N/A,#N/A,FALSE,"04 Target Calc.";#N/A,#N/A,FALSE,"03 Projection Calc"}</definedName>
    <definedName name="pb" localSheetId="47" hidden="1">{#N/A,#N/A,FALSE,"04 Target Calc.";#N/A,#N/A,FALSE,"03 Projection Calc"}</definedName>
    <definedName name="pb" hidden="1">{#N/A,#N/A,FALSE,"04 Target Calc.";#N/A,#N/A,FALSE,"03 Projection Calc"}</definedName>
    <definedName name="PE_WP">'[58]P-E Ratio (WP)'!$B$5:$S$87</definedName>
    <definedName name="Pepco" localSheetId="32" hidden="1">{#N/A,#N/A,FALSE,"O&amp;M by processes";#N/A,#N/A,FALSE,"Elec Act vs Bud";#N/A,#N/A,FALSE,"G&amp;A";#N/A,#N/A,FALSE,"BGS";#N/A,#N/A,FALSE,"Res Cost"}</definedName>
    <definedName name="Pepco" localSheetId="6" hidden="1">{#N/A,#N/A,FALSE,"O&amp;M by processes";#N/A,#N/A,FALSE,"Elec Act vs Bud";#N/A,#N/A,FALSE,"G&amp;A";#N/A,#N/A,FALSE,"BGS";#N/A,#N/A,FALSE,"Res Cost"}</definedName>
    <definedName name="Pepco" localSheetId="7" hidden="1">{#N/A,#N/A,FALSE,"O&amp;M by processes";#N/A,#N/A,FALSE,"Elec Act vs Bud";#N/A,#N/A,FALSE,"G&amp;A";#N/A,#N/A,FALSE,"BGS";#N/A,#N/A,FALSE,"Res Cost"}</definedName>
    <definedName name="Pepco" localSheetId="3" hidden="1">{#N/A,#N/A,FALSE,"O&amp;M by processes";#N/A,#N/A,FALSE,"Elec Act vs Bud";#N/A,#N/A,FALSE,"G&amp;A";#N/A,#N/A,FALSE,"BGS";#N/A,#N/A,FALSE,"Res Cost"}</definedName>
    <definedName name="Pepco" localSheetId="29" hidden="1">{#N/A,#N/A,FALSE,"O&amp;M by processes";#N/A,#N/A,FALSE,"Elec Act vs Bud";#N/A,#N/A,FALSE,"G&amp;A";#N/A,#N/A,FALSE,"BGS";#N/A,#N/A,FALSE,"Res Cost"}</definedName>
    <definedName name="Pepco" localSheetId="47" hidden="1">{#N/A,#N/A,FALSE,"O&amp;M by processes";#N/A,#N/A,FALSE,"Elec Act vs Bud";#N/A,#N/A,FALSE,"G&amp;A";#N/A,#N/A,FALSE,"BGS";#N/A,#N/A,FALSE,"Res Cost"}</definedName>
    <definedName name="Pepco" hidden="1">{#N/A,#N/A,FALSE,"O&amp;M by processes";#N/A,#N/A,FALSE,"Elec Act vs Bud";#N/A,#N/A,FALSE,"G&amp;A";#N/A,#N/A,FALSE,"BGS";#N/A,#N/A,FALSE,"Res Cost"}</definedName>
    <definedName name="peqafd" localSheetId="1" hidden="1">#REF!</definedName>
    <definedName name="peqafd" localSheetId="5" hidden="1">#REF!</definedName>
    <definedName name="peqafd" localSheetId="3" hidden="1">#REF!</definedName>
    <definedName name="peqafd" localSheetId="29" hidden="1">#REF!</definedName>
    <definedName name="peqafd" hidden="1">#REF!</definedName>
    <definedName name="Percent">#REF!</definedName>
    <definedName name="PERO" localSheetId="1" hidden="1">{#N/A,#N/A,FALSE,"SCA";#N/A,#N/A,FALSE,"NCA";#N/A,#N/A,FALSE,"SAZ";#N/A,#N/A,FALSE,"CAZ";#N/A,#N/A,FALSE,"SNV";#N/A,#N/A,FALSE,"NNV";#N/A,#N/A,FALSE,"PP";#N/A,#N/A,FALSE,"SA"}</definedName>
    <definedName name="PERO" localSheetId="32"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4" hidden="1">{#N/A,#N/A,FALSE,"SCA";#N/A,#N/A,FALSE,"NCA";#N/A,#N/A,FALSE,"SAZ";#N/A,#N/A,FALSE,"CAZ";#N/A,#N/A,FALSE,"SNV";#N/A,#N/A,FALSE,"NNV";#N/A,#N/A,FALSE,"PP";#N/A,#N/A,FALSE,"SA"}</definedName>
    <definedName name="PERO" localSheetId="5" hidden="1">{#N/A,#N/A,FALSE,"SCA";#N/A,#N/A,FALSE,"NCA";#N/A,#N/A,FALSE,"SAZ";#N/A,#N/A,FALSE,"CAZ";#N/A,#N/A,FALSE,"SNV";#N/A,#N/A,FALSE,"NNV";#N/A,#N/A,FALSE,"PP";#N/A,#N/A,FALSE,"SA"}</definedName>
    <definedName name="PERO" localSheetId="7" hidden="1">{#N/A,#N/A,FALSE,"SCA";#N/A,#N/A,FALSE,"NCA";#N/A,#N/A,FALSE,"SAZ";#N/A,#N/A,FALSE,"CAZ";#N/A,#N/A,FALSE,"SNV";#N/A,#N/A,FALSE,"NNV";#N/A,#N/A,FALSE,"PP";#N/A,#N/A,FALSE,"SA"}</definedName>
    <definedName name="PERO" localSheetId="3" hidden="1">{#N/A,#N/A,FALSE,"SCA";#N/A,#N/A,FALSE,"NCA";#N/A,#N/A,FALSE,"SAZ";#N/A,#N/A,FALSE,"CAZ";#N/A,#N/A,FALSE,"SNV";#N/A,#N/A,FALSE,"NNV";#N/A,#N/A,FALSE,"PP";#N/A,#N/A,FALSE,"SA"}</definedName>
    <definedName name="PERO" localSheetId="47" hidden="1">{#N/A,#N/A,FALSE,"SCA";#N/A,#N/A,FALSE,"NCA";#N/A,#N/A,FALSE,"SAZ";#N/A,#N/A,FALSE,"CAZ";#N/A,#N/A,FALSE,"SNV";#N/A,#N/A,FALSE,"NNV";#N/A,#N/A,FALSE,"PP";#N/A,#N/A,FALSE,"SA"}</definedName>
    <definedName name="PERO" hidden="1">{#N/A,#N/A,FALSE,"SCA";#N/A,#N/A,FALSE,"NCA";#N/A,#N/A,FALSE,"SAZ";#N/A,#N/A,FALSE,"CAZ";#N/A,#N/A,FALSE,"SNV";#N/A,#N/A,FALSE,"NNV";#N/A,#N/A,FALSE,"PP";#N/A,#N/A,FALSE,"SA"}</definedName>
    <definedName name="pert" localSheetId="1" hidden="1">#REF!</definedName>
    <definedName name="pert" localSheetId="5" hidden="1">#REF!</definedName>
    <definedName name="pert" localSheetId="3" hidden="1">#REF!</definedName>
    <definedName name="pert" localSheetId="29" hidden="1">#REF!</definedName>
    <definedName name="pert" hidden="1">#REF!</definedName>
    <definedName name="PG">'[2]14802'!$A$1:$R$53</definedName>
    <definedName name="Plains">'[37]Customer Bill Details (External'!$O$402</definedName>
    <definedName name="plk" localSheetId="1" hidden="1">#REF!</definedName>
    <definedName name="plk" localSheetId="5" hidden="1">#REF!</definedName>
    <definedName name="plk" localSheetId="3" hidden="1">#REF!</definedName>
    <definedName name="plk" localSheetId="29" hidden="1">#REF!</definedName>
    <definedName name="plk" hidden="1">#REF!</definedName>
    <definedName name="plo" localSheetId="5" hidden="1">#REF!</definedName>
    <definedName name="plo" localSheetId="3" hidden="1">#REF!</definedName>
    <definedName name="plo" localSheetId="29" hidden="1">#REF!</definedName>
    <definedName name="plo" hidden="1">#REF!</definedName>
    <definedName name="plvsanj" localSheetId="5" hidden="1">#REF!</definedName>
    <definedName name="plvsanj" localSheetId="3" hidden="1">#REF!</definedName>
    <definedName name="plvsanj" localSheetId="29" hidden="1">#REF!</definedName>
    <definedName name="plvsanj" hidden="1">#REF!</definedName>
    <definedName name="pocq" localSheetId="5" hidden="1">#REF!</definedName>
    <definedName name="pocq" localSheetId="3" hidden="1">#REF!</definedName>
    <definedName name="pocq" localSheetId="29" hidden="1">#REF!</definedName>
    <definedName name="pocq" hidden="1">#REF!</definedName>
    <definedName name="poe" localSheetId="5" hidden="1">#REF!</definedName>
    <definedName name="poe" localSheetId="3" hidden="1">#REF!</definedName>
    <definedName name="poe" localSheetId="29" hidden="1">#REF!</definedName>
    <definedName name="poe" hidden="1">#REF!</definedName>
    <definedName name="poeac" localSheetId="5" hidden="1">#REF!</definedName>
    <definedName name="poeac" localSheetId="3" hidden="1">#REF!</definedName>
    <definedName name="poeac" localSheetId="29" hidden="1">#REF!</definedName>
    <definedName name="poeac" hidden="1">#REF!</definedName>
    <definedName name="poec" localSheetId="5" hidden="1">#REF!</definedName>
    <definedName name="poec" localSheetId="3" hidden="1">#REF!</definedName>
    <definedName name="poec" localSheetId="29" hidden="1">#REF!</definedName>
    <definedName name="poec" hidden="1">#REF!</definedName>
    <definedName name="poeca" localSheetId="5" hidden="1">#REF!</definedName>
    <definedName name="poeca" localSheetId="3" hidden="1">#REF!</definedName>
    <definedName name="poeca" localSheetId="29" hidden="1">#REF!</definedName>
    <definedName name="poeca" hidden="1">#REF!</definedName>
    <definedName name="poert" localSheetId="5" hidden="1">#REF!</definedName>
    <definedName name="poert" localSheetId="3" hidden="1">#REF!</definedName>
    <definedName name="poert" localSheetId="29" hidden="1">#REF!</definedName>
    <definedName name="poert" hidden="1">#REF!</definedName>
    <definedName name="poi" localSheetId="5" hidden="1">#REF!</definedName>
    <definedName name="poi" localSheetId="3" hidden="1">#REF!</definedName>
    <definedName name="poi" localSheetId="29" hidden="1">#REF!</definedName>
    <definedName name="poi" hidden="1">#REF!</definedName>
    <definedName name="poica" localSheetId="5" hidden="1">#REF!</definedName>
    <definedName name="poica" localSheetId="3" hidden="1">#REF!</definedName>
    <definedName name="poica" localSheetId="29" hidden="1">#REF!</definedName>
    <definedName name="poica" hidden="1">#REF!</definedName>
    <definedName name="poiea" localSheetId="5" hidden="1">#REF!</definedName>
    <definedName name="poiea" localSheetId="3" hidden="1">#REF!</definedName>
    <definedName name="poiea" localSheetId="29" hidden="1">#REF!</definedName>
    <definedName name="poiea" hidden="1">#REF!</definedName>
    <definedName name="poiv" localSheetId="5" hidden="1">#REF!</definedName>
    <definedName name="poiv" localSheetId="3" hidden="1">#REF!</definedName>
    <definedName name="poiv" localSheetId="29" hidden="1">#REF!</definedName>
    <definedName name="poiv" hidden="1">#REF!</definedName>
    <definedName name="poiy" localSheetId="5" hidden="1">#REF!</definedName>
    <definedName name="poiy" localSheetId="3" hidden="1">#REF!</definedName>
    <definedName name="poiy" localSheetId="29" hidden="1">#REF!</definedName>
    <definedName name="poiy" hidden="1">#REF!</definedName>
    <definedName name="poiyw" localSheetId="5" hidden="1">#REF!</definedName>
    <definedName name="poiyw" localSheetId="3" hidden="1">#REF!</definedName>
    <definedName name="poiyw" localSheetId="29" hidden="1">#REF!</definedName>
    <definedName name="poiyw" hidden="1">#REF!</definedName>
    <definedName name="PopCache_GL_INTERFACE_REFERENCE7" localSheetId="1" hidden="1">[88]PopCache!$A$1:$A$2</definedName>
    <definedName name="PopCache_GL_INTERFACE_REFERENCE7" hidden="1">[89]PopCache!$A$1:$A$2</definedName>
    <definedName name="pouac" localSheetId="1" hidden="1">#REF!</definedName>
    <definedName name="pouac" localSheetId="5" hidden="1">#REF!</definedName>
    <definedName name="pouac" localSheetId="3" hidden="1">#REF!</definedName>
    <definedName name="pouac" localSheetId="29" hidden="1">#REF!</definedName>
    <definedName name="pouac" hidden="1">#REF!</definedName>
    <definedName name="pouce" localSheetId="1" hidden="1">#REF!</definedName>
    <definedName name="pouce" localSheetId="5" hidden="1">#REF!</definedName>
    <definedName name="pouce" localSheetId="3" hidden="1">#REF!</definedName>
    <definedName name="pouce" localSheetId="29" hidden="1">#REF!</definedName>
    <definedName name="pouce" hidden="1">#REF!</definedName>
    <definedName name="povrs" localSheetId="5" hidden="1">#REF!</definedName>
    <definedName name="povrs" localSheetId="3" hidden="1">#REF!</definedName>
    <definedName name="povrs" localSheetId="29" hidden="1">#REF!</definedName>
    <definedName name="povrs" hidden="1">#REF!</definedName>
    <definedName name="pp"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2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E_DCAS_ROWS" localSheetId="3">#REF!</definedName>
    <definedName name="PPE_DCAS_ROWS">#REF!</definedName>
    <definedName name="PPP" localSheetId="6">#REF!</definedName>
    <definedName name="PPP" localSheetId="3">#REF!</definedName>
    <definedName name="PPP">#REF!</definedName>
    <definedName name="pppp" localSheetId="1" hidden="1">{"'Sheet1'!$A$1:$O$40"}</definedName>
    <definedName name="pppp" localSheetId="32" hidden="1">{"'Sheet1'!$A$1:$O$40"}</definedName>
    <definedName name="pppp" localSheetId="6" hidden="1">{"'Sheet1'!$A$1:$O$40"}</definedName>
    <definedName name="pppp" localSheetId="4" hidden="1">{"'Sheet1'!$A$1:$O$40"}</definedName>
    <definedName name="pppp" localSheetId="5" hidden="1">{"'Sheet1'!$A$1:$O$40"}</definedName>
    <definedName name="pppp" localSheetId="7" hidden="1">{"'Sheet1'!$A$1:$O$40"}</definedName>
    <definedName name="pppp" localSheetId="3" hidden="1">{"'Sheet1'!$A$1:$O$40"}</definedName>
    <definedName name="pppp" localSheetId="29" hidden="1">{"'Sheet1'!$A$1:$O$40"}</definedName>
    <definedName name="pppp" localSheetId="47" hidden="1">{"'Sheet1'!$A$1:$O$40"}</definedName>
    <definedName name="pppp" hidden="1">{"'Sheet1'!$A$1:$O$40"}</definedName>
    <definedName name="ppppp" localSheetId="1" hidden="1">{#N/A,#N/A,FALSE,"SCA";#N/A,#N/A,FALSE,"NCA";#N/A,#N/A,FALSE,"SAZ";#N/A,#N/A,FALSE,"CAZ";#N/A,#N/A,FALSE,"SNV";#N/A,#N/A,FALSE,"NNV";#N/A,#N/A,FALSE,"PP";#N/A,#N/A,FALSE,"SA"}</definedName>
    <definedName name="ppppp" localSheetId="32" hidden="1">{#N/A,#N/A,FALSE,"SCA";#N/A,#N/A,FALSE,"NCA";#N/A,#N/A,FALSE,"SAZ";#N/A,#N/A,FALSE,"CAZ";#N/A,#N/A,FALSE,"SNV";#N/A,#N/A,FALSE,"NNV";#N/A,#N/A,FALSE,"PP";#N/A,#N/A,FALSE,"SA"}</definedName>
    <definedName name="ppppp" localSheetId="6" hidden="1">{#N/A,#N/A,FALSE,"SCA";#N/A,#N/A,FALSE,"NCA";#N/A,#N/A,FALSE,"SAZ";#N/A,#N/A,FALSE,"CAZ";#N/A,#N/A,FALSE,"SNV";#N/A,#N/A,FALSE,"NNV";#N/A,#N/A,FALSE,"PP";#N/A,#N/A,FALSE,"SA"}</definedName>
    <definedName name="ppppp" localSheetId="4" hidden="1">{#N/A,#N/A,FALSE,"SCA";#N/A,#N/A,FALSE,"NCA";#N/A,#N/A,FALSE,"SAZ";#N/A,#N/A,FALSE,"CAZ";#N/A,#N/A,FALSE,"SNV";#N/A,#N/A,FALSE,"NNV";#N/A,#N/A,FALSE,"PP";#N/A,#N/A,FALSE,"SA"}</definedName>
    <definedName name="ppppp" localSheetId="5" hidden="1">{#N/A,#N/A,FALSE,"SCA";#N/A,#N/A,FALSE,"NCA";#N/A,#N/A,FALSE,"SAZ";#N/A,#N/A,FALSE,"CAZ";#N/A,#N/A,FALSE,"SNV";#N/A,#N/A,FALSE,"NNV";#N/A,#N/A,FALSE,"PP";#N/A,#N/A,FALSE,"SA"}</definedName>
    <definedName name="ppppp" localSheetId="7" hidden="1">{#N/A,#N/A,FALSE,"SCA";#N/A,#N/A,FALSE,"NCA";#N/A,#N/A,FALSE,"SAZ";#N/A,#N/A,FALSE,"CAZ";#N/A,#N/A,FALSE,"SNV";#N/A,#N/A,FALSE,"NNV";#N/A,#N/A,FALSE,"PP";#N/A,#N/A,FALSE,"SA"}</definedName>
    <definedName name="ppppp" localSheetId="3" hidden="1">{#N/A,#N/A,FALSE,"SCA";#N/A,#N/A,FALSE,"NCA";#N/A,#N/A,FALSE,"SAZ";#N/A,#N/A,FALSE,"CAZ";#N/A,#N/A,FALSE,"SNV";#N/A,#N/A,FALSE,"NNV";#N/A,#N/A,FALSE,"PP";#N/A,#N/A,FALSE,"SA"}</definedName>
    <definedName name="ppppp" localSheetId="29" hidden="1">{#N/A,#N/A,FALSE,"SCA";#N/A,#N/A,FALSE,"NCA";#N/A,#N/A,FALSE,"SAZ";#N/A,#N/A,FALSE,"CAZ";#N/A,#N/A,FALSE,"SNV";#N/A,#N/A,FALSE,"NNV";#N/A,#N/A,FALSE,"PP";#N/A,#N/A,FALSE,"SA"}</definedName>
    <definedName name="ppppp" localSheetId="47" hidden="1">{#N/A,#N/A,FALSE,"SCA";#N/A,#N/A,FALSE,"NCA";#N/A,#N/A,FALSE,"SAZ";#N/A,#N/A,FALSE,"CAZ";#N/A,#N/A,FALSE,"SNV";#N/A,#N/A,FALSE,"NNV";#N/A,#N/A,FALSE,"PP";#N/A,#N/A,FALSE,"SA"}</definedName>
    <definedName name="ppppp" hidden="1">{#N/A,#N/A,FALSE,"SCA";#N/A,#N/A,FALSE,"NCA";#N/A,#N/A,FALSE,"SAZ";#N/A,#N/A,FALSE,"CAZ";#N/A,#N/A,FALSE,"SNV";#N/A,#N/A,FALSE,"NNV";#N/A,#N/A,FALSE,"PP";#N/A,#N/A,FALSE,"SA"}</definedName>
    <definedName name="pppppppp" localSheetId="1" hidden="1">#REF!</definedName>
    <definedName name="pppppppp" localSheetId="5" hidden="1">#REF!</definedName>
    <definedName name="pppppppp" localSheetId="3" hidden="1">#REF!</definedName>
    <definedName name="pppppppp" localSheetId="29" hidden="1">#REF!</definedName>
    <definedName name="pppppppp" hidden="1">#REF!</definedName>
    <definedName name="pppppppppp" localSheetId="1" hidden="1">{"'Sheet1'!$A$1:$O$40"}</definedName>
    <definedName name="pppppppppp" localSheetId="32" hidden="1">{"'Sheet1'!$A$1:$O$40"}</definedName>
    <definedName name="pppppppppp" localSheetId="6" hidden="1">{"'Sheet1'!$A$1:$O$40"}</definedName>
    <definedName name="pppppppppp" localSheetId="4" hidden="1">{"'Sheet1'!$A$1:$O$40"}</definedName>
    <definedName name="pppppppppp" localSheetId="5" hidden="1">{"'Sheet1'!$A$1:$O$40"}</definedName>
    <definedName name="pppppppppp" localSheetId="7" hidden="1">{"'Sheet1'!$A$1:$O$40"}</definedName>
    <definedName name="pppppppppp" localSheetId="3" hidden="1">{"'Sheet1'!$A$1:$O$40"}</definedName>
    <definedName name="pppppppppp" localSheetId="29" hidden="1">{"'Sheet1'!$A$1:$O$40"}</definedName>
    <definedName name="pppppppppp" localSheetId="47" hidden="1">{"'Sheet1'!$A$1:$O$40"}</definedName>
    <definedName name="pppppppppp" hidden="1">{"'Sheet1'!$A$1:$O$40"}</definedName>
    <definedName name="prcCloseAMT">"FEBAMT"</definedName>
    <definedName name="prcCloseDT">#N/A</definedName>
    <definedName name="preferred_equity">'[64]SNL Data'!$K$6:$R$148</definedName>
    <definedName name="pres_sum_blk1_chg">[90]RES!$O$53</definedName>
    <definedName name="pres_sum_cust_chg">[90]RES!$O$49</definedName>
    <definedName name="pres_win_blk1_chg">[90]RES!$Q$53</definedName>
    <definedName name="pres_win_cust_chg">[90]RES!$Q$49</definedName>
    <definedName name="pres_win_xs_chg">[90]RES!$Q$54</definedName>
    <definedName name="PREVNOPD">#N/A</definedName>
    <definedName name="price" localSheetId="6">#REF!</definedName>
    <definedName name="price" localSheetId="3">#REF!</definedName>
    <definedName name="price">#REF!</definedName>
    <definedName name="Princ" localSheetId="6">#REF!</definedName>
    <definedName name="Princ" localSheetId="3">#REF!</definedName>
    <definedName name="Princ">#REF!</definedName>
    <definedName name="principal">'[41]Input Sheet'!$F$24</definedName>
    <definedName name="PRINT" localSheetId="3">#REF!</definedName>
    <definedName name="PRINT">#REF!</definedName>
    <definedName name="print_all_D_1">#REF!</definedName>
    <definedName name="_xlnm.Print_Area" localSheetId="1">'1.1 Recommended Cap Structure'!$A$1:$I$17</definedName>
    <definedName name="_xlnm.Print_Area" localSheetId="2">'1.2 Summary of CE Models'!$A$1:$E$31</definedName>
    <definedName name="_xlnm.Print_Area" localSheetId="32">'10.1 CAPEX to Net Plant'!$Q$1:$Z$28</definedName>
    <definedName name="_xlnm.Print_Area" localSheetId="4">'2.1 GasProxy CapStr Summary'!$Q$1:$AD$58</definedName>
    <definedName name="_xlnm.Print_Area" localSheetId="5">'2.2 GasProxy CapStr'!$B$1:$O$54</definedName>
    <definedName name="_xlnm.Print_Area" localSheetId="7">'2.3 OpCo Proxy Cap Str'!$A$1:$I$19</definedName>
    <definedName name="_xlnm.Print_Area" localSheetId="3">'2.4 OpCo Proxy Cap Str'!$A$1:$I$47</definedName>
    <definedName name="_xlnm.Print_Area" localSheetId="8">'3.1 DCF Summary'!$B$1:$W$31</definedName>
    <definedName name="_xlnm.Print_Area" localSheetId="9">'4.1 RP Summary'!$A$1:$E$14</definedName>
    <definedName name="_xlnm.Print_Area" localSheetId="17">'4.12 S&amp;P RPM Study Returns'!$A$1:$F$32</definedName>
    <definedName name="_xlnm.Print_Area" localSheetId="18">'4.13 Past Rate Cases Gas'!$Z$1:$AG$28</definedName>
    <definedName name="_xlnm.Print_Area" localSheetId="10">'4.2 Ind. PRPM Results'!$B$1:$P$27</definedName>
    <definedName name="_xlnm.Print_Area" localSheetId="11">'4.3 Risk Premium Summary'!$A$1:$H$28</definedName>
    <definedName name="_xlnm.Print_Area" localSheetId="13">'4.5 Bond Ratings'!$B$1:$K$27</definedName>
    <definedName name="_xlnm.Print_Area" localSheetId="14">'4.6 Moody''s_S&amp;P numbericl'!$B$1:$F$26</definedName>
    <definedName name="_xlnm.Print_Area" localSheetId="15">'4.7 ERP Determination'!$A$1:$F$30</definedName>
    <definedName name="_xlnm.Print_Area" localSheetId="16">'4.8-4.9 Beta Adjusted ERP'!$A$1:$F$50</definedName>
    <definedName name="_xlnm.Print_Area" localSheetId="19">'5.1 CAPM'!$B$1:$W$24</definedName>
    <definedName name="_xlnm.Print_Area" localSheetId="20">'5.2 CAPM Notes'!$A$1:$O$62</definedName>
    <definedName name="_xlnm.Print_Area" localSheetId="21">'6.1 Comp Earnings Criteria'!$C$1:$K$28</definedName>
    <definedName name="_xlnm.Print_Area" localSheetId="22">'6.2 Proxy Group Equivalent'!$C$1:$K$54</definedName>
    <definedName name="_xlnm.Print_Area" localSheetId="23">'7.1 CEM Summary'!$A$1:$F$25</definedName>
    <definedName name="_xlnm.Print_Area" localSheetId="24">'7.2 CEM DCF'!$B$1:$W$60</definedName>
    <definedName name="_xlnm.Print_Area" localSheetId="25">'7.3 CEM RPM Summary'!$A$1:$I$44</definedName>
    <definedName name="_xlnm.Print_Area" localSheetId="26">'7.4 CEM RPM Bond Ratings'!$B$1:$J$56</definedName>
    <definedName name="_xlnm.Print_Area" localSheetId="27">'7.5 CEM Beta Adjusted RP'!$A$1:$G$40</definedName>
    <definedName name="_xlnm.Print_Area" localSheetId="28">'7.6 CEM CAPM Backup'!$B$1:$W$58</definedName>
    <definedName name="_xlnm.Print_Area" localSheetId="29">'8.1 Equity Contributions'!$A$1:$W$34</definedName>
    <definedName name="_xlnm.Print_Area" localSheetId="30">'9.1 Risk Adjustment'!$A$1:$M$38</definedName>
    <definedName name="_xlnm.Print_Area" localSheetId="31">'9.2 Market Cap'!$B$1:$Q$40</definedName>
    <definedName name="_xlnm.Print_Area">[84]A!$A$11:$N$51</definedName>
    <definedName name="Print_Area_MI" localSheetId="6">#REF!</definedName>
    <definedName name="Print_Area_MI" localSheetId="3">#REF!</definedName>
    <definedName name="Print_Area_MI">#REF!</definedName>
    <definedName name="Print_Area_Reset" localSheetId="32">OFFSET(Full_Print,0,0,'10.1 CAPEX to Net Plant'!Last_Row)</definedName>
    <definedName name="Print_Area_Reset" localSheetId="6">OFFSET('11.3-4 WP'!Full_Print,0,0,'11.3-4 WP'!Last_Row)</definedName>
    <definedName name="Print_Area_Reset" localSheetId="3">OFFSET('2.4 OpCo Proxy Cap Str'!Full_Print,0,0,'2.4 OpCo Proxy Cap Str'!Last_Row)</definedName>
    <definedName name="Print_Area_Reset" localSheetId="50">OFFSET([0]!Full_Print,0,0,[0]!Last_Row)</definedName>
    <definedName name="Print_Area_Reset">OFFSET(Full_Print,0,0,Last_Row)</definedName>
    <definedName name="Print_Elec_Com_Gen_Anal" localSheetId="3">#REF!</definedName>
    <definedName name="Print_Elec_Com_Gen_Anal">#REF!</definedName>
    <definedName name="print_filing" localSheetId="3">#REF!</definedName>
    <definedName name="print_filing">#REF!</definedName>
    <definedName name="PRINT_T8004_HLPRET96_DATA" localSheetId="3">#REF!</definedName>
    <definedName name="PRINT_T8004_HLPRET96_DATA">#REF!</definedName>
    <definedName name="_xlnm.Print_Titles" localSheetId="16">'4.8-4.9 Beta Adjusted ERP'!$1:$5</definedName>
    <definedName name="_xlnm.Print_Titles" localSheetId="22">'6.2 Proxy Group Equivalent'!$1:$4</definedName>
    <definedName name="_xlnm.Print_Titles" localSheetId="24">'7.2 CEM DCF'!$1:$3</definedName>
    <definedName name="_xlnm.Print_Titles" localSheetId="26">'7.4 CEM RPM Bond Ratings'!$1:$4</definedName>
    <definedName name="_xlnm.Print_Titles" localSheetId="28">'7.6 CEM CAPM Backup'!$1:$4</definedName>
    <definedName name="_xlnm.Print_Titles">#N/A</definedName>
    <definedName name="Print_Titles_MI" localSheetId="3">#REF!</definedName>
    <definedName name="Print_Titles_MI">#REF!</definedName>
    <definedName name="PRINT1" localSheetId="6">#REF!</definedName>
    <definedName name="PRINT1" localSheetId="3">#REF!</definedName>
    <definedName name="PRINT1">#REF!</definedName>
    <definedName name="printing_probelm2_2006" localSheetId="1" hidden="1">{"CONSOL_UWNJ_ISV",#N/A,FALSE,"Sheet1";"CONSOL_UWNJ_SAV",#N/A,FALSE,"Sheet1";"CONSOL_UWNJ_BSV",#N/A,FALSE,"Sheet1";"CONSOL_UWNJ_SFDV",#N/A,FALSE,"Sheet1"}</definedName>
    <definedName name="printing_probelm2_2006" localSheetId="32" hidden="1">{"CONSOL_UWNJ_ISV",#N/A,FALSE,"Sheet1";"CONSOL_UWNJ_SAV",#N/A,FALSE,"Sheet1";"CONSOL_UWNJ_BSV",#N/A,FALSE,"Sheet1";"CONSOL_UWNJ_SFDV",#N/A,FALSE,"Sheet1"}</definedName>
    <definedName name="printing_probelm2_2006" localSheetId="6" hidden="1">{"CONSOL_UWNJ_ISV",#N/A,FALSE,"Sheet1";"CONSOL_UWNJ_SAV",#N/A,FALSE,"Sheet1";"CONSOL_UWNJ_BSV",#N/A,FALSE,"Sheet1";"CONSOL_UWNJ_SFDV",#N/A,FALSE,"Sheet1"}</definedName>
    <definedName name="printing_probelm2_2006" localSheetId="4" hidden="1">{"CONSOL_UWNJ_ISV",#N/A,FALSE,"Sheet1";"CONSOL_UWNJ_SAV",#N/A,FALSE,"Sheet1";"CONSOL_UWNJ_BSV",#N/A,FALSE,"Sheet1";"CONSOL_UWNJ_SFDV",#N/A,FALSE,"Sheet1"}</definedName>
    <definedName name="printing_probelm2_2006" localSheetId="5" hidden="1">{"CONSOL_UWNJ_ISV",#N/A,FALSE,"Sheet1";"CONSOL_UWNJ_SAV",#N/A,FALSE,"Sheet1";"CONSOL_UWNJ_BSV",#N/A,FALSE,"Sheet1";"CONSOL_UWNJ_SFDV",#N/A,FALSE,"Sheet1"}</definedName>
    <definedName name="printing_probelm2_2006" localSheetId="7" hidden="1">{"CONSOL_UWNJ_ISV",#N/A,FALSE,"Sheet1";"CONSOL_UWNJ_SAV",#N/A,FALSE,"Sheet1";"CONSOL_UWNJ_BSV",#N/A,FALSE,"Sheet1";"CONSOL_UWNJ_SFDV",#N/A,FALSE,"Sheet1"}</definedName>
    <definedName name="printing_probelm2_2006" localSheetId="3" hidden="1">{"CONSOL_UWNJ_ISV",#N/A,FALSE,"Sheet1";"CONSOL_UWNJ_SAV",#N/A,FALSE,"Sheet1";"CONSOL_UWNJ_BSV",#N/A,FALSE,"Sheet1";"CONSOL_UWNJ_SFDV",#N/A,FALSE,"Sheet1"}</definedName>
    <definedName name="printing_probelm2_2006" localSheetId="29" hidden="1">{"CONSOL_UWNJ_ISV",#N/A,FALSE,"Sheet1";"CONSOL_UWNJ_SAV",#N/A,FALSE,"Sheet1";"CONSOL_UWNJ_BSV",#N/A,FALSE,"Sheet1";"CONSOL_UWNJ_SFDV",#N/A,FALSE,"Sheet1"}</definedName>
    <definedName name="printing_probelm2_2006" localSheetId="47" hidden="1">{"CONSOL_UWNJ_ISV",#N/A,FALSE,"Sheet1";"CONSOL_UWNJ_SAV",#N/A,FALSE,"Sheet1";"CONSOL_UWNJ_BSV",#N/A,FALSE,"Sheet1";"CONSOL_UWNJ_SFDV",#N/A,FALSE,"Sheet1"}</definedName>
    <definedName name="printing_probelm2_2006" hidden="1">{"CONSOL_UWNJ_ISV",#N/A,FALSE,"Sheet1";"CONSOL_UWNJ_SAV",#N/A,FALSE,"Sheet1";"CONSOL_UWNJ_BSV",#N/A,FALSE,"Sheet1";"CONSOL_UWNJ_SFDV",#N/A,FALSE,"Sheet1"}</definedName>
    <definedName name="printing_Problem"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 localSheetId="1" hidden="1">{"CONSOL_UWNJ_ISV",#N/A,FALSE,"Sheet1";"CONSOL_UWNJ_SAV",#N/A,FALSE,"Sheet1";"CONSOL_UWNJ_BSV",#N/A,FALSE,"Sheet1";"CONSOL_UWNJ_SFDV",#N/A,FALSE,"Sheet1"}</definedName>
    <definedName name="printing_problem2" localSheetId="32" hidden="1">{"CONSOL_UWNJ_ISV",#N/A,FALSE,"Sheet1";"CONSOL_UWNJ_SAV",#N/A,FALSE,"Sheet1";"CONSOL_UWNJ_BSV",#N/A,FALSE,"Sheet1";"CONSOL_UWNJ_SFDV",#N/A,FALSE,"Sheet1"}</definedName>
    <definedName name="printing_problem2" localSheetId="6" hidden="1">{"CONSOL_UWNJ_ISV",#N/A,FALSE,"Sheet1";"CONSOL_UWNJ_SAV",#N/A,FALSE,"Sheet1";"CONSOL_UWNJ_BSV",#N/A,FALSE,"Sheet1";"CONSOL_UWNJ_SFDV",#N/A,FALSE,"Sheet1"}</definedName>
    <definedName name="printing_problem2" localSheetId="4" hidden="1">{"CONSOL_UWNJ_ISV",#N/A,FALSE,"Sheet1";"CONSOL_UWNJ_SAV",#N/A,FALSE,"Sheet1";"CONSOL_UWNJ_BSV",#N/A,FALSE,"Sheet1";"CONSOL_UWNJ_SFDV",#N/A,FALSE,"Sheet1"}</definedName>
    <definedName name="printing_problem2" localSheetId="5" hidden="1">{"CONSOL_UWNJ_ISV",#N/A,FALSE,"Sheet1";"CONSOL_UWNJ_SAV",#N/A,FALSE,"Sheet1";"CONSOL_UWNJ_BSV",#N/A,FALSE,"Sheet1";"CONSOL_UWNJ_SFDV",#N/A,FALSE,"Sheet1"}</definedName>
    <definedName name="printing_problem2" localSheetId="7" hidden="1">{"CONSOL_UWNJ_ISV",#N/A,FALSE,"Sheet1";"CONSOL_UWNJ_SAV",#N/A,FALSE,"Sheet1";"CONSOL_UWNJ_BSV",#N/A,FALSE,"Sheet1";"CONSOL_UWNJ_SFDV",#N/A,FALSE,"Sheet1"}</definedName>
    <definedName name="printing_problem2" localSheetId="3" hidden="1">{"CONSOL_UWNJ_ISV",#N/A,FALSE,"Sheet1";"CONSOL_UWNJ_SAV",#N/A,FALSE,"Sheet1";"CONSOL_UWNJ_BSV",#N/A,FALSE,"Sheet1";"CONSOL_UWNJ_SFDV",#N/A,FALSE,"Sheet1"}</definedName>
    <definedName name="printing_problem2" localSheetId="29" hidden="1">{"CONSOL_UWNJ_ISV",#N/A,FALSE,"Sheet1";"CONSOL_UWNJ_SAV",#N/A,FALSE,"Sheet1";"CONSOL_UWNJ_BSV",#N/A,FALSE,"Sheet1";"CONSOL_UWNJ_SFDV",#N/A,FALSE,"Sheet1"}</definedName>
    <definedName name="printing_problem2" localSheetId="47" hidden="1">{"CONSOL_UWNJ_ISV",#N/A,FALSE,"Sheet1";"CONSOL_UWNJ_SAV",#N/A,FALSE,"Sheet1";"CONSOL_UWNJ_BSV",#N/A,FALSE,"Sheet1";"CONSOL_UWNJ_SFDV",#N/A,FALSE,"Sheet1"}</definedName>
    <definedName name="printing_problem2" hidden="1">{"CONSOL_UWNJ_ISV",#N/A,FALSE,"Sheet1";"CONSOL_UWNJ_SAV",#N/A,FALSE,"Sheet1";"CONSOL_UWNJ_BSV",#N/A,FALSE,"Sheet1";"CONSOL_UWNJ_SFDV",#N/A,FALSE,"Sheet1"}</definedName>
    <definedName name="printing_Problem2006"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3" localSheetId="1" hidden="1">{"CONSOL_WO_ISV",#N/A,FALSE,"Sheet1";"CONSOL_WO_SAV",#N/A,FALSE,"Sheet1";"CONSOL_WO_BSV",#N/A,FALSE,"Sheet1";"CONSOL_WO_SFDV",#N/A,FALSE,"Sheet1"}</definedName>
    <definedName name="printing_problem3" localSheetId="32" hidden="1">{"CONSOL_WO_ISV",#N/A,FALSE,"Sheet1";"CONSOL_WO_SAV",#N/A,FALSE,"Sheet1";"CONSOL_WO_BSV",#N/A,FALSE,"Sheet1";"CONSOL_WO_SFDV",#N/A,FALSE,"Sheet1"}</definedName>
    <definedName name="printing_problem3" localSheetId="6" hidden="1">{"CONSOL_WO_ISV",#N/A,FALSE,"Sheet1";"CONSOL_WO_SAV",#N/A,FALSE,"Sheet1";"CONSOL_WO_BSV",#N/A,FALSE,"Sheet1";"CONSOL_WO_SFDV",#N/A,FALSE,"Sheet1"}</definedName>
    <definedName name="printing_problem3" localSheetId="4" hidden="1">{"CONSOL_WO_ISV",#N/A,FALSE,"Sheet1";"CONSOL_WO_SAV",#N/A,FALSE,"Sheet1";"CONSOL_WO_BSV",#N/A,FALSE,"Sheet1";"CONSOL_WO_SFDV",#N/A,FALSE,"Sheet1"}</definedName>
    <definedName name="printing_problem3" localSheetId="5" hidden="1">{"CONSOL_WO_ISV",#N/A,FALSE,"Sheet1";"CONSOL_WO_SAV",#N/A,FALSE,"Sheet1";"CONSOL_WO_BSV",#N/A,FALSE,"Sheet1";"CONSOL_WO_SFDV",#N/A,FALSE,"Sheet1"}</definedName>
    <definedName name="printing_problem3" localSheetId="7" hidden="1">{"CONSOL_WO_ISV",#N/A,FALSE,"Sheet1";"CONSOL_WO_SAV",#N/A,FALSE,"Sheet1";"CONSOL_WO_BSV",#N/A,FALSE,"Sheet1";"CONSOL_WO_SFDV",#N/A,FALSE,"Sheet1"}</definedName>
    <definedName name="printing_problem3" localSheetId="3" hidden="1">{"CONSOL_WO_ISV",#N/A,FALSE,"Sheet1";"CONSOL_WO_SAV",#N/A,FALSE,"Sheet1";"CONSOL_WO_BSV",#N/A,FALSE,"Sheet1";"CONSOL_WO_SFDV",#N/A,FALSE,"Sheet1"}</definedName>
    <definedName name="printing_problem3" localSheetId="29" hidden="1">{"CONSOL_WO_ISV",#N/A,FALSE,"Sheet1";"CONSOL_WO_SAV",#N/A,FALSE,"Sheet1";"CONSOL_WO_BSV",#N/A,FALSE,"Sheet1";"CONSOL_WO_SFDV",#N/A,FALSE,"Sheet1"}</definedName>
    <definedName name="printing_problem3" localSheetId="47" hidden="1">{"CONSOL_WO_ISV",#N/A,FALSE,"Sheet1";"CONSOL_WO_SAV",#N/A,FALSE,"Sheet1";"CONSOL_WO_BSV",#N/A,FALSE,"Sheet1";"CONSOL_WO_SFDV",#N/A,FALSE,"Sheet1"}</definedName>
    <definedName name="printing_problem3" hidden="1">{"CONSOL_WO_ISV",#N/A,FALSE,"Sheet1";"CONSOL_WO_SAV",#N/A,FALSE,"Sheet1";"CONSOL_WO_BSV",#N/A,FALSE,"Sheet1";"CONSOL_WO_SFDV",#N/A,FALSE,"Sheet1"}</definedName>
    <definedName name="printing_problem3_2006" localSheetId="1" hidden="1">{"CONSOL_WO_ISV",#N/A,FALSE,"Sheet1";"CONSOL_WO_SAV",#N/A,FALSE,"Sheet1";"CONSOL_WO_BSV",#N/A,FALSE,"Sheet1";"CONSOL_WO_SFDV",#N/A,FALSE,"Sheet1"}</definedName>
    <definedName name="printing_problem3_2006" localSheetId="32" hidden="1">{"CONSOL_WO_ISV",#N/A,FALSE,"Sheet1";"CONSOL_WO_SAV",#N/A,FALSE,"Sheet1";"CONSOL_WO_BSV",#N/A,FALSE,"Sheet1";"CONSOL_WO_SFDV",#N/A,FALSE,"Sheet1"}</definedName>
    <definedName name="printing_problem3_2006" localSheetId="6" hidden="1">{"CONSOL_WO_ISV",#N/A,FALSE,"Sheet1";"CONSOL_WO_SAV",#N/A,FALSE,"Sheet1";"CONSOL_WO_BSV",#N/A,FALSE,"Sheet1";"CONSOL_WO_SFDV",#N/A,FALSE,"Sheet1"}</definedName>
    <definedName name="printing_problem3_2006" localSheetId="4" hidden="1">{"CONSOL_WO_ISV",#N/A,FALSE,"Sheet1";"CONSOL_WO_SAV",#N/A,FALSE,"Sheet1";"CONSOL_WO_BSV",#N/A,FALSE,"Sheet1";"CONSOL_WO_SFDV",#N/A,FALSE,"Sheet1"}</definedName>
    <definedName name="printing_problem3_2006" localSheetId="5" hidden="1">{"CONSOL_WO_ISV",#N/A,FALSE,"Sheet1";"CONSOL_WO_SAV",#N/A,FALSE,"Sheet1";"CONSOL_WO_BSV",#N/A,FALSE,"Sheet1";"CONSOL_WO_SFDV",#N/A,FALSE,"Sheet1"}</definedName>
    <definedName name="printing_problem3_2006" localSheetId="7" hidden="1">{"CONSOL_WO_ISV",#N/A,FALSE,"Sheet1";"CONSOL_WO_SAV",#N/A,FALSE,"Sheet1";"CONSOL_WO_BSV",#N/A,FALSE,"Sheet1";"CONSOL_WO_SFDV",#N/A,FALSE,"Sheet1"}</definedName>
    <definedName name="printing_problem3_2006" localSheetId="3" hidden="1">{"CONSOL_WO_ISV",#N/A,FALSE,"Sheet1";"CONSOL_WO_SAV",#N/A,FALSE,"Sheet1";"CONSOL_WO_BSV",#N/A,FALSE,"Sheet1";"CONSOL_WO_SFDV",#N/A,FALSE,"Sheet1"}</definedName>
    <definedName name="printing_problem3_2006" localSheetId="29" hidden="1">{"CONSOL_WO_ISV",#N/A,FALSE,"Sheet1";"CONSOL_WO_SAV",#N/A,FALSE,"Sheet1";"CONSOL_WO_BSV",#N/A,FALSE,"Sheet1";"CONSOL_WO_SFDV",#N/A,FALSE,"Sheet1"}</definedName>
    <definedName name="printing_problem3_2006" localSheetId="47" hidden="1">{"CONSOL_WO_ISV",#N/A,FALSE,"Sheet1";"CONSOL_WO_SAV",#N/A,FALSE,"Sheet1";"CONSOL_WO_BSV",#N/A,FALSE,"Sheet1";"CONSOL_WO_SFDV",#N/A,FALSE,"Sheet1"}</definedName>
    <definedName name="printing_problem3_2006" hidden="1">{"CONSOL_WO_ISV",#N/A,FALSE,"Sheet1";"CONSOL_WO_SAV",#N/A,FALSE,"Sheet1";"CONSOL_WO_BSV",#N/A,FALSE,"Sheet1";"CONSOL_WO_SFDV",#N/A,FALSE,"Sheet1"}</definedName>
    <definedName name="printing_problem4" localSheetId="1" hidden="1">{"ELIM_CWO_ISV",#N/A,FALSE,"Sheet1";"ELIM_CWO_SAV",#N/A,FALSE,"Sheet1";"ELIM_CWO_BSV",#N/A,FALSE,"Sheet1";"ELIM_CWO_SFDV",#N/A,FALSE,"Sheet1"}</definedName>
    <definedName name="printing_problem4" localSheetId="32" hidden="1">{"ELIM_CWO_ISV",#N/A,FALSE,"Sheet1";"ELIM_CWO_SAV",#N/A,FALSE,"Sheet1";"ELIM_CWO_BSV",#N/A,FALSE,"Sheet1";"ELIM_CWO_SFDV",#N/A,FALSE,"Sheet1"}</definedName>
    <definedName name="printing_problem4" localSheetId="6" hidden="1">{"ELIM_CWO_ISV",#N/A,FALSE,"Sheet1";"ELIM_CWO_SAV",#N/A,FALSE,"Sheet1";"ELIM_CWO_BSV",#N/A,FALSE,"Sheet1";"ELIM_CWO_SFDV",#N/A,FALSE,"Sheet1"}</definedName>
    <definedName name="printing_problem4" localSheetId="4" hidden="1">{"ELIM_CWO_ISV",#N/A,FALSE,"Sheet1";"ELIM_CWO_SAV",#N/A,FALSE,"Sheet1";"ELIM_CWO_BSV",#N/A,FALSE,"Sheet1";"ELIM_CWO_SFDV",#N/A,FALSE,"Sheet1"}</definedName>
    <definedName name="printing_problem4" localSheetId="5" hidden="1">{"ELIM_CWO_ISV",#N/A,FALSE,"Sheet1";"ELIM_CWO_SAV",#N/A,FALSE,"Sheet1";"ELIM_CWO_BSV",#N/A,FALSE,"Sheet1";"ELIM_CWO_SFDV",#N/A,FALSE,"Sheet1"}</definedName>
    <definedName name="printing_problem4" localSheetId="7" hidden="1">{"ELIM_CWO_ISV",#N/A,FALSE,"Sheet1";"ELIM_CWO_SAV",#N/A,FALSE,"Sheet1";"ELIM_CWO_BSV",#N/A,FALSE,"Sheet1";"ELIM_CWO_SFDV",#N/A,FALSE,"Sheet1"}</definedName>
    <definedName name="printing_problem4" localSheetId="3" hidden="1">{"ELIM_CWO_ISV",#N/A,FALSE,"Sheet1";"ELIM_CWO_SAV",#N/A,FALSE,"Sheet1";"ELIM_CWO_BSV",#N/A,FALSE,"Sheet1";"ELIM_CWO_SFDV",#N/A,FALSE,"Sheet1"}</definedName>
    <definedName name="printing_problem4" localSheetId="29" hidden="1">{"ELIM_CWO_ISV",#N/A,FALSE,"Sheet1";"ELIM_CWO_SAV",#N/A,FALSE,"Sheet1";"ELIM_CWO_BSV",#N/A,FALSE,"Sheet1";"ELIM_CWO_SFDV",#N/A,FALSE,"Sheet1"}</definedName>
    <definedName name="printing_problem4" localSheetId="47" hidden="1">{"ELIM_CWO_ISV",#N/A,FALSE,"Sheet1";"ELIM_CWO_SAV",#N/A,FALSE,"Sheet1";"ELIM_CWO_BSV",#N/A,FALSE,"Sheet1";"ELIM_CWO_SFDV",#N/A,FALSE,"Sheet1"}</definedName>
    <definedName name="printing_problem4" hidden="1">{"ELIM_CWO_ISV",#N/A,FALSE,"Sheet1";"ELIM_CWO_SAV",#N/A,FALSE,"Sheet1";"ELIM_CWO_BSV",#N/A,FALSE,"Sheet1";"ELIM_CWO_SFDV",#N/A,FALSE,"Sheet1"}</definedName>
    <definedName name="printing_problem4_2006" localSheetId="1" hidden="1">{"ELIM_CWO_ISV",#N/A,FALSE,"Sheet1";"ELIM_CWO_SAV",#N/A,FALSE,"Sheet1";"ELIM_CWO_BSV",#N/A,FALSE,"Sheet1";"ELIM_CWO_SFDV",#N/A,FALSE,"Sheet1"}</definedName>
    <definedName name="printing_problem4_2006" localSheetId="32" hidden="1">{"ELIM_CWO_ISV",#N/A,FALSE,"Sheet1";"ELIM_CWO_SAV",#N/A,FALSE,"Sheet1";"ELIM_CWO_BSV",#N/A,FALSE,"Sheet1";"ELIM_CWO_SFDV",#N/A,FALSE,"Sheet1"}</definedName>
    <definedName name="printing_problem4_2006" localSheetId="6" hidden="1">{"ELIM_CWO_ISV",#N/A,FALSE,"Sheet1";"ELIM_CWO_SAV",#N/A,FALSE,"Sheet1";"ELIM_CWO_BSV",#N/A,FALSE,"Sheet1";"ELIM_CWO_SFDV",#N/A,FALSE,"Sheet1"}</definedName>
    <definedName name="printing_problem4_2006" localSheetId="4" hidden="1">{"ELIM_CWO_ISV",#N/A,FALSE,"Sheet1";"ELIM_CWO_SAV",#N/A,FALSE,"Sheet1";"ELIM_CWO_BSV",#N/A,FALSE,"Sheet1";"ELIM_CWO_SFDV",#N/A,FALSE,"Sheet1"}</definedName>
    <definedName name="printing_problem4_2006" localSheetId="5" hidden="1">{"ELIM_CWO_ISV",#N/A,FALSE,"Sheet1";"ELIM_CWO_SAV",#N/A,FALSE,"Sheet1";"ELIM_CWO_BSV",#N/A,FALSE,"Sheet1";"ELIM_CWO_SFDV",#N/A,FALSE,"Sheet1"}</definedName>
    <definedName name="printing_problem4_2006" localSheetId="7" hidden="1">{"ELIM_CWO_ISV",#N/A,FALSE,"Sheet1";"ELIM_CWO_SAV",#N/A,FALSE,"Sheet1";"ELIM_CWO_BSV",#N/A,FALSE,"Sheet1";"ELIM_CWO_SFDV",#N/A,FALSE,"Sheet1"}</definedName>
    <definedName name="printing_problem4_2006" localSheetId="3" hidden="1">{"ELIM_CWO_ISV",#N/A,FALSE,"Sheet1";"ELIM_CWO_SAV",#N/A,FALSE,"Sheet1";"ELIM_CWO_BSV",#N/A,FALSE,"Sheet1";"ELIM_CWO_SFDV",#N/A,FALSE,"Sheet1"}</definedName>
    <definedName name="printing_problem4_2006" localSheetId="29" hidden="1">{"ELIM_CWO_ISV",#N/A,FALSE,"Sheet1";"ELIM_CWO_SAV",#N/A,FALSE,"Sheet1";"ELIM_CWO_BSV",#N/A,FALSE,"Sheet1";"ELIM_CWO_SFDV",#N/A,FALSE,"Sheet1"}</definedName>
    <definedName name="printing_problem4_2006" localSheetId="47" hidden="1">{"ELIM_CWO_ISV",#N/A,FALSE,"Sheet1";"ELIM_CWO_SAV",#N/A,FALSE,"Sheet1";"ELIM_CWO_BSV",#N/A,FALSE,"Sheet1";"ELIM_CWO_SFDV",#N/A,FALSE,"Sheet1"}</definedName>
    <definedName name="printing_problem4_2006" hidden="1">{"ELIM_CWO_ISV",#N/A,FALSE,"Sheet1";"ELIM_CWO_SAV",#N/A,FALSE,"Sheet1";"ELIM_CWO_BSV",#N/A,FALSE,"Sheet1";"ELIM_CWO_SFDV",#N/A,FALSE,"Sheet1"}</definedName>
    <definedName name="printing_problem5" localSheetId="1" hidden="1">{"ELIM_UWNJ_UWNY_ISV",#N/A,FALSE,"Sheet1";"ELIM_UWNJ_UWNY_SAV",#N/A,FALSE,"Sheet1";"ELIM_UWNJ_UWNY_BSV",#N/A,FALSE,"Sheet1";"ELIM_UWNJ_UWNY_SFDV",#N/A,FALSE,"Sheet1"}</definedName>
    <definedName name="printing_problem5" localSheetId="32" hidden="1">{"ELIM_UWNJ_UWNY_ISV",#N/A,FALSE,"Sheet1";"ELIM_UWNJ_UWNY_SAV",#N/A,FALSE,"Sheet1";"ELIM_UWNJ_UWNY_BSV",#N/A,FALSE,"Sheet1";"ELIM_UWNJ_UWNY_SFDV",#N/A,FALSE,"Sheet1"}</definedName>
    <definedName name="printing_problem5" localSheetId="6" hidden="1">{"ELIM_UWNJ_UWNY_ISV",#N/A,FALSE,"Sheet1";"ELIM_UWNJ_UWNY_SAV",#N/A,FALSE,"Sheet1";"ELIM_UWNJ_UWNY_BSV",#N/A,FALSE,"Sheet1";"ELIM_UWNJ_UWNY_SFDV",#N/A,FALSE,"Sheet1"}</definedName>
    <definedName name="printing_problem5" localSheetId="4" hidden="1">{"ELIM_UWNJ_UWNY_ISV",#N/A,FALSE,"Sheet1";"ELIM_UWNJ_UWNY_SAV",#N/A,FALSE,"Sheet1";"ELIM_UWNJ_UWNY_BSV",#N/A,FALSE,"Sheet1";"ELIM_UWNJ_UWNY_SFDV",#N/A,FALSE,"Sheet1"}</definedName>
    <definedName name="printing_problem5" localSheetId="5" hidden="1">{"ELIM_UWNJ_UWNY_ISV",#N/A,FALSE,"Sheet1";"ELIM_UWNJ_UWNY_SAV",#N/A,FALSE,"Sheet1";"ELIM_UWNJ_UWNY_BSV",#N/A,FALSE,"Sheet1";"ELIM_UWNJ_UWNY_SFDV",#N/A,FALSE,"Sheet1"}</definedName>
    <definedName name="printing_problem5" localSheetId="7" hidden="1">{"ELIM_UWNJ_UWNY_ISV",#N/A,FALSE,"Sheet1";"ELIM_UWNJ_UWNY_SAV",#N/A,FALSE,"Sheet1";"ELIM_UWNJ_UWNY_BSV",#N/A,FALSE,"Sheet1";"ELIM_UWNJ_UWNY_SFDV",#N/A,FALSE,"Sheet1"}</definedName>
    <definedName name="printing_problem5" localSheetId="3" hidden="1">{"ELIM_UWNJ_UWNY_ISV",#N/A,FALSE,"Sheet1";"ELIM_UWNJ_UWNY_SAV",#N/A,FALSE,"Sheet1";"ELIM_UWNJ_UWNY_BSV",#N/A,FALSE,"Sheet1";"ELIM_UWNJ_UWNY_SFDV",#N/A,FALSE,"Sheet1"}</definedName>
    <definedName name="printing_problem5" localSheetId="29" hidden="1">{"ELIM_UWNJ_UWNY_ISV",#N/A,FALSE,"Sheet1";"ELIM_UWNJ_UWNY_SAV",#N/A,FALSE,"Sheet1";"ELIM_UWNJ_UWNY_BSV",#N/A,FALSE,"Sheet1";"ELIM_UWNJ_UWNY_SFDV",#N/A,FALSE,"Sheet1"}</definedName>
    <definedName name="printing_problem5" localSheetId="47" hidden="1">{"ELIM_UWNJ_UWNY_ISV",#N/A,FALSE,"Sheet1";"ELIM_UWNJ_UWNY_SAV",#N/A,FALSE,"Sheet1";"ELIM_UWNJ_UWNY_BSV",#N/A,FALSE,"Sheet1";"ELIM_UWNJ_UWNY_SFDV",#N/A,FALSE,"Sheet1"}</definedName>
    <definedName name="printing_problem5" hidden="1">{"ELIM_UWNJ_UWNY_ISV",#N/A,FALSE,"Sheet1";"ELIM_UWNJ_UWNY_SAV",#N/A,FALSE,"Sheet1";"ELIM_UWNJ_UWNY_BSV",#N/A,FALSE,"Sheet1";"ELIM_UWNJ_UWNY_SFDV",#N/A,FALSE,"Sheet1"}</definedName>
    <definedName name="printingproblem6" localSheetId="1" hidden="1">{"UWMACISV",#N/A,FALSE,"Sheet1";"UWMACSAV",#N/A,FALSE,"Sheet1";"UWMACBSV",#N/A,FALSE,"Sheet1";"UWMACSFDV",#N/A,FALSE,"Sheet1"}</definedName>
    <definedName name="printingproblem6" localSheetId="32" hidden="1">{"UWMACISV",#N/A,FALSE,"Sheet1";"UWMACSAV",#N/A,FALSE,"Sheet1";"UWMACBSV",#N/A,FALSE,"Sheet1";"UWMACSFDV",#N/A,FALSE,"Sheet1"}</definedName>
    <definedName name="printingproblem6" localSheetId="6" hidden="1">{"UWMACISV",#N/A,FALSE,"Sheet1";"UWMACSAV",#N/A,FALSE,"Sheet1";"UWMACBSV",#N/A,FALSE,"Sheet1";"UWMACSFDV",#N/A,FALSE,"Sheet1"}</definedName>
    <definedName name="printingproblem6" localSheetId="4" hidden="1">{"UWMACISV",#N/A,FALSE,"Sheet1";"UWMACSAV",#N/A,FALSE,"Sheet1";"UWMACBSV",#N/A,FALSE,"Sheet1";"UWMACSFDV",#N/A,FALSE,"Sheet1"}</definedName>
    <definedName name="printingproblem6" localSheetId="5" hidden="1">{"UWMACISV",#N/A,FALSE,"Sheet1";"UWMACSAV",#N/A,FALSE,"Sheet1";"UWMACBSV",#N/A,FALSE,"Sheet1";"UWMACSFDV",#N/A,FALSE,"Sheet1"}</definedName>
    <definedName name="printingproblem6" localSheetId="7" hidden="1">{"UWMACISV",#N/A,FALSE,"Sheet1";"UWMACSAV",#N/A,FALSE,"Sheet1";"UWMACBSV",#N/A,FALSE,"Sheet1";"UWMACSFDV",#N/A,FALSE,"Sheet1"}</definedName>
    <definedName name="printingproblem6" localSheetId="3" hidden="1">{"UWMACISV",#N/A,FALSE,"Sheet1";"UWMACSAV",#N/A,FALSE,"Sheet1";"UWMACBSV",#N/A,FALSE,"Sheet1";"UWMACSFDV",#N/A,FALSE,"Sheet1"}</definedName>
    <definedName name="printingproblem6" localSheetId="29" hidden="1">{"UWMACISV",#N/A,FALSE,"Sheet1";"UWMACSAV",#N/A,FALSE,"Sheet1";"UWMACBSV",#N/A,FALSE,"Sheet1";"UWMACSFDV",#N/A,FALSE,"Sheet1"}</definedName>
    <definedName name="printingproblem6" localSheetId="47" hidden="1">{"UWMACISV",#N/A,FALSE,"Sheet1";"UWMACSAV",#N/A,FALSE,"Sheet1";"UWMACBSV",#N/A,FALSE,"Sheet1";"UWMACSFDV",#N/A,FALSE,"Sheet1"}</definedName>
    <definedName name="printingproblem6" hidden="1">{"UWMACISV",#N/A,FALSE,"Sheet1";"UWMACSAV",#N/A,FALSE,"Sheet1";"UWMACBSV",#N/A,FALSE,"Sheet1";"UWMACSFDV",#N/A,FALSE,"Sheet1"}</definedName>
    <definedName name="printingproblem7" localSheetId="1" hidden="1">{"UWNYISV",#N/A,FALSE,"Sheet1";"UWNYSAV",#N/A,FALSE,"Sheet1";"UWNYBSV",#N/A,FALSE,"Sheet1";"UWNYSFDV",#N/A,FALSE,"Sheet1"}</definedName>
    <definedName name="printingproblem7" localSheetId="32" hidden="1">{"UWNYISV",#N/A,FALSE,"Sheet1";"UWNYSAV",#N/A,FALSE,"Sheet1";"UWNYBSV",#N/A,FALSE,"Sheet1";"UWNYSFDV",#N/A,FALSE,"Sheet1"}</definedName>
    <definedName name="printingproblem7" localSheetId="6" hidden="1">{"UWNYISV",#N/A,FALSE,"Sheet1";"UWNYSAV",#N/A,FALSE,"Sheet1";"UWNYBSV",#N/A,FALSE,"Sheet1";"UWNYSFDV",#N/A,FALSE,"Sheet1"}</definedName>
    <definedName name="printingproblem7" localSheetId="4" hidden="1">{"UWNYISV",#N/A,FALSE,"Sheet1";"UWNYSAV",#N/A,FALSE,"Sheet1";"UWNYBSV",#N/A,FALSE,"Sheet1";"UWNYSFDV",#N/A,FALSE,"Sheet1"}</definedName>
    <definedName name="printingproblem7" localSheetId="5" hidden="1">{"UWNYISV",#N/A,FALSE,"Sheet1";"UWNYSAV",#N/A,FALSE,"Sheet1";"UWNYBSV",#N/A,FALSE,"Sheet1";"UWNYSFDV",#N/A,FALSE,"Sheet1"}</definedName>
    <definedName name="printingproblem7" localSheetId="7" hidden="1">{"UWNYISV",#N/A,FALSE,"Sheet1";"UWNYSAV",#N/A,FALSE,"Sheet1";"UWNYBSV",#N/A,FALSE,"Sheet1";"UWNYSFDV",#N/A,FALSE,"Sheet1"}</definedName>
    <definedName name="printingproblem7" localSheetId="3" hidden="1">{"UWNYISV",#N/A,FALSE,"Sheet1";"UWNYSAV",#N/A,FALSE,"Sheet1";"UWNYBSV",#N/A,FALSE,"Sheet1";"UWNYSFDV",#N/A,FALSE,"Sheet1"}</definedName>
    <definedName name="printingproblem7" localSheetId="29" hidden="1">{"UWNYISV",#N/A,FALSE,"Sheet1";"UWNYSAV",#N/A,FALSE,"Sheet1";"UWNYBSV",#N/A,FALSE,"Sheet1";"UWNYSFDV",#N/A,FALSE,"Sheet1"}</definedName>
    <definedName name="printingproblem7" localSheetId="47" hidden="1">{"UWNYISV",#N/A,FALSE,"Sheet1";"UWNYSAV",#N/A,FALSE,"Sheet1";"UWNYBSV",#N/A,FALSE,"Sheet1";"UWNYSFDV",#N/A,FALSE,"Sheet1"}</definedName>
    <definedName name="printingproblem7" hidden="1">{"UWNYISV",#N/A,FALSE,"Sheet1";"UWNYSAV",#N/A,FALSE,"Sheet1";"UWNYBSV",#N/A,FALSE,"Sheet1";"UWNYSFDV",#N/A,FALSE,"Sheet1"}</definedName>
    <definedName name="printingproblem8" localSheetId="1" hidden="1">{"UWWISV",#N/A,FALSE,"Sheet1";"UWWSAV",#N/A,FALSE,"Sheet1";"UWWBSV",#N/A,FALSE,"Sheet1";"UWWSFDV",#N/A,FALSE,"Sheet1"}</definedName>
    <definedName name="printingproblem8" localSheetId="32" hidden="1">{"UWWISV",#N/A,FALSE,"Sheet1";"UWWSAV",#N/A,FALSE,"Sheet1";"UWWBSV",#N/A,FALSE,"Sheet1";"UWWSFDV",#N/A,FALSE,"Sheet1"}</definedName>
    <definedName name="printingproblem8" localSheetId="6" hidden="1">{"UWWISV",#N/A,FALSE,"Sheet1";"UWWSAV",#N/A,FALSE,"Sheet1";"UWWBSV",#N/A,FALSE,"Sheet1";"UWWSFDV",#N/A,FALSE,"Sheet1"}</definedName>
    <definedName name="printingproblem8" localSheetId="4" hidden="1">{"UWWISV",#N/A,FALSE,"Sheet1";"UWWSAV",#N/A,FALSE,"Sheet1";"UWWBSV",#N/A,FALSE,"Sheet1";"UWWSFDV",#N/A,FALSE,"Sheet1"}</definedName>
    <definedName name="printingproblem8" localSheetId="5" hidden="1">{"UWWISV",#N/A,FALSE,"Sheet1";"UWWSAV",#N/A,FALSE,"Sheet1";"UWWBSV",#N/A,FALSE,"Sheet1";"UWWSFDV",#N/A,FALSE,"Sheet1"}</definedName>
    <definedName name="printingproblem8" localSheetId="7" hidden="1">{"UWWISV",#N/A,FALSE,"Sheet1";"UWWSAV",#N/A,FALSE,"Sheet1";"UWWBSV",#N/A,FALSE,"Sheet1";"UWWSFDV",#N/A,FALSE,"Sheet1"}</definedName>
    <definedName name="printingproblem8" localSheetId="3" hidden="1">{"UWWISV",#N/A,FALSE,"Sheet1";"UWWSAV",#N/A,FALSE,"Sheet1";"UWWBSV",#N/A,FALSE,"Sheet1";"UWWSFDV",#N/A,FALSE,"Sheet1"}</definedName>
    <definedName name="printingproblem8" localSheetId="29" hidden="1">{"UWWISV",#N/A,FALSE,"Sheet1";"UWWSAV",#N/A,FALSE,"Sheet1";"UWWBSV",#N/A,FALSE,"Sheet1";"UWWSFDV",#N/A,FALSE,"Sheet1"}</definedName>
    <definedName name="printingproblem8" localSheetId="47" hidden="1">{"UWWISV",#N/A,FALSE,"Sheet1";"UWWSAV",#N/A,FALSE,"Sheet1";"UWWBSV",#N/A,FALSE,"Sheet1";"UWWSFDV",#N/A,FALSE,"Sheet1"}</definedName>
    <definedName name="printingproblem8" hidden="1">{"UWWISV",#N/A,FALSE,"Sheet1";"UWWSAV",#N/A,FALSE,"Sheet1";"UWWBSV",#N/A,FALSE,"Sheet1";"UWWSFDV",#N/A,FALSE,"Sheet1"}</definedName>
    <definedName name="PRN">[38]A!$S$11</definedName>
    <definedName name="PRNGROWTH">[38]A!$S$11</definedName>
    <definedName name="prop_cap">'[64]SNL Data'!$C$6:$J$148</definedName>
    <definedName name="prop_sum_blk1_chg">[90]RES!$U$53</definedName>
    <definedName name="prop_sum_cust_chg">[90]RES!$U$49</definedName>
    <definedName name="prop_win_blk1_chg">[90]RES!$V$53</definedName>
    <definedName name="prop_win_cust_chg">[90]RES!$V$49</definedName>
    <definedName name="prop_win_xs_chg">[90]RES!$V$54</definedName>
    <definedName name="PROPERTY" localSheetId="6">'[1]Jun 99'!#REF!</definedName>
    <definedName name="PROPERTY" localSheetId="3">'[1]Jun 99'!#REF!</definedName>
    <definedName name="PROPERTY">'[1]Jun 99'!#REF!</definedName>
    <definedName name="PS">[67]Inputs!$K$5</definedName>
    <definedName name="PSC_ACCUM_DEPR_RES_REPORT" localSheetId="3">#REF!</definedName>
    <definedName name="PSC_ACCUM_DEPR_RES_REPORT">#REF!</definedName>
    <definedName name="PSC_BOOK_DEPR_EXPENSE_" localSheetId="3">#REF!</definedName>
    <definedName name="PSC_BOOK_DEPR_EXPENSE_">#REF!</definedName>
    <definedName name="PSC_COM_POLL_CONT_REPORT" localSheetId="3">#REF!</definedName>
    <definedName name="PSC_COM_POLL_CONT_REPORT">#REF!</definedName>
    <definedName name="PSC_CUST_ADV_COLUMNS" localSheetId="3">#REF!</definedName>
    <definedName name="PSC_CUST_ADV_COLUMNS">#REF!</definedName>
    <definedName name="PSC_CUST_ADV_REPORT" localSheetId="3">#REF!</definedName>
    <definedName name="PSC_CUST_ADV_REPORT">#REF!</definedName>
    <definedName name="PSC_CUST_ADV_ROWS" localSheetId="3">#REF!</definedName>
    <definedName name="PSC_CUST_ADV_ROWS">#REF!</definedName>
    <definedName name="PSC_DCAS_ACRS" localSheetId="3">#REF!</definedName>
    <definedName name="PSC_DCAS_ACRS">#REF!</definedName>
    <definedName name="PSC_DCAS_ADR" localSheetId="3">#REF!</definedName>
    <definedName name="PSC_DCAS_ADR">#REF!</definedName>
    <definedName name="PSC_DCAS_COLUMNS" localSheetId="3">#REF!</definedName>
    <definedName name="PSC_DCAS_COLUMNS">#REF!</definedName>
    <definedName name="PSC_DCAS_DB" localSheetId="3">#REF!</definedName>
    <definedName name="PSC_DCAS_DB">#REF!</definedName>
    <definedName name="PSC_DCAS_DDB" localSheetId="3">#REF!</definedName>
    <definedName name="PSC_DCAS_DDB">#REF!</definedName>
    <definedName name="PSC_DCAS_MACRS" localSheetId="3">#REF!</definedName>
    <definedName name="PSC_DCAS_MACRS">#REF!</definedName>
    <definedName name="PSC_DCAS_NONACRS" localSheetId="3">#REF!</definedName>
    <definedName name="PSC_DCAS_NONACRS">#REF!</definedName>
    <definedName name="PSC_DCAS_NONDEPRE" localSheetId="3">#REF!</definedName>
    <definedName name="PSC_DCAS_NONDEPRE">#REF!</definedName>
    <definedName name="PSC_DCAS_NONDEPRGS" localSheetId="3">#REF!</definedName>
    <definedName name="PSC_DCAS_NONDEPRGS">#REF!</definedName>
    <definedName name="PSC_DCAS_NONDEPRO" localSheetId="3">#REF!</definedName>
    <definedName name="PSC_DCAS_NONDEPRO">#REF!</definedName>
    <definedName name="PSC_DCAS_ROWS" localSheetId="3">#REF!</definedName>
    <definedName name="PSC_DCAS_ROWS">#REF!</definedName>
    <definedName name="PSC_DCAS_STLINE" localSheetId="3">#REF!</definedName>
    <definedName name="PSC_DCAS_STLINE">#REF!</definedName>
    <definedName name="PSC_DCAS_TAXBASIS" localSheetId="3">#REF!</definedName>
    <definedName name="PSC_DCAS_TAXBASIS">#REF!</definedName>
    <definedName name="PSC_DEPR_CAP_ANAL_REPORT" localSheetId="3">#REF!</definedName>
    <definedName name="PSC_DEPR_CAP_ANAL_REPORT">#REF!</definedName>
    <definedName name="PSC_EMER_FAC" localSheetId="3">#REF!</definedName>
    <definedName name="PSC_EMER_FAC">#REF!</definedName>
    <definedName name="PSC_ML_AMORT_COLUMNS" localSheetId="3">#REF!</definedName>
    <definedName name="PSC_ML_AMORT_COLUMNS">#REF!</definedName>
    <definedName name="PSC_ML_AMORT_REPORT" localSheetId="3">#REF!</definedName>
    <definedName name="PSC_ML_AMORT_REPORT">#REF!</definedName>
    <definedName name="PSC_ML_AMORT_ROWS" localSheetId="3">#REF!</definedName>
    <definedName name="PSC_ML_AMORT_ROWS">#REF!</definedName>
    <definedName name="PSC_ML_RETIRE_PUR_BY_3PARTY_REPORT" localSheetId="3">#REF!</definedName>
    <definedName name="PSC_ML_RETIRE_PUR_BY_3PARTY_REPORT">#REF!</definedName>
    <definedName name="PSC_ML_RETIRE_PUR_BY_3PARTY_ROWS" localSheetId="3">#REF!</definedName>
    <definedName name="PSC_ML_RETIRE_PUR_BY_3PARTY_ROWS">#REF!</definedName>
    <definedName name="PSC_ML_TAX_BASIS_ADDITIONS" localSheetId="3">#REF!</definedName>
    <definedName name="PSC_ML_TAX_BASIS_ADDITIONS">#REF!</definedName>
    <definedName name="PSC_ML_TAX_BASIS_ADDITIONS_ROWS" localSheetId="3">#REF!</definedName>
    <definedName name="PSC_ML_TAX_BASIS_ADDITIONS_ROWS">#REF!</definedName>
    <definedName name="PSC_MTRS_TRFS_COLUMNS" localSheetId="3">#REF!</definedName>
    <definedName name="PSC_MTRS_TRFS_COLUMNS">#REF!</definedName>
    <definedName name="PSC_MTRS_TRFS_DETAIL_REPORT" localSheetId="3">#REF!</definedName>
    <definedName name="PSC_MTRS_TRFS_DETAIL_REPORT">#REF!</definedName>
    <definedName name="PSC_MTRS_TRFS_REPORT" localSheetId="3">#REF!</definedName>
    <definedName name="PSC_MTRS_TRFS_REPORT">#REF!</definedName>
    <definedName name="PSC_MTRS_TRFS_ROWS" localSheetId="3">#REF!</definedName>
    <definedName name="PSC_MTRS_TRFS_ROWS">#REF!</definedName>
    <definedName name="PSC_P24_DETAIL_COLUMNS" localSheetId="3">#REF!</definedName>
    <definedName name="PSC_P24_DETAIL_COLUMNS">#REF!</definedName>
    <definedName name="PSC_P24_DETAIL_COMMON" localSheetId="3">#REF!</definedName>
    <definedName name="PSC_P24_DETAIL_COMMON">#REF!</definedName>
    <definedName name="PSC_P24_DETAIL_ELECTRIC" localSheetId="3">#REF!</definedName>
    <definedName name="PSC_P24_DETAIL_ELECTRIC">#REF!</definedName>
    <definedName name="PSC_P24_DETAIL_GAS" localSheetId="3">#REF!</definedName>
    <definedName name="PSC_P24_DETAIL_GAS">#REF!</definedName>
    <definedName name="PSC_P24_DETAIL_ROWS" localSheetId="3">#REF!</definedName>
    <definedName name="PSC_P24_DETAIL_ROWS">#REF!</definedName>
    <definedName name="PSC_P24_DETAILED_ROWS" localSheetId="3">#REF!</definedName>
    <definedName name="PSC_P24_DETAILED_ROWS">#REF!</definedName>
    <definedName name="PSC_P24_REPORT" localSheetId="3">#REF!</definedName>
    <definedName name="PSC_P24_REPORT">#REF!</definedName>
    <definedName name="PSC_P24_ROWS" localSheetId="3">#REF!</definedName>
    <definedName name="PSC_P24_ROWS">#REF!</definedName>
    <definedName name="PSC_PLT_TRFS_BETWEEN_FGROUPS_REPORT" localSheetId="3">#REF!</definedName>
    <definedName name="PSC_PLT_TRFS_BETWEEN_FGROUPS_REPORT">#REF!</definedName>
    <definedName name="PSC_POLL_CONT_RETIRE_REPORT" localSheetId="3">#REF!</definedName>
    <definedName name="PSC_POLL_CONT_RETIRE_REPORT">#REF!</definedName>
    <definedName name="PSC_POLL_CONT_RETIRE_ROWS" localSheetId="3">#REF!</definedName>
    <definedName name="PSC_POLL_CONT_RETIRE_ROWS">#REF!</definedName>
    <definedName name="PSC_POLL_CONT_SUM_REPORT" localSheetId="3">#REF!</definedName>
    <definedName name="PSC_POLL_CONT_SUM_REPORT">#REF!</definedName>
    <definedName name="PSC_POLL_CONTROL_RETIRE_COLUMNS" localSheetId="3">#REF!</definedName>
    <definedName name="PSC_POLL_CONTROL_RETIRE_COLUMNS">#REF!</definedName>
    <definedName name="PSC_PPE_REPORT" localSheetId="3">#REF!</definedName>
    <definedName name="PSC_PPE_REPORT">#REF!</definedName>
    <definedName name="PSC_PPE_ROWS" localSheetId="3">#REF!</definedName>
    <definedName name="PSC_PPE_ROWS">#REF!</definedName>
    <definedName name="PSC_RAR1_REPORT" localSheetId="3">#REF!</definedName>
    <definedName name="PSC_RAR1_REPORT">#REF!</definedName>
    <definedName name="PSC_RAR1_ROWS" localSheetId="3">#REF!</definedName>
    <definedName name="PSC_RAR1_ROWS">#REF!</definedName>
    <definedName name="PSC_RAR6_REPORT" localSheetId="3">#REF!</definedName>
    <definedName name="PSC_RAR6_REPORT">#REF!</definedName>
    <definedName name="PSC_RAR6_ROWS" localSheetId="3">#REF!</definedName>
    <definedName name="PSC_RAR6_ROWS">#REF!</definedName>
    <definedName name="PSC_RAR6_SUM_REPORT" localSheetId="3">#REF!</definedName>
    <definedName name="PSC_RAR6_SUM_REPORT">#REF!</definedName>
    <definedName name="PSC_RELOCA_PMTS_REPORT" localSheetId="3">#REF!</definedName>
    <definedName name="PSC_RELOCA_PMTS_REPORT">#REF!</definedName>
    <definedName name="PSC_TAX_BASIS_ADDITIONS_BLDGS" localSheetId="3">#REF!</definedName>
    <definedName name="PSC_TAX_BASIS_ADDITIONS_BLDGS">#REF!</definedName>
    <definedName name="PSC_TAX_BASIS_ADDITIONS_COLUMNS" localSheetId="3">#REF!</definedName>
    <definedName name="PSC_TAX_BASIS_ADDITIONS_COLUMNS">#REF!</definedName>
    <definedName name="PSC_TAX_BASIS_ADDITIONS_REPORT" localSheetId="3">#REF!</definedName>
    <definedName name="PSC_TAX_BASIS_ADDITIONS_REPORT">#REF!</definedName>
    <definedName name="PSC_TAX_BASIS_ADDITIONS_ROWS" localSheetId="3">#REF!</definedName>
    <definedName name="PSC_TAX_BASIS_ADDITIONS_ROWS">#REF!</definedName>
    <definedName name="PSC_TAX_BASIS_BLDGS_REPORT" localSheetId="3">#REF!</definedName>
    <definedName name="PSC_TAX_BASIS_BLDGS_REPORT">#REF!</definedName>
    <definedName name="psc_wgs_tax_class_combined_report" localSheetId="3">#REF!</definedName>
    <definedName name="psc_wgs_tax_class_combined_report">#REF!</definedName>
    <definedName name="pslf" localSheetId="1" hidden="1">#REF!</definedName>
    <definedName name="pslf" localSheetId="5" hidden="1">#REF!</definedName>
    <definedName name="pslf" localSheetId="3" hidden="1">#REF!</definedName>
    <definedName name="pslf" localSheetId="29" hidden="1">#REF!</definedName>
    <definedName name="pslf" hidden="1">#REF!</definedName>
    <definedName name="psrfdgl" localSheetId="5" hidden="1">#REF!</definedName>
    <definedName name="psrfdgl" localSheetId="3" hidden="1">#REF!</definedName>
    <definedName name="psrfdgl" localSheetId="29" hidden="1">#REF!</definedName>
    <definedName name="psrfdgl" hidden="1">#REF!</definedName>
    <definedName name="pwe" localSheetId="5" hidden="1">#REF!</definedName>
    <definedName name="pwe" localSheetId="3" hidden="1">#REF!</definedName>
    <definedName name="pwe" localSheetId="29" hidden="1">#REF!</definedName>
    <definedName name="pwe" hidden="1">#REF!</definedName>
    <definedName name="qaw" localSheetId="5" hidden="1">#REF!</definedName>
    <definedName name="qaw" localSheetId="3" hidden="1">#REF!</definedName>
    <definedName name="qaw" localSheetId="29" hidden="1">#REF!</definedName>
    <definedName name="qaw" hidden="1">#REF!</definedName>
    <definedName name="QF1_PG1">[91]QF1_PG1!$A$1:$F$47</definedName>
    <definedName name="QF1_PG2">[91]QF1_PG2!$A$1:$H$55</definedName>
    <definedName name="QF1_PG3">[91]QF1_PG3!$A$1:$E$42</definedName>
    <definedName name="qqa" localSheetId="1" hidden="1">{"ARK_JURIS_FUEL",#N/A,FALSE,"Ark_Fuel&amp;Rev"}</definedName>
    <definedName name="qqa" localSheetId="32" hidden="1">{"ARK_JURIS_FUEL",#N/A,FALSE,"Ark_Fuel&amp;Rev"}</definedName>
    <definedName name="qqa" localSheetId="6" hidden="1">{"ARK_JURIS_FUEL",#N/A,FALSE,"Ark_Fuel&amp;Rev"}</definedName>
    <definedName name="qqa" localSheetId="4" hidden="1">{"ARK_JURIS_FUEL",#N/A,FALSE,"Ark_Fuel&amp;Rev"}</definedName>
    <definedName name="qqa" localSheetId="5" hidden="1">{"ARK_JURIS_FUEL",#N/A,FALSE,"Ark_Fuel&amp;Rev"}</definedName>
    <definedName name="qqa" localSheetId="7" hidden="1">{"ARK_JURIS_FUEL",#N/A,FALSE,"Ark_Fuel&amp;Rev"}</definedName>
    <definedName name="qqa" localSheetId="3" hidden="1">{"ARK_JURIS_FUEL",#N/A,FALSE,"Ark_Fuel&amp;Rev"}</definedName>
    <definedName name="qqa" localSheetId="47" hidden="1">{"ARK_JURIS_FUEL",#N/A,FALSE,"Ark_Fuel&amp;Rev"}</definedName>
    <definedName name="qqa" hidden="1">{"ARK_JURIS_FUEL",#N/A,FALSE,"Ark_Fuel&amp;Rev"}</definedName>
    <definedName name="qtr.a1">[74]Calculate!$A$15:$G$15</definedName>
    <definedName name="qtr.a2">[74]Calculate!$A$16:$G$16</definedName>
    <definedName name="qtr.a3">[74]Calculate!$A$17:$G$17</definedName>
    <definedName name="qtr.a4">[74]Calculate!$A$18:$G$18</definedName>
    <definedName name="qtr.b1">[74]Calculate!$A$33:$G$33</definedName>
    <definedName name="qtr.b2">[74]Calculate!$A$34:$G$34</definedName>
    <definedName name="qtr.b3">[74]Calculate!$A$35:$G$35</definedName>
    <definedName name="qtr.b4">[74]Calculate!$A$36:$G$36</definedName>
    <definedName name="qtr.c1">[74]Calculate!$A$51:$G$51</definedName>
    <definedName name="qtr.c2">[74]Calculate!$A$52:$G$52</definedName>
    <definedName name="qtr.c3">[74]Calculate!$A$53:$G$53</definedName>
    <definedName name="qtr.c4">[74]Calculate!$A$54:$G$54</definedName>
    <definedName name="qtr.d1">[74]Calculate!$A$69:$G$69</definedName>
    <definedName name="qtr.d2">[74]Calculate!$A$70:$G$70</definedName>
    <definedName name="qtr.d3">[74]Calculate!$A$71:$G$71</definedName>
    <definedName name="qtr.d4">[74]Calculate!$A$72:$G$72</definedName>
    <definedName name="qtr.e1">[92]Calculate!$A$87:$G$87</definedName>
    <definedName name="qtr.e2">[92]Calculate!$A$88:$G$88</definedName>
    <definedName name="qtr.e3">[92]Calculate!$A$89:$G$89</definedName>
    <definedName name="qtr.e4">[92]Calculate!$A$90:$G$90</definedName>
    <definedName name="qtr.f1">[92]Calculate!$A$105:$G$105</definedName>
    <definedName name="qtr.f2">[92]Calculate!$A$106:$G$106</definedName>
    <definedName name="qtr.f3">[92]Calculate!$A$107:$G$107</definedName>
    <definedName name="qtr.f4">[92]Calculate!$A$108:$G$108</definedName>
    <definedName name="qtr.g1" localSheetId="6">[55]Calculate!#REF!</definedName>
    <definedName name="qtr.g1" localSheetId="3">[77]Calculate!#REF!</definedName>
    <definedName name="qtr.g1">[55]Calculate!#REF!</definedName>
    <definedName name="qtr.g2" localSheetId="6">[55]Calculate!#REF!</definedName>
    <definedName name="qtr.g2" localSheetId="3">[77]Calculate!#REF!</definedName>
    <definedName name="qtr.g2">[55]Calculate!#REF!</definedName>
    <definedName name="qtr.g3" localSheetId="6">[55]Calculate!#REF!</definedName>
    <definedName name="qtr.g3">[55]Calculate!#REF!</definedName>
    <definedName name="qtr.g4" localSheetId="6">[55]Calculate!#REF!</definedName>
    <definedName name="qtr.g4">[55]Calculate!#REF!</definedName>
    <definedName name="qtr.h1" localSheetId="6">[55]Calculate!#REF!</definedName>
    <definedName name="qtr.h1">[55]Calculate!#REF!</definedName>
    <definedName name="qtr.h2" localSheetId="6">[55]Calculate!#REF!</definedName>
    <definedName name="qtr.h2">[55]Calculate!#REF!</definedName>
    <definedName name="qtr.h3" localSheetId="6">[55]Calculate!#REF!</definedName>
    <definedName name="qtr.h3">[55]Calculate!#REF!</definedName>
    <definedName name="qtr.h4" localSheetId="6">[55]Calculate!#REF!</definedName>
    <definedName name="qtr.h4">[55]Calculate!#REF!</definedName>
    <definedName name="qtr.i1" localSheetId="6">[55]Calculate!#REF!</definedName>
    <definedName name="qtr.i1">[55]Calculate!#REF!</definedName>
    <definedName name="qtr.i2" localSheetId="6">[55]Calculate!#REF!</definedName>
    <definedName name="qtr.i2">[55]Calculate!#REF!</definedName>
    <definedName name="qtr.i3" localSheetId="6">[55]Calculate!#REF!</definedName>
    <definedName name="qtr.i3">[55]Calculate!#REF!</definedName>
    <definedName name="qtr.i4" localSheetId="6">[55]Calculate!#REF!</definedName>
    <definedName name="qtr.i4">[55]Calculate!#REF!</definedName>
    <definedName name="qtr.j1" localSheetId="6">[55]Calculate!#REF!</definedName>
    <definedName name="qtr.j1">[55]Calculate!#REF!</definedName>
    <definedName name="qtr.j2" localSheetId="6">[55]Calculate!#REF!</definedName>
    <definedName name="qtr.j2">[55]Calculate!#REF!</definedName>
    <definedName name="qtr.j3" localSheetId="6">[55]Calculate!#REF!</definedName>
    <definedName name="qtr.j3">[55]Calculate!#REF!</definedName>
    <definedName name="qtr.j4" localSheetId="6">[55]Calculate!#REF!</definedName>
    <definedName name="qtr.j4">[55]Calculate!#REF!</definedName>
    <definedName name="qwr" localSheetId="1" hidden="1">#REF!</definedName>
    <definedName name="qwr" localSheetId="5" hidden="1">#REF!</definedName>
    <definedName name="qwr" localSheetId="3" hidden="1">#REF!</definedName>
    <definedName name="qwr" localSheetId="29" hidden="1">#REF!</definedName>
    <definedName name="qwr" hidden="1">#REF!</definedName>
    <definedName name="Rankings" localSheetId="6">#REF!</definedName>
    <definedName name="Rankings" localSheetId="3">#REF!</definedName>
    <definedName name="Rankings">#REF!</definedName>
    <definedName name="RATECASE_FILINGS" localSheetId="3">#REF!</definedName>
    <definedName name="RATECASE_FILINGS">#REF!</definedName>
    <definedName name="RATINGS">[76]Other!$B$7:$B$32</definedName>
    <definedName name="RATIO" localSheetId="3">#REF!</definedName>
    <definedName name="Ratio">#REF!</definedName>
    <definedName name="RATIOTITLE" localSheetId="3">#REF!</definedName>
    <definedName name="RATIOTITLE">#REF!</definedName>
    <definedName name="raw_vline">'[41]Valueline Info'!$1:$1048576</definedName>
    <definedName name="raw_vline_h">'[41]Valueline Info'!$4:$4</definedName>
    <definedName name="raw_vline_vh">'[41]Valueline Info'!$A:$A</definedName>
    <definedName name="RcmndedCOE" localSheetId="6">#REF!</definedName>
    <definedName name="RcmndedCOE" localSheetId="3">#REF!</definedName>
    <definedName name="RcmndedCOE">#REF!</definedName>
    <definedName name="rcoe" localSheetId="6">#REF!</definedName>
    <definedName name="rcoe" localSheetId="3">#REF!</definedName>
    <definedName name="rcoe">#REF!</definedName>
    <definedName name="RDLU" localSheetId="3">#REF!</definedName>
    <definedName name="RDLU">#REF!</definedName>
    <definedName name="Reconcilement">#REF!</definedName>
    <definedName name="RED_CEDAR_COLUMNS" localSheetId="3">#REF!</definedName>
    <definedName name="RED_CEDAR_COLUMNS">#REF!</definedName>
    <definedName name="RED_CEDAR_REPORT" localSheetId="3">#REF!</definedName>
    <definedName name="RED_CEDAR_REPORT">#REF!</definedName>
    <definedName name="RED_CEDAR_ROWS" localSheetId="3">#REF!</definedName>
    <definedName name="RED_CEDAR_ROWS">#REF!</definedName>
    <definedName name="Reg_Amort" localSheetId="3">'[93]Electric - FY1997'!#REF!</definedName>
    <definedName name="Reg_Amort">'[93]Electric - FY1997'!#REF!</definedName>
    <definedName name="regfdgdgre" localSheetId="1" hidden="1">{#N/A,#N/A,FALSE,"Page 1";#N/A,#N/A,FALSE,"Page 2";#N/A,#N/A,FALSE,"Page 3";#N/A,#N/A,FALSE,"Page 4";#N/A,#N/A,FALSE,"Page 5";#N/A,#N/A,FALSE,"Page 6";#N/A,#N/A,FALSE,"Page 7";#N/A,#N/A,FALSE,"Page 8";#N/A,#N/A,FALSE,"Page 9";#N/A,#N/A,FALSE,"PG8WP";#N/A,#N/A,FALSE,"PG9WP"}</definedName>
    <definedName name="regfdgdgre" localSheetId="32" hidden="1">{#N/A,#N/A,FALSE,"Page 1";#N/A,#N/A,FALSE,"Page 2";#N/A,#N/A,FALSE,"Page 3";#N/A,#N/A,FALSE,"Page 4";#N/A,#N/A,FALSE,"Page 5";#N/A,#N/A,FALSE,"Page 6";#N/A,#N/A,FALSE,"Page 7";#N/A,#N/A,FALSE,"Page 8";#N/A,#N/A,FALSE,"Page 9";#N/A,#N/A,FALSE,"PG8WP";#N/A,#N/A,FALSE,"PG9WP"}</definedName>
    <definedName name="regfdgdgre" localSheetId="6" hidden="1">{#N/A,#N/A,FALSE,"Page 1";#N/A,#N/A,FALSE,"Page 2";#N/A,#N/A,FALSE,"Page 3";#N/A,#N/A,FALSE,"Page 4";#N/A,#N/A,FALSE,"Page 5";#N/A,#N/A,FALSE,"Page 6";#N/A,#N/A,FALSE,"Page 7";#N/A,#N/A,FALSE,"Page 8";#N/A,#N/A,FALSE,"Page 9";#N/A,#N/A,FALSE,"PG8WP";#N/A,#N/A,FALSE,"PG9WP"}</definedName>
    <definedName name="regfdgdgre" localSheetId="4" hidden="1">{#N/A,#N/A,FALSE,"Page 1";#N/A,#N/A,FALSE,"Page 2";#N/A,#N/A,FALSE,"Page 3";#N/A,#N/A,FALSE,"Page 4";#N/A,#N/A,FALSE,"Page 5";#N/A,#N/A,FALSE,"Page 6";#N/A,#N/A,FALSE,"Page 7";#N/A,#N/A,FALSE,"Page 8";#N/A,#N/A,FALSE,"Page 9";#N/A,#N/A,FALSE,"PG8WP";#N/A,#N/A,FALSE,"PG9WP"}</definedName>
    <definedName name="regfdgdgre" localSheetId="5" hidden="1">{#N/A,#N/A,FALSE,"Page 1";#N/A,#N/A,FALSE,"Page 2";#N/A,#N/A,FALSE,"Page 3";#N/A,#N/A,FALSE,"Page 4";#N/A,#N/A,FALSE,"Page 5";#N/A,#N/A,FALSE,"Page 6";#N/A,#N/A,FALSE,"Page 7";#N/A,#N/A,FALSE,"Page 8";#N/A,#N/A,FALSE,"Page 9";#N/A,#N/A,FALSE,"PG8WP";#N/A,#N/A,FALSE,"PG9WP"}</definedName>
    <definedName name="regfdgdgre" localSheetId="7" hidden="1">{#N/A,#N/A,FALSE,"Page 1";#N/A,#N/A,FALSE,"Page 2";#N/A,#N/A,FALSE,"Page 3";#N/A,#N/A,FALSE,"Page 4";#N/A,#N/A,FALSE,"Page 5";#N/A,#N/A,FALSE,"Page 6";#N/A,#N/A,FALSE,"Page 7";#N/A,#N/A,FALSE,"Page 8";#N/A,#N/A,FALSE,"Page 9";#N/A,#N/A,FALSE,"PG8WP";#N/A,#N/A,FALSE,"PG9WP"}</definedName>
    <definedName name="regfdgdgre" localSheetId="3" hidden="1">{#N/A,#N/A,FALSE,"Page 1";#N/A,#N/A,FALSE,"Page 2";#N/A,#N/A,FALSE,"Page 3";#N/A,#N/A,FALSE,"Page 4";#N/A,#N/A,FALSE,"Page 5";#N/A,#N/A,FALSE,"Page 6";#N/A,#N/A,FALSE,"Page 7";#N/A,#N/A,FALSE,"Page 8";#N/A,#N/A,FALSE,"Page 9";#N/A,#N/A,FALSE,"PG8WP";#N/A,#N/A,FALSE,"PG9WP"}</definedName>
    <definedName name="regfdgdgre" localSheetId="29" hidden="1">{#N/A,#N/A,FALSE,"Page 1";#N/A,#N/A,FALSE,"Page 2";#N/A,#N/A,FALSE,"Page 3";#N/A,#N/A,FALSE,"Page 4";#N/A,#N/A,FALSE,"Page 5";#N/A,#N/A,FALSE,"Page 6";#N/A,#N/A,FALSE,"Page 7";#N/A,#N/A,FALSE,"Page 8";#N/A,#N/A,FALSE,"Page 9";#N/A,#N/A,FALSE,"PG8WP";#N/A,#N/A,FALSE,"PG9WP"}</definedName>
    <definedName name="regfdgdgre" localSheetId="47" hidden="1">{#N/A,#N/A,FALSE,"Page 1";#N/A,#N/A,FALSE,"Page 2";#N/A,#N/A,FALSE,"Page 3";#N/A,#N/A,FALSE,"Page 4";#N/A,#N/A,FALSE,"Page 5";#N/A,#N/A,FALSE,"Page 6";#N/A,#N/A,FALSE,"Page 7";#N/A,#N/A,FALSE,"Page 8";#N/A,#N/A,FALSE,"Page 9";#N/A,#N/A,FALSE,"PG8WP";#N/A,#N/A,FALSE,"PG9WP"}</definedName>
    <definedName name="regfdgdgre" hidden="1">{#N/A,#N/A,FALSE,"Page 1";#N/A,#N/A,FALSE,"Page 2";#N/A,#N/A,FALSE,"Page 3";#N/A,#N/A,FALSE,"Page 4";#N/A,#N/A,FALSE,"Page 5";#N/A,#N/A,FALSE,"Page 6";#N/A,#N/A,FALSE,"Page 7";#N/A,#N/A,FALSE,"Page 8";#N/A,#N/A,FALSE,"Page 9";#N/A,#N/A,FALSE,"PG8WP";#N/A,#N/A,FALSE,"PG9WP"}</definedName>
    <definedName name="REGULATEDTABLE" localSheetId="3">#REF!</definedName>
    <definedName name="REGULATEDTABLE">#REF!</definedName>
    <definedName name="repeat" localSheetId="1" hidden="1">#REF!</definedName>
    <definedName name="repeat" localSheetId="5" hidden="1">#REF!</definedName>
    <definedName name="repeat" localSheetId="3" hidden="1">#REF!</definedName>
    <definedName name="repeat" localSheetId="29" hidden="1">#REF!</definedName>
    <definedName name="repeat" hidden="1">#REF!</definedName>
    <definedName name="REPORT" localSheetId="3">#REF!</definedName>
    <definedName name="REPORT">#REF!</definedName>
    <definedName name="REPORT_C24" localSheetId="3">#REF!</definedName>
    <definedName name="REPORT_C24">#REF!</definedName>
    <definedName name="Report_Pages" localSheetId="6">#REF!</definedName>
    <definedName name="Report_Pages" localSheetId="3">#REF!</definedName>
    <definedName name="Report_Pages">#REF!</definedName>
    <definedName name="REPORT_PLT_TRFS_BETWEEN_FGROUPS_BY_TAX_CLASS" localSheetId="3">#REF!</definedName>
    <definedName name="REPORT_PLT_TRFS_BETWEEN_FGROUPS_BY_TAX_CLASS">#REF!</definedName>
    <definedName name="reterger" localSheetId="1" hidden="1">{"print4",#N/A,FALSE,"D21CUSTS"}</definedName>
    <definedName name="reterger" localSheetId="32" hidden="1">{"print4",#N/A,FALSE,"D21CUSTS"}</definedName>
    <definedName name="reterger" localSheetId="6" hidden="1">{"print4",#N/A,FALSE,"D21CUSTS"}</definedName>
    <definedName name="reterger" localSheetId="4" hidden="1">{"print4",#N/A,FALSE,"D21CUSTS"}</definedName>
    <definedName name="reterger" localSheetId="5" hidden="1">{"print4",#N/A,FALSE,"D21CUSTS"}</definedName>
    <definedName name="reterger" localSheetId="7" hidden="1">{"print4",#N/A,FALSE,"D21CUSTS"}</definedName>
    <definedName name="reterger" localSheetId="3" hidden="1">{"print4",#N/A,FALSE,"D21CUSTS"}</definedName>
    <definedName name="reterger" localSheetId="29" hidden="1">{"print4",#N/A,FALSE,"D21CUSTS"}</definedName>
    <definedName name="reterger" localSheetId="47" hidden="1">{"print4",#N/A,FALSE,"D21CUSTS"}</definedName>
    <definedName name="reterger" hidden="1">{"print4",#N/A,FALSE,"D21CUSTS"}</definedName>
    <definedName name="retrghrehrh"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2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URN">[38]A!$M$129:$M$143</definedName>
    <definedName name="RETURNS">'[94]AUS RPM Study p 3'!$A$2:$CH$77</definedName>
    <definedName name="revreqrma" localSheetId="6">#REF!</definedName>
    <definedName name="revreqrma" localSheetId="3">#REF!</definedName>
    <definedName name="revreqrma">#REF!</definedName>
    <definedName name="REVREQRMA2" localSheetId="3">#REF!</definedName>
    <definedName name="REVREQRMA2">#REF!</definedName>
    <definedName name="RF_adjustment_1">'[41]Input Sheet'!$B$6</definedName>
    <definedName name="risk_free_lt">'[41]Input Sheet'!$B$5</definedName>
    <definedName name="Risk_Free_Rate" localSheetId="3">#REF!</definedName>
    <definedName name="Risk_Free_R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localSheetId="6" hidden="1">_xll.RiskCellHasTokens(262144+512+524288)</definedName>
    <definedName name="RiskIsInput" localSheetId="29" hidden="1">FALSE</definedName>
    <definedName name="RiskIsInput" hidden="1">_xll.RiskCellHasTokens(262144+512+524288)</definedName>
    <definedName name="RiskIsOptimization" hidden="1">FALSE</definedName>
    <definedName name="RiskIsOutput" localSheetId="6" hidden="1">_xll.RiskCellHasTokens(1024)</definedName>
    <definedName name="RiskIsOutput" localSheetId="29" hidden="1">FALSE</definedName>
    <definedName name="RiskIsOutput" hidden="1">_xll.RiskCellHasTokens(1024)</definedName>
    <definedName name="RiskIsStatistics" localSheetId="6" hidden="1">_xll.RiskCellHasTokens(4096+32768+65536)</definedName>
    <definedName name="RiskIsStatistics" localSheetId="29" hidden="1">FALSE</definedName>
    <definedName name="RiskIsStatistics" hidden="1">_xll.RiskCellHasTokens(4096+32768+65536)</definedName>
    <definedName name="riskmeasures">'[59]Utility Proxy Group'!$B$13:$N$65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prem" localSheetId="6">#REF!</definedName>
    <definedName name="riskprem" localSheetId="3">#REF!</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 localSheetId="1" hidden="1">{#N/A,#N/A,FALSE,"SCA";#N/A,#N/A,FALSE,"NCA";#N/A,#N/A,FALSE,"SAZ";#N/A,#N/A,FALSE,"CAZ";#N/A,#N/A,FALSE,"SNV";#N/A,#N/A,FALSE,"NNV";#N/A,#N/A,FALSE,"PP";#N/A,#N/A,FALSE,"SA"}</definedName>
    <definedName name="rk" localSheetId="32"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4" hidden="1">{#N/A,#N/A,FALSE,"SCA";#N/A,#N/A,FALSE,"NCA";#N/A,#N/A,FALSE,"SAZ";#N/A,#N/A,FALSE,"CAZ";#N/A,#N/A,FALSE,"SNV";#N/A,#N/A,FALSE,"NNV";#N/A,#N/A,FALSE,"PP";#N/A,#N/A,FALSE,"SA"}</definedName>
    <definedName name="rk" localSheetId="5" hidden="1">{#N/A,#N/A,FALSE,"SCA";#N/A,#N/A,FALSE,"NCA";#N/A,#N/A,FALSE,"SAZ";#N/A,#N/A,FALSE,"CAZ";#N/A,#N/A,FALSE,"SNV";#N/A,#N/A,FALSE,"NNV";#N/A,#N/A,FALSE,"PP";#N/A,#N/A,FALSE,"SA"}</definedName>
    <definedName name="rk" localSheetId="7" hidden="1">{#N/A,#N/A,FALSE,"SCA";#N/A,#N/A,FALSE,"NCA";#N/A,#N/A,FALSE,"SAZ";#N/A,#N/A,FALSE,"CAZ";#N/A,#N/A,FALSE,"SNV";#N/A,#N/A,FALSE,"NNV";#N/A,#N/A,FALSE,"PP";#N/A,#N/A,FALSE,"SA"}</definedName>
    <definedName name="rk" localSheetId="3" hidden="1">{#N/A,#N/A,FALSE,"SCA";#N/A,#N/A,FALSE,"NCA";#N/A,#N/A,FALSE,"SAZ";#N/A,#N/A,FALSE,"CAZ";#N/A,#N/A,FALSE,"SNV";#N/A,#N/A,FALSE,"NNV";#N/A,#N/A,FALSE,"PP";#N/A,#N/A,FALSE,"SA"}</definedName>
    <definedName name="rk" localSheetId="47" hidden="1">{#N/A,#N/A,FALSE,"SCA";#N/A,#N/A,FALSE,"NCA";#N/A,#N/A,FALSE,"SAZ";#N/A,#N/A,FALSE,"CAZ";#N/A,#N/A,FALSE,"SNV";#N/A,#N/A,FALSE,"NNV";#N/A,#N/A,FALSE,"PP";#N/A,#N/A,FALSE,"SA"}</definedName>
    <definedName name="rk" hidden="1">{#N/A,#N/A,FALSE,"SCA";#N/A,#N/A,FALSE,"NCA";#N/A,#N/A,FALSE,"SAZ";#N/A,#N/A,FALSE,"CAZ";#N/A,#N/A,FALSE,"SNV";#N/A,#N/A,FALSE,"NNV";#N/A,#N/A,FALSE,"PP";#N/A,#N/A,FALSE,"SA"}</definedName>
    <definedName name="RMA3B" localSheetId="6">#REF!</definedName>
    <definedName name="RMA3B" localSheetId="3">#REF!</definedName>
    <definedName name="RMA3B">#REF!</definedName>
    <definedName name="RMA7B" localSheetId="3">#REF!</definedName>
    <definedName name="RMA7B">#REF!</definedName>
    <definedName name="roasens1">'[66]Liabilities - Input - North'!$E$100</definedName>
    <definedName name="ROE" localSheetId="3">#REF!</definedName>
    <definedName name="ROE">#REF!</definedName>
    <definedName name="roelst" localSheetId="3">#REF!</definedName>
    <definedName name="roelst">#REF!</definedName>
    <definedName name="roerec" localSheetId="3">#REF!</definedName>
    <definedName name="roerec">#REF!</definedName>
    <definedName name="ROEXP" localSheetId="6">'[51]Input '!#REF!</definedName>
    <definedName name="ROEXP" localSheetId="3">'[51]Input '!#REF!</definedName>
    <definedName name="ROEXP">'[51]Input '!#REF!</definedName>
    <definedName name="ROPLANT" localSheetId="6">'[51]Input '!#REF!</definedName>
    <definedName name="ROPLANT" localSheetId="3">'[51]Input '!#REF!</definedName>
    <definedName name="ROPLANT">'[51]Input '!#REF!</definedName>
    <definedName name="ROR_Rate">'[51]Input '!$C$25</definedName>
    <definedName name="RORINPUT">'[85]COST OF SERVICE'!$AK$1489</definedName>
    <definedName name="RoseState">'[37]Customer Bill Details (External'!$O$198</definedName>
    <definedName name="ROWS_C24" localSheetId="3">#REF!</definedName>
    <definedName name="ROWS_C24">#REF!</definedName>
    <definedName name="RRR" localSheetId="6">#REF!</definedName>
    <definedName name="RRR" localSheetId="3">#REF!</definedName>
    <definedName name="RRR">#REF!</definedName>
    <definedName name="rrrr" localSheetId="32" hidden="1">{#N/A,#N/A,FALSE,"O&amp;M by processes";#N/A,#N/A,FALSE,"Elec Act vs Bud";#N/A,#N/A,FALSE,"G&amp;A";#N/A,#N/A,FALSE,"BGS";#N/A,#N/A,FALSE,"Res Cost"}</definedName>
    <definedName name="rrrr" localSheetId="6" hidden="1">{#N/A,#N/A,FALSE,"O&amp;M by processes";#N/A,#N/A,FALSE,"Elec Act vs Bud";#N/A,#N/A,FALSE,"G&amp;A";#N/A,#N/A,FALSE,"BGS";#N/A,#N/A,FALSE,"Res Cost"}</definedName>
    <definedName name="rrrr" localSheetId="7"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29" hidden="1">{#N/A,#N/A,FALSE,"O&amp;M by processes";#N/A,#N/A,FALSE,"Elec Act vs Bud";#N/A,#N/A,FALSE,"G&amp;A";#N/A,#N/A,FALSE,"BGS";#N/A,#N/A,FALSE,"Res Cost"}</definedName>
    <definedName name="rrrr" localSheetId="47" hidden="1">{#N/A,#N/A,FALSE,"O&amp;M by processes";#N/A,#N/A,FALSE,"Elec Act vs Bud";#N/A,#N/A,FALSE,"G&amp;A";#N/A,#N/A,FALSE,"BGS";#N/A,#N/A,FALSE,"Res Cost"}</definedName>
    <definedName name="rrrr" hidden="1">{#N/A,#N/A,FALSE,"O&amp;M by processes";#N/A,#N/A,FALSE,"Elec Act vs Bud";#N/A,#N/A,FALSE,"G&amp;A";#N/A,#N/A,FALSE,"BGS";#N/A,#N/A,FALSE,"Res Cost"}</definedName>
    <definedName name="rtertrte" localSheetId="1" hidden="1">{#N/A,#N/A,FALSE,"Page 1";#N/A,#N/A,FALSE,"Page 2";#N/A,#N/A,FALSE,"Page 3";#N/A,#N/A,FALSE,"Page 4";#N/A,#N/A,FALSE,"Page 5";#N/A,#N/A,FALSE,"Page 6";#N/A,#N/A,FALSE,"Page 7";#N/A,#N/A,FALSE,"Page 8";#N/A,#N/A,FALSE,"Page 9";#N/A,#N/A,FALSE,"PG8WP";#N/A,#N/A,FALSE,"PG9WP"}</definedName>
    <definedName name="rtertrte" localSheetId="32" hidden="1">{#N/A,#N/A,FALSE,"Page 1";#N/A,#N/A,FALSE,"Page 2";#N/A,#N/A,FALSE,"Page 3";#N/A,#N/A,FALSE,"Page 4";#N/A,#N/A,FALSE,"Page 5";#N/A,#N/A,FALSE,"Page 6";#N/A,#N/A,FALSE,"Page 7";#N/A,#N/A,FALSE,"Page 8";#N/A,#N/A,FALSE,"Page 9";#N/A,#N/A,FALSE,"PG8WP";#N/A,#N/A,FALSE,"PG9WP"}</definedName>
    <definedName name="rtertrte" localSheetId="6" hidden="1">{#N/A,#N/A,FALSE,"Page 1";#N/A,#N/A,FALSE,"Page 2";#N/A,#N/A,FALSE,"Page 3";#N/A,#N/A,FALSE,"Page 4";#N/A,#N/A,FALSE,"Page 5";#N/A,#N/A,FALSE,"Page 6";#N/A,#N/A,FALSE,"Page 7";#N/A,#N/A,FALSE,"Page 8";#N/A,#N/A,FALSE,"Page 9";#N/A,#N/A,FALSE,"PG8WP";#N/A,#N/A,FALSE,"PG9WP"}</definedName>
    <definedName name="rtertrte" localSheetId="4" hidden="1">{#N/A,#N/A,FALSE,"Page 1";#N/A,#N/A,FALSE,"Page 2";#N/A,#N/A,FALSE,"Page 3";#N/A,#N/A,FALSE,"Page 4";#N/A,#N/A,FALSE,"Page 5";#N/A,#N/A,FALSE,"Page 6";#N/A,#N/A,FALSE,"Page 7";#N/A,#N/A,FALSE,"Page 8";#N/A,#N/A,FALSE,"Page 9";#N/A,#N/A,FALSE,"PG8WP";#N/A,#N/A,FALSE,"PG9WP"}</definedName>
    <definedName name="rtertrte" localSheetId="5" hidden="1">{#N/A,#N/A,FALSE,"Page 1";#N/A,#N/A,FALSE,"Page 2";#N/A,#N/A,FALSE,"Page 3";#N/A,#N/A,FALSE,"Page 4";#N/A,#N/A,FALSE,"Page 5";#N/A,#N/A,FALSE,"Page 6";#N/A,#N/A,FALSE,"Page 7";#N/A,#N/A,FALSE,"Page 8";#N/A,#N/A,FALSE,"Page 9";#N/A,#N/A,FALSE,"PG8WP";#N/A,#N/A,FALSE,"PG9WP"}</definedName>
    <definedName name="rtertrte" localSheetId="7" hidden="1">{#N/A,#N/A,FALSE,"Page 1";#N/A,#N/A,FALSE,"Page 2";#N/A,#N/A,FALSE,"Page 3";#N/A,#N/A,FALSE,"Page 4";#N/A,#N/A,FALSE,"Page 5";#N/A,#N/A,FALSE,"Page 6";#N/A,#N/A,FALSE,"Page 7";#N/A,#N/A,FALSE,"Page 8";#N/A,#N/A,FALSE,"Page 9";#N/A,#N/A,FALSE,"PG8WP";#N/A,#N/A,FALSE,"PG9WP"}</definedName>
    <definedName name="rtertrte" localSheetId="3" hidden="1">{#N/A,#N/A,FALSE,"Page 1";#N/A,#N/A,FALSE,"Page 2";#N/A,#N/A,FALSE,"Page 3";#N/A,#N/A,FALSE,"Page 4";#N/A,#N/A,FALSE,"Page 5";#N/A,#N/A,FALSE,"Page 6";#N/A,#N/A,FALSE,"Page 7";#N/A,#N/A,FALSE,"Page 8";#N/A,#N/A,FALSE,"Page 9";#N/A,#N/A,FALSE,"PG8WP";#N/A,#N/A,FALSE,"PG9WP"}</definedName>
    <definedName name="rtertrte" localSheetId="29" hidden="1">{#N/A,#N/A,FALSE,"Page 1";#N/A,#N/A,FALSE,"Page 2";#N/A,#N/A,FALSE,"Page 3";#N/A,#N/A,FALSE,"Page 4";#N/A,#N/A,FALSE,"Page 5";#N/A,#N/A,FALSE,"Page 6";#N/A,#N/A,FALSE,"Page 7";#N/A,#N/A,FALSE,"Page 8";#N/A,#N/A,FALSE,"Page 9";#N/A,#N/A,FALSE,"PG8WP";#N/A,#N/A,FALSE,"PG9WP"}</definedName>
    <definedName name="rtertrte" localSheetId="47" hidden="1">{#N/A,#N/A,FALSE,"Page 1";#N/A,#N/A,FALSE,"Page 2";#N/A,#N/A,FALSE,"Page 3";#N/A,#N/A,FALSE,"Page 4";#N/A,#N/A,FALSE,"Page 5";#N/A,#N/A,FALSE,"Page 6";#N/A,#N/A,FALSE,"Page 7";#N/A,#N/A,FALSE,"Page 8";#N/A,#N/A,FALSE,"Page 9";#N/A,#N/A,FALSE,"PG8WP";#N/A,#N/A,FALSE,"PG9WP"}</definedName>
    <definedName name="rtertrte" hidden="1">{#N/A,#N/A,FALSE,"Page 1";#N/A,#N/A,FALSE,"Page 2";#N/A,#N/A,FALSE,"Page 3";#N/A,#N/A,FALSE,"Page 4";#N/A,#N/A,FALSE,"Page 5";#N/A,#N/A,FALSE,"Page 6";#N/A,#N/A,FALSE,"Page 7";#N/A,#N/A,FALSE,"Page 8";#N/A,#N/A,FALSE,"Page 9";#N/A,#N/A,FALSE,"PG8WP";#N/A,#N/A,FALSE,"PG9WP"}</definedName>
    <definedName name="rtetetrete" localSheetId="1" hidden="1">{#N/A,#N/A,FALSE,"FAS109 Summary";#N/A,#N/A,FALSE,"FAS109 OPER 190 ITC";#N/A,#N/A,FALSE,"FAS109 OPER 190 Other";#N/A,#N/A,FALSE,"FAS109 OPER 282";#N/A,#N/A,FALSE,"FAS109 OPER 283";#N/A,#N/A,FALSE,"FAS109 Non OPER 283 ";#N/A,#N/A,FALSE,"J.E.UPLOAD DATA"}</definedName>
    <definedName name="rtetetrete" localSheetId="32" hidden="1">{#N/A,#N/A,FALSE,"FAS109 Summary";#N/A,#N/A,FALSE,"FAS109 OPER 190 ITC";#N/A,#N/A,FALSE,"FAS109 OPER 190 Other";#N/A,#N/A,FALSE,"FAS109 OPER 282";#N/A,#N/A,FALSE,"FAS109 OPER 283";#N/A,#N/A,FALSE,"FAS109 Non OPER 283 ";#N/A,#N/A,FALSE,"J.E.UPLOAD DATA"}</definedName>
    <definedName name="rtetetrete" localSheetId="6" hidden="1">{#N/A,#N/A,FALSE,"FAS109 Summary";#N/A,#N/A,FALSE,"FAS109 OPER 190 ITC";#N/A,#N/A,FALSE,"FAS109 OPER 190 Other";#N/A,#N/A,FALSE,"FAS109 OPER 282";#N/A,#N/A,FALSE,"FAS109 OPER 283";#N/A,#N/A,FALSE,"FAS109 Non OPER 283 ";#N/A,#N/A,FALSE,"J.E.UPLOAD DATA"}</definedName>
    <definedName name="rtetetrete" localSheetId="4" hidden="1">{#N/A,#N/A,FALSE,"FAS109 Summary";#N/A,#N/A,FALSE,"FAS109 OPER 190 ITC";#N/A,#N/A,FALSE,"FAS109 OPER 190 Other";#N/A,#N/A,FALSE,"FAS109 OPER 282";#N/A,#N/A,FALSE,"FAS109 OPER 283";#N/A,#N/A,FALSE,"FAS109 Non OPER 283 ";#N/A,#N/A,FALSE,"J.E.UPLOAD DATA"}</definedName>
    <definedName name="rtetetrete" localSheetId="5" hidden="1">{#N/A,#N/A,FALSE,"FAS109 Summary";#N/A,#N/A,FALSE,"FAS109 OPER 190 ITC";#N/A,#N/A,FALSE,"FAS109 OPER 190 Other";#N/A,#N/A,FALSE,"FAS109 OPER 282";#N/A,#N/A,FALSE,"FAS109 OPER 283";#N/A,#N/A,FALSE,"FAS109 Non OPER 283 ";#N/A,#N/A,FALSE,"J.E.UPLOAD DATA"}</definedName>
    <definedName name="rtetetrete" localSheetId="7" hidden="1">{#N/A,#N/A,FALSE,"FAS109 Summary";#N/A,#N/A,FALSE,"FAS109 OPER 190 ITC";#N/A,#N/A,FALSE,"FAS109 OPER 190 Other";#N/A,#N/A,FALSE,"FAS109 OPER 282";#N/A,#N/A,FALSE,"FAS109 OPER 283";#N/A,#N/A,FALSE,"FAS109 Non OPER 283 ";#N/A,#N/A,FALSE,"J.E.UPLOAD DATA"}</definedName>
    <definedName name="rtetetrete" localSheetId="3" hidden="1">{#N/A,#N/A,FALSE,"FAS109 Summary";#N/A,#N/A,FALSE,"FAS109 OPER 190 ITC";#N/A,#N/A,FALSE,"FAS109 OPER 190 Other";#N/A,#N/A,FALSE,"FAS109 OPER 282";#N/A,#N/A,FALSE,"FAS109 OPER 283";#N/A,#N/A,FALSE,"FAS109 Non OPER 283 ";#N/A,#N/A,FALSE,"J.E.UPLOAD DATA"}</definedName>
    <definedName name="rtetetrete" localSheetId="29" hidden="1">{#N/A,#N/A,FALSE,"FAS109 Summary";#N/A,#N/A,FALSE,"FAS109 OPER 190 ITC";#N/A,#N/A,FALSE,"FAS109 OPER 190 Other";#N/A,#N/A,FALSE,"FAS109 OPER 282";#N/A,#N/A,FALSE,"FAS109 OPER 283";#N/A,#N/A,FALSE,"FAS109 Non OPER 283 ";#N/A,#N/A,FALSE,"J.E.UPLOAD DATA"}</definedName>
    <definedName name="rtetetrete" localSheetId="47" hidden="1">{#N/A,#N/A,FALSE,"FAS109 Summary";#N/A,#N/A,FALSE,"FAS109 OPER 190 ITC";#N/A,#N/A,FALSE,"FAS109 OPER 190 Other";#N/A,#N/A,FALSE,"FAS109 OPER 282";#N/A,#N/A,FALSE,"FAS109 OPER 283";#N/A,#N/A,FALSE,"FAS109 Non OPER 283 ";#N/A,#N/A,FALSE,"J.E.UPLOAD DATA"}</definedName>
    <definedName name="rtetetrete" hidden="1">{#N/A,#N/A,FALSE,"FAS109 Summary";#N/A,#N/A,FALSE,"FAS109 OPER 190 ITC";#N/A,#N/A,FALSE,"FAS109 OPER 190 Other";#N/A,#N/A,FALSE,"FAS109 OPER 282";#N/A,#N/A,FALSE,"FAS109 OPER 283";#N/A,#N/A,FALSE,"FAS109 Non OPER 283 ";#N/A,#N/A,FALSE,"J.E.UPLOAD DATA"}</definedName>
    <definedName name="rtrtrgfgrfgr"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2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trr" localSheetId="1" hidden="1">{#N/A,#N/A,FALSE,"SCA";#N/A,#N/A,FALSE,"NCA";#N/A,#N/A,FALSE,"SAZ";#N/A,#N/A,FALSE,"CAZ";#N/A,#N/A,FALSE,"SNV";#N/A,#N/A,FALSE,"NNV";#N/A,#N/A,FALSE,"PP";#N/A,#N/A,FALSE,"SA"}</definedName>
    <definedName name="rtrtrtrr" localSheetId="32" hidden="1">{#N/A,#N/A,FALSE,"SCA";#N/A,#N/A,FALSE,"NCA";#N/A,#N/A,FALSE,"SAZ";#N/A,#N/A,FALSE,"CAZ";#N/A,#N/A,FALSE,"SNV";#N/A,#N/A,FALSE,"NNV";#N/A,#N/A,FALSE,"PP";#N/A,#N/A,FALSE,"SA"}</definedName>
    <definedName name="rtrtrtrr" localSheetId="6" hidden="1">{#N/A,#N/A,FALSE,"SCA";#N/A,#N/A,FALSE,"NCA";#N/A,#N/A,FALSE,"SAZ";#N/A,#N/A,FALSE,"CAZ";#N/A,#N/A,FALSE,"SNV";#N/A,#N/A,FALSE,"NNV";#N/A,#N/A,FALSE,"PP";#N/A,#N/A,FALSE,"SA"}</definedName>
    <definedName name="rtrtrtrr" localSheetId="4" hidden="1">{#N/A,#N/A,FALSE,"SCA";#N/A,#N/A,FALSE,"NCA";#N/A,#N/A,FALSE,"SAZ";#N/A,#N/A,FALSE,"CAZ";#N/A,#N/A,FALSE,"SNV";#N/A,#N/A,FALSE,"NNV";#N/A,#N/A,FALSE,"PP";#N/A,#N/A,FALSE,"SA"}</definedName>
    <definedName name="rtrtrtrr" localSheetId="5" hidden="1">{#N/A,#N/A,FALSE,"SCA";#N/A,#N/A,FALSE,"NCA";#N/A,#N/A,FALSE,"SAZ";#N/A,#N/A,FALSE,"CAZ";#N/A,#N/A,FALSE,"SNV";#N/A,#N/A,FALSE,"NNV";#N/A,#N/A,FALSE,"PP";#N/A,#N/A,FALSE,"SA"}</definedName>
    <definedName name="rtrtrtrr" localSheetId="7" hidden="1">{#N/A,#N/A,FALSE,"SCA";#N/A,#N/A,FALSE,"NCA";#N/A,#N/A,FALSE,"SAZ";#N/A,#N/A,FALSE,"CAZ";#N/A,#N/A,FALSE,"SNV";#N/A,#N/A,FALSE,"NNV";#N/A,#N/A,FALSE,"PP";#N/A,#N/A,FALSE,"SA"}</definedName>
    <definedName name="rtrtrtrr" localSheetId="3" hidden="1">{#N/A,#N/A,FALSE,"SCA";#N/A,#N/A,FALSE,"NCA";#N/A,#N/A,FALSE,"SAZ";#N/A,#N/A,FALSE,"CAZ";#N/A,#N/A,FALSE,"SNV";#N/A,#N/A,FALSE,"NNV";#N/A,#N/A,FALSE,"PP";#N/A,#N/A,FALSE,"SA"}</definedName>
    <definedName name="rtrtrtrr" localSheetId="29" hidden="1">{#N/A,#N/A,FALSE,"SCA";#N/A,#N/A,FALSE,"NCA";#N/A,#N/A,FALSE,"SAZ";#N/A,#N/A,FALSE,"CAZ";#N/A,#N/A,FALSE,"SNV";#N/A,#N/A,FALSE,"NNV";#N/A,#N/A,FALSE,"PP";#N/A,#N/A,FALSE,"SA"}</definedName>
    <definedName name="rtrtrtrr" localSheetId="47" hidden="1">{#N/A,#N/A,FALSE,"SCA";#N/A,#N/A,FALSE,"NCA";#N/A,#N/A,FALSE,"SAZ";#N/A,#N/A,FALSE,"CAZ";#N/A,#N/A,FALSE,"SNV";#N/A,#N/A,FALSE,"NNV";#N/A,#N/A,FALSE,"PP";#N/A,#N/A,FALSE,"SA"}</definedName>
    <definedName name="rtrtrtrr" hidden="1">{#N/A,#N/A,FALSE,"SCA";#N/A,#N/A,FALSE,"NCA";#N/A,#N/A,FALSE,"SAZ";#N/A,#N/A,FALSE,"CAZ";#N/A,#N/A,FALSE,"SNV";#N/A,#N/A,FALSE,"NNV";#N/A,#N/A,FALSE,"PP";#N/A,#N/A,FALSE,"SA"}</definedName>
    <definedName name="rtrtrtrtrrh" localSheetId="1" hidden="1">{#N/A,#N/A,FALSE,"Rev Seg Taxes";#N/A,#N/A,FALSE,"BookRev Seg";#N/A,#N/A,FALSE,"Supp Adj Seg";#N/A,#N/A,FALSE,"outside prov seg taxes"}</definedName>
    <definedName name="rtrtrtrtrrh" localSheetId="32" hidden="1">{#N/A,#N/A,FALSE,"Rev Seg Taxes";#N/A,#N/A,FALSE,"BookRev Seg";#N/A,#N/A,FALSE,"Supp Adj Seg";#N/A,#N/A,FALSE,"outside prov seg taxes"}</definedName>
    <definedName name="rtrtrtrtrrh" localSheetId="6" hidden="1">{#N/A,#N/A,FALSE,"Rev Seg Taxes";#N/A,#N/A,FALSE,"BookRev Seg";#N/A,#N/A,FALSE,"Supp Adj Seg";#N/A,#N/A,FALSE,"outside prov seg taxes"}</definedName>
    <definedName name="rtrtrtrtrrh" localSheetId="4" hidden="1">{#N/A,#N/A,FALSE,"Rev Seg Taxes";#N/A,#N/A,FALSE,"BookRev Seg";#N/A,#N/A,FALSE,"Supp Adj Seg";#N/A,#N/A,FALSE,"outside prov seg taxes"}</definedName>
    <definedName name="rtrtrtrtrrh" localSheetId="5" hidden="1">{#N/A,#N/A,FALSE,"Rev Seg Taxes";#N/A,#N/A,FALSE,"BookRev Seg";#N/A,#N/A,FALSE,"Supp Adj Seg";#N/A,#N/A,FALSE,"outside prov seg taxes"}</definedName>
    <definedName name="rtrtrtrtrrh" localSheetId="7" hidden="1">{#N/A,#N/A,FALSE,"Rev Seg Taxes";#N/A,#N/A,FALSE,"BookRev Seg";#N/A,#N/A,FALSE,"Supp Adj Seg";#N/A,#N/A,FALSE,"outside prov seg taxes"}</definedName>
    <definedName name="rtrtrtrtrrh" localSheetId="3" hidden="1">{#N/A,#N/A,FALSE,"Rev Seg Taxes";#N/A,#N/A,FALSE,"BookRev Seg";#N/A,#N/A,FALSE,"Supp Adj Seg";#N/A,#N/A,FALSE,"outside prov seg taxes"}</definedName>
    <definedName name="rtrtrtrtrrh" localSheetId="29" hidden="1">{#N/A,#N/A,FALSE,"Rev Seg Taxes";#N/A,#N/A,FALSE,"BookRev Seg";#N/A,#N/A,FALSE,"Supp Adj Seg";#N/A,#N/A,FALSE,"outside prov seg taxes"}</definedName>
    <definedName name="rtrtrtrtrrh" localSheetId="47" hidden="1">{#N/A,#N/A,FALSE,"Rev Seg Taxes";#N/A,#N/A,FALSE,"BookRev Seg";#N/A,#N/A,FALSE,"Supp Adj Seg";#N/A,#N/A,FALSE,"outside prov seg taxes"}</definedName>
    <definedName name="rtrtrtrtrrh" hidden="1">{#N/A,#N/A,FALSE,"Rev Seg Taxes";#N/A,#N/A,FALSE,"BookRev Seg";#N/A,#N/A,FALSE,"Supp Adj Seg";#N/A,#N/A,FALSE,"outside prov seg taxes"}</definedName>
    <definedName name="rtyui" localSheetId="1" hidden="1">#REF!</definedName>
    <definedName name="rtyui" localSheetId="5" hidden="1">#REF!</definedName>
    <definedName name="rtyui" localSheetId="3" hidden="1">#REF!</definedName>
    <definedName name="rtyui" localSheetId="29" hidden="1">#REF!</definedName>
    <definedName name="rtyui" hidden="1">#REF!</definedName>
    <definedName name="rtyuiop" localSheetId="1" hidden="1">#REF!</definedName>
    <definedName name="rtyuiop" localSheetId="5" hidden="1">#REF!</definedName>
    <definedName name="rtyuiop" localSheetId="3" hidden="1">#REF!</definedName>
    <definedName name="rtyuiop" localSheetId="29" hidden="1">#REF!</definedName>
    <definedName name="rtyuiop" hidden="1">#REF!</definedName>
    <definedName name="s">'[95]Credit Ratings-DO Not'!$B$5:$C$26</definedName>
    <definedName name="S_ATITLE" localSheetId="3">#REF!</definedName>
    <definedName name="S_ATITLE">#REF!</definedName>
    <definedName name="s_r" localSheetId="6">#REF!</definedName>
    <definedName name="s_r" localSheetId="3">#REF!</definedName>
    <definedName name="s_r">#REF!</definedName>
    <definedName name="sac" localSheetId="1" hidden="1">#REF!</definedName>
    <definedName name="sac" localSheetId="5" hidden="1">#REF!</definedName>
    <definedName name="sac" localSheetId="3" hidden="1">#REF!</definedName>
    <definedName name="sac" localSheetId="29" hidden="1">#REF!</definedName>
    <definedName name="sac" hidden="1">#REF!</definedName>
    <definedName name="sadf" localSheetId="1" hidden="1">#REF!</definedName>
    <definedName name="sadf" localSheetId="5" hidden="1">#REF!</definedName>
    <definedName name="sadf" localSheetId="3" hidden="1">#REF!</definedName>
    <definedName name="sadf" localSheetId="29" hidden="1">#REF!</definedName>
    <definedName name="sadf" hidden="1">#REF!</definedName>
    <definedName name="sadfdfafdsfasf" hidden="1">'[7]Chart Data'!$P$30:$P$229</definedName>
    <definedName name="sadfkj" localSheetId="1" hidden="1">#REF!</definedName>
    <definedName name="sadfkj" localSheetId="5" hidden="1">#REF!</definedName>
    <definedName name="sadfkj" localSheetId="3" hidden="1">#REF!</definedName>
    <definedName name="sadfkj" localSheetId="29" hidden="1">#REF!</definedName>
    <definedName name="sadfkj" hidden="1">#REF!</definedName>
    <definedName name="sample">'[41]Sample Sheet'!$1:$1048576</definedName>
    <definedName name="sample_coe_st" localSheetId="3">#REF!</definedName>
    <definedName name="sample_coe_st">#REF!</definedName>
    <definedName name="sample_h">'[41]Sample Sheet'!$1:$1</definedName>
    <definedName name="sample_name">'[73]Sample List'!$D$16</definedName>
    <definedName name="sample_vh">'[41]Sample Sheet'!$A:$A</definedName>
    <definedName name="SANDA" localSheetId="3">#REF!</definedName>
    <definedName name="SANDA">#REF!</definedName>
    <definedName name="SAP" localSheetId="6">#REF!</definedName>
    <definedName name="SAP" localSheetId="3">#REF!</definedName>
    <definedName name="SAP">#REF!</definedName>
    <definedName name="SAPBEXdnldView" hidden="1">"D3AGMWPPTUYDCJTDZ8WJR9VSG"</definedName>
    <definedName name="SAPBEXrevision" hidden="1">41</definedName>
    <definedName name="SAPBEXsysID" hidden="1">"PBW"</definedName>
    <definedName name="SAPBEXwbID" hidden="1">"3TD2FVG7ME7U056LVECBWI4A2"</definedName>
    <definedName name="scdcfh" localSheetId="6">#REF!</definedName>
    <definedName name="scdcfh" localSheetId="3">#REF!</definedName>
    <definedName name="scdcfh">#REF!</definedName>
    <definedName name="scdcfl" localSheetId="6">#REF!</definedName>
    <definedName name="scdcfl" localSheetId="3">#REF!</definedName>
    <definedName name="scdcfl">#REF!</definedName>
    <definedName name="sch">[96]WP_H9!$A$1:$Q$46</definedName>
    <definedName name="SCH_B1">[97]SCH_B1!$A$1:$G$30</definedName>
    <definedName name="SCH_B3">[97]SCH_B3!$A$1:$G$42</definedName>
    <definedName name="SCH_C2">[97]SCH_C2!$A$1:$G$42</definedName>
    <definedName name="SCH_D2">[97]SCH_D2!$A$1:$G$42</definedName>
    <definedName name="SCH_H2">[97]SCH_H2!$A$1:$G$42</definedName>
    <definedName name="Sched_Pay" localSheetId="6">#REF!</definedName>
    <definedName name="Sched_Pay" localSheetId="3">#REF!</definedName>
    <definedName name="Sched_Pay">#REF!</definedName>
    <definedName name="Scheduled_Extra_Payments" localSheetId="6">#REF!</definedName>
    <definedName name="Scheduled_Extra_Payments" localSheetId="3">#REF!</definedName>
    <definedName name="Scheduled_Extra_Payments">#REF!</definedName>
    <definedName name="Scheduled_Interest_Rate" localSheetId="6">#REF!</definedName>
    <definedName name="Scheduled_Interest_Rate" localSheetId="3">#REF!</definedName>
    <definedName name="Scheduled_Interest_Rate">#REF!</definedName>
    <definedName name="Scheduled_Monthly_Payment" localSheetId="3">#REF!</definedName>
    <definedName name="Scheduled_Monthly_Payment">#REF!</definedName>
    <definedName name="ScheduleNamePg1" localSheetId="3">#REF!</definedName>
    <definedName name="ScheduleNamePg1">#REF!</definedName>
    <definedName name="SCHM_1" localSheetId="3">#REF!</definedName>
    <definedName name="SCHM_1">#REF!</definedName>
    <definedName name="scrap" localSheetId="3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6"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3"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2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4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d" localSheetId="1" hidden="1">#REF!</definedName>
    <definedName name="sd" localSheetId="5" hidden="1">#REF!</definedName>
    <definedName name="sd" localSheetId="3" hidden="1">#REF!</definedName>
    <definedName name="sd" localSheetId="29" hidden="1">#REF!</definedName>
    <definedName name="sd" hidden="1">#REF!</definedName>
    <definedName name="sdcfcomph" localSheetId="3">#REF!</definedName>
    <definedName name="sdcfcomph">#REF!</definedName>
    <definedName name="sdcfcompl" localSheetId="3">#REF!</definedName>
    <definedName name="sdcfcompl">#REF!</definedName>
    <definedName name="sdcfcowith" localSheetId="3">#REF!</definedName>
    <definedName name="sdcfcowith">#REF!</definedName>
    <definedName name="sdcfcowitl" localSheetId="3">#REF!</definedName>
    <definedName name="sdcfcowitl">#REF!</definedName>
    <definedName name="sdcfdyh" localSheetId="3">#REF!</definedName>
    <definedName name="sdcfdyh">#REF!</definedName>
    <definedName name="sdcfdyl" localSheetId="3">#REF!</definedName>
    <definedName name="sdcfdyl">#REF!</definedName>
    <definedName name="sdcfh" localSheetId="3">#REF!</definedName>
    <definedName name="sdcfh">#REF!</definedName>
    <definedName name="sdcfl" localSheetId="3">#REF!</definedName>
    <definedName name="sdcfl">#REF!</definedName>
    <definedName name="sdf" localSheetId="5" hidden="1">#REF!</definedName>
    <definedName name="sdf" localSheetId="3" hidden="1">#REF!</definedName>
    <definedName name="sdf" localSheetId="29" hidden="1">#REF!</definedName>
    <definedName name="sdf" hidden="1">#REF!</definedName>
    <definedName name="sdfgfdgdger" localSheetId="1" hidden="1">{#N/A,#N/A,FALSE,"GLDwnLoad"}</definedName>
    <definedName name="sdfgfdgdger" localSheetId="32" hidden="1">{#N/A,#N/A,FALSE,"GLDwnLoad"}</definedName>
    <definedName name="sdfgfdgdger" localSheetId="6" hidden="1">{#N/A,#N/A,FALSE,"GLDwnLoad"}</definedName>
    <definedName name="sdfgfdgdger" localSheetId="4" hidden="1">{#N/A,#N/A,FALSE,"GLDwnLoad"}</definedName>
    <definedName name="sdfgfdgdger" localSheetId="5" hidden="1">{#N/A,#N/A,FALSE,"GLDwnLoad"}</definedName>
    <definedName name="sdfgfdgdger" localSheetId="7" hidden="1">{#N/A,#N/A,FALSE,"GLDwnLoad"}</definedName>
    <definedName name="sdfgfdgdger" localSheetId="3" hidden="1">{#N/A,#N/A,FALSE,"GLDwnLoad"}</definedName>
    <definedName name="sdfgfdgdger" localSheetId="29" hidden="1">{#N/A,#N/A,FALSE,"GLDwnLoad"}</definedName>
    <definedName name="sdfgfdgdger" localSheetId="47" hidden="1">{#N/A,#N/A,FALSE,"GLDwnLoad"}</definedName>
    <definedName name="sdfgfdgdger" hidden="1">{#N/A,#N/A,FALSE,"GLDwnLoad"}</definedName>
    <definedName name="sdfp" localSheetId="1" hidden="1">#REF!</definedName>
    <definedName name="sdfp" localSheetId="5" hidden="1">#REF!</definedName>
    <definedName name="sdfp" localSheetId="3" hidden="1">#REF!</definedName>
    <definedName name="sdfp" localSheetId="29" hidden="1">#REF!</definedName>
    <definedName name="sdfp" hidden="1">#REF!</definedName>
    <definedName name="sdklofj" localSheetId="1" hidden="1">#REF!</definedName>
    <definedName name="sdklofj" localSheetId="5" hidden="1">#REF!</definedName>
    <definedName name="sdklofj" localSheetId="3" hidden="1">#REF!</definedName>
    <definedName name="sdklofj" localSheetId="29" hidden="1">#REF!</definedName>
    <definedName name="sdklofj" hidden="1">#REF!</definedName>
    <definedName name="sdld" localSheetId="5" hidden="1">#REF!</definedName>
    <definedName name="sdld" localSheetId="3" hidden="1">#REF!</definedName>
    <definedName name="sdld" localSheetId="29" hidden="1">#REF!</definedName>
    <definedName name="sdld" hidden="1">#REF!</definedName>
    <definedName name="sdljgfj" localSheetId="5" hidden="1">#REF!</definedName>
    <definedName name="sdljgfj" localSheetId="3" hidden="1">#REF!</definedName>
    <definedName name="sdljgfj" localSheetId="29" hidden="1">#REF!</definedName>
    <definedName name="sdljgfj" hidden="1">#REF!</definedName>
    <definedName name="sdop" localSheetId="5" hidden="1">#REF!</definedName>
    <definedName name="sdop" localSheetId="3" hidden="1">#REF!</definedName>
    <definedName name="sdop" localSheetId="29" hidden="1">#REF!</definedName>
    <definedName name="sdop" hidden="1">#REF!</definedName>
    <definedName name="sdsdl" localSheetId="5" hidden="1">#REF!</definedName>
    <definedName name="sdsdl" localSheetId="3" hidden="1">#REF!</definedName>
    <definedName name="sdsdl" localSheetId="29" hidden="1">#REF!</definedName>
    <definedName name="sdsdl" hidden="1">#REF!</definedName>
    <definedName name="sdv" localSheetId="5" hidden="1">#REF!</definedName>
    <definedName name="sdv" localSheetId="3" hidden="1">#REF!</definedName>
    <definedName name="sdv" localSheetId="29" hidden="1">#REF!</definedName>
    <definedName name="sdv" hidden="1">#REF!</definedName>
    <definedName name="sdyldh" localSheetId="3">#REF!</definedName>
    <definedName name="sdyldh">#REF!</definedName>
    <definedName name="sdyldl" localSheetId="3">#REF!</definedName>
    <definedName name="sdyldl">#REF!</definedName>
    <definedName name="SE_Only" localSheetId="6">'[19]Alloc factors'!#REF!</definedName>
    <definedName name="SE_Only" localSheetId="3">'[19]Alloc factors'!#REF!</definedName>
    <definedName name="SE_Only">'[19]Alloc factors'!#REF!</definedName>
    <definedName name="SEadit" localSheetId="6">#REF!</definedName>
    <definedName name="SEadit" localSheetId="3">#REF!</definedName>
    <definedName name="SEadit">#REF!</definedName>
    <definedName name="SEadv" localSheetId="3">#REF!</definedName>
    <definedName name="SEadv">#REF!</definedName>
    <definedName name="SEC_1341_COLUMNS" localSheetId="3">#REF!</definedName>
    <definedName name="SEC_1341_COLUMNS">#REF!</definedName>
    <definedName name="SEC_1341_REPORT" localSheetId="3">#REF!</definedName>
    <definedName name="SEC_1341_REPORT">#REF!</definedName>
    <definedName name="SEC_1341_ROWS" localSheetId="3">#REF!</definedName>
    <definedName name="SEC_1341_ROWS">#REF!</definedName>
    <definedName name="SEcash" localSheetId="3">#REF!</definedName>
    <definedName name="SEcash">#REF!</definedName>
    <definedName name="SEcwip" localSheetId="3">#REF!</definedName>
    <definedName name="SEcwip">#REF!</definedName>
    <definedName name="SEdep" localSheetId="3">#REF!</definedName>
    <definedName name="SEdep">#REF!</definedName>
    <definedName name="sedf" localSheetId="5" hidden="1">#REF!</definedName>
    <definedName name="sedf" localSheetId="3" hidden="1">#REF!</definedName>
    <definedName name="sedf" localSheetId="29" hidden="1">#REF!</definedName>
    <definedName name="sedf" hidden="1">#REF!</definedName>
    <definedName name="SEmatsup" localSheetId="3">#REF!</definedName>
    <definedName name="SEmatsup">#REF!</definedName>
    <definedName name="SEMO" localSheetId="3">#REF!</definedName>
    <definedName name="SEMO">#REF!</definedName>
    <definedName name="SEMO_Plant" localSheetId="3">#REF!</definedName>
    <definedName name="SEMO_Plant">#REF!</definedName>
    <definedName name="sencount" hidden="1">1</definedName>
    <definedName name="SEplant" localSheetId="3">#REF!</definedName>
    <definedName name="SEplant">#REF!</definedName>
    <definedName name="SEpp" localSheetId="3">#REF!</definedName>
    <definedName name="SEpp">#REF!</definedName>
    <definedName name="SEPTAMT" localSheetId="3">'2.4 OpCo Proxy Cap Str'!AmtTable</definedName>
    <definedName name="SEPTAMT">[39]!AmtTable</definedName>
    <definedName name="SEPTDT" localSheetId="3">'2.4 OpCo Proxy Cap Str'!DTTable</definedName>
    <definedName name="SEPTDT">[39]!DTTable</definedName>
    <definedName name="SEPTEMBERAMT">#N/A</definedName>
    <definedName name="SEPTEMBERDT">#N/A</definedName>
    <definedName name="SEstorg" localSheetId="3">#REF!</definedName>
    <definedName name="SEstorg">#REF!</definedName>
    <definedName name="Set">" "</definedName>
    <definedName name="sevw" localSheetId="1" hidden="1">#REF!</definedName>
    <definedName name="sevw" localSheetId="5" hidden="1">#REF!</definedName>
    <definedName name="sevw" localSheetId="3" hidden="1">#REF!</definedName>
    <definedName name="sevw" localSheetId="29" hidden="1">#REF!</definedName>
    <definedName name="sevw" hidden="1">#REF!</definedName>
    <definedName name="sfdv" localSheetId="1" hidden="1">#REF!</definedName>
    <definedName name="sfdv" localSheetId="5" hidden="1">#REF!</definedName>
    <definedName name="sfdv" localSheetId="3" hidden="1">#REF!</definedName>
    <definedName name="sfdv" localSheetId="29" hidden="1">#REF!</definedName>
    <definedName name="sfdv" hidden="1">#REF!</definedName>
    <definedName name="SHARES" localSheetId="3">#REF!</definedName>
    <definedName name="SHARES">#REF!</definedName>
    <definedName name="shee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1_FooterType" hidden="1">"NONE"</definedName>
    <definedName name="Sheet2_FooterType" hidden="1">"NONE"</definedName>
    <definedName name="shit" localSheetId="1" hidden="1">{#N/A,#N/A,TRUE,"1990";#N/A,#N/A,TRUE,"1991";#N/A,#N/A,TRUE,"1992";#N/A,#N/A,TRUE,"1993"}</definedName>
    <definedName name="shit" localSheetId="32" hidden="1">{#N/A,#N/A,TRUE,"1990";#N/A,#N/A,TRUE,"1991";#N/A,#N/A,TRUE,"1992";#N/A,#N/A,TRUE,"1993"}</definedName>
    <definedName name="shit" localSheetId="6" hidden="1">{#N/A,#N/A,TRUE,"1990";#N/A,#N/A,TRUE,"1991";#N/A,#N/A,TRUE,"1992";#N/A,#N/A,TRUE,"1993"}</definedName>
    <definedName name="shit" localSheetId="4" hidden="1">{#N/A,#N/A,TRUE,"1990";#N/A,#N/A,TRUE,"1991";#N/A,#N/A,TRUE,"1992";#N/A,#N/A,TRUE,"1993"}</definedName>
    <definedName name="shit" localSheetId="5" hidden="1">{#N/A,#N/A,TRUE,"1990";#N/A,#N/A,TRUE,"1991";#N/A,#N/A,TRUE,"1992";#N/A,#N/A,TRUE,"1993"}</definedName>
    <definedName name="shit" localSheetId="7" hidden="1">{#N/A,#N/A,TRUE,"1990";#N/A,#N/A,TRUE,"1991";#N/A,#N/A,TRUE,"1992";#N/A,#N/A,TRUE,"1993"}</definedName>
    <definedName name="shit" localSheetId="3" hidden="1">{#N/A,#N/A,TRUE,"1990";#N/A,#N/A,TRUE,"1991";#N/A,#N/A,TRUE,"1992";#N/A,#N/A,TRUE,"1993"}</definedName>
    <definedName name="shit" localSheetId="47" hidden="1">{#N/A,#N/A,TRUE,"1990";#N/A,#N/A,TRUE,"1991";#N/A,#N/A,TRUE,"1992";#N/A,#N/A,TRUE,"1993"}</definedName>
    <definedName name="shit" hidden="1">{#N/A,#N/A,TRUE,"1990";#N/A,#N/A,TRUE,"1991";#N/A,#N/A,TRUE,"1992";#N/A,#N/A,TRUE,"1993"}</definedName>
    <definedName name="shit2" localSheetId="1" hidden="1">{"summary",#N/A,TRUE,"E93ADJ";"detail",#N/A,TRUE,"E93ADJ"}</definedName>
    <definedName name="shit2" localSheetId="32" hidden="1">{"summary",#N/A,TRUE,"E93ADJ";"detail",#N/A,TRUE,"E93ADJ"}</definedName>
    <definedName name="shit2" localSheetId="6" hidden="1">{"summary",#N/A,TRUE,"E93ADJ";"detail",#N/A,TRUE,"E93ADJ"}</definedName>
    <definedName name="shit2" localSheetId="4" hidden="1">{"summary",#N/A,TRUE,"E93ADJ";"detail",#N/A,TRUE,"E93ADJ"}</definedName>
    <definedName name="shit2" localSheetId="5" hidden="1">{"summary",#N/A,TRUE,"E93ADJ";"detail",#N/A,TRUE,"E93ADJ"}</definedName>
    <definedName name="shit2" localSheetId="7" hidden="1">{"summary",#N/A,TRUE,"E93ADJ";"detail",#N/A,TRUE,"E93ADJ"}</definedName>
    <definedName name="shit2" localSheetId="3" hidden="1">{"summary",#N/A,TRUE,"E93ADJ";"detail",#N/A,TRUE,"E93ADJ"}</definedName>
    <definedName name="shit2" localSheetId="47" hidden="1">{"summary",#N/A,TRUE,"E93ADJ";"detail",#N/A,TRUE,"E93ADJ"}</definedName>
    <definedName name="shit2" hidden="1">{"summary",#N/A,TRUE,"E93ADJ";"detail",#N/A,TRUE,"E93ADJ"}</definedName>
    <definedName name="shiva" localSheetId="32" hidden="1">{#N/A,#N/A,FALSE,"O&amp;M by processes";#N/A,#N/A,FALSE,"Elec Act vs Bud";#N/A,#N/A,FALSE,"G&amp;A";#N/A,#N/A,FALSE,"BGS";#N/A,#N/A,FALSE,"Res Cost"}</definedName>
    <definedName name="shiva" localSheetId="6" hidden="1">{#N/A,#N/A,FALSE,"O&amp;M by processes";#N/A,#N/A,FALSE,"Elec Act vs Bud";#N/A,#N/A,FALSE,"G&amp;A";#N/A,#N/A,FALSE,"BGS";#N/A,#N/A,FALSE,"Res Cost"}</definedName>
    <definedName name="shiva" localSheetId="7"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29" hidden="1">{#N/A,#N/A,FALSE,"O&amp;M by processes";#N/A,#N/A,FALSE,"Elec Act vs Bud";#N/A,#N/A,FALSE,"G&amp;A";#N/A,#N/A,FALSE,"BGS";#N/A,#N/A,FALSE,"Res Cost"}</definedName>
    <definedName name="shiva" localSheetId="47" hidden="1">{#N/A,#N/A,FALSE,"O&amp;M by processes";#N/A,#N/A,FALSE,"Elec Act vs Bud";#N/A,#N/A,FALSE,"G&amp;A";#N/A,#N/A,FALSE,"BGS";#N/A,#N/A,FALSE,"Res Cost"}</definedName>
    <definedName name="shiva" hidden="1">{#N/A,#N/A,FALSE,"O&amp;M by processes";#N/A,#N/A,FALSE,"Elec Act vs Bud";#N/A,#N/A,FALSE,"G&amp;A";#N/A,#N/A,FALSE,"BGS";#N/A,#N/A,FALSE,"Res Cost"}</definedName>
    <definedName name="SI"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1" hidden="1">#REF!</definedName>
    <definedName name="slkd" localSheetId="5" hidden="1">#REF!</definedName>
    <definedName name="slkd" localSheetId="3" hidden="1">#REF!</definedName>
    <definedName name="slkd" localSheetId="29" hidden="1">#REF!</definedName>
    <definedName name="slkd" hidden="1">#REF!</definedName>
    <definedName name="SNLLU">'[98]MI Data (WP)'!$A$6:$I$53</definedName>
    <definedName name="source" localSheetId="3">#REF!</definedName>
    <definedName name="source">#REF!</definedName>
    <definedName name="SOURCES" localSheetId="6">#REF!</definedName>
    <definedName name="SOURCES" localSheetId="3">#REF!</definedName>
    <definedName name="SOURCES">#REF!</definedName>
    <definedName name="SouthGeorgia">'[99]ADFIT Activity   {A}'!$I$60</definedName>
    <definedName name="sp" localSheetId="3">#REF!</definedName>
    <definedName name="sp">#REF!</definedName>
    <definedName name="SPLookUp">OFFSET('[100]Current S&amp;P Ratings'!$A$3:$E$3,0,0,COUNTA('[100]Current S&amp;P Ratings'!$B:$B)-1)</definedName>
    <definedName name="spot">'[42]20.7 Prices'!$B$5:$J$535</definedName>
    <definedName name="spot_date">'[42]20.7 Prices'!$A$5:$A$535</definedName>
    <definedName name="spot_ticker">'[42]20.7 Prices'!$B$4:$J$4</definedName>
    <definedName name="Spread">'[94]AUS RPM Study p 2'!$A$1:$L$96</definedName>
    <definedName name="spreadA">OFFSET('[52]Moodys Yields(WP)'!$Q$4,0,0,'[52]Moodys Yields(WP)'!$A$1-3,1)</definedName>
    <definedName name="spreadDates">OFFSET('[52]Moodys Yields(WP)'!$A$4,0,0,'[52]Moodys Yields(WP)'!$A$1-3,1)</definedName>
    <definedName name="SpreadsheetBuilder_1" localSheetId="1" hidden="1">#REF!</definedName>
    <definedName name="SpreadsheetBuilder_1" localSheetId="5" hidden="1">#REF!</definedName>
    <definedName name="SpreadsheetBuilder_1" localSheetId="3" hidden="1">#REF!</definedName>
    <definedName name="SpreadsheetBuilder_1" localSheetId="29" hidden="1">#REF!</definedName>
    <definedName name="SpreadsheetBuilder_1" hidden="1">#REF!</definedName>
    <definedName name="SpreadsheetBuilder_10" localSheetId="5" hidden="1">#REF!</definedName>
    <definedName name="SpreadsheetBuilder_10" localSheetId="3" hidden="1">#REF!</definedName>
    <definedName name="SpreadsheetBuilder_10" hidden="1">#REF!</definedName>
    <definedName name="SpreadsheetBuilder_12" localSheetId="5" hidden="1">#REF!</definedName>
    <definedName name="SpreadsheetBuilder_12" localSheetId="3" hidden="1">#REF!</definedName>
    <definedName name="SpreadsheetBuilder_12" hidden="1">#REF!</definedName>
    <definedName name="SpreadsheetBuilder_14" localSheetId="5" hidden="1">#REF!</definedName>
    <definedName name="SpreadsheetBuilder_14" localSheetId="3" hidden="1">#REF!</definedName>
    <definedName name="SpreadsheetBuilder_14" hidden="1">#REF!</definedName>
    <definedName name="SpreadsheetBuilder_15" localSheetId="5" hidden="1">#REF!</definedName>
    <definedName name="SpreadsheetBuilder_15" localSheetId="3" hidden="1">#REF!</definedName>
    <definedName name="SpreadsheetBuilder_15" hidden="1">#REF!</definedName>
    <definedName name="SpreadsheetBuilder_16" localSheetId="5" hidden="1">#REF!</definedName>
    <definedName name="SpreadsheetBuilder_16" localSheetId="3" hidden="1">#REF!</definedName>
    <definedName name="SpreadsheetBuilder_16" hidden="1">#REF!</definedName>
    <definedName name="SpreadsheetBuilder_17" localSheetId="5" hidden="1">#REF!</definedName>
    <definedName name="SpreadsheetBuilder_17" localSheetId="3" hidden="1">#REF!</definedName>
    <definedName name="SpreadsheetBuilder_17" hidden="1">#REF!</definedName>
    <definedName name="SpreadsheetBuilder_18" localSheetId="5" hidden="1">#REF!</definedName>
    <definedName name="SpreadsheetBuilder_18" localSheetId="3" hidden="1">#REF!</definedName>
    <definedName name="SpreadsheetBuilder_18" hidden="1">#REF!</definedName>
    <definedName name="SpreadsheetBuilder_19" localSheetId="5" hidden="1">#REF!</definedName>
    <definedName name="SpreadsheetBuilder_19" localSheetId="3" hidden="1">#REF!</definedName>
    <definedName name="SpreadsheetBuilder_19" hidden="1">#REF!</definedName>
    <definedName name="SpreadsheetBuilder_2" localSheetId="1" hidden="1">#REF!</definedName>
    <definedName name="SpreadsheetBuilder_2" localSheetId="6" hidden="1">#REF!</definedName>
    <definedName name="SpreadsheetBuilder_2" localSheetId="5" hidden="1">#REF!</definedName>
    <definedName name="SpreadsheetBuilder_2" localSheetId="7" hidden="1">#REF!</definedName>
    <definedName name="SpreadsheetBuilder_2" localSheetId="3" hidden="1">#REF!</definedName>
    <definedName name="SpreadsheetBuilder_2" localSheetId="29" hidden="1">'[101]Chart 2'!#REF!</definedName>
    <definedName name="SpreadsheetBuilder_2" localSheetId="47" hidden="1">#REF!</definedName>
    <definedName name="SpreadsheetBuilder_2" hidden="1">#REF!</definedName>
    <definedName name="SpreadsheetBuilder_20" localSheetId="1" hidden="1">#REF!</definedName>
    <definedName name="SpreadsheetBuilder_20" localSheetId="5" hidden="1">#REF!</definedName>
    <definedName name="SpreadsheetBuilder_20" localSheetId="3" hidden="1">#REF!</definedName>
    <definedName name="SpreadsheetBuilder_20" hidden="1">#REF!</definedName>
    <definedName name="SpreadsheetBuilder_21" localSheetId="5" hidden="1">#REF!</definedName>
    <definedName name="SpreadsheetBuilder_21" localSheetId="3" hidden="1">#REF!</definedName>
    <definedName name="SpreadsheetBuilder_21" hidden="1">#REF!</definedName>
    <definedName name="SpreadsheetBuilder_22" localSheetId="5" hidden="1">#REF!</definedName>
    <definedName name="SpreadsheetBuilder_22" localSheetId="3" hidden="1">#REF!</definedName>
    <definedName name="SpreadsheetBuilder_22" hidden="1">#REF!</definedName>
    <definedName name="SpreadsheetBuilder_23" localSheetId="5" hidden="1">#REF!</definedName>
    <definedName name="SpreadsheetBuilder_23" localSheetId="3" hidden="1">#REF!</definedName>
    <definedName name="SpreadsheetBuilder_23" hidden="1">#REF!</definedName>
    <definedName name="SpreadsheetBuilder_24" localSheetId="5" hidden="1">#REF!</definedName>
    <definedName name="SpreadsheetBuilder_24" localSheetId="3" hidden="1">#REF!</definedName>
    <definedName name="SpreadsheetBuilder_24" hidden="1">#REF!</definedName>
    <definedName name="SpreadsheetBuilder_25" localSheetId="5" hidden="1">#REF!</definedName>
    <definedName name="SpreadsheetBuilder_25" localSheetId="3" hidden="1">#REF!</definedName>
    <definedName name="SpreadsheetBuilder_25" hidden="1">#REF!</definedName>
    <definedName name="SpreadsheetBuilder_27" localSheetId="5" hidden="1">#REF!</definedName>
    <definedName name="SpreadsheetBuilder_27" localSheetId="3" hidden="1">#REF!</definedName>
    <definedName name="SpreadsheetBuilder_27" hidden="1">#REF!</definedName>
    <definedName name="SpreadsheetBuilder_28" localSheetId="5" hidden="1">#REF!</definedName>
    <definedName name="SpreadsheetBuilder_28" localSheetId="3" hidden="1">#REF!</definedName>
    <definedName name="SpreadsheetBuilder_28" hidden="1">#REF!</definedName>
    <definedName name="SpreadsheetBuilder_3" localSheetId="5" hidden="1">#REF!</definedName>
    <definedName name="SpreadsheetBuilder_3" localSheetId="3" hidden="1">#REF!</definedName>
    <definedName name="SpreadsheetBuilder_3" localSheetId="29" hidden="1">#REF!</definedName>
    <definedName name="SpreadsheetBuilder_3" hidden="1">#REF!</definedName>
    <definedName name="SpreadsheetBuilder_4" localSheetId="5" hidden="1">#REF!</definedName>
    <definedName name="SpreadsheetBuilder_4" localSheetId="3" hidden="1">#REF!</definedName>
    <definedName name="SpreadsheetBuilder_4" hidden="1">#REF!</definedName>
    <definedName name="SpreadsheetBuilder_5" localSheetId="5" hidden="1">#REF!</definedName>
    <definedName name="SpreadsheetBuilder_5" localSheetId="3" hidden="1">#REF!</definedName>
    <definedName name="SpreadsheetBuilder_5" hidden="1">#REF!</definedName>
    <definedName name="SpreadsheetBuilder_6" localSheetId="5" hidden="1">#REF!</definedName>
    <definedName name="SpreadsheetBuilder_6" localSheetId="3" hidden="1">#REF!</definedName>
    <definedName name="SpreadsheetBuilder_6" hidden="1">#REF!</definedName>
    <definedName name="SpreadsheetBuilder_7" localSheetId="5" hidden="1">#REF!</definedName>
    <definedName name="SpreadsheetBuilder_7" localSheetId="3" hidden="1">#REF!</definedName>
    <definedName name="SpreadsheetBuilder_7" hidden="1">#REF!</definedName>
    <definedName name="SpreadsheetBuilder_8" localSheetId="5" hidden="1">#REF!</definedName>
    <definedName name="SpreadsheetBuilder_8" localSheetId="3" hidden="1">#REF!</definedName>
    <definedName name="SpreadsheetBuilder_8" hidden="1">#REF!</definedName>
    <definedName name="sps">'[102]trial balance'!$A$1:$E$778</definedName>
    <definedName name="SPWS_WBID">"5C3BEB3C-3631-11D4-B07C-00104BC5D17F"</definedName>
    <definedName name="srg"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rh" localSheetId="6">#REF!</definedName>
    <definedName name="srrh" localSheetId="3">#REF!</definedName>
    <definedName name="srrh">#REF!</definedName>
    <definedName name="srrl" localSheetId="6">#REF!</definedName>
    <definedName name="srrl" localSheetId="3">#REF!</definedName>
    <definedName name="srrl">#REF!</definedName>
    <definedName name="ssdo" localSheetId="5" hidden="1">#REF!</definedName>
    <definedName name="ssdo" localSheetId="3" hidden="1">#REF!</definedName>
    <definedName name="ssdo" localSheetId="29" hidden="1">#REF!</definedName>
    <definedName name="ssdo" hidden="1">#REF!</definedName>
    <definedName name="SSExp" localSheetId="6">'[51]Input '!#REF!</definedName>
    <definedName name="SSExp" localSheetId="3">'[51]Input '!#REF!</definedName>
    <definedName name="SSExp">'[51]Input '!#REF!</definedName>
    <definedName name="SSPlant" localSheetId="6">'[51]Input '!#REF!</definedName>
    <definedName name="SSPlant">'[51]Input '!#REF!</definedName>
    <definedName name="SSS" localSheetId="6">#REF!</definedName>
    <definedName name="SSS" localSheetId="3">#REF!</definedName>
    <definedName name="SSS">#REF!</definedName>
    <definedName name="sssset" localSheetId="1" hidden="1">#REF!</definedName>
    <definedName name="sssset" localSheetId="5" hidden="1">#REF!</definedName>
    <definedName name="sssset" localSheetId="3" hidden="1">#REF!</definedName>
    <definedName name="sssset" localSheetId="29" hidden="1">#REF!</definedName>
    <definedName name="sssset" hidden="1">#REF!</definedName>
    <definedName name="START" localSheetId="3">#REF!</definedName>
    <definedName name="START">#REF!</definedName>
    <definedName name="STATERATE" localSheetId="3">'[103]Prior Period'!#REF!</definedName>
    <definedName name="STATERATE">'[103]Prior Period'!#REF!</definedName>
    <definedName name="statsrevised" localSheetId="32" hidden="1">{#N/A,#N/A,FALSE,"O&amp;M by processes";#N/A,#N/A,FALSE,"Elec Act vs Bud";#N/A,#N/A,FALSE,"G&amp;A";#N/A,#N/A,FALSE,"BGS";#N/A,#N/A,FALSE,"Res Cost"}</definedName>
    <definedName name="statsrevised" localSheetId="6" hidden="1">{#N/A,#N/A,FALSE,"O&amp;M by processes";#N/A,#N/A,FALSE,"Elec Act vs Bud";#N/A,#N/A,FALSE,"G&amp;A";#N/A,#N/A,FALSE,"BGS";#N/A,#N/A,FALSE,"Res Cost"}</definedName>
    <definedName name="statsrevised" localSheetId="7"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29" hidden="1">{#N/A,#N/A,FALSE,"O&amp;M by processes";#N/A,#N/A,FALSE,"Elec Act vs Bud";#N/A,#N/A,FALSE,"G&amp;A";#N/A,#N/A,FALSE,"BGS";#N/A,#N/A,FALSE,"Res Cost"}</definedName>
    <definedName name="statsrevised" localSheetId="47" hidden="1">{#N/A,#N/A,FALSE,"O&amp;M by processes";#N/A,#N/A,FALSE,"Elec Act vs Bud";#N/A,#N/A,FALSE,"G&amp;A";#N/A,#N/A,FALSE,"BGS";#N/A,#N/A,FALSE,"Res Cost"}</definedName>
    <definedName name="statsrevised" hidden="1">{#N/A,#N/A,FALSE,"O&amp;M by processes";#N/A,#N/A,FALSE,"Elec Act vs Bud";#N/A,#N/A,FALSE,"G&amp;A";#N/A,#N/A,FALSE,"BGS";#N/A,#N/A,FALSE,"Res Cost"}</definedName>
    <definedName name="STD_Rate">'[51]Input '!$C$24</definedName>
    <definedName name="Stockprice">'[104]Stock Price (Combination)'!$C$1:$AQ$33</definedName>
    <definedName name="Sttax" localSheetId="6">#REF!</definedName>
    <definedName name="Sttax" localSheetId="3">#REF!</definedName>
    <definedName name="Sttax">#REF!</definedName>
    <definedName name="Study_Company" localSheetId="3">#REF!</definedName>
    <definedName name="Study_Company">#REF!</definedName>
    <definedName name="study_quarter">'[41]Input Sheet'!$F$15</definedName>
    <definedName name="study_year">'[41]Input Sheet'!$F$14</definedName>
    <definedName name="stuff">'[98]Proxy Group'!$B$1</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SUMMARY">[84]A!$A$1:$J$52</definedName>
    <definedName name="SummaryDownload">OFFSET('[105](1)Summary Download'!$B$6,0,0,COUNTA('[105](1)Summary Download'!$B:$B),43)</definedName>
    <definedName name="support" localSheetId="6">#REF!</definedName>
    <definedName name="support" localSheetId="3">#REF!</definedName>
    <definedName name="support">#REF!</definedName>
    <definedName name="supporti" localSheetId="32" hidden="1">{#N/A,#N/A,FALSE,"O&amp;M by processes";#N/A,#N/A,FALSE,"Elec Act vs Bud";#N/A,#N/A,FALSE,"G&amp;A";#N/A,#N/A,FALSE,"BGS";#N/A,#N/A,FALSE,"Res Cost"}</definedName>
    <definedName name="supporti" localSheetId="6"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29" hidden="1">{#N/A,#N/A,FALSE,"O&amp;M by processes";#N/A,#N/A,FALSE,"Elec Act vs Bud";#N/A,#N/A,FALSE,"G&amp;A";#N/A,#N/A,FALSE,"BGS";#N/A,#N/A,FALSE,"Res Cost"}</definedName>
    <definedName name="supporti" localSheetId="47" hidden="1">{#N/A,#N/A,FALSE,"O&amp;M by processes";#N/A,#N/A,FALSE,"Elec Act vs Bud";#N/A,#N/A,FALSE,"G&amp;A";#N/A,#N/A,FALSE,"BGS";#N/A,#N/A,FALSE,"Res Cost"}</definedName>
    <definedName name="supporti" hidden="1">{#N/A,#N/A,FALSE,"O&amp;M by processes";#N/A,#N/A,FALSE,"Elec Act vs Bud";#N/A,#N/A,FALSE,"G&amp;A";#N/A,#N/A,FALSE,"BGS";#N/A,#N/A,FALSE,"Res Cost"}</definedName>
    <definedName name="sv" localSheetId="1" hidden="1">#REF!</definedName>
    <definedName name="sv" localSheetId="5" hidden="1">#REF!</definedName>
    <definedName name="sv" localSheetId="3" hidden="1">#REF!</definedName>
    <definedName name="sv" localSheetId="29" hidden="1">#REF!</definedName>
    <definedName name="sv" hidden="1">#REF!</definedName>
    <definedName name="svfdv" localSheetId="1" hidden="1">#REF!</definedName>
    <definedName name="svfdv" localSheetId="5" hidden="1">#REF!</definedName>
    <definedName name="svfdv" localSheetId="3" hidden="1">#REF!</definedName>
    <definedName name="svfdv" localSheetId="29" hidden="1">#REF!</definedName>
    <definedName name="svfdv" hidden="1">#REF!</definedName>
    <definedName name="SWadit" localSheetId="3">#REF!</definedName>
    <definedName name="SWadit">#REF!</definedName>
    <definedName name="SWadv" localSheetId="3">#REF!</definedName>
    <definedName name="SWadv">#REF!</definedName>
    <definedName name="swae" localSheetId="5" hidden="1">#REF!</definedName>
    <definedName name="swae" localSheetId="3" hidden="1">#REF!</definedName>
    <definedName name="swae" localSheetId="29" hidden="1">#REF!</definedName>
    <definedName name="swae" hidden="1">#REF!</definedName>
    <definedName name="SWcash" localSheetId="3">#REF!</definedName>
    <definedName name="SWcash">#REF!</definedName>
    <definedName name="SWcwip" localSheetId="3">#REF!</definedName>
    <definedName name="SWcwip">#REF!</definedName>
    <definedName name="SWdep" localSheetId="3">#REF!</definedName>
    <definedName name="SWdep">#REF!</definedName>
    <definedName name="SWmatsup" localSheetId="3">#REF!</definedName>
    <definedName name="SWmatsup">#REF!</definedName>
    <definedName name="SWplant" localSheetId="3">#REF!</definedName>
    <definedName name="SWplant">#REF!</definedName>
    <definedName name="SWpp" localSheetId="3">#REF!</definedName>
    <definedName name="SWpp">#REF!</definedName>
    <definedName name="SWstorg" localSheetId="3">#REF!</definedName>
    <definedName name="SWstorg">#REF!</definedName>
    <definedName name="Swvu.DATABASE." localSheetId="6" hidden="1">[35]DATABASE!#REF!</definedName>
    <definedName name="Swvu.DATABASE." localSheetId="7" hidden="1">[35]DATABASE!#REF!</definedName>
    <definedName name="Swvu.DATABASE." localSheetId="3" hidden="1">[35]DATABASE!#REF!</definedName>
    <definedName name="Swvu.DATABASE." localSheetId="29" hidden="1">[35]DATABASE!#REF!</definedName>
    <definedName name="Swvu.DATABASE." hidden="1">[35]DATABASE!#REF!</definedName>
    <definedName name="Swvu.OP." localSheetId="6" hidden="1">#REF!</definedName>
    <definedName name="Swvu.OP." localSheetId="7" hidden="1">#REF!</definedName>
    <definedName name="Swvu.OP." localSheetId="3" hidden="1">#REF!</definedName>
    <definedName name="Swvu.OP." localSheetId="29" hidden="1">#REF!</definedName>
    <definedName name="Swvu.OP." hidden="1">#REF!</definedName>
    <definedName name="Sysco">'[37]Customer Bill Details (External'!$O$362</definedName>
    <definedName name="T" localSheetId="6">#REF!</definedName>
    <definedName name="T" localSheetId="3">#REF!</definedName>
    <definedName name="T">#REF!</definedName>
    <definedName name="t_3" localSheetId="6">#REF!</definedName>
    <definedName name="t_3" localSheetId="3">#REF!</definedName>
    <definedName name="t_3">#REF!</definedName>
    <definedName name="t_4" localSheetId="3">#REF!</definedName>
    <definedName name="t_4">#REF!</definedName>
    <definedName name="TABLE" localSheetId="3">#REF!</definedName>
    <definedName name="TABLE">#REF!</definedName>
    <definedName name="tar10high" localSheetId="6">[79]Calculate!#REF!</definedName>
    <definedName name="tar10high">[79]Calculate!#REF!</definedName>
    <definedName name="tar10low" localSheetId="6">[79]Calculate!#REF!</definedName>
    <definedName name="tar10low">[79]Calculate!#REF!</definedName>
    <definedName name="tar11high">[79]Calculate!#REF!</definedName>
    <definedName name="tar11low">[79]Calculate!#REF!</definedName>
    <definedName name="tar12high">[79]Calculate!#REF!</definedName>
    <definedName name="tar12low">[79]Calculate!#REF!</definedName>
    <definedName name="tar13high">[79]Calculate!#REF!</definedName>
    <definedName name="tar13low">[79]Calculate!#REF!</definedName>
    <definedName name="tar14high">[79]Calculate!#REF!</definedName>
    <definedName name="tar14low">[79]Calculate!#REF!</definedName>
    <definedName name="tar15high">[79]Calculate!#REF!</definedName>
    <definedName name="tar15low">[79]Calculate!#REF!</definedName>
    <definedName name="tar16high">[79]Calculate!#REF!</definedName>
    <definedName name="tar16low">[79]Calculate!#REF!</definedName>
    <definedName name="tar17high">[79]Calculate!#REF!</definedName>
    <definedName name="tar17low">[79]Calculate!#REF!</definedName>
    <definedName name="tar18high">[79]Calculate!#REF!</definedName>
    <definedName name="tar18low">[79]Calculate!#REF!</definedName>
    <definedName name="tar19high">[79]Calculate!#REF!</definedName>
    <definedName name="tar19low">[79]Calculate!#REF!</definedName>
    <definedName name="tar1high">[79]Calculate!#REF!</definedName>
    <definedName name="tar1low" localSheetId="6">[55]Calculate!#REF!</definedName>
    <definedName name="tar1low">[55]Calculate!#REF!</definedName>
    <definedName name="tar20high">[79]Calculate!#REF!</definedName>
    <definedName name="tar20low">[79]Calculate!#REF!</definedName>
    <definedName name="tar2high">[79]Calculate!#REF!</definedName>
    <definedName name="tar2low" localSheetId="6">[55]Calculate!#REF!</definedName>
    <definedName name="tar2low">[55]Calculate!#REF!</definedName>
    <definedName name="tar3high">[79]Calculate!#REF!</definedName>
    <definedName name="tar3low" localSheetId="6">[55]Calculate!#REF!</definedName>
    <definedName name="tar3low">[55]Calculate!#REF!</definedName>
    <definedName name="tar4high">[79]Calculate!#REF!</definedName>
    <definedName name="tar4low" localSheetId="6">[55]Calculate!#REF!</definedName>
    <definedName name="tar4low">[55]Calculate!#REF!</definedName>
    <definedName name="tar5high">[79]Calculate!#REF!</definedName>
    <definedName name="tar5low" localSheetId="6">[55]Calculate!#REF!</definedName>
    <definedName name="tar5low">[55]Calculate!#REF!</definedName>
    <definedName name="tar6high">[79]Calculate!#REF!</definedName>
    <definedName name="tar6low" localSheetId="6">[55]Calculate!#REF!</definedName>
    <definedName name="tar6low">[55]Calculate!#REF!</definedName>
    <definedName name="tar7high">[79]Calculate!#REF!</definedName>
    <definedName name="tar7low" localSheetId="6">[55]Calculate!#REF!</definedName>
    <definedName name="tar7low">[55]Calculate!#REF!</definedName>
    <definedName name="tar8high">[79]Calculate!#REF!</definedName>
    <definedName name="tar8low" localSheetId="6">[55]Calculate!#REF!</definedName>
    <definedName name="tar8low">[55]Calculate!#REF!</definedName>
    <definedName name="tar9high">[79]Calculate!#REF!</definedName>
    <definedName name="tar9low">[79]Calculate!#REF!</definedName>
    <definedName name="tax_rate">'[41]Input Sheet'!$F$44</definedName>
    <definedName name="TAX_RETIRE_ANALYSIS2_REPORT" localSheetId="3">#REF!</definedName>
    <definedName name="TAX_RETIRE_ANALYSIS2_REPORT">#REF!</definedName>
    <definedName name="TAX_RETIRE_ANALYSIS2_ROWS" localSheetId="3">#REF!</definedName>
    <definedName name="TAX_RETIRE_ANALYSIS2_ROWS">#REF!</definedName>
    <definedName name="TAXCALC2">[78]summary:fit!$A$1:$V$287</definedName>
    <definedName name="TAXRATE" localSheetId="3">'[103]Prior Period'!#REF!</definedName>
    <definedName name="TAXRATE">'[103]Prior Period'!#REF!</definedName>
    <definedName name="TAXSUMMARY_ROW" localSheetId="3">#REF!</definedName>
    <definedName name="TAXSUMMARY_ROW">#REF!</definedName>
    <definedName name="tbsm01" localSheetId="6">#REF!</definedName>
    <definedName name="tbsm01" localSheetId="3">#REF!</definedName>
    <definedName name="tbsm01">#REF!</definedName>
    <definedName name="tbwn01" localSheetId="3">#REF!</definedName>
    <definedName name="tbwn01">#REF!</definedName>
    <definedName name="tbwn02" localSheetId="3">#REF!</definedName>
    <definedName name="tbwn02">#REF!</definedName>
    <definedName name="TEFRA" localSheetId="1" hidden="1">{"summary",#N/A,TRUE,"E93ADJ";"detail",#N/A,TRUE,"E93ADJ"}</definedName>
    <definedName name="TEFRA" localSheetId="32" hidden="1">{"summary",#N/A,TRUE,"E93ADJ";"detail",#N/A,TRUE,"E93ADJ"}</definedName>
    <definedName name="TEFRA" localSheetId="6" hidden="1">{"summary",#N/A,TRUE,"E93ADJ";"detail",#N/A,TRUE,"E93ADJ"}</definedName>
    <definedName name="TEFRA" localSheetId="4" hidden="1">{"summary",#N/A,TRUE,"E93ADJ";"detail",#N/A,TRUE,"E93ADJ"}</definedName>
    <definedName name="TEFRA" localSheetId="5" hidden="1">{"summary",#N/A,TRUE,"E93ADJ";"detail",#N/A,TRUE,"E93ADJ"}</definedName>
    <definedName name="TEFRA" localSheetId="7" hidden="1">{"summary",#N/A,TRUE,"E93ADJ";"detail",#N/A,TRUE,"E93ADJ"}</definedName>
    <definedName name="TEFRA" localSheetId="3" hidden="1">{"summary",#N/A,TRUE,"E93ADJ";"detail",#N/A,TRUE,"E93ADJ"}</definedName>
    <definedName name="TEFRA" localSheetId="47" hidden="1">{"summary",#N/A,TRUE,"E93ADJ";"detail",#N/A,TRUE,"E93ADJ"}</definedName>
    <definedName name="TEFRA" hidden="1">{"summary",#N/A,TRUE,"E93ADJ";"detail",#N/A,TRUE,"E93ADJ"}</definedName>
    <definedName name="Temp" localSheetId="1" hidden="1">{"ARK_JURIS_FUEL",#N/A,FALSE,"Ark_Fuel&amp;Rev"}</definedName>
    <definedName name="Temp" localSheetId="32" hidden="1">{"ARK_JURIS_FUEL",#N/A,FALSE,"Ark_Fuel&amp;Rev"}</definedName>
    <definedName name="Temp" localSheetId="6" hidden="1">{"ARK_JURIS_FUEL",#N/A,FALSE,"Ark_Fuel&amp;Rev"}</definedName>
    <definedName name="Temp" localSheetId="4" hidden="1">{"ARK_JURIS_FUEL",#N/A,FALSE,"Ark_Fuel&amp;Rev"}</definedName>
    <definedName name="Temp" localSheetId="5" hidden="1">{"ARK_JURIS_FUEL",#N/A,FALSE,"Ark_Fuel&amp;Rev"}</definedName>
    <definedName name="Temp" localSheetId="7" hidden="1">{"ARK_JURIS_FUEL",#N/A,FALSE,"Ark_Fuel&amp;Rev"}</definedName>
    <definedName name="Temp" localSheetId="3" hidden="1">{"ARK_JURIS_FUEL",#N/A,FALSE,"Ark_Fuel&amp;Rev"}</definedName>
    <definedName name="Temp" localSheetId="47" hidden="1">{"ARK_JURIS_FUEL",#N/A,FALSE,"Ark_Fuel&amp;Rev"}</definedName>
    <definedName name="Temp" hidden="1">{"ARK_JURIS_FUEL",#N/A,FALSE,"Ark_Fuel&amp;Rev"}</definedName>
    <definedName name="teset4" localSheetId="3">#REF!</definedName>
    <definedName name="teset4">#REF!</definedName>
    <definedName name="teset6" localSheetId="3">#REF!</definedName>
    <definedName name="teset6">#REF!</definedName>
    <definedName name="test" localSheetId="1" hidden="1">[106]TOPrs!#REF!</definedName>
    <definedName name="test" localSheetId="29" hidden="1">[107]TOPrs!#REF!</definedName>
    <definedName name="test" localSheetId="47" hidden="1">[107]TOPrs!#REF!</definedName>
    <definedName name="test" hidden="1">[107]TOPrs!#REF!</definedName>
    <definedName name="TEST0">'[32]WP-H-14-682010_Lobby'!$A$3:$G$31</definedName>
    <definedName name="test1" localSheetId="1" hidden="1">{#N/A,#N/A,TRUE,"Bill Comp - 60";#N/A,#N/A,TRUE,"Bill Comp - 70";#N/A,#N/A,TRUE,"Bill Comp - 71";#N/A,#N/A,TRUE,"Bill Comp- 85"}</definedName>
    <definedName name="test1" localSheetId="32" hidden="1">{#N/A,#N/A,TRUE,"Bill Comp - 60";#N/A,#N/A,TRUE,"Bill Comp - 70";#N/A,#N/A,TRUE,"Bill Comp - 71";#N/A,#N/A,TRUE,"Bill Comp- 85"}</definedName>
    <definedName name="test1" localSheetId="6" hidden="1">{#N/A,#N/A,TRUE,"Bill Comp - 60";#N/A,#N/A,TRUE,"Bill Comp - 70";#N/A,#N/A,TRUE,"Bill Comp - 71";#N/A,#N/A,TRUE,"Bill Comp- 85"}</definedName>
    <definedName name="test1" localSheetId="4" hidden="1">{#N/A,#N/A,TRUE,"Bill Comp - 60";#N/A,#N/A,TRUE,"Bill Comp - 70";#N/A,#N/A,TRUE,"Bill Comp - 71";#N/A,#N/A,TRUE,"Bill Comp- 85"}</definedName>
    <definedName name="test1" localSheetId="5" hidden="1">{#N/A,#N/A,TRUE,"Bill Comp - 60";#N/A,#N/A,TRUE,"Bill Comp - 70";#N/A,#N/A,TRUE,"Bill Comp - 71";#N/A,#N/A,TRUE,"Bill Comp- 85"}</definedName>
    <definedName name="test1" localSheetId="7" hidden="1">{#N/A,#N/A,TRUE,"Bill Comp - 60";#N/A,#N/A,TRUE,"Bill Comp - 70";#N/A,#N/A,TRUE,"Bill Comp - 71";#N/A,#N/A,TRUE,"Bill Comp- 85"}</definedName>
    <definedName name="test1" localSheetId="3" hidden="1">{#N/A,#N/A,TRUE,"Bill Comp - 60";#N/A,#N/A,TRUE,"Bill Comp - 70";#N/A,#N/A,TRUE,"Bill Comp - 71";#N/A,#N/A,TRUE,"Bill Comp- 85"}</definedName>
    <definedName name="test1" localSheetId="47" hidden="1">{#N/A,#N/A,TRUE,"Bill Comp - 60";#N/A,#N/A,TRUE,"Bill Comp - 70";#N/A,#N/A,TRUE,"Bill Comp - 71";#N/A,#N/A,TRUE,"Bill Comp- 85"}</definedName>
    <definedName name="test1" hidden="1">{#N/A,#N/A,TRUE,"Bill Comp - 60";#N/A,#N/A,TRUE,"Bill Comp - 70";#N/A,#N/A,TRUE,"Bill Comp - 71";#N/A,#N/A,TRUE,"Bill Comp- 85"}</definedName>
    <definedName name="test11" localSheetId="1" hidden="1">{#N/A,"Anonymous",FALSE,"30 30k Table";#N/A,#N/A,FALSE,"30 50k Table";#N/A,#N/A,FALSE,"40 100k Table"}</definedName>
    <definedName name="test11" localSheetId="32" hidden="1">{#N/A,"Anonymous",FALSE,"30 30k Table";#N/A,#N/A,FALSE,"30 50k Table";#N/A,#N/A,FALSE,"40 100k Table"}</definedName>
    <definedName name="test11" localSheetId="6" hidden="1">{#N/A,"Anonymous",FALSE,"30 30k Table";#N/A,#N/A,FALSE,"30 50k Table";#N/A,#N/A,FALSE,"40 100k Table"}</definedName>
    <definedName name="test11" localSheetId="4" hidden="1">{#N/A,"Anonymous",FALSE,"30 30k Table";#N/A,#N/A,FALSE,"30 50k Table";#N/A,#N/A,FALSE,"40 100k Table"}</definedName>
    <definedName name="test11" localSheetId="5" hidden="1">{#N/A,"Anonymous",FALSE,"30 30k Table";#N/A,#N/A,FALSE,"30 50k Table";#N/A,#N/A,FALSE,"40 100k Table"}</definedName>
    <definedName name="test11" localSheetId="7" hidden="1">{#N/A,"Anonymous",FALSE,"30 30k Table";#N/A,#N/A,FALSE,"30 50k Table";#N/A,#N/A,FALSE,"40 100k Table"}</definedName>
    <definedName name="test11" localSheetId="3" hidden="1">{#N/A,"Anonymous",FALSE,"30 30k Table";#N/A,#N/A,FALSE,"30 50k Table";#N/A,#N/A,FALSE,"40 100k Table"}</definedName>
    <definedName name="test11" localSheetId="29" hidden="1">{#N/A,"Anonymous",FALSE,"30 30k Table";#N/A,#N/A,FALSE,"30 50k Table";#N/A,#N/A,FALSE,"40 100k Table"}</definedName>
    <definedName name="test11" localSheetId="47" hidden="1">{#N/A,"Anonymous",FALSE,"30 30k Table";#N/A,#N/A,FALSE,"30 50k Table";#N/A,#N/A,FALSE,"40 100k Table"}</definedName>
    <definedName name="test11" hidden="1">{#N/A,"Anonymous",FALSE,"30 30k Table";#N/A,#N/A,FALSE,"30 50k Table";#N/A,#N/A,FALSE,"40 100k Table"}</definedName>
    <definedName name="test2">'[72]Non-Statutory Deferred Taxes'!#REF!</definedName>
    <definedName name="test5" localSheetId="3">#REF!</definedName>
    <definedName name="test5">#REF!</definedName>
    <definedName name="test7" localSheetId="3">#REF!</definedName>
    <definedName name="test7">#REF!</definedName>
    <definedName name="test8" localSheetId="3">#REF!</definedName>
    <definedName name="test8">#REF!</definedName>
    <definedName name="teste2" localSheetId="3">#REF!</definedName>
    <definedName name="teste2">#REF!</definedName>
    <definedName name="teste5" localSheetId="3">#REF!</definedName>
    <definedName name="teste5">#REF!</definedName>
    <definedName name="TESTHKEY">'[32]WP-H-14-682010_Lobby'!$G$1</definedName>
    <definedName name="testing" localSheetId="1" hidden="1">{#N/A,"Anonymous",FALSE,"30 30k Table";#N/A,#N/A,FALSE,"30 50k Table";#N/A,#N/A,FALSE,"40 100k Table"}</definedName>
    <definedName name="testing" localSheetId="32" hidden="1">{#N/A,"Anonymous",FALSE,"30 30k Table";#N/A,#N/A,FALSE,"30 50k Table";#N/A,#N/A,FALSE,"40 100k Table"}</definedName>
    <definedName name="testing" localSheetId="6" hidden="1">{#N/A,"Anonymous",FALSE,"30 30k Table";#N/A,#N/A,FALSE,"30 50k Table";#N/A,#N/A,FALSE,"40 100k Table"}</definedName>
    <definedName name="testing" localSheetId="4" hidden="1">{#N/A,"Anonymous",FALSE,"30 30k Table";#N/A,#N/A,FALSE,"30 50k Table";#N/A,#N/A,FALSE,"40 100k Table"}</definedName>
    <definedName name="testing" localSheetId="5" hidden="1">{#N/A,"Anonymous",FALSE,"30 30k Table";#N/A,#N/A,FALSE,"30 50k Table";#N/A,#N/A,FALSE,"40 100k Table"}</definedName>
    <definedName name="testing" localSheetId="7" hidden="1">{#N/A,"Anonymous",FALSE,"30 30k Table";#N/A,#N/A,FALSE,"30 50k Table";#N/A,#N/A,FALSE,"40 100k Table"}</definedName>
    <definedName name="testing" localSheetId="3" hidden="1">{#N/A,"Anonymous",FALSE,"30 30k Table";#N/A,#N/A,FALSE,"30 50k Table";#N/A,#N/A,FALSE,"40 100k Table"}</definedName>
    <definedName name="testing" localSheetId="29" hidden="1">{#N/A,"Anonymous",FALSE,"30 30k Table";#N/A,#N/A,FALSE,"30 50k Table";#N/A,#N/A,FALSE,"40 100k Table"}</definedName>
    <definedName name="testing" localSheetId="47" hidden="1">{#N/A,"Anonymous",FALSE,"30 30k Table";#N/A,#N/A,FALSE,"30 50k Table";#N/A,#N/A,FALSE,"40 100k Table"}</definedName>
    <definedName name="testing" hidden="1">{#N/A,"Anonymous",FALSE,"30 30k Table";#N/A,#N/A,FALSE,"30 50k Table";#N/A,#N/A,FALSE,"40 100k Table"}</definedName>
    <definedName name="TESTKEYS">'[32]WP-H-14-682010_Lobby'!$A$3:$F$31</definedName>
    <definedName name="TESTPERIOD">'[51]Input '!$C$10</definedName>
    <definedName name="TestPeriodDate">[108]Inputs!$D$20</definedName>
    <definedName name="TESTVKEY">'[32]WP-H-14-682010_Lobby'!$A$1:$F$1</definedName>
    <definedName name="TESTYEAR">'[43]DATA INPUT'!$C$9</definedName>
    <definedName name="testyeardate">[109]CTRL!$C$8</definedName>
    <definedName name="Therm10A">[70]YTD!$AR$109,[70]YTD!$AR$105:$AR$106,[70]YTD!$AR$98:$AR$98,[70]YTD!$AR$15:$AR$93</definedName>
    <definedName name="Therm10DA">[70]YTD!$AR$217,[70]YTD!$AR$213,[70]YTD!$AR$122:$AR$207</definedName>
    <definedName name="Therm11A">[70]YTD!$AS$15:$AS$93,[70]YTD!$AS$98:$AS$98,[70]YTD!$AS$105:$AS$106,[70]YTD!$AS$109</definedName>
    <definedName name="Therm11DA">[70]YTD!$AS$122:$AS$207,[70]YTD!$AS$213,[70]YTD!$AS$217</definedName>
    <definedName name="Therm12A">[70]YTD!$AT$15:$AT$93,[70]YTD!$AT$98:$AT$98,[70]YTD!$AT$105:$AT$106,[70]YTD!$AT$109</definedName>
    <definedName name="Therm12DA">[70]YTD!$AT$122:$AT$207,[70]YTD!$AT$213,[70]YTD!$AT$217</definedName>
    <definedName name="Therm1A">[70]YTD!$AI$15:$AI$93,[70]YTD!$AI$98:$AI$98,[70]YTD!$AI$105:$AI$106,[70]YTD!$AI$109</definedName>
    <definedName name="Therm1DA">[70]YTD!$AI$122:$AI$207,[70]YTD!$AI$213,[70]YTD!$AI$217</definedName>
    <definedName name="Therm2A">[70]YTD!$AJ$109,[70]YTD!$AJ$105:$AJ$106,[70]YTD!$AJ$98:$AJ$98,[70]YTD!$AJ$15:$AJ$93</definedName>
    <definedName name="Therm2DA">[70]YTD!$AJ$217,[70]YTD!$AJ$213,[70]YTD!$AJ$122:$AJ$207</definedName>
    <definedName name="Therm3A">[70]YTD!$AK$15:$AK$93,[70]YTD!$AK$98:$AK$98,[70]YTD!$AK$105:$AK$106,[70]YTD!$AK$109</definedName>
    <definedName name="Therm3DA">[70]YTD!$AK$122:$AK$207,[70]YTD!$AK$213,[70]YTD!$AK$217</definedName>
    <definedName name="Therm4A">[70]YTD!$AL$109,[70]YTD!$AL$105:$AL$106,[70]YTD!$AL$98:$AL$98,[70]YTD!$AL$15:$AL$93</definedName>
    <definedName name="Therm4DA">[70]YTD!$AL$217,[70]YTD!$AL$213,[70]YTD!$AL$122:$AL$207</definedName>
    <definedName name="Therm5A">[70]YTD!$AM$15:$AM$93,[70]YTD!$AM$98:$AM$98,[70]YTD!$AM$105:$AM$106,[70]YTD!$AM$109</definedName>
    <definedName name="Therm5DA">[70]YTD!$AM$122:$AM$207,[70]YTD!$AM$213,[70]YTD!$AM$217</definedName>
    <definedName name="Therm6A">[70]YTD!$AN$109,[70]YTD!$AN$105:$AN$106,[70]YTD!$AN$98:$AN$98,[70]YTD!$AN$15:$AN$93</definedName>
    <definedName name="Therm6DA">[70]YTD!$AN$217,[70]YTD!$AN$213,[70]YTD!$AN$122:$AN$207</definedName>
    <definedName name="Therm7A">[70]YTD!$AO$15:$AO$93,[70]YTD!$AO$98:$AO$98,[70]YTD!$AO$105:$AO$106,[70]YTD!$AO$109</definedName>
    <definedName name="Therm7DA">[70]YTD!$AO$122:$AO$207,[70]YTD!$AO$213,[70]YTD!$AO$217</definedName>
    <definedName name="Therm8A">[70]YTD!$AP$109,[70]YTD!$AP$105:$AP$106,[70]YTD!$AP$98:$AP$98,[70]YTD!$AP$15:$AP$93</definedName>
    <definedName name="Therm8DA">[70]YTD!$AP$217,[70]YTD!$AP$213,[70]YTD!$AP$122:$AP$207</definedName>
    <definedName name="Therm9A">[70]YTD!$AQ$15:$AQ$93,[70]YTD!$AQ$98:$AQ$98,[70]YTD!$AQ$105:$AQ$106,[70]YTD!$AQ$109</definedName>
    <definedName name="Therm9DA">[70]YTD!$AQ$122:$AQ$207,[70]YTD!$AQ$213,[70]YTD!$AQ$217</definedName>
    <definedName name="ThermAprilA">[70]YTD!$AL$15:$AL$36,[70]YTD!$AL$38:$AL$93,[70]YTD!$AL$98:$AL$98,[70]YTD!$AL$105:$AL$106,[70]YTD!$AL$109</definedName>
    <definedName name="ThermAprilDA">[70]YTD!$AL$122:$AL$148,[70]YTD!$AL$150:$AL$207,[70]YTD!$AL$212:$AL$213,[70]YTD!$AL$216:$AL$217</definedName>
    <definedName name="ThermAugA">[70]YTD!$AP$15:$AP$36,[70]YTD!$AP$38:$AP$93,[70]YTD!$AP$98:$AP$98,[70]YTD!$AP$105:$AP$106,[70]YTD!$AP$109</definedName>
    <definedName name="ThermAugDA">[70]YTD!$AP$122:$AP$148,[70]YTD!$AP$150:$AP$207,[70]YTD!$AP$212:$AP$213,[70]YTD!$AP$216:$AP$217</definedName>
    <definedName name="ThermDecA">[70]YTD!$AT$15:$AT$36,[70]YTD!$AT$38:$AT$93,[70]YTD!$AT$98:$AT$98,[70]YTD!$AT$105:$AT$106,[70]YTD!$AT$109</definedName>
    <definedName name="ThermDecDA">[70]YTD!$AT$122:$AT$148,[70]YTD!$AT$150:$AT$207,[70]YTD!$AT$212:$AT$213,[70]YTD!$AT$216:$AT$217</definedName>
    <definedName name="ThermFebA">[70]YTD!$AJ$15:$AJ$36,[70]YTD!$AJ$38:$AJ$93,[70]YTD!$AJ$98:$AJ$98,[70]YTD!$AJ$105:$AJ$106,[70]YTD!$AJ$109</definedName>
    <definedName name="ThermFebDA">[70]YTD!$AJ$122:$AJ$148,[70]YTD!$AJ$150:$AJ$207,[70]YTD!$AJ$212:$AJ$213,[70]YTD!$AJ$216:$AJ$217</definedName>
    <definedName name="ThermJanA">[70]YTD!$AI$15:$AI$36,[70]YTD!$AI$38:$AI$93,[70]YTD!$AI$98:$AI$98,[70]YTD!$AI$105:$AI$106,[70]YTD!$AI$109</definedName>
    <definedName name="ThermJanDA">[70]YTD!$AI$122:$AI$148,[70]YTD!$AI$150:$AI$207,[70]YTD!$AI$212:$AI$213,[70]YTD!$AI$216:$AI$217</definedName>
    <definedName name="ThermJulyA">[70]YTD!$AO$15:$AO$36,[70]YTD!$AO$38:$AO$93,[70]YTD!$AO$98:$AO$98,[70]YTD!$AO$105:$AO$106,[70]YTD!$AO$109</definedName>
    <definedName name="ThermJulyDA">[70]YTD!$AO$122:$AO$148,[70]YTD!$AO$150:$AO$207,[70]YTD!$AO$212:$AO$213,[70]YTD!$AO$216:$AO$217</definedName>
    <definedName name="ThermJuneA">[70]YTD!$AN$15:$AN$36,[70]YTD!$AN$38:$AN$93,[70]YTD!$AN$98:$AN$98,[70]YTD!$AN$105:$AN$106,[70]YTD!$AN$109</definedName>
    <definedName name="ThermJuneDA">[70]YTD!$AN$122:$AN$148,[70]YTD!$AN$150:$AN$207,[70]YTD!$AN$213:$AN$213,[70]YTD!$AN$216:$AN$217</definedName>
    <definedName name="ThermMarchA">[70]YTD!$AK$15:$AK$36,[70]YTD!$AK$38:$AK$93,[70]YTD!$AK$98:$AK$98,[70]YTD!$AK$105:$AK$106,[70]YTD!$AK$109</definedName>
    <definedName name="ThermMarchDA">[70]YTD!$BM$121:$BM$148,[70]YTD!$BM$150:$BM$207,[70]YTD!$BM$212:$BM$213,[70]YTD!$BM$216:$BM$217</definedName>
    <definedName name="ThermMayA">[70]YTD!$AM$15:$AM$36,[70]YTD!$AM$38:$AM$93,[70]YTD!$AM$98:$AM$98,[70]YTD!$AM$105:$AM$106,[70]YTD!$AM$109</definedName>
    <definedName name="ThermMayDa">[70]YTD!$AM$122:$AM$148,[70]YTD!$AM$150:$AM$207,[70]YTD!$AM$212:$AM$213,[70]YTD!$AM$216:$AM$217</definedName>
    <definedName name="ThermNovA">[70]YTD!$AS$15:$AS$36,[70]YTD!$AS$38:$AS$93,[70]YTD!$AS$98:$AS$98,[70]YTD!$AS$105:$AS$106,[70]YTD!$AS$109</definedName>
    <definedName name="ThermNovDA">[70]YTD!$AS$122:$AS$148,[70]YTD!$AS$150:$AS$207,[70]YTD!$AS$212:$AS$213,[70]YTD!$AS$216:$AS$217</definedName>
    <definedName name="ThermOctA">[70]YTD!$AR$15:$AR$36,[70]YTD!$AR$38:$AR$93,[70]YTD!$AR$98,[70]YTD!$AR$98:$AR$98,[70]YTD!$AR$105:$AR$106,[70]YTD!$AR$109</definedName>
    <definedName name="ThermOctDA">[70]YTD!$AR$122:$AR$148,[70]YTD!$AR$150:$AR$207,[70]YTD!$AR$212:$AR$213,[70]YTD!$AR$216:$AR$217</definedName>
    <definedName name="ThermSeptA">[70]YTD!$AQ$15:$AQ$36,[70]YTD!$AQ$38:$AQ$93,[70]YTD!$AQ$98:$AQ$98,[70]YTD!$AQ$105:$AQ$106,[70]YTD!$AQ$109</definedName>
    <definedName name="ThermSeptDA">[70]YTD!$AQ$122:$AQ$148,[70]YTD!$AQ$150:$AQ$207,[70]YTD!$AQ$212:$AQ$213,[70]YTD!$AQ$216:$AQ$217</definedName>
    <definedName name="ThreeYear">[83]Data!$G:$H</definedName>
    <definedName name="Ticker">""</definedName>
    <definedName name="TickerLU">'[44]Proxy Group'!$A$7:$C$56</definedName>
    <definedName name="Tickers">[110]Tickers!$A$6:$D$67</definedName>
    <definedName name="TIPS_20yr">OFFSET('[82]FRED 20 yr TIPS monthly'!$A$8,0,0,'[82]FRED 20 yr TIPS monthly'!$E$7,2)</definedName>
    <definedName name="to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dit" localSheetId="6">#REF!</definedName>
    <definedName name="TOTadit" localSheetId="3">#REF!</definedName>
    <definedName name="TOTadit">#REF!</definedName>
    <definedName name="TOTadv" localSheetId="3">#REF!</definedName>
    <definedName name="TOTadv">#REF!</definedName>
    <definedName name="total_cap">'[64]SNL Data'!$BH$6:$BO$148</definedName>
    <definedName name="Total_Interest" localSheetId="6">#REF!</definedName>
    <definedName name="Total_Interest" localSheetId="3">#REF!</definedName>
    <definedName name="Total_Interest">#REF!</definedName>
    <definedName name="Total_Pay" localSheetId="6">#REF!</definedName>
    <definedName name="Total_Pay" localSheetId="3">#REF!</definedName>
    <definedName name="Total_Pay">#REF!</definedName>
    <definedName name="Total_Payment" localSheetId="32">Scheduled_Payment+Extra_Payment</definedName>
    <definedName name="Total_Payment" localSheetId="6">Scheduled_Payment+Extra_Payment</definedName>
    <definedName name="Total_Payment" localSheetId="3">Scheduled_Payment+Extra_Payment</definedName>
    <definedName name="Total_Payment">Scheduled_Payment+Extra_Payment</definedName>
    <definedName name="Total10A">[70]YTD!$BT$15:$BT$93,[70]YTD!$BT$98:$BT$99,[70]YTD!$BT$105:$BT$106,[70]YTD!$BT$109</definedName>
    <definedName name="Total10DA">[70]YTD!$BT$217,[70]YTD!$BT$213,[70]YTD!$BT$122:$BT$207</definedName>
    <definedName name="Total11DA">[70]YTD!$BU$122:$BU$207,[70]YTD!$BU$213,[70]YTD!$BU$217</definedName>
    <definedName name="Total12A">[70]YTD!$BV$98:$BV$98,[70]YTD!$BV$105:$BV$106,[70]YTD!$BV$109,[70]YTD!$BV$15:$BV$93</definedName>
    <definedName name="Total12DA">[70]YTD!$BV$122:$BV$207,[70]YTD!$BV$213,[70]YTD!$BV$217</definedName>
    <definedName name="Total1A">[70]YTD!$BK$15:$BK$93,[70]YTD!$BK$98:$BK$98,[70]YTD!$BK$105:$BK$106,[70]YTD!$BK$109</definedName>
    <definedName name="Total1DA">[70]YTD!$BK$122:$BK$207,[70]YTD!$BK$213,[70]YTD!$BK$217</definedName>
    <definedName name="Total2A">[70]YTD!$BL$15:$BL$93,[70]YTD!$BL$98:$BL$98,[70]YTD!$BL$105:$BL$106,[70]YTD!$BL$109</definedName>
    <definedName name="Total2DA">[70]YTD!$BL$217,[70]YTD!$BL$213,[70]YTD!$BL$122:$BL$207</definedName>
    <definedName name="Total3A">[70]YTD!$BM$109,[70]YTD!$BM$105:$BM$106,[70]YTD!$BM$98:$BM$98,[70]YTD!$BM$15:$BM$93</definedName>
    <definedName name="Total3DA">[70]YTD!$BM$122:$BM$207,[70]YTD!$BM$213,[70]YTD!$BM$217</definedName>
    <definedName name="Total4A">[70]YTD!$BN$15:$BN$93,[70]YTD!$BN$98:$BN$98,[70]YTD!$BN$105:$BN$106,[70]YTD!$BN$109</definedName>
    <definedName name="Total4DA">[70]YTD!$BN$217,[70]YTD!$BN$213,[70]YTD!$BN$122:$BN$207</definedName>
    <definedName name="Total5A">[70]YTD!$BO$109,[70]YTD!$BO$105:$BO$106,[70]YTD!$BO$98:$BO$98,[70]YTD!$BO$15:$BO$93</definedName>
    <definedName name="Total5DA">[70]YTD!$BO$122:$BO$207,[70]YTD!$BO$213,[70]YTD!$BO$217</definedName>
    <definedName name="Total6A">[70]YTD!$BP$15:$BP$93,[70]YTD!$BP$98:$BP$98,[70]YTD!$BP$105:$BP$106,[70]YTD!$BP$109</definedName>
    <definedName name="Total6DA">[70]YTD!$BP$217,[70]YTD!$BP$213,[70]YTD!$BP$122:$BP$207</definedName>
    <definedName name="Total7A">[70]YTD!$BQ$105:$BQ$106,[70]YTD!$BQ$109,[70]YTD!$BQ$98:$BQ$98,[70]YTD!$BQ$15:$BQ$93</definedName>
    <definedName name="Total7DA">[70]YTD!$BQ$122:$BQ$207,[70]YTD!$BQ$213,[70]YTD!$BQ$217</definedName>
    <definedName name="Total8A">[70]YTD!$BR$15:$BR$93,[70]YTD!$BR$98:$BR$98,[70]YTD!$BR$105:$BR$106,[70]YTD!$BR$109</definedName>
    <definedName name="Total8DA">[70]YTD!$BR$217,[70]YTD!$BR$213,[70]YTD!$BR$122:$BR$207</definedName>
    <definedName name="Total9A">[70]YTD!$BS$109,[70]YTD!$BS$105:$BS$106,[70]YTD!$BS$98:$BS$98,[70]YTD!$BS$15:$BS$93</definedName>
    <definedName name="Total9DA">[70]YTD!$BS$122:$BS$207,[70]YTD!$BS$213,[70]YTD!$BS$217</definedName>
    <definedName name="TotalAprilA">[63]YTD!$AZ$56,[63]YTD!$AZ$51:$AZ$52,[63]YTD!$AZ$31:$AZ$40,[63]YTD!$AZ$15:$AZ$29</definedName>
    <definedName name="TotalAprilDA">[63]YTD!$AZ$70:$AZ$87,[63]YTD!$AZ$89:$AZ$101,[63]YTD!$AZ$105:$AZ$106,[63]YTD!$AZ$110</definedName>
    <definedName name="TotalAugA">[63]YTD!$BD$15:$BD$29,[63]YTD!$BD$31:$BD$40,[63]YTD!$BD$51:$BD$52,[63]YTD!$BD$56</definedName>
    <definedName name="TotalAugDA">[63]YTD!$BD$70:$BD$87,[63]YTD!$BD$89:$BD$101,[63]YTD!$BD$105:$BD$106,[63]YTD!$BD$110</definedName>
    <definedName name="TotalDecA">[63]YTD!$BH$15:$BH$29,[63]YTD!$BH$31:$BH$40,[63]YTD!$BH$51:$BH$52,[63]YTD!$BH$56</definedName>
    <definedName name="TotalDecDA">[63]YTD!$BH$70:$BH$87,[63]YTD!$BH$89:$BH$101,[63]YTD!$BH$105:$BH$106,[63]YTD!$BH$110</definedName>
    <definedName name="TotalFebA">[63]YTD!$AX$56,[63]YTD!$AX$51:$AX$52,[63]YTD!$AX$31:$AX$40,[63]YTD!$AX$15:$AX$29</definedName>
    <definedName name="TotalFebDA">[63]YTD!$AX$70:$AX$87,[63]YTD!$AX$89:$AX$101,[63]YTD!$AX$105:$AX$106,[63]YTD!$AX$110</definedName>
    <definedName name="TotalJanA">[70]YTD!$BK$15:$BK$36,[70]YTD!$BK$38:$BK$93,[70]YTD!$BK$98:$BK$98,[70]YTD!$BK$105:$BK$106,[70]YTD!$BK$109</definedName>
    <definedName name="TotalJanDA">[63]YTD!$AW$70:$AW$87,[63]YTD!$AW$89:$AW$101,[63]YTD!$AW$105:$AW$106,[63]YTD!$AW$110</definedName>
    <definedName name="TotalJulyA">[63]YTD!$BC$56,[63]YTD!$BC$51:$BC$52,[63]YTD!$BC$31:$BC$40,[63]YTD!$BC$15:$BC$29</definedName>
    <definedName name="TotalJulyDA">[63]YTD!$BC$70:$BC$87,[63]YTD!$BC$89:$BC$101,[63]YTD!$BC$105:$BC$106,[63]YTD!$BC$110</definedName>
    <definedName name="TotalJuneA">[63]YTD!$BB$15:$BB$29,[63]YTD!$BB$31:$BB$40,[63]YTD!$BB$51:$BB$52,[63]YTD!$BB$56</definedName>
    <definedName name="TotalJuneDA">[63]YTD!$BB$110,[63]YTD!$BB$105:$BB$106,[63]YTD!$BB$89:$BB$101,[63]YTD!$BB$70:$BB$87</definedName>
    <definedName name="TotalMarchA">[63]YTD!$AY$15:$AY$29,[63]YTD!$AY$31:$AY$40,[63]YTD!$AY$51:$AY$52,[63]YTD!$AY$56</definedName>
    <definedName name="TotalMarchDA">[63]YTD!$AY$70:$AY$87,[63]YTD!$AY$89:$AY$101,[63]YTD!$AY$105:$AY$106,[63]YTD!$AY$110</definedName>
    <definedName name="TotalMayA">[63]YTD!$BA$15:$BA$29,[63]YTD!$BA$31:$BA$40,[63]YTD!$BA$51:$BA$52,[63]YTD!$BA$56</definedName>
    <definedName name="TotalMayDA">[63]YTD!$BA$70:$BA$87,[63]YTD!$BA$89:$BA$101,[63]YTD!$BA$105:$BA$106,[63]YTD!$BA$110</definedName>
    <definedName name="TotalNovA">[63]YTD!$BF$15:$BF$29,[63]YTD!$BF$31:$BF$40,[63]YTD!$BF$51:$BF$52,[63]YTD!$BF$56</definedName>
    <definedName name="TotalNovDA">[63]YTD!$BF$70:$BF$87,[63]YTD!$BF$89:$BF$101,[63]YTD!$BF$105:$BF$106,[63]YTD!$BF$110</definedName>
    <definedName name="TotalOctA">[63]YTD!$BE$15:$BE$29,[63]YTD!$BE$31:$BE$40,[63]YTD!$BE$51:$BE$52,[63]YTD!$BE$56</definedName>
    <definedName name="TotalOctDA">[63]YTD!$BE$70:$BE$87,[63]YTD!$BE$89:$BE$101,[63]YTD!$BE$105:$BE$106,[63]YTD!$BE$110</definedName>
    <definedName name="TOTALSEPT">[63]YTD!#REF!</definedName>
    <definedName name="TotalSeptA" localSheetId="3">[63]YTD!#REF!,[63]YTD!#REF!,[63]YTD!#REF!,[63]YTD!#REF!</definedName>
    <definedName name="TotalSeptA">[63]YTD!#REF!,[63]YTD!#REF!,[63]YTD!#REF!,[63]YTD!#REF!</definedName>
    <definedName name="TotalSeptD" localSheetId="3">[63]YTD!#REF!</definedName>
    <definedName name="TotalSeptD">[63]YTD!#REF!</definedName>
    <definedName name="TotalSeptDA" localSheetId="3">[63]YTD!#REF!,[63]YTD!#REF!,[63]YTD!#REF!,[63]YTD!#REF!,[63]YTD!#REF!</definedName>
    <definedName name="TotalSeptDA">[63]YTD!#REF!,[63]YTD!#REF!,[63]YTD!#REF!,[63]YTD!#REF!,[63]YTD!#REF!</definedName>
    <definedName name="TOTcash" localSheetId="6">#REF!</definedName>
    <definedName name="TOTcash" localSheetId="3">#REF!</definedName>
    <definedName name="TOTcash">#REF!</definedName>
    <definedName name="TOTcwip" localSheetId="3">#REF!</definedName>
    <definedName name="TOTcwip">#REF!</definedName>
    <definedName name="TOTdep" localSheetId="3">#REF!</definedName>
    <definedName name="TOTdep">#REF!</definedName>
    <definedName name="TOTmatsup" localSheetId="3">#REF!</definedName>
    <definedName name="TOTmatsup">#REF!</definedName>
    <definedName name="TOTplant" localSheetId="3">#REF!</definedName>
    <definedName name="TOTplant">#REF!</definedName>
    <definedName name="TOTpp" localSheetId="3">#REF!</definedName>
    <definedName name="TOTpp">#REF!</definedName>
    <definedName name="TOTstorg" localSheetId="3">#REF!</definedName>
    <definedName name="TOTstorg">#REF!</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hidden="1">"northc"</definedName>
    <definedName name="tp_footer_user2" hidden="1">"PEREZM"</definedName>
    <definedName name="tp_footer_user3" hidden="1">"DECRISS"</definedName>
    <definedName name="TP_Footer_Version" hidden="1">"v3.00"</definedName>
    <definedName name="tran"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s" localSheetId="6">#REF!</definedName>
    <definedName name="Trans" localSheetId="3">#REF!</definedName>
    <definedName name="Trans">#REF!</definedName>
    <definedName name="Transfer_of_Tiffany_Assets_Report" localSheetId="3">#REF!</definedName>
    <definedName name="Transfer_of_Tiffany_Assets_Report">#REF!</definedName>
    <definedName name="transfr_vouchr" localSheetId="3">#REF!</definedName>
    <definedName name="transfr_vouchr">#REF!</definedName>
    <definedName name="Treas_20_Yr">OFFSET('[82]Treas 20 yr'!$A$1,0,0,'[82]Treas 20 yr'!$E$4,2)</definedName>
    <definedName name="Treas30Yr">OFFSET('[52]Yields (WP)'!$A$8,0,0,'[52]Yields (WP)'!$E$6,2)</definedName>
    <definedName name="trehhjrgjr" localSheetId="1" hidden="1">{"PF",#N/A,FALSE,"Sheet4";"PG",#N/A,FALSE,"Sheet4";"PH",#N/A,FALSE,"Sheet4";"PI",#N/A,FALSE,"Sheet4";"PJ",#N/A,FALSE,"Sheet4"}</definedName>
    <definedName name="trehhjrgjr" localSheetId="32" hidden="1">{"PF",#N/A,FALSE,"Sheet4";"PG",#N/A,FALSE,"Sheet4";"PH",#N/A,FALSE,"Sheet4";"PI",#N/A,FALSE,"Sheet4";"PJ",#N/A,FALSE,"Sheet4"}</definedName>
    <definedName name="trehhjrgjr" localSheetId="6" hidden="1">{"PF",#N/A,FALSE,"Sheet4";"PG",#N/A,FALSE,"Sheet4";"PH",#N/A,FALSE,"Sheet4";"PI",#N/A,FALSE,"Sheet4";"PJ",#N/A,FALSE,"Sheet4"}</definedName>
    <definedName name="trehhjrgjr" localSheetId="4" hidden="1">{"PF",#N/A,FALSE,"Sheet4";"PG",#N/A,FALSE,"Sheet4";"PH",#N/A,FALSE,"Sheet4";"PI",#N/A,FALSE,"Sheet4";"PJ",#N/A,FALSE,"Sheet4"}</definedName>
    <definedName name="trehhjrgjr" localSheetId="5" hidden="1">{"PF",#N/A,FALSE,"Sheet4";"PG",#N/A,FALSE,"Sheet4";"PH",#N/A,FALSE,"Sheet4";"PI",#N/A,FALSE,"Sheet4";"PJ",#N/A,FALSE,"Sheet4"}</definedName>
    <definedName name="trehhjrgjr" localSheetId="7" hidden="1">{"PF",#N/A,FALSE,"Sheet4";"PG",#N/A,FALSE,"Sheet4";"PH",#N/A,FALSE,"Sheet4";"PI",#N/A,FALSE,"Sheet4";"PJ",#N/A,FALSE,"Sheet4"}</definedName>
    <definedName name="trehhjrgjr" localSheetId="3" hidden="1">{"PF",#N/A,FALSE,"Sheet4";"PG",#N/A,FALSE,"Sheet4";"PH",#N/A,FALSE,"Sheet4";"PI",#N/A,FALSE,"Sheet4";"PJ",#N/A,FALSE,"Sheet4"}</definedName>
    <definedName name="trehhjrgjr" localSheetId="29" hidden="1">{"PF",#N/A,FALSE,"Sheet4";"PG",#N/A,FALSE,"Sheet4";"PH",#N/A,FALSE,"Sheet4";"PI",#N/A,FALSE,"Sheet4";"PJ",#N/A,FALSE,"Sheet4"}</definedName>
    <definedName name="trehhjrgjr" localSheetId="47" hidden="1">{"PF",#N/A,FALSE,"Sheet4";"PG",#N/A,FALSE,"Sheet4";"PH",#N/A,FALSE,"Sheet4";"PI",#N/A,FALSE,"Sheet4";"PJ",#N/A,FALSE,"Sheet4"}</definedName>
    <definedName name="trehhjrgjr" hidden="1">{"PF",#N/A,FALSE,"Sheet4";"PG",#N/A,FALSE,"Sheet4";"PH",#N/A,FALSE,"Sheet4";"PI",#N/A,FALSE,"Sheet4";"PJ",#N/A,FALSE,"Sheet4"}</definedName>
    <definedName name="trtrtrtrtrtrt" localSheetId="1" hidden="1">{#N/A,#N/A,FALSE,"OTHERINPUTS";#N/A,#N/A,FALSE,"DITRATEINPUTS";#N/A,#N/A,FALSE,"SUPPLIEDADJINPUT";#N/A,#N/A,FALSE,"BR&amp;SUPADJ."}</definedName>
    <definedName name="trtrtrtrtrtrt" localSheetId="32" hidden="1">{#N/A,#N/A,FALSE,"OTHERINPUTS";#N/A,#N/A,FALSE,"DITRATEINPUTS";#N/A,#N/A,FALSE,"SUPPLIEDADJINPUT";#N/A,#N/A,FALSE,"BR&amp;SUPADJ."}</definedName>
    <definedName name="trtrtrtrtrtrt" localSheetId="6" hidden="1">{#N/A,#N/A,FALSE,"OTHERINPUTS";#N/A,#N/A,FALSE,"DITRATEINPUTS";#N/A,#N/A,FALSE,"SUPPLIEDADJINPUT";#N/A,#N/A,FALSE,"BR&amp;SUPADJ."}</definedName>
    <definedName name="trtrtrtrtrtrt" localSheetId="4" hidden="1">{#N/A,#N/A,FALSE,"OTHERINPUTS";#N/A,#N/A,FALSE,"DITRATEINPUTS";#N/A,#N/A,FALSE,"SUPPLIEDADJINPUT";#N/A,#N/A,FALSE,"BR&amp;SUPADJ."}</definedName>
    <definedName name="trtrtrtrtrtrt" localSheetId="5" hidden="1">{#N/A,#N/A,FALSE,"OTHERINPUTS";#N/A,#N/A,FALSE,"DITRATEINPUTS";#N/A,#N/A,FALSE,"SUPPLIEDADJINPUT";#N/A,#N/A,FALSE,"BR&amp;SUPADJ."}</definedName>
    <definedName name="trtrtrtrtrtrt" localSheetId="7" hidden="1">{#N/A,#N/A,FALSE,"OTHERINPUTS";#N/A,#N/A,FALSE,"DITRATEINPUTS";#N/A,#N/A,FALSE,"SUPPLIEDADJINPUT";#N/A,#N/A,FALSE,"BR&amp;SUPADJ."}</definedName>
    <definedName name="trtrtrtrtrtrt" localSheetId="3" hidden="1">{#N/A,#N/A,FALSE,"OTHERINPUTS";#N/A,#N/A,FALSE,"DITRATEINPUTS";#N/A,#N/A,FALSE,"SUPPLIEDADJINPUT";#N/A,#N/A,FALSE,"BR&amp;SUPADJ."}</definedName>
    <definedName name="trtrtrtrtrtrt" localSheetId="29" hidden="1">{#N/A,#N/A,FALSE,"OTHERINPUTS";#N/A,#N/A,FALSE,"DITRATEINPUTS";#N/A,#N/A,FALSE,"SUPPLIEDADJINPUT";#N/A,#N/A,FALSE,"BR&amp;SUPADJ."}</definedName>
    <definedName name="trtrtrtrtrtrt" localSheetId="47" hidden="1">{#N/A,#N/A,FALSE,"OTHERINPUTS";#N/A,#N/A,FALSE,"DITRATEINPUTS";#N/A,#N/A,FALSE,"SUPPLIEDADJINPUT";#N/A,#N/A,FALSE,"BR&amp;SUPADJ."}</definedName>
    <definedName name="trtrtrtrtrtrt" hidden="1">{#N/A,#N/A,FALSE,"OTHERINPUTS";#N/A,#N/A,FALSE,"DITRATEINPUTS";#N/A,#N/A,FALSE,"SUPPLIEDADJINPUT";#N/A,#N/A,FALSE,"BR&amp;SUPADJ."}</definedName>
    <definedName name="tt" localSheetId="32" hidden="1">{#N/A,#N/A,TRUE,"TAXPROV";#N/A,#N/A,TRUE,"FLOWTHRU";#N/A,#N/A,TRUE,"SCHEDULE M'S";#N/A,#N/A,TRUE,"PLANT M'S";#N/A,#N/A,TRUE,"TAXJE"}</definedName>
    <definedName name="tt" localSheetId="6" hidden="1">{#N/A,#N/A,TRUE,"TAXPROV";#N/A,#N/A,TRUE,"FLOWTHRU";#N/A,#N/A,TRUE,"SCHEDULE M'S";#N/A,#N/A,TRUE,"PLANT M'S";#N/A,#N/A,TRUE,"TAXJE"}</definedName>
    <definedName name="tt" localSheetId="7" hidden="1">{#N/A,#N/A,TRUE,"TAXPROV";#N/A,#N/A,TRUE,"FLOWTHRU";#N/A,#N/A,TRUE,"SCHEDULE M'S";#N/A,#N/A,TRUE,"PLANT M'S";#N/A,#N/A,TRUE,"TAXJE"}</definedName>
    <definedName name="tt" localSheetId="3" hidden="1">{#N/A,#N/A,TRUE,"TAXPROV";#N/A,#N/A,TRUE,"FLOWTHRU";#N/A,#N/A,TRUE,"SCHEDULE M'S";#N/A,#N/A,TRUE,"PLANT M'S";#N/A,#N/A,TRUE,"TAXJE"}</definedName>
    <definedName name="tt" localSheetId="29" hidden="1">{#N/A,#N/A,TRUE,"TAXPROV";#N/A,#N/A,TRUE,"FLOWTHRU";#N/A,#N/A,TRUE,"SCHEDULE M'S";#N/A,#N/A,TRUE,"PLANT M'S";#N/A,#N/A,TRUE,"TAXJE"}</definedName>
    <definedName name="tt" localSheetId="47" hidden="1">{#N/A,#N/A,TRUE,"TAXPROV";#N/A,#N/A,TRUE,"FLOWTHRU";#N/A,#N/A,TRUE,"SCHEDULE M'S";#N/A,#N/A,TRUE,"PLANT M'S";#N/A,#N/A,TRUE,"TAXJE"}</definedName>
    <definedName name="tt" hidden="1">{#N/A,#N/A,TRUE,"TAXPROV";#N/A,#N/A,TRUE,"FLOWTHRU";#N/A,#N/A,TRUE,"SCHEDULE M'S";#N/A,#N/A,TRUE,"PLANT M'S";#N/A,#N/A,TRUE,"TAXJE"}</definedName>
    <definedName name="ttrtrfgf" localSheetId="1" hidden="1">{#N/A,#N/A,FALSE,"GLDwnLoad"}</definedName>
    <definedName name="ttrtrfgf" localSheetId="32" hidden="1">{#N/A,#N/A,FALSE,"GLDwnLoad"}</definedName>
    <definedName name="ttrtrfgf" localSheetId="6" hidden="1">{#N/A,#N/A,FALSE,"GLDwnLoad"}</definedName>
    <definedName name="ttrtrfgf" localSheetId="4" hidden="1">{#N/A,#N/A,FALSE,"GLDwnLoad"}</definedName>
    <definedName name="ttrtrfgf" localSheetId="5" hidden="1">{#N/A,#N/A,FALSE,"GLDwnLoad"}</definedName>
    <definedName name="ttrtrfgf" localSheetId="7" hidden="1">{#N/A,#N/A,FALSE,"GLDwnLoad"}</definedName>
    <definedName name="ttrtrfgf" localSheetId="3" hidden="1">{#N/A,#N/A,FALSE,"GLDwnLoad"}</definedName>
    <definedName name="ttrtrfgf" localSheetId="29" hidden="1">{#N/A,#N/A,FALSE,"GLDwnLoad"}</definedName>
    <definedName name="ttrtrfgf" localSheetId="47" hidden="1">{#N/A,#N/A,FALSE,"GLDwnLoad"}</definedName>
    <definedName name="ttrtrfgf" hidden="1">{#N/A,#N/A,FALSE,"GLDwnLoad"}</definedName>
    <definedName name="tttt" localSheetId="1" hidden="1">#REF!</definedName>
    <definedName name="tttt" localSheetId="5" hidden="1">#REF!</definedName>
    <definedName name="tttt" localSheetId="3" hidden="1">#REF!</definedName>
    <definedName name="tttt" localSheetId="29" hidden="1">#REF!</definedName>
    <definedName name="tttt" hidden="1">#REF!</definedName>
    <definedName name="Turnerabc" localSheetId="1" hidden="1">{#N/A,#N/A,TRUE,"1990";#N/A,#N/A,TRUE,"1991";#N/A,#N/A,TRUE,"1992";#N/A,#N/A,TRUE,"1993"}</definedName>
    <definedName name="Turnerabc" localSheetId="32" hidden="1">{#N/A,#N/A,TRUE,"1990";#N/A,#N/A,TRUE,"1991";#N/A,#N/A,TRUE,"1992";#N/A,#N/A,TRUE,"1993"}</definedName>
    <definedName name="Turnerabc" localSheetId="6" hidden="1">{#N/A,#N/A,TRUE,"1990";#N/A,#N/A,TRUE,"1991";#N/A,#N/A,TRUE,"1992";#N/A,#N/A,TRUE,"1993"}</definedName>
    <definedName name="Turnerabc" localSheetId="4" hidden="1">{#N/A,#N/A,TRUE,"1990";#N/A,#N/A,TRUE,"1991";#N/A,#N/A,TRUE,"1992";#N/A,#N/A,TRUE,"1993"}</definedName>
    <definedName name="Turnerabc" localSheetId="5" hidden="1">{#N/A,#N/A,TRUE,"1990";#N/A,#N/A,TRUE,"1991";#N/A,#N/A,TRUE,"1992";#N/A,#N/A,TRUE,"1993"}</definedName>
    <definedName name="Turnerabc" localSheetId="7" hidden="1">{#N/A,#N/A,TRUE,"1990";#N/A,#N/A,TRUE,"1991";#N/A,#N/A,TRUE,"1992";#N/A,#N/A,TRUE,"1993"}</definedName>
    <definedName name="Turnerabc" localSheetId="3" hidden="1">{#N/A,#N/A,TRUE,"1990";#N/A,#N/A,TRUE,"1991";#N/A,#N/A,TRUE,"1992";#N/A,#N/A,TRUE,"1993"}</definedName>
    <definedName name="Turnerabc" localSheetId="47" hidden="1">{#N/A,#N/A,TRUE,"1990";#N/A,#N/A,TRUE,"1991";#N/A,#N/A,TRUE,"1992";#N/A,#N/A,TRUE,"1993"}</definedName>
    <definedName name="Turnerabc" hidden="1">{#N/A,#N/A,TRUE,"1990";#N/A,#N/A,TRUE,"1991";#N/A,#N/A,TRUE,"1992";#N/A,#N/A,TRUE,"1993"}</definedName>
    <definedName name="Turnerabcd" localSheetId="1" hidden="1">{#N/A,#N/A,TRUE,"1990";#N/A,#N/A,TRUE,"1991";#N/A,#N/A,TRUE,"1992";#N/A,#N/A,TRUE,"1993"}</definedName>
    <definedName name="Turnerabcd" localSheetId="32" hidden="1">{#N/A,#N/A,TRUE,"1990";#N/A,#N/A,TRUE,"1991";#N/A,#N/A,TRUE,"1992";#N/A,#N/A,TRUE,"1993"}</definedName>
    <definedName name="Turnerabcd" localSheetId="6" hidden="1">{#N/A,#N/A,TRUE,"1990";#N/A,#N/A,TRUE,"1991";#N/A,#N/A,TRUE,"1992";#N/A,#N/A,TRUE,"1993"}</definedName>
    <definedName name="Turnerabcd" localSheetId="4" hidden="1">{#N/A,#N/A,TRUE,"1990";#N/A,#N/A,TRUE,"1991";#N/A,#N/A,TRUE,"1992";#N/A,#N/A,TRUE,"1993"}</definedName>
    <definedName name="Turnerabcd" localSheetId="5" hidden="1">{#N/A,#N/A,TRUE,"1990";#N/A,#N/A,TRUE,"1991";#N/A,#N/A,TRUE,"1992";#N/A,#N/A,TRUE,"1993"}</definedName>
    <definedName name="Turnerabcd" localSheetId="7" hidden="1">{#N/A,#N/A,TRUE,"1990";#N/A,#N/A,TRUE,"1991";#N/A,#N/A,TRUE,"1992";#N/A,#N/A,TRUE,"1993"}</definedName>
    <definedName name="Turnerabcd" localSheetId="3" hidden="1">{#N/A,#N/A,TRUE,"1990";#N/A,#N/A,TRUE,"1991";#N/A,#N/A,TRUE,"1992";#N/A,#N/A,TRUE,"1993"}</definedName>
    <definedName name="Turnerabcd" localSheetId="47" hidden="1">{#N/A,#N/A,TRUE,"1990";#N/A,#N/A,TRUE,"1991";#N/A,#N/A,TRUE,"1992";#N/A,#N/A,TRUE,"1993"}</definedName>
    <definedName name="Turnerabcd" hidden="1">{#N/A,#N/A,TRUE,"1990";#N/A,#N/A,TRUE,"1991";#N/A,#N/A,TRUE,"1992";#N/A,#N/A,TRUE,"1993"}</definedName>
    <definedName name="Turnerabcde" localSheetId="1" hidden="1">{"summary",#N/A,TRUE,"E93ADJ";"detail",#N/A,TRUE,"E93ADJ"}</definedName>
    <definedName name="Turnerabcde" localSheetId="32" hidden="1">{"summary",#N/A,TRUE,"E93ADJ";"detail",#N/A,TRUE,"E93ADJ"}</definedName>
    <definedName name="Turnerabcde" localSheetId="6" hidden="1">{"summary",#N/A,TRUE,"E93ADJ";"detail",#N/A,TRUE,"E93ADJ"}</definedName>
    <definedName name="Turnerabcde" localSheetId="4" hidden="1">{"summary",#N/A,TRUE,"E93ADJ";"detail",#N/A,TRUE,"E93ADJ"}</definedName>
    <definedName name="Turnerabcde" localSheetId="5" hidden="1">{"summary",#N/A,TRUE,"E93ADJ";"detail",#N/A,TRUE,"E93ADJ"}</definedName>
    <definedName name="Turnerabcde" localSheetId="7" hidden="1">{"summary",#N/A,TRUE,"E93ADJ";"detail",#N/A,TRUE,"E93ADJ"}</definedName>
    <definedName name="Turnerabcde" localSheetId="3" hidden="1">{"summary",#N/A,TRUE,"E93ADJ";"detail",#N/A,TRUE,"E93ADJ"}</definedName>
    <definedName name="Turnerabcde" localSheetId="47" hidden="1">{"summary",#N/A,TRUE,"E93ADJ";"detail",#N/A,TRUE,"E93ADJ"}</definedName>
    <definedName name="Turnerabcde" hidden="1">{"summary",#N/A,TRUE,"E93ADJ";"detail",#N/A,TRUE,"E93ADJ"}</definedName>
    <definedName name="Turnerabcdef" localSheetId="1" hidden="1">{"summary",#N/A,TRUE,"E93ADJ";"detail",#N/A,TRUE,"E93ADJ"}</definedName>
    <definedName name="Turnerabcdef" localSheetId="32" hidden="1">{"summary",#N/A,TRUE,"E93ADJ";"detail",#N/A,TRUE,"E93ADJ"}</definedName>
    <definedName name="Turnerabcdef" localSheetId="6" hidden="1">{"summary",#N/A,TRUE,"E93ADJ";"detail",#N/A,TRUE,"E93ADJ"}</definedName>
    <definedName name="Turnerabcdef" localSheetId="4" hidden="1">{"summary",#N/A,TRUE,"E93ADJ";"detail",#N/A,TRUE,"E93ADJ"}</definedName>
    <definedName name="Turnerabcdef" localSheetId="5" hidden="1">{"summary",#N/A,TRUE,"E93ADJ";"detail",#N/A,TRUE,"E93ADJ"}</definedName>
    <definedName name="Turnerabcdef" localSheetId="7" hidden="1">{"summary",#N/A,TRUE,"E93ADJ";"detail",#N/A,TRUE,"E93ADJ"}</definedName>
    <definedName name="Turnerabcdef" localSheetId="3" hidden="1">{"summary",#N/A,TRUE,"E93ADJ";"detail",#N/A,TRUE,"E93ADJ"}</definedName>
    <definedName name="Turnerabcdef" localSheetId="47" hidden="1">{"summary",#N/A,TRUE,"E93ADJ";"detail",#N/A,TRUE,"E93ADJ"}</definedName>
    <definedName name="Turnerabcdef" hidden="1">{"summary",#N/A,TRUE,"E93ADJ";"detail",#N/A,TRUE,"E93ADJ"}</definedName>
    <definedName name="Turnerbcd" localSheetId="1" hidden="1">{#N/A,#N/A,TRUE,"1990";#N/A,#N/A,TRUE,"1991";#N/A,#N/A,TRUE,"1992";#N/A,#N/A,TRUE,"1993"}</definedName>
    <definedName name="Turnerbcd" localSheetId="32" hidden="1">{#N/A,#N/A,TRUE,"1990";#N/A,#N/A,TRUE,"1991";#N/A,#N/A,TRUE,"1992";#N/A,#N/A,TRUE,"1993"}</definedName>
    <definedName name="Turnerbcd" localSheetId="6" hidden="1">{#N/A,#N/A,TRUE,"1990";#N/A,#N/A,TRUE,"1991";#N/A,#N/A,TRUE,"1992";#N/A,#N/A,TRUE,"1993"}</definedName>
    <definedName name="Turnerbcd" localSheetId="4" hidden="1">{#N/A,#N/A,TRUE,"1990";#N/A,#N/A,TRUE,"1991";#N/A,#N/A,TRUE,"1992";#N/A,#N/A,TRUE,"1993"}</definedName>
    <definedName name="Turnerbcd" localSheetId="5" hidden="1">{#N/A,#N/A,TRUE,"1990";#N/A,#N/A,TRUE,"1991";#N/A,#N/A,TRUE,"1992";#N/A,#N/A,TRUE,"1993"}</definedName>
    <definedName name="Turnerbcd" localSheetId="7" hidden="1">{#N/A,#N/A,TRUE,"1990";#N/A,#N/A,TRUE,"1991";#N/A,#N/A,TRUE,"1992";#N/A,#N/A,TRUE,"1993"}</definedName>
    <definedName name="Turnerbcd" localSheetId="3" hidden="1">{#N/A,#N/A,TRUE,"1990";#N/A,#N/A,TRUE,"1991";#N/A,#N/A,TRUE,"1992";#N/A,#N/A,TRUE,"1993"}</definedName>
    <definedName name="Turnerbcd" localSheetId="47" hidden="1">{#N/A,#N/A,TRUE,"1990";#N/A,#N/A,TRUE,"1991";#N/A,#N/A,TRUE,"1992";#N/A,#N/A,TRUE,"1993"}</definedName>
    <definedName name="Turnerbcd" hidden="1">{#N/A,#N/A,TRUE,"1990";#N/A,#N/A,TRUE,"1991";#N/A,#N/A,TRUE,"1992";#N/A,#N/A,TRUE,"1993"}</definedName>
    <definedName name="Turnerbcde" localSheetId="1" hidden="1">{"summary",#N/A,TRUE,"E93ADJ";"detail",#N/A,TRUE,"E93ADJ"}</definedName>
    <definedName name="Turnerbcde" localSheetId="32" hidden="1">{"summary",#N/A,TRUE,"E93ADJ";"detail",#N/A,TRUE,"E93ADJ"}</definedName>
    <definedName name="Turnerbcde" localSheetId="6" hidden="1">{"summary",#N/A,TRUE,"E93ADJ";"detail",#N/A,TRUE,"E93ADJ"}</definedName>
    <definedName name="Turnerbcde" localSheetId="4" hidden="1">{"summary",#N/A,TRUE,"E93ADJ";"detail",#N/A,TRUE,"E93ADJ"}</definedName>
    <definedName name="Turnerbcde" localSheetId="5" hidden="1">{"summary",#N/A,TRUE,"E93ADJ";"detail",#N/A,TRUE,"E93ADJ"}</definedName>
    <definedName name="Turnerbcde" localSheetId="7" hidden="1">{"summary",#N/A,TRUE,"E93ADJ";"detail",#N/A,TRUE,"E93ADJ"}</definedName>
    <definedName name="Turnerbcde" localSheetId="3" hidden="1">{"summary",#N/A,TRUE,"E93ADJ";"detail",#N/A,TRUE,"E93ADJ"}</definedName>
    <definedName name="Turnerbcde" localSheetId="47" hidden="1">{"summary",#N/A,TRUE,"E93ADJ";"detail",#N/A,TRUE,"E93ADJ"}</definedName>
    <definedName name="Turnerbcde" hidden="1">{"summary",#N/A,TRUE,"E93ADJ";"detail",#N/A,TRUE,"E93ADJ"}</definedName>
    <definedName name="Turnerdud" localSheetId="1" hidden="1">{#N/A,#N/A,TRUE,"1990";#N/A,#N/A,TRUE,"1991";#N/A,#N/A,TRUE,"1992";#N/A,#N/A,TRUE,"1993"}</definedName>
    <definedName name="Turnerdud" localSheetId="32" hidden="1">{#N/A,#N/A,TRUE,"1990";#N/A,#N/A,TRUE,"1991";#N/A,#N/A,TRUE,"1992";#N/A,#N/A,TRUE,"1993"}</definedName>
    <definedName name="Turnerdud" localSheetId="6" hidden="1">{#N/A,#N/A,TRUE,"1990";#N/A,#N/A,TRUE,"1991";#N/A,#N/A,TRUE,"1992";#N/A,#N/A,TRUE,"1993"}</definedName>
    <definedName name="Turnerdud" localSheetId="4" hidden="1">{#N/A,#N/A,TRUE,"1990";#N/A,#N/A,TRUE,"1991";#N/A,#N/A,TRUE,"1992";#N/A,#N/A,TRUE,"1993"}</definedName>
    <definedName name="Turnerdud" localSheetId="5" hidden="1">{#N/A,#N/A,TRUE,"1990";#N/A,#N/A,TRUE,"1991";#N/A,#N/A,TRUE,"1992";#N/A,#N/A,TRUE,"1993"}</definedName>
    <definedName name="Turnerdud" localSheetId="7" hidden="1">{#N/A,#N/A,TRUE,"1990";#N/A,#N/A,TRUE,"1991";#N/A,#N/A,TRUE,"1992";#N/A,#N/A,TRUE,"1993"}</definedName>
    <definedName name="Turnerdud" localSheetId="3" hidden="1">{#N/A,#N/A,TRUE,"1990";#N/A,#N/A,TRUE,"1991";#N/A,#N/A,TRUE,"1992";#N/A,#N/A,TRUE,"1993"}</definedName>
    <definedName name="Turnerdud" localSheetId="47" hidden="1">{#N/A,#N/A,TRUE,"1990";#N/A,#N/A,TRUE,"1991";#N/A,#N/A,TRUE,"1992";#N/A,#N/A,TRUE,"1993"}</definedName>
    <definedName name="Turnerdud" hidden="1">{#N/A,#N/A,TRUE,"1990";#N/A,#N/A,TRUE,"1991";#N/A,#N/A,TRUE,"1992";#N/A,#N/A,TRUE,"1993"}</definedName>
    <definedName name="Turnershit" localSheetId="1" hidden="1">{#N/A,#N/A,TRUE,"1990";#N/A,#N/A,TRUE,"1991";#N/A,#N/A,TRUE,"1992";#N/A,#N/A,TRUE,"1993"}</definedName>
    <definedName name="Turnershit" localSheetId="32" hidden="1">{#N/A,#N/A,TRUE,"1990";#N/A,#N/A,TRUE,"1991";#N/A,#N/A,TRUE,"1992";#N/A,#N/A,TRUE,"1993"}</definedName>
    <definedName name="Turnershit" localSheetId="6" hidden="1">{#N/A,#N/A,TRUE,"1990";#N/A,#N/A,TRUE,"1991";#N/A,#N/A,TRUE,"1992";#N/A,#N/A,TRUE,"1993"}</definedName>
    <definedName name="Turnershit" localSheetId="4" hidden="1">{#N/A,#N/A,TRUE,"1990";#N/A,#N/A,TRUE,"1991";#N/A,#N/A,TRUE,"1992";#N/A,#N/A,TRUE,"1993"}</definedName>
    <definedName name="Turnershit" localSheetId="5" hidden="1">{#N/A,#N/A,TRUE,"1990";#N/A,#N/A,TRUE,"1991";#N/A,#N/A,TRUE,"1992";#N/A,#N/A,TRUE,"1993"}</definedName>
    <definedName name="Turnershit" localSheetId="7" hidden="1">{#N/A,#N/A,TRUE,"1990";#N/A,#N/A,TRUE,"1991";#N/A,#N/A,TRUE,"1992";#N/A,#N/A,TRUE,"1993"}</definedName>
    <definedName name="Turnershit" localSheetId="3" hidden="1">{#N/A,#N/A,TRUE,"1990";#N/A,#N/A,TRUE,"1991";#N/A,#N/A,TRUE,"1992";#N/A,#N/A,TRUE,"1993"}</definedName>
    <definedName name="Turnershit" localSheetId="47" hidden="1">{#N/A,#N/A,TRUE,"1990";#N/A,#N/A,TRUE,"1991";#N/A,#N/A,TRUE,"1992";#N/A,#N/A,TRUE,"1993"}</definedName>
    <definedName name="Turnershit" hidden="1">{#N/A,#N/A,TRUE,"1990";#N/A,#N/A,TRUE,"1991";#N/A,#N/A,TRUE,"1992";#N/A,#N/A,TRUE,"1993"}</definedName>
    <definedName name="Turnershit2" localSheetId="1" hidden="1">{"summary",#N/A,TRUE,"E93ADJ";"detail",#N/A,TRUE,"E93ADJ"}</definedName>
    <definedName name="Turnershit2" localSheetId="32" hidden="1">{"summary",#N/A,TRUE,"E93ADJ";"detail",#N/A,TRUE,"E93ADJ"}</definedName>
    <definedName name="Turnershit2" localSheetId="6" hidden="1">{"summary",#N/A,TRUE,"E93ADJ";"detail",#N/A,TRUE,"E93ADJ"}</definedName>
    <definedName name="Turnershit2" localSheetId="4" hidden="1">{"summary",#N/A,TRUE,"E93ADJ";"detail",#N/A,TRUE,"E93ADJ"}</definedName>
    <definedName name="Turnershit2" localSheetId="5" hidden="1">{"summary",#N/A,TRUE,"E93ADJ";"detail",#N/A,TRUE,"E93ADJ"}</definedName>
    <definedName name="Turnershit2" localSheetId="7" hidden="1">{"summary",#N/A,TRUE,"E93ADJ";"detail",#N/A,TRUE,"E93ADJ"}</definedName>
    <definedName name="Turnershit2" localSheetId="3" hidden="1">{"summary",#N/A,TRUE,"E93ADJ";"detail",#N/A,TRUE,"E93ADJ"}</definedName>
    <definedName name="Turnershit2" localSheetId="47" hidden="1">{"summary",#N/A,TRUE,"E93ADJ";"detail",#N/A,TRUE,"E93ADJ"}</definedName>
    <definedName name="Turnershit2" hidden="1">{"summary",#N/A,TRUE,"E93ADJ";"detail",#N/A,TRUE,"E93ADJ"}</definedName>
    <definedName name="TurnerTEFRA" localSheetId="1" hidden="1">{"summary",#N/A,TRUE,"E93ADJ";"detail",#N/A,TRUE,"E93ADJ"}</definedName>
    <definedName name="TurnerTEFRA" localSheetId="32" hidden="1">{"summary",#N/A,TRUE,"E93ADJ";"detail",#N/A,TRUE,"E93ADJ"}</definedName>
    <definedName name="TurnerTEFRA" localSheetId="6" hidden="1">{"summary",#N/A,TRUE,"E93ADJ";"detail",#N/A,TRUE,"E93ADJ"}</definedName>
    <definedName name="TurnerTEFRA" localSheetId="4" hidden="1">{"summary",#N/A,TRUE,"E93ADJ";"detail",#N/A,TRUE,"E93ADJ"}</definedName>
    <definedName name="TurnerTEFRA" localSheetId="5" hidden="1">{"summary",#N/A,TRUE,"E93ADJ";"detail",#N/A,TRUE,"E93ADJ"}</definedName>
    <definedName name="TurnerTEFRA" localSheetId="7" hidden="1">{"summary",#N/A,TRUE,"E93ADJ";"detail",#N/A,TRUE,"E93ADJ"}</definedName>
    <definedName name="TurnerTEFRA" localSheetId="3" hidden="1">{"summary",#N/A,TRUE,"E93ADJ";"detail",#N/A,TRUE,"E93ADJ"}</definedName>
    <definedName name="TurnerTEFRA" localSheetId="47" hidden="1">{"summary",#N/A,TRUE,"E93ADJ";"detail",#N/A,TRUE,"E93ADJ"}</definedName>
    <definedName name="TurnerTEFRA" hidden="1">{"summary",#N/A,TRUE,"E93ADJ";"detail",#N/A,TRUE,"E93ADJ"}</definedName>
    <definedName name="Turnerwrn.ALL" localSheetId="1" hidden="1">{#N/A,#N/A,TRUE,"1990";#N/A,#N/A,TRUE,"1991";#N/A,#N/A,TRUE,"1992";#N/A,#N/A,TRUE,"1993"}</definedName>
    <definedName name="Turnerwrn.ALL" localSheetId="32" hidden="1">{#N/A,#N/A,TRUE,"1990";#N/A,#N/A,TRUE,"1991";#N/A,#N/A,TRUE,"1992";#N/A,#N/A,TRUE,"1993"}</definedName>
    <definedName name="Turnerwrn.ALL" localSheetId="6" hidden="1">{#N/A,#N/A,TRUE,"1990";#N/A,#N/A,TRUE,"1991";#N/A,#N/A,TRUE,"1992";#N/A,#N/A,TRUE,"1993"}</definedName>
    <definedName name="Turnerwrn.ALL" localSheetId="4" hidden="1">{#N/A,#N/A,TRUE,"1990";#N/A,#N/A,TRUE,"1991";#N/A,#N/A,TRUE,"1992";#N/A,#N/A,TRUE,"1993"}</definedName>
    <definedName name="Turnerwrn.ALL" localSheetId="5" hidden="1">{#N/A,#N/A,TRUE,"1990";#N/A,#N/A,TRUE,"1991";#N/A,#N/A,TRUE,"1992";#N/A,#N/A,TRUE,"1993"}</definedName>
    <definedName name="Turnerwrn.ALL" localSheetId="7" hidden="1">{#N/A,#N/A,TRUE,"1990";#N/A,#N/A,TRUE,"1991";#N/A,#N/A,TRUE,"1992";#N/A,#N/A,TRUE,"1993"}</definedName>
    <definedName name="Turnerwrn.ALL" localSheetId="3" hidden="1">{#N/A,#N/A,TRUE,"1990";#N/A,#N/A,TRUE,"1991";#N/A,#N/A,TRUE,"1992";#N/A,#N/A,TRUE,"1993"}</definedName>
    <definedName name="Turnerwrn.ALL" localSheetId="47" hidden="1">{#N/A,#N/A,TRUE,"1990";#N/A,#N/A,TRUE,"1991";#N/A,#N/A,TRUE,"1992";#N/A,#N/A,TRUE,"1993"}</definedName>
    <definedName name="Turnerwrn.ALL" hidden="1">{#N/A,#N/A,TRUE,"1990";#N/A,#N/A,TRUE,"1991";#N/A,#N/A,TRUE,"1992";#N/A,#N/A,TRUE,"1993"}</definedName>
    <definedName name="Turnerwrn.PRINT_ALL" localSheetId="1" hidden="1">{"summary",#N/A,TRUE,"E93ADJ";"detail",#N/A,TRUE,"E93ADJ"}</definedName>
    <definedName name="Turnerwrn.PRINT_ALL" localSheetId="32" hidden="1">{"summary",#N/A,TRUE,"E93ADJ";"detail",#N/A,TRUE,"E93ADJ"}</definedName>
    <definedName name="Turnerwrn.PRINT_ALL" localSheetId="6" hidden="1">{"summary",#N/A,TRUE,"E93ADJ";"detail",#N/A,TRUE,"E93ADJ"}</definedName>
    <definedName name="Turnerwrn.PRINT_ALL" localSheetId="4" hidden="1">{"summary",#N/A,TRUE,"E93ADJ";"detail",#N/A,TRUE,"E93ADJ"}</definedName>
    <definedName name="Turnerwrn.PRINT_ALL" localSheetId="5" hidden="1">{"summary",#N/A,TRUE,"E93ADJ";"detail",#N/A,TRUE,"E93ADJ"}</definedName>
    <definedName name="Turnerwrn.PRINT_ALL" localSheetId="7" hidden="1">{"summary",#N/A,TRUE,"E93ADJ";"detail",#N/A,TRUE,"E93ADJ"}</definedName>
    <definedName name="Turnerwrn.PRINT_ALL" localSheetId="3" hidden="1">{"summary",#N/A,TRUE,"E93ADJ";"detail",#N/A,TRUE,"E93ADJ"}</definedName>
    <definedName name="Turnerwrn.PRINT_ALL" localSheetId="47" hidden="1">{"summary",#N/A,TRUE,"E93ADJ";"detail",#N/A,TRUE,"E93ADJ"}</definedName>
    <definedName name="Turnerwrn.PRINT_ALL" hidden="1">{"summary",#N/A,TRUE,"E93ADJ";"detail",#N/A,TRUE,"E93ADJ"}</definedName>
    <definedName name="tw" localSheetId="1" hidden="1">#REF!</definedName>
    <definedName name="tw" localSheetId="5" hidden="1">#REF!</definedName>
    <definedName name="tw" localSheetId="3" hidden="1">#REF!</definedName>
    <definedName name="tw" localSheetId="29" hidden="1">#REF!</definedName>
    <definedName name="tw" hidden="1">#REF!</definedName>
    <definedName name="typbills01" localSheetId="3">#REF!</definedName>
    <definedName name="typbills01">#REF!</definedName>
    <definedName name="U" localSheetId="1" hidden="1">[22]Data!#REF!</definedName>
    <definedName name="U" localSheetId="6" hidden="1">[21]Data!#REF!</definedName>
    <definedName name="U" localSheetId="5" hidden="1">[21]Data!#REF!</definedName>
    <definedName name="U" localSheetId="7" hidden="1">[21]Data!#REF!</definedName>
    <definedName name="U" localSheetId="29" hidden="1">[21]Data!#REF!</definedName>
    <definedName name="U" hidden="1">[21]Data!#REF!</definedName>
    <definedName name="U_A">OFFSET('[52]Moodys Yields(WP)'!$D$4,0,0,'[52]Moodys Yields(WP)'!$A$1-3,1)</definedName>
    <definedName name="U_Aa">OFFSET('[52]Moodys Yields(WP)'!$C$4,0,0,'[52]Moodys Yields(WP)'!$A$1-3,1)</definedName>
    <definedName name="U_Avg">OFFSET('[52]Moodys Yields(WP)'!$F$4,0,0,'[52]Moodys Yields(WP)'!$A$1-3,1)</definedName>
    <definedName name="U_Baa">OFFSET('[52]Moodys Yields(WP)'!$E$4,0,0,'[52]Moodys Yields(WP)'!$A$1-3,1)</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3R100C7" hidden="1">'[111]DCS Input Data'!$G$100:$M$100</definedName>
    <definedName name="UNIFORMANCES13R101C7" hidden="1">'[111]DCS Input Data'!$G$101:$M$101</definedName>
    <definedName name="UNIFORMANCES13R102C7" hidden="1">'[111]DCS Input Data'!$G$102:$M$102</definedName>
    <definedName name="UNIFORMANCES13R103C7" hidden="1">'[111]DCS Input Data'!$G$103:$M$103</definedName>
    <definedName name="UNIFORMANCES13R104C7" hidden="1">'[111]DCS Input Data'!$G$104:$M$104</definedName>
    <definedName name="UNIFORMANCES13R105C7" hidden="1">'[111]DCS Input Data'!$G$105:$M$105</definedName>
    <definedName name="UNIFORMANCES13R106C7" hidden="1">'[111]DCS Input Data'!$G$106:$M$106</definedName>
    <definedName name="UNIFORMANCES13R107C7" hidden="1">'[111]DCS Input Data'!$G$107:$M$107</definedName>
    <definedName name="UNIFORMANCES13R108C7" hidden="1">'[111]DCS Input Data'!$G$108:$M$108</definedName>
    <definedName name="UNIFORMANCES13R109C7" hidden="1">'[111]DCS Input Data'!$G$109:$M$109</definedName>
    <definedName name="UNIFORMANCES13R10C7" hidden="1">'[111]DCS Input Data'!$G$10:$M$10</definedName>
    <definedName name="UNIFORMANCES13R110C7" hidden="1">'[111]DCS Input Data'!$G$110:$M$110</definedName>
    <definedName name="UNIFORMANCES13R111C7" hidden="1">'[111]DCS Input Data'!$G$111:$M$111</definedName>
    <definedName name="UNIFORMANCES13R112C7" hidden="1">'[111]DCS Input Data'!$G$112:$M$112</definedName>
    <definedName name="UNIFORMANCES13R113C7" hidden="1">'[111]DCS Input Data'!$G$113:$M$113</definedName>
    <definedName name="UNIFORMANCES13R114C7" hidden="1">'[111]DCS Input Data'!$G$114:$M$114</definedName>
    <definedName name="UNIFORMANCES13R115C7" hidden="1">'[111]DCS Input Data'!$G$115:$M$115</definedName>
    <definedName name="UNIFORMANCES13R116C7" hidden="1">'[111]DCS Input Data'!$G$116:$M$116</definedName>
    <definedName name="UNIFORMANCES13R117C7" hidden="1">'[111]DCS Input Data'!$G$117:$M$117</definedName>
    <definedName name="UNIFORMANCES13R118C7" hidden="1">'[111]DCS Input Data'!$G$118:$M$118</definedName>
    <definedName name="UNIFORMANCES13R119C7" hidden="1">'[111]DCS Input Data'!$G$119:$M$119</definedName>
    <definedName name="UNIFORMANCES13R11C7" hidden="1">'[111]DCS Input Data'!$G$11:$M$11</definedName>
    <definedName name="UNIFORMANCES13R120C7" hidden="1">'[111]DCS Input Data'!$G$120:$M$120</definedName>
    <definedName name="UNIFORMANCES13R121C7" hidden="1">'[111]DCS Input Data'!$G$121:$M$121</definedName>
    <definedName name="UNIFORMANCES13R122C7" hidden="1">'[111]DCS Input Data'!$G$122:$M$122</definedName>
    <definedName name="UNIFORMANCES13R123C7" hidden="1">'[111]DCS Input Data'!$G$123:$M$123</definedName>
    <definedName name="UNIFORMANCES13R124C7" hidden="1">'[111]DCS Input Data'!$G$124:$M$124</definedName>
    <definedName name="UNIFORMANCES13R125C7" hidden="1">'[111]DCS Input Data'!$G$125:$M$125</definedName>
    <definedName name="UNIFORMANCES13R126C7" hidden="1">'[111]DCS Input Data'!$G$126:$M$126</definedName>
    <definedName name="UNIFORMANCES13R127C7" hidden="1">'[111]DCS Input Data'!$G$127:$M$127</definedName>
    <definedName name="UNIFORMANCES13R128C7" hidden="1">'[111]DCS Input Data'!$G$128:$M$128</definedName>
    <definedName name="UNIFORMANCES13R129C7" hidden="1">'[111]DCS Input Data'!$G$129:$M$129</definedName>
    <definedName name="UNIFORMANCES13R12C7" hidden="1">'[111]DCS Input Data'!$G$12:$M$12</definedName>
    <definedName name="UNIFORMANCES13R130C7" hidden="1">'[111]DCS Input Data'!$G$130:$M$130</definedName>
    <definedName name="UNIFORMANCES13R132C7" hidden="1">'[111]DCS Input Data'!$G$132:$M$132</definedName>
    <definedName name="UNIFORMANCES13R133C7" hidden="1">'[111]DCS Input Data'!$G$133:$M$133</definedName>
    <definedName name="UNIFORMANCES13R134C7" hidden="1">'[111]DCS Input Data'!$G$134:$M$134</definedName>
    <definedName name="UNIFORMANCES13R135C7" hidden="1">'[111]DCS Input Data'!$G$135:$M$135</definedName>
    <definedName name="UNIFORMANCES13R136C7" hidden="1">'[111]DCS Input Data'!$G$136:$M$136</definedName>
    <definedName name="UNIFORMANCES13R137C7" hidden="1">'[111]DCS Input Data'!$G$137:$M$137</definedName>
    <definedName name="UNIFORMANCES13R138C7" hidden="1">'[111]DCS Input Data'!$G$138:$M$138</definedName>
    <definedName name="UNIFORMANCES13R139C7" hidden="1">'[111]DCS Input Data'!$G$139:$M$139</definedName>
    <definedName name="UNIFORMANCES13R13C7" hidden="1">'[111]DCS Input Data'!$G$13:$M$13</definedName>
    <definedName name="UNIFORMANCES13R140C7" hidden="1">'[111]DCS Input Data'!$G$140:$M$140</definedName>
    <definedName name="UNIFORMANCES13R141C7" hidden="1">'[111]DCS Input Data'!$G$141:$M$141</definedName>
    <definedName name="UNIFORMANCES13R142C7" hidden="1">'[111]DCS Input Data'!$G$142:$M$142</definedName>
    <definedName name="UNIFORMANCES13R143C7" hidden="1">'[111]DCS Input Data'!$G$143:$M$143</definedName>
    <definedName name="UNIFORMANCES13R144C7" hidden="1">'[111]DCS Input Data'!$G$144:$M$144</definedName>
    <definedName name="UNIFORMANCES13R145C7" hidden="1">'[111]DCS Input Data'!$G$145:$M$145</definedName>
    <definedName name="UNIFORMANCES13R146C7" hidden="1">'[111]DCS Input Data'!$G$146:$M$146</definedName>
    <definedName name="UNIFORMANCES13R147C7" hidden="1">'[111]DCS Input Data'!$G$147:$M$147</definedName>
    <definedName name="UNIFORMANCES13R148C7" hidden="1">'[111]DCS Input Data'!$G$148:$M$148</definedName>
    <definedName name="UNIFORMANCES13R14C7" hidden="1">'[111]DCS Input Data'!$G$14:$M$14</definedName>
    <definedName name="UNIFORMANCES13R15C7" hidden="1">'[111]DCS Input Data'!$G$15:$M$15</definedName>
    <definedName name="UNIFORMANCES13R16C7" hidden="1">'[111]DCS Input Data'!$G$16:$M$16</definedName>
    <definedName name="UNIFORMANCES13R17C7" hidden="1">'[111]DCS Input Data'!$G$17:$M$17</definedName>
    <definedName name="UNIFORMANCES13R18C7" hidden="1">'[111]DCS Input Data'!$G$18:$M$18</definedName>
    <definedName name="UNIFORMANCES13R19C7" hidden="1">'[111]DCS Input Data'!$G$19:$M$19</definedName>
    <definedName name="UNIFORMANCES13R20C7" hidden="1">'[111]DCS Input Data'!$G$20:$M$20</definedName>
    <definedName name="UNIFORMANCES13R21C7" hidden="1">'[111]DCS Input Data'!$G$21:$M$21</definedName>
    <definedName name="UNIFORMANCES13R22C7" hidden="1">'[111]DCS Input Data'!$G$22:$M$22</definedName>
    <definedName name="UNIFORMANCES13R23C7" hidden="1">'[111]DCS Input Data'!$G$23:$M$23</definedName>
    <definedName name="UNIFORMANCES13R24C7" hidden="1">'[111]DCS Input Data'!$G$24:$M$24</definedName>
    <definedName name="UNIFORMANCES13R25C7" hidden="1">'[111]DCS Input Data'!$G$25:$M$25</definedName>
    <definedName name="UNIFORMANCES13R26C7" hidden="1">'[111]DCS Input Data'!$G$26:$M$26</definedName>
    <definedName name="UNIFORMANCES13R27C7" hidden="1">'[111]DCS Input Data'!$G$27:$M$27</definedName>
    <definedName name="UNIFORMANCES13R28C7" hidden="1">'[111]DCS Input Data'!$G$28:$M$28</definedName>
    <definedName name="UNIFORMANCES13R29C7" hidden="1">'[111]DCS Input Data'!$G$29:$M$29</definedName>
    <definedName name="UNIFORMANCES13R30C7" hidden="1">'[111]DCS Input Data'!$G$30:$M$30</definedName>
    <definedName name="UNIFORMANCES13R31C7" hidden="1">'[111]DCS Input Data'!$G$31:$M$31</definedName>
    <definedName name="UNIFORMANCES13R32C7" hidden="1">'[111]DCS Input Data'!$G$32:$M$32</definedName>
    <definedName name="UNIFORMANCES13R33C7" hidden="1">'[111]DCS Input Data'!$G$33:$M$33</definedName>
    <definedName name="UNIFORMANCES13R34C7" hidden="1">'[111]DCS Input Data'!$G$34:$M$34</definedName>
    <definedName name="UNIFORMANCES13R35C7" hidden="1">'[111]DCS Input Data'!$G$35:$M$35</definedName>
    <definedName name="UNIFORMANCES13R36C7" hidden="1">'[111]DCS Input Data'!$G$36:$M$36</definedName>
    <definedName name="UNIFORMANCES13R37C7" hidden="1">'[111]DCS Input Data'!$G$37:$M$37</definedName>
    <definedName name="UNIFORMANCES13R38C7" hidden="1">'[111]DCS Input Data'!$G$38:$M$38</definedName>
    <definedName name="UNIFORMANCES13R39C7" hidden="1">'[111]DCS Input Data'!$G$39:$M$39</definedName>
    <definedName name="UNIFORMANCES13R40C7" hidden="1">'[111]DCS Input Data'!$G$40:$M$40</definedName>
    <definedName name="UNIFORMANCES13R41C7" hidden="1">'[111]DCS Input Data'!$G$41:$M$41</definedName>
    <definedName name="UNIFORMANCES13R42C7" hidden="1">'[111]DCS Input Data'!$G$42:$M$42</definedName>
    <definedName name="UNIFORMANCES13R43C7" hidden="1">'[111]DCS Input Data'!$G$43:$M$43</definedName>
    <definedName name="UNIFORMANCES13R45C7" hidden="1">'[111]DCS Input Data'!$G$45:$M$45</definedName>
    <definedName name="UNIFORMANCES13R46C7" hidden="1">'[111]DCS Input Data'!$G$46:$M$46</definedName>
    <definedName name="UNIFORMANCES13R47C7" hidden="1">'[111]DCS Input Data'!$G$47:$M$47</definedName>
    <definedName name="UNIFORMANCES13R48C7" hidden="1">'[111]DCS Input Data'!$G$48:$M$48</definedName>
    <definedName name="UNIFORMANCES13R49C7" hidden="1">'[111]DCS Input Data'!$G$49:$M$49</definedName>
    <definedName name="UNIFORMANCES13R4C7" hidden="1">'[111]DCS Input Data'!$G$4:$M$4</definedName>
    <definedName name="UNIFORMANCES13R50C7" hidden="1">'[111]DCS Input Data'!$G$50:$M$50</definedName>
    <definedName name="UNIFORMANCES13R51C7" hidden="1">'[111]DCS Input Data'!$G$51:$M$51</definedName>
    <definedName name="UNIFORMANCES13R52C7" hidden="1">'[111]DCS Input Data'!$G$52:$M$52</definedName>
    <definedName name="UNIFORMANCES13R53C7" hidden="1">'[111]DCS Input Data'!$G$53:$M$53</definedName>
    <definedName name="UNIFORMANCES13R54C7" hidden="1">'[111]DCS Input Data'!$G$54:$M$54</definedName>
    <definedName name="UNIFORMANCES13R55C7" hidden="1">'[111]DCS Input Data'!$G$55:$M$55</definedName>
    <definedName name="UNIFORMANCES13R56C7" hidden="1">'[111]DCS Input Data'!$G$56:$M$56</definedName>
    <definedName name="UNIFORMANCES13R57C7" hidden="1">'[111]DCS Input Data'!$G$57:$M$57</definedName>
    <definedName name="UNIFORMANCES13R58C7" hidden="1">'[111]DCS Input Data'!$G$58:$M$58</definedName>
    <definedName name="UNIFORMANCES13R59C7" hidden="1">'[111]DCS Input Data'!$G$59:$M$59</definedName>
    <definedName name="UNIFORMANCES13R5C7" hidden="1">'[111]DCS Input Data'!$G$5:$M$5</definedName>
    <definedName name="UNIFORMANCES13R60C7" hidden="1">'[111]DCS Input Data'!$G$60:$M$60</definedName>
    <definedName name="UNIFORMANCES13R61C7" hidden="1">'[111]DCS Input Data'!$G$61:$M$61</definedName>
    <definedName name="UNIFORMANCES13R62C7" hidden="1">'[111]DCS Input Data'!$G$62:$M$62</definedName>
    <definedName name="UNIFORMANCES13R63C7" hidden="1">'[111]DCS Input Data'!$G$63:$M$63</definedName>
    <definedName name="UNIFORMANCES13R64C7" hidden="1">'[111]DCS Input Data'!$G$64:$M$64</definedName>
    <definedName name="UNIFORMANCES13R65C7" hidden="1">'[111]DCS Input Data'!$G$65:$M$65</definedName>
    <definedName name="UNIFORMANCES13R66C7" hidden="1">'[111]DCS Input Data'!$G$66:$M$66</definedName>
    <definedName name="UNIFORMANCES13R67C7" hidden="1">'[111]DCS Input Data'!$G$67:$M$67</definedName>
    <definedName name="UNIFORMANCES13R68C7" hidden="1">'[111]DCS Input Data'!$G$68:$M$68</definedName>
    <definedName name="UNIFORMANCES13R69C7" hidden="1">'[111]DCS Input Data'!$G$69:$M$69</definedName>
    <definedName name="UNIFORMANCES13R6C7" hidden="1">'[111]DCS Input Data'!$G$6:$M$6</definedName>
    <definedName name="UNIFORMANCES13R70C7" hidden="1">'[111]DCS Input Data'!$G$70:$M$70</definedName>
    <definedName name="UNIFORMANCES13R71C7" hidden="1">'[111]DCS Input Data'!$G$71:$M$71</definedName>
    <definedName name="UNIFORMANCES13R72C7" hidden="1">'[111]DCS Input Data'!$G$72:$M$72</definedName>
    <definedName name="UNIFORMANCES13R73C7" hidden="1">'[111]DCS Input Data'!$G$73:$M$73</definedName>
    <definedName name="UNIFORMANCES13R74C7" hidden="1">'[111]DCS Input Data'!$G$74:$M$74</definedName>
    <definedName name="UNIFORMANCES13R75C7" hidden="1">'[111]DCS Input Data'!$G$75:$M$75</definedName>
    <definedName name="UNIFORMANCES13R76C7" hidden="1">'[111]DCS Input Data'!$G$76:$M$76</definedName>
    <definedName name="UNIFORMANCES13R77C7" hidden="1">'[111]DCS Input Data'!$G$77:$M$77</definedName>
    <definedName name="UNIFORMANCES13R78C7" hidden="1">'[111]DCS Input Data'!$G$78:$M$78</definedName>
    <definedName name="UNIFORMANCES13R79C7" hidden="1">'[111]DCS Input Data'!$G$79:$M$79</definedName>
    <definedName name="UNIFORMANCES13R7C7" hidden="1">'[111]DCS Input Data'!$G$7:$M$7</definedName>
    <definedName name="UNIFORMANCES13R80C7" hidden="1">'[111]DCS Input Data'!$G$80:$M$80</definedName>
    <definedName name="UNIFORMANCES13R81C7" hidden="1">'[111]DCS Input Data'!$G$81:$M$81</definedName>
    <definedName name="UNIFORMANCES13R82C7" hidden="1">'[111]DCS Input Data'!$G$82:$M$82</definedName>
    <definedName name="UNIFORMANCES13R83C7" hidden="1">'[111]DCS Input Data'!$G$83:$M$83</definedName>
    <definedName name="UNIFORMANCES13R84C7" hidden="1">'[111]DCS Input Data'!$G$84:$M$84</definedName>
    <definedName name="UNIFORMANCES13R85C7" hidden="1">'[111]DCS Input Data'!$G$85:$M$85</definedName>
    <definedName name="UNIFORMANCES13R86C7" hidden="1">'[111]DCS Input Data'!$G$86:$M$86</definedName>
    <definedName name="UNIFORMANCES13R87C7" hidden="1">'[111]DCS Input Data'!$G$87:$M$87</definedName>
    <definedName name="UNIFORMANCES13R88C7" hidden="1">'[111]DCS Input Data'!$G$88:$M$88</definedName>
    <definedName name="UNIFORMANCES13R89C7" hidden="1">'[111]DCS Input Data'!$G$89:$M$89</definedName>
    <definedName name="UNIFORMANCES13R8C7" hidden="1">'[111]DCS Input Data'!$G$8:$M$8</definedName>
    <definedName name="UNIFORMANCES13R91C7" hidden="1">'[111]DCS Input Data'!$G$91:$M$91</definedName>
    <definedName name="UNIFORMANCES13R92C7" hidden="1">'[111]DCS Input Data'!$G$92:$M$92</definedName>
    <definedName name="UNIFORMANCES13R93C7" hidden="1">'[111]DCS Input Data'!$G$93:$M$93</definedName>
    <definedName name="UNIFORMANCES13R94C7" hidden="1">'[111]DCS Input Data'!$G$94:$M$94</definedName>
    <definedName name="UNIFORMANCES13R95C7" hidden="1">'[111]DCS Input Data'!$G$95:$M$95</definedName>
    <definedName name="UNIFORMANCES13R98C7" hidden="1">'[111]DCS Input Data'!$G$98:$M$98</definedName>
    <definedName name="UNIFORMANCES13R99C7" hidden="1">'[111]DCS Input Data'!$G$99:$M$99</definedName>
    <definedName name="UNIFORMANCES13R9C7" hidden="1">'[111]DCS Input Data'!$G$9:$M$9</definedName>
    <definedName name="UNITARY" localSheetId="3">#REF!</definedName>
    <definedName name="UNITARY">#REF!</definedName>
    <definedName name="USGAAP" localSheetId="3">#REF!</definedName>
    <definedName name="USGAAP">#REF!</definedName>
    <definedName name="Utility">'[112]Exhibit MPG-12'!$A$1</definedName>
    <definedName name="UTILITY1">[4]FEDERAL!#REF!</definedName>
    <definedName name="UTILITY2">[4]FEDERAL!#REF!</definedName>
    <definedName name="UTILITY3">[4]FEDERAL!#REF!</definedName>
    <definedName name="UTILITY5">[4]FEDERAL!#REF!</definedName>
    <definedName name="UTILITY6">[4]FEDERAL!#REF!</definedName>
    <definedName name="UTILITY8">[4]FEDERAL!#REF!</definedName>
    <definedName name="uu" localSheetId="1" hidden="1">{#N/A,#N/A,FALSE,"SCA";#N/A,#N/A,FALSE,"NCA";#N/A,#N/A,FALSE,"SAZ";#N/A,#N/A,FALSE,"CAZ";#N/A,#N/A,FALSE,"SNV";#N/A,#N/A,FALSE,"NNV";#N/A,#N/A,FALSE,"PP";#N/A,#N/A,FALSE,"SA"}</definedName>
    <definedName name="uu" localSheetId="32" hidden="1">{#N/A,#N/A,FALSE,"SCA";#N/A,#N/A,FALSE,"NCA";#N/A,#N/A,FALSE,"SAZ";#N/A,#N/A,FALSE,"CAZ";#N/A,#N/A,FALSE,"SNV";#N/A,#N/A,FALSE,"NNV";#N/A,#N/A,FALSE,"PP";#N/A,#N/A,FALSE,"SA"}</definedName>
    <definedName name="uu" localSheetId="6" hidden="1">{#N/A,#N/A,FALSE,"SCA";#N/A,#N/A,FALSE,"NCA";#N/A,#N/A,FALSE,"SAZ";#N/A,#N/A,FALSE,"CAZ";#N/A,#N/A,FALSE,"SNV";#N/A,#N/A,FALSE,"NNV";#N/A,#N/A,FALSE,"PP";#N/A,#N/A,FALSE,"SA"}</definedName>
    <definedName name="uu" localSheetId="4" hidden="1">{#N/A,#N/A,FALSE,"SCA";#N/A,#N/A,FALSE,"NCA";#N/A,#N/A,FALSE,"SAZ";#N/A,#N/A,FALSE,"CAZ";#N/A,#N/A,FALSE,"SNV";#N/A,#N/A,FALSE,"NNV";#N/A,#N/A,FALSE,"PP";#N/A,#N/A,FALSE,"SA"}</definedName>
    <definedName name="uu" localSheetId="5" hidden="1">{#N/A,#N/A,FALSE,"SCA";#N/A,#N/A,FALSE,"NCA";#N/A,#N/A,FALSE,"SAZ";#N/A,#N/A,FALSE,"CAZ";#N/A,#N/A,FALSE,"SNV";#N/A,#N/A,FALSE,"NNV";#N/A,#N/A,FALSE,"PP";#N/A,#N/A,FALSE,"SA"}</definedName>
    <definedName name="uu" localSheetId="7" hidden="1">{#N/A,#N/A,FALSE,"SCA";#N/A,#N/A,FALSE,"NCA";#N/A,#N/A,FALSE,"SAZ";#N/A,#N/A,FALSE,"CAZ";#N/A,#N/A,FALSE,"SNV";#N/A,#N/A,FALSE,"NNV";#N/A,#N/A,FALSE,"PP";#N/A,#N/A,FALSE,"SA"}</definedName>
    <definedName name="uu" localSheetId="3" hidden="1">{#N/A,#N/A,FALSE,"SCA";#N/A,#N/A,FALSE,"NCA";#N/A,#N/A,FALSE,"SAZ";#N/A,#N/A,FALSE,"CAZ";#N/A,#N/A,FALSE,"SNV";#N/A,#N/A,FALSE,"NNV";#N/A,#N/A,FALSE,"PP";#N/A,#N/A,FALSE,"SA"}</definedName>
    <definedName name="uu" localSheetId="29" hidden="1">{#N/A,#N/A,FALSE,"SCA";#N/A,#N/A,FALSE,"NCA";#N/A,#N/A,FALSE,"SAZ";#N/A,#N/A,FALSE,"CAZ";#N/A,#N/A,FALSE,"SNV";#N/A,#N/A,FALSE,"NNV";#N/A,#N/A,FALSE,"PP";#N/A,#N/A,FALSE,"SA"}</definedName>
    <definedName name="uu" localSheetId="47" hidden="1">{#N/A,#N/A,FALSE,"SCA";#N/A,#N/A,FALSE,"NCA";#N/A,#N/A,FALSE,"SAZ";#N/A,#N/A,FALSE,"CAZ";#N/A,#N/A,FALSE,"SNV";#N/A,#N/A,FALSE,"NNV";#N/A,#N/A,FALSE,"PP";#N/A,#N/A,FALSE,"SA"}</definedName>
    <definedName name="uu" hidden="1">{#N/A,#N/A,FALSE,"SCA";#N/A,#N/A,FALSE,"NCA";#N/A,#N/A,FALSE,"SAZ";#N/A,#N/A,FALSE,"CAZ";#N/A,#N/A,FALSE,"SNV";#N/A,#N/A,FALSE,"NNV";#N/A,#N/A,FALSE,"PP";#N/A,#N/A,FALSE,"SA"}</definedName>
    <definedName name="uuu"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u" localSheetId="1" hidden="1">{#N/A,#N/A,FALSE,"SCA";#N/A,#N/A,FALSE,"NCA";#N/A,#N/A,FALSE,"SAZ";#N/A,#N/A,FALSE,"CAZ";#N/A,#N/A,FALSE,"SNV";#N/A,#N/A,FALSE,"NNV";#N/A,#N/A,FALSE,"PP";#N/A,#N/A,FALSE,"SA"}</definedName>
    <definedName name="uuuu" localSheetId="32" hidden="1">{#N/A,#N/A,FALSE,"SCA";#N/A,#N/A,FALSE,"NCA";#N/A,#N/A,FALSE,"SAZ";#N/A,#N/A,FALSE,"CAZ";#N/A,#N/A,FALSE,"SNV";#N/A,#N/A,FALSE,"NNV";#N/A,#N/A,FALSE,"PP";#N/A,#N/A,FALSE,"SA"}</definedName>
    <definedName name="uuuu" localSheetId="6" hidden="1">{#N/A,#N/A,FALSE,"SCA";#N/A,#N/A,FALSE,"NCA";#N/A,#N/A,FALSE,"SAZ";#N/A,#N/A,FALSE,"CAZ";#N/A,#N/A,FALSE,"SNV";#N/A,#N/A,FALSE,"NNV";#N/A,#N/A,FALSE,"PP";#N/A,#N/A,FALSE,"SA"}</definedName>
    <definedName name="uuuu" localSheetId="4" hidden="1">{#N/A,#N/A,FALSE,"SCA";#N/A,#N/A,FALSE,"NCA";#N/A,#N/A,FALSE,"SAZ";#N/A,#N/A,FALSE,"CAZ";#N/A,#N/A,FALSE,"SNV";#N/A,#N/A,FALSE,"NNV";#N/A,#N/A,FALSE,"PP";#N/A,#N/A,FALSE,"SA"}</definedName>
    <definedName name="uuuu" localSheetId="5" hidden="1">{#N/A,#N/A,FALSE,"SCA";#N/A,#N/A,FALSE,"NCA";#N/A,#N/A,FALSE,"SAZ";#N/A,#N/A,FALSE,"CAZ";#N/A,#N/A,FALSE,"SNV";#N/A,#N/A,FALSE,"NNV";#N/A,#N/A,FALSE,"PP";#N/A,#N/A,FALSE,"SA"}</definedName>
    <definedName name="uuuu" localSheetId="7" hidden="1">{#N/A,#N/A,FALSE,"SCA";#N/A,#N/A,FALSE,"NCA";#N/A,#N/A,FALSE,"SAZ";#N/A,#N/A,FALSE,"CAZ";#N/A,#N/A,FALSE,"SNV";#N/A,#N/A,FALSE,"NNV";#N/A,#N/A,FALSE,"PP";#N/A,#N/A,FALSE,"SA"}</definedName>
    <definedName name="uuuu" localSheetId="3" hidden="1">{#N/A,#N/A,FALSE,"SCA";#N/A,#N/A,FALSE,"NCA";#N/A,#N/A,FALSE,"SAZ";#N/A,#N/A,FALSE,"CAZ";#N/A,#N/A,FALSE,"SNV";#N/A,#N/A,FALSE,"NNV";#N/A,#N/A,FALSE,"PP";#N/A,#N/A,FALSE,"SA"}</definedName>
    <definedName name="uuuu" localSheetId="29" hidden="1">{#N/A,#N/A,FALSE,"SCA";#N/A,#N/A,FALSE,"NCA";#N/A,#N/A,FALSE,"SAZ";#N/A,#N/A,FALSE,"CAZ";#N/A,#N/A,FALSE,"SNV";#N/A,#N/A,FALSE,"NNV";#N/A,#N/A,FALSE,"PP";#N/A,#N/A,FALSE,"SA"}</definedName>
    <definedName name="uuuu" localSheetId="47" hidden="1">{#N/A,#N/A,FALSE,"SCA";#N/A,#N/A,FALSE,"NCA";#N/A,#N/A,FALSE,"SAZ";#N/A,#N/A,FALSE,"CAZ";#N/A,#N/A,FALSE,"SNV";#N/A,#N/A,FALSE,"NNV";#N/A,#N/A,FALSE,"PP";#N/A,#N/A,FALSE,"SA"}</definedName>
    <definedName name="uuuu" hidden="1">{#N/A,#N/A,FALSE,"SCA";#N/A,#N/A,FALSE,"NCA";#N/A,#N/A,FALSE,"SAZ";#N/A,#N/A,FALSE,"CAZ";#N/A,#N/A,FALSE,"SNV";#N/A,#N/A,FALSE,"NNV";#N/A,#N/A,FALSE,"PP";#N/A,#N/A,FALSE,"SA"}</definedName>
    <definedName name="uuuuu" localSheetId="1" hidden="1">{#N/A,#N/A,FALSE,"Page 1";#N/A,#N/A,FALSE,"Page 2";#N/A,#N/A,FALSE,"Page 3";#N/A,#N/A,FALSE,"Page 4";#N/A,#N/A,FALSE,"Page 5";#N/A,#N/A,FALSE,"Page 6";#N/A,#N/A,FALSE,"Page 7";#N/A,#N/A,FALSE,"Page 8";#N/A,#N/A,FALSE,"Page 9";#N/A,#N/A,FALSE,"PG8WP";#N/A,#N/A,FALSE,"PG9WP"}</definedName>
    <definedName name="uuuuu" localSheetId="32" hidden="1">{#N/A,#N/A,FALSE,"Page 1";#N/A,#N/A,FALSE,"Page 2";#N/A,#N/A,FALSE,"Page 3";#N/A,#N/A,FALSE,"Page 4";#N/A,#N/A,FALSE,"Page 5";#N/A,#N/A,FALSE,"Page 6";#N/A,#N/A,FALSE,"Page 7";#N/A,#N/A,FALSE,"Page 8";#N/A,#N/A,FALSE,"Page 9";#N/A,#N/A,FALSE,"PG8WP";#N/A,#N/A,FALSE,"PG9WP"}</definedName>
    <definedName name="uuuuu" localSheetId="6" hidden="1">{#N/A,#N/A,FALSE,"Page 1";#N/A,#N/A,FALSE,"Page 2";#N/A,#N/A,FALSE,"Page 3";#N/A,#N/A,FALSE,"Page 4";#N/A,#N/A,FALSE,"Page 5";#N/A,#N/A,FALSE,"Page 6";#N/A,#N/A,FALSE,"Page 7";#N/A,#N/A,FALSE,"Page 8";#N/A,#N/A,FALSE,"Page 9";#N/A,#N/A,FALSE,"PG8WP";#N/A,#N/A,FALSE,"PG9WP"}</definedName>
    <definedName name="uuuuu" localSheetId="4" hidden="1">{#N/A,#N/A,FALSE,"Page 1";#N/A,#N/A,FALSE,"Page 2";#N/A,#N/A,FALSE,"Page 3";#N/A,#N/A,FALSE,"Page 4";#N/A,#N/A,FALSE,"Page 5";#N/A,#N/A,FALSE,"Page 6";#N/A,#N/A,FALSE,"Page 7";#N/A,#N/A,FALSE,"Page 8";#N/A,#N/A,FALSE,"Page 9";#N/A,#N/A,FALSE,"PG8WP";#N/A,#N/A,FALSE,"PG9WP"}</definedName>
    <definedName name="uuuuu" localSheetId="5" hidden="1">{#N/A,#N/A,FALSE,"Page 1";#N/A,#N/A,FALSE,"Page 2";#N/A,#N/A,FALSE,"Page 3";#N/A,#N/A,FALSE,"Page 4";#N/A,#N/A,FALSE,"Page 5";#N/A,#N/A,FALSE,"Page 6";#N/A,#N/A,FALSE,"Page 7";#N/A,#N/A,FALSE,"Page 8";#N/A,#N/A,FALSE,"Page 9";#N/A,#N/A,FALSE,"PG8WP";#N/A,#N/A,FALSE,"PG9WP"}</definedName>
    <definedName name="uuuuu" localSheetId="7" hidden="1">{#N/A,#N/A,FALSE,"Page 1";#N/A,#N/A,FALSE,"Page 2";#N/A,#N/A,FALSE,"Page 3";#N/A,#N/A,FALSE,"Page 4";#N/A,#N/A,FALSE,"Page 5";#N/A,#N/A,FALSE,"Page 6";#N/A,#N/A,FALSE,"Page 7";#N/A,#N/A,FALSE,"Page 8";#N/A,#N/A,FALSE,"Page 9";#N/A,#N/A,FALSE,"PG8WP";#N/A,#N/A,FALSE,"PG9WP"}</definedName>
    <definedName name="uuuuu" localSheetId="3" hidden="1">{#N/A,#N/A,FALSE,"Page 1";#N/A,#N/A,FALSE,"Page 2";#N/A,#N/A,FALSE,"Page 3";#N/A,#N/A,FALSE,"Page 4";#N/A,#N/A,FALSE,"Page 5";#N/A,#N/A,FALSE,"Page 6";#N/A,#N/A,FALSE,"Page 7";#N/A,#N/A,FALSE,"Page 8";#N/A,#N/A,FALSE,"Page 9";#N/A,#N/A,FALSE,"PG8WP";#N/A,#N/A,FALSE,"PG9WP"}</definedName>
    <definedName name="uuuuu" localSheetId="29" hidden="1">{#N/A,#N/A,FALSE,"Page 1";#N/A,#N/A,FALSE,"Page 2";#N/A,#N/A,FALSE,"Page 3";#N/A,#N/A,FALSE,"Page 4";#N/A,#N/A,FALSE,"Page 5";#N/A,#N/A,FALSE,"Page 6";#N/A,#N/A,FALSE,"Page 7";#N/A,#N/A,FALSE,"Page 8";#N/A,#N/A,FALSE,"Page 9";#N/A,#N/A,FALSE,"PG8WP";#N/A,#N/A,FALSE,"PG9WP"}</definedName>
    <definedName name="uuuuu" localSheetId="47" hidden="1">{#N/A,#N/A,FALSE,"Page 1";#N/A,#N/A,FALSE,"Page 2";#N/A,#N/A,FALSE,"Page 3";#N/A,#N/A,FALSE,"Page 4";#N/A,#N/A,FALSE,"Page 5";#N/A,#N/A,FALSE,"Page 6";#N/A,#N/A,FALSE,"Page 7";#N/A,#N/A,FALSE,"Page 8";#N/A,#N/A,FALSE,"Page 9";#N/A,#N/A,FALSE,"PG8WP";#N/A,#N/A,FALSE,"PG9WP"}</definedName>
    <definedName name="uuuuu" hidden="1">{#N/A,#N/A,FALSE,"Page 1";#N/A,#N/A,FALSE,"Page 2";#N/A,#N/A,FALSE,"Page 3";#N/A,#N/A,FALSE,"Page 4";#N/A,#N/A,FALSE,"Page 5";#N/A,#N/A,FALSE,"Page 6";#N/A,#N/A,FALSE,"Page 7";#N/A,#N/A,FALSE,"Page 8";#N/A,#N/A,FALSE,"Page 9";#N/A,#N/A,FALSE,"PG8WP";#N/A,#N/A,FALSE,"PG9WP"}</definedName>
    <definedName name="v" localSheetId="1" hidden="1">{"Overall Scorecard",#N/A,FALSE,"Overall Scorecard"}</definedName>
    <definedName name="v" localSheetId="32" hidden="1">{"Overall Scorecard",#N/A,FALSE,"Overall Scorecard"}</definedName>
    <definedName name="v" localSheetId="6" hidden="1">{"Overall Scorecard",#N/A,FALSE,"Overall Scorecard"}</definedName>
    <definedName name="v" localSheetId="4" hidden="1">{"Overall Scorecard",#N/A,FALSE,"Overall Scorecard"}</definedName>
    <definedName name="v" localSheetId="5" hidden="1">{"Overall Scorecard",#N/A,FALSE,"Overall Scorecard"}</definedName>
    <definedName name="v" localSheetId="7" hidden="1">{"Overall Scorecard",#N/A,FALSE,"Overall Scorecard"}</definedName>
    <definedName name="v" localSheetId="3" hidden="1">{"Overall Scorecard",#N/A,FALSE,"Overall Scorecard"}</definedName>
    <definedName name="v" localSheetId="29" hidden="1">{"Overall Scorecard",#N/A,FALSE,"Overall Scorecard"}</definedName>
    <definedName name="v" localSheetId="47" hidden="1">{"Overall Scorecard",#N/A,FALSE,"Overall Scorecard"}</definedName>
    <definedName name="v" hidden="1">{"Overall Scorecard",#N/A,FALSE,"Overall Scorecard"}</definedName>
    <definedName name="valdate">'[66]Liabilities - Input - North'!$C$5</definedName>
    <definedName name="valueline" localSheetId="6">#REF!</definedName>
    <definedName name="valueline" localSheetId="3">#REF!</definedName>
    <definedName name="valueline">#REF!</definedName>
    <definedName name="valueline_title">'[41]Input Sheet'!$F$13</definedName>
    <definedName name="Values_Entered" localSheetId="32">IF(Loan_Amount*Interest_Rate*Loan_Years*Loan_Start&gt;0,1,0)</definedName>
    <definedName name="Values_Entered" localSheetId="6">IF(Loan_Amount*Interest_Rate*Loan_Years*Loan_Start&gt;0,1,0)</definedName>
    <definedName name="Values_Entered" localSheetId="3">IF('2.4 OpCo Proxy Cap Str'!Loan_Amount*'2.4 OpCo Proxy Cap Str'!Interest_Rate*'2.4 OpCo Proxy Cap Str'!Loan_Years*'2.4 OpCo Proxy Cap Str'!Loan_Start&gt;0,1,0)</definedName>
    <definedName name="Values_Entered">IF(Loan_Amount*Interest_Rate*Loan_Years*Loan_Start&gt;0,1,0)</definedName>
    <definedName name="VBINCOME" localSheetId="32">#REF!</definedName>
    <definedName name="VBINCOME" localSheetId="3">#REF!</definedName>
    <definedName name="VBINCOME">#REF!</definedName>
    <definedName name="VL_HTML_Control" localSheetId="32" hidden="1">{"'Sheet1'!$A$1:$O$40"}</definedName>
    <definedName name="VL_HTML_Control" localSheetId="6" hidden="1">{"'Sheet1'!$A$1:$O$40"}</definedName>
    <definedName name="VL_HTML_Control" localSheetId="7" hidden="1">{"'Sheet1'!$A$1:$O$40"}</definedName>
    <definedName name="VL_HTML_Control" localSheetId="3" hidden="1">{"'Sheet1'!$A$1:$O$40"}</definedName>
    <definedName name="VL_HTML_Control" localSheetId="47" hidden="1">{"'Sheet1'!$A$1:$O$40"}</definedName>
    <definedName name="VL_HTML_Control" hidden="1">{"'Sheet1'!$A$1:$O$40"}</definedName>
    <definedName name="VL_jhlkqFL" localSheetId="32" hidden="1">{"'Sheet1'!$A$1:$O$40"}</definedName>
    <definedName name="VL_jhlkqFL" localSheetId="6" hidden="1">{"'Sheet1'!$A$1:$O$40"}</definedName>
    <definedName name="VL_jhlkqFL" localSheetId="7" hidden="1">{"'Sheet1'!$A$1:$O$40"}</definedName>
    <definedName name="VL_jhlkqFL" localSheetId="3" hidden="1">{"'Sheet1'!$A$1:$O$40"}</definedName>
    <definedName name="VL_jhlkqFL" localSheetId="47" hidden="1">{"'Sheet1'!$A$1:$O$40"}</definedName>
    <definedName name="VL_jhlkqFL" hidden="1">{"'Sheet1'!$A$1:$O$40"}</definedName>
    <definedName name="VL_Key1" localSheetId="6" hidden="1">#REF!</definedName>
    <definedName name="VL_Key1" localSheetId="7" hidden="1">#REF!</definedName>
    <definedName name="VL_Key1" hidden="1">#REF!</definedName>
    <definedName name="VL_key2" localSheetId="6" hidden="1">#REF!</definedName>
    <definedName name="VL_key2" localSheetId="7" hidden="1">#REF!</definedName>
    <definedName name="VL_key2" localSheetId="3" hidden="1">#REF!</definedName>
    <definedName name="VL_key2" hidden="1">#REF!</definedName>
    <definedName name="VL_Regression_Out" localSheetId="6" hidden="1">#REF!</definedName>
    <definedName name="VL_Regression_Out" localSheetId="7" hidden="1">#REF!</definedName>
    <definedName name="VL_Regression_Out" localSheetId="3" hidden="1">#REF!</definedName>
    <definedName name="VL_Regression_Out" hidden="1">#REF!</definedName>
    <definedName name="VL_Regression_X" localSheetId="3" hidden="1">#REF!</definedName>
    <definedName name="VL_Regression_X" hidden="1">#REF!</definedName>
    <definedName name="VL_Regression_Y" localSheetId="3" hidden="1">#REF!</definedName>
    <definedName name="VL_Regression_Y" hidden="1">#REF!</definedName>
    <definedName name="VL_Sort" localSheetId="3" hidden="1">#REF!</definedName>
    <definedName name="VL_Sort" hidden="1">#REF!</definedName>
    <definedName name="vlapp">'[46]CAPM VL Appr Pot. (Sc 12 - WP)'!$A$1:$J$51</definedName>
    <definedName name="VLdata">OFFSET('[100]Master VL Data'!$B$12:$U$12,0,0,'[100]Master VL Data'!$A$10,20)</definedName>
    <definedName name="vldatabase">'[59]Value Line Data'!$B$13:$AE$65</definedName>
    <definedName name="VLfn2" localSheetId="3">#REF!</definedName>
    <definedName name="VLfn2">#REF!</definedName>
    <definedName name="VLfn7" localSheetId="3">#REF!</definedName>
    <definedName name="VLfn7">#REF!</definedName>
    <definedName name="VLLU">'[44]VL Data (WP)'!$B$12:$Z$61</definedName>
    <definedName name="w" localSheetId="1" hidden="1">{"Points=O&amp;M per Customer + per Equiv Employee",#N/A,FALSE,"Points";"Points=Operating Ratio + Return on Net Plant",#N/A,FALSE,"Points";"Points=Revenue per Equivalent Employee",#N/A,FALSE,"Points"}</definedName>
    <definedName name="w" localSheetId="32" hidden="1">{"Points=O&amp;M per Customer + per Equiv Employee",#N/A,FALSE,"Points";"Points=Operating Ratio + Return on Net Plant",#N/A,FALSE,"Points";"Points=Revenue per Equivalent Employee",#N/A,FALSE,"Points"}</definedName>
    <definedName name="w" localSheetId="6" hidden="1">{"Points=O&amp;M per Customer + per Equiv Employee",#N/A,FALSE,"Points";"Points=Operating Ratio + Return on Net Plant",#N/A,FALSE,"Points";"Points=Revenue per Equivalent Employee",#N/A,FALSE,"Points"}</definedName>
    <definedName name="w" localSheetId="4" hidden="1">{"Points=O&amp;M per Customer + per Equiv Employee",#N/A,FALSE,"Points";"Points=Operating Ratio + Return on Net Plant",#N/A,FALSE,"Points";"Points=Revenue per Equivalent Employee",#N/A,FALSE,"Points"}</definedName>
    <definedName name="w" localSheetId="5" hidden="1">{"Points=O&amp;M per Customer + per Equiv Employee",#N/A,FALSE,"Points";"Points=Operating Ratio + Return on Net Plant",#N/A,FALSE,"Points";"Points=Revenue per Equivalent Employee",#N/A,FALSE,"Points"}</definedName>
    <definedName name="w" localSheetId="7" hidden="1">{"Points=O&amp;M per Customer + per Equiv Employee",#N/A,FALSE,"Points";"Points=Operating Ratio + Return on Net Plant",#N/A,FALSE,"Points";"Points=Revenue per Equivalent Employee",#N/A,FALSE,"Points"}</definedName>
    <definedName name="w" localSheetId="3" hidden="1">{"Points=O&amp;M per Customer + per Equiv Employee",#N/A,FALSE,"Points";"Points=Operating Ratio + Return on Net Plant",#N/A,FALSE,"Points";"Points=Revenue per Equivalent Employee",#N/A,FALSE,"Points"}</definedName>
    <definedName name="w" localSheetId="29" hidden="1">{"Points=O&amp;M per Customer + per Equiv Employee",#N/A,FALSE,"Points";"Points=Operating Ratio + Return on Net Plant",#N/A,FALSE,"Points";"Points=Revenue per Equivalent Employee",#N/A,FALSE,"Points"}</definedName>
    <definedName name="w" localSheetId="47" hidden="1">{"Points=O&amp;M per Customer + per Equiv Employee",#N/A,FALSE,"Points";"Points=Operating Ratio + Return on Net Plant",#N/A,FALSE,"Points";"Points=Revenue per Equivalent Employee",#N/A,FALSE,"Points"}</definedName>
    <definedName name="w" hidden="1">{"Points=O&amp;M per Customer + per Equiv Employee",#N/A,FALSE,"Points";"Points=Operating Ratio + Return on Net Plant",#N/A,FALSE,"Points";"Points=Revenue per Equivalent Employee",#N/A,FALSE,"Points"}</definedName>
    <definedName name="warn"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1" hidden="1">{"Co1statements",#N/A,FALSE,"Cmpy1";"Co2statement",#N/A,FALSE,"Cmpy2";"co1pm",#N/A,FALSE,"Co1PM";"co2PM",#N/A,FALSE,"Co2PM";"value",#N/A,FALSE,"value";"opco",#N/A,FALSE,"NewSparkle";"adjusts",#N/A,FALSE,"Adjustments"}</definedName>
    <definedName name="warnst" localSheetId="32" hidden="1">{"Co1statements",#N/A,FALSE,"Cmpy1";"Co2statement",#N/A,FALSE,"Cmpy2";"co1pm",#N/A,FALSE,"Co1PM";"co2PM",#N/A,FALSE,"Co2PM";"value",#N/A,FALSE,"value";"opco",#N/A,FALSE,"NewSparkle";"adjusts",#N/A,FALSE,"Adjustments"}</definedName>
    <definedName name="warnst" localSheetId="6" hidden="1">{"Co1statements",#N/A,FALSE,"Cmpy1";"Co2statement",#N/A,FALSE,"Cmpy2";"co1pm",#N/A,FALSE,"Co1PM";"co2PM",#N/A,FALSE,"Co2PM";"value",#N/A,FALSE,"value";"opco",#N/A,FALSE,"NewSparkle";"adjusts",#N/A,FALSE,"Adjustments"}</definedName>
    <definedName name="warnst" localSheetId="4" hidden="1">{"Co1statements",#N/A,FALSE,"Cmpy1";"Co2statement",#N/A,FALSE,"Cmpy2";"co1pm",#N/A,FALSE,"Co1PM";"co2PM",#N/A,FALSE,"Co2PM";"value",#N/A,FALSE,"value";"opco",#N/A,FALSE,"NewSparkle";"adjusts",#N/A,FALSE,"Adjustments"}</definedName>
    <definedName name="warnst" localSheetId="5"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localSheetId="3" hidden="1">{"Co1statements",#N/A,FALSE,"Cmpy1";"Co2statement",#N/A,FALSE,"Cmpy2";"co1pm",#N/A,FALSE,"Co1PM";"co2PM",#N/A,FALSE,"Co2PM";"value",#N/A,FALSE,"value";"opco",#N/A,FALSE,"NewSparkle";"adjusts",#N/A,FALSE,"Adjustments"}</definedName>
    <definedName name="warnst" localSheetId="29" hidden="1">{"Co1statements",#N/A,FALSE,"Cmpy1";"Co2statement",#N/A,FALSE,"Cmpy2";"co1pm",#N/A,FALSE,"Co1PM";"co2PM",#N/A,FALSE,"Co2PM";"value",#N/A,FALSE,"value";"opco",#N/A,FALSE,"NewSparkle";"adjusts",#N/A,FALSE,"Adjustments"}</definedName>
    <definedName name="warnst" localSheetId="4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aterU">'[58]Water -1'!$C$1</definedName>
    <definedName name="We" localSheetId="6">#REF!</definedName>
    <definedName name="We" localSheetId="3">#REF!</definedName>
    <definedName name="We">#REF!</definedName>
    <definedName name="We_3" localSheetId="3">#REF!</definedName>
    <definedName name="We_3">#REF!</definedName>
    <definedName name="We_4" localSheetId="3">#REF!</definedName>
    <definedName name="We_4">#REF!</definedName>
    <definedName name="WE_RES" localSheetId="3">#REF!</definedName>
    <definedName name="WE_RES">#REF!</definedName>
    <definedName name="weA" localSheetId="3">#REF!</definedName>
    <definedName name="weA">#REF!</definedName>
    <definedName name="weA_3" localSheetId="3">#REF!</definedName>
    <definedName name="weA_3">#REF!</definedName>
    <definedName name="weA_4" localSheetId="3">#REF!</definedName>
    <definedName name="weA_4">#REF!</definedName>
    <definedName name="Weather_Fuel_Cost_Calc">#REF!</definedName>
    <definedName name="WEIGHAVG">#REF!</definedName>
    <definedName name="WEL_DCAS" localSheetId="3">#REF!</definedName>
    <definedName name="WEL_DCAS">#REF!</definedName>
    <definedName name="WEL_DCAS_COLUMNS" localSheetId="3">#REF!</definedName>
    <definedName name="WEL_DCAS_COLUMNS">#REF!</definedName>
    <definedName name="WEL_DCAS_PG1" localSheetId="3">#REF!</definedName>
    <definedName name="WEL_DCAS_PG1">#REF!</definedName>
    <definedName name="WEL_DCAS_PG2" localSheetId="3">#REF!</definedName>
    <definedName name="WEL_DCAS_PG2">#REF!</definedName>
    <definedName name="WEL_DCAS_ROWS" localSheetId="3">#REF!</definedName>
    <definedName name="WEL_DCAS_ROWS">#REF!</definedName>
    <definedName name="WEL_GAINS_LOSSES_REPORT" localSheetId="3">#REF!</definedName>
    <definedName name="WEL_GAINS_LOSSES_REPORT">#REF!</definedName>
    <definedName name="WEL_GAINS_LOSSES_ROWS" localSheetId="3">#REF!</definedName>
    <definedName name="WEL_GAINS_LOSSES_ROWS">#REF!</definedName>
    <definedName name="WEL_HOB_RETIRE_ANAL" localSheetId="3">#REF!</definedName>
    <definedName name="WEL_HOB_RETIRE_ANAL">#REF!</definedName>
    <definedName name="WEL_PPE" localSheetId="3">#REF!</definedName>
    <definedName name="WEL_PPE">#REF!</definedName>
    <definedName name="WEL_RES" localSheetId="3">#REF!</definedName>
    <definedName name="WEL_RES">#REF!</definedName>
    <definedName name="WEL_TRFS_ANALYSIS_COLUMNS" localSheetId="3">#REF!</definedName>
    <definedName name="WEL_TRFS_ANALYSIS_COLUMNS">#REF!</definedName>
    <definedName name="WEL_TRFS_ANALYSIS_REPORT" localSheetId="3">#REF!</definedName>
    <definedName name="WEL_TRFS_ANALYSIS_REPORT">#REF!</definedName>
    <definedName name="WEL_TRFS_ANALYSIS_ROWS" localSheetId="3">#REF!</definedName>
    <definedName name="WEL_TRFS_ANALYSIS_ROWS">#REF!</definedName>
    <definedName name="wepfo" localSheetId="5" hidden="1">#REF!</definedName>
    <definedName name="wepfo" localSheetId="3" hidden="1">#REF!</definedName>
    <definedName name="wepfo" localSheetId="29" hidden="1">#REF!</definedName>
    <definedName name="wepfo" hidden="1">#REF!</definedName>
    <definedName name="WestGas_Supply_Retire" localSheetId="3">#REF!</definedName>
    <definedName name="WestGas_Supply_Retire">#REF!</definedName>
    <definedName name="WestGas_Supply_Transfers" localSheetId="3">#REF!</definedName>
    <definedName name="WestGas_Supply_Transfers">#REF!</definedName>
    <definedName name="WG" localSheetId="6">'[113]Sch 17 WP1'!#REF!</definedName>
    <definedName name="WG" localSheetId="3">'[114]Sch 17 WP1'!#REF!</definedName>
    <definedName name="WG">'[113]Sch 17 WP1'!#REF!</definedName>
    <definedName name="WGasSupply_Retire_Reconcile" localSheetId="3">#REF!</definedName>
    <definedName name="WGasSupply_Retire_Reconcile">#REF!</definedName>
    <definedName name="WGasSupply_Retire_Summary" localSheetId="3">#REF!</definedName>
    <definedName name="WGasSupply_Retire_Summary">#REF!</definedName>
    <definedName name="WGasSupply_Retire_Trfs_Columns" localSheetId="3">#REF!</definedName>
    <definedName name="WGasSupply_Retire_Trfs_Columns">#REF!</definedName>
    <definedName name="WGasSupply_Retire_Trfs_Rows" localSheetId="3">#REF!</definedName>
    <definedName name="WGasSupply_Retire_Trfs_Rows">#REF!</definedName>
    <definedName name="WGG_ASSET_VALUE_SCHI" localSheetId="3">#REF!</definedName>
    <definedName name="WGG_ASSET_VALUE_SCHI">#REF!</definedName>
    <definedName name="WGG_ASSET_VALUE_SCHII_COLUMNS" localSheetId="3">#REF!</definedName>
    <definedName name="WGG_ASSET_VALUE_SCHII_COLUMNS">#REF!</definedName>
    <definedName name="WGG_ASSET_VALUE_SCHII_PG1" localSheetId="3">#REF!</definedName>
    <definedName name="WGG_ASSET_VALUE_SCHII_PG1">#REF!</definedName>
    <definedName name="WGG_ASSET_VALUE_SCHII_PG2" localSheetId="3">#REF!</definedName>
    <definedName name="WGG_ASSET_VALUE_SCHII_PG2">#REF!</definedName>
    <definedName name="WGG_ASSET_VALUE_SCHII_ROWS" localSheetId="3">#REF!</definedName>
    <definedName name="WGG_ASSET_VALUE_SCHII_ROWS">#REF!</definedName>
    <definedName name="WGG_ASSET_VALUE_TRANS1_REPORT" localSheetId="3">#REF!</definedName>
    <definedName name="WGG_ASSET_VALUE_TRANS1_REPORT">#REF!</definedName>
    <definedName name="WGG_DCAS_COLUMNS" localSheetId="3">#REF!</definedName>
    <definedName name="WGG_DCAS_COLUMNS">#REF!</definedName>
    <definedName name="WGG_DCAS_REPORT" localSheetId="3">#REF!</definedName>
    <definedName name="WGG_DCAS_REPORT">#REF!</definedName>
    <definedName name="WGG_DCAS_ROWS" localSheetId="3">#REF!</definedName>
    <definedName name="WGG_DCAS_ROWS">#REF!</definedName>
    <definedName name="WGG_TAX_RETIRE_REPORT" localSheetId="3">#REF!</definedName>
    <definedName name="WGG_TAX_RETIRE_REPORT">#REF!</definedName>
    <definedName name="WGG_TAX_RETIRE_SEP_VINTAGES_REPORT" localSheetId="3">#REF!</definedName>
    <definedName name="WGG_TAX_RETIRE_SEP_VINTAGES_REPORT">#REF!</definedName>
    <definedName name="WGI_DCAS" localSheetId="3">#REF!</definedName>
    <definedName name="WGI_DCAS">#REF!</definedName>
    <definedName name="WGI_RES" localSheetId="3">#REF!</definedName>
    <definedName name="WGI_RES">#REF!</definedName>
    <definedName name="WGS_UNGND_STORAGE" localSheetId="3">#REF!</definedName>
    <definedName name="WGS_UNGND_STORAGE">#REF!</definedName>
    <definedName name="wh" localSheetId="32" hidden="1">{#N/A,#N/A,FALSE,"O&amp;M by processes";#N/A,#N/A,FALSE,"Elec Act vs Bud";#N/A,#N/A,FALSE,"G&amp;A";#N/A,#N/A,FALSE,"BGS";#N/A,#N/A,FALSE,"Res Cost"}</definedName>
    <definedName name="wh" localSheetId="6" hidden="1">{#N/A,#N/A,FALSE,"O&amp;M by processes";#N/A,#N/A,FALSE,"Elec Act vs Bud";#N/A,#N/A,FALSE,"G&amp;A";#N/A,#N/A,FALSE,"BGS";#N/A,#N/A,FALSE,"Res Cost"}</definedName>
    <definedName name="wh" localSheetId="7"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29" hidden="1">{#N/A,#N/A,FALSE,"O&amp;M by processes";#N/A,#N/A,FALSE,"Elec Act vs Bud";#N/A,#N/A,FALSE,"G&amp;A";#N/A,#N/A,FALSE,"BGS";#N/A,#N/A,FALSE,"Res Cost"}</definedName>
    <definedName name="wh" localSheetId="47"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1" localSheetId="1" hidden="1">{"TOT_QTR_TO_PREV",#N/A,FALSE,"Site Sum"}</definedName>
    <definedName name="what1" localSheetId="32" hidden="1">{"TOT_QTR_TO_PREV",#N/A,FALSE,"Site Sum"}</definedName>
    <definedName name="what1" localSheetId="6" hidden="1">{"TOT_QTR_TO_PREV",#N/A,FALSE,"Site Sum"}</definedName>
    <definedName name="what1" localSheetId="4" hidden="1">{"TOT_QTR_TO_PREV",#N/A,FALSE,"Site Sum"}</definedName>
    <definedName name="what1" localSheetId="5" hidden="1">{"TOT_QTR_TO_PREV",#N/A,FALSE,"Site Sum"}</definedName>
    <definedName name="what1" localSheetId="7" hidden="1">{"TOT_QTR_TO_PREV",#N/A,FALSE,"Site Sum"}</definedName>
    <definedName name="what1" localSheetId="3" hidden="1">{"TOT_QTR_TO_PREV",#N/A,FALSE,"Site Sum"}</definedName>
    <definedName name="what1" localSheetId="29" hidden="1">{"TOT_QTR_TO_PREV",#N/A,FALSE,"Site Sum"}</definedName>
    <definedName name="what1" localSheetId="47" hidden="1">{"TOT_QTR_TO_PREV",#N/A,FALSE,"Site Sum"}</definedName>
    <definedName name="what1" hidden="1">{"TOT_QTR_TO_PREV",#N/A,FALSE,"Site Sum"}</definedName>
    <definedName name="what2" localSheetId="1" hidden="1">{"TOT_QTR_TO_PREV",#N/A,FALSE,"Site Sum"}</definedName>
    <definedName name="what2" localSheetId="32" hidden="1">{"TOT_QTR_TO_PREV",#N/A,FALSE,"Site Sum"}</definedName>
    <definedName name="what2" localSheetId="6" hidden="1">{"TOT_QTR_TO_PREV",#N/A,FALSE,"Site Sum"}</definedName>
    <definedName name="what2" localSheetId="4" hidden="1">{"TOT_QTR_TO_PREV",#N/A,FALSE,"Site Sum"}</definedName>
    <definedName name="what2" localSheetId="5" hidden="1">{"TOT_QTR_TO_PREV",#N/A,FALSE,"Site Sum"}</definedName>
    <definedName name="what2" localSheetId="7" hidden="1">{"TOT_QTR_TO_PREV",#N/A,FALSE,"Site Sum"}</definedName>
    <definedName name="what2" localSheetId="3" hidden="1">{"TOT_QTR_TO_PREV",#N/A,FALSE,"Site Sum"}</definedName>
    <definedName name="what2" localSheetId="29" hidden="1">{"TOT_QTR_TO_PREV",#N/A,FALSE,"Site Sum"}</definedName>
    <definedName name="what2" localSheetId="47" hidden="1">{"TOT_QTR_TO_PREV",#N/A,FALSE,"Site Sum"}</definedName>
    <definedName name="what2" hidden="1">{"TOT_QTR_TO_PREV",#N/A,FALSE,"Site Sum"}</definedName>
    <definedName name="Whatwhat" localSheetId="32" hidden="1">{#N/A,#N/A,FALSE,"O&amp;M by processes";#N/A,#N/A,FALSE,"Elec Act vs Bud";#N/A,#N/A,FALSE,"G&amp;A";#N/A,#N/A,FALSE,"BGS";#N/A,#N/A,FALSE,"Res Cost"}</definedName>
    <definedName name="Whatwhat" localSheetId="6"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29" hidden="1">{#N/A,#N/A,FALSE,"O&amp;M by processes";#N/A,#N/A,FALSE,"Elec Act vs Bud";#N/A,#N/A,FALSE,"G&amp;A";#N/A,#N/A,FALSE,"BGS";#N/A,#N/A,FALSE,"Res Cost"}</definedName>
    <definedName name="Whatwhat" localSheetId="47"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32" hidden="1">{#N/A,#N/A,FALSE,"O&amp;M by processes";#N/A,#N/A,FALSE,"Elec Act vs Bud";#N/A,#N/A,FALSE,"G&amp;A";#N/A,#N/A,FALSE,"BGS";#N/A,#N/A,FALSE,"Res Cost"}</definedName>
    <definedName name="who" localSheetId="6" hidden="1">{#N/A,#N/A,FALSE,"O&amp;M by processes";#N/A,#N/A,FALSE,"Elec Act vs Bud";#N/A,#N/A,FALSE,"G&amp;A";#N/A,#N/A,FALSE,"BGS";#N/A,#N/A,FALSE,"Res Cost"}</definedName>
    <definedName name="who" localSheetId="7"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29" hidden="1">{#N/A,#N/A,FALSE,"O&amp;M by processes";#N/A,#N/A,FALSE,"Elec Act vs Bud";#N/A,#N/A,FALSE,"G&amp;A";#N/A,#N/A,FALSE,"BGS";#N/A,#N/A,FALSE,"Res Cost"}</definedName>
    <definedName name="who" localSheetId="47"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32" hidden="1">{#N/A,#N/A,FALSE,"O&amp;M by processes";#N/A,#N/A,FALSE,"Elec Act vs Bud";#N/A,#N/A,FALSE,"G&amp;A";#N/A,#N/A,FALSE,"BGS";#N/A,#N/A,FALSE,"Res Cost"}</definedName>
    <definedName name="whowho" localSheetId="6" hidden="1">{#N/A,#N/A,FALSE,"O&amp;M by processes";#N/A,#N/A,FALSE,"Elec Act vs Bud";#N/A,#N/A,FALSE,"G&amp;A";#N/A,#N/A,FALSE,"BGS";#N/A,#N/A,FALSE,"Res Cost"}</definedName>
    <definedName name="whowho" localSheetId="7"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29" hidden="1">{#N/A,#N/A,FALSE,"O&amp;M by processes";#N/A,#N/A,FALSE,"Elec Act vs Bud";#N/A,#N/A,FALSE,"G&amp;A";#N/A,#N/A,FALSE,"BGS";#N/A,#N/A,FALSE,"Res Cost"}</definedName>
    <definedName name="whowho" localSheetId="47"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32" hidden="1">{#N/A,#N/A,FALSE,"O&amp;M by processes";#N/A,#N/A,FALSE,"Elec Act vs Bud";#N/A,#N/A,FALSE,"G&amp;A";#N/A,#N/A,FALSE,"BGS";#N/A,#N/A,FALSE,"Res Cost"}</definedName>
    <definedName name="whwh" localSheetId="6"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29" hidden="1">{#N/A,#N/A,FALSE,"O&amp;M by processes";#N/A,#N/A,FALSE,"Elec Act vs Bud";#N/A,#N/A,FALSE,"G&amp;A";#N/A,#N/A,FALSE,"BGS";#N/A,#N/A,FALSE,"Res Cost"}</definedName>
    <definedName name="whwh" localSheetId="47" hidden="1">{#N/A,#N/A,FALSE,"O&amp;M by processes";#N/A,#N/A,FALSE,"Elec Act vs Bud";#N/A,#N/A,FALSE,"G&amp;A";#N/A,#N/A,FALSE,"BGS";#N/A,#N/A,FALSE,"Res Cost"}</definedName>
    <definedName name="whwh" hidden="1">{#N/A,#N/A,FALSE,"O&amp;M by processes";#N/A,#N/A,FALSE,"Elec Act vs Bud";#N/A,#N/A,FALSE,"G&amp;A";#N/A,#N/A,FALSE,"BGS";#N/A,#N/A,FALSE,"Res Cost"}</definedName>
    <definedName name="willdo" localSheetId="1" hidden="1">#REF!</definedName>
    <definedName name="willdo" localSheetId="5" hidden="1">#REF!</definedName>
    <definedName name="willdo" localSheetId="3" hidden="1">#REF!</definedName>
    <definedName name="willdo" localSheetId="29" hidden="1">#REF!</definedName>
    <definedName name="willdo" hidden="1">#REF!</definedName>
    <definedName name="work">'[115]CAPM Backup (Sc 12 - p. 2)'!$A$18:$K$79</definedName>
    <definedName name="WP" localSheetId="6">#REF!</definedName>
    <definedName name="WP" localSheetId="3">#REF!</definedName>
    <definedName name="WP">#REF!</definedName>
    <definedName name="WP_2_3" localSheetId="3">#REF!</definedName>
    <definedName name="WP_2_3">#REF!</definedName>
    <definedName name="WP_3_1" localSheetId="3">#REF!</definedName>
    <definedName name="WP_3_1">#REF!</definedName>
    <definedName name="WP_6_1" localSheetId="3">#REF!</definedName>
    <definedName name="WP_6_1">#REF!</definedName>
    <definedName name="WP_6_1_1" localSheetId="3">#REF!</definedName>
    <definedName name="WP_6_1_1">#REF!</definedName>
    <definedName name="WP_6_2" localSheetId="3">#REF!</definedName>
    <definedName name="WP_6_2">#REF!</definedName>
    <definedName name="WP_6_2_1" localSheetId="3">#REF!</definedName>
    <definedName name="WP_6_2_1">#REF!</definedName>
    <definedName name="WP_6_3" localSheetId="3">#REF!</definedName>
    <definedName name="WP_6_3">#REF!</definedName>
    <definedName name="WP_6_3_1" localSheetId="3">#REF!</definedName>
    <definedName name="WP_6_3_1">#REF!</definedName>
    <definedName name="WP_7_3" localSheetId="3">#REF!</definedName>
    <definedName name="WP_7_3">#REF!</definedName>
    <definedName name="WP_7_6" localSheetId="3">#REF!</definedName>
    <definedName name="WP_7_6">#REF!</definedName>
    <definedName name="WP_9_1" localSheetId="3">#REF!</definedName>
    <definedName name="WP_9_1">#REF!</definedName>
    <definedName name="WP_B9a">[116]WP_B9!$A$30:$U$49</definedName>
    <definedName name="WP_B9b" localSheetId="6">[116]WP_B9!#REF!</definedName>
    <definedName name="WP_B9b" localSheetId="3">[116]WP_B9!#REF!</definedName>
    <definedName name="WP_B9b">[116]WP_B9!#REF!</definedName>
    <definedName name="WP_G6">[116]WP_B5!$A$13:$J$349</definedName>
    <definedName name="wrn" localSheetId="32" hidden="1">{#N/A,#N/A,FALSE,"O&amp;M by processes";#N/A,#N/A,FALSE,"Elec Act vs Bud";#N/A,#N/A,FALSE,"G&amp;A";#N/A,#N/A,FALSE,"BGS";#N/A,#N/A,FALSE,"Res Cost"}</definedName>
    <definedName name="wrn" localSheetId="6" hidden="1">{#N/A,#N/A,FALSE,"O&amp;M by processes";#N/A,#N/A,FALSE,"Elec Act vs Bud";#N/A,#N/A,FALSE,"G&amp;A";#N/A,#N/A,FALSE,"BGS";#N/A,#N/A,FALSE,"Res Cost"}</definedName>
    <definedName name="wrn" localSheetId="7"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29" hidden="1">{#N/A,#N/A,FALSE,"O&amp;M by processes";#N/A,#N/A,FALSE,"Elec Act vs Bud";#N/A,#N/A,FALSE,"G&amp;A";#N/A,#N/A,FALSE,"BGS";#N/A,#N/A,FALSE,"Res Cost"}</definedName>
    <definedName name="wrn" localSheetId="47" hidden="1">{#N/A,#N/A,FALSE,"O&amp;M by processes";#N/A,#N/A,FALSE,"Elec Act vs Bud";#N/A,#N/A,FALSE,"G&amp;A";#N/A,#N/A,FALSE,"BGS";#N/A,#N/A,FALSE,"Res Cost"}</definedName>
    <definedName name="wrn" hidden="1">{#N/A,#N/A,FALSE,"O&amp;M by processes";#N/A,#N/A,FALSE,"Elec Act vs Bud";#N/A,#N/A,FALSE,"G&amp;A";#N/A,#N/A,FALSE,"BGS";#N/A,#N/A,FALSE,"Res Cost"}</definedName>
    <definedName name="wrn.04._.PM._.Rpt._.Draft." localSheetId="32"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3"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4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localSheetId="32" hidden="1">{#N/A,#N/A,FALSE,"04 Target Calc.";#N/A,#N/A,FALSE,"03 Projection Calc"}</definedName>
    <definedName name="wrn.04._.Targets." localSheetId="6" hidden="1">{#N/A,#N/A,FALSE,"04 Target Calc.";#N/A,#N/A,FALSE,"03 Projection Calc"}</definedName>
    <definedName name="wrn.04._.Targets." localSheetId="7" hidden="1">{#N/A,#N/A,FALSE,"04 Target Calc.";#N/A,#N/A,FALSE,"03 Projection Calc"}</definedName>
    <definedName name="wrn.04._.Targets." localSheetId="3" hidden="1">{#N/A,#N/A,FALSE,"04 Target Calc.";#N/A,#N/A,FALSE,"03 Projection Calc"}</definedName>
    <definedName name="wrn.04._.Targets." localSheetId="47" hidden="1">{#N/A,#N/A,FALSE,"04 Target Calc.";#N/A,#N/A,FALSE,"03 Projection Calc"}</definedName>
    <definedName name="wrn.04._.Targets." hidden="1">{#N/A,#N/A,FALSE,"04 Target Calc.";#N/A,#N/A,FALSE,"03 Projection Calc"}</definedName>
    <definedName name="wrn.722." localSheetId="32" hidden="1">{#N/A,#N/A,FALSE,"CURRENT"}</definedName>
    <definedName name="wrn.722." localSheetId="6" hidden="1">{#N/A,#N/A,FALSE,"CURRENT"}</definedName>
    <definedName name="wrn.722." localSheetId="7" hidden="1">{#N/A,#N/A,FALSE,"CURRENT"}</definedName>
    <definedName name="wrn.722." localSheetId="3" hidden="1">{#N/A,#N/A,FALSE,"CURRENT"}</definedName>
    <definedName name="wrn.722." localSheetId="29" hidden="1">{#N/A,#N/A,FALSE,"CURRENT"}</definedName>
    <definedName name="wrn.722." localSheetId="47" hidden="1">{#N/A,#N/A,FALSE,"CURRENT"}</definedName>
    <definedName name="wrn.722." hidden="1">{#N/A,#N/A,FALSE,"CURRENT"}</definedName>
    <definedName name="wrn.ACC._.PROV." localSheetId="1" hidden="1">{"JURIS_ACC_PROV",#N/A,FALSE,"COSTSTUDY";"OKCLS_ACC_PROV",#N/A,FALSE,"COSTSTUDY"}</definedName>
    <definedName name="wrn.ACC._.PROV." localSheetId="32" hidden="1">{"JURIS_ACC_PROV",#N/A,FALSE,"COSTSTUDY";"OKCLS_ACC_PROV",#N/A,FALSE,"COSTSTUDY"}</definedName>
    <definedName name="wrn.ACC._.PROV." localSheetId="6" hidden="1">{"JURIS_ACC_PROV",#N/A,FALSE,"COSTSTUDY";"OKCLS_ACC_PROV",#N/A,FALSE,"COSTSTUDY"}</definedName>
    <definedName name="wrn.ACC._.PROV." localSheetId="4" hidden="1">{"JURIS_ACC_PROV",#N/A,FALSE,"COSTSTUDY";"OKCLS_ACC_PROV",#N/A,FALSE,"COSTSTUDY"}</definedName>
    <definedName name="wrn.ACC._.PROV." localSheetId="5" hidden="1">{"JURIS_ACC_PROV",#N/A,FALSE,"COSTSTUDY";"OKCLS_ACC_PROV",#N/A,FALSE,"COSTSTUDY"}</definedName>
    <definedName name="wrn.ACC._.PROV." localSheetId="7" hidden="1">{"JURIS_ACC_PROV",#N/A,FALSE,"COSTSTUDY";"OKCLS_ACC_PROV",#N/A,FALSE,"COSTSTUDY"}</definedName>
    <definedName name="wrn.ACC._.PROV." localSheetId="3" hidden="1">{"JURIS_ACC_PROV",#N/A,FALSE,"COSTSTUDY";"OKCLS_ACC_PROV",#N/A,FALSE,"COSTSTUDY"}</definedName>
    <definedName name="wrn.ACC._.PROV." localSheetId="29" hidden="1">{"JURIS_ACC_PROV",#N/A,FALSE,"COSTSTUDY";"OKCLS_ACC_PROV",#N/A,FALSE,"COSTSTUDY"}</definedName>
    <definedName name="wrn.ACC._.PROV." localSheetId="47" hidden="1">{"JURIS_ACC_PROV",#N/A,FALSE,"COSTSTUDY";"OKCLS_ACC_PROV",#N/A,FALSE,"COSTSTUDY"}</definedName>
    <definedName name="wrn.ACC._.PROV." hidden="1">{"JURIS_ACC_PROV",#N/A,FALSE,"COSTSTUDY";"OKCLS_ACC_PROV",#N/A,FALSE,"COSTSTUDY"}</definedName>
    <definedName name="wrn.AFUDC." localSheetId="1" hidden="1">{#N/A,#N/A,FALSE,"COMPAPER";#N/A,#N/A,FALSE,"AFUDC";#N/A,#N/A,FALSE,"JE"}</definedName>
    <definedName name="wrn.AFUDC." localSheetId="32" hidden="1">{#N/A,#N/A,FALSE,"COMPAPER";#N/A,#N/A,FALSE,"AFUDC";#N/A,#N/A,FALSE,"JE"}</definedName>
    <definedName name="wrn.AFUDC." localSheetId="6" hidden="1">{#N/A,#N/A,FALSE,"COMPAPER";#N/A,#N/A,FALSE,"AFUDC";#N/A,#N/A,FALSE,"JE"}</definedName>
    <definedName name="wrn.AFUDC." localSheetId="4" hidden="1">{#N/A,#N/A,FALSE,"COMPAPER";#N/A,#N/A,FALSE,"AFUDC";#N/A,#N/A,FALSE,"JE"}</definedName>
    <definedName name="wrn.AFUDC." localSheetId="5" hidden="1">{#N/A,#N/A,FALSE,"COMPAPER";#N/A,#N/A,FALSE,"AFUDC";#N/A,#N/A,FALSE,"JE"}</definedName>
    <definedName name="wrn.AFUDC." localSheetId="7" hidden="1">{#N/A,#N/A,FALSE,"COMPAPER";#N/A,#N/A,FALSE,"AFUDC";#N/A,#N/A,FALSE,"JE"}</definedName>
    <definedName name="wrn.AFUDC." localSheetId="3" hidden="1">{#N/A,#N/A,FALSE,"COMPAPER";#N/A,#N/A,FALSE,"AFUDC";#N/A,#N/A,FALSE,"JE"}</definedName>
    <definedName name="wrn.AFUDC." localSheetId="47" hidden="1">{#N/A,#N/A,FALSE,"COMPAPER";#N/A,#N/A,FALSE,"AFUDC";#N/A,#N/A,FALSE,"JE"}</definedName>
    <definedName name="wrn.AFUDC." hidden="1">{#N/A,#N/A,FALSE,"COMPAPER";#N/A,#N/A,FALSE,"AFUDC";#N/A,#N/A,FALSE,"JE"}</definedName>
    <definedName name="wrn.agexpense." localSheetId="1" hidden="1">{"pb",#N/A,FALSE,"Sheet3";"pd",#N/A,FALSE,"Sheet3";"pe",#N/A,FALSE,"Sheet3"}</definedName>
    <definedName name="wrn.agexpense." localSheetId="32" hidden="1">{"pb",#N/A,FALSE,"Sheet3";"pd",#N/A,FALSE,"Sheet3";"pe",#N/A,FALSE,"Sheet3"}</definedName>
    <definedName name="wrn.agexpense." localSheetId="6" hidden="1">{"pb",#N/A,FALSE,"Sheet3";"pd",#N/A,FALSE,"Sheet3";"pe",#N/A,FALSE,"Sheet3"}</definedName>
    <definedName name="wrn.agexpense." localSheetId="4" hidden="1">{"pb",#N/A,FALSE,"Sheet3";"pd",#N/A,FALSE,"Sheet3";"pe",#N/A,FALSE,"Sheet3"}</definedName>
    <definedName name="wrn.agexpense." localSheetId="5" hidden="1">{"pb",#N/A,FALSE,"Sheet3";"pd",#N/A,FALSE,"Sheet3";"pe",#N/A,FALSE,"Sheet3"}</definedName>
    <definedName name="wrn.agexpense." localSheetId="7" hidden="1">{"pb",#N/A,FALSE,"Sheet3";"pd",#N/A,FALSE,"Sheet3";"pe",#N/A,FALSE,"Sheet3"}</definedName>
    <definedName name="wrn.agexpense." localSheetId="3" hidden="1">{"pb",#N/A,FALSE,"Sheet3";"pd",#N/A,FALSE,"Sheet3";"pe",#N/A,FALSE,"Sheet3"}</definedName>
    <definedName name="wrn.agexpense." localSheetId="47" hidden="1">{"pb",#N/A,FALSE,"Sheet3";"pd",#N/A,FALSE,"Sheet3";"pe",#N/A,FALSE,"Sheet3"}</definedName>
    <definedName name="wrn.agexpense." hidden="1">{"pb",#N/A,FALSE,"Sheet3";"pd",#N/A,FALSE,"Sheet3";"pe",#N/A,FALSE,"Sheet3"}</definedName>
    <definedName name="wrn.Aging._.and._.Trend._.Analysis." localSheetId="32"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32" hidden="1">{"AGT",#N/A,FALSE,"Revenue"}</definedName>
    <definedName name="wrn.AGT." localSheetId="6" hidden="1">{"AGT",#N/A,FALSE,"Revenue"}</definedName>
    <definedName name="wrn.AGT." localSheetId="7" hidden="1">{"AGT",#N/A,FALSE,"Revenue"}</definedName>
    <definedName name="wrn.AGT." localSheetId="3" hidden="1">{"AGT",#N/A,FALSE,"Revenue"}</definedName>
    <definedName name="wrn.AGT." localSheetId="29" hidden="1">{"AGT",#N/A,FALSE,"Revenue"}</definedName>
    <definedName name="wrn.AGT." localSheetId="47" hidden="1">{"AGT",#N/A,FALSE,"Revenue"}</definedName>
    <definedName name="wrn.AGT." hidden="1">{"AGT",#N/A,FALSE,"Revenue"}</definedName>
    <definedName name="wrn.ALL." localSheetId="1" hidden="1">{#N/A,#N/A,TRUE,"1990";#N/A,#N/A,TRUE,"1991";#N/A,#N/A,TRUE,"1992";#N/A,#N/A,TRUE,"1993"}</definedName>
    <definedName name="wrn.ALL." localSheetId="32" hidden="1">{#N/A,#N/A,TRUE,"1990";#N/A,#N/A,TRUE,"1991";#N/A,#N/A,TRUE,"1992";#N/A,#N/A,TRUE,"1993"}</definedName>
    <definedName name="wrn.ALL." localSheetId="6" hidden="1">{#N/A,#N/A,TRUE,"1990";#N/A,#N/A,TRUE,"1991";#N/A,#N/A,TRUE,"1992";#N/A,#N/A,TRUE,"1993"}</definedName>
    <definedName name="wrn.ALL." localSheetId="4" hidden="1">{#N/A,#N/A,TRUE,"1990";#N/A,#N/A,TRUE,"1991";#N/A,#N/A,TRUE,"1992";#N/A,#N/A,TRUE,"1993"}</definedName>
    <definedName name="wrn.ALL." localSheetId="5" hidden="1">{#N/A,#N/A,TRUE,"1990";#N/A,#N/A,TRUE,"1991";#N/A,#N/A,TRUE,"1992";#N/A,#N/A,TRUE,"1993"}</definedName>
    <definedName name="wrn.ALL." localSheetId="7" hidden="1">{#N/A,#N/A,TRUE,"1990";#N/A,#N/A,TRUE,"1991";#N/A,#N/A,TRUE,"1992";#N/A,#N/A,TRUE,"1993"}</definedName>
    <definedName name="wrn.ALL." localSheetId="3" hidden="1">{#N/A,#N/A,TRUE,"1990";#N/A,#N/A,TRUE,"1991";#N/A,#N/A,TRUE,"1992";#N/A,#N/A,TRUE,"1993"}</definedName>
    <definedName name="wrn.ALL." localSheetId="47" hidden="1">{#N/A,#N/A,TRUE,"1990";#N/A,#N/A,TRUE,"1991";#N/A,#N/A,TRUE,"1992";#N/A,#N/A,TRUE,"1993"}</definedName>
    <definedName name="wrn.ALL." hidden="1">{#N/A,#N/A,TRUE,"1990";#N/A,#N/A,TRUE,"1991";#N/A,#N/A,TRUE,"1992";#N/A,#N/A,TRUE,"1993"}</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localSheetId="1" hidden="1">{"IncSt",#N/A,FALSE,"IS";"BalSht",#N/A,FALSE,"BS";"IntCash",#N/A,FALSE,"Int. Cash";"Stats",#N/A,FALSE,"Stats"}</definedName>
    <definedName name="wrn.All._.Sheets." localSheetId="32" hidden="1">{"IncSt",#N/A,FALSE,"IS";"BalSht",#N/A,FALSE,"BS";"IntCash",#N/A,FALSE,"Int. Cash";"Stats",#N/A,FALSE,"Stats"}</definedName>
    <definedName name="wrn.All._.Sheets." localSheetId="6" hidden="1">{"IncSt",#N/A,FALSE,"IS";"BalSht",#N/A,FALSE,"BS";"IntCash",#N/A,FALSE,"Int. Cash";"Stats",#N/A,FALSE,"Stats"}</definedName>
    <definedName name="wrn.All._.Sheets." localSheetId="4" hidden="1">{"IncSt",#N/A,FALSE,"IS";"BalSht",#N/A,FALSE,"BS";"IntCash",#N/A,FALSE,"Int. Cash";"Stats",#N/A,FALSE,"Stats"}</definedName>
    <definedName name="wrn.All._.Sheets." localSheetId="5" hidden="1">{"IncSt",#N/A,FALSE,"IS";"BalSht",#N/A,FALSE,"BS";"IntCash",#N/A,FALSE,"Int. Cash";"Stats",#N/A,FALSE,"Stats"}</definedName>
    <definedName name="wrn.All._.Sheets." localSheetId="7" hidden="1">{"IncSt",#N/A,FALSE,"IS";"BalSht",#N/A,FALSE,"BS";"IntCash",#N/A,FALSE,"Int. Cash";"Stats",#N/A,FALSE,"Stats"}</definedName>
    <definedName name="wrn.All._.Sheets." localSheetId="3" hidden="1">{"IncSt",#N/A,FALSE,"IS";"BalSht",#N/A,FALSE,"BS";"IntCash",#N/A,FALSE,"Int. Cash";"Stats",#N/A,FALSE,"Stats"}</definedName>
    <definedName name="wrn.All._.Sheets." localSheetId="47" hidden="1">{"IncSt",#N/A,FALSE,"IS";"BalSht",#N/A,FALSE,"BS";"IntCash",#N/A,FALSE,"Int. Cash";"Stats",#N/A,FALSE,"Stats"}</definedName>
    <definedName name="wrn.All._.Sheets." hidden="1">{"IncSt",#N/A,FALSE,"IS";"BalSht",#N/A,FALSE,"BS";"IntCash",#N/A,FALSE,"Int. Cash";"Stats",#N/A,FALSE,"Stats"}</definedName>
    <definedName name="wrn.ALL_REPORTS."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Rjs." localSheetId="1" hidden="1">{#N/A,#N/A,FALSE,"SCA";#N/A,#N/A,FALSE,"NCA";#N/A,#N/A,FALSE,"SAZ";#N/A,#N/A,FALSE,"CAZ";#N/A,#N/A,FALSE,"SNV";#N/A,#N/A,FALSE,"NNV";#N/A,#N/A,FALSE,"PP";#N/A,#N/A,FALSE,"SA"}</definedName>
    <definedName name="wrn.AllRjs." localSheetId="32"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4" hidden="1">{#N/A,#N/A,FALSE,"SCA";#N/A,#N/A,FALSE,"NCA";#N/A,#N/A,FALSE,"SAZ";#N/A,#N/A,FALSE,"CAZ";#N/A,#N/A,FALSE,"SNV";#N/A,#N/A,FALSE,"NNV";#N/A,#N/A,FALSE,"PP";#N/A,#N/A,FALSE,"SA"}</definedName>
    <definedName name="wrn.AllRjs." localSheetId="5" hidden="1">{#N/A,#N/A,FALSE,"SCA";#N/A,#N/A,FALSE,"NCA";#N/A,#N/A,FALSE,"SAZ";#N/A,#N/A,FALSE,"CAZ";#N/A,#N/A,FALSE,"SNV";#N/A,#N/A,FALSE,"NNV";#N/A,#N/A,FALSE,"PP";#N/A,#N/A,FALSE,"SA"}</definedName>
    <definedName name="wrn.AllRjs." localSheetId="7" hidden="1">{#N/A,#N/A,FALSE,"SCA";#N/A,#N/A,FALSE,"NCA";#N/A,#N/A,FALSE,"SAZ";#N/A,#N/A,FALSE,"CAZ";#N/A,#N/A,FALSE,"SNV";#N/A,#N/A,FALSE,"NNV";#N/A,#N/A,FALSE,"PP";#N/A,#N/A,FALSE,"SA"}</definedName>
    <definedName name="wrn.AllRjs." localSheetId="3" hidden="1">{#N/A,#N/A,FALSE,"SCA";#N/A,#N/A,FALSE,"NCA";#N/A,#N/A,FALSE,"SAZ";#N/A,#N/A,FALSE,"CAZ";#N/A,#N/A,FALSE,"SNV";#N/A,#N/A,FALSE,"NNV";#N/A,#N/A,FALSE,"PP";#N/A,#N/A,FALSE,"SA"}</definedName>
    <definedName name="wrn.AllRjs." localSheetId="47" hidden="1">{#N/A,#N/A,FALSE,"SCA";#N/A,#N/A,FALSE,"NCA";#N/A,#N/A,FALSE,"SAZ";#N/A,#N/A,FALSE,"CAZ";#N/A,#N/A,FALSE,"SNV";#N/A,#N/A,FALSE,"NNV";#N/A,#N/A,FALSE,"PP";#N/A,#N/A,FALSE,"SA"}</definedName>
    <definedName name="wrn.AllRjs." hidden="1">{#N/A,#N/A,FALSE,"SCA";#N/A,#N/A,FALSE,"NCA";#N/A,#N/A,FALSE,"SAZ";#N/A,#N/A,FALSE,"CAZ";#N/A,#N/A,FALSE,"SNV";#N/A,#N/A,FALSE,"NNV";#N/A,#N/A,FALSE,"PP";#N/A,#N/A,FALSE,"SA"}</definedName>
    <definedName name="wrn.alrjs." localSheetId="1" hidden="1">{#N/A,#N/A,FALSE,"SCA";#N/A,#N/A,FALSE,"NCA";#N/A,#N/A,FALSE,"SAZ";#N/A,#N/A,FALSE,"CAZ";#N/A,#N/A,FALSE,"SNV";#N/A,#N/A,FALSE,"NNV";#N/A,#N/A,FALSE,"PP";#N/A,#N/A,FALSE,"SA"}</definedName>
    <definedName name="wrn.alrjs." localSheetId="32"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4" hidden="1">{#N/A,#N/A,FALSE,"SCA";#N/A,#N/A,FALSE,"NCA";#N/A,#N/A,FALSE,"SAZ";#N/A,#N/A,FALSE,"CAZ";#N/A,#N/A,FALSE,"SNV";#N/A,#N/A,FALSE,"NNV";#N/A,#N/A,FALSE,"PP";#N/A,#N/A,FALSE,"SA"}</definedName>
    <definedName name="wrn.alrjs." localSheetId="5" hidden="1">{#N/A,#N/A,FALSE,"SCA";#N/A,#N/A,FALSE,"NCA";#N/A,#N/A,FALSE,"SAZ";#N/A,#N/A,FALSE,"CAZ";#N/A,#N/A,FALSE,"SNV";#N/A,#N/A,FALSE,"NNV";#N/A,#N/A,FALSE,"PP";#N/A,#N/A,FALSE,"SA"}</definedName>
    <definedName name="wrn.alrjs." localSheetId="7" hidden="1">{#N/A,#N/A,FALSE,"SCA";#N/A,#N/A,FALSE,"NCA";#N/A,#N/A,FALSE,"SAZ";#N/A,#N/A,FALSE,"CAZ";#N/A,#N/A,FALSE,"SNV";#N/A,#N/A,FALSE,"NNV";#N/A,#N/A,FALSE,"PP";#N/A,#N/A,FALSE,"SA"}</definedName>
    <definedName name="wrn.alrjs." localSheetId="3" hidden="1">{#N/A,#N/A,FALSE,"SCA";#N/A,#N/A,FALSE,"NCA";#N/A,#N/A,FALSE,"SAZ";#N/A,#N/A,FALSE,"CAZ";#N/A,#N/A,FALSE,"SNV";#N/A,#N/A,FALSE,"NNV";#N/A,#N/A,FALSE,"PP";#N/A,#N/A,FALSE,"SA"}</definedName>
    <definedName name="wrn.alrjs." localSheetId="47" hidden="1">{#N/A,#N/A,FALSE,"SCA";#N/A,#N/A,FALSE,"NCA";#N/A,#N/A,FALSE,"SAZ";#N/A,#N/A,FALSE,"CAZ";#N/A,#N/A,FALSE,"SNV";#N/A,#N/A,FALSE,"NNV";#N/A,#N/A,FALSE,"PP";#N/A,#N/A,FALSE,"SA"}</definedName>
    <definedName name="wrn.alrjs." hidden="1">{#N/A,#N/A,FALSE,"SCA";#N/A,#N/A,FALSE,"NCA";#N/A,#N/A,FALSE,"SAZ";#N/A,#N/A,FALSE,"CAZ";#N/A,#N/A,FALSE,"SNV";#N/A,#N/A,FALSE,"NNV";#N/A,#N/A,FALSE,"PP";#N/A,#N/A,FALSE,"SA"}</definedName>
    <definedName name="wrn.ARK._.JURIS._.FAC._.CALC." localSheetId="1" hidden="1">{"ARK_JURIS_FAC",#N/A,FALSE,"Ark_Fuel&amp;Rev"}</definedName>
    <definedName name="wrn.ARK._.JURIS._.FAC._.CALC." localSheetId="32" hidden="1">{"ARK_JURIS_FAC",#N/A,FALSE,"Ark_Fuel&amp;Rev"}</definedName>
    <definedName name="wrn.ARK._.JURIS._.FAC._.CALC." localSheetId="6" hidden="1">{"ARK_JURIS_FAC",#N/A,FALSE,"Ark_Fuel&amp;Rev"}</definedName>
    <definedName name="wrn.ARK._.JURIS._.FAC._.CALC." localSheetId="4" hidden="1">{"ARK_JURIS_FAC",#N/A,FALSE,"Ark_Fuel&amp;Rev"}</definedName>
    <definedName name="wrn.ARK._.JURIS._.FAC._.CALC." localSheetId="5" hidden="1">{"ARK_JURIS_FAC",#N/A,FALSE,"Ark_Fuel&amp;Rev"}</definedName>
    <definedName name="wrn.ARK._.JURIS._.FAC._.CALC." localSheetId="7" hidden="1">{"ARK_JURIS_FAC",#N/A,FALSE,"Ark_Fuel&amp;Rev"}</definedName>
    <definedName name="wrn.ARK._.JURIS._.FAC._.CALC." localSheetId="3" hidden="1">{"ARK_JURIS_FAC",#N/A,FALSE,"Ark_Fuel&amp;Rev"}</definedName>
    <definedName name="wrn.ARK._.JURIS._.FAC._.CALC." localSheetId="47" hidden="1">{"ARK_JURIS_FAC",#N/A,FALSE,"Ark_Fuel&amp;Rev"}</definedName>
    <definedName name="wrn.ARK._.JURIS._.FAC._.CALC." hidden="1">{"ARK_JURIS_FAC",#N/A,FALSE,"Ark_Fuel&amp;Rev"}</definedName>
    <definedName name="wrn.ARK._.JURIS._.FUEL._.COST." localSheetId="1" hidden="1">{"ARK_JURIS_FUEL",#N/A,FALSE,"Ark_Fuel&amp;Rev"}</definedName>
    <definedName name="wrn.ARK._.JURIS._.FUEL._.COST." localSheetId="32" hidden="1">{"ARK_JURIS_FUEL",#N/A,FALSE,"Ark_Fuel&amp;Rev"}</definedName>
    <definedName name="wrn.ARK._.JURIS._.FUEL._.COST." localSheetId="6" hidden="1">{"ARK_JURIS_FUEL",#N/A,FALSE,"Ark_Fuel&amp;Rev"}</definedName>
    <definedName name="wrn.ARK._.JURIS._.FUEL._.COST." localSheetId="4" hidden="1">{"ARK_JURIS_FUEL",#N/A,FALSE,"Ark_Fuel&amp;Rev"}</definedName>
    <definedName name="wrn.ARK._.JURIS._.FUEL._.COST." localSheetId="5" hidden="1">{"ARK_JURIS_FUEL",#N/A,FALSE,"Ark_Fuel&amp;Rev"}</definedName>
    <definedName name="wrn.ARK._.JURIS._.FUEL._.COST." localSheetId="7" hidden="1">{"ARK_JURIS_FUEL",#N/A,FALSE,"Ark_Fuel&amp;Rev"}</definedName>
    <definedName name="wrn.ARK._.JURIS._.FUEL._.COST." localSheetId="3" hidden="1">{"ARK_JURIS_FUEL",#N/A,FALSE,"Ark_Fuel&amp;Rev"}</definedName>
    <definedName name="wrn.ARK._.JURIS._.FUEL._.COST." localSheetId="47" hidden="1">{"ARK_JURIS_FUEL",#N/A,FALSE,"Ark_Fuel&amp;Rev"}</definedName>
    <definedName name="wrn.ARK._.JURIS._.FUEL._.COST." hidden="1">{"ARK_JURIS_FUEL",#N/A,FALSE,"Ark_Fuel&amp;Rev"}</definedName>
    <definedName name="wrn.ATOKA._.FAC._.CALC." localSheetId="1" hidden="1">{"ATOKA_FAC",#N/A,FALSE,"Atoka"}</definedName>
    <definedName name="wrn.ATOKA._.FAC._.CALC." localSheetId="32" hidden="1">{"ATOKA_FAC",#N/A,FALSE,"Atoka"}</definedName>
    <definedName name="wrn.ATOKA._.FAC._.CALC." localSheetId="6" hidden="1">{"ATOKA_FAC",#N/A,FALSE,"Atoka"}</definedName>
    <definedName name="wrn.ATOKA._.FAC._.CALC." localSheetId="4" hidden="1">{"ATOKA_FAC",#N/A,FALSE,"Atoka"}</definedName>
    <definedName name="wrn.ATOKA._.FAC._.CALC." localSheetId="5" hidden="1">{"ATOKA_FAC",#N/A,FALSE,"Atoka"}</definedName>
    <definedName name="wrn.ATOKA._.FAC._.CALC." localSheetId="7" hidden="1">{"ATOKA_FAC",#N/A,FALSE,"Atoka"}</definedName>
    <definedName name="wrn.ATOKA._.FAC._.CALC." localSheetId="3" hidden="1">{"ATOKA_FAC",#N/A,FALSE,"Atoka"}</definedName>
    <definedName name="wrn.ATOKA._.FAC._.CALC." localSheetId="47" hidden="1">{"ATOKA_FAC",#N/A,FALSE,"Atoka"}</definedName>
    <definedName name="wrn.ATOKA._.FAC._.CALC." hidden="1">{"ATOKA_FAC",#N/A,FALSE,"Atoka"}</definedName>
    <definedName name="wrn.August._.1._.2003._.Rate._.Change." localSheetId="3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4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Filing." localSheetId="32" hidden="1">{"2002 Scedule A Revenue Proof",#N/A,FALSE,"Schedule A";"2002 Rate Detail",#N/A,FALSE,"Schedule B";"2002 Light Rates Page 1",#N/A,FALSE,"Schedule B";"2002 Light Rates Page 2",#N/A,FALSE,"Schedule B";"Schedule C",#N/A,FALSE,"Schedule C"}</definedName>
    <definedName name="wrn.August._.1._.Filing." localSheetId="6" hidden="1">{"2002 Scedule A Revenue Proof",#N/A,FALSE,"Schedule A";"2002 Rate Detail",#N/A,FALSE,"Schedule B";"2002 Light Rates Page 1",#N/A,FALSE,"Schedule B";"2002 Light Rates Page 2",#N/A,FALSE,"Schedule B";"Schedule C",#N/A,FALSE,"Schedule C"}</definedName>
    <definedName name="wrn.August._.1._.Filing." localSheetId="7" hidden="1">{"2002 Scedule A Revenue Proof",#N/A,FALSE,"Schedule A";"2002 Rate Detail",#N/A,FALSE,"Schedule B";"2002 Light Rates Page 1",#N/A,FALSE,"Schedule B";"2002 Light Rates Page 2",#N/A,FALSE,"Schedule B";"Schedule C",#N/A,FALSE,"Schedule C"}</definedName>
    <definedName name="wrn.August._.1._.Filing." localSheetId="3" hidden="1">{"2002 Scedule A Revenue Proof",#N/A,FALSE,"Schedule A";"2002 Rate Detail",#N/A,FALSE,"Schedule B";"2002 Light Rates Page 1",#N/A,FALSE,"Schedule B";"2002 Light Rates Page 2",#N/A,FALSE,"Schedule B";"Schedule C",#N/A,FALSE,"Schedule C"}</definedName>
    <definedName name="wrn.August._.1._.Filing." localSheetId="29" hidden="1">{"2002 Scedule A Revenue Proof",#N/A,FALSE,"Schedule A";"2002 Rate Detail",#N/A,FALSE,"Schedule B";"2002 Light Rates Page 1",#N/A,FALSE,"Schedule B";"2002 Light Rates Page 2",#N/A,FALSE,"Schedule B";"Schedule C",#N/A,FALSE,"Schedule C"}</definedName>
    <definedName name="wrn.August._.1._.Filing." localSheetId="47" hidden="1">{"2002 Scedule A Revenue Proof",#N/A,FALSE,"Schedule A";"2002 Rate Detail",#N/A,FALSE,"Schedule B";"2002 Light Rates Page 1",#N/A,FALSE,"Schedule B";"2002 Light Rates Page 2",#N/A,FALSE,"Schedule B";"Schedule C",#N/A,FALSE,"Schedule C"}</definedName>
    <definedName name="wrn.August._.1._.Filing." hidden="1">{"2002 Scedule A Revenue Proof",#N/A,FALSE,"Schedule A";"2002 Rate Detail",#N/A,FALSE,"Schedule B";"2002 Light Rates Page 1",#N/A,FALSE,"Schedule B";"2002 Light Rates Page 2",#N/A,FALSE,"Schedule B";"Schedule C",#N/A,FALSE,"Schedule C"}</definedName>
    <definedName name="wrn.Basic." localSheetId="32" hidden="1">{#N/A,#N/A,FALSE,"O&amp;M by processes";#N/A,#N/A,FALSE,"Elec Act vs Bud";#N/A,#N/A,FALSE,"G&amp;A";#N/A,#N/A,FALSE,"BGS";#N/A,#N/A,FALSE,"Res Cost"}</definedName>
    <definedName name="wrn.Basic." localSheetId="6" hidden="1">{#N/A,#N/A,FALSE,"O&amp;M by processes";#N/A,#N/A,FALSE,"Elec Act vs Bud";#N/A,#N/A,FALSE,"G&amp;A";#N/A,#N/A,FALSE,"BGS";#N/A,#N/A,FALSE,"Res Cost"}</definedName>
    <definedName name="wrn.Basic." localSheetId="7"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29" hidden="1">{#N/A,#N/A,FALSE,"O&amp;M by processes";#N/A,#N/A,FALSE,"Elec Act vs Bud";#N/A,#N/A,FALSE,"G&amp;A";#N/A,#N/A,FALSE,"BGS";#N/A,#N/A,FALSE,"Res Cost"}</definedName>
    <definedName name="wrn.Basic." localSheetId="47" hidden="1">{#N/A,#N/A,FALSE,"O&amp;M by processes";#N/A,#N/A,FALSE,"Elec Act vs Bud";#N/A,#N/A,FALSE,"G&amp;A";#N/A,#N/A,FALSE,"BGS";#N/A,#N/A,FALSE,"Res Cost"}</definedName>
    <definedName name="wrn.Basic." hidden="1">{#N/A,#N/A,FALSE,"O&amp;M by processes";#N/A,#N/A,FALSE,"Elec Act vs Bud";#N/A,#N/A,FALSE,"G&amp;A";#N/A,#N/A,FALSE,"BGS";#N/A,#N/A,FALSE,"Res Cost"}</definedName>
    <definedName name="wrn.Benefits." localSheetId="1" hidden="1">{"Benefits Summary",#N/A,FALSE,"Benefits Info without WC Amount";"Medical and Dental Costs",#N/A,FALSE,"Benefits Info without WC Amount";"Workers' Compensation",#N/A,FALSE,"Benefits Info without WC Amount"}</definedName>
    <definedName name="wrn.Benefits." localSheetId="32"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4" hidden="1">{"Benefits Summary",#N/A,FALSE,"Benefits Info without WC Amount";"Medical and Dental Costs",#N/A,FALSE,"Benefits Info without WC Amount";"Workers' Compensation",#N/A,FALSE,"Benefits Info without WC Amount"}</definedName>
    <definedName name="wrn.Benefits." localSheetId="5"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47"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Bill._.Comparisons." localSheetId="1" hidden="1">{#N/A,#N/A,TRUE,"Bill Comp - 60";#N/A,#N/A,TRUE,"Bill Comp - 70";#N/A,#N/A,TRUE,"Bill Comp - 71";#N/A,#N/A,TRUE,"Bill Comp- 85"}</definedName>
    <definedName name="wrn.Bill._.Comparisons." localSheetId="32" hidden="1">{#N/A,#N/A,TRUE,"Bill Comp - 60";#N/A,#N/A,TRUE,"Bill Comp - 70";#N/A,#N/A,TRUE,"Bill Comp - 71";#N/A,#N/A,TRUE,"Bill Comp- 85"}</definedName>
    <definedName name="wrn.Bill._.Comparisons." localSheetId="6" hidden="1">{#N/A,#N/A,TRUE,"Bill Comp - 60";#N/A,#N/A,TRUE,"Bill Comp - 70";#N/A,#N/A,TRUE,"Bill Comp - 71";#N/A,#N/A,TRUE,"Bill Comp- 85"}</definedName>
    <definedName name="wrn.Bill._.Comparisons." localSheetId="4" hidden="1">{#N/A,#N/A,TRUE,"Bill Comp - 60";#N/A,#N/A,TRUE,"Bill Comp - 70";#N/A,#N/A,TRUE,"Bill Comp - 71";#N/A,#N/A,TRUE,"Bill Comp- 85"}</definedName>
    <definedName name="wrn.Bill._.Comparisons." localSheetId="5" hidden="1">{#N/A,#N/A,TRUE,"Bill Comp - 60";#N/A,#N/A,TRUE,"Bill Comp - 70";#N/A,#N/A,TRUE,"Bill Comp - 71";#N/A,#N/A,TRUE,"Bill Comp- 85"}</definedName>
    <definedName name="wrn.Bill._.Comparisons." localSheetId="7" hidden="1">{#N/A,#N/A,TRUE,"Bill Comp - 60";#N/A,#N/A,TRUE,"Bill Comp - 70";#N/A,#N/A,TRUE,"Bill Comp - 71";#N/A,#N/A,TRUE,"Bill Comp- 85"}</definedName>
    <definedName name="wrn.Bill._.Comparisons." localSheetId="3" hidden="1">{#N/A,#N/A,TRUE,"Bill Comp - 60";#N/A,#N/A,TRUE,"Bill Comp - 70";#N/A,#N/A,TRUE,"Bill Comp - 71";#N/A,#N/A,TRUE,"Bill Comp- 85"}</definedName>
    <definedName name="wrn.Bill._.Comparisons." localSheetId="47" hidden="1">{#N/A,#N/A,TRUE,"Bill Comp - 60";#N/A,#N/A,TRUE,"Bill Comp - 70";#N/A,#N/A,TRUE,"Bill Comp - 71";#N/A,#N/A,TRUE,"Bill Comp- 85"}</definedName>
    <definedName name="wrn.Bill._.Comparisons." hidden="1">{#N/A,#N/A,TRUE,"Bill Comp - 60";#N/A,#N/A,TRUE,"Bill Comp - 70";#N/A,#N/A,TRUE,"Bill Comp - 71";#N/A,#N/A,TRUE,"Bill Comp- 85"}</definedName>
    <definedName name="wrn.BOD._.QTR." localSheetId="32"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6"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3"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4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udget._.Exhibits."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CAPACITY._.ALLOC._.SUMMARY." localSheetId="1" hidden="1">{"CAP_ALLOC_SUMMARY",#N/A,FALSE,"Alloc Summary"}</definedName>
    <definedName name="wrn.CAPACITY._.ALLOC._.SUMMARY." localSheetId="32" hidden="1">{"CAP_ALLOC_SUMMARY",#N/A,FALSE,"Alloc Summary"}</definedName>
    <definedName name="wrn.CAPACITY._.ALLOC._.SUMMARY." localSheetId="6" hidden="1">{"CAP_ALLOC_SUMMARY",#N/A,FALSE,"Alloc Summary"}</definedName>
    <definedName name="wrn.CAPACITY._.ALLOC._.SUMMARY." localSheetId="4" hidden="1">{"CAP_ALLOC_SUMMARY",#N/A,FALSE,"Alloc Summary"}</definedName>
    <definedName name="wrn.CAPACITY._.ALLOC._.SUMMARY." localSheetId="5" hidden="1">{"CAP_ALLOC_SUMMARY",#N/A,FALSE,"Alloc Summary"}</definedName>
    <definedName name="wrn.CAPACITY._.ALLOC._.SUMMARY." localSheetId="7" hidden="1">{"CAP_ALLOC_SUMMARY",#N/A,FALSE,"Alloc Summary"}</definedName>
    <definedName name="wrn.CAPACITY._.ALLOC._.SUMMARY." localSheetId="3" hidden="1">{"CAP_ALLOC_SUMMARY",#N/A,FALSE,"Alloc Summary"}</definedName>
    <definedName name="wrn.CAPACITY._.ALLOC._.SUMMARY." localSheetId="29" hidden="1">{"CAP_ALLOC_SUMMARY",#N/A,FALSE,"Alloc Summary"}</definedName>
    <definedName name="wrn.CAPACITY._.ALLOC._.SUMMARY." localSheetId="47" hidden="1">{"CAP_ALLOC_SUMMARY",#N/A,FALSE,"Alloc Summary"}</definedName>
    <definedName name="wrn.CAPACITY._.ALLOC._.SUMMARY." hidden="1">{"CAP_ALLOC_SUMMARY",#N/A,FALSE,"Alloc Summary"}</definedName>
    <definedName name="wrn.ChartSet." localSheetId="32" hidden="1">{#N/A,#N/A,FALSE,"Elec Deliv";#N/A,#N/A,FALSE,"Atlantic Pie";#N/A,#N/A,FALSE,"Bay Pie";#N/A,#N/A,FALSE,"New Castle Pie";#N/A,#N/A,FALSE,"Transmission Pie"}</definedName>
    <definedName name="wrn.ChartSet." localSheetId="6" hidden="1">{#N/A,#N/A,FALSE,"Elec Deliv";#N/A,#N/A,FALSE,"Atlantic Pie";#N/A,#N/A,FALSE,"Bay Pie";#N/A,#N/A,FALSE,"New Castle Pie";#N/A,#N/A,FALSE,"Transmission Pie"}</definedName>
    <definedName name="wrn.ChartSet." localSheetId="7"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29" hidden="1">{#N/A,#N/A,FALSE,"Elec Deliv";#N/A,#N/A,FALSE,"Atlantic Pie";#N/A,#N/A,FALSE,"Bay Pie";#N/A,#N/A,FALSE,"New Castle Pie";#N/A,#N/A,FALSE,"Transmission Pie"}</definedName>
    <definedName name="wrn.ChartSet." localSheetId="47"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LP._.SEG._.INPUTS." localSheetId="1" hidden="1">{#N/A,#N/A,FALSE,"Rev Seg Taxes";#N/A,#N/A,FALSE,"BookRev Seg";#N/A,#N/A,FALSE,"Supp Adj Seg";#N/A,#N/A,FALSE,"outside prov seg taxes"}</definedName>
    <definedName name="wrn.CLP._.SEG._.INPUTS." localSheetId="32" hidden="1">{#N/A,#N/A,FALSE,"Rev Seg Taxes";#N/A,#N/A,FALSE,"BookRev Seg";#N/A,#N/A,FALSE,"Supp Adj Seg";#N/A,#N/A,FALSE,"outside prov seg taxes"}</definedName>
    <definedName name="wrn.CLP._.SEG._.INPUTS." localSheetId="6" hidden="1">{#N/A,#N/A,FALSE,"Rev Seg Taxes";#N/A,#N/A,FALSE,"BookRev Seg";#N/A,#N/A,FALSE,"Supp Adj Seg";#N/A,#N/A,FALSE,"outside prov seg taxes"}</definedName>
    <definedName name="wrn.CLP._.SEG._.INPUTS." localSheetId="4" hidden="1">{#N/A,#N/A,FALSE,"Rev Seg Taxes";#N/A,#N/A,FALSE,"BookRev Seg";#N/A,#N/A,FALSE,"Supp Adj Seg";#N/A,#N/A,FALSE,"outside prov seg taxes"}</definedName>
    <definedName name="wrn.CLP._.SEG._.INPUTS." localSheetId="5" hidden="1">{#N/A,#N/A,FALSE,"Rev Seg Taxes";#N/A,#N/A,FALSE,"BookRev Seg";#N/A,#N/A,FALSE,"Supp Adj Seg";#N/A,#N/A,FALSE,"outside prov seg taxes"}</definedName>
    <definedName name="wrn.CLP._.SEG._.INPUTS." localSheetId="7" hidden="1">{#N/A,#N/A,FALSE,"Rev Seg Taxes";#N/A,#N/A,FALSE,"BookRev Seg";#N/A,#N/A,FALSE,"Supp Adj Seg";#N/A,#N/A,FALSE,"outside prov seg taxes"}</definedName>
    <definedName name="wrn.CLP._.SEG._.INPUTS." localSheetId="3" hidden="1">{#N/A,#N/A,FALSE,"Rev Seg Taxes";#N/A,#N/A,FALSE,"BookRev Seg";#N/A,#N/A,FALSE,"Supp Adj Seg";#N/A,#N/A,FALSE,"outside prov seg taxes"}</definedName>
    <definedName name="wrn.CLP._.SEG._.INPUTS." localSheetId="47" hidden="1">{#N/A,#N/A,FALSE,"Rev Seg Taxes";#N/A,#N/A,FALSE,"BookRev Seg";#N/A,#N/A,FALSE,"Supp Adj Seg";#N/A,#N/A,FALSE,"outside prov seg taxes"}</definedName>
    <definedName name="wrn.CLP._.SEG._.INPUTS." hidden="1">{#N/A,#N/A,FALSE,"Rev Seg Taxes";#N/A,#N/A,FALSE,"BookRev Seg";#N/A,#N/A,FALSE,"Supp Adj Seg";#N/A,#N/A,FALSE,"outside prov seg taxes"}</definedName>
    <definedName name="wrn.CLP._.SEG._.PROV."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localSheetId="1" hidden="1">{#N/A,#N/A,FALSE,"GLDwnLoad"}</definedName>
    <definedName name="wrn.CLP_GL." localSheetId="32" hidden="1">{#N/A,#N/A,FALSE,"GLDwnLoad"}</definedName>
    <definedName name="wrn.CLP_GL." localSheetId="6" hidden="1">{#N/A,#N/A,FALSE,"GLDwnLoad"}</definedName>
    <definedName name="wrn.CLP_GL." localSheetId="4" hidden="1">{#N/A,#N/A,FALSE,"GLDwnLoad"}</definedName>
    <definedName name="wrn.CLP_GL." localSheetId="5" hidden="1">{#N/A,#N/A,FALSE,"GLDwnLoad"}</definedName>
    <definedName name="wrn.CLP_GL." localSheetId="7" hidden="1">{#N/A,#N/A,FALSE,"GLDwnLoad"}</definedName>
    <definedName name="wrn.CLP_GL." localSheetId="3" hidden="1">{#N/A,#N/A,FALSE,"GLDwnLoad"}</definedName>
    <definedName name="wrn.CLP_GL." localSheetId="47" hidden="1">{#N/A,#N/A,FALSE,"GLDwnLoad"}</definedName>
    <definedName name="wrn.CLP_GL." hidden="1">{#N/A,#N/A,FALSE,"GLDwnLoad"}</definedName>
    <definedName name="wrn.CLP_INPUTS." localSheetId="1" hidden="1">{#N/A,#N/A,FALSE,"OTHERINPUTS";#N/A,#N/A,FALSE,"DITRATEINPUTS";#N/A,#N/A,FALSE,"SUPPLIEDADJINPUT";#N/A,#N/A,FALSE,"BR&amp;SUPADJ."}</definedName>
    <definedName name="wrn.CLP_INPUTS." localSheetId="32" hidden="1">{#N/A,#N/A,FALSE,"OTHERINPUTS";#N/A,#N/A,FALSE,"DITRATEINPUTS";#N/A,#N/A,FALSE,"SUPPLIEDADJINPUT";#N/A,#N/A,FALSE,"BR&amp;SUPADJ."}</definedName>
    <definedName name="wrn.CLP_INPUTS." localSheetId="6" hidden="1">{#N/A,#N/A,FALSE,"OTHERINPUTS";#N/A,#N/A,FALSE,"DITRATEINPUTS";#N/A,#N/A,FALSE,"SUPPLIEDADJINPUT";#N/A,#N/A,FALSE,"BR&amp;SUPADJ."}</definedName>
    <definedName name="wrn.CLP_INPUTS." localSheetId="4" hidden="1">{#N/A,#N/A,FALSE,"OTHERINPUTS";#N/A,#N/A,FALSE,"DITRATEINPUTS";#N/A,#N/A,FALSE,"SUPPLIEDADJINPUT";#N/A,#N/A,FALSE,"BR&amp;SUPADJ."}</definedName>
    <definedName name="wrn.CLP_INPUTS." localSheetId="5" hidden="1">{#N/A,#N/A,FALSE,"OTHERINPUTS";#N/A,#N/A,FALSE,"DITRATEINPUTS";#N/A,#N/A,FALSE,"SUPPLIEDADJINPUT";#N/A,#N/A,FALSE,"BR&amp;SUPADJ."}</definedName>
    <definedName name="wrn.CLP_INPUTS." localSheetId="7" hidden="1">{#N/A,#N/A,FALSE,"OTHERINPUTS";#N/A,#N/A,FALSE,"DITRATEINPUTS";#N/A,#N/A,FALSE,"SUPPLIEDADJINPUT";#N/A,#N/A,FALSE,"BR&amp;SUPADJ."}</definedName>
    <definedName name="wrn.CLP_INPUTS." localSheetId="3" hidden="1">{#N/A,#N/A,FALSE,"OTHERINPUTS";#N/A,#N/A,FALSE,"DITRATEINPUTS";#N/A,#N/A,FALSE,"SUPPLIEDADJINPUT";#N/A,#N/A,FALSE,"BR&amp;SUPADJ."}</definedName>
    <definedName name="wrn.CLP_INPUTS." localSheetId="47" hidden="1">{#N/A,#N/A,FALSE,"OTHERINPUTS";#N/A,#N/A,FALSE,"DITRATEINPUTS";#N/A,#N/A,FALSE,"SUPPLIEDADJINPUT";#N/A,#N/A,FALSE,"BR&amp;SUPADJ."}</definedName>
    <definedName name="wrn.CLP_INPUTS." hidden="1">{#N/A,#N/A,FALSE,"OTHERINPUTS";#N/A,#N/A,FALSE,"DITRATEINPUTS";#N/A,#N/A,FALSE,"SUPPLIEDADJINPUT";#N/A,#N/A,FALSE,"BR&amp;SUPADJ."}</definedName>
    <definedName name="wrn.CLP_PROV."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onfig._.and._.Calcs." localSheetId="32" hidden="1">{#N/A,#N/A,FALSE,"Configuration";#N/A,#N/A,FALSE,"Summary of Transaction";#N/A,#N/A,FALSE,"Calculations"}</definedName>
    <definedName name="wrn.Config._.and._.Calcs." localSheetId="6" hidden="1">{#N/A,#N/A,FALSE,"Configuration";#N/A,#N/A,FALSE,"Summary of Transaction";#N/A,#N/A,FALSE,"Calculations"}</definedName>
    <definedName name="wrn.Config._.and._.Calcs." localSheetId="7" hidden="1">{#N/A,#N/A,FALSE,"Configuration";#N/A,#N/A,FALSE,"Summary of Transaction";#N/A,#N/A,FALSE,"Calculations"}</definedName>
    <definedName name="wrn.Config._.and._.Calcs." localSheetId="3" hidden="1">{#N/A,#N/A,FALSE,"Configuration";#N/A,#N/A,FALSE,"Summary of Transaction";#N/A,#N/A,FALSE,"Calculations"}</definedName>
    <definedName name="wrn.Config._.and._.Calcs." localSheetId="47" hidden="1">{#N/A,#N/A,FALSE,"Configuration";#N/A,#N/A,FALSE,"Summary of Transaction";#N/A,#N/A,FALSE,"Calculations"}</definedName>
    <definedName name="wrn.Config._.and._.Calcs." hidden="1">{#N/A,#N/A,FALSE,"Configuration";#N/A,#N/A,FALSE,"Summary of Transaction";#N/A,#N/A,FALSE,"Calculations"}</definedName>
    <definedName name="wrn.CONOCO._.FAC." localSheetId="1" hidden="1">{"CONOCO_FAC",#N/A,FALSE,"Conoco FAC"}</definedName>
    <definedName name="wrn.CONOCO._.FAC." localSheetId="32" hidden="1">{"CONOCO_FAC",#N/A,FALSE,"Conoco FAC"}</definedName>
    <definedName name="wrn.CONOCO._.FAC." localSheetId="6" hidden="1">{"CONOCO_FAC",#N/A,FALSE,"Conoco FAC"}</definedName>
    <definedName name="wrn.CONOCO._.FAC." localSheetId="4" hidden="1">{"CONOCO_FAC",#N/A,FALSE,"Conoco FAC"}</definedName>
    <definedName name="wrn.CONOCO._.FAC." localSheetId="5" hidden="1">{"CONOCO_FAC",#N/A,FALSE,"Conoco FAC"}</definedName>
    <definedName name="wrn.CONOCO._.FAC." localSheetId="7" hidden="1">{"CONOCO_FAC",#N/A,FALSE,"Conoco FAC"}</definedName>
    <definedName name="wrn.CONOCO._.FAC." localSheetId="3" hidden="1">{"CONOCO_FAC",#N/A,FALSE,"Conoco FAC"}</definedName>
    <definedName name="wrn.CONOCO._.FAC." localSheetId="47" hidden="1">{"CONOCO_FAC",#N/A,FALSE,"Conoco FAC"}</definedName>
    <definedName name="wrn.CONOCO._.FAC." hidden="1">{"CONOCO_FAC",#N/A,FALSE,"Conoco FAC"}</definedName>
    <definedName name="wrn.CONSOL_UWNJ_UWNY." localSheetId="1" hidden="1">{"CONSOL_UWNJ_ISV",#N/A,FALSE,"Sheet1";"CONSOL_UWNJ_SAV",#N/A,FALSE,"Sheet1";"CONSOL_UWNJ_BSV",#N/A,FALSE,"Sheet1";"CONSOL_UWNJ_SFDV",#N/A,FALSE,"Sheet1"}</definedName>
    <definedName name="wrn.CONSOL_UWNJ_UWNY." localSheetId="32" hidden="1">{"CONSOL_UWNJ_ISV",#N/A,FALSE,"Sheet1";"CONSOL_UWNJ_SAV",#N/A,FALSE,"Sheet1";"CONSOL_UWNJ_BSV",#N/A,FALSE,"Sheet1";"CONSOL_UWNJ_SFDV",#N/A,FALSE,"Sheet1"}</definedName>
    <definedName name="wrn.CONSOL_UWNJ_UWNY." localSheetId="6" hidden="1">{"CONSOL_UWNJ_ISV",#N/A,FALSE,"Sheet1";"CONSOL_UWNJ_SAV",#N/A,FALSE,"Sheet1";"CONSOL_UWNJ_BSV",#N/A,FALSE,"Sheet1";"CONSOL_UWNJ_SFDV",#N/A,FALSE,"Sheet1"}</definedName>
    <definedName name="wrn.CONSOL_UWNJ_UWNY." localSheetId="4" hidden="1">{"CONSOL_UWNJ_ISV",#N/A,FALSE,"Sheet1";"CONSOL_UWNJ_SAV",#N/A,FALSE,"Sheet1";"CONSOL_UWNJ_BSV",#N/A,FALSE,"Sheet1";"CONSOL_UWNJ_SFDV",#N/A,FALSE,"Sheet1"}</definedName>
    <definedName name="wrn.CONSOL_UWNJ_UWNY." localSheetId="5" hidden="1">{"CONSOL_UWNJ_ISV",#N/A,FALSE,"Sheet1";"CONSOL_UWNJ_SAV",#N/A,FALSE,"Sheet1";"CONSOL_UWNJ_BSV",#N/A,FALSE,"Sheet1";"CONSOL_UWNJ_SFDV",#N/A,FALSE,"Sheet1"}</definedName>
    <definedName name="wrn.CONSOL_UWNJ_UWNY." localSheetId="7" hidden="1">{"CONSOL_UWNJ_ISV",#N/A,FALSE,"Sheet1";"CONSOL_UWNJ_SAV",#N/A,FALSE,"Sheet1";"CONSOL_UWNJ_BSV",#N/A,FALSE,"Sheet1";"CONSOL_UWNJ_SFDV",#N/A,FALSE,"Sheet1"}</definedName>
    <definedName name="wrn.CONSOL_UWNJ_UWNY." localSheetId="3" hidden="1">{"CONSOL_UWNJ_ISV",#N/A,FALSE,"Sheet1";"CONSOL_UWNJ_SAV",#N/A,FALSE,"Sheet1";"CONSOL_UWNJ_BSV",#N/A,FALSE,"Sheet1";"CONSOL_UWNJ_SFDV",#N/A,FALSE,"Sheet1"}</definedName>
    <definedName name="wrn.CONSOL_UWNJ_UWNY." localSheetId="29" hidden="1">{"CONSOL_UWNJ_ISV",#N/A,FALSE,"Sheet1";"CONSOL_UWNJ_SAV",#N/A,FALSE,"Sheet1";"CONSOL_UWNJ_BSV",#N/A,FALSE,"Sheet1";"CONSOL_UWNJ_SFDV",#N/A,FALSE,"Sheet1"}</definedName>
    <definedName name="wrn.CONSOL_UWNJ_UWNY." localSheetId="47" hidden="1">{"CONSOL_UWNJ_ISV",#N/A,FALSE,"Sheet1";"CONSOL_UWNJ_SAV",#N/A,FALSE,"Sheet1";"CONSOL_UWNJ_BSV",#N/A,FALSE,"Sheet1";"CONSOL_UWNJ_SFDV",#N/A,FALSE,"Sheet1"}</definedName>
    <definedName name="wrn.CONSOL_UWNJ_UWNY." hidden="1">{"CONSOL_UWNJ_ISV",#N/A,FALSE,"Sheet1";"CONSOL_UWNJ_SAV",#N/A,FALSE,"Sheet1";"CONSOL_UWNJ_BSV",#N/A,FALSE,"Sheet1";"CONSOL_UWNJ_SFDV",#N/A,FALSE,"Sheet1"}</definedName>
    <definedName name="wrn.CONSOL_WO." localSheetId="1" hidden="1">{"CONSOL_WO_ISV",#N/A,FALSE,"Sheet1";"CONSOL_WO_SAV",#N/A,FALSE,"Sheet1";"CONSOL_WO_BSV",#N/A,FALSE,"Sheet1";"CONSOL_WO_SFDV",#N/A,FALSE,"Sheet1"}</definedName>
    <definedName name="wrn.CONSOL_WO." localSheetId="32" hidden="1">{"CONSOL_WO_ISV",#N/A,FALSE,"Sheet1";"CONSOL_WO_SAV",#N/A,FALSE,"Sheet1";"CONSOL_WO_BSV",#N/A,FALSE,"Sheet1";"CONSOL_WO_SFDV",#N/A,FALSE,"Sheet1"}</definedName>
    <definedName name="wrn.CONSOL_WO." localSheetId="6" hidden="1">{"CONSOL_WO_ISV",#N/A,FALSE,"Sheet1";"CONSOL_WO_SAV",#N/A,FALSE,"Sheet1";"CONSOL_WO_BSV",#N/A,FALSE,"Sheet1";"CONSOL_WO_SFDV",#N/A,FALSE,"Sheet1"}</definedName>
    <definedName name="wrn.CONSOL_WO." localSheetId="4" hidden="1">{"CONSOL_WO_ISV",#N/A,FALSE,"Sheet1";"CONSOL_WO_SAV",#N/A,FALSE,"Sheet1";"CONSOL_WO_BSV",#N/A,FALSE,"Sheet1";"CONSOL_WO_SFDV",#N/A,FALSE,"Sheet1"}</definedName>
    <definedName name="wrn.CONSOL_WO." localSheetId="5" hidden="1">{"CONSOL_WO_ISV",#N/A,FALSE,"Sheet1";"CONSOL_WO_SAV",#N/A,FALSE,"Sheet1";"CONSOL_WO_BSV",#N/A,FALSE,"Sheet1";"CONSOL_WO_SFDV",#N/A,FALSE,"Sheet1"}</definedName>
    <definedName name="wrn.CONSOL_WO." localSheetId="7" hidden="1">{"CONSOL_WO_ISV",#N/A,FALSE,"Sheet1";"CONSOL_WO_SAV",#N/A,FALSE,"Sheet1";"CONSOL_WO_BSV",#N/A,FALSE,"Sheet1";"CONSOL_WO_SFDV",#N/A,FALSE,"Sheet1"}</definedName>
    <definedName name="wrn.CONSOL_WO." localSheetId="3" hidden="1">{"CONSOL_WO_ISV",#N/A,FALSE,"Sheet1";"CONSOL_WO_SAV",#N/A,FALSE,"Sheet1";"CONSOL_WO_BSV",#N/A,FALSE,"Sheet1";"CONSOL_WO_SFDV",#N/A,FALSE,"Sheet1"}</definedName>
    <definedName name="wrn.CONSOL_WO." localSheetId="29" hidden="1">{"CONSOL_WO_ISV",#N/A,FALSE,"Sheet1";"CONSOL_WO_SAV",#N/A,FALSE,"Sheet1";"CONSOL_WO_BSV",#N/A,FALSE,"Sheet1";"CONSOL_WO_SFDV",#N/A,FALSE,"Sheet1"}</definedName>
    <definedName name="wrn.CONSOL_WO." localSheetId="47" hidden="1">{"CONSOL_WO_ISV",#N/A,FALSE,"Sheet1";"CONSOL_WO_SAV",#N/A,FALSE,"Sheet1";"CONSOL_WO_BSV",#N/A,FALSE,"Sheet1";"CONSOL_WO_SFDV",#N/A,FALSE,"Sheet1"}</definedName>
    <definedName name="wrn.CONSOL_WO." hidden="1">{"CONSOL_WO_ISV",#N/A,FALSE,"Sheet1";"CONSOL_WO_SAV",#N/A,FALSE,"Sheet1";"CONSOL_WO_BSV",#N/A,FALSE,"Sheet1";"CONSOL_WO_SFDV",#N/A,FALSE,"Sheet1"}</definedName>
    <definedName name="wrn.CUST._.REV._.ALLOC._.INPUT." localSheetId="1" hidden="1">{"SECTK_JURIS_CUSTREV",#N/A,FALSE,"COSTSTUDY";"SECTK_OKCLS_CUSTREV",#N/A,FALSE,"COSTSTUDY"}</definedName>
    <definedName name="wrn.CUST._.REV._.ALLOC._.INPUT." localSheetId="32" hidden="1">{"SECTK_JURIS_CUSTREV",#N/A,FALSE,"COSTSTUDY";"SECTK_OKCLS_CUSTREV",#N/A,FALSE,"COSTSTUDY"}</definedName>
    <definedName name="wrn.CUST._.REV._.ALLOC._.INPUT." localSheetId="6" hidden="1">{"SECTK_JURIS_CUSTREV",#N/A,FALSE,"COSTSTUDY";"SECTK_OKCLS_CUSTREV",#N/A,FALSE,"COSTSTUDY"}</definedName>
    <definedName name="wrn.CUST._.REV._.ALLOC._.INPUT." localSheetId="4" hidden="1">{"SECTK_JURIS_CUSTREV",#N/A,FALSE,"COSTSTUDY";"SECTK_OKCLS_CUSTREV",#N/A,FALSE,"COSTSTUDY"}</definedName>
    <definedName name="wrn.CUST._.REV._.ALLOC._.INPUT." localSheetId="5" hidden="1">{"SECTK_JURIS_CUSTREV",#N/A,FALSE,"COSTSTUDY";"SECTK_OKCLS_CUSTREV",#N/A,FALSE,"COSTSTUDY"}</definedName>
    <definedName name="wrn.CUST._.REV._.ALLOC._.INPUT." localSheetId="7" hidden="1">{"SECTK_JURIS_CUSTREV",#N/A,FALSE,"COSTSTUDY";"SECTK_OKCLS_CUSTREV",#N/A,FALSE,"COSTSTUDY"}</definedName>
    <definedName name="wrn.CUST._.REV._.ALLOC._.INPUT." localSheetId="3" hidden="1">{"SECTK_JURIS_CUSTREV",#N/A,FALSE,"COSTSTUDY";"SECTK_OKCLS_CUSTREV",#N/A,FALSE,"COSTSTUDY"}</definedName>
    <definedName name="wrn.CUST._.REV._.ALLOC._.INPUT." localSheetId="29" hidden="1">{"SECTK_JURIS_CUSTREV",#N/A,FALSE,"COSTSTUDY";"SECTK_OKCLS_CUSTREV",#N/A,FALSE,"COSTSTUDY"}</definedName>
    <definedName name="wrn.CUST._.REV._.ALLOC._.INPUT." localSheetId="47" hidden="1">{"SECTK_JURIS_CUSTREV",#N/A,FALSE,"COSTSTUDY";"SECTK_OKCLS_CUSTREV",#N/A,FALSE,"COSTSTUDY"}</definedName>
    <definedName name="wrn.CUST._.REV._.ALLOC._.INPUT." hidden="1">{"SECTK_JURIS_CUSTREV",#N/A,FALSE,"COSTSTUDY";"SECTK_OKCLS_CUSTREV",#N/A,FALSE,"COSTSTUDY"}</definedName>
    <definedName name="wrn.CUSTOMER._.ALLOC._.RATIOS." localSheetId="1" hidden="1">{"JURIS_CUST_ALLOC_RATIOS",#N/A,FALSE,"COSTSTUDY";"OKCLS_CUST_ALLOC_RATIOS",#N/A,FALSE,"COSTSTUDY"}</definedName>
    <definedName name="wrn.CUSTOMER._.ALLOC._.RATIOS." localSheetId="32" hidden="1">{"JURIS_CUST_ALLOC_RATIOS",#N/A,FALSE,"COSTSTUDY";"OKCLS_CUST_ALLOC_RATIOS",#N/A,FALSE,"COSTSTUDY"}</definedName>
    <definedName name="wrn.CUSTOMER._.ALLOC._.RATIOS." localSheetId="6" hidden="1">{"JURIS_CUST_ALLOC_RATIOS",#N/A,FALSE,"COSTSTUDY";"OKCLS_CUST_ALLOC_RATIOS",#N/A,FALSE,"COSTSTUDY"}</definedName>
    <definedName name="wrn.CUSTOMER._.ALLOC._.RATIOS." localSheetId="4" hidden="1">{"JURIS_CUST_ALLOC_RATIOS",#N/A,FALSE,"COSTSTUDY";"OKCLS_CUST_ALLOC_RATIOS",#N/A,FALSE,"COSTSTUDY"}</definedName>
    <definedName name="wrn.CUSTOMER._.ALLOC._.RATIOS." localSheetId="5" hidden="1">{"JURIS_CUST_ALLOC_RATIOS",#N/A,FALSE,"COSTSTUDY";"OKCLS_CUST_ALLOC_RATIOS",#N/A,FALSE,"COSTSTUDY"}</definedName>
    <definedName name="wrn.CUSTOMER._.ALLOC._.RATIOS." localSheetId="7" hidden="1">{"JURIS_CUST_ALLOC_RATIOS",#N/A,FALSE,"COSTSTUDY";"OKCLS_CUST_ALLOC_RATIOS",#N/A,FALSE,"COSTSTUDY"}</definedName>
    <definedName name="wrn.CUSTOMER._.ALLOC._.RATIOS." localSheetId="3" hidden="1">{"JURIS_CUST_ALLOC_RATIOS",#N/A,FALSE,"COSTSTUDY";"OKCLS_CUST_ALLOC_RATIOS",#N/A,FALSE,"COSTSTUDY"}</definedName>
    <definedName name="wrn.CUSTOMER._.ALLOC._.RATIOS." localSheetId="29" hidden="1">{"JURIS_CUST_ALLOC_RATIOS",#N/A,FALSE,"COSTSTUDY";"OKCLS_CUST_ALLOC_RATIOS",#N/A,FALSE,"COSTSTUDY"}</definedName>
    <definedName name="wrn.CUSTOMER._.ALLOC._.RATIOS." localSheetId="47" hidden="1">{"JURIS_CUST_ALLOC_RATIOS",#N/A,FALSE,"COSTSTUDY";"OKCLS_CUST_ALLOC_RATIOS",#N/A,FALSE,"COSTSTUDY"}</definedName>
    <definedName name="wrn.CUSTOMER._.ALLOC._.RATIOS." hidden="1">{"JURIS_CUST_ALLOC_RATIOS",#N/A,FALSE,"COSTSTUDY";"OKCLS_CUST_ALLOC_RATIOS",#N/A,FALSE,"COSTSTUDY"}</definedName>
    <definedName name="wrn.CY_GL." localSheetId="1" hidden="1">{#N/A,#N/A,FALSE,"GLDwnLoad"}</definedName>
    <definedName name="wrn.CY_GL." localSheetId="32" hidden="1">{#N/A,#N/A,FALSE,"GLDwnLoad"}</definedName>
    <definedName name="wrn.CY_GL." localSheetId="6" hidden="1">{#N/A,#N/A,FALSE,"GLDwnLoad"}</definedName>
    <definedName name="wrn.CY_GL." localSheetId="4" hidden="1">{#N/A,#N/A,FALSE,"GLDwnLoad"}</definedName>
    <definedName name="wrn.CY_GL." localSheetId="5" hidden="1">{#N/A,#N/A,FALSE,"GLDwnLoad"}</definedName>
    <definedName name="wrn.CY_GL." localSheetId="7" hidden="1">{#N/A,#N/A,FALSE,"GLDwnLoad"}</definedName>
    <definedName name="wrn.CY_GL." localSheetId="3" hidden="1">{#N/A,#N/A,FALSE,"GLDwnLoad"}</definedName>
    <definedName name="wrn.CY_GL." localSheetId="47" hidden="1">{#N/A,#N/A,FALSE,"GLDwnLoad"}</definedName>
    <definedName name="wrn.CY_GL." hidden="1">{#N/A,#N/A,FALSE,"GLDwnLoad"}</definedName>
    <definedName name="wrn.CY_INPUTS." localSheetId="1" hidden="1">{#N/A,#N/A,FALSE,"OTHERINPUTS";#N/A,#N/A,FALSE,"DITRATEINPUTS";#N/A,#N/A,FALSE,"SUPPLIEDADJINPUT";#N/A,#N/A,FALSE,"TIMINGDIFFINPUTS";#N/A,#N/A,FALSE,"COSSINPUT";#N/A,#N/A,FALSE,"BR&amp;SUPADJ."}</definedName>
    <definedName name="wrn.CY_INPUTS." localSheetId="32" hidden="1">{#N/A,#N/A,FALSE,"OTHERINPUTS";#N/A,#N/A,FALSE,"DITRATEINPUTS";#N/A,#N/A,FALSE,"SUPPLIEDADJINPUT";#N/A,#N/A,FALSE,"TIMINGDIFFINPUTS";#N/A,#N/A,FALSE,"COSSINPUT";#N/A,#N/A,FALSE,"BR&amp;SUPADJ."}</definedName>
    <definedName name="wrn.CY_INPUTS." localSheetId="6" hidden="1">{#N/A,#N/A,FALSE,"OTHERINPUTS";#N/A,#N/A,FALSE,"DITRATEINPUTS";#N/A,#N/A,FALSE,"SUPPLIEDADJINPUT";#N/A,#N/A,FALSE,"TIMINGDIFFINPUTS";#N/A,#N/A,FALSE,"COSSINPUT";#N/A,#N/A,FALSE,"BR&amp;SUPADJ."}</definedName>
    <definedName name="wrn.CY_INPUTS." localSheetId="4" hidden="1">{#N/A,#N/A,FALSE,"OTHERINPUTS";#N/A,#N/A,FALSE,"DITRATEINPUTS";#N/A,#N/A,FALSE,"SUPPLIEDADJINPUT";#N/A,#N/A,FALSE,"TIMINGDIFFINPUTS";#N/A,#N/A,FALSE,"COSSINPUT";#N/A,#N/A,FALSE,"BR&amp;SUPADJ."}</definedName>
    <definedName name="wrn.CY_INPUTS." localSheetId="5" hidden="1">{#N/A,#N/A,FALSE,"OTHERINPUTS";#N/A,#N/A,FALSE,"DITRATEINPUTS";#N/A,#N/A,FALSE,"SUPPLIEDADJINPUT";#N/A,#N/A,FALSE,"TIMINGDIFFINPUTS";#N/A,#N/A,FALSE,"COSSINPUT";#N/A,#N/A,FALSE,"BR&amp;SUPADJ."}</definedName>
    <definedName name="wrn.CY_INPUTS." localSheetId="7" hidden="1">{#N/A,#N/A,FALSE,"OTHERINPUTS";#N/A,#N/A,FALSE,"DITRATEINPUTS";#N/A,#N/A,FALSE,"SUPPLIEDADJINPUT";#N/A,#N/A,FALSE,"TIMINGDIFFINPUTS";#N/A,#N/A,FALSE,"COSSINPUT";#N/A,#N/A,FALSE,"BR&amp;SUPADJ."}</definedName>
    <definedName name="wrn.CY_INPUTS." localSheetId="3" hidden="1">{#N/A,#N/A,FALSE,"OTHERINPUTS";#N/A,#N/A,FALSE,"DITRATEINPUTS";#N/A,#N/A,FALSE,"SUPPLIEDADJINPUT";#N/A,#N/A,FALSE,"TIMINGDIFFINPUTS";#N/A,#N/A,FALSE,"COSSINPUT";#N/A,#N/A,FALSE,"BR&amp;SUPADJ."}</definedName>
    <definedName name="wrn.CY_INPUTS." localSheetId="47" hidden="1">{#N/A,#N/A,FALSE,"OTHERINPUTS";#N/A,#N/A,FALSE,"DITRATEINPUTS";#N/A,#N/A,FALSE,"SUPPLIEDADJINPUT";#N/A,#N/A,FALSE,"TIMINGDIFFINPUTS";#N/A,#N/A,FALSE,"COSSINPUT";#N/A,#N/A,FALSE,"BR&amp;SUPADJ."}</definedName>
    <definedName name="wrn.CY_INPUTS." hidden="1">{#N/A,#N/A,FALSE,"OTHERINPUTS";#N/A,#N/A,FALSE,"DITRATEINPUTS";#N/A,#N/A,FALSE,"SUPPLIEDADJINPUT";#N/A,#N/A,FALSE,"TIMINGDIFFINPUTS";#N/A,#N/A,FALSE,"COSSINPUT";#N/A,#N/A,FALSE,"BR&amp;SUPADJ."}</definedName>
    <definedName name="wrn.CY_PROV."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localSheetId="1" hidden="1">{#N/A,#N/A,FALSE,"FAS109 Summary";#N/A,#N/A,FALSE,"FAS109 OPER 190 ITC";#N/A,#N/A,FALSE,"FAS109 OPER 190 Other";#N/A,#N/A,FALSE,"FAS109 OPER 282";#N/A,#N/A,FALSE,"FAS109 OPER 283";#N/A,#N/A,FALSE,"FAS109 Non OPER 283 ";#N/A,#N/A,FALSE,"J.E.UPLOAD DATA"}</definedName>
    <definedName name="wrn.CYFAS109." localSheetId="32" hidden="1">{#N/A,#N/A,FALSE,"FAS109 Summary";#N/A,#N/A,FALSE,"FAS109 OPER 190 ITC";#N/A,#N/A,FALSE,"FAS109 OPER 190 Other";#N/A,#N/A,FALSE,"FAS109 OPER 282";#N/A,#N/A,FALSE,"FAS109 OPER 283";#N/A,#N/A,FALSE,"FAS109 Non OPER 283 ";#N/A,#N/A,FALSE,"J.E.UPLOAD DATA"}</definedName>
    <definedName name="wrn.CYFAS109." localSheetId="6" hidden="1">{#N/A,#N/A,FALSE,"FAS109 Summary";#N/A,#N/A,FALSE,"FAS109 OPER 190 ITC";#N/A,#N/A,FALSE,"FAS109 OPER 190 Other";#N/A,#N/A,FALSE,"FAS109 OPER 282";#N/A,#N/A,FALSE,"FAS109 OPER 283";#N/A,#N/A,FALSE,"FAS109 Non OPER 283 ";#N/A,#N/A,FALSE,"J.E.UPLOAD DATA"}</definedName>
    <definedName name="wrn.CYFAS109." localSheetId="4" hidden="1">{#N/A,#N/A,FALSE,"FAS109 Summary";#N/A,#N/A,FALSE,"FAS109 OPER 190 ITC";#N/A,#N/A,FALSE,"FAS109 OPER 190 Other";#N/A,#N/A,FALSE,"FAS109 OPER 282";#N/A,#N/A,FALSE,"FAS109 OPER 283";#N/A,#N/A,FALSE,"FAS109 Non OPER 283 ";#N/A,#N/A,FALSE,"J.E.UPLOAD DATA"}</definedName>
    <definedName name="wrn.CYFAS109." localSheetId="5" hidden="1">{#N/A,#N/A,FALSE,"FAS109 Summary";#N/A,#N/A,FALSE,"FAS109 OPER 190 ITC";#N/A,#N/A,FALSE,"FAS109 OPER 190 Other";#N/A,#N/A,FALSE,"FAS109 OPER 282";#N/A,#N/A,FALSE,"FAS109 OPER 283";#N/A,#N/A,FALSE,"FAS109 Non OPER 283 ";#N/A,#N/A,FALSE,"J.E.UPLOAD DATA"}</definedName>
    <definedName name="wrn.CYFAS109." localSheetId="7" hidden="1">{#N/A,#N/A,FALSE,"FAS109 Summary";#N/A,#N/A,FALSE,"FAS109 OPER 190 ITC";#N/A,#N/A,FALSE,"FAS109 OPER 190 Other";#N/A,#N/A,FALSE,"FAS109 OPER 282";#N/A,#N/A,FALSE,"FAS109 OPER 283";#N/A,#N/A,FALSE,"FAS109 Non OPER 283 ";#N/A,#N/A,FALSE,"J.E.UPLOAD DATA"}</definedName>
    <definedName name="wrn.CYFAS109." localSheetId="3" hidden="1">{#N/A,#N/A,FALSE,"FAS109 Summary";#N/A,#N/A,FALSE,"FAS109 OPER 190 ITC";#N/A,#N/A,FALSE,"FAS109 OPER 190 Other";#N/A,#N/A,FALSE,"FAS109 OPER 282";#N/A,#N/A,FALSE,"FAS109 OPER 283";#N/A,#N/A,FALSE,"FAS109 Non OPER 283 ";#N/A,#N/A,FALSE,"J.E.UPLOAD DATA"}</definedName>
    <definedName name="wrn.CYFAS109." localSheetId="47" hidden="1">{#N/A,#N/A,FALSE,"FAS109 Summary";#N/A,#N/A,FALSE,"FAS109 OPER 190 ITC";#N/A,#N/A,FALSE,"FAS109 OPER 190 Other";#N/A,#N/A,FALSE,"FAS109 OPER 282";#N/A,#N/A,FALSE,"FAS109 OPER 283";#N/A,#N/A,FALSE,"FAS109 Non OPER 283 ";#N/A,#N/A,FALSE,"J.E.UPLOAD DATA"}</definedName>
    <definedName name="wrn.CYFAS109." hidden="1">{#N/A,#N/A,FALSE,"FAS109 Summary";#N/A,#N/A,FALSE,"FAS109 OPER 190 ITC";#N/A,#N/A,FALSE,"FAS109 OPER 190 Other";#N/A,#N/A,FALSE,"FAS109 OPER 282";#N/A,#N/A,FALSE,"FAS109 OPER 283";#N/A,#N/A,FALSE,"FAS109 Non OPER 283 ";#N/A,#N/A,FALSE,"J.E.UPLOAD DATA"}</definedName>
    <definedName name="wrn.Data._.dump." localSheetId="32" hidden="1">{"Input Data",#N/A,FALSE,"Input";"Income and Cash Flow",#N/A,FALSE,"Calculations"}</definedName>
    <definedName name="wrn.Data._.dump." localSheetId="6" hidden="1">{"Input Data",#N/A,FALSE,"Input";"Income and Cash Flow",#N/A,FALSE,"Calculations"}</definedName>
    <definedName name="wrn.Data._.dump." localSheetId="7" hidden="1">{"Input Data",#N/A,FALSE,"Input";"Income and Cash Flow",#N/A,FALSE,"Calculations"}</definedName>
    <definedName name="wrn.Data._.dump." localSheetId="3" hidden="1">{"Input Data",#N/A,FALSE,"Input";"Income and Cash Flow",#N/A,FALSE,"Calculations"}</definedName>
    <definedName name="wrn.Data._.dump." localSheetId="29" hidden="1">{"Input Data",#N/A,FALSE,"Input";"Income and Cash Flow",#N/A,FALSE,"Calculations"}</definedName>
    <definedName name="wrn.Data._.dump." localSheetId="47" hidden="1">{"Input Data",#N/A,FALSE,"Input";"Income and Cash Flow",#N/A,FALSE,"Calculations"}</definedName>
    <definedName name="wrn.Data._.dump." hidden="1">{"Input Data",#N/A,FALSE,"Input";"Income and Cash Flow",#N/A,FALSE,"Calculations"}</definedName>
    <definedName name="wrn.Deferral._.Forecast." localSheetId="32" hidden="1">{"Summary Deferral Forecast",#N/A,FALSE,"Deferral Forecast";"BGS Deferral Forecast",#N/A,FALSE,"BGS Deferral";"NNC Deferral Forecast",#N/A,FALSE,"NNC Deferral";"MTCDeferralForecast",#N/A,FALSE,"MTC Deferral";"SBC Deferral Forecast",#N/A,FALSE,"SBC Deferral"}</definedName>
    <definedName name="wrn.Deferral._.Forecast." localSheetId="6" hidden="1">{"Summary Deferral Forecast",#N/A,FALSE,"Deferral Forecast";"BGS Deferral Forecast",#N/A,FALSE,"BGS Deferral";"NNC Deferral Forecast",#N/A,FALSE,"NNC Deferral";"MTCDeferralForecast",#N/A,FALSE,"MTC Deferral";"SBC Deferral Forecast",#N/A,FALSE,"SBC Deferral"}</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29" hidden="1">{"Summary Deferral Forecast",#N/A,FALSE,"Deferral Forecast";"BGS Deferral Forecast",#N/A,FALSE,"BGS Deferral";"NNC Deferral Forecast",#N/A,FALSE,"NNC Deferral";"MTCDeferralForecast",#N/A,FALSE,"MTC Deferral";"SBC Deferral Forecast",#N/A,FALSE,"SBC Deferral"}</definedName>
    <definedName name="wrn.Deferral._.Forecast." localSheetId="47"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MAND._.ENERGY._.RATIOS." localSheetId="1" hidden="1">{"JURIS_DMDENRGY_RATIOS",#N/A,FALSE,"COSTSTUDY";"OKCLS_DMDENRGY_RATIOS",#N/A,FALSE,"COSTSTUDY"}</definedName>
    <definedName name="wrn.DEMAND._.ENERGY._.RATIOS." localSheetId="32" hidden="1">{"JURIS_DMDENRGY_RATIOS",#N/A,FALSE,"COSTSTUDY";"OKCLS_DMDENRGY_RATIOS",#N/A,FALSE,"COSTSTUDY"}</definedName>
    <definedName name="wrn.DEMAND._.ENERGY._.RATIOS." localSheetId="6" hidden="1">{"JURIS_DMDENRGY_RATIOS",#N/A,FALSE,"COSTSTUDY";"OKCLS_DMDENRGY_RATIOS",#N/A,FALSE,"COSTSTUDY"}</definedName>
    <definedName name="wrn.DEMAND._.ENERGY._.RATIOS." localSheetId="4" hidden="1">{"JURIS_DMDENRGY_RATIOS",#N/A,FALSE,"COSTSTUDY";"OKCLS_DMDENRGY_RATIOS",#N/A,FALSE,"COSTSTUDY"}</definedName>
    <definedName name="wrn.DEMAND._.ENERGY._.RATIOS." localSheetId="5" hidden="1">{"JURIS_DMDENRGY_RATIOS",#N/A,FALSE,"COSTSTUDY";"OKCLS_DMDENRGY_RATIOS",#N/A,FALSE,"COSTSTUDY"}</definedName>
    <definedName name="wrn.DEMAND._.ENERGY._.RATIOS." localSheetId="7" hidden="1">{"JURIS_DMDENRGY_RATIOS",#N/A,FALSE,"COSTSTUDY";"OKCLS_DMDENRGY_RATIOS",#N/A,FALSE,"COSTSTUDY"}</definedName>
    <definedName name="wrn.DEMAND._.ENERGY._.RATIOS." localSheetId="3" hidden="1">{"JURIS_DMDENRGY_RATIOS",#N/A,FALSE,"COSTSTUDY";"OKCLS_DMDENRGY_RATIOS",#N/A,FALSE,"COSTSTUDY"}</definedName>
    <definedName name="wrn.DEMAND._.ENERGY._.RATIOS." localSheetId="29" hidden="1">{"JURIS_DMDENRGY_RATIOS",#N/A,FALSE,"COSTSTUDY";"OKCLS_DMDENRGY_RATIOS",#N/A,FALSE,"COSTSTUDY"}</definedName>
    <definedName name="wrn.DEMAND._.ENERGY._.RATIOS." localSheetId="47" hidden="1">{"JURIS_DMDENRGY_RATIOS",#N/A,FALSE,"COSTSTUDY";"OKCLS_DMDENRGY_RATIOS",#N/A,FALSE,"COSTSTUDY"}</definedName>
    <definedName name="wrn.DEMAND._.ENERGY._.RATIOS." hidden="1">{"JURIS_DMDENRGY_RATIOS",#N/A,FALSE,"COSTSTUDY";"OKCLS_DMDENRGY_RATIOS",#N/A,FALSE,"COSTSTUDY"}</definedName>
    <definedName name="wrn.DEPRECIATION._.EXPENSE." localSheetId="1" hidden="1">{"JURIS_DEPR_EXP",#N/A,FALSE,"COSTSTUDY";"OKCLS_DEPR_EXP",#N/A,FALSE,"COSTSTUDY"}</definedName>
    <definedName name="wrn.DEPRECIATION._.EXPENSE." localSheetId="32" hidden="1">{"JURIS_DEPR_EXP",#N/A,FALSE,"COSTSTUDY";"OKCLS_DEPR_EXP",#N/A,FALSE,"COSTSTUDY"}</definedName>
    <definedName name="wrn.DEPRECIATION._.EXPENSE." localSheetId="6" hidden="1">{"JURIS_DEPR_EXP",#N/A,FALSE,"COSTSTUDY";"OKCLS_DEPR_EXP",#N/A,FALSE,"COSTSTUDY"}</definedName>
    <definedName name="wrn.DEPRECIATION._.EXPENSE." localSheetId="4" hidden="1">{"JURIS_DEPR_EXP",#N/A,FALSE,"COSTSTUDY";"OKCLS_DEPR_EXP",#N/A,FALSE,"COSTSTUDY"}</definedName>
    <definedName name="wrn.DEPRECIATION._.EXPENSE." localSheetId="5" hidden="1">{"JURIS_DEPR_EXP",#N/A,FALSE,"COSTSTUDY";"OKCLS_DEPR_EXP",#N/A,FALSE,"COSTSTUDY"}</definedName>
    <definedName name="wrn.DEPRECIATION._.EXPENSE." localSheetId="7" hidden="1">{"JURIS_DEPR_EXP",#N/A,FALSE,"COSTSTUDY";"OKCLS_DEPR_EXP",#N/A,FALSE,"COSTSTUDY"}</definedName>
    <definedName name="wrn.DEPRECIATION._.EXPENSE." localSheetId="3" hidden="1">{"JURIS_DEPR_EXP",#N/A,FALSE,"COSTSTUDY";"OKCLS_DEPR_EXP",#N/A,FALSE,"COSTSTUDY"}</definedName>
    <definedName name="wrn.DEPRECIATION._.EXPENSE." localSheetId="29" hidden="1">{"JURIS_DEPR_EXP",#N/A,FALSE,"COSTSTUDY";"OKCLS_DEPR_EXP",#N/A,FALSE,"COSTSTUDY"}</definedName>
    <definedName name="wrn.DEPRECIATION._.EXPENSE." localSheetId="47" hidden="1">{"JURIS_DEPR_EXP",#N/A,FALSE,"COSTSTUDY";"OKCLS_DEPR_EXP",#N/A,FALSE,"COSTSTUDY"}</definedName>
    <definedName name="wrn.DEPRECIATION._.EXPENSE." hidden="1">{"JURIS_DEPR_EXP",#N/A,FALSE,"COSTSTUDY";"OKCLS_DEPR_EXP",#N/A,FALSE,"COSTSTUDY"}</definedName>
    <definedName name="wrn.Description_._.Assumption." localSheetId="1" hidden="1">{"Assumption-Description",#N/A,FALSE,"Assumptions"}</definedName>
    <definedName name="wrn.Description_._.Assumption." localSheetId="32" hidden="1">{"Assumption-Description",#N/A,FALSE,"Assumptions"}</definedName>
    <definedName name="wrn.Description_._.Assumption." localSheetId="6" hidden="1">{"Assumption-Description",#N/A,FALSE,"Assumptions"}</definedName>
    <definedName name="wrn.Description_._.Assumption." localSheetId="4" hidden="1">{"Assumption-Description",#N/A,FALSE,"Assumptions"}</definedName>
    <definedName name="wrn.Description_._.Assumption." localSheetId="5" hidden="1">{"Assumption-Description",#N/A,FALSE,"Assumptions"}</definedName>
    <definedName name="wrn.Description_._.Assumption." localSheetId="7" hidden="1">{"Assumption-Description",#N/A,FALSE,"Assumptions"}</definedName>
    <definedName name="wrn.Description_._.Assumption." localSheetId="3" hidden="1">{"Assumption-Description",#N/A,FALSE,"Assumptions"}</definedName>
    <definedName name="wrn.Description_._.Assumption." localSheetId="29" hidden="1">{"Assumption-Description",#N/A,FALSE,"Assumptions"}</definedName>
    <definedName name="wrn.Description_._.Assumption." localSheetId="47" hidden="1">{"Assumption-Description",#N/A,FALSE,"Assumptions"}</definedName>
    <definedName name="wrn.Description_._.Assumption." hidden="1">{"Assumption-Description",#N/A,FALSE,"Assumptions"}</definedName>
    <definedName name="wrn.Detail." localSheetId="1" hidden="1">{"Print_Detail",#N/A,FALSE,"Redemption_Maturity Extract"}</definedName>
    <definedName name="wrn.Detail." localSheetId="32" hidden="1">{"Print_Detail",#N/A,FALSE,"Redemption_Maturity Extract"}</definedName>
    <definedName name="wrn.Detail." localSheetId="6" hidden="1">{"Print_Detail",#N/A,FALSE,"Redemption_Maturity Extract"}</definedName>
    <definedName name="wrn.Detail." localSheetId="4" hidden="1">{"Print_Detail",#N/A,FALSE,"Redemption_Maturity Extract"}</definedName>
    <definedName name="wrn.Detail." localSheetId="5" hidden="1">{"Print_Detail",#N/A,FALSE,"Redemption_Maturity Extract"}</definedName>
    <definedName name="wrn.Detail." localSheetId="7" hidden="1">{"Print_Detail",#N/A,FALSE,"Redemption_Maturity Extract"}</definedName>
    <definedName name="wrn.Detail." localSheetId="3" hidden="1">{"Print_Detail",#N/A,FALSE,"Redemption_Maturity Extract"}</definedName>
    <definedName name="wrn.Detail." localSheetId="47" hidden="1">{"Print_Detail",#N/A,FALSE,"Redemption_Maturity Extract"}</definedName>
    <definedName name="wrn.Detail." hidden="1">{"Print_Detail",#N/A,FALSE,"Redemption_Maturity Extract"}</definedName>
    <definedName name="wrn.DEVLP._.LABOR._.ALLOC." localSheetId="1" hidden="1">{"JURIS_LAB_ALOC_DEVLP",#N/A,FALSE,"COSTSTUDY";"OKCLS_LAB_ALOC_DEVLP",#N/A,FALSE,"COSTSTUDY"}</definedName>
    <definedName name="wrn.DEVLP._.LABOR._.ALLOC." localSheetId="32" hidden="1">{"JURIS_LAB_ALOC_DEVLP",#N/A,FALSE,"COSTSTUDY";"OKCLS_LAB_ALOC_DEVLP",#N/A,FALSE,"COSTSTUDY"}</definedName>
    <definedName name="wrn.DEVLP._.LABOR._.ALLOC." localSheetId="6" hidden="1">{"JURIS_LAB_ALOC_DEVLP",#N/A,FALSE,"COSTSTUDY";"OKCLS_LAB_ALOC_DEVLP",#N/A,FALSE,"COSTSTUDY"}</definedName>
    <definedName name="wrn.DEVLP._.LABOR._.ALLOC." localSheetId="4" hidden="1">{"JURIS_LAB_ALOC_DEVLP",#N/A,FALSE,"COSTSTUDY";"OKCLS_LAB_ALOC_DEVLP",#N/A,FALSE,"COSTSTUDY"}</definedName>
    <definedName name="wrn.DEVLP._.LABOR._.ALLOC." localSheetId="5" hidden="1">{"JURIS_LAB_ALOC_DEVLP",#N/A,FALSE,"COSTSTUDY";"OKCLS_LAB_ALOC_DEVLP",#N/A,FALSE,"COSTSTUDY"}</definedName>
    <definedName name="wrn.DEVLP._.LABOR._.ALLOC." localSheetId="7" hidden="1">{"JURIS_LAB_ALOC_DEVLP",#N/A,FALSE,"COSTSTUDY";"OKCLS_LAB_ALOC_DEVLP",#N/A,FALSE,"COSTSTUDY"}</definedName>
    <definedName name="wrn.DEVLP._.LABOR._.ALLOC." localSheetId="3" hidden="1">{"JURIS_LAB_ALOC_DEVLP",#N/A,FALSE,"COSTSTUDY";"OKCLS_LAB_ALOC_DEVLP",#N/A,FALSE,"COSTSTUDY"}</definedName>
    <definedName name="wrn.DEVLP._.LABOR._.ALLOC." localSheetId="29" hidden="1">{"JURIS_LAB_ALOC_DEVLP",#N/A,FALSE,"COSTSTUDY";"OKCLS_LAB_ALOC_DEVLP",#N/A,FALSE,"COSTSTUDY"}</definedName>
    <definedName name="wrn.DEVLP._.LABOR._.ALLOC." localSheetId="47" hidden="1">{"JURIS_LAB_ALOC_DEVLP",#N/A,FALSE,"COSTSTUDY";"OKCLS_LAB_ALOC_DEVLP",#N/A,FALSE,"COSTSTUDY"}</definedName>
    <definedName name="wrn.DEVLP._.LABOR._.ALLOC." hidden="1">{"JURIS_LAB_ALOC_DEVLP",#N/A,FALSE,"COSTSTUDY";"OKCLS_LAB_ALOC_DEVLP",#N/A,FALSE,"COSTSTUDY"}</definedName>
    <definedName name="wrn.Diane._.s._.Version." localSheetId="1" hidden="1">{"Full",#N/A,FALSE,"Sec MTN B Summary"}</definedName>
    <definedName name="wrn.Diane._.s._.Version." localSheetId="32" hidden="1">{"Full",#N/A,FALSE,"Sec MTN B Summary"}</definedName>
    <definedName name="wrn.Diane._.s._.Version." localSheetId="6" hidden="1">{"Full",#N/A,FALSE,"Sec MTN B Summary"}</definedName>
    <definedName name="wrn.Diane._.s._.Version." localSheetId="4" hidden="1">{"Full",#N/A,FALSE,"Sec MTN B Summary"}</definedName>
    <definedName name="wrn.Diane._.s._.Version." localSheetId="5" hidden="1">{"Full",#N/A,FALSE,"Sec MTN B Summary"}</definedName>
    <definedName name="wrn.Diane._.s._.Version." localSheetId="7" hidden="1">{"Full",#N/A,FALSE,"Sec MTN B Summary"}</definedName>
    <definedName name="wrn.Diane._.s._.Version." localSheetId="3" hidden="1">{"Full",#N/A,FALSE,"Sec MTN B Summary"}</definedName>
    <definedName name="wrn.Diane._.s._.Version." localSheetId="47" hidden="1">{"Full",#N/A,FALSE,"Sec MTN B Summary"}</definedName>
    <definedName name="wrn.Diane._.s._.Version." hidden="1">{"Full",#N/A,FALSE,"Sec MTN B Summary"}</definedName>
    <definedName name="wrn.Distribution._.Version." localSheetId="1" hidden="1">{"RedPrem_InitRed View",#N/A,FALSE,"Sec MTN B Summary"}</definedName>
    <definedName name="wrn.Distribution._.Version." localSheetId="32" hidden="1">{"RedPrem_InitRed View",#N/A,FALSE,"Sec MTN B Summary"}</definedName>
    <definedName name="wrn.Distribution._.Version." localSheetId="6" hidden="1">{"RedPrem_InitRed View",#N/A,FALSE,"Sec MTN B Summary"}</definedName>
    <definedName name="wrn.Distribution._.Version." localSheetId="4" hidden="1">{"RedPrem_InitRed View",#N/A,FALSE,"Sec MTN B Summary"}</definedName>
    <definedName name="wrn.Distribution._.Version." localSheetId="5" hidden="1">{"RedPrem_InitRed View",#N/A,FALSE,"Sec MTN B Summary"}</definedName>
    <definedName name="wrn.Distribution._.Version." localSheetId="7" hidden="1">{"RedPrem_InitRed View",#N/A,FALSE,"Sec MTN B Summary"}</definedName>
    <definedName name="wrn.Distribution._.Version." localSheetId="3" hidden="1">{"RedPrem_InitRed View",#N/A,FALSE,"Sec MTN B Summary"}</definedName>
    <definedName name="wrn.Distribution._.Version." localSheetId="47" hidden="1">{"RedPrem_InitRed View",#N/A,FALSE,"Sec MTN B Summary"}</definedName>
    <definedName name="wrn.Distribution._.Version." hidden="1">{"RedPrem_InitRed View",#N/A,FALSE,"Sec MTN B Summary"}</definedName>
    <definedName name="wrn.DMD._.ENERGY._.ALLOC._.INPUT." localSheetId="1" hidden="1">{"JURIS_DMDENRGY_AL_INPUT",#N/A,FALSE,"COSTSTUDY";"OKCLS_DMDENRGY_AL_INPUT",#N/A,FALSE,"COSTSTUDY"}</definedName>
    <definedName name="wrn.DMD._.ENERGY._.ALLOC._.INPUT." localSheetId="32" hidden="1">{"JURIS_DMDENRGY_AL_INPUT",#N/A,FALSE,"COSTSTUDY";"OKCLS_DMDENRGY_AL_INPUT",#N/A,FALSE,"COSTSTUDY"}</definedName>
    <definedName name="wrn.DMD._.ENERGY._.ALLOC._.INPUT." localSheetId="6" hidden="1">{"JURIS_DMDENRGY_AL_INPUT",#N/A,FALSE,"COSTSTUDY";"OKCLS_DMDENRGY_AL_INPUT",#N/A,FALSE,"COSTSTUDY"}</definedName>
    <definedName name="wrn.DMD._.ENERGY._.ALLOC._.INPUT." localSheetId="4" hidden="1">{"JURIS_DMDENRGY_AL_INPUT",#N/A,FALSE,"COSTSTUDY";"OKCLS_DMDENRGY_AL_INPUT",#N/A,FALSE,"COSTSTUDY"}</definedName>
    <definedName name="wrn.DMD._.ENERGY._.ALLOC._.INPUT." localSheetId="5" hidden="1">{"JURIS_DMDENRGY_AL_INPUT",#N/A,FALSE,"COSTSTUDY";"OKCLS_DMDENRGY_AL_INPUT",#N/A,FALSE,"COSTSTUDY"}</definedName>
    <definedName name="wrn.DMD._.ENERGY._.ALLOC._.INPUT." localSheetId="7" hidden="1">{"JURIS_DMDENRGY_AL_INPUT",#N/A,FALSE,"COSTSTUDY";"OKCLS_DMDENRGY_AL_INPUT",#N/A,FALSE,"COSTSTUDY"}</definedName>
    <definedName name="wrn.DMD._.ENERGY._.ALLOC._.INPUT." localSheetId="3" hidden="1">{"JURIS_DMDENRGY_AL_INPUT",#N/A,FALSE,"COSTSTUDY";"OKCLS_DMDENRGY_AL_INPUT",#N/A,FALSE,"COSTSTUDY"}</definedName>
    <definedName name="wrn.DMD._.ENERGY._.ALLOC._.INPUT." localSheetId="29" hidden="1">{"JURIS_DMDENRGY_AL_INPUT",#N/A,FALSE,"COSTSTUDY";"OKCLS_DMDENRGY_AL_INPUT",#N/A,FALSE,"COSTSTUDY"}</definedName>
    <definedName name="wrn.DMD._.ENERGY._.ALLOC._.INPUT." localSheetId="47" hidden="1">{"JURIS_DMDENRGY_AL_INPUT",#N/A,FALSE,"COSTSTUDY";"OKCLS_DMDENRGY_AL_INPUT",#N/A,FALSE,"COSTSTUDY"}</definedName>
    <definedName name="wrn.DMD._.ENERGY._.ALLOC._.INPUT." hidden="1">{"JURIS_DMDENRGY_AL_INPUT",#N/A,FALSE,"COSTSTUDY";"OKCLS_DMDENRGY_AL_INPUT",#N/A,FALSE,"COSTSTUDY"}</definedName>
    <definedName name="wrn.Earnings._.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LIM_CWO." localSheetId="1" hidden="1">{"ELIM_CWO_ISV",#N/A,FALSE,"Sheet1";"ELIM_CWO_SAV",#N/A,FALSE,"Sheet1";"ELIM_CWO_BSV",#N/A,FALSE,"Sheet1";"ELIM_CWO_SFDV",#N/A,FALSE,"Sheet1"}</definedName>
    <definedName name="wrn.ELIM_CWO." localSheetId="32" hidden="1">{"ELIM_CWO_ISV",#N/A,FALSE,"Sheet1";"ELIM_CWO_SAV",#N/A,FALSE,"Sheet1";"ELIM_CWO_BSV",#N/A,FALSE,"Sheet1";"ELIM_CWO_SFDV",#N/A,FALSE,"Sheet1"}</definedName>
    <definedName name="wrn.ELIM_CWO." localSheetId="6" hidden="1">{"ELIM_CWO_ISV",#N/A,FALSE,"Sheet1";"ELIM_CWO_SAV",#N/A,FALSE,"Sheet1";"ELIM_CWO_BSV",#N/A,FALSE,"Sheet1";"ELIM_CWO_SFDV",#N/A,FALSE,"Sheet1"}</definedName>
    <definedName name="wrn.ELIM_CWO." localSheetId="4" hidden="1">{"ELIM_CWO_ISV",#N/A,FALSE,"Sheet1";"ELIM_CWO_SAV",#N/A,FALSE,"Sheet1";"ELIM_CWO_BSV",#N/A,FALSE,"Sheet1";"ELIM_CWO_SFDV",#N/A,FALSE,"Sheet1"}</definedName>
    <definedName name="wrn.ELIM_CWO." localSheetId="5" hidden="1">{"ELIM_CWO_ISV",#N/A,FALSE,"Sheet1";"ELIM_CWO_SAV",#N/A,FALSE,"Sheet1";"ELIM_CWO_BSV",#N/A,FALSE,"Sheet1";"ELIM_CWO_SFDV",#N/A,FALSE,"Sheet1"}</definedName>
    <definedName name="wrn.ELIM_CWO." localSheetId="7" hidden="1">{"ELIM_CWO_ISV",#N/A,FALSE,"Sheet1";"ELIM_CWO_SAV",#N/A,FALSE,"Sheet1";"ELIM_CWO_BSV",#N/A,FALSE,"Sheet1";"ELIM_CWO_SFDV",#N/A,FALSE,"Sheet1"}</definedName>
    <definedName name="wrn.ELIM_CWO." localSheetId="3" hidden="1">{"ELIM_CWO_ISV",#N/A,FALSE,"Sheet1";"ELIM_CWO_SAV",#N/A,FALSE,"Sheet1";"ELIM_CWO_BSV",#N/A,FALSE,"Sheet1";"ELIM_CWO_SFDV",#N/A,FALSE,"Sheet1"}</definedName>
    <definedName name="wrn.ELIM_CWO." localSheetId="29" hidden="1">{"ELIM_CWO_ISV",#N/A,FALSE,"Sheet1";"ELIM_CWO_SAV",#N/A,FALSE,"Sheet1";"ELIM_CWO_BSV",#N/A,FALSE,"Sheet1";"ELIM_CWO_SFDV",#N/A,FALSE,"Sheet1"}</definedName>
    <definedName name="wrn.ELIM_CWO." localSheetId="47" hidden="1">{"ELIM_CWO_ISV",#N/A,FALSE,"Sheet1";"ELIM_CWO_SAV",#N/A,FALSE,"Sheet1";"ELIM_CWO_BSV",#N/A,FALSE,"Sheet1";"ELIM_CWO_SFDV",#N/A,FALSE,"Sheet1"}</definedName>
    <definedName name="wrn.ELIM_CWO." hidden="1">{"ELIM_CWO_ISV",#N/A,FALSE,"Sheet1";"ELIM_CWO_SAV",#N/A,FALSE,"Sheet1";"ELIM_CWO_BSV",#N/A,FALSE,"Sheet1";"ELIM_CWO_SFDV",#N/A,FALSE,"Sheet1"}</definedName>
    <definedName name="wrn.ELIM_UWNJ_UWNY." localSheetId="1" hidden="1">{"ELIM_UWNJ_UWNY_ISV",#N/A,FALSE,"Sheet1";"ELIM_UWNJ_UWNY_SAV",#N/A,FALSE,"Sheet1";"ELIM_UWNJ_UWNY_BSV",#N/A,FALSE,"Sheet1";"ELIM_UWNJ_UWNY_SFDV",#N/A,FALSE,"Sheet1"}</definedName>
    <definedName name="wrn.ELIM_UWNJ_UWNY." localSheetId="32" hidden="1">{"ELIM_UWNJ_UWNY_ISV",#N/A,FALSE,"Sheet1";"ELIM_UWNJ_UWNY_SAV",#N/A,FALSE,"Sheet1";"ELIM_UWNJ_UWNY_BSV",#N/A,FALSE,"Sheet1";"ELIM_UWNJ_UWNY_SFDV",#N/A,FALSE,"Sheet1"}</definedName>
    <definedName name="wrn.ELIM_UWNJ_UWNY." localSheetId="6" hidden="1">{"ELIM_UWNJ_UWNY_ISV",#N/A,FALSE,"Sheet1";"ELIM_UWNJ_UWNY_SAV",#N/A,FALSE,"Sheet1";"ELIM_UWNJ_UWNY_BSV",#N/A,FALSE,"Sheet1";"ELIM_UWNJ_UWNY_SFDV",#N/A,FALSE,"Sheet1"}</definedName>
    <definedName name="wrn.ELIM_UWNJ_UWNY." localSheetId="4" hidden="1">{"ELIM_UWNJ_UWNY_ISV",#N/A,FALSE,"Sheet1";"ELIM_UWNJ_UWNY_SAV",#N/A,FALSE,"Sheet1";"ELIM_UWNJ_UWNY_BSV",#N/A,FALSE,"Sheet1";"ELIM_UWNJ_UWNY_SFDV",#N/A,FALSE,"Sheet1"}</definedName>
    <definedName name="wrn.ELIM_UWNJ_UWNY." localSheetId="5" hidden="1">{"ELIM_UWNJ_UWNY_ISV",#N/A,FALSE,"Sheet1";"ELIM_UWNJ_UWNY_SAV",#N/A,FALSE,"Sheet1";"ELIM_UWNJ_UWNY_BSV",#N/A,FALSE,"Sheet1";"ELIM_UWNJ_UWNY_SFDV",#N/A,FALSE,"Sheet1"}</definedName>
    <definedName name="wrn.ELIM_UWNJ_UWNY." localSheetId="7" hidden="1">{"ELIM_UWNJ_UWNY_ISV",#N/A,FALSE,"Sheet1";"ELIM_UWNJ_UWNY_SAV",#N/A,FALSE,"Sheet1";"ELIM_UWNJ_UWNY_BSV",#N/A,FALSE,"Sheet1";"ELIM_UWNJ_UWNY_SFDV",#N/A,FALSE,"Sheet1"}</definedName>
    <definedName name="wrn.ELIM_UWNJ_UWNY." localSheetId="3" hidden="1">{"ELIM_UWNJ_UWNY_ISV",#N/A,FALSE,"Sheet1";"ELIM_UWNJ_UWNY_SAV",#N/A,FALSE,"Sheet1";"ELIM_UWNJ_UWNY_BSV",#N/A,FALSE,"Sheet1";"ELIM_UWNJ_UWNY_SFDV",#N/A,FALSE,"Sheet1"}</definedName>
    <definedName name="wrn.ELIM_UWNJ_UWNY." localSheetId="29" hidden="1">{"ELIM_UWNJ_UWNY_ISV",#N/A,FALSE,"Sheet1";"ELIM_UWNJ_UWNY_SAV",#N/A,FALSE,"Sheet1";"ELIM_UWNJ_UWNY_BSV",#N/A,FALSE,"Sheet1";"ELIM_UWNJ_UWNY_SFDV",#N/A,FALSE,"Sheet1"}</definedName>
    <definedName name="wrn.ELIM_UWNJ_UWNY." localSheetId="47" hidden="1">{"ELIM_UWNJ_UWNY_ISV",#N/A,FALSE,"Sheet1";"ELIM_UWNJ_UWNY_SAV",#N/A,FALSE,"Sheet1";"ELIM_UWNJ_UWNY_BSV",#N/A,FALSE,"Sheet1";"ELIM_UWNJ_UWNY_SFDV",#N/A,FALSE,"Sheet1"}</definedName>
    <definedName name="wrn.ELIM_UWNJ_UWNY." hidden="1">{"ELIM_UWNJ_UWNY_ISV",#N/A,FALSE,"Sheet1";"ELIM_UWNJ_UWNY_SAV",#N/A,FALSE,"Sheet1";"ELIM_UWNJ_UWNY_BSV",#N/A,FALSE,"Sheet1";"ELIM_UWNJ_UWNY_SFDV",#N/A,FALSE,"Sheet1"}</definedName>
    <definedName name="wrn.Exhibits._.Clean." localSheetId="32" hidden="1">{"Exhibit 1",#N/A,FALSE,"MCMANEUS EXH 1";"Exhibit 5",#N/A,FALSE,"MCMANEUS EXH 5";"Exhibit 6",#N/A,FALSE,"MCMANEUS EXH 6";"Exhibit 7",#N/A,FALSE,"MCMANEUS EXH 7";"Exhibit 8",#N/A,FALSE,"MCMANEUS EXH 8";"Exhibit 9",#N/A,FALSE,"MCMANEUS EXH 9"}</definedName>
    <definedName name="wrn.Exhibits._.Clean." localSheetId="6" hidden="1">{"Exhibit 1",#N/A,FALSE,"MCMANEUS EXH 1";"Exhibit 5",#N/A,FALSE,"MCMANEUS EXH 5";"Exhibit 6",#N/A,FALSE,"MCMANEUS EXH 6";"Exhibit 7",#N/A,FALSE,"MCMANEUS EXH 7";"Exhibit 8",#N/A,FALSE,"MCMANEUS EXH 8";"Exhibit 9",#N/A,FALSE,"MCMANEUS EXH 9"}</definedName>
    <definedName name="wrn.Exhibits._.Clean." localSheetId="7" hidden="1">{"Exhibit 1",#N/A,FALSE,"MCMANEUS EXH 1";"Exhibit 5",#N/A,FALSE,"MCMANEUS EXH 5";"Exhibit 6",#N/A,FALSE,"MCMANEUS EXH 6";"Exhibit 7",#N/A,FALSE,"MCMANEUS EXH 7";"Exhibit 8",#N/A,FALSE,"MCMANEUS EXH 8";"Exhibit 9",#N/A,FALSE,"MCMANEUS EXH 9"}</definedName>
    <definedName name="wrn.Exhibits._.Clean." localSheetId="3" hidden="1">{"Exhibit 1",#N/A,FALSE,"MCMANEUS EXH 1";"Exhibit 5",#N/A,FALSE,"MCMANEUS EXH 5";"Exhibit 6",#N/A,FALSE,"MCMANEUS EXH 6";"Exhibit 7",#N/A,FALSE,"MCMANEUS EXH 7";"Exhibit 8",#N/A,FALSE,"MCMANEUS EXH 8";"Exhibit 9",#N/A,FALSE,"MCMANEUS EXH 9"}</definedName>
    <definedName name="wrn.Exhibits._.Clean." localSheetId="47"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FAC._.SUMMARY." localSheetId="1" hidden="1">{"FAC_SUMMARY",#N/A,FALSE,"Summaries"}</definedName>
    <definedName name="wrn.FAC._.SUMMARY." localSheetId="32" hidden="1">{"FAC_SUMMARY",#N/A,FALSE,"Summaries"}</definedName>
    <definedName name="wrn.FAC._.SUMMARY." localSheetId="6" hidden="1">{"FAC_SUMMARY",#N/A,FALSE,"Summaries"}</definedName>
    <definedName name="wrn.FAC._.SUMMARY." localSheetId="4" hidden="1">{"FAC_SUMMARY",#N/A,FALSE,"Summaries"}</definedName>
    <definedName name="wrn.FAC._.SUMMARY." localSheetId="5" hidden="1">{"FAC_SUMMARY",#N/A,FALSE,"Summaries"}</definedName>
    <definedName name="wrn.FAC._.SUMMARY." localSheetId="7" hidden="1">{"FAC_SUMMARY",#N/A,FALSE,"Summaries"}</definedName>
    <definedName name="wrn.FAC._.SUMMARY." localSheetId="3" hidden="1">{"FAC_SUMMARY",#N/A,FALSE,"Summaries"}</definedName>
    <definedName name="wrn.FAC._.SUMMARY." localSheetId="47" hidden="1">{"FAC_SUMMARY",#N/A,FALSE,"Summaries"}</definedName>
    <definedName name="wrn.FAC._.SUMMARY." hidden="1">{"FAC_SUMMARY",#N/A,FALSE,"Summaries"}</definedName>
    <definedName name="wrn.FAS109." localSheetId="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2"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6"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4"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5"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4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eb._.Senior._.Staff." localSheetId="3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3"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4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RC._.FAC._.CALC." localSheetId="1" hidden="1">{"FERC_FAC",#N/A,FALSE,"FERC_Fuel&amp;Rev"}</definedName>
    <definedName name="wrn.FERC._.FAC._.CALC." localSheetId="32" hidden="1">{"FERC_FAC",#N/A,FALSE,"FERC_Fuel&amp;Rev"}</definedName>
    <definedName name="wrn.FERC._.FAC._.CALC." localSheetId="6" hidden="1">{"FERC_FAC",#N/A,FALSE,"FERC_Fuel&amp;Rev"}</definedName>
    <definedName name="wrn.FERC._.FAC._.CALC." localSheetId="4" hidden="1">{"FERC_FAC",#N/A,FALSE,"FERC_Fuel&amp;Rev"}</definedName>
    <definedName name="wrn.FERC._.FAC._.CALC." localSheetId="5" hidden="1">{"FERC_FAC",#N/A,FALSE,"FERC_Fuel&amp;Rev"}</definedName>
    <definedName name="wrn.FERC._.FAC._.CALC." localSheetId="7" hidden="1">{"FERC_FAC",#N/A,FALSE,"FERC_Fuel&amp;Rev"}</definedName>
    <definedName name="wrn.FERC._.FAC._.CALC." localSheetId="3" hidden="1">{"FERC_FAC",#N/A,FALSE,"FERC_Fuel&amp;Rev"}</definedName>
    <definedName name="wrn.FERC._.FAC._.CALC." localSheetId="47" hidden="1">{"FERC_FAC",#N/A,FALSE,"FERC_Fuel&amp;Rev"}</definedName>
    <definedName name="wrn.FERC._.FAC._.CALC." hidden="1">{"FERC_FAC",#N/A,FALSE,"FERC_Fuel&amp;Rev"}</definedName>
    <definedName name="wrn.FERC._.WEATHER._.and._.JURIS._.FUEL." localSheetId="1" hidden="1">{"FERC_WEATHER_AND_FUEL",#N/A,FALSE,"FERC_Fuel&amp;Rev"}</definedName>
    <definedName name="wrn.FERC._.WEATHER._.and._.JURIS._.FUEL." localSheetId="32" hidden="1">{"FERC_WEATHER_AND_FUEL",#N/A,FALSE,"FERC_Fuel&amp;Rev"}</definedName>
    <definedName name="wrn.FERC._.WEATHER._.and._.JURIS._.FUEL." localSheetId="6" hidden="1">{"FERC_WEATHER_AND_FUEL",#N/A,FALSE,"FERC_Fuel&amp;Rev"}</definedName>
    <definedName name="wrn.FERC._.WEATHER._.and._.JURIS._.FUEL." localSheetId="4" hidden="1">{"FERC_WEATHER_AND_FUEL",#N/A,FALSE,"FERC_Fuel&amp;Rev"}</definedName>
    <definedName name="wrn.FERC._.WEATHER._.and._.JURIS._.FUEL." localSheetId="5" hidden="1">{"FERC_WEATHER_AND_FUEL",#N/A,FALSE,"FERC_Fuel&amp;Rev"}</definedName>
    <definedName name="wrn.FERC._.WEATHER._.and._.JURIS._.FUEL." localSheetId="7" hidden="1">{"FERC_WEATHER_AND_FUEL",#N/A,FALSE,"FERC_Fuel&amp;Rev"}</definedName>
    <definedName name="wrn.FERC._.WEATHER._.and._.JURIS._.FUEL." localSheetId="3" hidden="1">{"FERC_WEATHER_AND_FUEL",#N/A,FALSE,"FERC_Fuel&amp;Rev"}</definedName>
    <definedName name="wrn.FERC._.WEATHER._.and._.JURIS._.FUEL." localSheetId="47" hidden="1">{"FERC_WEATHER_AND_FUEL",#N/A,FALSE,"FERC_Fuel&amp;Rev"}</definedName>
    <definedName name="wrn.FERC._.WEATHER._.and._.JURIS._.FUEL." hidden="1">{"FERC_WEATHER_AND_FUEL",#N/A,FALSE,"FERC_Fuel&amp;Rev"}</definedName>
    <definedName name="wrn.Filing." localSheetId="3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4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_.Update." localSheetId="3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6"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3"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2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4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n_Book." localSheetId="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2"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6"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4"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5"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9"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4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or._.filling._.out._.assessments." localSheetId="32" hidden="1">{"Print Empty Template",#N/A,FALSE,"Input"}</definedName>
    <definedName name="wrn.For._.filling._.out._.assessments." localSheetId="6" hidden="1">{"Print Empty Template",#N/A,FALSE,"Input"}</definedName>
    <definedName name="wrn.For._.filling._.out._.assessments." localSheetId="7" hidden="1">{"Print Empty Template",#N/A,FALSE,"Input"}</definedName>
    <definedName name="wrn.For._.filling._.out._.assessments." localSheetId="3" hidden="1">{"Print Empty Template",#N/A,FALSE,"Input"}</definedName>
    <definedName name="wrn.For._.filling._.out._.assessments." localSheetId="29" hidden="1">{"Print Empty Template",#N/A,FALSE,"Input"}</definedName>
    <definedName name="wrn.For._.filling._.out._.assessments." localSheetId="47" hidden="1">{"Print Empty Template",#N/A,FALSE,"Input"}</definedName>
    <definedName name="wrn.For._.filling._.out._.assessments." hidden="1">{"Print Empty Template",#N/A,FALSE,"Input"}</definedName>
    <definedName name="wrn.Fuel._.Cycle." localSheetId="32" hidden="1">{#N/A,#N/A,FALSE,"AltFuel"}</definedName>
    <definedName name="wrn.Fuel._.Cycle." localSheetId="6" hidden="1">{#N/A,#N/A,FALSE,"AltFuel"}</definedName>
    <definedName name="wrn.Fuel._.Cycle." localSheetId="7" hidden="1">{#N/A,#N/A,FALSE,"AltFuel"}</definedName>
    <definedName name="wrn.Fuel._.Cycle." localSheetId="3" hidden="1">{#N/A,#N/A,FALSE,"AltFuel"}</definedName>
    <definedName name="wrn.Fuel._.Cycle." localSheetId="47" hidden="1">{#N/A,#N/A,FALSE,"AltFuel"}</definedName>
    <definedName name="wrn.Fuel._.Cycle." hidden="1">{#N/A,#N/A,FALSE,"AltFuel"}</definedName>
    <definedName name="wrn.go." localSheetId="1" hidden="1">{"wp_h4.2",#N/A,FALSE,"WP_H4.2";"wp_h4.3",#N/A,FALSE,"WP_H4.3"}</definedName>
    <definedName name="wrn.go." localSheetId="32" hidden="1">{"wp_h4.2",#N/A,FALSE,"WP_H4.2";"wp_h4.3",#N/A,FALSE,"WP_H4.3"}</definedName>
    <definedName name="wrn.go." localSheetId="6" hidden="1">{"wp_h4.2",#N/A,FALSE,"WP_H4.2";"wp_h4.3",#N/A,FALSE,"WP_H4.3"}</definedName>
    <definedName name="wrn.go." localSheetId="4" hidden="1">{"wp_h4.2",#N/A,FALSE,"WP_H4.2";"wp_h4.3",#N/A,FALSE,"WP_H4.3"}</definedName>
    <definedName name="wrn.go." localSheetId="5" hidden="1">{"wp_h4.2",#N/A,FALSE,"WP_H4.2";"wp_h4.3",#N/A,FALSE,"WP_H4.3"}</definedName>
    <definedName name="wrn.go." localSheetId="7" hidden="1">{"wp_h4.2",#N/A,FALSE,"WP_H4.2";"wp_h4.3",#N/A,FALSE,"WP_H4.3"}</definedName>
    <definedName name="wrn.go." localSheetId="3" hidden="1">{"wp_h4.2",#N/A,FALSE,"WP_H4.2";"wp_h4.3",#N/A,FALSE,"WP_H4.3"}</definedName>
    <definedName name="wrn.go." localSheetId="47" hidden="1">{"wp_h4.2",#N/A,FALSE,"WP_H4.2";"wp_h4.3",#N/A,FALSE,"WP_H4.3"}</definedName>
    <definedName name="wrn.go." hidden="1">{"wp_h4.2",#N/A,FALSE,"WP_H4.2";"wp_h4.3",#N/A,FALSE,"WP_H4.3"}</definedName>
    <definedName name="wrn.Graph._.SBU._.by._.Year._.1997_2000." localSheetId="1" hidden="1">{"Graph SBU by Year 1997_2000",#N/A,FALSE,"Strategic Business Lines"}</definedName>
    <definedName name="wrn.Graph._.SBU._.by._.Year._.1997_2000." localSheetId="32" hidden="1">{"Graph SBU by Year 1997_2000",#N/A,FALSE,"Strategic Business Lines"}</definedName>
    <definedName name="wrn.Graph._.SBU._.by._.Year._.1997_2000." localSheetId="6" hidden="1">{"Graph SBU by Year 1997_2000",#N/A,FALSE,"Strategic Business Lines"}</definedName>
    <definedName name="wrn.Graph._.SBU._.by._.Year._.1997_2000." localSheetId="4" hidden="1">{"Graph SBU by Year 1997_2000",#N/A,FALSE,"Strategic Business Lines"}</definedName>
    <definedName name="wrn.Graph._.SBU._.by._.Year._.1997_2000." localSheetId="5" hidden="1">{"Graph SBU by Year 1997_2000",#N/A,FALSE,"Strategic Business Lines"}</definedName>
    <definedName name="wrn.Graph._.SBU._.by._.Year._.1997_2000." localSheetId="7" hidden="1">{"Graph SBU by Year 1997_2000",#N/A,FALSE,"Strategic Business Lines"}</definedName>
    <definedName name="wrn.Graph._.SBU._.by._.Year._.1997_2000." localSheetId="3" hidden="1">{"Graph SBU by Year 1997_2000",#N/A,FALSE,"Strategic Business Lines"}</definedName>
    <definedName name="wrn.Graph._.SBU._.by._.Year._.1997_2000." localSheetId="29" hidden="1">{"Graph SBU by Year 1997_2000",#N/A,FALSE,"Strategic Business Lines"}</definedName>
    <definedName name="wrn.Graph._.SBU._.by._.Year._.1997_2000." localSheetId="47" hidden="1">{"Graph SBU by Year 1997_2000",#N/A,FALSE,"Strategic Business Lines"}</definedName>
    <definedName name="wrn.Graph._.SBU._.by._.Year._.1997_2000." hidden="1">{"Graph SBU by Year 1997_2000",#N/A,FALSE,"Strategic Business Lines"}</definedName>
    <definedName name="wrn.Graph._.SBU._.Contribution._.1997_2000." localSheetId="1" hidden="1">{"Graph_SBU_Contirbution 1991_2000",#N/A,FALSE,"Strategic Business Lines"}</definedName>
    <definedName name="wrn.Graph._.SBU._.Contribution._.1997_2000." localSheetId="32" hidden="1">{"Graph_SBU_Contirbution 1991_2000",#N/A,FALSE,"Strategic Business Lines"}</definedName>
    <definedName name="wrn.Graph._.SBU._.Contribution._.1997_2000." localSheetId="6" hidden="1">{"Graph_SBU_Contirbution 1991_2000",#N/A,FALSE,"Strategic Business Lines"}</definedName>
    <definedName name="wrn.Graph._.SBU._.Contribution._.1997_2000." localSheetId="4" hidden="1">{"Graph_SBU_Contirbution 1991_2000",#N/A,FALSE,"Strategic Business Lines"}</definedName>
    <definedName name="wrn.Graph._.SBU._.Contribution._.1997_2000." localSheetId="5"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localSheetId="3" hidden="1">{"Graph_SBU_Contirbution 1991_2000",#N/A,FALSE,"Strategic Business Lines"}</definedName>
    <definedName name="wrn.Graph._.SBU._.Contribution._.1997_2000." localSheetId="29" hidden="1">{"Graph_SBU_Contirbution 1991_2000",#N/A,FALSE,"Strategic Business Lines"}</definedName>
    <definedName name="wrn.Graph._.SBU._.Contribution._.1997_2000." localSheetId="47" hidden="1">{"Graph_SBU_Contirbution 1991_2000",#N/A,FALSE,"Strategic Business Lines"}</definedName>
    <definedName name="wrn.Graph._.SBU._.Contribution._.1997_2000." hidden="1">{"Graph_SBU_Contirbution 1991_2000",#N/A,FALSE,"Strategic Business Lines"}</definedName>
    <definedName name="wrn.handout." localSheetId="32" hidden="1">{"quarterly",#N/A,FALSE,"Income Statement";#N/A,#N/A,FALSE,"print segment";#N/A,#N/A,FALSE,"Balance Sheet";#N/A,#N/A,FALSE,"Annl Inc";#N/A,#N/A,FALSE,"Cash Flow"}</definedName>
    <definedName name="wrn.handout." localSheetId="6" hidden="1">{"quarterly",#N/A,FALSE,"Income Statement";#N/A,#N/A,FALSE,"print segment";#N/A,#N/A,FALSE,"Balance Sheet";#N/A,#N/A,FALSE,"Annl Inc";#N/A,#N/A,FALSE,"Cash Flow"}</definedName>
    <definedName name="wrn.handout." localSheetId="7" hidden="1">{"quarterly",#N/A,FALSE,"Income Statement";#N/A,#N/A,FALSE,"print segment";#N/A,#N/A,FALSE,"Balance Sheet";#N/A,#N/A,FALSE,"Annl Inc";#N/A,#N/A,FALSE,"Cash Flow"}</definedName>
    <definedName name="wrn.handout." localSheetId="3" hidden="1">{"quarterly",#N/A,FALSE,"Income Statement";#N/A,#N/A,FALSE,"print segment";#N/A,#N/A,FALSE,"Balance Sheet";#N/A,#N/A,FALSE,"Annl Inc";#N/A,#N/A,FALSE,"Cash Flow"}</definedName>
    <definedName name="wrn.handout." localSheetId="47" hidden="1">{"quarterly",#N/A,FALSE,"Income Statement";#N/A,#N/A,FALSE,"print segment";#N/A,#N/A,FALSE,"Balance Sheet";#N/A,#N/A,FALSE,"Annl Inc";#N/A,#N/A,FALSE,"Cash Flow"}</definedName>
    <definedName name="wrn.handout." hidden="1">{"quarterly",#N/A,FALSE,"Income Statement";#N/A,#N/A,FALSE,"print segment";#N/A,#N/A,FALSE,"Balance Sheet";#N/A,#N/A,FALSE,"Annl Inc";#N/A,#N/A,FALSE,"Cash Flow"}</definedName>
    <definedName name="wrn.HLP._.Detail." localSheetId="32" hidden="1">{"2002 - 2006 Detail Income Statement",#N/A,FALSE,"TUB Income Statement wo DW";"BGS Deferral",#N/A,FALSE,"BGS Deferral";"NNC Deferral",#N/A,FALSE,"NNC Deferral";"MTC Deferral",#N/A,FALSE,"MTC Deferral";#N/A,#N/A,FALSE,"Schedule D"}</definedName>
    <definedName name="wrn.HLP._.Detail." localSheetId="6" hidden="1">{"2002 - 2006 Detail Income Statement",#N/A,FALSE,"TUB Income Statement wo DW";"BGS Deferral",#N/A,FALSE,"BGS Deferral";"NNC Deferral",#N/A,FALSE,"NNC Deferral";"MTC Deferral",#N/A,FALSE,"MTC Deferral";#N/A,#N/A,FALSE,"Schedule D"}</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29" hidden="1">{"2002 - 2006 Detail Income Statement",#N/A,FALSE,"TUB Income Statement wo DW";"BGS Deferral",#N/A,FALSE,"BGS Deferral";"NNC Deferral",#N/A,FALSE,"NNC Deferral";"MTC Deferral",#N/A,FALSE,"MTC Deferral";#N/A,#N/A,FALSE,"Schedule D"}</definedName>
    <definedName name="wrn.HLP._.Detail." localSheetId="47"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HWP_GL." localSheetId="1" hidden="1">{#N/A,#N/A,FALSE,"GLDwnLoad"}</definedName>
    <definedName name="wrn.HWP_GL." localSheetId="32" hidden="1">{#N/A,#N/A,FALSE,"GLDwnLoad"}</definedName>
    <definedName name="wrn.HWP_GL." localSheetId="6" hidden="1">{#N/A,#N/A,FALSE,"GLDwnLoad"}</definedName>
    <definedName name="wrn.HWP_GL." localSheetId="4" hidden="1">{#N/A,#N/A,FALSE,"GLDwnLoad"}</definedName>
    <definedName name="wrn.HWP_GL." localSheetId="5" hidden="1">{#N/A,#N/A,FALSE,"GLDwnLoad"}</definedName>
    <definedName name="wrn.HWP_GL." localSheetId="7" hidden="1">{#N/A,#N/A,FALSE,"GLDwnLoad"}</definedName>
    <definedName name="wrn.HWP_GL." localSheetId="3" hidden="1">{#N/A,#N/A,FALSE,"GLDwnLoad"}</definedName>
    <definedName name="wrn.HWP_GL." localSheetId="47" hidden="1">{#N/A,#N/A,FALSE,"GLDwnLoad"}</definedName>
    <definedName name="wrn.HWP_GL." hidden="1">{#N/A,#N/A,FALSE,"GLDwnLoad"}</definedName>
    <definedName name="wrn.HWP_INPUTS." localSheetId="1" hidden="1">{#N/A,#N/A,FALSE,"OTHERINPUTS";#N/A,#N/A,FALSE,"SUPPLIEDADJINPUT";#N/A,#N/A,FALSE,"BR&amp;SUPADJ."}</definedName>
    <definedName name="wrn.HWP_INPUTS." localSheetId="32" hidden="1">{#N/A,#N/A,FALSE,"OTHERINPUTS";#N/A,#N/A,FALSE,"SUPPLIEDADJINPUT";#N/A,#N/A,FALSE,"BR&amp;SUPADJ."}</definedName>
    <definedName name="wrn.HWP_INPUTS." localSheetId="6" hidden="1">{#N/A,#N/A,FALSE,"OTHERINPUTS";#N/A,#N/A,FALSE,"SUPPLIEDADJINPUT";#N/A,#N/A,FALSE,"BR&amp;SUPADJ."}</definedName>
    <definedName name="wrn.HWP_INPUTS." localSheetId="4" hidden="1">{#N/A,#N/A,FALSE,"OTHERINPUTS";#N/A,#N/A,FALSE,"SUPPLIEDADJINPUT";#N/A,#N/A,FALSE,"BR&amp;SUPADJ."}</definedName>
    <definedName name="wrn.HWP_INPUTS." localSheetId="5" hidden="1">{#N/A,#N/A,FALSE,"OTHERINPUTS";#N/A,#N/A,FALSE,"SUPPLIEDADJINPUT";#N/A,#N/A,FALSE,"BR&amp;SUPADJ."}</definedName>
    <definedName name="wrn.HWP_INPUTS." localSheetId="7" hidden="1">{#N/A,#N/A,FALSE,"OTHERINPUTS";#N/A,#N/A,FALSE,"SUPPLIEDADJINPUT";#N/A,#N/A,FALSE,"BR&amp;SUPADJ."}</definedName>
    <definedName name="wrn.HWP_INPUTS." localSheetId="3" hidden="1">{#N/A,#N/A,FALSE,"OTHERINPUTS";#N/A,#N/A,FALSE,"SUPPLIEDADJINPUT";#N/A,#N/A,FALSE,"BR&amp;SUPADJ."}</definedName>
    <definedName name="wrn.HWP_INPUTS." localSheetId="47" hidden="1">{#N/A,#N/A,FALSE,"OTHERINPUTS";#N/A,#N/A,FALSE,"SUPPLIEDADJINPUT";#N/A,#N/A,FALSE,"BR&amp;SUPADJ."}</definedName>
    <definedName name="wrn.HWP_INPUTS." hidden="1">{#N/A,#N/A,FALSE,"OTHERINPUTS";#N/A,#N/A,FALSE,"SUPPLIEDADJINPUT";#N/A,#N/A,FALSE,"BR&amp;SUPADJ."}</definedName>
    <definedName name="wrn.HWP_PROV."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NCOME._.TAX._.CALCULATION." localSheetId="1" hidden="1">{"JURIS_INC_TAX_CALC",#N/A,FALSE,"COSTSTUDY";"OKCLS_INC_TAX_CALC",#N/A,FALSE,"COSTSTUDY"}</definedName>
    <definedName name="wrn.INCOME._.TAX._.CALCULATION." localSheetId="32" hidden="1">{"JURIS_INC_TAX_CALC",#N/A,FALSE,"COSTSTUDY";"OKCLS_INC_TAX_CALC",#N/A,FALSE,"COSTSTUDY"}</definedName>
    <definedName name="wrn.INCOME._.TAX._.CALCULATION." localSheetId="6" hidden="1">{"JURIS_INC_TAX_CALC",#N/A,FALSE,"COSTSTUDY";"OKCLS_INC_TAX_CALC",#N/A,FALSE,"COSTSTUDY"}</definedName>
    <definedName name="wrn.INCOME._.TAX._.CALCULATION." localSheetId="4" hidden="1">{"JURIS_INC_TAX_CALC",#N/A,FALSE,"COSTSTUDY";"OKCLS_INC_TAX_CALC",#N/A,FALSE,"COSTSTUDY"}</definedName>
    <definedName name="wrn.INCOME._.TAX._.CALCULATION." localSheetId="5" hidden="1">{"JURIS_INC_TAX_CALC",#N/A,FALSE,"COSTSTUDY";"OKCLS_INC_TAX_CALC",#N/A,FALSE,"COSTSTUDY"}</definedName>
    <definedName name="wrn.INCOME._.TAX._.CALCULATION." localSheetId="7" hidden="1">{"JURIS_INC_TAX_CALC",#N/A,FALSE,"COSTSTUDY";"OKCLS_INC_TAX_CALC",#N/A,FALSE,"COSTSTUDY"}</definedName>
    <definedName name="wrn.INCOME._.TAX._.CALCULATION." localSheetId="3" hidden="1">{"JURIS_INC_TAX_CALC",#N/A,FALSE,"COSTSTUDY";"OKCLS_INC_TAX_CALC",#N/A,FALSE,"COSTSTUDY"}</definedName>
    <definedName name="wrn.INCOME._.TAX._.CALCULATION." localSheetId="29" hidden="1">{"JURIS_INC_TAX_CALC",#N/A,FALSE,"COSTSTUDY";"OKCLS_INC_TAX_CALC",#N/A,FALSE,"COSTSTUDY"}</definedName>
    <definedName name="wrn.INCOME._.TAX._.CALCULATION." localSheetId="47" hidden="1">{"JURIS_INC_TAX_CALC",#N/A,FALSE,"COSTSTUDY";"OKCLS_INC_TAX_CALC",#N/A,FALSE,"COSTSTUDY"}</definedName>
    <definedName name="wrn.INCOME._.TAX._.CALCULATION." hidden="1">{"JURIS_INC_TAX_CALC",#N/A,FALSE,"COSTSTUDY";"OKCLS_INC_TAX_CALC",#N/A,FALSE,"COSTSTUDY"}</definedName>
    <definedName name="wrn.IncStatement._.15._.years." localSheetId="32" hidden="1">{#N/A,#N/A,FALSE,"FinStateUS"}</definedName>
    <definedName name="wrn.IncStatement._.15._.years." localSheetId="6" hidden="1">{#N/A,#N/A,FALSE,"FinStateUS"}</definedName>
    <definedName name="wrn.IncStatement._.15._.years." localSheetId="7" hidden="1">{#N/A,#N/A,FALSE,"FinStateUS"}</definedName>
    <definedName name="wrn.IncStatement._.15._.years." localSheetId="3" hidden="1">{#N/A,#N/A,FALSE,"FinStateUS"}</definedName>
    <definedName name="wrn.IncStatement._.15._.years." localSheetId="47" hidden="1">{#N/A,#N/A,FALSE,"FinStateUS"}</definedName>
    <definedName name="wrn.IncStatement._.15._.years." hidden="1">{#N/A,#N/A,FALSE,"FinStateUS"}</definedName>
    <definedName name="wrn.IncStatement._.6._.years." localSheetId="32" hidden="1">{"IncStatement 6 years",#N/A,FALSE,"FinStateUS"}</definedName>
    <definedName name="wrn.IncStatement._.6._.years." localSheetId="6" hidden="1">{"IncStatement 6 years",#N/A,FALSE,"FinStateUS"}</definedName>
    <definedName name="wrn.IncStatement._.6._.years." localSheetId="7" hidden="1">{"IncStatement 6 years",#N/A,FALSE,"FinStateUS"}</definedName>
    <definedName name="wrn.IncStatement._.6._.years." localSheetId="3" hidden="1">{"IncStatement 6 years",#N/A,FALSE,"FinStateUS"}</definedName>
    <definedName name="wrn.IncStatement._.6._.years." localSheetId="47" hidden="1">{"IncStatement 6 years",#N/A,FALSE,"FinStateUS"}</definedName>
    <definedName name="wrn.IncStatement._.6._.years." hidden="1">{"IncStatement 6 years",#N/A,FALSE,"FinStateUS"}</definedName>
    <definedName name="wrn.Initial." localSheetId="1" hidden="1">{#N/A,"Anonymous",FALSE,"30 30k Table";#N/A,#N/A,FALSE,"30 50k Table";#N/A,#N/A,FALSE,"40 100k Table"}</definedName>
    <definedName name="wrn.Initial." localSheetId="32" hidden="1">{#N/A,"Anonymous",FALSE,"30 30k Table";#N/A,#N/A,FALSE,"30 50k Table";#N/A,#N/A,FALSE,"40 100k Table"}</definedName>
    <definedName name="wrn.Initial." localSheetId="6" hidden="1">{#N/A,"Anonymous",FALSE,"30 30k Table";#N/A,#N/A,FALSE,"30 50k Table";#N/A,#N/A,FALSE,"40 100k Table"}</definedName>
    <definedName name="wrn.Initial." localSheetId="4" hidden="1">{#N/A,"Anonymous",FALSE,"30 30k Table";#N/A,#N/A,FALSE,"30 50k Table";#N/A,#N/A,FALSE,"40 100k Table"}</definedName>
    <definedName name="wrn.Initial." localSheetId="5" hidden="1">{#N/A,"Anonymous",FALSE,"30 30k Table";#N/A,#N/A,FALSE,"30 50k Table";#N/A,#N/A,FALSE,"40 100k Table"}</definedName>
    <definedName name="wrn.Initial." localSheetId="7" hidden="1">{#N/A,"Anonymous",FALSE,"30 30k Table";#N/A,#N/A,FALSE,"30 50k Table";#N/A,#N/A,FALSE,"40 100k Table"}</definedName>
    <definedName name="wrn.Initial." localSheetId="3" hidden="1">{#N/A,"Anonymous",FALSE,"30 30k Table";#N/A,#N/A,FALSE,"30 50k Table";#N/A,#N/A,FALSE,"40 100k Table"}</definedName>
    <definedName name="wrn.Initial." localSheetId="29" hidden="1">{#N/A,"Anonymous",FALSE,"30 30k Table";#N/A,#N/A,FALSE,"30 50k Table";#N/A,#N/A,FALSE,"40 100k Table"}</definedName>
    <definedName name="wrn.Initial." localSheetId="47" hidden="1">{#N/A,"Anonymous",FALSE,"30 30k Table";#N/A,#N/A,FALSE,"30 50k Table";#N/A,#N/A,FALSE,"40 100k Table"}</definedName>
    <definedName name="wrn.Initial." hidden="1">{#N/A,"Anonymous",FALSE,"30 30k Table";#N/A,#N/A,FALSE,"30 50k Table";#N/A,#N/A,FALSE,"40 100k Table"}</definedName>
    <definedName name="wrn.INTERNAL._.ALLOC._.INPUT." localSheetId="1" hidden="1">{"JURIS_INT_ALOC_AMTS",#N/A,FALSE,"COSTSTUDY";"OKCLS_INT_ALOC_AMTS",#N/A,FALSE,"COSTSTUDY"}</definedName>
    <definedName name="wrn.INTERNAL._.ALLOC._.INPUT." localSheetId="32" hidden="1">{"JURIS_INT_ALOC_AMTS",#N/A,FALSE,"COSTSTUDY";"OKCLS_INT_ALOC_AMTS",#N/A,FALSE,"COSTSTUDY"}</definedName>
    <definedName name="wrn.INTERNAL._.ALLOC._.INPUT." localSheetId="6" hidden="1">{"JURIS_INT_ALOC_AMTS",#N/A,FALSE,"COSTSTUDY";"OKCLS_INT_ALOC_AMTS",#N/A,FALSE,"COSTSTUDY"}</definedName>
    <definedName name="wrn.INTERNAL._.ALLOC._.INPUT." localSheetId="4" hidden="1">{"JURIS_INT_ALOC_AMTS",#N/A,FALSE,"COSTSTUDY";"OKCLS_INT_ALOC_AMTS",#N/A,FALSE,"COSTSTUDY"}</definedName>
    <definedName name="wrn.INTERNAL._.ALLOC._.INPUT." localSheetId="5" hidden="1">{"JURIS_INT_ALOC_AMTS",#N/A,FALSE,"COSTSTUDY";"OKCLS_INT_ALOC_AMTS",#N/A,FALSE,"COSTSTUDY"}</definedName>
    <definedName name="wrn.INTERNAL._.ALLOC._.INPUT." localSheetId="7" hidden="1">{"JURIS_INT_ALOC_AMTS",#N/A,FALSE,"COSTSTUDY";"OKCLS_INT_ALOC_AMTS",#N/A,FALSE,"COSTSTUDY"}</definedName>
    <definedName name="wrn.INTERNAL._.ALLOC._.INPUT." localSheetId="3" hidden="1">{"JURIS_INT_ALOC_AMTS",#N/A,FALSE,"COSTSTUDY";"OKCLS_INT_ALOC_AMTS",#N/A,FALSE,"COSTSTUDY"}</definedName>
    <definedName name="wrn.INTERNAL._.ALLOC._.INPUT." localSheetId="29" hidden="1">{"JURIS_INT_ALOC_AMTS",#N/A,FALSE,"COSTSTUDY";"OKCLS_INT_ALOC_AMTS",#N/A,FALSE,"COSTSTUDY"}</definedName>
    <definedName name="wrn.INTERNAL._.ALLOC._.INPUT." localSheetId="47" hidden="1">{"JURIS_INT_ALOC_AMTS",#N/A,FALSE,"COSTSTUDY";"OKCLS_INT_ALOC_AMTS",#N/A,FALSE,"COSTSTUDY"}</definedName>
    <definedName name="wrn.INTERNAL._.ALLOC._.INPUT." hidden="1">{"JURIS_INT_ALOC_AMTS",#N/A,FALSE,"COSTSTUDY";"OKCLS_INT_ALOC_AMTS",#N/A,FALSE,"COSTSTUDY"}</definedName>
    <definedName name="wrn.INTERNAL._.ALLOC._.RATIOS." localSheetId="1" hidden="1">{"JURIS_INTAL_RATIOS",#N/A,FALSE,"COSTSTUDY";"OKCLS_INTAL_RATIOS",#N/A,FALSE,"COSTSTUDY"}</definedName>
    <definedName name="wrn.INTERNAL._.ALLOC._.RATIOS." localSheetId="32" hidden="1">{"JURIS_INTAL_RATIOS",#N/A,FALSE,"COSTSTUDY";"OKCLS_INTAL_RATIOS",#N/A,FALSE,"COSTSTUDY"}</definedName>
    <definedName name="wrn.INTERNAL._.ALLOC._.RATIOS." localSheetId="6" hidden="1">{"JURIS_INTAL_RATIOS",#N/A,FALSE,"COSTSTUDY";"OKCLS_INTAL_RATIOS",#N/A,FALSE,"COSTSTUDY"}</definedName>
    <definedName name="wrn.INTERNAL._.ALLOC._.RATIOS." localSheetId="4" hidden="1">{"JURIS_INTAL_RATIOS",#N/A,FALSE,"COSTSTUDY";"OKCLS_INTAL_RATIOS",#N/A,FALSE,"COSTSTUDY"}</definedName>
    <definedName name="wrn.INTERNAL._.ALLOC._.RATIOS." localSheetId="5" hidden="1">{"JURIS_INTAL_RATIOS",#N/A,FALSE,"COSTSTUDY";"OKCLS_INTAL_RATIOS",#N/A,FALSE,"COSTSTUDY"}</definedName>
    <definedName name="wrn.INTERNAL._.ALLOC._.RATIOS." localSheetId="7" hidden="1">{"JURIS_INTAL_RATIOS",#N/A,FALSE,"COSTSTUDY";"OKCLS_INTAL_RATIOS",#N/A,FALSE,"COSTSTUDY"}</definedName>
    <definedName name="wrn.INTERNAL._.ALLOC._.RATIOS." localSheetId="3" hidden="1">{"JURIS_INTAL_RATIOS",#N/A,FALSE,"COSTSTUDY";"OKCLS_INTAL_RATIOS",#N/A,FALSE,"COSTSTUDY"}</definedName>
    <definedName name="wrn.INTERNAL._.ALLOC._.RATIOS." localSheetId="29" hidden="1">{"JURIS_INTAL_RATIOS",#N/A,FALSE,"COSTSTUDY";"OKCLS_INTAL_RATIOS",#N/A,FALSE,"COSTSTUDY"}</definedName>
    <definedName name="wrn.INTERNAL._.ALLOC._.RATIOS." localSheetId="47" hidden="1">{"JURIS_INTAL_RATIOS",#N/A,FALSE,"COSTSTUDY";"OKCLS_INTAL_RATIOS",#N/A,FALSE,"COSTSTUDY"}</definedName>
    <definedName name="wrn.INTERNAL._.ALLOC._.RATIOS." hidden="1">{"JURIS_INTAL_RATIOS",#N/A,FALSE,"COSTSTUDY";"OKCLS_INTAL_RATIOS",#N/A,FALSE,"COSTSTUDY"}</definedName>
    <definedName name="wrn.InterSystem." localSheetId="32" hidden="1">{"Purchases",#N/A,TRUE,"Sheet1";"Sales",#N/A,TRUE,"Sheet1"}</definedName>
    <definedName name="wrn.InterSystem." localSheetId="6" hidden="1">{"Purchases",#N/A,TRUE,"Sheet1";"Sales",#N/A,TRUE,"Sheet1"}</definedName>
    <definedName name="wrn.InterSystem." localSheetId="7" hidden="1">{"Purchases",#N/A,TRUE,"Sheet1";"Sales",#N/A,TRUE,"Sheet1"}</definedName>
    <definedName name="wrn.InterSystem." localSheetId="3" hidden="1">{"Purchases",#N/A,TRUE,"Sheet1";"Sales",#N/A,TRUE,"Sheet1"}</definedName>
    <definedName name="wrn.InterSystem." localSheetId="47" hidden="1">{"Purchases",#N/A,TRUE,"Sheet1";"Sales",#N/A,TRUE,"Sheet1"}</definedName>
    <definedName name="wrn.InterSystem." hidden="1">{"Purchases",#N/A,TRUE,"Sheet1";"Sales",#N/A,TRUE,"Sheet1"}</definedName>
    <definedName name="wrn.market._.share." localSheetId="32"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6"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4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FR."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1" hidden="1">{#N/A,#N/A,FALSE,"Page 1";#N/A,#N/A,FALSE,"Page 2";#N/A,#N/A,FALSE,"Page 3";#N/A,#N/A,FALSE,"Page 4";#N/A,#N/A,FALSE,"Page 5";#N/A,#N/A,FALSE,"Page 6";#N/A,#N/A,FALSE,"Page 7";#N/A,#N/A,FALSE,"Page 8";#N/A,#N/A,FALSE,"Page 9";#N/A,#N/A,FALSE,"PG8WP";#N/A,#N/A,FALSE,"PG9WP"}</definedName>
    <definedName name="wrn.MMFRENT." localSheetId="32"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4" hidden="1">{#N/A,#N/A,FALSE,"Page 1";#N/A,#N/A,FALSE,"Page 2";#N/A,#N/A,FALSE,"Page 3";#N/A,#N/A,FALSE,"Page 4";#N/A,#N/A,FALSE,"Page 5";#N/A,#N/A,FALSE,"Page 6";#N/A,#N/A,FALSE,"Page 7";#N/A,#N/A,FALSE,"Page 8";#N/A,#N/A,FALSE,"Page 9";#N/A,#N/A,FALSE,"PG8WP";#N/A,#N/A,FALSE,"PG9WP"}</definedName>
    <definedName name="wrn.MMFRENT." localSheetId="5" hidden="1">{#N/A,#N/A,FALSE,"Page 1";#N/A,#N/A,FALSE,"Page 2";#N/A,#N/A,FALSE,"Page 3";#N/A,#N/A,FALSE,"Page 4";#N/A,#N/A,FALSE,"Page 5";#N/A,#N/A,FALSE,"Page 6";#N/A,#N/A,FALSE,"Page 7";#N/A,#N/A,FALSE,"Page 8";#N/A,#N/A,FALSE,"Page 9";#N/A,#N/A,FALSE,"PG8WP";#N/A,#N/A,FALSE,"PG9WP"}</definedName>
    <definedName name="wrn.MMFRENT." localSheetId="7" hidden="1">{#N/A,#N/A,FALSE,"Page 1";#N/A,#N/A,FALSE,"Page 2";#N/A,#N/A,FALSE,"Page 3";#N/A,#N/A,FALSE,"Page 4";#N/A,#N/A,FALSE,"Page 5";#N/A,#N/A,FALSE,"Page 6";#N/A,#N/A,FALSE,"Page 7";#N/A,#N/A,FALSE,"Page 8";#N/A,#N/A,FALSE,"Page 9";#N/A,#N/A,FALSE,"PG8WP";#N/A,#N/A,FALSE,"PG9WP"}</definedName>
    <definedName name="wrn.MMFRENT." localSheetId="3" hidden="1">{#N/A,#N/A,FALSE,"Page 1";#N/A,#N/A,FALSE,"Page 2";#N/A,#N/A,FALSE,"Page 3";#N/A,#N/A,FALSE,"Page 4";#N/A,#N/A,FALSE,"Page 5";#N/A,#N/A,FALSE,"Page 6";#N/A,#N/A,FALSE,"Page 7";#N/A,#N/A,FALSE,"Page 8";#N/A,#N/A,FALSE,"Page 9";#N/A,#N/A,FALSE,"PG8WP";#N/A,#N/A,FALSE,"PG9WP"}</definedName>
    <definedName name="wrn.MMFRENT." localSheetId="47" hidden="1">{#N/A,#N/A,FALSE,"Page 1";#N/A,#N/A,FALSE,"Page 2";#N/A,#N/A,FALSE,"Page 3";#N/A,#N/A,FALSE,"Page 4";#N/A,#N/A,FALSE,"Page 5";#N/A,#N/A,FALSE,"Page 6";#N/A,#N/A,FALSE,"Page 7";#N/A,#N/A,FALSE,"Page 8";#N/A,#N/A,FALSE,"Page 9";#N/A,#N/A,FALSE,"PG8WP";#N/A,#N/A,FALSE,"PG9WP"}</definedName>
    <definedName name="wrn.MMFRENT." hidden="1">{#N/A,#N/A,FALSE,"Page 1";#N/A,#N/A,FALSE,"Page 2";#N/A,#N/A,FALSE,"Page 3";#N/A,#N/A,FALSE,"Page 4";#N/A,#N/A,FALSE,"Page 5";#N/A,#N/A,FALSE,"Page 6";#N/A,#N/A,FALSE,"Page 7";#N/A,#N/A,FALSE,"Page 8";#N/A,#N/A,FALSE,"Page 9";#N/A,#N/A,FALSE,"PG8WP";#N/A,#N/A,FALSE,"PG9WP"}</definedName>
    <definedName name="wrn.mmfrent2" localSheetId="1" hidden="1">{#N/A,#N/A,FALSE,"Page 1";#N/A,#N/A,FALSE,"Page 2";#N/A,#N/A,FALSE,"Page 3";#N/A,#N/A,FALSE,"Page 4";#N/A,#N/A,FALSE,"Page 5";#N/A,#N/A,FALSE,"Page 6";#N/A,#N/A,FALSE,"Page 7";#N/A,#N/A,FALSE,"Page 8";#N/A,#N/A,FALSE,"Page 9";#N/A,#N/A,FALSE,"PG8WP";#N/A,#N/A,FALSE,"PG9WP"}</definedName>
    <definedName name="wrn.mmfrent2" localSheetId="32"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4" hidden="1">{#N/A,#N/A,FALSE,"Page 1";#N/A,#N/A,FALSE,"Page 2";#N/A,#N/A,FALSE,"Page 3";#N/A,#N/A,FALSE,"Page 4";#N/A,#N/A,FALSE,"Page 5";#N/A,#N/A,FALSE,"Page 6";#N/A,#N/A,FALSE,"Page 7";#N/A,#N/A,FALSE,"Page 8";#N/A,#N/A,FALSE,"Page 9";#N/A,#N/A,FALSE,"PG8WP";#N/A,#N/A,FALSE,"PG9WP"}</definedName>
    <definedName name="wrn.mmfrent2" localSheetId="5" hidden="1">{#N/A,#N/A,FALSE,"Page 1";#N/A,#N/A,FALSE,"Page 2";#N/A,#N/A,FALSE,"Page 3";#N/A,#N/A,FALSE,"Page 4";#N/A,#N/A,FALSE,"Page 5";#N/A,#N/A,FALSE,"Page 6";#N/A,#N/A,FALSE,"Page 7";#N/A,#N/A,FALSE,"Page 8";#N/A,#N/A,FALSE,"Page 9";#N/A,#N/A,FALSE,"PG8WP";#N/A,#N/A,FALSE,"PG9WP"}</definedName>
    <definedName name="wrn.mmfrent2" localSheetId="7" hidden="1">{#N/A,#N/A,FALSE,"Page 1";#N/A,#N/A,FALSE,"Page 2";#N/A,#N/A,FALSE,"Page 3";#N/A,#N/A,FALSE,"Page 4";#N/A,#N/A,FALSE,"Page 5";#N/A,#N/A,FALSE,"Page 6";#N/A,#N/A,FALSE,"Page 7";#N/A,#N/A,FALSE,"Page 8";#N/A,#N/A,FALSE,"Page 9";#N/A,#N/A,FALSE,"PG8WP";#N/A,#N/A,FALSE,"PG9WP"}</definedName>
    <definedName name="wrn.mmfrent2" localSheetId="3" hidden="1">{#N/A,#N/A,FALSE,"Page 1";#N/A,#N/A,FALSE,"Page 2";#N/A,#N/A,FALSE,"Page 3";#N/A,#N/A,FALSE,"Page 4";#N/A,#N/A,FALSE,"Page 5";#N/A,#N/A,FALSE,"Page 6";#N/A,#N/A,FALSE,"Page 7";#N/A,#N/A,FALSE,"Page 8";#N/A,#N/A,FALSE,"Page 9";#N/A,#N/A,FALSE,"PG8WP";#N/A,#N/A,FALSE,"PG9WP"}</definedName>
    <definedName name="wrn.mmfrent2" localSheetId="47" hidden="1">{#N/A,#N/A,FALSE,"Page 1";#N/A,#N/A,FALSE,"Page 2";#N/A,#N/A,FALSE,"Page 3";#N/A,#N/A,FALSE,"Page 4";#N/A,#N/A,FALSE,"Page 5";#N/A,#N/A,FALSE,"Page 6";#N/A,#N/A,FALSE,"Page 7";#N/A,#N/A,FALSE,"Page 8";#N/A,#N/A,FALSE,"Page 9";#N/A,#N/A,FALSE,"PG8WP";#N/A,#N/A,FALSE,"PG9WP"}</definedName>
    <definedName name="wrn.mmfrent2" hidden="1">{#N/A,#N/A,FALSE,"Page 1";#N/A,#N/A,FALSE,"Page 2";#N/A,#N/A,FALSE,"Page 3";#N/A,#N/A,FALSE,"Page 4";#N/A,#N/A,FALSE,"Page 5";#N/A,#N/A,FALSE,"Page 6";#N/A,#N/A,FALSE,"Page 7";#N/A,#N/A,FALSE,"Page 8";#N/A,#N/A,FALSE,"Page 9";#N/A,#N/A,FALSE,"PG8WP";#N/A,#N/A,FALSE,"PG9WP"}</definedName>
    <definedName name="wrn.ND._.Schedules._.Clean." localSheetId="32"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6"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3"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4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K._.FUEL._.COMPARISON." localSheetId="1" hidden="1">{"OK_FUEL_COMPARISON",#N/A,FALSE,"Ok_Fuel&amp;Rev"}</definedName>
    <definedName name="wrn.OK._.FUEL._.COMPARISON." localSheetId="32" hidden="1">{"OK_FUEL_COMPARISON",#N/A,FALSE,"Ok_Fuel&amp;Rev"}</definedName>
    <definedName name="wrn.OK._.FUEL._.COMPARISON." localSheetId="6" hidden="1">{"OK_FUEL_COMPARISON",#N/A,FALSE,"Ok_Fuel&amp;Rev"}</definedName>
    <definedName name="wrn.OK._.FUEL._.COMPARISON." localSheetId="4" hidden="1">{"OK_FUEL_COMPARISON",#N/A,FALSE,"Ok_Fuel&amp;Rev"}</definedName>
    <definedName name="wrn.OK._.FUEL._.COMPARISON." localSheetId="5" hidden="1">{"OK_FUEL_COMPARISON",#N/A,FALSE,"Ok_Fuel&amp;Rev"}</definedName>
    <definedName name="wrn.OK._.FUEL._.COMPARISON." localSheetId="7" hidden="1">{"OK_FUEL_COMPARISON",#N/A,FALSE,"Ok_Fuel&amp;Rev"}</definedName>
    <definedName name="wrn.OK._.FUEL._.COMPARISON." localSheetId="3" hidden="1">{"OK_FUEL_COMPARISON",#N/A,FALSE,"Ok_Fuel&amp;Rev"}</definedName>
    <definedName name="wrn.OK._.FUEL._.COMPARISON." localSheetId="47" hidden="1">{"OK_FUEL_COMPARISON",#N/A,FALSE,"Ok_Fuel&amp;Rev"}</definedName>
    <definedName name="wrn.OK._.FUEL._.COMPARISON." hidden="1">{"OK_FUEL_COMPARISON",#N/A,FALSE,"Ok_Fuel&amp;Rev"}</definedName>
    <definedName name="wrn.OK._.JURIS._.FAC._.CALCULATION." localSheetId="1" hidden="1">{"OK_JURIS_FAC",#N/A,FALSE,"Ok_Fuel&amp;Rev"}</definedName>
    <definedName name="wrn.OK._.JURIS._.FAC._.CALCULATION." localSheetId="32" hidden="1">{"OK_JURIS_FAC",#N/A,FALSE,"Ok_Fuel&amp;Rev"}</definedName>
    <definedName name="wrn.OK._.JURIS._.FAC._.CALCULATION." localSheetId="6" hidden="1">{"OK_JURIS_FAC",#N/A,FALSE,"Ok_Fuel&amp;Rev"}</definedName>
    <definedName name="wrn.OK._.JURIS._.FAC._.CALCULATION." localSheetId="4" hidden="1">{"OK_JURIS_FAC",#N/A,FALSE,"Ok_Fuel&amp;Rev"}</definedName>
    <definedName name="wrn.OK._.JURIS._.FAC._.CALCULATION." localSheetId="5" hidden="1">{"OK_JURIS_FAC",#N/A,FALSE,"Ok_Fuel&amp;Rev"}</definedName>
    <definedName name="wrn.OK._.JURIS._.FAC._.CALCULATION." localSheetId="7" hidden="1">{"OK_JURIS_FAC",#N/A,FALSE,"Ok_Fuel&amp;Rev"}</definedName>
    <definedName name="wrn.OK._.JURIS._.FAC._.CALCULATION." localSheetId="3" hidden="1">{"OK_JURIS_FAC",#N/A,FALSE,"Ok_Fuel&amp;Rev"}</definedName>
    <definedName name="wrn.OK._.JURIS._.FAC._.CALCULATION." localSheetId="47" hidden="1">{"OK_JURIS_FAC",#N/A,FALSE,"Ok_Fuel&amp;Rev"}</definedName>
    <definedName name="wrn.OK._.JURIS._.FAC._.CALCULATION." hidden="1">{"OK_JURIS_FAC",#N/A,FALSE,"Ok_Fuel&amp;Rev"}</definedName>
    <definedName name="wrn.OK._.JURIS._.FUEL._.COST." localSheetId="1" hidden="1">{"OK_JURIS_FUEL",#N/A,FALSE,"Ok_Fuel&amp;Rev"}</definedName>
    <definedName name="wrn.OK._.JURIS._.FUEL._.COST." localSheetId="32" hidden="1">{"OK_JURIS_FUEL",#N/A,FALSE,"Ok_Fuel&amp;Rev"}</definedName>
    <definedName name="wrn.OK._.JURIS._.FUEL._.COST." localSheetId="6" hidden="1">{"OK_JURIS_FUEL",#N/A,FALSE,"Ok_Fuel&amp;Rev"}</definedName>
    <definedName name="wrn.OK._.JURIS._.FUEL._.COST." localSheetId="4" hidden="1">{"OK_JURIS_FUEL",#N/A,FALSE,"Ok_Fuel&amp;Rev"}</definedName>
    <definedName name="wrn.OK._.JURIS._.FUEL._.COST." localSheetId="5" hidden="1">{"OK_JURIS_FUEL",#N/A,FALSE,"Ok_Fuel&amp;Rev"}</definedName>
    <definedName name="wrn.OK._.JURIS._.FUEL._.COST." localSheetId="7" hidden="1">{"OK_JURIS_FUEL",#N/A,FALSE,"Ok_Fuel&amp;Rev"}</definedName>
    <definedName name="wrn.OK._.JURIS._.FUEL._.COST." localSheetId="3" hidden="1">{"OK_JURIS_FUEL",#N/A,FALSE,"Ok_Fuel&amp;Rev"}</definedName>
    <definedName name="wrn.OK._.JURIS._.FUEL._.COST." localSheetId="47" hidden="1">{"OK_JURIS_FUEL",#N/A,FALSE,"Ok_Fuel&amp;Rev"}</definedName>
    <definedName name="wrn.OK._.JURIS._.FUEL._.COST." hidden="1">{"OK_JURIS_FUEL",#N/A,FALSE,"Ok_Fuel&amp;Rev"}</definedName>
    <definedName name="wrn.OKLA._.PRO._.FORMA._.FUEL." localSheetId="1" hidden="1">{"OK_PRO_FORMA_FUEL",#N/A,FALSE,"Ok_Fuel&amp;Rev"}</definedName>
    <definedName name="wrn.OKLA._.PRO._.FORMA._.FUEL." localSheetId="32" hidden="1">{"OK_PRO_FORMA_FUEL",#N/A,FALSE,"Ok_Fuel&amp;Rev"}</definedName>
    <definedName name="wrn.OKLA._.PRO._.FORMA._.FUEL." localSheetId="6" hidden="1">{"OK_PRO_FORMA_FUEL",#N/A,FALSE,"Ok_Fuel&amp;Rev"}</definedName>
    <definedName name="wrn.OKLA._.PRO._.FORMA._.FUEL." localSheetId="4" hidden="1">{"OK_PRO_FORMA_FUEL",#N/A,FALSE,"Ok_Fuel&amp;Rev"}</definedName>
    <definedName name="wrn.OKLA._.PRO._.FORMA._.FUEL." localSheetId="5" hidden="1">{"OK_PRO_FORMA_FUEL",#N/A,FALSE,"Ok_Fuel&amp;Rev"}</definedName>
    <definedName name="wrn.OKLA._.PRO._.FORMA._.FUEL." localSheetId="7" hidden="1">{"OK_PRO_FORMA_FUEL",#N/A,FALSE,"Ok_Fuel&amp;Rev"}</definedName>
    <definedName name="wrn.OKLA._.PRO._.FORMA._.FUEL." localSheetId="3" hidden="1">{"OK_PRO_FORMA_FUEL",#N/A,FALSE,"Ok_Fuel&amp;Rev"}</definedName>
    <definedName name="wrn.OKLA._.PRO._.FORMA._.FUEL." localSheetId="47" hidden="1">{"OK_PRO_FORMA_FUEL",#N/A,FALSE,"Ok_Fuel&amp;Rev"}</definedName>
    <definedName name="wrn.OKLA._.PRO._.FORMA._.FUEL." hidden="1">{"OK_PRO_FORMA_FUEL",#N/A,FALSE,"Ok_Fuel&amp;Rev"}</definedName>
    <definedName name="wrn.OM._.EXPENSES." localSheetId="1" hidden="1">{"JURIS_OM_EXP",#N/A,FALSE,"COSTSTUDY";"OKCLS_OM_EXP",#N/A,FALSE,"COSTSTUDY"}</definedName>
    <definedName name="wrn.OM._.EXPENSES." localSheetId="32" hidden="1">{"JURIS_OM_EXP",#N/A,FALSE,"COSTSTUDY";"OKCLS_OM_EXP",#N/A,FALSE,"COSTSTUDY"}</definedName>
    <definedName name="wrn.OM._.EXPENSES." localSheetId="6" hidden="1">{"JURIS_OM_EXP",#N/A,FALSE,"COSTSTUDY";"OKCLS_OM_EXP",#N/A,FALSE,"COSTSTUDY"}</definedName>
    <definedName name="wrn.OM._.EXPENSES." localSheetId="4" hidden="1">{"JURIS_OM_EXP",#N/A,FALSE,"COSTSTUDY";"OKCLS_OM_EXP",#N/A,FALSE,"COSTSTUDY"}</definedName>
    <definedName name="wrn.OM._.EXPENSES." localSheetId="5" hidden="1">{"JURIS_OM_EXP",#N/A,FALSE,"COSTSTUDY";"OKCLS_OM_EXP",#N/A,FALSE,"COSTSTUDY"}</definedName>
    <definedName name="wrn.OM._.EXPENSES." localSheetId="7" hidden="1">{"JURIS_OM_EXP",#N/A,FALSE,"COSTSTUDY";"OKCLS_OM_EXP",#N/A,FALSE,"COSTSTUDY"}</definedName>
    <definedName name="wrn.OM._.EXPENSES." localSheetId="3" hidden="1">{"JURIS_OM_EXP",#N/A,FALSE,"COSTSTUDY";"OKCLS_OM_EXP",#N/A,FALSE,"COSTSTUDY"}</definedName>
    <definedName name="wrn.OM._.EXPENSES." localSheetId="29" hidden="1">{"JURIS_OM_EXP",#N/A,FALSE,"COSTSTUDY";"OKCLS_OM_EXP",#N/A,FALSE,"COSTSTUDY"}</definedName>
    <definedName name="wrn.OM._.EXPENSES." localSheetId="47" hidden="1">{"JURIS_OM_EXP",#N/A,FALSE,"COSTSTUDY";"OKCLS_OM_EXP",#N/A,FALSE,"COSTSTUDY"}</definedName>
    <definedName name="wrn.OM._.EXPENSES." hidden="1">{"JURIS_OM_EXP",#N/A,FALSE,"COSTSTUDY";"OKCLS_OM_EXP",#N/A,FALSE,"COSTSTUDY"}</definedName>
    <definedName name="wrn.OMEXPENSE." localSheetId="1" hidden="1">{"PF",#N/A,FALSE,"Sheet4";"PG",#N/A,FALSE,"Sheet4";"PH",#N/A,FALSE,"Sheet4";"PI",#N/A,FALSE,"Sheet4";"PJ",#N/A,FALSE,"Sheet4"}</definedName>
    <definedName name="wrn.OMEXPENSE." localSheetId="32" hidden="1">{"PF",#N/A,FALSE,"Sheet4";"PG",#N/A,FALSE,"Sheet4";"PH",#N/A,FALSE,"Sheet4";"PI",#N/A,FALSE,"Sheet4";"PJ",#N/A,FALSE,"Sheet4"}</definedName>
    <definedName name="wrn.OMEXPENSE." localSheetId="6" hidden="1">{"PF",#N/A,FALSE,"Sheet4";"PG",#N/A,FALSE,"Sheet4";"PH",#N/A,FALSE,"Sheet4";"PI",#N/A,FALSE,"Sheet4";"PJ",#N/A,FALSE,"Sheet4"}</definedName>
    <definedName name="wrn.OMEXPENSE." localSheetId="4" hidden="1">{"PF",#N/A,FALSE,"Sheet4";"PG",#N/A,FALSE,"Sheet4";"PH",#N/A,FALSE,"Sheet4";"PI",#N/A,FALSE,"Sheet4";"PJ",#N/A,FALSE,"Sheet4"}</definedName>
    <definedName name="wrn.OMEXPENSE." localSheetId="5" hidden="1">{"PF",#N/A,FALSE,"Sheet4";"PG",#N/A,FALSE,"Sheet4";"PH",#N/A,FALSE,"Sheet4";"PI",#N/A,FALSE,"Sheet4";"PJ",#N/A,FALSE,"Sheet4"}</definedName>
    <definedName name="wrn.OMEXPENSE." localSheetId="7" hidden="1">{"PF",#N/A,FALSE,"Sheet4";"PG",#N/A,FALSE,"Sheet4";"PH",#N/A,FALSE,"Sheet4";"PI",#N/A,FALSE,"Sheet4";"PJ",#N/A,FALSE,"Sheet4"}</definedName>
    <definedName name="wrn.OMEXPENSE." localSheetId="3" hidden="1">{"PF",#N/A,FALSE,"Sheet4";"PG",#N/A,FALSE,"Sheet4";"PH",#N/A,FALSE,"Sheet4";"PI",#N/A,FALSE,"Sheet4";"PJ",#N/A,FALSE,"Sheet4"}</definedName>
    <definedName name="wrn.OMEXPENSE." localSheetId="47" hidden="1">{"PF",#N/A,FALSE,"Sheet4";"PG",#N/A,FALSE,"Sheet4";"PH",#N/A,FALSE,"Sheet4";"PI",#N/A,FALSE,"Sheet4";"PJ",#N/A,FALSE,"Sheet4"}</definedName>
    <definedName name="wrn.OMEXPENSE." hidden="1">{"PF",#N/A,FALSE,"Sheet4";"PG",#N/A,FALSE,"Sheet4";"PH",#N/A,FALSE,"Sheet4";"PI",#N/A,FALSE,"Sheet4";"PJ",#N/A,FALSE,"Sheet4"}</definedName>
    <definedName name="wrn.OMPA._.FAC." localSheetId="1" hidden="1">{"OMPA_FAC",#N/A,FALSE,"OMPA FAC"}</definedName>
    <definedName name="wrn.OMPA._.FAC." localSheetId="32" hidden="1">{"OMPA_FAC",#N/A,FALSE,"OMPA FAC"}</definedName>
    <definedName name="wrn.OMPA._.FAC." localSheetId="6" hidden="1">{"OMPA_FAC",#N/A,FALSE,"OMPA FAC"}</definedName>
    <definedName name="wrn.OMPA._.FAC." localSheetId="4" hidden="1">{"OMPA_FAC",#N/A,FALSE,"OMPA FAC"}</definedName>
    <definedName name="wrn.OMPA._.FAC." localSheetId="5" hidden="1">{"OMPA_FAC",#N/A,FALSE,"OMPA FAC"}</definedName>
    <definedName name="wrn.OMPA._.FAC." localSheetId="7" hidden="1">{"OMPA_FAC",#N/A,FALSE,"OMPA FAC"}</definedName>
    <definedName name="wrn.OMPA._.FAC." localSheetId="3" hidden="1">{"OMPA_FAC",#N/A,FALSE,"OMPA FAC"}</definedName>
    <definedName name="wrn.OMPA._.FAC." localSheetId="47" hidden="1">{"OMPA_FAC",#N/A,FALSE,"OMPA FAC"}</definedName>
    <definedName name="wrn.OMPA._.FAC." hidden="1">{"OMPA_FAC",#N/A,FALSE,"OMPA FAC"}</definedName>
    <definedName name="wrn.one." localSheetId="32" hidden="1">{"page1",#N/A,FALSE,"A";"page2",#N/A,FALSE,"A"}</definedName>
    <definedName name="wrn.one." localSheetId="6" hidden="1">{"page1",#N/A,FALSE,"A";"page2",#N/A,FALSE,"A"}</definedName>
    <definedName name="wrn.one." localSheetId="7" hidden="1">{"page1",#N/A,FALSE,"A";"page2",#N/A,FALSE,"A"}</definedName>
    <definedName name="wrn.one." localSheetId="3" hidden="1">{"page1",#N/A,FALSE,"A";"page2",#N/A,FALSE,"A"}</definedName>
    <definedName name="wrn.one." localSheetId="47" hidden="1">{"page1",#N/A,FALSE,"A";"page2",#N/A,FALSE,"A"}</definedName>
    <definedName name="wrn.one." hidden="1">{"page1",#N/A,FALSE,"A";"page2",#N/A,FALSE,"A"}</definedName>
    <definedName name="wrn.OTHER._.DATA." localSheetId="1" hidden="1">{"OTHER_DATA",#N/A,FALSE,"Ok_Fuel&amp;Rev"}</definedName>
    <definedName name="wrn.OTHER._.DATA." localSheetId="32" hidden="1">{"OTHER_DATA",#N/A,FALSE,"Ok_Fuel&amp;Rev"}</definedName>
    <definedName name="wrn.OTHER._.DATA." localSheetId="6" hidden="1">{"OTHER_DATA",#N/A,FALSE,"Ok_Fuel&amp;Rev"}</definedName>
    <definedName name="wrn.OTHER._.DATA." localSheetId="4" hidden="1">{"OTHER_DATA",#N/A,FALSE,"Ok_Fuel&amp;Rev"}</definedName>
    <definedName name="wrn.OTHER._.DATA." localSheetId="5" hidden="1">{"OTHER_DATA",#N/A,FALSE,"Ok_Fuel&amp;Rev"}</definedName>
    <definedName name="wrn.OTHER._.DATA." localSheetId="7" hidden="1">{"OTHER_DATA",#N/A,FALSE,"Ok_Fuel&amp;Rev"}</definedName>
    <definedName name="wrn.OTHER._.DATA." localSheetId="3" hidden="1">{"OTHER_DATA",#N/A,FALSE,"Ok_Fuel&amp;Rev"}</definedName>
    <definedName name="wrn.OTHER._.DATA." localSheetId="47" hidden="1">{"OTHER_DATA",#N/A,FALSE,"Ok_Fuel&amp;Rev"}</definedName>
    <definedName name="wrn.OTHER._.DATA." hidden="1">{"OTHER_DATA",#N/A,FALSE,"Ok_Fuel&amp;Rev"}</definedName>
    <definedName name="wrn.Overall_Scorecard." localSheetId="1" hidden="1">{"Overall Scorecard",#N/A,FALSE,"Overall Scorecard"}</definedName>
    <definedName name="wrn.Overall_Scorecard." localSheetId="32" hidden="1">{"Overall Scorecard",#N/A,FALSE,"Overall Scorecard"}</definedName>
    <definedName name="wrn.Overall_Scorecard." localSheetId="6" hidden="1">{"Overall Scorecard",#N/A,FALSE,"Overall Scorecard"}</definedName>
    <definedName name="wrn.Overall_Scorecard." localSheetId="4" hidden="1">{"Overall Scorecard",#N/A,FALSE,"Overall Scorecard"}</definedName>
    <definedName name="wrn.Overall_Scorecard." localSheetId="5" hidden="1">{"Overall Scorecard",#N/A,FALSE,"Overall Scorecard"}</definedName>
    <definedName name="wrn.Overall_Scorecard." localSheetId="7" hidden="1">{"Overall Scorecard",#N/A,FALSE,"Overall Scorecard"}</definedName>
    <definedName name="wrn.Overall_Scorecard." localSheetId="3" hidden="1">{"Overall Scorecard",#N/A,FALSE,"Overall Scorecard"}</definedName>
    <definedName name="wrn.Overall_Scorecard." localSheetId="29" hidden="1">{"Overall Scorecard",#N/A,FALSE,"Overall Scorecard"}</definedName>
    <definedName name="wrn.Overall_Scorecard." localSheetId="47" hidden="1">{"Overall Scorecard",#N/A,FALSE,"Overall Scorecard"}</definedName>
    <definedName name="wrn.Overall_Scorecard." hidden="1">{"Overall Scorecard",#N/A,FALSE,"Overall Scorecard"}</definedName>
    <definedName name="wrn.Percent_of_Change." localSheetId="1" hidden="1">{"% of Change=O&amp;M per Customer+Equiv Employee",#N/A,FALSE,"% Change";"% o Change=OR + Rev per Equivalent Employee",#N/A,FALSE,"% Change"}</definedName>
    <definedName name="wrn.Percent_of_Change." localSheetId="32" hidden="1">{"% of Change=O&amp;M per Customer+Equiv Employee",#N/A,FALSE,"% Change";"% o Change=OR + Rev per Equivalent Employee",#N/A,FALSE,"% Change"}</definedName>
    <definedName name="wrn.Percent_of_Change." localSheetId="6" hidden="1">{"% of Change=O&amp;M per Customer+Equiv Employee",#N/A,FALSE,"% Change";"% o Change=OR + Rev per Equivalent Employee",#N/A,FALSE,"% Change"}</definedName>
    <definedName name="wrn.Percent_of_Change." localSheetId="4" hidden="1">{"% of Change=O&amp;M per Customer+Equiv Employee",#N/A,FALSE,"% Change";"% o Change=OR + Rev per Equivalent Employee",#N/A,FALSE,"% Change"}</definedName>
    <definedName name="wrn.Percent_of_Change." localSheetId="5" hidden="1">{"% of Change=O&amp;M per Customer+Equiv Employee",#N/A,FALSE,"% Change";"% o Change=OR + Rev per Equivalent Employee",#N/A,FALSE,"% Change"}</definedName>
    <definedName name="wrn.Percent_of_Change." localSheetId="7" hidden="1">{"% of Change=O&amp;M per Customer+Equiv Employee",#N/A,FALSE,"% Change";"% o Change=OR + Rev per Equivalent Employee",#N/A,FALSE,"% Change"}</definedName>
    <definedName name="wrn.Percent_of_Change." localSheetId="3" hidden="1">{"% of Change=O&amp;M per Customer+Equiv Employee",#N/A,FALSE,"% Change";"% o Change=OR + Rev per Equivalent Employee",#N/A,FALSE,"% Change"}</definedName>
    <definedName name="wrn.Percent_of_Change." localSheetId="29" hidden="1">{"% of Change=O&amp;M per Customer+Equiv Employee",#N/A,FALSE,"% Change";"% o Change=OR + Rev per Equivalent Employee",#N/A,FALSE,"% Change"}</definedName>
    <definedName name="wrn.Percent_of_Change." localSheetId="47" hidden="1">{"% of Change=O&amp;M per Customer+Equiv Employee",#N/A,FALSE,"% Change";"% o Change=OR + Rev per Equivalent Employee",#N/A,FALSE,"% Change"}</definedName>
    <definedName name="wrn.Percent_of_Change." hidden="1">{"% of Change=O&amp;M per Customer+Equiv Employee",#N/A,FALSE,"% Change";"% o Change=OR + Rev per Equivalent Employee",#N/A,FALSE,"% Change"}</definedName>
    <definedName name="wrn.Percent_of_Goal." localSheetId="1" hidden="1">{"% of Goals=O&amp;M per Customer + Equiv Employee",#N/A,FALSE,"% of Goal";"% of Goals=Operating Ration + Return on Net Plnt",#N/A,FALSE,"% of Goal";"% of Goals=Revenue per Equivalent Employee",#N/A,FALSE,"% of Goal"}</definedName>
    <definedName name="wrn.Percent_of_Goal." localSheetId="32" hidden="1">{"% of Goals=O&amp;M per Customer + Equiv Employee",#N/A,FALSE,"% of Goal";"% of Goals=Operating Ration + Return on Net Plnt",#N/A,FALSE,"% of Goal";"% of Goals=Revenue per Equivalent Employee",#N/A,FALSE,"% of Goal"}</definedName>
    <definedName name="wrn.Percent_of_Goal." localSheetId="6" hidden="1">{"% of Goals=O&amp;M per Customer + Equiv Employee",#N/A,FALSE,"% of Goal";"% of Goals=Operating Ration + Return on Net Plnt",#N/A,FALSE,"% of Goal";"% of Goals=Revenue per Equivalent Employee",#N/A,FALSE,"% of Goal"}</definedName>
    <definedName name="wrn.Percent_of_Goal." localSheetId="4" hidden="1">{"% of Goals=O&amp;M per Customer + Equiv Employee",#N/A,FALSE,"% of Goal";"% of Goals=Operating Ration + Return on Net Plnt",#N/A,FALSE,"% of Goal";"% of Goals=Revenue per Equivalent Employee",#N/A,FALSE,"% of Goal"}</definedName>
    <definedName name="wrn.Percent_of_Goal." localSheetId="5" hidden="1">{"% of Goals=O&amp;M per Customer + Equiv Employee",#N/A,FALSE,"% of Goal";"% of Goals=Operating Ration + Return on Net Plnt",#N/A,FALSE,"% of Goal";"% of Goals=Revenue per Equivalent Employee",#N/A,FALSE,"% of Goal"}</definedName>
    <definedName name="wrn.Percent_of_Goal." localSheetId="7" hidden="1">{"% of Goals=O&amp;M per Customer + Equiv Employee",#N/A,FALSE,"% of Goal";"% of Goals=Operating Ration + Return on Net Plnt",#N/A,FALSE,"% of Goal";"% of Goals=Revenue per Equivalent Employee",#N/A,FALSE,"% of Goal"}</definedName>
    <definedName name="wrn.Percent_of_Goal." localSheetId="3" hidden="1">{"% of Goals=O&amp;M per Customer + Equiv Employee",#N/A,FALSE,"% of Goal";"% of Goals=Operating Ration + Return on Net Plnt",#N/A,FALSE,"% of Goal";"% of Goals=Revenue per Equivalent Employee",#N/A,FALSE,"% of Goal"}</definedName>
    <definedName name="wrn.Percent_of_Goal." localSheetId="29" hidden="1">{"% of Goals=O&amp;M per Customer + Equiv Employee",#N/A,FALSE,"% of Goal";"% of Goals=Operating Ration + Return on Net Plnt",#N/A,FALSE,"% of Goal";"% of Goals=Revenue per Equivalent Employee",#N/A,FALSE,"% of Goal"}</definedName>
    <definedName name="wrn.Percent_of_Goal." localSheetId="47" hidden="1">{"% of Goals=O&amp;M per Customer + Equiv Employee",#N/A,FALSE,"% of Goal";"% of Goals=Operating Ration + Return on Net Plnt",#N/A,FALSE,"% of Goal";"% of Goals=Revenue per Equivalent Employee",#N/A,FALSE,"% of Goal"}</definedName>
    <definedName name="wrn.Percent_of_Goal." hidden="1">{"% of Goals=O&amp;M per Customer + Equiv Employee",#N/A,FALSE,"% of Goal";"% of Goals=Operating Ration + Return on Net Plnt",#N/A,FALSE,"% of Goal";"% of Goals=Revenue per Equivalent Employee",#N/A,FALSE,"% of Goal"}</definedName>
    <definedName name="wrn.Percentage." localSheetId="1" hidden="1">{"Summary",#N/A,FALSE,"Options "}</definedName>
    <definedName name="wrn.Percentage." localSheetId="32" hidden="1">{"Summary",#N/A,FALSE,"Options "}</definedName>
    <definedName name="wrn.Percentage." localSheetId="6" hidden="1">{"Summary",#N/A,FALSE,"Options "}</definedName>
    <definedName name="wrn.Percentage." localSheetId="4" hidden="1">{"Summary",#N/A,FALSE,"Options "}</definedName>
    <definedName name="wrn.Percentage." localSheetId="5" hidden="1">{"Summary",#N/A,FALSE,"Options "}</definedName>
    <definedName name="wrn.Percentage." localSheetId="7" hidden="1">{"Summary",#N/A,FALSE,"Options "}</definedName>
    <definedName name="wrn.Percentage." localSheetId="3" hidden="1">{"Summary",#N/A,FALSE,"Options "}</definedName>
    <definedName name="wrn.Percentage." localSheetId="29" hidden="1">{"Summary",#N/A,FALSE,"Options "}</definedName>
    <definedName name="wrn.Percentage." localSheetId="47" hidden="1">{"Summary",#N/A,FALSE,"Options "}</definedName>
    <definedName name="wrn.Percentage." hidden="1">{"Summary",#N/A,FALSE,"Options "}</definedName>
    <definedName name="wrn.Pivot1." localSheetId="1" hidden="1">{"Pivot1",#N/A,FALSE,"Redemption_Maturity Extract"}</definedName>
    <definedName name="wrn.Pivot1." localSheetId="32" hidden="1">{"Pivot1",#N/A,FALSE,"Redemption_Maturity Extract"}</definedName>
    <definedName name="wrn.Pivot1." localSheetId="6" hidden="1">{"Pivot1",#N/A,FALSE,"Redemption_Maturity Extract"}</definedName>
    <definedName name="wrn.Pivot1." localSheetId="4" hidden="1">{"Pivot1",#N/A,FALSE,"Redemption_Maturity Extract"}</definedName>
    <definedName name="wrn.Pivot1." localSheetId="5" hidden="1">{"Pivot1",#N/A,FALSE,"Redemption_Maturity Extract"}</definedName>
    <definedName name="wrn.Pivot1." localSheetId="7" hidden="1">{"Pivot1",#N/A,FALSE,"Redemption_Maturity Extract"}</definedName>
    <definedName name="wrn.Pivot1." localSheetId="3" hidden="1">{"Pivot1",#N/A,FALSE,"Redemption_Maturity Extract"}</definedName>
    <definedName name="wrn.Pivot1." localSheetId="47" hidden="1">{"Pivot1",#N/A,FALSE,"Redemption_Maturity Extract"}</definedName>
    <definedName name="wrn.Pivot1." hidden="1">{"Pivot1",#N/A,FALSE,"Redemption_Maturity Extract"}</definedName>
    <definedName name="wrn.Pivot2." localSheetId="1" hidden="1">{"Pivot2",#N/A,FALSE,"Redemption_Maturity Extract"}</definedName>
    <definedName name="wrn.Pivot2." localSheetId="32" hidden="1">{"Pivot2",#N/A,FALSE,"Redemption_Maturity Extract"}</definedName>
    <definedName name="wrn.Pivot2." localSheetId="6" hidden="1">{"Pivot2",#N/A,FALSE,"Redemption_Maturity Extract"}</definedName>
    <definedName name="wrn.Pivot2." localSheetId="4" hidden="1">{"Pivot2",#N/A,FALSE,"Redemption_Maturity Extract"}</definedName>
    <definedName name="wrn.Pivot2." localSheetId="5" hidden="1">{"Pivot2",#N/A,FALSE,"Redemption_Maturity Extract"}</definedName>
    <definedName name="wrn.Pivot2." localSheetId="7" hidden="1">{"Pivot2",#N/A,FALSE,"Redemption_Maturity Extract"}</definedName>
    <definedName name="wrn.Pivot2." localSheetId="3" hidden="1">{"Pivot2",#N/A,FALSE,"Redemption_Maturity Extract"}</definedName>
    <definedName name="wrn.Pivot2." localSheetId="47" hidden="1">{"Pivot2",#N/A,FALSE,"Redemption_Maturity Extract"}</definedName>
    <definedName name="wrn.Pivot2." hidden="1">{"Pivot2",#N/A,FALSE,"Redemption_Maturity Extract"}</definedName>
    <definedName name="wrn.PLANT._.IN._.SERVICE." localSheetId="1" hidden="1">{"JURIS_PLT_IN_SERV",#N/A,FALSE,"COSTSTUDY";"OKCLS_PLT_IN_SERV",#N/A,FALSE,"COSTSTUDY"}</definedName>
    <definedName name="wrn.PLANT._.IN._.SERVICE." localSheetId="32" hidden="1">{"JURIS_PLT_IN_SERV",#N/A,FALSE,"COSTSTUDY";"OKCLS_PLT_IN_SERV",#N/A,FALSE,"COSTSTUDY"}</definedName>
    <definedName name="wrn.PLANT._.IN._.SERVICE." localSheetId="6" hidden="1">{"JURIS_PLT_IN_SERV",#N/A,FALSE,"COSTSTUDY";"OKCLS_PLT_IN_SERV",#N/A,FALSE,"COSTSTUDY"}</definedName>
    <definedName name="wrn.PLANT._.IN._.SERVICE." localSheetId="4" hidden="1">{"JURIS_PLT_IN_SERV",#N/A,FALSE,"COSTSTUDY";"OKCLS_PLT_IN_SERV",#N/A,FALSE,"COSTSTUDY"}</definedName>
    <definedName name="wrn.PLANT._.IN._.SERVICE." localSheetId="5" hidden="1">{"JURIS_PLT_IN_SERV",#N/A,FALSE,"COSTSTUDY";"OKCLS_PLT_IN_SERV",#N/A,FALSE,"COSTSTUDY"}</definedName>
    <definedName name="wrn.PLANT._.IN._.SERVICE." localSheetId="7" hidden="1">{"JURIS_PLT_IN_SERV",#N/A,FALSE,"COSTSTUDY";"OKCLS_PLT_IN_SERV",#N/A,FALSE,"COSTSTUDY"}</definedName>
    <definedName name="wrn.PLANT._.IN._.SERVICE." localSheetId="3" hidden="1">{"JURIS_PLT_IN_SERV",#N/A,FALSE,"COSTSTUDY";"OKCLS_PLT_IN_SERV",#N/A,FALSE,"COSTSTUDY"}</definedName>
    <definedName name="wrn.PLANT._.IN._.SERVICE." localSheetId="29" hidden="1">{"JURIS_PLT_IN_SERV",#N/A,FALSE,"COSTSTUDY";"OKCLS_PLT_IN_SERV",#N/A,FALSE,"COSTSTUDY"}</definedName>
    <definedName name="wrn.PLANT._.IN._.SERVICE." localSheetId="47" hidden="1">{"JURIS_PLT_IN_SERV",#N/A,FALSE,"COSTSTUDY";"OKCLS_PLT_IN_SERV",#N/A,FALSE,"COSTSTUDY"}</definedName>
    <definedName name="wrn.PLANT._.IN._.SERVICE." hidden="1">{"JURIS_PLT_IN_SERV",#N/A,FALSE,"COSTSTUDY";"OKCLS_PLT_IN_SERV",#N/A,FALSE,"COSTSTUDY"}</definedName>
    <definedName name="wrn.Points_Achieved." localSheetId="1" hidden="1">{"Points=O&amp;M per Customer + per Equiv Employee",#N/A,FALSE,"Points";"Points=Operating Ratio + Return on Net Plant",#N/A,FALSE,"Points";"Points=Revenue per Equivalent Employee",#N/A,FALSE,"Points"}</definedName>
    <definedName name="wrn.Points_Achieved." localSheetId="32" hidden="1">{"Points=O&amp;M per Customer + per Equiv Employee",#N/A,FALSE,"Points";"Points=Operating Ratio + Return on Net Plant",#N/A,FALSE,"Points";"Points=Revenue per Equivalent Employee",#N/A,FALSE,"Points"}</definedName>
    <definedName name="wrn.Points_Achieved." localSheetId="6" hidden="1">{"Points=O&amp;M per Customer + per Equiv Employee",#N/A,FALSE,"Points";"Points=Operating Ratio + Return on Net Plant",#N/A,FALSE,"Points";"Points=Revenue per Equivalent Employee",#N/A,FALSE,"Points"}</definedName>
    <definedName name="wrn.Points_Achieved." localSheetId="4" hidden="1">{"Points=O&amp;M per Customer + per Equiv Employee",#N/A,FALSE,"Points";"Points=Operating Ratio + Return on Net Plant",#N/A,FALSE,"Points";"Points=Revenue per Equivalent Employee",#N/A,FALSE,"Points"}</definedName>
    <definedName name="wrn.Points_Achieved." localSheetId="5" hidden="1">{"Points=O&amp;M per Customer + per Equiv Employee",#N/A,FALSE,"Points";"Points=Operating Ratio + Return on Net Plant",#N/A,FALSE,"Points";"Points=Revenue per Equivalent Employee",#N/A,FALSE,"Points"}</definedName>
    <definedName name="wrn.Points_Achieved." localSheetId="7" hidden="1">{"Points=O&amp;M per Customer + per Equiv Employee",#N/A,FALSE,"Points";"Points=Operating Ratio + Return on Net Plant",#N/A,FALSE,"Points";"Points=Revenue per Equivalent Employee",#N/A,FALSE,"Points"}</definedName>
    <definedName name="wrn.Points_Achieved." localSheetId="3" hidden="1">{"Points=O&amp;M per Customer + per Equiv Employee",#N/A,FALSE,"Points";"Points=Operating Ratio + Return on Net Plant",#N/A,FALSE,"Points";"Points=Revenue per Equivalent Employee",#N/A,FALSE,"Points"}</definedName>
    <definedName name="wrn.Points_Achieved." localSheetId="29" hidden="1">{"Points=O&amp;M per Customer + per Equiv Employee",#N/A,FALSE,"Points";"Points=Operating Ratio + Return on Net Plant",#N/A,FALSE,"Points";"Points=Revenue per Equivalent Employee",#N/A,FALSE,"Points"}</definedName>
    <definedName name="wrn.Points_Achieved." localSheetId="47" hidden="1">{"Points=O&amp;M per Customer + per Equiv Employee",#N/A,FALSE,"Points";"Points=Operating Ratio + Return on Net Plant",#N/A,FALSE,"Points";"Points=Revenue per Equivalent Employee",#N/A,FALSE,"Points"}</definedName>
    <definedName name="wrn.Points_Achieved." hidden="1">{"Points=O&amp;M per Customer + per Equiv Employee",#N/A,FALSE,"Points";"Points=Operating Ratio + Return on Net Plant",#N/A,FALSE,"Points";"Points=Revenue per Equivalent Employee",#N/A,FALSE,"Points"}</definedName>
    <definedName name="wrn.PPJOURNAL._.ENTRY." localSheetId="32" hidden="1">{"PPDEFERREDBAL",#N/A,FALSE,"PRIOR PERIOD ADJMT";#N/A,#N/A,FALSE,"PRIOR PERIOD ADJMT";"PPJOURNALENTRY",#N/A,FALSE,"PRIOR PERIOD ADJMT"}</definedName>
    <definedName name="wrn.PPJOURNAL._.ENTRY." localSheetId="6" hidden="1">{"PPDEFERREDBAL",#N/A,FALSE,"PRIOR PERIOD ADJMT";#N/A,#N/A,FALSE,"PRIOR PERIOD ADJMT";"PPJOURNALENTRY",#N/A,FALSE,"PRIOR PERIOD ADJMT"}</definedName>
    <definedName name="wrn.PPJOURNAL._.ENTRY." localSheetId="7" hidden="1">{"PPDEFERREDBAL",#N/A,FALSE,"PRIOR PERIOD ADJMT";#N/A,#N/A,FALSE,"PRIOR PERIOD ADJMT";"PPJOURNALENTRY",#N/A,FALSE,"PRIOR PERIOD ADJMT"}</definedName>
    <definedName name="wrn.PPJOURNAL._.ENTRY." localSheetId="3" hidden="1">{"PPDEFERREDBAL",#N/A,FALSE,"PRIOR PERIOD ADJMT";#N/A,#N/A,FALSE,"PRIOR PERIOD ADJMT";"PPJOURNALENTRY",#N/A,FALSE,"PRIOR PERIOD ADJMT"}</definedName>
    <definedName name="wrn.PPJOURNAL._.ENTRY." localSheetId="29" hidden="1">{"PPDEFERREDBAL",#N/A,FALSE,"PRIOR PERIOD ADJMT";#N/A,#N/A,FALSE,"PRIOR PERIOD ADJMT";"PPJOURNALENTRY",#N/A,FALSE,"PRIOR PERIOD ADJMT"}</definedName>
    <definedName name="wrn.PPJOURNAL._.ENTRY." localSheetId="47"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rint."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5"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4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1" hidden="1">{"summary",#N/A,TRUE,"E93ADJ";"detail",#N/A,TRUE,"E93ADJ"}</definedName>
    <definedName name="wrn.PRINT_ALL." localSheetId="32" hidden="1">{"summary",#N/A,TRUE,"E93ADJ";"detail",#N/A,TRUE,"E93ADJ"}</definedName>
    <definedName name="wrn.PRINT_ALL." localSheetId="6" hidden="1">{"summary",#N/A,TRUE,"E93ADJ";"detail",#N/A,TRUE,"E93ADJ"}</definedName>
    <definedName name="wrn.PRINT_ALL." localSheetId="4" hidden="1">{"summary",#N/A,TRUE,"E93ADJ";"detail",#N/A,TRUE,"E93ADJ"}</definedName>
    <definedName name="wrn.PRINT_ALL." localSheetId="5" hidden="1">{"summary",#N/A,TRUE,"E93ADJ";"detail",#N/A,TRUE,"E93ADJ"}</definedName>
    <definedName name="wrn.PRINT_ALL." localSheetId="7" hidden="1">{"summary",#N/A,TRUE,"E93ADJ";"detail",#N/A,TRUE,"E93ADJ"}</definedName>
    <definedName name="wrn.PRINT_ALL." localSheetId="3" hidden="1">{"summary",#N/A,TRUE,"E93ADJ";"detail",#N/A,TRUE,"E93ADJ"}</definedName>
    <definedName name="wrn.PRINT_ALL." localSheetId="47" hidden="1">{"summary",#N/A,TRUE,"E93ADJ";"detail",#N/A,TRUE,"E93ADJ"}</definedName>
    <definedName name="wrn.PRINT_ALL." hidden="1">{"summary",#N/A,TRUE,"E93ADJ";"detail",#N/A,TRUE,"E93ADJ"}</definedName>
    <definedName name="wrn.printall." localSheetId="32" hidden="1">{#N/A,#N/A,FALSE,"PREFDIV";#N/A,#N/A,FALSE,"STINT";#N/A,#N/A,FALSE,"LTINT";#N/A,#N/A,FALSE,"BTL";#N/A,#N/A,FALSE,"AFC";#N/A,#N/A,FALSE,"OTHNET";#N/A,#N/A,FALSE,"ATL"}</definedName>
    <definedName name="wrn.printall." localSheetId="6" hidden="1">{#N/A,#N/A,FALSE,"PREFDIV";#N/A,#N/A,FALSE,"STINT";#N/A,#N/A,FALSE,"LTINT";#N/A,#N/A,FALSE,"BTL";#N/A,#N/A,FALSE,"AFC";#N/A,#N/A,FALSE,"OTHNET";#N/A,#N/A,FALSE,"ATL"}</definedName>
    <definedName name="wrn.printall." localSheetId="7" hidden="1">{#N/A,#N/A,FALSE,"PREFDIV";#N/A,#N/A,FALSE,"STINT";#N/A,#N/A,FALSE,"LTINT";#N/A,#N/A,FALSE,"BTL";#N/A,#N/A,FALSE,"AFC";#N/A,#N/A,FALSE,"OTHNET";#N/A,#N/A,FALSE,"ATL"}</definedName>
    <definedName name="wrn.printall." localSheetId="3" hidden="1">{#N/A,#N/A,FALSE,"PREFDIV";#N/A,#N/A,FALSE,"STINT";#N/A,#N/A,FALSE,"LTINT";#N/A,#N/A,FALSE,"BTL";#N/A,#N/A,FALSE,"AFC";#N/A,#N/A,FALSE,"OTHNET";#N/A,#N/A,FALSE,"ATL"}</definedName>
    <definedName name="wrn.printall." localSheetId="47" hidden="1">{#N/A,#N/A,FALSE,"PREFDIV";#N/A,#N/A,FALSE,"STINT";#N/A,#N/A,FALSE,"LTINT";#N/A,#N/A,FALSE,"BTL";#N/A,#N/A,FALSE,"AFC";#N/A,#N/A,FALSE,"OTHNET";#N/A,#N/A,FALSE,"ATL"}</definedName>
    <definedName name="wrn.printall." hidden="1">{#N/A,#N/A,FALSE,"PREFDIV";#N/A,#N/A,FALSE,"STINT";#N/A,#N/A,FALSE,"LTINT";#N/A,#N/A,FALSE,"BTL";#N/A,#N/A,FALSE,"AFC";#N/A,#N/A,FALSE,"OTHNET";#N/A,#N/A,FALSE,"ATL"}</definedName>
    <definedName name="wrn.PrintExhibits." localSheetId="32" hidden="1">{"EXHSPortrait1",#N/A,FALSE,"EXHIBITS";"EXHSLandscape",#N/A,FALSE,"EXHIBITS";"EXHSPortrait2",#N/A,FALSE,"EXHIBITS";"EXHSPortrait3",#N/A,FALSE,"EXHIBITS";"EXHSPortrait4",#N/A,FALSE,"EXHIBITS"}</definedName>
    <definedName name="wrn.PrintExhibits." localSheetId="6" hidden="1">{"EXHSPortrait1",#N/A,FALSE,"EXHIBITS";"EXHSLandscape",#N/A,FALSE,"EXHIBITS";"EXHSPortrait2",#N/A,FALSE,"EXHIBITS";"EXHSPortrait3",#N/A,FALSE,"EXHIBITS";"EXHSPortrait4",#N/A,FALSE,"EXHIBITS"}</definedName>
    <definedName name="wrn.PrintExhibits." localSheetId="7" hidden="1">{"EXHSPortrait1",#N/A,FALSE,"EXHIBITS";"EXHSLandscape",#N/A,FALSE,"EXHIBITS";"EXHSPortrait2",#N/A,FALSE,"EXHIBITS";"EXHSPortrait3",#N/A,FALSE,"EXHIBITS";"EXHSPortrait4",#N/A,FALSE,"EXHIBITS"}</definedName>
    <definedName name="wrn.PrintExhibits." localSheetId="3" hidden="1">{"EXHSPortrait1",#N/A,FALSE,"EXHIBITS";"EXHSLandscape",#N/A,FALSE,"EXHIBITS";"EXHSPortrait2",#N/A,FALSE,"EXHIBITS";"EXHSPortrait3",#N/A,FALSE,"EXHIBITS";"EXHSPortrait4",#N/A,FALSE,"EXHIBITS"}</definedName>
    <definedName name="wrn.PrintExhibits." localSheetId="47"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printtable1." localSheetId="1" hidden="1">{"print1",#N/A,FALSE,"D21CUSTS"}</definedName>
    <definedName name="wrn.printtable1." localSheetId="32" hidden="1">{"print1",#N/A,FALSE,"D21CUSTS"}</definedName>
    <definedName name="wrn.printtable1." localSheetId="6" hidden="1">{"print1",#N/A,FALSE,"D21CUSTS"}</definedName>
    <definedName name="wrn.printtable1." localSheetId="4" hidden="1">{"print1",#N/A,FALSE,"D21CUSTS"}</definedName>
    <definedName name="wrn.printtable1." localSheetId="5" hidden="1">{"print1",#N/A,FALSE,"D21CUSTS"}</definedName>
    <definedName name="wrn.printtable1." localSheetId="7" hidden="1">{"print1",#N/A,FALSE,"D21CUSTS"}</definedName>
    <definedName name="wrn.printtable1." localSheetId="3" hidden="1">{"print1",#N/A,FALSE,"D21CUSTS"}</definedName>
    <definedName name="wrn.printtable1." localSheetId="47" hidden="1">{"print1",#N/A,FALSE,"D21CUSTS"}</definedName>
    <definedName name="wrn.printtable1." hidden="1">{"print1",#N/A,FALSE,"D21CUSTS"}</definedName>
    <definedName name="wrn.printtable2." localSheetId="1" hidden="1">{"print2",#N/A,FALSE,"D21CUSTS"}</definedName>
    <definedName name="wrn.printtable2." localSheetId="32" hidden="1">{"print2",#N/A,FALSE,"D21CUSTS"}</definedName>
    <definedName name="wrn.printtable2." localSheetId="6" hidden="1">{"print2",#N/A,FALSE,"D21CUSTS"}</definedName>
    <definedName name="wrn.printtable2." localSheetId="4" hidden="1">{"print2",#N/A,FALSE,"D21CUSTS"}</definedName>
    <definedName name="wrn.printtable2." localSheetId="5" hidden="1">{"print2",#N/A,FALSE,"D21CUSTS"}</definedName>
    <definedName name="wrn.printtable2." localSheetId="7" hidden="1">{"print2",#N/A,FALSE,"D21CUSTS"}</definedName>
    <definedName name="wrn.printtable2." localSheetId="3" hidden="1">{"print2",#N/A,FALSE,"D21CUSTS"}</definedName>
    <definedName name="wrn.printtable2." localSheetId="47" hidden="1">{"print2",#N/A,FALSE,"D21CUSTS"}</definedName>
    <definedName name="wrn.printtable2." hidden="1">{"print2",#N/A,FALSE,"D21CUSTS"}</definedName>
    <definedName name="wrn.printtable3." localSheetId="1" hidden="1">{"print3",#N/A,FALSE,"D21CUSTS"}</definedName>
    <definedName name="wrn.printtable3." localSheetId="32" hidden="1">{"print3",#N/A,FALSE,"D21CUSTS"}</definedName>
    <definedName name="wrn.printtable3." localSheetId="6" hidden="1">{"print3",#N/A,FALSE,"D21CUSTS"}</definedName>
    <definedName name="wrn.printtable3." localSheetId="4" hidden="1">{"print3",#N/A,FALSE,"D21CUSTS"}</definedName>
    <definedName name="wrn.printtable3." localSheetId="5" hidden="1">{"print3",#N/A,FALSE,"D21CUSTS"}</definedName>
    <definedName name="wrn.printtable3." localSheetId="7" hidden="1">{"print3",#N/A,FALSE,"D21CUSTS"}</definedName>
    <definedName name="wrn.printtable3." localSheetId="3" hidden="1">{"print3",#N/A,FALSE,"D21CUSTS"}</definedName>
    <definedName name="wrn.printtable3." localSheetId="47" hidden="1">{"print3",#N/A,FALSE,"D21CUSTS"}</definedName>
    <definedName name="wrn.printtable3." hidden="1">{"print3",#N/A,FALSE,"D21CUSTS"}</definedName>
    <definedName name="wrn.printtable4." localSheetId="1" hidden="1">{"print4",#N/A,FALSE,"D21CUSTS"}</definedName>
    <definedName name="wrn.printtable4." localSheetId="32" hidden="1">{"print4",#N/A,FALSE,"D21CUSTS"}</definedName>
    <definedName name="wrn.printtable4." localSheetId="6" hidden="1">{"print4",#N/A,FALSE,"D21CUSTS"}</definedName>
    <definedName name="wrn.printtable4." localSheetId="4" hidden="1">{"print4",#N/A,FALSE,"D21CUSTS"}</definedName>
    <definedName name="wrn.printtable4." localSheetId="5" hidden="1">{"print4",#N/A,FALSE,"D21CUSTS"}</definedName>
    <definedName name="wrn.printtable4." localSheetId="7" hidden="1">{"print4",#N/A,FALSE,"D21CUSTS"}</definedName>
    <definedName name="wrn.printtable4." localSheetId="3" hidden="1">{"print4",#N/A,FALSE,"D21CUSTS"}</definedName>
    <definedName name="wrn.printtable4." localSheetId="47" hidden="1">{"print4",#N/A,FALSE,"D21CUSTS"}</definedName>
    <definedName name="wrn.printtable4." hidden="1">{"print4",#N/A,FALSE,"D21CUSTS"}</definedName>
    <definedName name="wrn.PRIOR._.PERIOD._.ADJMT." localSheetId="32" hidden="1">{#N/A,#N/A,FALSE,"PRIOR PERIOD ADJMT"}</definedName>
    <definedName name="wrn.PRIOR._.PERIOD._.ADJMT." localSheetId="6" hidden="1">{#N/A,#N/A,FALSE,"PRIOR PERIOD ADJMT"}</definedName>
    <definedName name="wrn.PRIOR._.PERIOD._.ADJMT." localSheetId="7" hidden="1">{#N/A,#N/A,FALSE,"PRIOR PERIOD ADJMT"}</definedName>
    <definedName name="wrn.PRIOR._.PERIOD._.ADJMT." localSheetId="3" hidden="1">{#N/A,#N/A,FALSE,"PRIOR PERIOD ADJMT"}</definedName>
    <definedName name="wrn.PRIOR._.PERIOD._.ADJMT." localSheetId="29" hidden="1">{#N/A,#N/A,FALSE,"PRIOR PERIOD ADJMT"}</definedName>
    <definedName name="wrn.PRIOR._.PERIOD._.ADJMT." localSheetId="47" hidden="1">{#N/A,#N/A,FALSE,"PRIOR PERIOD ADJMT"}</definedName>
    <definedName name="wrn.PRIOR._.PERIOD._.ADJMT." hidden="1">{#N/A,#N/A,FALSE,"PRIOR PERIOD ADJMT"}</definedName>
    <definedName name="wrn.Productivity_Ratios."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2"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6"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4"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5"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9"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4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Targets." localSheetId="1" hidden="1">{"PT=O&amp;M per Cust + Equiv Employee + OR",#N/A,FALSE,"1999 Targets";"PT=Return on Net Plant &amp; Rev per Customere",#N/A,FALSE,"1999 Targets"}</definedName>
    <definedName name="wrn.Productivity_Targets." localSheetId="32" hidden="1">{"PT=O&amp;M per Cust + Equiv Employee + OR",#N/A,FALSE,"1999 Targets";"PT=Return on Net Plant &amp; Rev per Customere",#N/A,FALSE,"1999 Targets"}</definedName>
    <definedName name="wrn.Productivity_Targets." localSheetId="6" hidden="1">{"PT=O&amp;M per Cust + Equiv Employee + OR",#N/A,FALSE,"1999 Targets";"PT=Return on Net Plant &amp; Rev per Customere",#N/A,FALSE,"1999 Targets"}</definedName>
    <definedName name="wrn.Productivity_Targets." localSheetId="4" hidden="1">{"PT=O&amp;M per Cust + Equiv Employee + OR",#N/A,FALSE,"1999 Targets";"PT=Return on Net Plant &amp; Rev per Customere",#N/A,FALSE,"1999 Targets"}</definedName>
    <definedName name="wrn.Productivity_Targets." localSheetId="5" hidden="1">{"PT=O&amp;M per Cust + Equiv Employee + OR",#N/A,FALSE,"1999 Targets";"PT=Return on Net Plant &amp; Rev per Customere",#N/A,FALSE,"1999 Targets"}</definedName>
    <definedName name="wrn.Productivity_Targets." localSheetId="7" hidden="1">{"PT=O&amp;M per Cust + Equiv Employee + OR",#N/A,FALSE,"1999 Targets";"PT=Return on Net Plant &amp; Rev per Customere",#N/A,FALSE,"1999 Targets"}</definedName>
    <definedName name="wrn.Productivity_Targets." localSheetId="3" hidden="1">{"PT=O&amp;M per Cust + Equiv Employee + OR",#N/A,FALSE,"1999 Targets";"PT=Return on Net Plant &amp; Rev per Customere",#N/A,FALSE,"1999 Targets"}</definedName>
    <definedName name="wrn.Productivity_Targets." localSheetId="29" hidden="1">{"PT=O&amp;M per Cust + Equiv Employee + OR",#N/A,FALSE,"1999 Targets";"PT=Return on Net Plant &amp; Rev per Customere",#N/A,FALSE,"1999 Targets"}</definedName>
    <definedName name="wrn.Productivity_Targets." localSheetId="47" hidden="1">{"PT=O&amp;M per Cust + Equiv Employee + OR",#N/A,FALSE,"1999 Targets";"PT=Return on Net Plant &amp; Rev per Customere",#N/A,FALSE,"1999 Targets"}</definedName>
    <definedName name="wrn.Productivity_Targets." hidden="1">{"PT=O&amp;M per Cust + Equiv Employee + OR",#N/A,FALSE,"1999 Targets";"PT=Return on Net Plant &amp; Rev per Customere",#N/A,FALSE,"1999 Targets"}</definedName>
    <definedName name="wrn.Proforma." localSheetId="1" hidden="1">{#N/A,#N/A,TRUE,"SLDE";#N/A,#N/A,TRUE,"Concession Summary"}</definedName>
    <definedName name="wrn.Proforma." localSheetId="32" hidden="1">{#N/A,#N/A,TRUE,"SLDE";#N/A,#N/A,TRUE,"Concession Summary"}</definedName>
    <definedName name="wrn.Proforma." localSheetId="6" hidden="1">{#N/A,#N/A,TRUE,"SLDE";#N/A,#N/A,TRUE,"Concession Summary"}</definedName>
    <definedName name="wrn.Proforma." localSheetId="4" hidden="1">{#N/A,#N/A,TRUE,"SLDE";#N/A,#N/A,TRUE,"Concession Summary"}</definedName>
    <definedName name="wrn.Proforma." localSheetId="5" hidden="1">{#N/A,#N/A,TRUE,"SLDE";#N/A,#N/A,TRUE,"Concession Summary"}</definedName>
    <definedName name="wrn.Proforma." localSheetId="7" hidden="1">{#N/A,#N/A,TRUE,"SLDE";#N/A,#N/A,TRUE,"Concession Summary"}</definedName>
    <definedName name="wrn.Proforma." localSheetId="3" hidden="1">{#N/A,#N/A,TRUE,"SLDE";#N/A,#N/A,TRUE,"Concession Summary"}</definedName>
    <definedName name="wrn.Proforma." localSheetId="29" hidden="1">{#N/A,#N/A,TRUE,"SLDE";#N/A,#N/A,TRUE,"Concession Summary"}</definedName>
    <definedName name="wrn.Proforma." localSheetId="47" hidden="1">{#N/A,#N/A,TRUE,"SLDE";#N/A,#N/A,TRUE,"Concession Summary"}</definedName>
    <definedName name="wrn.Proforma." hidden="1">{#N/A,#N/A,TRUE,"SLDE";#N/A,#N/A,TRUE,"Concession Summary"}</definedName>
    <definedName name="wrn.Projected._.Def._.Adjustments."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1" hidden="1">{"caz2",#N/A,FALSE,"Central Arizona 2";"saz2",#N/A,FALSE,"Southern Arizona 2";"snv2",#N/A,FALSE,"Southern Nevada 2";"nnv2",#N/A,FALSE,"Northern Nevada 2";"sca2",#N/A,FALSE,"Southern California 2";"nca2",#N/A,FALSE,"Northern California 2";"pai2",#N/A,FALSE,"Paiute 2"}</definedName>
    <definedName name="wrn.Projected._.Defiency." localSheetId="32"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4" hidden="1">{"caz2",#N/A,FALSE,"Central Arizona 2";"saz2",#N/A,FALSE,"Southern Arizona 2";"snv2",#N/A,FALSE,"Southern Nevada 2";"nnv2",#N/A,FALSE,"Northern Nevada 2";"sca2",#N/A,FALSE,"Southern California 2";"nca2",#N/A,FALSE,"Northern California 2";"pai2",#N/A,FALSE,"Paiute 2"}</definedName>
    <definedName name="wrn.Projected._.Defiency." localSheetId="5" hidden="1">{"caz2",#N/A,FALSE,"Central Arizona 2";"saz2",#N/A,FALSE,"Southern Arizona 2";"snv2",#N/A,FALSE,"Southern Nevada 2";"nnv2",#N/A,FALSE,"Northern Nevada 2";"sca2",#N/A,FALSE,"Southern California 2";"nca2",#N/A,FALSE,"Northern California 2";"pai2",#N/A,FALSE,"Paiute 2"}</definedName>
    <definedName name="wrn.Projected._.Defiency." localSheetId="7" hidden="1">{"caz2",#N/A,FALSE,"Central Arizona 2";"saz2",#N/A,FALSE,"Southern Arizona 2";"snv2",#N/A,FALSE,"Southern Nevada 2";"nnv2",#N/A,FALSE,"Northern Nevada 2";"sca2",#N/A,FALSE,"Southern California 2";"nca2",#N/A,FALSE,"Northern California 2";"pai2",#N/A,FALSE,"Paiute 2"}</definedName>
    <definedName name="wrn.Projected._.Defiency." localSheetId="3" hidden="1">{"caz2",#N/A,FALSE,"Central Arizona 2";"saz2",#N/A,FALSE,"Southern Arizona 2";"snv2",#N/A,FALSE,"Southern Nevada 2";"nnv2",#N/A,FALSE,"Northern Nevada 2";"sca2",#N/A,FALSE,"Southern California 2";"nca2",#N/A,FALSE,"Northern California 2";"pai2",#N/A,FALSE,"Paiute 2"}</definedName>
    <definedName name="wrn.Projected._.Defiency." localSheetId="47" hidden="1">{"caz2",#N/A,FALSE,"Central Arizona 2";"saz2",#N/A,FALSE,"Southern Arizona 2";"snv2",#N/A,FALSE,"Southern Nevada 2";"nnv2",#N/A,FALSE,"Northern Nevada 2";"sca2",#N/A,FALSE,"Southern California 2";"nca2",#N/A,FALSE,"Northern California 2";"pai2",#N/A,FALSE,"Paiute 2"}</definedName>
    <definedName name="wrn.Projected._.Defiency." hidden="1">{"caz2",#N/A,FALSE,"Central Arizona 2";"saz2",#N/A,FALSE,"Southern Arizona 2";"snv2",#N/A,FALSE,"Southern Nevada 2";"nnv2",#N/A,FALSE,"Northern Nevada 2";"sca2",#N/A,FALSE,"Southern California 2";"nca2",#N/A,FALSE,"Northern California 2";"pai2",#N/A,FALSE,"Paiute 2"}</definedName>
    <definedName name="wrn.PSNH_GL." localSheetId="1" hidden="1">{#N/A,#N/A,FALSE,"GLDwnLoad"}</definedName>
    <definedName name="wrn.PSNH_GL." localSheetId="32" hidden="1">{#N/A,#N/A,FALSE,"GLDwnLoad"}</definedName>
    <definedName name="wrn.PSNH_GL." localSheetId="6" hidden="1">{#N/A,#N/A,FALSE,"GLDwnLoad"}</definedName>
    <definedName name="wrn.PSNH_GL." localSheetId="4" hidden="1">{#N/A,#N/A,FALSE,"GLDwnLoad"}</definedName>
    <definedName name="wrn.PSNH_GL." localSheetId="5" hidden="1">{#N/A,#N/A,FALSE,"GLDwnLoad"}</definedName>
    <definedName name="wrn.PSNH_GL." localSheetId="7" hidden="1">{#N/A,#N/A,FALSE,"GLDwnLoad"}</definedName>
    <definedName name="wrn.PSNH_GL." localSheetId="3" hidden="1">{#N/A,#N/A,FALSE,"GLDwnLoad"}</definedName>
    <definedName name="wrn.PSNH_GL." localSheetId="47" hidden="1">{#N/A,#N/A,FALSE,"GLDwnLoad"}</definedName>
    <definedName name="wrn.PSNH_GL." hidden="1">{#N/A,#N/A,FALSE,"GLDwnLoad"}</definedName>
    <definedName name="wrn.PSNH_INPUTS." localSheetId="1" hidden="1">{#N/A,#N/A,FALSE,"OTHERINPUTS";#N/A,#N/A,FALSE,"DITRATEINPUTS";#N/A,#N/A,FALSE,"SUPPLIEDADJINPUT";#N/A,#N/A,FALSE,"TIMINGDIFFINPUTS";#N/A,#N/A,FALSE,"BR&amp;SUPADJ."}</definedName>
    <definedName name="wrn.PSNH_INPUTS." localSheetId="32" hidden="1">{#N/A,#N/A,FALSE,"OTHERINPUTS";#N/A,#N/A,FALSE,"DITRATEINPUTS";#N/A,#N/A,FALSE,"SUPPLIEDADJINPUT";#N/A,#N/A,FALSE,"TIMINGDIFFINPUTS";#N/A,#N/A,FALSE,"BR&amp;SUPADJ."}</definedName>
    <definedName name="wrn.PSNH_INPUTS." localSheetId="6" hidden="1">{#N/A,#N/A,FALSE,"OTHERINPUTS";#N/A,#N/A,FALSE,"DITRATEINPUTS";#N/A,#N/A,FALSE,"SUPPLIEDADJINPUT";#N/A,#N/A,FALSE,"TIMINGDIFFINPUTS";#N/A,#N/A,FALSE,"BR&amp;SUPADJ."}</definedName>
    <definedName name="wrn.PSNH_INPUTS." localSheetId="4" hidden="1">{#N/A,#N/A,FALSE,"OTHERINPUTS";#N/A,#N/A,FALSE,"DITRATEINPUTS";#N/A,#N/A,FALSE,"SUPPLIEDADJINPUT";#N/A,#N/A,FALSE,"TIMINGDIFFINPUTS";#N/A,#N/A,FALSE,"BR&amp;SUPADJ."}</definedName>
    <definedName name="wrn.PSNH_INPUTS." localSheetId="5" hidden="1">{#N/A,#N/A,FALSE,"OTHERINPUTS";#N/A,#N/A,FALSE,"DITRATEINPUTS";#N/A,#N/A,FALSE,"SUPPLIEDADJINPUT";#N/A,#N/A,FALSE,"TIMINGDIFFINPUTS";#N/A,#N/A,FALSE,"BR&amp;SUPADJ."}</definedName>
    <definedName name="wrn.PSNH_INPUTS." localSheetId="7" hidden="1">{#N/A,#N/A,FALSE,"OTHERINPUTS";#N/A,#N/A,FALSE,"DITRATEINPUTS";#N/A,#N/A,FALSE,"SUPPLIEDADJINPUT";#N/A,#N/A,FALSE,"TIMINGDIFFINPUTS";#N/A,#N/A,FALSE,"BR&amp;SUPADJ."}</definedName>
    <definedName name="wrn.PSNH_INPUTS." localSheetId="3" hidden="1">{#N/A,#N/A,FALSE,"OTHERINPUTS";#N/A,#N/A,FALSE,"DITRATEINPUTS";#N/A,#N/A,FALSE,"SUPPLIEDADJINPUT";#N/A,#N/A,FALSE,"TIMINGDIFFINPUTS";#N/A,#N/A,FALSE,"BR&amp;SUPADJ."}</definedName>
    <definedName name="wrn.PSNH_INPUTS." localSheetId="47" hidden="1">{#N/A,#N/A,FALSE,"OTHERINPUTS";#N/A,#N/A,FALSE,"DITRATEINPUTS";#N/A,#N/A,FALSE,"SUPPLIEDADJINPUT";#N/A,#N/A,FALSE,"TIMINGDIFFINPUTS";#N/A,#N/A,FALSE,"BR&amp;SUPADJ."}</definedName>
    <definedName name="wrn.PSNH_INPUTS." hidden="1">{#N/A,#N/A,FALSE,"OTHERINPUTS";#N/A,#N/A,FALSE,"DITRATEINPUTS";#N/A,#N/A,FALSE,"SUPPLIEDADJINPUT";#N/A,#N/A,FALSE,"TIMINGDIFFINPUTS";#N/A,#N/A,FALSE,"BR&amp;SUPADJ."}</definedName>
    <definedName name="wrn.PSNH_PROV."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QTR._.AUDIT." localSheetId="32"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6"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3"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4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Quarterly._.report." localSheetId="1" hidden="1">{#N/A,#N/A,TRUE,"1 (2)";#N/A,#N/A,TRUE,"2";#N/A,#N/A,TRUE,"3"}</definedName>
    <definedName name="wrn.Quarterly._.report." localSheetId="32" hidden="1">{#N/A,#N/A,TRUE,"1 (2)";#N/A,#N/A,TRUE,"2";#N/A,#N/A,TRUE,"3"}</definedName>
    <definedName name="wrn.Quarterly._.report." localSheetId="6" hidden="1">{#N/A,#N/A,TRUE,"1 (2)";#N/A,#N/A,TRUE,"2";#N/A,#N/A,TRUE,"3"}</definedName>
    <definedName name="wrn.Quarterly._.report." localSheetId="4" hidden="1">{#N/A,#N/A,TRUE,"1 (2)";#N/A,#N/A,TRUE,"2";#N/A,#N/A,TRUE,"3"}</definedName>
    <definedName name="wrn.Quarterly._.report." localSheetId="5" hidden="1">{#N/A,#N/A,TRUE,"1 (2)";#N/A,#N/A,TRUE,"2";#N/A,#N/A,TRUE,"3"}</definedName>
    <definedName name="wrn.Quarterly._.report." localSheetId="7" hidden="1">{#N/A,#N/A,TRUE,"1 (2)";#N/A,#N/A,TRUE,"2";#N/A,#N/A,TRUE,"3"}</definedName>
    <definedName name="wrn.Quarterly._.report." localSheetId="3" hidden="1">{#N/A,#N/A,TRUE,"1 (2)";#N/A,#N/A,TRUE,"2";#N/A,#N/A,TRUE,"3"}</definedName>
    <definedName name="wrn.Quarterly._.report." localSheetId="29" hidden="1">{#N/A,#N/A,TRUE,"1 (2)";#N/A,#N/A,TRUE,"2";#N/A,#N/A,TRUE,"3"}</definedName>
    <definedName name="wrn.Quarterly._.report." localSheetId="47" hidden="1">{#N/A,#N/A,TRUE,"1 (2)";#N/A,#N/A,TRUE,"2";#N/A,#N/A,TRUE,"3"}</definedName>
    <definedName name="wrn.Quarterly._.report." hidden="1">{#N/A,#N/A,TRUE,"1 (2)";#N/A,#N/A,TRUE,"2";#N/A,#N/A,TRUE,"3"}</definedName>
    <definedName name="wrn.Rate._.Design." localSheetId="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2"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6"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4"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5"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4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BASE._.ADJUSTMENTS." localSheetId="1" hidden="1">{"JURIS_RB_ADJS",#N/A,FALSE,"COSTSTUDY";"OKCLS_RB_ADJS",#N/A,FALSE,"COSTSTUDY"}</definedName>
    <definedName name="wrn.RATEBASE._.ADJUSTMENTS." localSheetId="32" hidden="1">{"JURIS_RB_ADJS",#N/A,FALSE,"COSTSTUDY";"OKCLS_RB_ADJS",#N/A,FALSE,"COSTSTUDY"}</definedName>
    <definedName name="wrn.RATEBASE._.ADJUSTMENTS." localSheetId="6" hidden="1">{"JURIS_RB_ADJS",#N/A,FALSE,"COSTSTUDY";"OKCLS_RB_ADJS",#N/A,FALSE,"COSTSTUDY"}</definedName>
    <definedName name="wrn.RATEBASE._.ADJUSTMENTS." localSheetId="4" hidden="1">{"JURIS_RB_ADJS",#N/A,FALSE,"COSTSTUDY";"OKCLS_RB_ADJS",#N/A,FALSE,"COSTSTUDY"}</definedName>
    <definedName name="wrn.RATEBASE._.ADJUSTMENTS." localSheetId="5" hidden="1">{"JURIS_RB_ADJS",#N/A,FALSE,"COSTSTUDY";"OKCLS_RB_ADJS",#N/A,FALSE,"COSTSTUDY"}</definedName>
    <definedName name="wrn.RATEBASE._.ADJUSTMENTS." localSheetId="7" hidden="1">{"JURIS_RB_ADJS",#N/A,FALSE,"COSTSTUDY";"OKCLS_RB_ADJS",#N/A,FALSE,"COSTSTUDY"}</definedName>
    <definedName name="wrn.RATEBASE._.ADJUSTMENTS." localSheetId="3" hidden="1">{"JURIS_RB_ADJS",#N/A,FALSE,"COSTSTUDY";"OKCLS_RB_ADJS",#N/A,FALSE,"COSTSTUDY"}</definedName>
    <definedName name="wrn.RATEBASE._.ADJUSTMENTS." localSheetId="29" hidden="1">{"JURIS_RB_ADJS",#N/A,FALSE,"COSTSTUDY";"OKCLS_RB_ADJS",#N/A,FALSE,"COSTSTUDY"}</definedName>
    <definedName name="wrn.RATEBASE._.ADJUSTMENTS." localSheetId="47" hidden="1">{"JURIS_RB_ADJS",#N/A,FALSE,"COSTSTUDY";"OKCLS_RB_ADJS",#N/A,FALSE,"COSTSTUDY"}</definedName>
    <definedName name="wrn.RATEBASE._.ADJUSTMENTS." hidden="1">{"JURIS_RB_ADJS",#N/A,FALSE,"COSTSTUDY";"OKCLS_RB_ADJS",#N/A,FALSE,"COSTSTUDY"}</definedName>
    <definedName name="wrn.Report." localSheetId="1" hidden="1">{#N/A,#N/A,TRUE,"Summary";#N/A,#N/A,TRUE,"Ratios LDE";#N/A,#N/A,TRUE,"Ratios";#N/A,#N/A,TRUE,"Financial Statements"}</definedName>
    <definedName name="wrn.Report." localSheetId="32" hidden="1">{#N/A,#N/A,TRUE,"Summary";#N/A,#N/A,TRUE,"Ratios LDE";#N/A,#N/A,TRUE,"Ratios";#N/A,#N/A,TRUE,"Financial Statements"}</definedName>
    <definedName name="wrn.Report." localSheetId="6" hidden="1">{#N/A,#N/A,TRUE,"Summary";#N/A,#N/A,TRUE,"Ratios LDE";#N/A,#N/A,TRUE,"Ratios";#N/A,#N/A,TRUE,"Financial Statements"}</definedName>
    <definedName name="wrn.Report." localSheetId="4" hidden="1">{#N/A,#N/A,TRUE,"Summary";#N/A,#N/A,TRUE,"Ratios LDE";#N/A,#N/A,TRUE,"Ratios";#N/A,#N/A,TRUE,"Financial Statements"}</definedName>
    <definedName name="wrn.Report." localSheetId="5" hidden="1">{#N/A,#N/A,TRUE,"Summary";#N/A,#N/A,TRUE,"Ratios LDE";#N/A,#N/A,TRUE,"Ratios";#N/A,#N/A,TRUE,"Financial Statements"}</definedName>
    <definedName name="wrn.Report." localSheetId="7" hidden="1">{#N/A,#N/A,TRUE,"Summary";#N/A,#N/A,TRUE,"Ratios LDE";#N/A,#N/A,TRUE,"Ratios";#N/A,#N/A,TRUE,"Financial Statements"}</definedName>
    <definedName name="wrn.Report." localSheetId="3" hidden="1">{#N/A,#N/A,TRUE,"Summary";#N/A,#N/A,TRUE,"Ratios LDE";#N/A,#N/A,TRUE,"Ratios";#N/A,#N/A,TRUE,"Financial Statements"}</definedName>
    <definedName name="wrn.Report." localSheetId="29" hidden="1">{#N/A,#N/A,TRUE,"Summary";#N/A,#N/A,TRUE,"Ratios LDE";#N/A,#N/A,TRUE,"Ratios";#N/A,#N/A,TRUE,"Financial Statements"}</definedName>
    <definedName name="wrn.Report." localSheetId="47" hidden="1">{#N/A,#N/A,TRUE,"Summary";#N/A,#N/A,TRUE,"Ratios LDE";#N/A,#N/A,TRUE,"Ratios";#N/A,#N/A,TRUE,"Financial Statements"}</definedName>
    <definedName name="wrn.Report." hidden="1">{#N/A,#N/A,TRUE,"Summary";#N/A,#N/A,TRUE,"Ratios LDE";#N/A,#N/A,TRUE,"Ratios";#N/A,#N/A,TRUE,"Financial Statements"}</definedName>
    <definedName name="wrn.Report1." localSheetId="32" hidden="1">{#N/A,#N/A,TRUE,"TOC";#N/A,#N/A,TRUE,"Assum";#N/A,#N/A,TRUE,"Op-BS";#N/A,#N/A,TRUE,"IS";#N/A,#N/A,TRUE,"BSCF";#N/A,#N/A,TRUE,"Ratios";#N/A,#N/A,TRUE,"Sens";#N/A,#N/A,TRUE,"Holmes_IS";#N/A,#N/A,TRUE,"Holmes_BSCF";#N/A,#N/A,TRUE,"Holmes_Rat";#N/A,#N/A,TRUE,"Hound_IS";#N/A,#N/A,TRUE,"Hound_BSCF";#N/A,#N/A,TRUE,"Hound_Rat";#N/A,#N/A,TRUE,"Hound_DCF1"}</definedName>
    <definedName name="wrn.Report1." localSheetId="6" hidden="1">{#N/A,#N/A,TRUE,"TOC";#N/A,#N/A,TRUE,"Assum";#N/A,#N/A,TRUE,"Op-BS";#N/A,#N/A,TRUE,"IS";#N/A,#N/A,TRUE,"BSCF";#N/A,#N/A,TRUE,"Ratios";#N/A,#N/A,TRUE,"Sens";#N/A,#N/A,TRUE,"Holmes_IS";#N/A,#N/A,TRUE,"Holmes_BSCF";#N/A,#N/A,TRUE,"Holmes_Rat";#N/A,#N/A,TRUE,"Hound_IS";#N/A,#N/A,TRUE,"Hound_BSCF";#N/A,#N/A,TRUE,"Hound_Rat";#N/A,#N/A,TRUE,"Hound_DCF1"}</definedName>
    <definedName name="wrn.Report1." localSheetId="7" hidden="1">{#N/A,#N/A,TRUE,"TOC";#N/A,#N/A,TRUE,"Assum";#N/A,#N/A,TRUE,"Op-BS";#N/A,#N/A,TRUE,"IS";#N/A,#N/A,TRUE,"BSCF";#N/A,#N/A,TRUE,"Ratios";#N/A,#N/A,TRUE,"Sens";#N/A,#N/A,TRUE,"Holmes_IS";#N/A,#N/A,TRUE,"Holmes_BSCF";#N/A,#N/A,TRUE,"Holmes_Rat";#N/A,#N/A,TRUE,"Hound_IS";#N/A,#N/A,TRUE,"Hound_BSCF";#N/A,#N/A,TRUE,"Hound_Rat";#N/A,#N/A,TRUE,"Hound_DCF1"}</definedName>
    <definedName name="wrn.Report1." localSheetId="3" hidden="1">{#N/A,#N/A,TRUE,"TOC";#N/A,#N/A,TRUE,"Assum";#N/A,#N/A,TRUE,"Op-BS";#N/A,#N/A,TRUE,"IS";#N/A,#N/A,TRUE,"BSCF";#N/A,#N/A,TRUE,"Ratios";#N/A,#N/A,TRUE,"Sens";#N/A,#N/A,TRUE,"Holmes_IS";#N/A,#N/A,TRUE,"Holmes_BSCF";#N/A,#N/A,TRUE,"Holmes_Rat";#N/A,#N/A,TRUE,"Hound_IS";#N/A,#N/A,TRUE,"Hound_BSCF";#N/A,#N/A,TRUE,"Hound_Rat";#N/A,#N/A,TRUE,"Hound_DCF1"}</definedName>
    <definedName name="wrn.Report1." localSheetId="47" hidden="1">{#N/A,#N/A,TRUE,"TOC";#N/A,#N/A,TRUE,"Assum";#N/A,#N/A,TRUE,"Op-BS";#N/A,#N/A,TRUE,"IS";#N/A,#N/A,TRUE,"BSCF";#N/A,#N/A,TRUE,"Ratios";#N/A,#N/A,TRUE,"Sens";#N/A,#N/A,TRUE,"Holmes_IS";#N/A,#N/A,TRUE,"Holmes_BSCF";#N/A,#N/A,TRUE,"Holmes_Rat";#N/A,#N/A,TRUE,"Hound_IS";#N/A,#N/A,TRUE,"Hound_BSCF";#N/A,#N/A,TRUE,"Hound_Rat";#N/A,#N/A,TRUE,"Hound_DCF1"}</definedName>
    <definedName name="wrn.Report1." hidden="1">{#N/A,#N/A,TRUE,"TOC";#N/A,#N/A,TRUE,"Assum";#N/A,#N/A,TRUE,"Op-BS";#N/A,#N/A,TRUE,"IS";#N/A,#N/A,TRUE,"BSCF";#N/A,#N/A,TRUE,"Ratios";#N/A,#N/A,TRUE,"Sens";#N/A,#N/A,TRUE,"Holmes_IS";#N/A,#N/A,TRUE,"Holmes_BSCF";#N/A,#N/A,TRUE,"Holmes_Rat";#N/A,#N/A,TRUE,"Hound_IS";#N/A,#N/A,TRUE,"Hound_BSCF";#N/A,#N/A,TRUE,"Hound_Rat";#N/A,#N/A,TRUE,"Hound_DCF1"}</definedName>
    <definedName name="wrn.Revenue._.Analysis." localSheetId="3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4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OR_MEMO." localSheetId="1" hidden="1">{#N/A,#N/A,FALSE,"RORMEMO";#N/A,#N/A,FALSE,"RORSUMMARY";#N/A,#N/A,FALSE,"RORDETAIL"}</definedName>
    <definedName name="wrn.ROR_MEMO." localSheetId="32" hidden="1">{#N/A,#N/A,FALSE,"RORMEMO";#N/A,#N/A,FALSE,"RORSUMMARY";#N/A,#N/A,FALSE,"RORDETAIL"}</definedName>
    <definedName name="wrn.ROR_MEMO." localSheetId="6" hidden="1">{#N/A,#N/A,FALSE,"RORMEMO";#N/A,#N/A,FALSE,"RORSUMMARY";#N/A,#N/A,FALSE,"RORDETAIL"}</definedName>
    <definedName name="wrn.ROR_MEMO." localSheetId="4" hidden="1">{#N/A,#N/A,FALSE,"RORMEMO";#N/A,#N/A,FALSE,"RORSUMMARY";#N/A,#N/A,FALSE,"RORDETAIL"}</definedName>
    <definedName name="wrn.ROR_MEMO." localSheetId="5" hidden="1">{#N/A,#N/A,FALSE,"RORMEMO";#N/A,#N/A,FALSE,"RORSUMMARY";#N/A,#N/A,FALSE,"RORDETAIL"}</definedName>
    <definedName name="wrn.ROR_MEMO." localSheetId="7" hidden="1">{#N/A,#N/A,FALSE,"RORMEMO";#N/A,#N/A,FALSE,"RORSUMMARY";#N/A,#N/A,FALSE,"RORDETAIL"}</definedName>
    <definedName name="wrn.ROR_MEMO." localSheetId="3" hidden="1">{#N/A,#N/A,FALSE,"RORMEMO";#N/A,#N/A,FALSE,"RORSUMMARY";#N/A,#N/A,FALSE,"RORDETAIL"}</definedName>
    <definedName name="wrn.ROR_MEMO." localSheetId="47" hidden="1">{#N/A,#N/A,FALSE,"RORMEMO";#N/A,#N/A,FALSE,"RORSUMMARY";#N/A,#N/A,FALSE,"RORDETAIL"}</definedName>
    <definedName name="wrn.ROR_MEMO." hidden="1">{#N/A,#N/A,FALSE,"RORMEMO";#N/A,#N/A,FALSE,"RORSUMMARY";#N/A,#N/A,FALSE,"RORDETAIL"}</definedName>
    <definedName name="wrn.Schedule._.2c." localSheetId="32" hidden="1">{"Schedule 2c",#N/A,FALSE,"SCHEDULE2c"}</definedName>
    <definedName name="wrn.Schedule._.2c." localSheetId="6" hidden="1">{"Schedule 2c",#N/A,FALSE,"SCHEDULE2c"}</definedName>
    <definedName name="wrn.Schedule._.2c." localSheetId="7" hidden="1">{"Schedule 2c",#N/A,FALSE,"SCHEDULE2c"}</definedName>
    <definedName name="wrn.Schedule._.2c." localSheetId="3" hidden="1">{"Schedule 2c",#N/A,FALSE,"SCHEDULE2c"}</definedName>
    <definedName name="wrn.Schedule._.2c." localSheetId="47" hidden="1">{"Schedule 2c",#N/A,FALSE,"SCHEDULE2c"}</definedName>
    <definedName name="wrn.Schedule._.2c." hidden="1">{"Schedule 2c",#N/A,FALSE,"SCHEDULE2c"}</definedName>
    <definedName name="wrn.SCHEDULE_K_1." localSheetId="1" hidden="1">{"SCHK1",#N/A,FALSE,"FILING REPORTS"}</definedName>
    <definedName name="wrn.SCHEDULE_K_1." localSheetId="32" hidden="1">{"SCHK1",#N/A,FALSE,"FILING REPORTS"}</definedName>
    <definedName name="wrn.SCHEDULE_K_1." localSheetId="6" hidden="1">{"SCHK1",#N/A,FALSE,"FILING REPORTS"}</definedName>
    <definedName name="wrn.SCHEDULE_K_1." localSheetId="4" hidden="1">{"SCHK1",#N/A,FALSE,"FILING REPORTS"}</definedName>
    <definedName name="wrn.SCHEDULE_K_1." localSheetId="5" hidden="1">{"SCHK1",#N/A,FALSE,"FILING REPORTS"}</definedName>
    <definedName name="wrn.SCHEDULE_K_1." localSheetId="7" hidden="1">{"SCHK1",#N/A,FALSE,"FILING REPORTS"}</definedName>
    <definedName name="wrn.SCHEDULE_K_1." localSheetId="3" hidden="1">{"SCHK1",#N/A,FALSE,"FILING REPORTS"}</definedName>
    <definedName name="wrn.SCHEDULE_K_1." localSheetId="29" hidden="1">{"SCHK1",#N/A,FALSE,"FILING REPORTS"}</definedName>
    <definedName name="wrn.SCHEDULE_K_1." localSheetId="47" hidden="1">{"SCHK1",#N/A,FALSE,"FILING REPORTS"}</definedName>
    <definedName name="wrn.SCHEDULE_K_1." hidden="1">{"SCHK1",#N/A,FALSE,"FILING REPORTS"}</definedName>
    <definedName name="wrn.SECTLREPORTS." localSheetId="1" hidden="1">{"SCHL",#N/A,FALSE,"FILING REPORTS";"SCHL1",#N/A,FALSE,"COSTSTUDY";"SCHL2",#N/A,FALSE,"COSTSTUDY";"SCHL3",#N/A,FALSE,"COSTSTUDY";"SCHL4",#N/A,FALSE,"COSTSTUDY";"SCHL5",#N/A,FALSE,"COSTSTUDY";"SCHL6",#N/A,FALSE,"COSTSTUDY";"SCHL7",#N/A,FALSE,"COSTSTUDY";"SCHL8",#N/A,FALSE,"COSTSTUDY"}</definedName>
    <definedName name="wrn.SECTLREPORTS." localSheetId="32" hidden="1">{"SCHL",#N/A,FALSE,"FILING REPORTS";"SCHL1",#N/A,FALSE,"COSTSTUDY";"SCHL2",#N/A,FALSE,"COSTSTUDY";"SCHL3",#N/A,FALSE,"COSTSTUDY";"SCHL4",#N/A,FALSE,"COSTSTUDY";"SCHL5",#N/A,FALSE,"COSTSTUDY";"SCHL6",#N/A,FALSE,"COSTSTUDY";"SCHL7",#N/A,FALSE,"COSTSTUDY";"SCHL8",#N/A,FALSE,"COSTSTUDY"}</definedName>
    <definedName name="wrn.SECTLREPORTS." localSheetId="6" hidden="1">{"SCHL",#N/A,FALSE,"FILING REPORTS";"SCHL1",#N/A,FALSE,"COSTSTUDY";"SCHL2",#N/A,FALSE,"COSTSTUDY";"SCHL3",#N/A,FALSE,"COSTSTUDY";"SCHL4",#N/A,FALSE,"COSTSTUDY";"SCHL5",#N/A,FALSE,"COSTSTUDY";"SCHL6",#N/A,FALSE,"COSTSTUDY";"SCHL7",#N/A,FALSE,"COSTSTUDY";"SCHL8",#N/A,FALSE,"COSTSTUDY"}</definedName>
    <definedName name="wrn.SECTLREPORTS." localSheetId="4" hidden="1">{"SCHL",#N/A,FALSE,"FILING REPORTS";"SCHL1",#N/A,FALSE,"COSTSTUDY";"SCHL2",#N/A,FALSE,"COSTSTUDY";"SCHL3",#N/A,FALSE,"COSTSTUDY";"SCHL4",#N/A,FALSE,"COSTSTUDY";"SCHL5",#N/A,FALSE,"COSTSTUDY";"SCHL6",#N/A,FALSE,"COSTSTUDY";"SCHL7",#N/A,FALSE,"COSTSTUDY";"SCHL8",#N/A,FALSE,"COSTSTUDY"}</definedName>
    <definedName name="wrn.SECTLREPORTS." localSheetId="5" hidden="1">{"SCHL",#N/A,FALSE,"FILING REPORTS";"SCHL1",#N/A,FALSE,"COSTSTUDY";"SCHL2",#N/A,FALSE,"COSTSTUDY";"SCHL3",#N/A,FALSE,"COSTSTUDY";"SCHL4",#N/A,FALSE,"COSTSTUDY";"SCHL5",#N/A,FALSE,"COSTSTUDY";"SCHL6",#N/A,FALSE,"COSTSTUDY";"SCHL7",#N/A,FALSE,"COSTSTUDY";"SCHL8",#N/A,FALSE,"COSTSTUDY"}</definedName>
    <definedName name="wrn.SECTLREPORTS." localSheetId="7" hidden="1">{"SCHL",#N/A,FALSE,"FILING REPORTS";"SCHL1",#N/A,FALSE,"COSTSTUDY";"SCHL2",#N/A,FALSE,"COSTSTUDY";"SCHL3",#N/A,FALSE,"COSTSTUDY";"SCHL4",#N/A,FALSE,"COSTSTUDY";"SCHL5",#N/A,FALSE,"COSTSTUDY";"SCHL6",#N/A,FALSE,"COSTSTUDY";"SCHL7",#N/A,FALSE,"COSTSTUDY";"SCHL8",#N/A,FALSE,"COSTSTUDY"}</definedName>
    <definedName name="wrn.SECTLREPORTS." localSheetId="3" hidden="1">{"SCHL",#N/A,FALSE,"FILING REPORTS";"SCHL1",#N/A,FALSE,"COSTSTUDY";"SCHL2",#N/A,FALSE,"COSTSTUDY";"SCHL3",#N/A,FALSE,"COSTSTUDY";"SCHL4",#N/A,FALSE,"COSTSTUDY";"SCHL5",#N/A,FALSE,"COSTSTUDY";"SCHL6",#N/A,FALSE,"COSTSTUDY";"SCHL7",#N/A,FALSE,"COSTSTUDY";"SCHL8",#N/A,FALSE,"COSTSTUDY"}</definedName>
    <definedName name="wrn.SECTLREPORTS." localSheetId="29" hidden="1">{"SCHL",#N/A,FALSE,"FILING REPORTS";"SCHL1",#N/A,FALSE,"COSTSTUDY";"SCHL2",#N/A,FALSE,"COSTSTUDY";"SCHL3",#N/A,FALSE,"COSTSTUDY";"SCHL4",#N/A,FALSE,"COSTSTUDY";"SCHL5",#N/A,FALSE,"COSTSTUDY";"SCHL6",#N/A,FALSE,"COSTSTUDY";"SCHL7",#N/A,FALSE,"COSTSTUDY";"SCHL8",#N/A,FALSE,"COSTSTUDY"}</definedName>
    <definedName name="wrn.SECTLREPORTS." localSheetId="47"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ELECT_GL." localSheetId="1" hidden="1">{#N/A,#N/A,FALSE,"GLDwnLoad"}</definedName>
    <definedName name="wrn.SELECT_GL." localSheetId="32" hidden="1">{#N/A,#N/A,FALSE,"GLDwnLoad"}</definedName>
    <definedName name="wrn.SELECT_GL." localSheetId="6" hidden="1">{#N/A,#N/A,FALSE,"GLDwnLoad"}</definedName>
    <definedName name="wrn.SELECT_GL." localSheetId="4" hidden="1">{#N/A,#N/A,FALSE,"GLDwnLoad"}</definedName>
    <definedName name="wrn.SELECT_GL." localSheetId="5" hidden="1">{#N/A,#N/A,FALSE,"GLDwnLoad"}</definedName>
    <definedName name="wrn.SELECT_GL." localSheetId="7" hidden="1">{#N/A,#N/A,FALSE,"GLDwnLoad"}</definedName>
    <definedName name="wrn.SELECT_GL." localSheetId="3" hidden="1">{#N/A,#N/A,FALSE,"GLDwnLoad"}</definedName>
    <definedName name="wrn.SELECT_GL." localSheetId="47" hidden="1">{#N/A,#N/A,FALSE,"GLDwnLoad"}</definedName>
    <definedName name="wrn.SELECT_GL." hidden="1">{#N/A,#N/A,FALSE,"GLDwnLoad"}</definedName>
    <definedName name="wrn.SELECT_INPUTS." localSheetId="1" hidden="1">{#N/A,#N/A,FALSE,"OTHERINPUTS";#N/A,#N/A,FALSE,"SUPPLIEDADJINPUT";#N/A,#N/A,FALSE,"BR&amp;SUPADJ."}</definedName>
    <definedName name="wrn.SELECT_INPUTS." localSheetId="32" hidden="1">{#N/A,#N/A,FALSE,"OTHERINPUTS";#N/A,#N/A,FALSE,"SUPPLIEDADJINPUT";#N/A,#N/A,FALSE,"BR&amp;SUPADJ."}</definedName>
    <definedName name="wrn.SELECT_INPUTS." localSheetId="6" hidden="1">{#N/A,#N/A,FALSE,"OTHERINPUTS";#N/A,#N/A,FALSE,"SUPPLIEDADJINPUT";#N/A,#N/A,FALSE,"BR&amp;SUPADJ."}</definedName>
    <definedName name="wrn.SELECT_INPUTS." localSheetId="4" hidden="1">{#N/A,#N/A,FALSE,"OTHERINPUTS";#N/A,#N/A,FALSE,"SUPPLIEDADJINPUT";#N/A,#N/A,FALSE,"BR&amp;SUPADJ."}</definedName>
    <definedName name="wrn.SELECT_INPUTS." localSheetId="5" hidden="1">{#N/A,#N/A,FALSE,"OTHERINPUTS";#N/A,#N/A,FALSE,"SUPPLIEDADJINPUT";#N/A,#N/A,FALSE,"BR&amp;SUPADJ."}</definedName>
    <definedName name="wrn.SELECT_INPUTS." localSheetId="7" hidden="1">{#N/A,#N/A,FALSE,"OTHERINPUTS";#N/A,#N/A,FALSE,"SUPPLIEDADJINPUT";#N/A,#N/A,FALSE,"BR&amp;SUPADJ."}</definedName>
    <definedName name="wrn.SELECT_INPUTS." localSheetId="3" hidden="1">{#N/A,#N/A,FALSE,"OTHERINPUTS";#N/A,#N/A,FALSE,"SUPPLIEDADJINPUT";#N/A,#N/A,FALSE,"BR&amp;SUPADJ."}</definedName>
    <definedName name="wrn.SELECT_INPUTS." localSheetId="47" hidden="1">{#N/A,#N/A,FALSE,"OTHERINPUTS";#N/A,#N/A,FALSE,"SUPPLIEDADJINPUT";#N/A,#N/A,FALSE,"BR&amp;SUPADJ."}</definedName>
    <definedName name="wrn.SELECT_INPUTS." hidden="1">{#N/A,#N/A,FALSE,"OTHERINPUTS";#N/A,#N/A,FALSE,"SUPPLIEDADJINPUT";#N/A,#N/A,FALSE,"BR&amp;SUPADJ."}</definedName>
    <definedName name="wrn.SELECT_PROV."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nior._.Staff."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ttlement._.Analysis." localSheetId="32" hidden="1">{"Assumptions",#N/A,FALSE,"Assumptions";"2003 - 2007 Summary",#N/A,FALSE,"Income Statement";"Summary Deferral Forecast",#N/A,FALSE,"Deferral Forecast"}</definedName>
    <definedName name="wrn.Settlement._.Analysis." localSheetId="6" hidden="1">{"Assumptions",#N/A,FALSE,"Assumptions";"2003 - 2007 Summary",#N/A,FALSE,"Income Statement";"Summary Deferral Forecast",#N/A,FALSE,"Deferral Forecast"}</definedName>
    <definedName name="wrn.Settlement._.Analysis." localSheetId="7" hidden="1">{"Assumptions",#N/A,FALSE,"Assumptions";"2003 - 2007 Summary",#N/A,FALSE,"Income Statement";"Summary Deferral Forecast",#N/A,FALSE,"Deferral Forecast"}</definedName>
    <definedName name="wrn.Settlement._.Analysis." localSheetId="3" hidden="1">{"Assumptions",#N/A,FALSE,"Assumptions";"2003 - 2007 Summary",#N/A,FALSE,"Income Statement";"Summary Deferral Forecast",#N/A,FALSE,"Deferral Forecast"}</definedName>
    <definedName name="wrn.Settlement._.Analysis." localSheetId="29" hidden="1">{"Assumptions",#N/A,FALSE,"Assumptions";"2003 - 2007 Summary",#N/A,FALSE,"Income Statement";"Summary Deferral Forecast",#N/A,FALSE,"Deferral Forecast"}</definedName>
    <definedName name="wrn.Settlement._.Analysis." localSheetId="47" hidden="1">{"Assumptions",#N/A,FALSE,"Assumptions";"2003 - 2007 Summary",#N/A,FALSE,"Income Statement";"Summary Deferral Forecast",#N/A,FALSE,"Deferral Forecast"}</definedName>
    <definedName name="wrn.Settlement._.Analysis." hidden="1">{"Assumptions",#N/A,FALSE,"Assumptions";"2003 - 2007 Summary",#N/A,FALSE,"Income Statement";"Summary Deferral Forecast",#N/A,FALSE,"Deferral Forecast"}</definedName>
    <definedName name="wrn.SPA._.FAC." localSheetId="1" hidden="1">{"SPA_FAC",#N/A,FALSE,"OMPA SPA FAC"}</definedName>
    <definedName name="wrn.SPA._.FAC." localSheetId="32" hidden="1">{"SPA_FAC",#N/A,FALSE,"OMPA SPA FAC"}</definedName>
    <definedName name="wrn.SPA._.FAC." localSheetId="6" hidden="1">{"SPA_FAC",#N/A,FALSE,"OMPA SPA FAC"}</definedName>
    <definedName name="wrn.SPA._.FAC." localSheetId="4" hidden="1">{"SPA_FAC",#N/A,FALSE,"OMPA SPA FAC"}</definedName>
    <definedName name="wrn.SPA._.FAC." localSheetId="5" hidden="1">{"SPA_FAC",#N/A,FALSE,"OMPA SPA FAC"}</definedName>
    <definedName name="wrn.SPA._.FAC." localSheetId="7" hidden="1">{"SPA_FAC",#N/A,FALSE,"OMPA SPA FAC"}</definedName>
    <definedName name="wrn.SPA._.FAC." localSheetId="3" hidden="1">{"SPA_FAC",#N/A,FALSE,"OMPA SPA FAC"}</definedName>
    <definedName name="wrn.SPA._.FAC." localSheetId="47" hidden="1">{"SPA_FAC",#N/A,FALSE,"OMPA SPA FAC"}</definedName>
    <definedName name="wrn.SPA._.FAC." hidden="1">{"SPA_FAC",#N/A,FALSE,"OMPA SPA FAC"}</definedName>
    <definedName name="wrn.SPA._.Invoice." localSheetId="1"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2"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6"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4"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5"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29"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4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tatements." localSheetId="1" hidden="1">{"Co1statements",#N/A,FALSE,"Cmpy1";"Co2statement",#N/A,FALSE,"Cmpy2";"co1pm",#N/A,FALSE,"Co1PM";"co2PM",#N/A,FALSE,"Co2PM";"value",#N/A,FALSE,"value";"opco",#N/A,FALSE,"NewSparkle";"adjusts",#N/A,FALSE,"Adjustments"}</definedName>
    <definedName name="wrn.Statements." localSheetId="32" hidden="1">{"Co1statements",#N/A,FALSE,"Cmpy1";"Co2statement",#N/A,FALSE,"Cmpy2";"co1pm",#N/A,FALSE,"Co1PM";"co2PM",#N/A,FALSE,"Co2PM";"value",#N/A,FALSE,"value";"opco",#N/A,FALSE,"NewSparkle";"adjusts",#N/A,FALSE,"Adjustments"}</definedName>
    <definedName name="wrn.Statements." localSheetId="6" hidden="1">{"Co1statements",#N/A,FALSE,"Cmpy1";"Co2statement",#N/A,FALSE,"Cmpy2";"co1pm",#N/A,FALSE,"Co1PM";"co2PM",#N/A,FALSE,"Co2PM";"value",#N/A,FALSE,"value";"opco",#N/A,FALSE,"NewSparkle";"adjusts",#N/A,FALSE,"Adjustments"}</definedName>
    <definedName name="wrn.Statements." localSheetId="4" hidden="1">{"Co1statements",#N/A,FALSE,"Cmpy1";"Co2statement",#N/A,FALSE,"Cmpy2";"co1pm",#N/A,FALSE,"Co1PM";"co2PM",#N/A,FALSE,"Co2PM";"value",#N/A,FALSE,"value";"opco",#N/A,FALSE,"NewSparkle";"adjusts",#N/A,FALSE,"Adjustments"}</definedName>
    <definedName name="wrn.Statements." localSheetId="5"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localSheetId="3" hidden="1">{"Co1statements",#N/A,FALSE,"Cmpy1";"Co2statement",#N/A,FALSE,"Cmpy2";"co1pm",#N/A,FALSE,"Co1PM";"co2PM",#N/A,FALSE,"Co2PM";"value",#N/A,FALSE,"value";"opco",#N/A,FALSE,"NewSparkle";"adjusts",#N/A,FALSE,"Adjustments"}</definedName>
    <definedName name="wrn.Statements." localSheetId="29" hidden="1">{"Co1statements",#N/A,FALSE,"Cmpy1";"Co2statement",#N/A,FALSE,"Cmpy2";"co1pm",#N/A,FALSE,"Co1PM";"co2PM",#N/A,FALSE,"Co2PM";"value",#N/A,FALSE,"value";"opco",#N/A,FALSE,"NewSparkle";"adjusts",#N/A,FALSE,"Adjustments"}</definedName>
    <definedName name="wrn.Statements." localSheetId="4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TSON." localSheetId="3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MARY." localSheetId="1" hidden="1">{"OKCLS_SUMMARY",#N/A,FALSE,"INTERNAL REPORTS";"JURIS_SUMMARY",#N/A,FALSE,"INTERNAL REPORTS"}</definedName>
    <definedName name="wrn.SUMMARY." localSheetId="32" hidden="1">{"OKCLS_SUMMARY",#N/A,FALSE,"INTERNAL REPORTS";"JURIS_SUMMARY",#N/A,FALSE,"INTERNAL REPORTS"}</definedName>
    <definedName name="wrn.SUMMARY." localSheetId="6" hidden="1">{"OKCLS_SUMMARY",#N/A,FALSE,"INTERNAL REPORTS";"JURIS_SUMMARY",#N/A,FALSE,"INTERNAL REPORTS"}</definedName>
    <definedName name="wrn.SUMMARY." localSheetId="4" hidden="1">{"OKCLS_SUMMARY",#N/A,FALSE,"INTERNAL REPORTS";"JURIS_SUMMARY",#N/A,FALSE,"INTERNAL REPORTS"}</definedName>
    <definedName name="wrn.SUMMARY." localSheetId="5" hidden="1">{"OKCLS_SUMMARY",#N/A,FALSE,"INTERNAL REPORTS";"JURIS_SUMMARY",#N/A,FALSE,"INTERNAL REPORTS"}</definedName>
    <definedName name="wrn.SUMMARY." localSheetId="7" hidden="1">{"OKCLS_SUMMARY",#N/A,FALSE,"INTERNAL REPORTS";"JURIS_SUMMARY",#N/A,FALSE,"INTERNAL REPORTS"}</definedName>
    <definedName name="wrn.SUMMARY." localSheetId="3" hidden="1">{"OKCLS_SUMMARY",#N/A,FALSE,"INTERNAL REPORTS";"JURIS_SUMMARY",#N/A,FALSE,"INTERNAL REPORTS"}</definedName>
    <definedName name="wrn.SUMMARY." localSheetId="29" hidden="1">{"OKCLS_SUMMARY",#N/A,FALSE,"INTERNAL REPORTS";"JURIS_SUMMARY",#N/A,FALSE,"INTERNAL REPORTS"}</definedName>
    <definedName name="wrn.SUMMARY." localSheetId="47" hidden="1">{"OKCLS_SUMMARY",#N/A,FALSE,"INTERNAL REPORTS";"JURIS_SUMMARY",#N/A,FALSE,"INTERNAL REPORTS"}</definedName>
    <definedName name="wrn.SUMMARY." hidden="1">{"OKCLS_SUMMARY",#N/A,FALSE,"INTERNAL REPORTS";"JURIS_SUMMARY",#N/A,FALSE,"INTERNAL REPORTS"}</definedName>
    <definedName name="wrn.Summary_GL." localSheetId="1" hidden="1">{#N/A,#N/A,FALSE,"GLDwnLoad"}</definedName>
    <definedName name="wrn.Summary_GL." localSheetId="32" hidden="1">{#N/A,#N/A,FALSE,"GLDwnLoad"}</definedName>
    <definedName name="wrn.Summary_GL." localSheetId="6" hidden="1">{#N/A,#N/A,FALSE,"GLDwnLoad"}</definedName>
    <definedName name="wrn.Summary_GL." localSheetId="4" hidden="1">{#N/A,#N/A,FALSE,"GLDwnLoad"}</definedName>
    <definedName name="wrn.Summary_GL." localSheetId="5" hidden="1">{#N/A,#N/A,FALSE,"GLDwnLoad"}</definedName>
    <definedName name="wrn.Summary_GL." localSheetId="7" hidden="1">{#N/A,#N/A,FALSE,"GLDwnLoad"}</definedName>
    <definedName name="wrn.Summary_GL." localSheetId="3" hidden="1">{#N/A,#N/A,FALSE,"GLDwnLoad"}</definedName>
    <definedName name="wrn.Summary_GL." localSheetId="47" hidden="1">{#N/A,#N/A,FALSE,"GLDwnLoad"}</definedName>
    <definedName name="wrn.Summary_GL." hidden="1">{#N/A,#N/A,FALSE,"GLDwnLoad"}</definedName>
    <definedName name="wrn.SUP."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ort_Net_Plant." localSheetId="1" hidden="1">{"Support Net Plant=Net Utility Plant",#N/A,FALSE,"Net Plant"}</definedName>
    <definedName name="wrn.Support_Net_Plant." localSheetId="32" hidden="1">{"Support Net Plant=Net Utility Plant",#N/A,FALSE,"Net Plant"}</definedName>
    <definedName name="wrn.Support_Net_Plant." localSheetId="6" hidden="1">{"Support Net Plant=Net Utility Plant",#N/A,FALSE,"Net Plant"}</definedName>
    <definedName name="wrn.Support_Net_Plant." localSheetId="4" hidden="1">{"Support Net Plant=Net Utility Plant",#N/A,FALSE,"Net Plant"}</definedName>
    <definedName name="wrn.Support_Net_Plant." localSheetId="5" hidden="1">{"Support Net Plant=Net Utility Plant",#N/A,FALSE,"Net Plant"}</definedName>
    <definedName name="wrn.Support_Net_Plant." localSheetId="7" hidden="1">{"Support Net Plant=Net Utility Plant",#N/A,FALSE,"Net Plant"}</definedName>
    <definedName name="wrn.Support_Net_Plant." localSheetId="3" hidden="1">{"Support Net Plant=Net Utility Plant",#N/A,FALSE,"Net Plant"}</definedName>
    <definedName name="wrn.Support_Net_Plant." localSheetId="29" hidden="1">{"Support Net Plant=Net Utility Plant",#N/A,FALSE,"Net Plant"}</definedName>
    <definedName name="wrn.Support_Net_Plant." localSheetId="47" hidden="1">{"Support Net Plant=Net Utility Plant",#N/A,FALSE,"Net Plant"}</definedName>
    <definedName name="wrn.Support_Net_Plant." hidden="1">{"Support Net Plant=Net Utility Plant",#N/A,FALSE,"Net Plant"}</definedName>
    <definedName name="wrn.Support_O_M_Cust_Emp." localSheetId="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2"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6"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4"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5"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9"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4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Rev_Op_Inc." localSheetId="1" hidden="1">{"Support/Rev Op Inc=Total revenue + OIBT",#N/A,FALSE,"Rev-Op Inc"}</definedName>
    <definedName name="wrn.Support_Rev_Op_Inc." localSheetId="32" hidden="1">{"Support/Rev Op Inc=Total revenue + OIBT",#N/A,FALSE,"Rev-Op Inc"}</definedName>
    <definedName name="wrn.Support_Rev_Op_Inc." localSheetId="6" hidden="1">{"Support/Rev Op Inc=Total revenue + OIBT",#N/A,FALSE,"Rev-Op Inc"}</definedName>
    <definedName name="wrn.Support_Rev_Op_Inc." localSheetId="4" hidden="1">{"Support/Rev Op Inc=Total revenue + OIBT",#N/A,FALSE,"Rev-Op Inc"}</definedName>
    <definedName name="wrn.Support_Rev_Op_Inc." localSheetId="5" hidden="1">{"Support/Rev Op Inc=Total revenue + OIBT",#N/A,FALSE,"Rev-Op Inc"}</definedName>
    <definedName name="wrn.Support_Rev_Op_Inc." localSheetId="7" hidden="1">{"Support/Rev Op Inc=Total revenue + OIBT",#N/A,FALSE,"Rev-Op Inc"}</definedName>
    <definedName name="wrn.Support_Rev_Op_Inc." localSheetId="3" hidden="1">{"Support/Rev Op Inc=Total revenue + OIBT",#N/A,FALSE,"Rev-Op Inc"}</definedName>
    <definedName name="wrn.Support_Rev_Op_Inc." localSheetId="29" hidden="1">{"Support/Rev Op Inc=Total revenue + OIBT",#N/A,FALSE,"Rev-Op Inc"}</definedName>
    <definedName name="wrn.Support_Rev_Op_Inc." localSheetId="47" hidden="1">{"Support/Rev Op Inc=Total revenue + OIBT",#N/A,FALSE,"Rev-Op Inc"}</definedName>
    <definedName name="wrn.Support_Rev_Op_Inc." hidden="1">{"Support/Rev Op Inc=Total revenue + OIBT",#N/A,FALSE,"Rev-Op Inc"}</definedName>
    <definedName name="wrn.Supporting._.Calculations." localSheetId="32" hidden="1">{#N/A,#N/A,FALSE,"Work performed";#N/A,#N/A,FALSE,"Resources"}</definedName>
    <definedName name="wrn.Supporting._.Calculations." localSheetId="6" hidden="1">{#N/A,#N/A,FALSE,"Work performed";#N/A,#N/A,FALSE,"Resources"}</definedName>
    <definedName name="wrn.Supporting._.Calculations." localSheetId="7" hidden="1">{#N/A,#N/A,FALSE,"Work performed";#N/A,#N/A,FALSE,"Resources"}</definedName>
    <definedName name="wrn.Supporting._.Calculations." localSheetId="3" hidden="1">{#N/A,#N/A,FALSE,"Work performed";#N/A,#N/A,FALSE,"Resources"}</definedName>
    <definedName name="wrn.Supporting._.Calculations." localSheetId="29" hidden="1">{#N/A,#N/A,FALSE,"Work performed";#N/A,#N/A,FALSE,"Resources"}</definedName>
    <definedName name="wrn.Supporting._.Calculations." localSheetId="47" hidden="1">{#N/A,#N/A,FALSE,"Work performed";#N/A,#N/A,FALSE,"Resources"}</definedName>
    <definedName name="wrn.Supporting._.Calculations." hidden="1">{#N/A,#N/A,FALSE,"Work performed";#N/A,#N/A,FALSE,"Resources"}</definedName>
    <definedName name="wrn.Table._.SBU._.1996_2002." localSheetId="1" hidden="1">{"SBU Numbers 1996_2002",#N/A,FALSE,"Strategic Business Lines"}</definedName>
    <definedName name="wrn.Table._.SBU._.1996_2002." localSheetId="32" hidden="1">{"SBU Numbers 1996_2002",#N/A,FALSE,"Strategic Business Lines"}</definedName>
    <definedName name="wrn.Table._.SBU._.1996_2002." localSheetId="6" hidden="1">{"SBU Numbers 1996_2002",#N/A,FALSE,"Strategic Business Lines"}</definedName>
    <definedName name="wrn.Table._.SBU._.1996_2002." localSheetId="4" hidden="1">{"SBU Numbers 1996_2002",#N/A,FALSE,"Strategic Business Lines"}</definedName>
    <definedName name="wrn.Table._.SBU._.1996_2002." localSheetId="5" hidden="1">{"SBU Numbers 1996_2002",#N/A,FALSE,"Strategic Business Lines"}</definedName>
    <definedName name="wrn.Table._.SBU._.1996_2002." localSheetId="7" hidden="1">{"SBU Numbers 1996_2002",#N/A,FALSE,"Strategic Business Lines"}</definedName>
    <definedName name="wrn.Table._.SBU._.1996_2002." localSheetId="3" hidden="1">{"SBU Numbers 1996_2002",#N/A,FALSE,"Strategic Business Lines"}</definedName>
    <definedName name="wrn.Table._.SBU._.1996_2002." localSheetId="29" hidden="1">{"SBU Numbers 1996_2002",#N/A,FALSE,"Strategic Business Lines"}</definedName>
    <definedName name="wrn.Table._.SBU._.1996_2002." localSheetId="47" hidden="1">{"SBU Numbers 1996_2002",#N/A,FALSE,"Strategic Business Lines"}</definedName>
    <definedName name="wrn.Table._.SBU._.1996_2002." hidden="1">{"SBU Numbers 1996_2002",#N/A,FALSE,"Strategic Business Lines"}</definedName>
    <definedName name="wrn.tables." localSheetId="1" hidden="1">{"print1",#N/A,FALSE,"D21CUSTS";"print2",#N/A,FALSE,"D21CUSTS";"print3",#N/A,FALSE,"D21CUSTS";"print4",#N/A,FALSE,"D21CUSTS"}</definedName>
    <definedName name="wrn.tables." localSheetId="32"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4" hidden="1">{"print1",#N/A,FALSE,"D21CUSTS";"print2",#N/A,FALSE,"D21CUSTS";"print3",#N/A,FALSE,"D21CUSTS";"print4",#N/A,FALSE,"D21CUSTS"}</definedName>
    <definedName name="wrn.tables." localSheetId="5" hidden="1">{"print1",#N/A,FALSE,"D21CUSTS";"print2",#N/A,FALSE,"D21CUSTS";"print3",#N/A,FALSE,"D21CUSTS";"print4",#N/A,FALSE,"D21CUSTS"}</definedName>
    <definedName name="wrn.tables." localSheetId="7" hidden="1">{"print1",#N/A,FALSE,"D21CUSTS";"print2",#N/A,FALSE,"D21CUSTS";"print3",#N/A,FALSE,"D21CUSTS";"print4",#N/A,FALSE,"D21CUSTS"}</definedName>
    <definedName name="wrn.tables." localSheetId="3" hidden="1">{"print1",#N/A,FALSE,"D21CUSTS";"print2",#N/A,FALSE,"D21CUSTS";"print3",#N/A,FALSE,"D21CUSTS";"print4",#N/A,FALSE,"D21CUSTS"}</definedName>
    <definedName name="wrn.tables." localSheetId="47" hidden="1">{"print1",#N/A,FALSE,"D21CUSTS";"print2",#N/A,FALSE,"D21CUSTS";"print3",#N/A,FALSE,"D21CUSTS";"print4",#N/A,FALSE,"D21CUSTS"}</definedName>
    <definedName name="wrn.tables." hidden="1">{"print1",#N/A,FALSE,"D21CUSTS";"print2",#N/A,FALSE,"D21CUSTS";"print3",#N/A,FALSE,"D21CUSTS";"print4",#N/A,FALSE,"D21CUSTS"}</definedName>
    <definedName name="wrn.Tax._.Accrual." localSheetId="32" hidden="1">{#N/A,#N/A,TRUE,"TAXPROV";#N/A,#N/A,TRUE,"FLOWTHRU";#N/A,#N/A,TRUE,"SCHEDULE M'S";#N/A,#N/A,TRUE,"PLANT M'S";#N/A,#N/A,TRUE,"TAXJE"}</definedName>
    <definedName name="wrn.Tax._.Accrual." localSheetId="6" hidden="1">{#N/A,#N/A,TRUE,"TAXPROV";#N/A,#N/A,TRUE,"FLOWTHRU";#N/A,#N/A,TRUE,"SCHEDULE M'S";#N/A,#N/A,TRUE,"PLANT M'S";#N/A,#N/A,TRUE,"TAXJE"}</definedName>
    <definedName name="wrn.Tax._.Accrual." localSheetId="7"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29" hidden="1">{#N/A,#N/A,TRUE,"TAXPROV";#N/A,#N/A,TRUE,"FLOWTHRU";#N/A,#N/A,TRUE,"SCHEDULE M'S";#N/A,#N/A,TRUE,"PLANT M'S";#N/A,#N/A,TRUE,"TAXJE"}</definedName>
    <definedName name="wrn.Tax._.Accrual." localSheetId="47" hidden="1">{#N/A,#N/A,TRUE,"TAXPROV";#N/A,#N/A,TRUE,"FLOWTHRU";#N/A,#N/A,TRUE,"SCHEDULE M'S";#N/A,#N/A,TRUE,"PLANT M'S";#N/A,#N/A,TRUE,"TAXJE"}</definedName>
    <definedName name="wrn.Tax._.Accrual." hidden="1">{#N/A,#N/A,TRUE,"TAXPROV";#N/A,#N/A,TRUE,"FLOWTHRU";#N/A,#N/A,TRUE,"SCHEDULE M'S";#N/A,#N/A,TRUE,"PLANT M'S";#N/A,#N/A,TRUE,"TAXJE"}</definedName>
    <definedName name="wrn.TAXES._.OTHER." localSheetId="1" hidden="1">{"JURIS_TAXES_OTHER",#N/A,FALSE,"COSTSTUDY";"OKCLS_TAXES_OTHER",#N/A,FALSE,"COSTSTUDY"}</definedName>
    <definedName name="wrn.TAXES._.OTHER." localSheetId="32" hidden="1">{"JURIS_TAXES_OTHER",#N/A,FALSE,"COSTSTUDY";"OKCLS_TAXES_OTHER",#N/A,FALSE,"COSTSTUDY"}</definedName>
    <definedName name="wrn.TAXES._.OTHER." localSheetId="6" hidden="1">{"JURIS_TAXES_OTHER",#N/A,FALSE,"COSTSTUDY";"OKCLS_TAXES_OTHER",#N/A,FALSE,"COSTSTUDY"}</definedName>
    <definedName name="wrn.TAXES._.OTHER." localSheetId="4" hidden="1">{"JURIS_TAXES_OTHER",#N/A,FALSE,"COSTSTUDY";"OKCLS_TAXES_OTHER",#N/A,FALSE,"COSTSTUDY"}</definedName>
    <definedName name="wrn.TAXES._.OTHER." localSheetId="5" hidden="1">{"JURIS_TAXES_OTHER",#N/A,FALSE,"COSTSTUDY";"OKCLS_TAXES_OTHER",#N/A,FALSE,"COSTSTUDY"}</definedName>
    <definedName name="wrn.TAXES._.OTHER." localSheetId="7" hidden="1">{"JURIS_TAXES_OTHER",#N/A,FALSE,"COSTSTUDY";"OKCLS_TAXES_OTHER",#N/A,FALSE,"COSTSTUDY"}</definedName>
    <definedName name="wrn.TAXES._.OTHER." localSheetId="3" hidden="1">{"JURIS_TAXES_OTHER",#N/A,FALSE,"COSTSTUDY";"OKCLS_TAXES_OTHER",#N/A,FALSE,"COSTSTUDY"}</definedName>
    <definedName name="wrn.TAXES._.OTHER." localSheetId="29" hidden="1">{"JURIS_TAXES_OTHER",#N/A,FALSE,"COSTSTUDY";"OKCLS_TAXES_OTHER",#N/A,FALSE,"COSTSTUDY"}</definedName>
    <definedName name="wrn.TAXES._.OTHER." localSheetId="47" hidden="1">{"JURIS_TAXES_OTHER",#N/A,FALSE,"COSTSTUDY";"OKCLS_TAXES_OTHER",#N/A,FALSE,"COSTSTUDY"}</definedName>
    <definedName name="wrn.TAXES._.OTHER." hidden="1">{"JURIS_TAXES_OTHER",#N/A,FALSE,"COSTSTUDY";"OKCLS_TAXES_OTHER",#N/A,FALSE,"COSTSTUDY"}</definedName>
    <definedName name="wrn.TBC._.Update." localSheetId="32" hidden="1">{#N/A,#N/A,FALSE,"TABLE I";#N/A,#N/A,FALSE,"TBC Development";#N/A,#N/A,FALSE,"MTC -Tax Development";#N/A,#N/A,FALSE,"MTC - Tax descriptions";#N/A,#N/A,FALSE,"MTC -Tax True Up"}</definedName>
    <definedName name="wrn.TBC._.Update." localSheetId="6" hidden="1">{#N/A,#N/A,FALSE,"TABLE I";#N/A,#N/A,FALSE,"TBC Development";#N/A,#N/A,FALSE,"MTC -Tax Development";#N/A,#N/A,FALSE,"MTC - Tax descriptions";#N/A,#N/A,FALSE,"MTC -Tax True Up"}</definedName>
    <definedName name="wrn.TBC._.Update." localSheetId="7" hidden="1">{#N/A,#N/A,FALSE,"TABLE I";#N/A,#N/A,FALSE,"TBC Development";#N/A,#N/A,FALSE,"MTC -Tax Development";#N/A,#N/A,FALSE,"MTC - Tax descriptions";#N/A,#N/A,FALSE,"MTC -Tax True Up"}</definedName>
    <definedName name="wrn.TBC._.Update." localSheetId="3" hidden="1">{#N/A,#N/A,FALSE,"TABLE I";#N/A,#N/A,FALSE,"TBC Development";#N/A,#N/A,FALSE,"MTC -Tax Development";#N/A,#N/A,FALSE,"MTC - Tax descriptions";#N/A,#N/A,FALSE,"MTC -Tax True Up"}</definedName>
    <definedName name="wrn.TBC._.Update." localSheetId="29" hidden="1">{#N/A,#N/A,FALSE,"TABLE I";#N/A,#N/A,FALSE,"TBC Development";#N/A,#N/A,FALSE,"MTC -Tax Development";#N/A,#N/A,FALSE,"MTC - Tax descriptions";#N/A,#N/A,FALSE,"MTC -Tax True Up"}</definedName>
    <definedName name="wrn.TBC._.Update." localSheetId="47" hidden="1">{#N/A,#N/A,FALSE,"TABLE I";#N/A,#N/A,FALSE,"TBC Development";#N/A,#N/A,FALSE,"MTC -Tax Development";#N/A,#N/A,FALSE,"MTC - Tax descriptions";#N/A,#N/A,FALSE,"MTC -Tax True Up"}</definedName>
    <definedName name="wrn.TBC._.Update." hidden="1">{#N/A,#N/A,FALSE,"TABLE I";#N/A,#N/A,FALSE,"TBC Development";#N/A,#N/A,FALSE,"MTC -Tax Development";#N/A,#N/A,FALSE,"MTC - Tax descriptions";#N/A,#N/A,FALSE,"MTC -Tax True Up"}</definedName>
    <definedName name="wrn.TESTS." localSheetId="32" hidden="1">{"PAGE_1",#N/A,FALSE,"MONTH"}</definedName>
    <definedName name="wrn.TESTS." localSheetId="6" hidden="1">{"PAGE_1",#N/A,FALSE,"MONTH"}</definedName>
    <definedName name="wrn.TESTS." localSheetId="7" hidden="1">{"PAGE_1",#N/A,FALSE,"MONTH"}</definedName>
    <definedName name="wrn.TESTS." localSheetId="3" hidden="1">{"PAGE_1",#N/A,FALSE,"MONTH"}</definedName>
    <definedName name="wrn.TESTS." localSheetId="47" hidden="1">{"PAGE_1",#N/A,FALSE,"MONTH"}</definedName>
    <definedName name="wrn.TESTS." hidden="1">{"PAGE_1",#N/A,FALSE,"MONTH"}</definedName>
    <definedName name="wrn.Total._.Report." localSheetId="1" hidden="1">{"Fuel by Type",#N/A,FALSE,"00whfuel";"Fuel by Account",#N/A,FALSE,"00whfuel";"NTEC",#N/A,FALSE,"00whfuel";"Hope",#N/A,FALSE,"00whfuel";"Net Energy Load",#N/A,FALSE,"00whfuel";"Purchased Power",#N/A,FALSE,"00whfuel"}</definedName>
    <definedName name="wrn.Total._.Report." localSheetId="32"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4" hidden="1">{"Fuel by Type",#N/A,FALSE,"00whfuel";"Fuel by Account",#N/A,FALSE,"00whfuel";"NTEC",#N/A,FALSE,"00whfuel";"Hope",#N/A,FALSE,"00whfuel";"Net Energy Load",#N/A,FALSE,"00whfuel";"Purchased Power",#N/A,FALSE,"00whfuel"}</definedName>
    <definedName name="wrn.Total._.Report." localSheetId="5" hidden="1">{"Fuel by Type",#N/A,FALSE,"00whfuel";"Fuel by Account",#N/A,FALSE,"00whfuel";"NTEC",#N/A,FALSE,"00whfuel";"Hope",#N/A,FALSE,"00whfuel";"Net Energy Load",#N/A,FALSE,"00whfuel";"Purchased Power",#N/A,FALSE,"00whfuel"}</definedName>
    <definedName name="wrn.Total._.Report." localSheetId="7" hidden="1">{"Fuel by Type",#N/A,FALSE,"00whfuel";"Fuel by Account",#N/A,FALSE,"00whfuel";"NTEC",#N/A,FALSE,"00whfuel";"Hope",#N/A,FALSE,"00whfuel";"Net Energy Load",#N/A,FALSE,"00whfuel";"Purchased Power",#N/A,FALSE,"00whfuel"}</definedName>
    <definedName name="wrn.Total._.Report." localSheetId="3" hidden="1">{"Fuel by Type",#N/A,FALSE,"00whfuel";"Fuel by Account",#N/A,FALSE,"00whfuel";"NTEC",#N/A,FALSE,"00whfuel";"Hope",#N/A,FALSE,"00whfuel";"Net Energy Load",#N/A,FALSE,"00whfuel";"Purchased Power",#N/A,FALSE,"00whfuel"}</definedName>
    <definedName name="wrn.Total._.Report." localSheetId="47" hidden="1">{"Fuel by Type",#N/A,FALSE,"00whfuel";"Fuel by Account",#N/A,FALSE,"00whfuel";"NTEC",#N/A,FALSE,"00whfuel";"Hope",#N/A,FALSE,"00whfuel";"Net Energy Load",#N/A,FALSE,"00whfuel";"Purchased Power",#N/A,FALSE,"00whfuel"}</definedName>
    <definedName name="wrn.Total._.Report." hidden="1">{"Fuel by Type",#N/A,FALSE,"00whfuel";"Fuel by Account",#N/A,FALSE,"00whfuel";"NTEC",#N/A,FALSE,"00whfuel";"Hope",#N/A,FALSE,"00whfuel";"Net Energy Load",#N/A,FALSE,"00whfuel";"Purchased Power",#N/A,FALSE,"00whfuel"}</definedName>
    <definedName name="wrn.UWMAC." localSheetId="1" hidden="1">{"UWMACISV",#N/A,FALSE,"Sheet1";"UWMACSAV",#N/A,FALSE,"Sheet1";"UWMACBSV",#N/A,FALSE,"Sheet1";"UWMACSFDV",#N/A,FALSE,"Sheet1"}</definedName>
    <definedName name="wrn.UWMAC." localSheetId="32" hidden="1">{"UWMACISV",#N/A,FALSE,"Sheet1";"UWMACSAV",#N/A,FALSE,"Sheet1";"UWMACBSV",#N/A,FALSE,"Sheet1";"UWMACSFDV",#N/A,FALSE,"Sheet1"}</definedName>
    <definedName name="wrn.UWMAC." localSheetId="6" hidden="1">{"UWMACISV",#N/A,FALSE,"Sheet1";"UWMACSAV",#N/A,FALSE,"Sheet1";"UWMACBSV",#N/A,FALSE,"Sheet1";"UWMACSFDV",#N/A,FALSE,"Sheet1"}</definedName>
    <definedName name="wrn.UWMAC." localSheetId="4" hidden="1">{"UWMACISV",#N/A,FALSE,"Sheet1";"UWMACSAV",#N/A,FALSE,"Sheet1";"UWMACBSV",#N/A,FALSE,"Sheet1";"UWMACSFDV",#N/A,FALSE,"Sheet1"}</definedName>
    <definedName name="wrn.UWMAC." localSheetId="5" hidden="1">{"UWMACISV",#N/A,FALSE,"Sheet1";"UWMACSAV",#N/A,FALSE,"Sheet1";"UWMACBSV",#N/A,FALSE,"Sheet1";"UWMACSFDV",#N/A,FALSE,"Sheet1"}</definedName>
    <definedName name="wrn.UWMAC." localSheetId="7" hidden="1">{"UWMACISV",#N/A,FALSE,"Sheet1";"UWMACSAV",#N/A,FALSE,"Sheet1";"UWMACBSV",#N/A,FALSE,"Sheet1";"UWMACSFDV",#N/A,FALSE,"Sheet1"}</definedName>
    <definedName name="wrn.UWMAC." localSheetId="3" hidden="1">{"UWMACISV",#N/A,FALSE,"Sheet1";"UWMACSAV",#N/A,FALSE,"Sheet1";"UWMACBSV",#N/A,FALSE,"Sheet1";"UWMACSFDV",#N/A,FALSE,"Sheet1"}</definedName>
    <definedName name="wrn.UWMAC." localSheetId="29" hidden="1">{"UWMACISV",#N/A,FALSE,"Sheet1";"UWMACSAV",#N/A,FALSE,"Sheet1";"UWMACBSV",#N/A,FALSE,"Sheet1";"UWMACSFDV",#N/A,FALSE,"Sheet1"}</definedName>
    <definedName name="wrn.UWMAC." localSheetId="47" hidden="1">{"UWMACISV",#N/A,FALSE,"Sheet1";"UWMACSAV",#N/A,FALSE,"Sheet1";"UWMACBSV",#N/A,FALSE,"Sheet1";"UWMACSFDV",#N/A,FALSE,"Sheet1"}</definedName>
    <definedName name="wrn.UWMAC." hidden="1">{"UWMACISV",#N/A,FALSE,"Sheet1";"UWMACSAV",#N/A,FALSE,"Sheet1";"UWMACBSV",#N/A,FALSE,"Sheet1";"UWMACSFDV",#N/A,FALSE,"Sheet1"}</definedName>
    <definedName name="wrn.UWNJ." localSheetId="1" hidden="1">{"UWNJISV",#N/A,FALSE,"Sheet1";"UWNJSAV",#N/A,FALSE,"Sheet1";"UWNJBSV",#N/A,FALSE,"Sheet1";"UWNJSFDV",#N/A,FALSE,"Sheet1"}</definedName>
    <definedName name="wrn.UWNJ." localSheetId="32" hidden="1">{"UWNJISV",#N/A,FALSE,"Sheet1";"UWNJSAV",#N/A,FALSE,"Sheet1";"UWNJBSV",#N/A,FALSE,"Sheet1";"UWNJSFDV",#N/A,FALSE,"Sheet1"}</definedName>
    <definedName name="wrn.UWNJ." localSheetId="6" hidden="1">{"UWNJISV",#N/A,FALSE,"Sheet1";"UWNJSAV",#N/A,FALSE,"Sheet1";"UWNJBSV",#N/A,FALSE,"Sheet1";"UWNJSFDV",#N/A,FALSE,"Sheet1"}</definedName>
    <definedName name="wrn.UWNJ." localSheetId="4" hidden="1">{"UWNJISV",#N/A,FALSE,"Sheet1";"UWNJSAV",#N/A,FALSE,"Sheet1";"UWNJBSV",#N/A,FALSE,"Sheet1";"UWNJSFDV",#N/A,FALSE,"Sheet1"}</definedName>
    <definedName name="wrn.UWNJ." localSheetId="5" hidden="1">{"UWNJISV",#N/A,FALSE,"Sheet1";"UWNJSAV",#N/A,FALSE,"Sheet1";"UWNJBSV",#N/A,FALSE,"Sheet1";"UWNJSFDV",#N/A,FALSE,"Sheet1"}</definedName>
    <definedName name="wrn.UWNJ." localSheetId="7" hidden="1">{"UWNJISV",#N/A,FALSE,"Sheet1";"UWNJSAV",#N/A,FALSE,"Sheet1";"UWNJBSV",#N/A,FALSE,"Sheet1";"UWNJSFDV",#N/A,FALSE,"Sheet1"}</definedName>
    <definedName name="wrn.UWNJ." localSheetId="3" hidden="1">{"UWNJISV",#N/A,FALSE,"Sheet1";"UWNJSAV",#N/A,FALSE,"Sheet1";"UWNJBSV",#N/A,FALSE,"Sheet1";"UWNJSFDV",#N/A,FALSE,"Sheet1"}</definedName>
    <definedName name="wrn.UWNJ." localSheetId="29" hidden="1">{"UWNJISV",#N/A,FALSE,"Sheet1";"UWNJSAV",#N/A,FALSE,"Sheet1";"UWNJBSV",#N/A,FALSE,"Sheet1";"UWNJSFDV",#N/A,FALSE,"Sheet1"}</definedName>
    <definedName name="wrn.UWNJ." localSheetId="47" hidden="1">{"UWNJISV",#N/A,FALSE,"Sheet1";"UWNJSAV",#N/A,FALSE,"Sheet1";"UWNJBSV",#N/A,FALSE,"Sheet1";"UWNJSFDV",#N/A,FALSE,"Sheet1"}</definedName>
    <definedName name="wrn.UWNJ." hidden="1">{"UWNJISV",#N/A,FALSE,"Sheet1";"UWNJSAV",#N/A,FALSE,"Sheet1";"UWNJBSV",#N/A,FALSE,"Sheet1";"UWNJSFDV",#N/A,FALSE,"Sheet1"}</definedName>
    <definedName name="wrn.UWNY." localSheetId="1" hidden="1">{"UWNYISV",#N/A,FALSE,"Sheet1";"UWNYSAV",#N/A,FALSE,"Sheet1";"UWNYBSV",#N/A,FALSE,"Sheet1";"UWNYSFDV",#N/A,FALSE,"Sheet1"}</definedName>
    <definedName name="wrn.UWNY." localSheetId="32" hidden="1">{"UWNYISV",#N/A,FALSE,"Sheet1";"UWNYSAV",#N/A,FALSE,"Sheet1";"UWNYBSV",#N/A,FALSE,"Sheet1";"UWNYSFDV",#N/A,FALSE,"Sheet1"}</definedName>
    <definedName name="wrn.UWNY." localSheetId="6" hidden="1">{"UWNYISV",#N/A,FALSE,"Sheet1";"UWNYSAV",#N/A,FALSE,"Sheet1";"UWNYBSV",#N/A,FALSE,"Sheet1";"UWNYSFDV",#N/A,FALSE,"Sheet1"}</definedName>
    <definedName name="wrn.UWNY." localSheetId="4" hidden="1">{"UWNYISV",#N/A,FALSE,"Sheet1";"UWNYSAV",#N/A,FALSE,"Sheet1";"UWNYBSV",#N/A,FALSE,"Sheet1";"UWNYSFDV",#N/A,FALSE,"Sheet1"}</definedName>
    <definedName name="wrn.UWNY." localSheetId="5" hidden="1">{"UWNYISV",#N/A,FALSE,"Sheet1";"UWNYSAV",#N/A,FALSE,"Sheet1";"UWNYBSV",#N/A,FALSE,"Sheet1";"UWNYSFDV",#N/A,FALSE,"Sheet1"}</definedName>
    <definedName name="wrn.UWNY." localSheetId="7" hidden="1">{"UWNYISV",#N/A,FALSE,"Sheet1";"UWNYSAV",#N/A,FALSE,"Sheet1";"UWNYBSV",#N/A,FALSE,"Sheet1";"UWNYSFDV",#N/A,FALSE,"Sheet1"}</definedName>
    <definedName name="wrn.UWNY." localSheetId="3" hidden="1">{"UWNYISV",#N/A,FALSE,"Sheet1";"UWNYSAV",#N/A,FALSE,"Sheet1";"UWNYBSV",#N/A,FALSE,"Sheet1";"UWNYSFDV",#N/A,FALSE,"Sheet1"}</definedName>
    <definedName name="wrn.UWNY." localSheetId="29" hidden="1">{"UWNYISV",#N/A,FALSE,"Sheet1";"UWNYSAV",#N/A,FALSE,"Sheet1";"UWNYBSV",#N/A,FALSE,"Sheet1";"UWNYSFDV",#N/A,FALSE,"Sheet1"}</definedName>
    <definedName name="wrn.UWNY." localSheetId="47" hidden="1">{"UWNYISV",#N/A,FALSE,"Sheet1";"UWNYSAV",#N/A,FALSE,"Sheet1";"UWNYBSV",#N/A,FALSE,"Sheet1";"UWNYSFDV",#N/A,FALSE,"Sheet1"}</definedName>
    <definedName name="wrn.UWNY." hidden="1">{"UWNYISV",#N/A,FALSE,"Sheet1";"UWNYSAV",#N/A,FALSE,"Sheet1";"UWNYBSV",#N/A,FALSE,"Sheet1";"UWNYSFDV",#N/A,FALSE,"Sheet1"}</definedName>
    <definedName name="wrn.UWW." localSheetId="1" hidden="1">{"UWWISV",#N/A,FALSE,"Sheet1";"UWWSAV",#N/A,FALSE,"Sheet1";"UWWBSV",#N/A,FALSE,"Sheet1";"UWWSFDV",#N/A,FALSE,"Sheet1"}</definedName>
    <definedName name="wrn.UWW." localSheetId="32" hidden="1">{"UWWISV",#N/A,FALSE,"Sheet1";"UWWSAV",#N/A,FALSE,"Sheet1";"UWWBSV",#N/A,FALSE,"Sheet1";"UWWSFDV",#N/A,FALSE,"Sheet1"}</definedName>
    <definedName name="wrn.UWW." localSheetId="6" hidden="1">{"UWWISV",#N/A,FALSE,"Sheet1";"UWWSAV",#N/A,FALSE,"Sheet1";"UWWBSV",#N/A,FALSE,"Sheet1";"UWWSFDV",#N/A,FALSE,"Sheet1"}</definedName>
    <definedName name="wrn.UWW." localSheetId="4" hidden="1">{"UWWISV",#N/A,FALSE,"Sheet1";"UWWSAV",#N/A,FALSE,"Sheet1";"UWWBSV",#N/A,FALSE,"Sheet1";"UWWSFDV",#N/A,FALSE,"Sheet1"}</definedName>
    <definedName name="wrn.UWW." localSheetId="5" hidden="1">{"UWWISV",#N/A,FALSE,"Sheet1";"UWWSAV",#N/A,FALSE,"Sheet1";"UWWBSV",#N/A,FALSE,"Sheet1";"UWWSFDV",#N/A,FALSE,"Sheet1"}</definedName>
    <definedName name="wrn.UWW." localSheetId="7" hidden="1">{"UWWISV",#N/A,FALSE,"Sheet1";"UWWSAV",#N/A,FALSE,"Sheet1";"UWWBSV",#N/A,FALSE,"Sheet1";"UWWSFDV",#N/A,FALSE,"Sheet1"}</definedName>
    <definedName name="wrn.UWW." localSheetId="3" hidden="1">{"UWWISV",#N/A,FALSE,"Sheet1";"UWWSAV",#N/A,FALSE,"Sheet1";"UWWBSV",#N/A,FALSE,"Sheet1";"UWWSFDV",#N/A,FALSE,"Sheet1"}</definedName>
    <definedName name="wrn.UWW." localSheetId="29" hidden="1">{"UWWISV",#N/A,FALSE,"Sheet1";"UWWSAV",#N/A,FALSE,"Sheet1";"UWWBSV",#N/A,FALSE,"Sheet1";"UWWSFDV",#N/A,FALSE,"Sheet1"}</definedName>
    <definedName name="wrn.UWW." localSheetId="47" hidden="1">{"UWWISV",#N/A,FALSE,"Sheet1";"UWWSAV",#N/A,FALSE,"Sheet1";"UWWBSV",#N/A,FALSE,"Sheet1";"UWWSFDV",#N/A,FALSE,"Sheet1"}</definedName>
    <definedName name="wrn.UWW." hidden="1">{"UWWISV",#N/A,FALSE,"Sheet1";"UWWSAV",#N/A,FALSE,"Sheet1";"UWWBSV",#N/A,FALSE,"Sheet1";"UWWSFDV",#N/A,FALSE,"Sheet1"}</definedName>
    <definedName name="wrn.WEATHER._.AND._.YR._.END._.CUST._.ADJ." localSheetId="1" hidden="1">{"WEATHER_CUSTOMERS",#N/A,FALSE,"Ok_Fuel&amp;Rev"}</definedName>
    <definedName name="wrn.WEATHER._.AND._.YR._.END._.CUST._.ADJ." localSheetId="32" hidden="1">{"WEATHER_CUSTOMERS",#N/A,FALSE,"Ok_Fuel&amp;Rev"}</definedName>
    <definedName name="wrn.WEATHER._.AND._.YR._.END._.CUST._.ADJ." localSheetId="6" hidden="1">{"WEATHER_CUSTOMERS",#N/A,FALSE,"Ok_Fuel&amp;Rev"}</definedName>
    <definedName name="wrn.WEATHER._.AND._.YR._.END._.CUST._.ADJ." localSheetId="4" hidden="1">{"WEATHER_CUSTOMERS",#N/A,FALSE,"Ok_Fuel&amp;Rev"}</definedName>
    <definedName name="wrn.WEATHER._.AND._.YR._.END._.CUST._.ADJ." localSheetId="5" hidden="1">{"WEATHER_CUSTOMERS",#N/A,FALSE,"Ok_Fuel&amp;Rev"}</definedName>
    <definedName name="wrn.WEATHER._.AND._.YR._.END._.CUST._.ADJ." localSheetId="7" hidden="1">{"WEATHER_CUSTOMERS",#N/A,FALSE,"Ok_Fuel&amp;Rev"}</definedName>
    <definedName name="wrn.WEATHER._.AND._.YR._.END._.CUST._.ADJ." localSheetId="3" hidden="1">{"WEATHER_CUSTOMERS",#N/A,FALSE,"Ok_Fuel&amp;Rev"}</definedName>
    <definedName name="wrn.WEATHER._.AND._.YR._.END._.CUST._.ADJ." localSheetId="47" hidden="1">{"WEATHER_CUSTOMERS",#N/A,FALSE,"Ok_Fuel&amp;Rev"}</definedName>
    <definedName name="wrn.WEATHER._.AND._.YR._.END._.CUST._.ADJ." hidden="1">{"WEATHER_CUSTOMERS",#N/A,FALSE,"Ok_Fuel&amp;Rev"}</definedName>
    <definedName name="wrn.Wkp._.Capital._.Structure." localSheetId="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6"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4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1" hidden="1">{"Wkp ComEquity",#N/A,FALSE,"Cap Struct WPs"}</definedName>
    <definedName name="wrn.Wkp._.ComEquity." localSheetId="32" hidden="1">{"Wkp ComEquity",#N/A,FALSE,"Cap Struct WPs"}</definedName>
    <definedName name="wrn.Wkp._.ComEquity." localSheetId="6" hidden="1">{"Wkp ComEquity",#N/A,FALSE,"Cap Struct WPs"}</definedName>
    <definedName name="wrn.Wkp._.ComEquity." localSheetId="4" hidden="1">{"Wkp ComEquity",#N/A,FALSE,"Cap Struct WPs"}</definedName>
    <definedName name="wrn.Wkp._.ComEquity." localSheetId="5" hidden="1">{"Wkp ComEquity",#N/A,FALSE,"Cap Struct WPs"}</definedName>
    <definedName name="wrn.Wkp._.ComEquity." localSheetId="7" hidden="1">{"Wkp ComEquity",#N/A,FALSE,"Cap Struct WPs"}</definedName>
    <definedName name="wrn.Wkp._.ComEquity." localSheetId="3" hidden="1">{"Wkp ComEquity",#N/A,FALSE,"Cap Struct WPs"}</definedName>
    <definedName name="wrn.Wkp._.ComEquity." localSheetId="29" hidden="1">{"Wkp ComEquity",#N/A,FALSE,"Cap Struct WPs"}</definedName>
    <definedName name="wrn.Wkp._.ComEquity." localSheetId="47" hidden="1">{"Wkp ComEquity",#N/A,FALSE,"Cap Struct WPs"}</definedName>
    <definedName name="wrn.Wkp._.ComEquity." hidden="1">{"Wkp ComEquity",#N/A,FALSE,"Cap Struct WPs"}</definedName>
    <definedName name="wrn.Wkp._.JDITC." localSheetId="1" hidden="1">{"Wkp JDITC",#N/A,FALSE,"Cap Struct WPs"}</definedName>
    <definedName name="wrn.Wkp._.JDITC." localSheetId="32" hidden="1">{"Wkp JDITC",#N/A,FALSE,"Cap Struct WPs"}</definedName>
    <definedName name="wrn.Wkp._.JDITC." localSheetId="6" hidden="1">{"Wkp JDITC",#N/A,FALSE,"Cap Struct WPs"}</definedName>
    <definedName name="wrn.Wkp._.JDITC." localSheetId="4" hidden="1">{"Wkp JDITC",#N/A,FALSE,"Cap Struct WPs"}</definedName>
    <definedName name="wrn.Wkp._.JDITC." localSheetId="5" hidden="1">{"Wkp JDITC",#N/A,FALSE,"Cap Struct WPs"}</definedName>
    <definedName name="wrn.Wkp._.JDITC." localSheetId="7" hidden="1">{"Wkp JDITC",#N/A,FALSE,"Cap Struct WPs"}</definedName>
    <definedName name="wrn.Wkp._.JDITC." localSheetId="3" hidden="1">{"Wkp JDITC",#N/A,FALSE,"Cap Struct WPs"}</definedName>
    <definedName name="wrn.Wkp._.JDITC." localSheetId="29" hidden="1">{"Wkp JDITC",#N/A,FALSE,"Cap Struct WPs"}</definedName>
    <definedName name="wrn.Wkp._.JDITC." localSheetId="47" hidden="1">{"Wkp JDITC",#N/A,FALSE,"Cap Struct WPs"}</definedName>
    <definedName name="wrn.Wkp._.JDITC." hidden="1">{"Wkp JDITC",#N/A,FALSE,"Cap Struct WPs"}</definedName>
    <definedName name="wrn.Wkp._.LTerm._.Debt." localSheetId="1" hidden="1">{"Wkp LTerm Debt",#N/A,FALSE,"Cap Struct WPs"}</definedName>
    <definedName name="wrn.Wkp._.LTerm._.Debt." localSheetId="32" hidden="1">{"Wkp LTerm Debt",#N/A,FALSE,"Cap Struct WPs"}</definedName>
    <definedName name="wrn.Wkp._.LTerm._.Debt." localSheetId="6" hidden="1">{"Wkp LTerm Debt",#N/A,FALSE,"Cap Struct WPs"}</definedName>
    <definedName name="wrn.Wkp._.LTerm._.Debt." localSheetId="4" hidden="1">{"Wkp LTerm Debt",#N/A,FALSE,"Cap Struct WPs"}</definedName>
    <definedName name="wrn.Wkp._.LTerm._.Debt." localSheetId="5" hidden="1">{"Wkp LTerm Debt",#N/A,FALSE,"Cap Struct WPs"}</definedName>
    <definedName name="wrn.Wkp._.LTerm._.Debt." localSheetId="7" hidden="1">{"Wkp LTerm Debt",#N/A,FALSE,"Cap Struct WPs"}</definedName>
    <definedName name="wrn.Wkp._.LTerm._.Debt." localSheetId="3" hidden="1">{"Wkp LTerm Debt",#N/A,FALSE,"Cap Struct WPs"}</definedName>
    <definedName name="wrn.Wkp._.LTerm._.Debt." localSheetId="29" hidden="1">{"Wkp LTerm Debt",#N/A,FALSE,"Cap Struct WPs"}</definedName>
    <definedName name="wrn.Wkp._.LTerm._.Debt." localSheetId="47" hidden="1">{"Wkp LTerm Debt",#N/A,FALSE,"Cap Struct WPs"}</definedName>
    <definedName name="wrn.Wkp._.LTerm._.Debt." hidden="1">{"Wkp LTerm Debt",#N/A,FALSE,"Cap Struct WPs"}</definedName>
    <definedName name="wrn.Wkp._.LTerm._.Debt._.13Mo._.Avg." localSheetId="1" hidden="1">{"Wkp LTerm Debt 13MoAvg",#N/A,FALSE,"Cap Struct WPs"}</definedName>
    <definedName name="wrn.Wkp._.LTerm._.Debt._.13Mo._.Avg." localSheetId="32" hidden="1">{"Wkp LTerm Debt 13MoAvg",#N/A,FALSE,"Cap Struct WPs"}</definedName>
    <definedName name="wrn.Wkp._.LTerm._.Debt._.13Mo._.Avg." localSheetId="6" hidden="1">{"Wkp LTerm Debt 13MoAvg",#N/A,FALSE,"Cap Struct WPs"}</definedName>
    <definedName name="wrn.Wkp._.LTerm._.Debt._.13Mo._.Avg." localSheetId="4" hidden="1">{"Wkp LTerm Debt 13MoAvg",#N/A,FALSE,"Cap Struct WPs"}</definedName>
    <definedName name="wrn.Wkp._.LTerm._.Debt._.13Mo._.Avg." localSheetId="5" hidden="1">{"Wkp LTerm Debt 13MoAvg",#N/A,FALSE,"Cap Struct WPs"}</definedName>
    <definedName name="wrn.Wkp._.LTerm._.Debt._.13Mo._.Avg." localSheetId="7" hidden="1">{"Wkp LTerm Debt 13MoAvg",#N/A,FALSE,"Cap Struct WPs"}</definedName>
    <definedName name="wrn.Wkp._.LTerm._.Debt._.13Mo._.Avg." localSheetId="3" hidden="1">{"Wkp LTerm Debt 13MoAvg",#N/A,FALSE,"Cap Struct WPs"}</definedName>
    <definedName name="wrn.Wkp._.LTerm._.Debt._.13Mo._.Avg." localSheetId="29" hidden="1">{"Wkp LTerm Debt 13MoAvg",#N/A,FALSE,"Cap Struct WPs"}</definedName>
    <definedName name="wrn.Wkp._.LTerm._.Debt._.13Mo._.Avg." localSheetId="47" hidden="1">{"Wkp LTerm Debt 13MoAvg",#N/A,FALSE,"Cap Struct WPs"}</definedName>
    <definedName name="wrn.Wkp._.LTerm._.Debt._.13Mo._.Avg." hidden="1">{"Wkp LTerm Debt 13MoAvg",#N/A,FALSE,"Cap Struct WPs"}</definedName>
    <definedName name="wrn.Wkp._.LTerm._.Debt._.Amort." localSheetId="1" hidden="1">{"Wkp Lterm Debt Amort",#N/A,FALSE,"Cap Struct WPs"}</definedName>
    <definedName name="wrn.Wkp._.LTerm._.Debt._.Amort." localSheetId="32" hidden="1">{"Wkp Lterm Debt Amort",#N/A,FALSE,"Cap Struct WPs"}</definedName>
    <definedName name="wrn.Wkp._.LTerm._.Debt._.Amort." localSheetId="6" hidden="1">{"Wkp Lterm Debt Amort",#N/A,FALSE,"Cap Struct WPs"}</definedName>
    <definedName name="wrn.Wkp._.LTerm._.Debt._.Amort." localSheetId="4" hidden="1">{"Wkp Lterm Debt Amort",#N/A,FALSE,"Cap Struct WPs"}</definedName>
    <definedName name="wrn.Wkp._.LTerm._.Debt._.Amort." localSheetId="5" hidden="1">{"Wkp Lterm Debt Amort",#N/A,FALSE,"Cap Struct WPs"}</definedName>
    <definedName name="wrn.Wkp._.LTerm._.Debt._.Amort." localSheetId="7" hidden="1">{"Wkp Lterm Debt Amort",#N/A,FALSE,"Cap Struct WPs"}</definedName>
    <definedName name="wrn.Wkp._.LTerm._.Debt._.Amort." localSheetId="3" hidden="1">{"Wkp Lterm Debt Amort",#N/A,FALSE,"Cap Struct WPs"}</definedName>
    <definedName name="wrn.Wkp._.LTerm._.Debt._.Amort." localSheetId="29" hidden="1">{"Wkp Lterm Debt Amort",#N/A,FALSE,"Cap Struct WPs"}</definedName>
    <definedName name="wrn.Wkp._.LTerm._.Debt._.Amort." localSheetId="47" hidden="1">{"Wkp Lterm Debt Amort",#N/A,FALSE,"Cap Struct WPs"}</definedName>
    <definedName name="wrn.Wkp._.LTerm._.Debt._.Amort." hidden="1">{"Wkp Lterm Debt Amort",#N/A,FALSE,"Cap Struct WPs"}</definedName>
    <definedName name="wrn.Wkp._.LTerm._.Debt._.Int." localSheetId="1" hidden="1">{"Wkp LTerm Debt Int",#N/A,FALSE,"Cap Struct WPs"}</definedName>
    <definedName name="wrn.Wkp._.LTerm._.Debt._.Int." localSheetId="32" hidden="1">{"Wkp LTerm Debt Int",#N/A,FALSE,"Cap Struct WPs"}</definedName>
    <definedName name="wrn.Wkp._.LTerm._.Debt._.Int." localSheetId="6" hidden="1">{"Wkp LTerm Debt Int",#N/A,FALSE,"Cap Struct WPs"}</definedName>
    <definedName name="wrn.Wkp._.LTerm._.Debt._.Int." localSheetId="4" hidden="1">{"Wkp LTerm Debt Int",#N/A,FALSE,"Cap Struct WPs"}</definedName>
    <definedName name="wrn.Wkp._.LTerm._.Debt._.Int." localSheetId="5" hidden="1">{"Wkp LTerm Debt Int",#N/A,FALSE,"Cap Struct WPs"}</definedName>
    <definedName name="wrn.Wkp._.LTerm._.Debt._.Int." localSheetId="7" hidden="1">{"Wkp LTerm Debt Int",#N/A,FALSE,"Cap Struct WPs"}</definedName>
    <definedName name="wrn.Wkp._.LTerm._.Debt._.Int." localSheetId="3" hidden="1">{"Wkp LTerm Debt Int",#N/A,FALSE,"Cap Struct WPs"}</definedName>
    <definedName name="wrn.Wkp._.LTerm._.Debt._.Int." localSheetId="29" hidden="1">{"Wkp LTerm Debt Int",#N/A,FALSE,"Cap Struct WPs"}</definedName>
    <definedName name="wrn.Wkp._.LTerm._.Debt._.Int." localSheetId="47" hidden="1">{"Wkp LTerm Debt Int",#N/A,FALSE,"Cap Struct WPs"}</definedName>
    <definedName name="wrn.Wkp._.LTerm._.Debt._.Int." hidden="1">{"Wkp LTerm Debt Int",#N/A,FALSE,"Cap Struct WPs"}</definedName>
    <definedName name="wrn.Wkp._.PreStock." localSheetId="1" hidden="1">{"Wkp PreStock",#N/A,FALSE,"Cap Struct WPs"}</definedName>
    <definedName name="wrn.Wkp._.PreStock." localSheetId="32" hidden="1">{"Wkp PreStock",#N/A,FALSE,"Cap Struct WPs"}</definedName>
    <definedName name="wrn.Wkp._.PreStock." localSheetId="6" hidden="1">{"Wkp PreStock",#N/A,FALSE,"Cap Struct WPs"}</definedName>
    <definedName name="wrn.Wkp._.PreStock." localSheetId="4" hidden="1">{"Wkp PreStock",#N/A,FALSE,"Cap Struct WPs"}</definedName>
    <definedName name="wrn.Wkp._.PreStock." localSheetId="5" hidden="1">{"Wkp PreStock",#N/A,FALSE,"Cap Struct WPs"}</definedName>
    <definedName name="wrn.Wkp._.PreStock." localSheetId="7" hidden="1">{"Wkp PreStock",#N/A,FALSE,"Cap Struct WPs"}</definedName>
    <definedName name="wrn.Wkp._.PreStock." localSheetId="3" hidden="1">{"Wkp PreStock",#N/A,FALSE,"Cap Struct WPs"}</definedName>
    <definedName name="wrn.Wkp._.PreStock." localSheetId="29" hidden="1">{"Wkp PreStock",#N/A,FALSE,"Cap Struct WPs"}</definedName>
    <definedName name="wrn.Wkp._.PreStock." localSheetId="47" hidden="1">{"Wkp PreStock",#N/A,FALSE,"Cap Struct WPs"}</definedName>
    <definedName name="wrn.Wkp._.PreStock." hidden="1">{"Wkp PreStock",#N/A,FALSE,"Cap Struct WPs"}</definedName>
    <definedName name="wrn.Wkp._.PreStock._.13MoAvg." localSheetId="1" hidden="1">{"Wkp PreStock 13MoAvg",#N/A,FALSE,"Cap Struct WPs"}</definedName>
    <definedName name="wrn.Wkp._.PreStock._.13MoAvg." localSheetId="32" hidden="1">{"Wkp PreStock 13MoAvg",#N/A,FALSE,"Cap Struct WPs"}</definedName>
    <definedName name="wrn.Wkp._.PreStock._.13MoAvg." localSheetId="6" hidden="1">{"Wkp PreStock 13MoAvg",#N/A,FALSE,"Cap Struct WPs"}</definedName>
    <definedName name="wrn.Wkp._.PreStock._.13MoAvg." localSheetId="4" hidden="1">{"Wkp PreStock 13MoAvg",#N/A,FALSE,"Cap Struct WPs"}</definedName>
    <definedName name="wrn.Wkp._.PreStock._.13MoAvg." localSheetId="5" hidden="1">{"Wkp PreStock 13MoAvg",#N/A,FALSE,"Cap Struct WPs"}</definedName>
    <definedName name="wrn.Wkp._.PreStock._.13MoAvg." localSheetId="7" hidden="1">{"Wkp PreStock 13MoAvg",#N/A,FALSE,"Cap Struct WPs"}</definedName>
    <definedName name="wrn.Wkp._.PreStock._.13MoAvg." localSheetId="3" hidden="1">{"Wkp PreStock 13MoAvg",#N/A,FALSE,"Cap Struct WPs"}</definedName>
    <definedName name="wrn.Wkp._.PreStock._.13MoAvg." localSheetId="29" hidden="1">{"Wkp PreStock 13MoAvg",#N/A,FALSE,"Cap Struct WPs"}</definedName>
    <definedName name="wrn.Wkp._.PreStock._.13MoAvg." localSheetId="47" hidden="1">{"Wkp PreStock 13MoAvg",#N/A,FALSE,"Cap Struct WPs"}</definedName>
    <definedName name="wrn.Wkp._.PreStock._.13MoAvg." hidden="1">{"Wkp PreStock 13MoAvg",#N/A,FALSE,"Cap Struct WPs"}</definedName>
    <definedName name="wrn.Wkp._.PreStock._.Amort." localSheetId="1" hidden="1">{"Wkp PreStock Amort",#N/A,FALSE,"Cap Struct WPs"}</definedName>
    <definedName name="wrn.Wkp._.PreStock._.Amort." localSheetId="32" hidden="1">{"Wkp PreStock Amort",#N/A,FALSE,"Cap Struct WPs"}</definedName>
    <definedName name="wrn.Wkp._.PreStock._.Amort." localSheetId="6" hidden="1">{"Wkp PreStock Amort",#N/A,FALSE,"Cap Struct WPs"}</definedName>
    <definedName name="wrn.Wkp._.PreStock._.Amort." localSheetId="4" hidden="1">{"Wkp PreStock Amort",#N/A,FALSE,"Cap Struct WPs"}</definedName>
    <definedName name="wrn.Wkp._.PreStock._.Amort." localSheetId="5" hidden="1">{"Wkp PreStock Amort",#N/A,FALSE,"Cap Struct WPs"}</definedName>
    <definedName name="wrn.Wkp._.PreStock._.Amort." localSheetId="7" hidden="1">{"Wkp PreStock Amort",#N/A,FALSE,"Cap Struct WPs"}</definedName>
    <definedName name="wrn.Wkp._.PreStock._.Amort." localSheetId="3" hidden="1">{"Wkp PreStock Amort",#N/A,FALSE,"Cap Struct WPs"}</definedName>
    <definedName name="wrn.Wkp._.PreStock._.Amort." localSheetId="29" hidden="1">{"Wkp PreStock Amort",#N/A,FALSE,"Cap Struct WPs"}</definedName>
    <definedName name="wrn.Wkp._.PreStock._.Amort." localSheetId="47" hidden="1">{"Wkp PreStock Amort",#N/A,FALSE,"Cap Struct WPs"}</definedName>
    <definedName name="wrn.Wkp._.PreStock._.Amort." hidden="1">{"Wkp PreStock Amort",#N/A,FALSE,"Cap Struct WPs"}</definedName>
    <definedName name="wrn.Wkp._.PreStock._.Dividend." localSheetId="1" hidden="1">{"Wkp PreStock Dividend",#N/A,FALSE,"Cap Struct WPs"}</definedName>
    <definedName name="wrn.Wkp._.PreStock._.Dividend." localSheetId="32" hidden="1">{"Wkp PreStock Dividend",#N/A,FALSE,"Cap Struct WPs"}</definedName>
    <definedName name="wrn.Wkp._.PreStock._.Dividend." localSheetId="6" hidden="1">{"Wkp PreStock Dividend",#N/A,FALSE,"Cap Struct WPs"}</definedName>
    <definedName name="wrn.Wkp._.PreStock._.Dividend." localSheetId="4" hidden="1">{"Wkp PreStock Dividend",#N/A,FALSE,"Cap Struct WPs"}</definedName>
    <definedName name="wrn.Wkp._.PreStock._.Dividend." localSheetId="5" hidden="1">{"Wkp PreStock Dividend",#N/A,FALSE,"Cap Struct WPs"}</definedName>
    <definedName name="wrn.Wkp._.PreStock._.Dividend." localSheetId="7" hidden="1">{"Wkp PreStock Dividend",#N/A,FALSE,"Cap Struct WPs"}</definedName>
    <definedName name="wrn.Wkp._.PreStock._.Dividend." localSheetId="3" hidden="1">{"Wkp PreStock Dividend",#N/A,FALSE,"Cap Struct WPs"}</definedName>
    <definedName name="wrn.Wkp._.PreStock._.Dividend." localSheetId="29" hidden="1">{"Wkp PreStock Dividend",#N/A,FALSE,"Cap Struct WPs"}</definedName>
    <definedName name="wrn.Wkp._.PreStock._.Dividend." localSheetId="47" hidden="1">{"Wkp PreStock Dividend",#N/A,FALSE,"Cap Struct WPs"}</definedName>
    <definedName name="wrn.Wkp._.PreStock._.Dividend." hidden="1">{"Wkp PreStock Dividend",#N/A,FALSE,"Cap Struct WPs"}</definedName>
    <definedName name="wrn.Wkp._.STerm._.Debt." localSheetId="1" hidden="1">{"Wkp STerm Debt",#N/A,FALSE,"Cap Struct WPs"}</definedName>
    <definedName name="wrn.Wkp._.STerm._.Debt." localSheetId="32" hidden="1">{"Wkp STerm Debt",#N/A,FALSE,"Cap Struct WPs"}</definedName>
    <definedName name="wrn.Wkp._.STerm._.Debt." localSheetId="6" hidden="1">{"Wkp STerm Debt",#N/A,FALSE,"Cap Struct WPs"}</definedName>
    <definedName name="wrn.Wkp._.STerm._.Debt." localSheetId="4" hidden="1">{"Wkp STerm Debt",#N/A,FALSE,"Cap Struct WPs"}</definedName>
    <definedName name="wrn.Wkp._.STerm._.Debt." localSheetId="5" hidden="1">{"Wkp STerm Debt",#N/A,FALSE,"Cap Struct WPs"}</definedName>
    <definedName name="wrn.Wkp._.STerm._.Debt." localSheetId="7" hidden="1">{"Wkp STerm Debt",#N/A,FALSE,"Cap Struct WPs"}</definedName>
    <definedName name="wrn.Wkp._.STerm._.Debt." localSheetId="3" hidden="1">{"Wkp STerm Debt",#N/A,FALSE,"Cap Struct WPs"}</definedName>
    <definedName name="wrn.Wkp._.STerm._.Debt." localSheetId="29" hidden="1">{"Wkp STerm Debt",#N/A,FALSE,"Cap Struct WPs"}</definedName>
    <definedName name="wrn.Wkp._.STerm._.Debt." localSheetId="47" hidden="1">{"Wkp STerm Debt",#N/A,FALSE,"Cap Struct WPs"}</definedName>
    <definedName name="wrn.Wkp._.STerm._.Debt." hidden="1">{"Wkp STerm Debt",#N/A,FALSE,"Cap Struct WPs"}</definedName>
    <definedName name="wrn.Wkp._.Unamort._.Debt._.Exp." localSheetId="1" hidden="1">{"Wkp Unamort Debt Exp",#N/A,FALSE,"Cap Struct WPs"}</definedName>
    <definedName name="wrn.Wkp._.Unamort._.Debt._.Exp." localSheetId="32" hidden="1">{"Wkp Unamort Debt Exp",#N/A,FALSE,"Cap Struct WPs"}</definedName>
    <definedName name="wrn.Wkp._.Unamort._.Debt._.Exp." localSheetId="6" hidden="1">{"Wkp Unamort Debt Exp",#N/A,FALSE,"Cap Struct WPs"}</definedName>
    <definedName name="wrn.Wkp._.Unamort._.Debt._.Exp." localSheetId="4" hidden="1">{"Wkp Unamort Debt Exp",#N/A,FALSE,"Cap Struct WPs"}</definedName>
    <definedName name="wrn.Wkp._.Unamort._.Debt._.Exp." localSheetId="5" hidden="1">{"Wkp Unamort Debt Exp",#N/A,FALSE,"Cap Struct WPs"}</definedName>
    <definedName name="wrn.Wkp._.Unamort._.Debt._.Exp." localSheetId="7" hidden="1">{"Wkp Unamort Debt Exp",#N/A,FALSE,"Cap Struct WPs"}</definedName>
    <definedName name="wrn.Wkp._.Unamort._.Debt._.Exp." localSheetId="3" hidden="1">{"Wkp Unamort Debt Exp",#N/A,FALSE,"Cap Struct WPs"}</definedName>
    <definedName name="wrn.Wkp._.Unamort._.Debt._.Exp." localSheetId="29" hidden="1">{"Wkp Unamort Debt Exp",#N/A,FALSE,"Cap Struct WPs"}</definedName>
    <definedName name="wrn.Wkp._.Unamort._.Debt._.Exp." localSheetId="47" hidden="1">{"Wkp Unamort Debt Exp",#N/A,FALSE,"Cap Struct WPs"}</definedName>
    <definedName name="wrn.Wkp._.Unamort._.Debt._.Exp." hidden="1">{"Wkp Unamort Debt Exp",#N/A,FALSE,"Cap Struct WPs"}</definedName>
    <definedName name="wrn.Wkp._.Unamort._.PreStock._.Exp." localSheetId="1" hidden="1">{"Wkp Unamort PreStock Exp",#N/A,FALSE,"Cap Struct WPs"}</definedName>
    <definedName name="wrn.Wkp._.Unamort._.PreStock._.Exp." localSheetId="32" hidden="1">{"Wkp Unamort PreStock Exp",#N/A,FALSE,"Cap Struct WPs"}</definedName>
    <definedName name="wrn.Wkp._.Unamort._.PreStock._.Exp." localSheetId="6" hidden="1">{"Wkp Unamort PreStock Exp",#N/A,FALSE,"Cap Struct WPs"}</definedName>
    <definedName name="wrn.Wkp._.Unamort._.PreStock._.Exp." localSheetId="4" hidden="1">{"Wkp Unamort PreStock Exp",#N/A,FALSE,"Cap Struct WPs"}</definedName>
    <definedName name="wrn.Wkp._.Unamort._.PreStock._.Exp." localSheetId="5" hidden="1">{"Wkp Unamort PreStock Exp",#N/A,FALSE,"Cap Struct WPs"}</definedName>
    <definedName name="wrn.Wkp._.Unamort._.PreStock._.Exp." localSheetId="7" hidden="1">{"Wkp Unamort PreStock Exp",#N/A,FALSE,"Cap Struct WPs"}</definedName>
    <definedName name="wrn.Wkp._.Unamort._.PreStock._.Exp." localSheetId="3" hidden="1">{"Wkp Unamort PreStock Exp",#N/A,FALSE,"Cap Struct WPs"}</definedName>
    <definedName name="wrn.Wkp._.Unamort._.PreStock._.Exp." localSheetId="29" hidden="1">{"Wkp Unamort PreStock Exp",#N/A,FALSE,"Cap Struct WPs"}</definedName>
    <definedName name="wrn.Wkp._.Unamort._.PreStock._.Exp." localSheetId="47" hidden="1">{"Wkp Unamort PreStock Exp",#N/A,FALSE,"Cap Struct WPs"}</definedName>
    <definedName name="wrn.Wkp._.Unamort._.PreStock._.Exp." hidden="1">{"Wkp Unamort PreStock Exp",#N/A,FALSE,"Cap Struct WPs"}</definedName>
    <definedName name="wrn.WMECO_GL." localSheetId="1" hidden="1">{#N/A,#N/A,FALSE,"GLDwnLoad"}</definedName>
    <definedName name="wrn.WMECO_GL." localSheetId="32" hidden="1">{#N/A,#N/A,FALSE,"GLDwnLoad"}</definedName>
    <definedName name="wrn.WMECO_GL." localSheetId="6" hidden="1">{#N/A,#N/A,FALSE,"GLDwnLoad"}</definedName>
    <definedName name="wrn.WMECO_GL." localSheetId="4" hidden="1">{#N/A,#N/A,FALSE,"GLDwnLoad"}</definedName>
    <definedName name="wrn.WMECO_GL." localSheetId="5" hidden="1">{#N/A,#N/A,FALSE,"GLDwnLoad"}</definedName>
    <definedName name="wrn.WMECO_GL." localSheetId="7" hidden="1">{#N/A,#N/A,FALSE,"GLDwnLoad"}</definedName>
    <definedName name="wrn.WMECO_GL." localSheetId="3" hidden="1">{#N/A,#N/A,FALSE,"GLDwnLoad"}</definedName>
    <definedName name="wrn.WMECO_GL." localSheetId="47" hidden="1">{#N/A,#N/A,FALSE,"GLDwnLoad"}</definedName>
    <definedName name="wrn.WMECO_GL." hidden="1">{#N/A,#N/A,FALSE,"GLDwnLoad"}</definedName>
    <definedName name="wrn.WMECO_INPUTS." localSheetId="1" hidden="1">{#N/A,#N/A,FALSE,"OTHERINPUTS";#N/A,#N/A,FALSE,"DITRATEINPUTS";#N/A,#N/A,FALSE,"SUPPLIEDADJINPUT";#N/A,#N/A,FALSE,"TIMINGDIFFINPUTS";#N/A,#N/A,FALSE,"BR&amp;SUPADJ."}</definedName>
    <definedName name="wrn.WMECO_INPUTS." localSheetId="32" hidden="1">{#N/A,#N/A,FALSE,"OTHERINPUTS";#N/A,#N/A,FALSE,"DITRATEINPUTS";#N/A,#N/A,FALSE,"SUPPLIEDADJINPUT";#N/A,#N/A,FALSE,"TIMINGDIFFINPUTS";#N/A,#N/A,FALSE,"BR&amp;SUPADJ."}</definedName>
    <definedName name="wrn.WMECO_INPUTS." localSheetId="6" hidden="1">{#N/A,#N/A,FALSE,"OTHERINPUTS";#N/A,#N/A,FALSE,"DITRATEINPUTS";#N/A,#N/A,FALSE,"SUPPLIEDADJINPUT";#N/A,#N/A,FALSE,"TIMINGDIFFINPUTS";#N/A,#N/A,FALSE,"BR&amp;SUPADJ."}</definedName>
    <definedName name="wrn.WMECO_INPUTS." localSheetId="4" hidden="1">{#N/A,#N/A,FALSE,"OTHERINPUTS";#N/A,#N/A,FALSE,"DITRATEINPUTS";#N/A,#N/A,FALSE,"SUPPLIEDADJINPUT";#N/A,#N/A,FALSE,"TIMINGDIFFINPUTS";#N/A,#N/A,FALSE,"BR&amp;SUPADJ."}</definedName>
    <definedName name="wrn.WMECO_INPUTS." localSheetId="5" hidden="1">{#N/A,#N/A,FALSE,"OTHERINPUTS";#N/A,#N/A,FALSE,"DITRATEINPUTS";#N/A,#N/A,FALSE,"SUPPLIEDADJINPUT";#N/A,#N/A,FALSE,"TIMINGDIFFINPUTS";#N/A,#N/A,FALSE,"BR&amp;SUPADJ."}</definedName>
    <definedName name="wrn.WMECO_INPUTS." localSheetId="7" hidden="1">{#N/A,#N/A,FALSE,"OTHERINPUTS";#N/A,#N/A,FALSE,"DITRATEINPUTS";#N/A,#N/A,FALSE,"SUPPLIEDADJINPUT";#N/A,#N/A,FALSE,"TIMINGDIFFINPUTS";#N/A,#N/A,FALSE,"BR&amp;SUPADJ."}</definedName>
    <definedName name="wrn.WMECO_INPUTS." localSheetId="3" hidden="1">{#N/A,#N/A,FALSE,"OTHERINPUTS";#N/A,#N/A,FALSE,"DITRATEINPUTS";#N/A,#N/A,FALSE,"SUPPLIEDADJINPUT";#N/A,#N/A,FALSE,"TIMINGDIFFINPUTS";#N/A,#N/A,FALSE,"BR&amp;SUPADJ."}</definedName>
    <definedName name="wrn.WMECO_INPUTS." localSheetId="47"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PROV."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orkfile." localSheetId="32"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6"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3"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4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32"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6"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3"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4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1.printal." localSheetId="32" hidden="1">{#N/A,#N/A,FALSE,"PREFDIV";#N/A,#N/A,FALSE,"STINT";#N/A,#N/A,FALSE,"LTINT";#N/A,#N/A,FALSE,"BTL";#N/A,#N/A,FALSE,"AFC";#N/A,#N/A,FALSE,"OTHNET";#N/A,#N/A,FALSE,"ATL"}</definedName>
    <definedName name="wrn1.printal." localSheetId="6" hidden="1">{#N/A,#N/A,FALSE,"PREFDIV";#N/A,#N/A,FALSE,"STINT";#N/A,#N/A,FALSE,"LTINT";#N/A,#N/A,FALSE,"BTL";#N/A,#N/A,FALSE,"AFC";#N/A,#N/A,FALSE,"OTHNET";#N/A,#N/A,FALSE,"ATL"}</definedName>
    <definedName name="wrn1.printal." localSheetId="7" hidden="1">{#N/A,#N/A,FALSE,"PREFDIV";#N/A,#N/A,FALSE,"STINT";#N/A,#N/A,FALSE,"LTINT";#N/A,#N/A,FALSE,"BTL";#N/A,#N/A,FALSE,"AFC";#N/A,#N/A,FALSE,"OTHNET";#N/A,#N/A,FALSE,"ATL"}</definedName>
    <definedName name="wrn1.printal." localSheetId="3" hidden="1">{#N/A,#N/A,FALSE,"PREFDIV";#N/A,#N/A,FALSE,"STINT";#N/A,#N/A,FALSE,"LTINT";#N/A,#N/A,FALSE,"BTL";#N/A,#N/A,FALSE,"AFC";#N/A,#N/A,FALSE,"OTHNET";#N/A,#N/A,FALSE,"ATL"}</definedName>
    <definedName name="wrn1.printal." localSheetId="47" hidden="1">{#N/A,#N/A,FALSE,"PREFDIV";#N/A,#N/A,FALSE,"STINT";#N/A,#N/A,FALSE,"LTINT";#N/A,#N/A,FALSE,"BTL";#N/A,#N/A,FALSE,"AFC";#N/A,#N/A,FALSE,"OTHNET";#N/A,#N/A,FALSE,"ATL"}</definedName>
    <definedName name="wrn1.printal." hidden="1">{#N/A,#N/A,FALSE,"PREFDIV";#N/A,#N/A,FALSE,"STINT";#N/A,#N/A,FALSE,"LTINT";#N/A,#N/A,FALSE,"BTL";#N/A,#N/A,FALSE,"AFC";#N/A,#N/A,FALSE,"OTHNET";#N/A,#N/A,FALSE,"ATL"}</definedName>
    <definedName name="wvu.DATABASE." localSheetId="3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6"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3"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9"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4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OP." localSheetId="3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6"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3"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9"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4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WP1." localSheetId="32" hidden="1">{TRUE,TRUE,-1.25,-15.5,484.5,279.75,FALSE,FALSE,TRUE,TRUE,0,3,#N/A,1,#N/A,6.54545454545454,15.55,1,FALSE,FALSE,3,TRUE,1,FALSE,100,"Swvu.WP1.","ACwvu.WP1.",1,FALSE,FALSE,0.25,0.25,0.25,0.25,1,"","&amp;L&amp;D &amp;T NBW&amp;C&amp;P&amp;R&amp;F",FALSE,FALSE,FALSE,FALSE,1,100,#N/A,#N/A,FALSE,FALSE,#N/A,#N/A,FALSE,FALSE}</definedName>
    <definedName name="wvu.WP1." localSheetId="6" hidden="1">{TRUE,TRUE,-1.25,-15.5,484.5,279.75,FALSE,FALSE,TRUE,TRUE,0,3,#N/A,1,#N/A,6.54545454545454,15.55,1,FALSE,FALSE,3,TRUE,1,FALSE,100,"Swvu.WP1.","ACwvu.WP1.",1,FALSE,FALSE,0.25,0.25,0.25,0.25,1,"","&amp;L&amp;D &amp;T NBW&amp;C&amp;P&amp;R&amp;F",FALSE,FALSE,FALSE,FALSE,1,100,#N/A,#N/A,FALSE,FALSE,#N/A,#N/A,FALSE,FALSE}</definedName>
    <definedName name="wvu.WP1." localSheetId="7" hidden="1">{TRUE,TRUE,-1.25,-15.5,484.5,279.75,FALSE,FALSE,TRUE,TRUE,0,3,#N/A,1,#N/A,6.54545454545454,15.55,1,FALSE,FALSE,3,TRUE,1,FALSE,100,"Swvu.WP1.","ACwvu.WP1.",1,FALSE,FALSE,0.25,0.25,0.25,0.25,1,"","&amp;L&amp;D &amp;T NBW&amp;C&amp;P&amp;R&amp;F",FALSE,FALSE,FALSE,FALSE,1,100,#N/A,#N/A,FALSE,FALSE,#N/A,#N/A,FALSE,FALSE}</definedName>
    <definedName name="wvu.WP1." localSheetId="3" hidden="1">{TRUE,TRUE,-1.25,-15.5,484.5,279.75,FALSE,FALSE,TRUE,TRUE,0,3,#N/A,1,#N/A,6.54545454545454,15.55,1,FALSE,FALSE,3,TRUE,1,FALSE,100,"Swvu.WP1.","ACwvu.WP1.",1,FALSE,FALSE,0.25,0.25,0.25,0.25,1,"","&amp;L&amp;D &amp;T NBW&amp;C&amp;P&amp;R&amp;F",FALSE,FALSE,FALSE,FALSE,1,100,#N/A,#N/A,FALSE,FALSE,#N/A,#N/A,FALSE,FALSE}</definedName>
    <definedName name="wvu.WP1." localSheetId="29" hidden="1">{TRUE,TRUE,-1.25,-15.5,484.5,279.75,FALSE,FALSE,TRUE,TRUE,0,3,#N/A,1,#N/A,6.54545454545454,15.55,1,FALSE,FALSE,3,TRUE,1,FALSE,100,"Swvu.WP1.","ACwvu.WP1.",1,FALSE,FALSE,0.25,0.25,0.25,0.25,1,"","&amp;L&amp;D &amp;T NBW&amp;C&amp;P&amp;R&amp;F",FALSE,FALSE,FALSE,FALSE,1,100,#N/A,#N/A,FALSE,FALSE,#N/A,#N/A,FALSE,FALSE}</definedName>
    <definedName name="wvu.WP1." localSheetId="47"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w"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X" localSheetId="1" hidden="1">#REF!</definedName>
    <definedName name="X" localSheetId="5" hidden="1">#REF!</definedName>
    <definedName name="X" localSheetId="3" hidden="1">#REF!</definedName>
    <definedName name="X" localSheetId="29" hidden="1">#REF!</definedName>
    <definedName name="X" hidden="1">#REF!</definedName>
    <definedName name="xx" localSheetId="32" hidden="1">{#N/A,#N/A,TRUE,"TAXPROV";#N/A,#N/A,TRUE,"FLOWTHRU";#N/A,#N/A,TRUE,"SCHEDULE M'S";#N/A,#N/A,TRUE,"PLANT M'S";#N/A,#N/A,TRUE,"TAXJE"}</definedName>
    <definedName name="xx" localSheetId="6" hidden="1">{#N/A,#N/A,TRUE,"TAXPROV";#N/A,#N/A,TRUE,"FLOWTHRU";#N/A,#N/A,TRUE,"SCHEDULE M'S";#N/A,#N/A,TRUE,"PLANT M'S";#N/A,#N/A,TRUE,"TAXJE"}</definedName>
    <definedName name="xx" localSheetId="7" hidden="1">{#N/A,#N/A,TRUE,"TAXPROV";#N/A,#N/A,TRUE,"FLOWTHRU";#N/A,#N/A,TRUE,"SCHEDULE M'S";#N/A,#N/A,TRUE,"PLANT M'S";#N/A,#N/A,TRUE,"TAXJE"}</definedName>
    <definedName name="xx" localSheetId="3" hidden="1">{#N/A,#N/A,TRUE,"TAXPROV";#N/A,#N/A,TRUE,"FLOWTHRU";#N/A,#N/A,TRUE,"SCHEDULE M'S";#N/A,#N/A,TRUE,"PLANT M'S";#N/A,#N/A,TRUE,"TAXJE"}</definedName>
    <definedName name="xx" localSheetId="29" hidden="1">{#N/A,#N/A,TRUE,"TAXPROV";#N/A,#N/A,TRUE,"FLOWTHRU";#N/A,#N/A,TRUE,"SCHEDULE M'S";#N/A,#N/A,TRUE,"PLANT M'S";#N/A,#N/A,TRUE,"TAXJE"}</definedName>
    <definedName name="xx" localSheetId="47" hidden="1">{#N/A,#N/A,TRUE,"TAXPROV";#N/A,#N/A,TRUE,"FLOWTHRU";#N/A,#N/A,TRUE,"SCHEDULE M'S";#N/A,#N/A,TRUE,"PLANT M'S";#N/A,#N/A,TRUE,"TAXJE"}</definedName>
    <definedName name="xx" hidden="1">{#N/A,#N/A,TRUE,"TAXPROV";#N/A,#N/A,TRUE,"FLOWTHRU";#N/A,#N/A,TRUE,"SCHEDULE M'S";#N/A,#N/A,TRUE,"PLANT M'S";#N/A,#N/A,TRUE,"TAXJE"}</definedName>
    <definedName name="xxx" localSheetId="1" hidden="1">{#N/A,#N/A,FALSE,"GLDwnLoad"}</definedName>
    <definedName name="xxx" localSheetId="32" hidden="1">{#N/A,#N/A,FALSE,"GLDwnLoad"}</definedName>
    <definedName name="xxx" localSheetId="6" hidden="1">{#N/A,#N/A,FALSE,"GLDwnLoad"}</definedName>
    <definedName name="xxx" localSheetId="4" hidden="1">{#N/A,#N/A,FALSE,"GLDwnLoad"}</definedName>
    <definedName name="xxx" localSheetId="5" hidden="1">{#N/A,#N/A,FALSE,"GLDwnLoad"}</definedName>
    <definedName name="xxx" localSheetId="7" hidden="1">{#N/A,#N/A,FALSE,"GLDwnLoad"}</definedName>
    <definedName name="xxx" localSheetId="3" hidden="1">{#N/A,#N/A,FALSE,"GLDwnLoad"}</definedName>
    <definedName name="xxx" localSheetId="47" hidden="1">{#N/A,#N/A,FALSE,"GLDwnLoad"}</definedName>
    <definedName name="xxx" hidden="1">{#N/A,#N/A,FALSE,"GLDwnLoad"}</definedName>
    <definedName name="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Y" localSheetId="1" hidden="1">#REF!</definedName>
    <definedName name="Y" localSheetId="5" hidden="1">#REF!</definedName>
    <definedName name="Y" localSheetId="3" hidden="1">#REF!</definedName>
    <definedName name="Y" localSheetId="29" hidden="1">#REF!</definedName>
    <definedName name="Y" hidden="1">#REF!</definedName>
    <definedName name="Year" localSheetId="3">#REF!</definedName>
    <definedName name="Year">#REF!</definedName>
    <definedName name="Year_End_Customer_Adjustment">#REF!</definedName>
    <definedName name="yeardateprior1">[109]CTRL!$C$9</definedName>
    <definedName name="yeardateprior2">[109]CTRL!$C$10</definedName>
    <definedName name="yearend" localSheetId="3">#REF!</definedName>
    <definedName name="yearend">#REF!</definedName>
    <definedName name="yes" localSheetId="1" hidden="1">#REF!</definedName>
    <definedName name="yes" localSheetId="5" hidden="1">#REF!</definedName>
    <definedName name="yes" localSheetId="3" hidden="1">#REF!</definedName>
    <definedName name="yes" localSheetId="29" hidden="1">#REF!</definedName>
    <definedName name="yes" hidden="1">#REF!</definedName>
    <definedName name="yesindeed" localSheetId="1" hidden="1">#REF!</definedName>
    <definedName name="yesindeed" localSheetId="5" hidden="1">#REF!</definedName>
    <definedName name="yesindeed" localSheetId="3" hidden="1">#REF!</definedName>
    <definedName name="yesindeed" localSheetId="29" hidden="1">#REF!</definedName>
    <definedName name="yesindeed" hidden="1">#REF!</definedName>
    <definedName name="yesir" localSheetId="5" hidden="1">#REF!</definedName>
    <definedName name="yesir" localSheetId="3" hidden="1">#REF!</definedName>
    <definedName name="yesir" localSheetId="29" hidden="1">#REF!</definedName>
    <definedName name="yesir" hidden="1">#REF!</definedName>
    <definedName name="Yield" localSheetId="3">#REF!</definedName>
    <definedName name="Yield">#REF!</definedName>
    <definedName name="YIELDS" localSheetId="3">#REF!</definedName>
    <definedName name="YIELDS">#REF!</definedName>
    <definedName name="YTDAMT" localSheetId="3">'2.4 OpCo Proxy Cap Str'!AmtTable</definedName>
    <definedName name="YTDAMT">[39]!AmtTable</definedName>
    <definedName name="YTDDT" localSheetId="3">'2.4 OpCo Proxy Cap Str'!DTTable</definedName>
    <definedName name="YTDDT">[39]!DTTable</definedName>
    <definedName name="YTDREPORT" localSheetId="6">[63]!YTDREPORT</definedName>
    <definedName name="YTDREPORT">[63]!YTDREPORT</definedName>
    <definedName name="yyy" localSheetId="1" hidden="1">{"caz2",#N/A,FALSE,"Central Arizona 2";"saz2",#N/A,FALSE,"Southern Arizona 2";"snv2",#N/A,FALSE,"Southern Nevada 2";"nnv2",#N/A,FALSE,"Northern Nevada 2";"sca2",#N/A,FALSE,"Southern California 2";"nca2",#N/A,FALSE,"Northern California 2";"pai2",#N/A,FALSE,"Paiute 2"}</definedName>
    <definedName name="yyy" localSheetId="32" hidden="1">{"caz2",#N/A,FALSE,"Central Arizona 2";"saz2",#N/A,FALSE,"Southern Arizona 2";"snv2",#N/A,FALSE,"Southern Nevada 2";"nnv2",#N/A,FALSE,"Northern Nevada 2";"sca2",#N/A,FALSE,"Southern California 2";"nca2",#N/A,FALSE,"Northern California 2";"pai2",#N/A,FALSE,"Paiute 2"}</definedName>
    <definedName name="yyy" localSheetId="6" hidden="1">{"caz2",#N/A,FALSE,"Central Arizona 2";"saz2",#N/A,FALSE,"Southern Arizona 2";"snv2",#N/A,FALSE,"Southern Nevada 2";"nnv2",#N/A,FALSE,"Northern Nevada 2";"sca2",#N/A,FALSE,"Southern California 2";"nca2",#N/A,FALSE,"Northern California 2";"pai2",#N/A,FALSE,"Paiute 2"}</definedName>
    <definedName name="yyy" localSheetId="4" hidden="1">{"caz2",#N/A,FALSE,"Central Arizona 2";"saz2",#N/A,FALSE,"Southern Arizona 2";"snv2",#N/A,FALSE,"Southern Nevada 2";"nnv2",#N/A,FALSE,"Northern Nevada 2";"sca2",#N/A,FALSE,"Southern California 2";"nca2",#N/A,FALSE,"Northern California 2";"pai2",#N/A,FALSE,"Paiute 2"}</definedName>
    <definedName name="yyy" localSheetId="5" hidden="1">{"caz2",#N/A,FALSE,"Central Arizona 2";"saz2",#N/A,FALSE,"Southern Arizona 2";"snv2",#N/A,FALSE,"Southern Nevada 2";"nnv2",#N/A,FALSE,"Northern Nevada 2";"sca2",#N/A,FALSE,"Southern California 2";"nca2",#N/A,FALSE,"Northern California 2";"pai2",#N/A,FALSE,"Paiute 2"}</definedName>
    <definedName name="yyy" localSheetId="7" hidden="1">{"caz2",#N/A,FALSE,"Central Arizona 2";"saz2",#N/A,FALSE,"Southern Arizona 2";"snv2",#N/A,FALSE,"Southern Nevada 2";"nnv2",#N/A,FALSE,"Northern Nevada 2";"sca2",#N/A,FALSE,"Southern California 2";"nca2",#N/A,FALSE,"Northern California 2";"pai2",#N/A,FALSE,"Paiute 2"}</definedName>
    <definedName name="yyy" localSheetId="3" hidden="1">{"caz2",#N/A,FALSE,"Central Arizona 2";"saz2",#N/A,FALSE,"Southern Arizona 2";"snv2",#N/A,FALSE,"Southern Nevada 2";"nnv2",#N/A,FALSE,"Northern Nevada 2";"sca2",#N/A,FALSE,"Southern California 2";"nca2",#N/A,FALSE,"Northern California 2";"pai2",#N/A,FALSE,"Paiute 2"}</definedName>
    <definedName name="yyy" localSheetId="29" hidden="1">{"caz2",#N/A,FALSE,"Central Arizona 2";"saz2",#N/A,FALSE,"Southern Arizona 2";"snv2",#N/A,FALSE,"Southern Nevada 2";"nnv2",#N/A,FALSE,"Northern Nevada 2";"sca2",#N/A,FALSE,"Southern California 2";"nca2",#N/A,FALSE,"Northern California 2";"pai2",#N/A,FALSE,"Paiute 2"}</definedName>
    <definedName name="yyy" localSheetId="47" hidden="1">{"caz2",#N/A,FALSE,"Central Arizona 2";"saz2",#N/A,FALSE,"Southern Arizona 2";"snv2",#N/A,FALSE,"Southern Nevada 2";"nnv2",#N/A,FALSE,"Northern Nevada 2";"sca2",#N/A,FALSE,"Southern California 2";"nca2",#N/A,FALSE,"Northern California 2";"pai2",#N/A,FALSE,"Paiute 2"}</definedName>
    <definedName name="yyy" hidden="1">{"caz2",#N/A,FALSE,"Central Arizona 2";"saz2",#N/A,FALSE,"Southern Arizona 2";"snv2",#N/A,FALSE,"Southern Nevada 2";"nnv2",#N/A,FALSE,"Northern Nevada 2";"sca2",#N/A,FALSE,"Southern California 2";"nca2",#N/A,FALSE,"Northern California 2";"pai2",#N/A,FALSE,"Paiute 2"}</definedName>
    <definedName name="yyyy"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yy" localSheetId="1" hidden="1">#REF!</definedName>
    <definedName name="yyyyyy" localSheetId="5" hidden="1">#REF!</definedName>
    <definedName name="yyyyyy" localSheetId="3" hidden="1">#REF!</definedName>
    <definedName name="yyyyyy" localSheetId="29" hidden="1">#REF!</definedName>
    <definedName name="yyyyyy" hidden="1">#REF!</definedName>
    <definedName name="yyyyyyyy" localSheetId="1" hidden="1">{#N/A,#N/A,FALSE,"SCA";#N/A,#N/A,FALSE,"NCA";#N/A,#N/A,FALSE,"SAZ";#N/A,#N/A,FALSE,"CAZ";#N/A,#N/A,FALSE,"SNV";#N/A,#N/A,FALSE,"NNV";#N/A,#N/A,FALSE,"PP";#N/A,#N/A,FALSE,"SA"}</definedName>
    <definedName name="yyyyyyyy" localSheetId="32" hidden="1">{#N/A,#N/A,FALSE,"SCA";#N/A,#N/A,FALSE,"NCA";#N/A,#N/A,FALSE,"SAZ";#N/A,#N/A,FALSE,"CAZ";#N/A,#N/A,FALSE,"SNV";#N/A,#N/A,FALSE,"NNV";#N/A,#N/A,FALSE,"PP";#N/A,#N/A,FALSE,"SA"}</definedName>
    <definedName name="yyyyyyyy" localSheetId="6" hidden="1">{#N/A,#N/A,FALSE,"SCA";#N/A,#N/A,FALSE,"NCA";#N/A,#N/A,FALSE,"SAZ";#N/A,#N/A,FALSE,"CAZ";#N/A,#N/A,FALSE,"SNV";#N/A,#N/A,FALSE,"NNV";#N/A,#N/A,FALSE,"PP";#N/A,#N/A,FALSE,"SA"}</definedName>
    <definedName name="yyyyyyyy" localSheetId="4" hidden="1">{#N/A,#N/A,FALSE,"SCA";#N/A,#N/A,FALSE,"NCA";#N/A,#N/A,FALSE,"SAZ";#N/A,#N/A,FALSE,"CAZ";#N/A,#N/A,FALSE,"SNV";#N/A,#N/A,FALSE,"NNV";#N/A,#N/A,FALSE,"PP";#N/A,#N/A,FALSE,"SA"}</definedName>
    <definedName name="yyyyyyyy" localSheetId="5" hidden="1">{#N/A,#N/A,FALSE,"SCA";#N/A,#N/A,FALSE,"NCA";#N/A,#N/A,FALSE,"SAZ";#N/A,#N/A,FALSE,"CAZ";#N/A,#N/A,FALSE,"SNV";#N/A,#N/A,FALSE,"NNV";#N/A,#N/A,FALSE,"PP";#N/A,#N/A,FALSE,"SA"}</definedName>
    <definedName name="yyyyyyyy" localSheetId="7" hidden="1">{#N/A,#N/A,FALSE,"SCA";#N/A,#N/A,FALSE,"NCA";#N/A,#N/A,FALSE,"SAZ";#N/A,#N/A,FALSE,"CAZ";#N/A,#N/A,FALSE,"SNV";#N/A,#N/A,FALSE,"NNV";#N/A,#N/A,FALSE,"PP";#N/A,#N/A,FALSE,"SA"}</definedName>
    <definedName name="yyyyyyyy" localSheetId="3" hidden="1">{#N/A,#N/A,FALSE,"SCA";#N/A,#N/A,FALSE,"NCA";#N/A,#N/A,FALSE,"SAZ";#N/A,#N/A,FALSE,"CAZ";#N/A,#N/A,FALSE,"SNV";#N/A,#N/A,FALSE,"NNV";#N/A,#N/A,FALSE,"PP";#N/A,#N/A,FALSE,"SA"}</definedName>
    <definedName name="yyyyyyyy" localSheetId="29" hidden="1">{#N/A,#N/A,FALSE,"SCA";#N/A,#N/A,FALSE,"NCA";#N/A,#N/A,FALSE,"SAZ";#N/A,#N/A,FALSE,"CAZ";#N/A,#N/A,FALSE,"SNV";#N/A,#N/A,FALSE,"NNV";#N/A,#N/A,FALSE,"PP";#N/A,#N/A,FALSE,"SA"}</definedName>
    <definedName name="yyyyyyyy" localSheetId="47" hidden="1">{#N/A,#N/A,FALSE,"SCA";#N/A,#N/A,FALSE,"NCA";#N/A,#N/A,FALSE,"SAZ";#N/A,#N/A,FALSE,"CAZ";#N/A,#N/A,FALSE,"SNV";#N/A,#N/A,FALSE,"NNV";#N/A,#N/A,FALSE,"PP";#N/A,#N/A,FALSE,"SA"}</definedName>
    <definedName name="yyyyyyyy" hidden="1">{#N/A,#N/A,FALSE,"SCA";#N/A,#N/A,FALSE,"NCA";#N/A,#N/A,FALSE,"SAZ";#N/A,#N/A,FALSE,"CAZ";#N/A,#N/A,FALSE,"SNV";#N/A,#N/A,FALSE,"NNV";#N/A,#N/A,FALSE,"PP";#N/A,#N/A,FALSE,"SA"}</definedName>
    <definedName name="Z" localSheetId="1" hidden="1">#REF!</definedName>
    <definedName name="Z" localSheetId="5" hidden="1">#REF!</definedName>
    <definedName name="Z" localSheetId="3" hidden="1">#REF!</definedName>
    <definedName name="Z" localSheetId="29" hidden="1">#REF!</definedName>
    <definedName name="Z" hidden="1">#REF!</definedName>
    <definedName name="Z_055ABE5A_5E06_11D2_8EED_0008C7BCAF29_.wvu.PrintArea" localSheetId="3" hidden="1">#REF!</definedName>
    <definedName name="Z_055ABE5A_5E06_11D2_8EED_0008C7BCAF29_.wvu.PrintArea" hidden="1">#REF!</definedName>
    <definedName name="Z_055ABE5A_5E06_11D2_8EED_0008C7BCAF29_.wvu.PrintTitles" localSheetId="3" hidden="1">#REF!</definedName>
    <definedName name="Z_055ABE5A_5E06_11D2_8EED_0008C7BCAF29_.wvu.PrintTitles" hidden="1">#REF!</definedName>
    <definedName name="Z_055ABE69_5E06_11D2_8EED_0008C7BCAF29_.wvu.PrintArea" localSheetId="3" hidden="1">#REF!</definedName>
    <definedName name="Z_055ABE69_5E06_11D2_8EED_0008C7BCAF29_.wvu.PrintArea" hidden="1">#REF!</definedName>
    <definedName name="Z_055ABE69_5E06_11D2_8EED_0008C7BCAF29_.wvu.PrintTitles" localSheetId="3" hidden="1">#REF!</definedName>
    <definedName name="Z_055ABE69_5E06_11D2_8EED_0008C7BCAF29_.wvu.PrintTitles" hidden="1">#REF!</definedName>
    <definedName name="Z_055ABE76_5E06_11D2_8EED_0008C7BCAF29_.wvu.PrintArea" localSheetId="3" hidden="1">#REF!</definedName>
    <definedName name="Z_055ABE76_5E06_11D2_8EED_0008C7BCAF29_.wvu.PrintArea" hidden="1">#REF!</definedName>
    <definedName name="Z_055ABE76_5E06_11D2_8EED_0008C7BCAF29_.wvu.PrintTitles" localSheetId="6" hidden="1">#REF!,#REF!</definedName>
    <definedName name="Z_055ABE76_5E06_11D2_8EED_0008C7BCAF29_.wvu.PrintTitles" localSheetId="7" hidden="1">#REF!,#REF!</definedName>
    <definedName name="Z_055ABE76_5E06_11D2_8EED_0008C7BCAF29_.wvu.PrintTitles" localSheetId="3" hidden="1">#REF!,#REF!</definedName>
    <definedName name="Z_055ABE76_5E06_11D2_8EED_0008C7BCAF29_.wvu.PrintTitles" localSheetId="29" hidden="1">#REF!,#REF!</definedName>
    <definedName name="Z_055ABE76_5E06_11D2_8EED_0008C7BCAF29_.wvu.PrintTitles" hidden="1">#REF!,#REF!</definedName>
    <definedName name="Z_055ABE84_5E06_11D2_8EED_0008C7BCAF29_.wvu.PrintArea" localSheetId="6" hidden="1">#REF!</definedName>
    <definedName name="Z_055ABE84_5E06_11D2_8EED_0008C7BCAF29_.wvu.PrintArea" localSheetId="7" hidden="1">#REF!</definedName>
    <definedName name="Z_055ABE84_5E06_11D2_8EED_0008C7BCAF29_.wvu.PrintArea" localSheetId="3" hidden="1">#REF!</definedName>
    <definedName name="Z_055ABE84_5E06_11D2_8EED_0008C7BCAF29_.wvu.PrintArea" localSheetId="29" hidden="1">#REF!</definedName>
    <definedName name="Z_055ABE84_5E06_11D2_8EED_0008C7BCAF29_.wvu.PrintArea" hidden="1">#REF!</definedName>
    <definedName name="Z_055ABE84_5E06_11D2_8EED_0008C7BCAF29_.wvu.PrintTitles" localSheetId="6" hidden="1">#REF!</definedName>
    <definedName name="Z_055ABE84_5E06_11D2_8EED_0008C7BCAF29_.wvu.PrintTitles" localSheetId="7" hidden="1">#REF!</definedName>
    <definedName name="Z_055ABE84_5E06_11D2_8EED_0008C7BCAF29_.wvu.PrintTitles" localSheetId="3" hidden="1">#REF!</definedName>
    <definedName name="Z_055ABE84_5E06_11D2_8EED_0008C7BCAF29_.wvu.PrintTitles" localSheetId="29" hidden="1">#REF!</definedName>
    <definedName name="Z_055ABE84_5E06_11D2_8EED_0008C7BCAF29_.wvu.PrintTitles" hidden="1">#REF!</definedName>
    <definedName name="Z_055ABE93_5E06_11D2_8EED_0008C7BCAF29_.wvu.PrintArea" localSheetId="6" hidden="1">#REF!</definedName>
    <definedName name="Z_055ABE93_5E06_11D2_8EED_0008C7BCAF29_.wvu.PrintArea" localSheetId="7" hidden="1">#REF!</definedName>
    <definedName name="Z_055ABE93_5E06_11D2_8EED_0008C7BCAF29_.wvu.PrintArea" localSheetId="3" hidden="1">#REF!</definedName>
    <definedName name="Z_055ABE93_5E06_11D2_8EED_0008C7BCAF29_.wvu.PrintArea" localSheetId="29" hidden="1">#REF!</definedName>
    <definedName name="Z_055ABE93_5E06_11D2_8EED_0008C7BCAF29_.wvu.PrintArea" hidden="1">#REF!</definedName>
    <definedName name="Z_055ABE93_5E06_11D2_8EED_0008C7BCAF29_.wvu.PrintTitles" localSheetId="3" hidden="1">#REF!</definedName>
    <definedName name="Z_055ABE93_5E06_11D2_8EED_0008C7BCAF29_.wvu.PrintTitles" hidden="1">#REF!</definedName>
    <definedName name="Z_055ABEA0_5E06_11D2_8EED_0008C7BCAF29_.wvu.PrintArea" localSheetId="3" hidden="1">#REF!</definedName>
    <definedName name="Z_055ABEA0_5E06_11D2_8EED_0008C7BCAF29_.wvu.PrintArea" hidden="1">#REF!</definedName>
    <definedName name="Z_055ABEA0_5E06_11D2_8EED_0008C7BCAF29_.wvu.PrintTitles" localSheetId="6" hidden="1">#REF!,#REF!</definedName>
    <definedName name="Z_055ABEA0_5E06_11D2_8EED_0008C7BCAF29_.wvu.PrintTitles" localSheetId="7" hidden="1">#REF!,#REF!</definedName>
    <definedName name="Z_055ABEA0_5E06_11D2_8EED_0008C7BCAF29_.wvu.PrintTitles" localSheetId="3" hidden="1">#REF!,#REF!</definedName>
    <definedName name="Z_055ABEA0_5E06_11D2_8EED_0008C7BCAF29_.wvu.PrintTitles" localSheetId="29" hidden="1">#REF!,#REF!</definedName>
    <definedName name="Z_055ABEA0_5E06_11D2_8EED_0008C7BCAF29_.wvu.PrintTitles" hidden="1">#REF!,#REF!</definedName>
    <definedName name="Z_05DE23E1_1046_11D2_8E70_0008C77C0743_.wvu.PrintArea" localSheetId="6" hidden="1">#REF!</definedName>
    <definedName name="Z_05DE23E1_1046_11D2_8E70_0008C77C0743_.wvu.PrintArea" localSheetId="7" hidden="1">#REF!</definedName>
    <definedName name="Z_05DE23E1_1046_11D2_8E70_0008C77C0743_.wvu.PrintArea" localSheetId="3" hidden="1">#REF!</definedName>
    <definedName name="Z_05DE23E1_1046_11D2_8E70_0008C77C0743_.wvu.PrintArea" localSheetId="29" hidden="1">#REF!</definedName>
    <definedName name="Z_05DE23E1_1046_11D2_8E70_0008C77C0743_.wvu.PrintArea" hidden="1">#REF!</definedName>
    <definedName name="Z_05DE23E1_1046_11D2_8E70_0008C77C0743_.wvu.PrintTitles" localSheetId="6" hidden="1">#REF!,#REF!</definedName>
    <definedName name="Z_05DE23E1_1046_11D2_8E70_0008C77C0743_.wvu.PrintTitles" localSheetId="7" hidden="1">#REF!,#REF!</definedName>
    <definedName name="Z_05DE23E1_1046_11D2_8E70_0008C77C0743_.wvu.PrintTitles" localSheetId="3" hidden="1">#REF!,#REF!</definedName>
    <definedName name="Z_05DE23E1_1046_11D2_8E70_0008C77C0743_.wvu.PrintTitles" localSheetId="29" hidden="1">#REF!,#REF!</definedName>
    <definedName name="Z_05DE23E1_1046_11D2_8E70_0008C77C0743_.wvu.PrintTitles" hidden="1">#REF!,#REF!</definedName>
    <definedName name="Z_05DE23E4_1046_11D2_8E70_0008C77C0743_.wvu.PrintArea" localSheetId="6" hidden="1">#REF!</definedName>
    <definedName name="Z_05DE23E4_1046_11D2_8E70_0008C77C0743_.wvu.PrintArea" localSheetId="7" hidden="1">#REF!</definedName>
    <definedName name="Z_05DE23E4_1046_11D2_8E70_0008C77C0743_.wvu.PrintArea" localSheetId="3" hidden="1">#REF!</definedName>
    <definedName name="Z_05DE23E4_1046_11D2_8E70_0008C77C0743_.wvu.PrintArea" localSheetId="29" hidden="1">#REF!</definedName>
    <definedName name="Z_05DE23E4_1046_11D2_8E70_0008C77C0743_.wvu.PrintArea" hidden="1">#REF!</definedName>
    <definedName name="Z_05DE23E4_1046_11D2_8E70_0008C77C0743_.wvu.PrintTitles" localSheetId="6" hidden="1">#REF!</definedName>
    <definedName name="Z_05DE23E4_1046_11D2_8E70_0008C77C0743_.wvu.PrintTitles" localSheetId="7" hidden="1">#REF!</definedName>
    <definedName name="Z_05DE23E4_1046_11D2_8E70_0008C77C0743_.wvu.PrintTitles" localSheetId="3" hidden="1">#REF!</definedName>
    <definedName name="Z_05DE23E4_1046_11D2_8E70_0008C77C0743_.wvu.PrintTitles" localSheetId="29" hidden="1">#REF!</definedName>
    <definedName name="Z_05DE23E4_1046_11D2_8E70_0008C77C0743_.wvu.PrintTitles" hidden="1">#REF!</definedName>
    <definedName name="Z_05DE23E9_1046_11D2_8E70_0008C77C0743_.wvu.PrintArea" localSheetId="6" hidden="1">#REF!</definedName>
    <definedName name="Z_05DE23E9_1046_11D2_8E70_0008C77C0743_.wvu.PrintArea" localSheetId="7" hidden="1">#REF!</definedName>
    <definedName name="Z_05DE23E9_1046_11D2_8E70_0008C77C0743_.wvu.PrintArea" localSheetId="3" hidden="1">#REF!</definedName>
    <definedName name="Z_05DE23E9_1046_11D2_8E70_0008C77C0743_.wvu.PrintArea" localSheetId="29" hidden="1">#REF!</definedName>
    <definedName name="Z_05DE23E9_1046_11D2_8E70_0008C77C0743_.wvu.PrintArea" hidden="1">#REF!</definedName>
    <definedName name="Z_05DE23E9_1046_11D2_8E70_0008C77C0743_.wvu.PrintTitles" localSheetId="6" hidden="1">#REF!,#REF!</definedName>
    <definedName name="Z_05DE23E9_1046_11D2_8E70_0008C77C0743_.wvu.PrintTitles" localSheetId="7" hidden="1">#REF!,#REF!</definedName>
    <definedName name="Z_05DE23E9_1046_11D2_8E70_0008C77C0743_.wvu.PrintTitles" localSheetId="3" hidden="1">#REF!,#REF!</definedName>
    <definedName name="Z_05DE23E9_1046_11D2_8E70_0008C77C0743_.wvu.PrintTitles" localSheetId="29" hidden="1">#REF!,#REF!</definedName>
    <definedName name="Z_05DE23E9_1046_11D2_8E70_0008C77C0743_.wvu.PrintTitles" hidden="1">#REF!,#REF!</definedName>
    <definedName name="Z_05DE23EB_1046_11D2_8E70_0008C77C0743_.wvu.PrintArea" localSheetId="6" hidden="1">#REF!</definedName>
    <definedName name="Z_05DE23EB_1046_11D2_8E70_0008C77C0743_.wvu.PrintArea" localSheetId="7" hidden="1">#REF!</definedName>
    <definedName name="Z_05DE23EB_1046_11D2_8E70_0008C77C0743_.wvu.PrintArea" localSheetId="3" hidden="1">#REF!</definedName>
    <definedName name="Z_05DE23EB_1046_11D2_8E70_0008C77C0743_.wvu.PrintArea" localSheetId="29" hidden="1">#REF!</definedName>
    <definedName name="Z_05DE23EB_1046_11D2_8E70_0008C77C0743_.wvu.PrintArea" hidden="1">#REF!</definedName>
    <definedName name="Z_05DE23EB_1046_11D2_8E70_0008C77C0743_.wvu.PrintTitles" localSheetId="6" hidden="1">#REF!,#REF!</definedName>
    <definedName name="Z_05DE23EB_1046_11D2_8E70_0008C77C0743_.wvu.PrintTitles" localSheetId="7" hidden="1">#REF!,#REF!</definedName>
    <definedName name="Z_05DE23EB_1046_11D2_8E70_0008C77C0743_.wvu.PrintTitles" localSheetId="3" hidden="1">#REF!,#REF!</definedName>
    <definedName name="Z_05DE23EB_1046_11D2_8E70_0008C77C0743_.wvu.PrintTitles" localSheetId="29" hidden="1">#REF!,#REF!</definedName>
    <definedName name="Z_05DE23EB_1046_11D2_8E70_0008C77C0743_.wvu.PrintTitles" hidden="1">#REF!,#REF!</definedName>
    <definedName name="Z_05DE23EE_1046_11D2_8E70_0008C77C0743_.wvu.PrintArea" localSheetId="6" hidden="1">#REF!</definedName>
    <definedName name="Z_05DE23EE_1046_11D2_8E70_0008C77C0743_.wvu.PrintArea" localSheetId="7" hidden="1">#REF!</definedName>
    <definedName name="Z_05DE23EE_1046_11D2_8E70_0008C77C0743_.wvu.PrintArea" localSheetId="3" hidden="1">#REF!</definedName>
    <definedName name="Z_05DE23EE_1046_11D2_8E70_0008C77C0743_.wvu.PrintArea" localSheetId="29" hidden="1">#REF!</definedName>
    <definedName name="Z_05DE23EE_1046_11D2_8E70_0008C77C0743_.wvu.PrintArea" hidden="1">#REF!</definedName>
    <definedName name="Z_05DE23EE_1046_11D2_8E70_0008C77C0743_.wvu.PrintTitles" localSheetId="6" hidden="1">#REF!</definedName>
    <definedName name="Z_05DE23EE_1046_11D2_8E70_0008C77C0743_.wvu.PrintTitles" localSheetId="7" hidden="1">#REF!</definedName>
    <definedName name="Z_05DE23EE_1046_11D2_8E70_0008C77C0743_.wvu.PrintTitles" localSheetId="3" hidden="1">#REF!</definedName>
    <definedName name="Z_05DE23EE_1046_11D2_8E70_0008C77C0743_.wvu.PrintTitles" localSheetId="29" hidden="1">#REF!</definedName>
    <definedName name="Z_05DE23EE_1046_11D2_8E70_0008C77C0743_.wvu.PrintTitles" hidden="1">#REF!</definedName>
    <definedName name="Z_05DE23F3_1046_11D2_8E70_0008C77C0743_.wvu.PrintArea" localSheetId="6" hidden="1">#REF!</definedName>
    <definedName name="Z_05DE23F3_1046_11D2_8E70_0008C77C0743_.wvu.PrintArea" localSheetId="7" hidden="1">#REF!</definedName>
    <definedName name="Z_05DE23F3_1046_11D2_8E70_0008C77C0743_.wvu.PrintArea" localSheetId="3" hidden="1">#REF!</definedName>
    <definedName name="Z_05DE23F3_1046_11D2_8E70_0008C77C0743_.wvu.PrintArea" localSheetId="29" hidden="1">#REF!</definedName>
    <definedName name="Z_05DE23F3_1046_11D2_8E70_0008C77C0743_.wvu.PrintArea" hidden="1">#REF!</definedName>
    <definedName name="Z_05DE23F3_1046_11D2_8E70_0008C77C0743_.wvu.PrintTitles" localSheetId="6" hidden="1">#REF!,#REF!</definedName>
    <definedName name="Z_05DE23F3_1046_11D2_8E70_0008C77C0743_.wvu.PrintTitles" localSheetId="7" hidden="1">#REF!,#REF!</definedName>
    <definedName name="Z_05DE23F3_1046_11D2_8E70_0008C77C0743_.wvu.PrintTitles" localSheetId="3" hidden="1">#REF!,#REF!</definedName>
    <definedName name="Z_05DE23F3_1046_11D2_8E70_0008C77C0743_.wvu.PrintTitles" localSheetId="29" hidden="1">#REF!,#REF!</definedName>
    <definedName name="Z_05DE23F3_1046_11D2_8E70_0008C77C0743_.wvu.PrintTitles" hidden="1">#REF!,#REF!</definedName>
    <definedName name="Z_05DE23F6_1046_11D2_8E70_0008C77C0743_.wvu.PrintArea" localSheetId="6" hidden="1">#REF!</definedName>
    <definedName name="Z_05DE23F6_1046_11D2_8E70_0008C77C0743_.wvu.PrintArea" localSheetId="7" hidden="1">#REF!</definedName>
    <definedName name="Z_05DE23F6_1046_11D2_8E70_0008C77C0743_.wvu.PrintArea" localSheetId="3" hidden="1">#REF!</definedName>
    <definedName name="Z_05DE23F6_1046_11D2_8E70_0008C77C0743_.wvu.PrintArea" localSheetId="29" hidden="1">#REF!</definedName>
    <definedName name="Z_05DE23F6_1046_11D2_8E70_0008C77C0743_.wvu.PrintArea" hidden="1">#REF!</definedName>
    <definedName name="Z_05DE23F6_1046_11D2_8E70_0008C77C0743_.wvu.PrintTitles" localSheetId="6" hidden="1">#REF!,#REF!</definedName>
    <definedName name="Z_05DE23F6_1046_11D2_8E70_0008C77C0743_.wvu.PrintTitles" localSheetId="7" hidden="1">#REF!,#REF!</definedName>
    <definedName name="Z_05DE23F6_1046_11D2_8E70_0008C77C0743_.wvu.PrintTitles" localSheetId="3" hidden="1">#REF!,#REF!</definedName>
    <definedName name="Z_05DE23F6_1046_11D2_8E70_0008C77C0743_.wvu.PrintTitles" localSheetId="29" hidden="1">#REF!,#REF!</definedName>
    <definedName name="Z_05DE23F6_1046_11D2_8E70_0008C77C0743_.wvu.PrintTitles" hidden="1">#REF!,#REF!</definedName>
    <definedName name="Z_0CE6A482_5DEF_11D2_8EC3_0008C77C0743_.wvu.PrintArea" localSheetId="6" hidden="1">#REF!</definedName>
    <definedName name="Z_0CE6A482_5DEF_11D2_8EC3_0008C77C0743_.wvu.PrintArea" localSheetId="7" hidden="1">#REF!</definedName>
    <definedName name="Z_0CE6A482_5DEF_11D2_8EC3_0008C77C0743_.wvu.PrintArea" localSheetId="3" hidden="1">#REF!</definedName>
    <definedName name="Z_0CE6A482_5DEF_11D2_8EC3_0008C77C0743_.wvu.PrintArea" localSheetId="29" hidden="1">#REF!</definedName>
    <definedName name="Z_0CE6A482_5DEF_11D2_8EC3_0008C77C0743_.wvu.PrintArea" hidden="1">#REF!</definedName>
    <definedName name="Z_0CE6A482_5DEF_11D2_8EC3_0008C77C0743_.wvu.PrintTitles" localSheetId="6" hidden="1">#REF!</definedName>
    <definedName name="Z_0CE6A482_5DEF_11D2_8EC3_0008C77C0743_.wvu.PrintTitles" localSheetId="7" hidden="1">#REF!</definedName>
    <definedName name="Z_0CE6A482_5DEF_11D2_8EC3_0008C77C0743_.wvu.PrintTitles" localSheetId="3" hidden="1">#REF!</definedName>
    <definedName name="Z_0CE6A482_5DEF_11D2_8EC3_0008C77C0743_.wvu.PrintTitles" localSheetId="29" hidden="1">#REF!</definedName>
    <definedName name="Z_0CE6A482_5DEF_11D2_8EC3_0008C77C0743_.wvu.PrintTitles" hidden="1">#REF!</definedName>
    <definedName name="Z_0CE6A491_5DEF_11D2_8EC3_0008C77C0743_.wvu.PrintArea" localSheetId="6" hidden="1">#REF!</definedName>
    <definedName name="Z_0CE6A491_5DEF_11D2_8EC3_0008C77C0743_.wvu.PrintArea" localSheetId="7" hidden="1">#REF!</definedName>
    <definedName name="Z_0CE6A491_5DEF_11D2_8EC3_0008C77C0743_.wvu.PrintArea" localSheetId="3" hidden="1">#REF!</definedName>
    <definedName name="Z_0CE6A491_5DEF_11D2_8EC3_0008C77C0743_.wvu.PrintArea" localSheetId="29" hidden="1">#REF!</definedName>
    <definedName name="Z_0CE6A491_5DEF_11D2_8EC3_0008C77C0743_.wvu.PrintArea" hidden="1">#REF!</definedName>
    <definedName name="Z_0CE6A491_5DEF_11D2_8EC3_0008C77C0743_.wvu.PrintTitles" localSheetId="3" hidden="1">#REF!</definedName>
    <definedName name="Z_0CE6A491_5DEF_11D2_8EC3_0008C77C0743_.wvu.PrintTitles" hidden="1">#REF!</definedName>
    <definedName name="Z_0CE6A49E_5DEF_11D2_8EC3_0008C77C0743_.wvu.PrintArea" localSheetId="3" hidden="1">#REF!</definedName>
    <definedName name="Z_0CE6A49E_5DEF_11D2_8EC3_0008C77C0743_.wvu.PrintArea" hidden="1">#REF!</definedName>
    <definedName name="Z_0CE6A49E_5DEF_11D2_8EC3_0008C77C0743_.wvu.PrintTitles" localSheetId="6" hidden="1">#REF!,#REF!</definedName>
    <definedName name="Z_0CE6A49E_5DEF_11D2_8EC3_0008C77C0743_.wvu.PrintTitles" localSheetId="7" hidden="1">#REF!,#REF!</definedName>
    <definedName name="Z_0CE6A49E_5DEF_11D2_8EC3_0008C77C0743_.wvu.PrintTitles" localSheetId="3" hidden="1">#REF!,#REF!</definedName>
    <definedName name="Z_0CE6A49E_5DEF_11D2_8EC3_0008C77C0743_.wvu.PrintTitles" localSheetId="29" hidden="1">#REF!,#REF!</definedName>
    <definedName name="Z_0CE6A49E_5DEF_11D2_8EC3_0008C77C0743_.wvu.PrintTitles" hidden="1">#REF!,#REF!</definedName>
    <definedName name="Z_0CE6A4AB_5DEF_11D2_8EC3_0008C77C0743_.wvu.PrintArea" localSheetId="6" hidden="1">#REF!</definedName>
    <definedName name="Z_0CE6A4AB_5DEF_11D2_8EC3_0008C77C0743_.wvu.PrintArea" localSheetId="7" hidden="1">#REF!</definedName>
    <definedName name="Z_0CE6A4AB_5DEF_11D2_8EC3_0008C77C0743_.wvu.PrintArea" localSheetId="3" hidden="1">#REF!</definedName>
    <definedName name="Z_0CE6A4AB_5DEF_11D2_8EC3_0008C77C0743_.wvu.PrintArea" localSheetId="29" hidden="1">#REF!</definedName>
    <definedName name="Z_0CE6A4AB_5DEF_11D2_8EC3_0008C77C0743_.wvu.PrintArea" hidden="1">#REF!</definedName>
    <definedName name="Z_0CE6A4AB_5DEF_11D2_8EC3_0008C77C0743_.wvu.PrintTitles" localSheetId="6" hidden="1">#REF!</definedName>
    <definedName name="Z_0CE6A4AB_5DEF_11D2_8EC3_0008C77C0743_.wvu.PrintTitles" localSheetId="7" hidden="1">#REF!</definedName>
    <definedName name="Z_0CE6A4AB_5DEF_11D2_8EC3_0008C77C0743_.wvu.PrintTitles" localSheetId="3" hidden="1">#REF!</definedName>
    <definedName name="Z_0CE6A4AB_5DEF_11D2_8EC3_0008C77C0743_.wvu.PrintTitles" localSheetId="29" hidden="1">#REF!</definedName>
    <definedName name="Z_0CE6A4AB_5DEF_11D2_8EC3_0008C77C0743_.wvu.PrintTitles" hidden="1">#REF!</definedName>
    <definedName name="Z_0CE6A4BA_5DEF_11D2_8EC3_0008C77C0743_.wvu.PrintArea" localSheetId="6" hidden="1">#REF!</definedName>
    <definedName name="Z_0CE6A4BA_5DEF_11D2_8EC3_0008C77C0743_.wvu.PrintArea" localSheetId="7" hidden="1">#REF!</definedName>
    <definedName name="Z_0CE6A4BA_5DEF_11D2_8EC3_0008C77C0743_.wvu.PrintArea" localSheetId="3" hidden="1">#REF!</definedName>
    <definedName name="Z_0CE6A4BA_5DEF_11D2_8EC3_0008C77C0743_.wvu.PrintArea" localSheetId="29" hidden="1">#REF!</definedName>
    <definedName name="Z_0CE6A4BA_5DEF_11D2_8EC3_0008C77C0743_.wvu.PrintArea" hidden="1">#REF!</definedName>
    <definedName name="Z_0CE6A4BA_5DEF_11D2_8EC3_0008C77C0743_.wvu.PrintTitles" localSheetId="3" hidden="1">#REF!</definedName>
    <definedName name="Z_0CE6A4BA_5DEF_11D2_8EC3_0008C77C0743_.wvu.PrintTitles" hidden="1">#REF!</definedName>
    <definedName name="Z_0CE6A4C7_5DEF_11D2_8EC3_0008C77C0743_.wvu.PrintArea" localSheetId="3" hidden="1">#REF!</definedName>
    <definedName name="Z_0CE6A4C7_5DEF_11D2_8EC3_0008C77C0743_.wvu.PrintArea" hidden="1">#REF!</definedName>
    <definedName name="Z_0CE6A4C7_5DEF_11D2_8EC3_0008C77C0743_.wvu.PrintTitles" localSheetId="6" hidden="1">#REF!,#REF!</definedName>
    <definedName name="Z_0CE6A4C7_5DEF_11D2_8EC3_0008C77C0743_.wvu.PrintTitles" localSheetId="7" hidden="1">#REF!,#REF!</definedName>
    <definedName name="Z_0CE6A4C7_5DEF_11D2_8EC3_0008C77C0743_.wvu.PrintTitles" localSheetId="3" hidden="1">#REF!,#REF!</definedName>
    <definedName name="Z_0CE6A4C7_5DEF_11D2_8EC3_0008C77C0743_.wvu.PrintTitles" localSheetId="29" hidden="1">#REF!,#REF!</definedName>
    <definedName name="Z_0CE6A4C7_5DEF_11D2_8EC3_0008C77C0743_.wvu.PrintTitles" hidden="1">#REF!,#REF!</definedName>
    <definedName name="Z_0CE6A4D4_5DEF_11D2_8EC3_0008C77C0743_.wvu.PrintArea" localSheetId="6" hidden="1">#REF!</definedName>
    <definedName name="Z_0CE6A4D4_5DEF_11D2_8EC3_0008C77C0743_.wvu.PrintArea" localSheetId="7" hidden="1">#REF!</definedName>
    <definedName name="Z_0CE6A4D4_5DEF_11D2_8EC3_0008C77C0743_.wvu.PrintArea" localSheetId="3" hidden="1">#REF!</definedName>
    <definedName name="Z_0CE6A4D4_5DEF_11D2_8EC3_0008C77C0743_.wvu.PrintArea" localSheetId="29" hidden="1">#REF!</definedName>
    <definedName name="Z_0CE6A4D4_5DEF_11D2_8EC3_0008C77C0743_.wvu.PrintArea" hidden="1">#REF!</definedName>
    <definedName name="Z_0CE6A4D4_5DEF_11D2_8EC3_0008C77C0743_.wvu.PrintTitles" localSheetId="6" hidden="1">#REF!</definedName>
    <definedName name="Z_0CE6A4D4_5DEF_11D2_8EC3_0008C77C0743_.wvu.PrintTitles" localSheetId="7" hidden="1">#REF!</definedName>
    <definedName name="Z_0CE6A4D4_5DEF_11D2_8EC3_0008C77C0743_.wvu.PrintTitles" localSheetId="3" hidden="1">#REF!</definedName>
    <definedName name="Z_0CE6A4D4_5DEF_11D2_8EC3_0008C77C0743_.wvu.PrintTitles" localSheetId="29" hidden="1">#REF!</definedName>
    <definedName name="Z_0CE6A4D4_5DEF_11D2_8EC3_0008C77C0743_.wvu.PrintTitles" hidden="1">#REF!</definedName>
    <definedName name="Z_0CE6A4E3_5DEF_11D2_8EC3_0008C77C0743_.wvu.PrintArea" localSheetId="6" hidden="1">#REF!</definedName>
    <definedName name="Z_0CE6A4E3_5DEF_11D2_8EC3_0008C77C0743_.wvu.PrintArea" localSheetId="7" hidden="1">#REF!</definedName>
    <definedName name="Z_0CE6A4E3_5DEF_11D2_8EC3_0008C77C0743_.wvu.PrintArea" localSheetId="3" hidden="1">#REF!</definedName>
    <definedName name="Z_0CE6A4E3_5DEF_11D2_8EC3_0008C77C0743_.wvu.PrintArea" localSheetId="29" hidden="1">#REF!</definedName>
    <definedName name="Z_0CE6A4E3_5DEF_11D2_8EC3_0008C77C0743_.wvu.PrintArea" hidden="1">#REF!</definedName>
    <definedName name="Z_0CE6A4E3_5DEF_11D2_8EC3_0008C77C0743_.wvu.PrintTitles" localSheetId="3" hidden="1">#REF!</definedName>
    <definedName name="Z_0CE6A4E3_5DEF_11D2_8EC3_0008C77C0743_.wvu.PrintTitles" hidden="1">#REF!</definedName>
    <definedName name="Z_0CE6A4F0_5DEF_11D2_8EC3_0008C77C0743_.wvu.PrintArea" localSheetId="3" hidden="1">#REF!</definedName>
    <definedName name="Z_0CE6A4F0_5DEF_11D2_8EC3_0008C77C0743_.wvu.PrintArea" hidden="1">#REF!</definedName>
    <definedName name="Z_0CE6A4F0_5DEF_11D2_8EC3_0008C77C0743_.wvu.PrintTitles" localSheetId="6" hidden="1">#REF!,#REF!</definedName>
    <definedName name="Z_0CE6A4F0_5DEF_11D2_8EC3_0008C77C0743_.wvu.PrintTitles" localSheetId="7" hidden="1">#REF!,#REF!</definedName>
    <definedName name="Z_0CE6A4F0_5DEF_11D2_8EC3_0008C77C0743_.wvu.PrintTitles" localSheetId="3" hidden="1">#REF!,#REF!</definedName>
    <definedName name="Z_0CE6A4F0_5DEF_11D2_8EC3_0008C77C0743_.wvu.PrintTitles" localSheetId="29" hidden="1">#REF!,#REF!</definedName>
    <definedName name="Z_0CE6A4F0_5DEF_11D2_8EC3_0008C77C0743_.wvu.PrintTitles" hidden="1">#REF!,#REF!</definedName>
    <definedName name="Z_0CE6A4FD_5DEF_11D2_8EC3_0008C77C0743_.wvu.PrintArea" localSheetId="6" hidden="1">#REF!</definedName>
    <definedName name="Z_0CE6A4FD_5DEF_11D2_8EC3_0008C77C0743_.wvu.PrintArea" localSheetId="7" hidden="1">#REF!</definedName>
    <definedName name="Z_0CE6A4FD_5DEF_11D2_8EC3_0008C77C0743_.wvu.PrintArea" localSheetId="3" hidden="1">#REF!</definedName>
    <definedName name="Z_0CE6A4FD_5DEF_11D2_8EC3_0008C77C0743_.wvu.PrintArea" localSheetId="29" hidden="1">#REF!</definedName>
    <definedName name="Z_0CE6A4FD_5DEF_11D2_8EC3_0008C77C0743_.wvu.PrintArea" hidden="1">#REF!</definedName>
    <definedName name="Z_0CE6A4FD_5DEF_11D2_8EC3_0008C77C0743_.wvu.PrintTitles" localSheetId="6" hidden="1">#REF!</definedName>
    <definedName name="Z_0CE6A4FD_5DEF_11D2_8EC3_0008C77C0743_.wvu.PrintTitles" localSheetId="7" hidden="1">#REF!</definedName>
    <definedName name="Z_0CE6A4FD_5DEF_11D2_8EC3_0008C77C0743_.wvu.PrintTitles" localSheetId="3" hidden="1">#REF!</definedName>
    <definedName name="Z_0CE6A4FD_5DEF_11D2_8EC3_0008C77C0743_.wvu.PrintTitles" localSheetId="29" hidden="1">#REF!</definedName>
    <definedName name="Z_0CE6A4FD_5DEF_11D2_8EC3_0008C77C0743_.wvu.PrintTitles" hidden="1">#REF!</definedName>
    <definedName name="Z_0CE6A50C_5DEF_11D2_8EC3_0008C77C0743_.wvu.PrintArea" localSheetId="6" hidden="1">#REF!</definedName>
    <definedName name="Z_0CE6A50C_5DEF_11D2_8EC3_0008C77C0743_.wvu.PrintArea" localSheetId="7" hidden="1">#REF!</definedName>
    <definedName name="Z_0CE6A50C_5DEF_11D2_8EC3_0008C77C0743_.wvu.PrintArea" localSheetId="3" hidden="1">#REF!</definedName>
    <definedName name="Z_0CE6A50C_5DEF_11D2_8EC3_0008C77C0743_.wvu.PrintArea" localSheetId="29" hidden="1">#REF!</definedName>
    <definedName name="Z_0CE6A50C_5DEF_11D2_8EC3_0008C77C0743_.wvu.PrintArea" hidden="1">#REF!</definedName>
    <definedName name="Z_0CE6A50C_5DEF_11D2_8EC3_0008C77C0743_.wvu.PrintTitles" localSheetId="3" hidden="1">#REF!</definedName>
    <definedName name="Z_0CE6A50C_5DEF_11D2_8EC3_0008C77C0743_.wvu.PrintTitles" hidden="1">#REF!</definedName>
    <definedName name="Z_0CE6A519_5DEF_11D2_8EC3_0008C77C0743_.wvu.PrintArea" localSheetId="3" hidden="1">#REF!</definedName>
    <definedName name="Z_0CE6A519_5DEF_11D2_8EC3_0008C77C0743_.wvu.PrintArea" hidden="1">#REF!</definedName>
    <definedName name="Z_0CE6A519_5DEF_11D2_8EC3_0008C77C0743_.wvu.PrintTitles" localSheetId="6" hidden="1">#REF!,#REF!</definedName>
    <definedName name="Z_0CE6A519_5DEF_11D2_8EC3_0008C77C0743_.wvu.PrintTitles" localSheetId="7" hidden="1">#REF!,#REF!</definedName>
    <definedName name="Z_0CE6A519_5DEF_11D2_8EC3_0008C77C0743_.wvu.PrintTitles" localSheetId="3" hidden="1">#REF!,#REF!</definedName>
    <definedName name="Z_0CE6A519_5DEF_11D2_8EC3_0008C77C0743_.wvu.PrintTitles" localSheetId="29" hidden="1">#REF!,#REF!</definedName>
    <definedName name="Z_0CE6A519_5DEF_11D2_8EC3_0008C77C0743_.wvu.PrintTitles" hidden="1">#REF!,#REF!</definedName>
    <definedName name="Z_0E8DEF60_5D61_11D2_8EEB_0008C7BCAF29_.wvu.PrintArea" localSheetId="6" hidden="1">#REF!</definedName>
    <definedName name="Z_0E8DEF60_5D61_11D2_8EEB_0008C7BCAF29_.wvu.PrintArea" localSheetId="7" hidden="1">#REF!</definedName>
    <definedName name="Z_0E8DEF60_5D61_11D2_8EEB_0008C7BCAF29_.wvu.PrintArea" localSheetId="3" hidden="1">#REF!</definedName>
    <definedName name="Z_0E8DEF60_5D61_11D2_8EEB_0008C7BCAF29_.wvu.PrintArea" localSheetId="29" hidden="1">#REF!</definedName>
    <definedName name="Z_0E8DEF60_5D61_11D2_8EEB_0008C7BCAF29_.wvu.PrintArea" hidden="1">#REF!</definedName>
    <definedName name="Z_0E8DEF60_5D61_11D2_8EEB_0008C7BCAF29_.wvu.PrintTitles" localSheetId="6" hidden="1">#REF!,#REF!</definedName>
    <definedName name="Z_0E8DEF60_5D61_11D2_8EEB_0008C7BCAF29_.wvu.PrintTitles" localSheetId="7" hidden="1">#REF!,#REF!</definedName>
    <definedName name="Z_0E8DEF60_5D61_11D2_8EEB_0008C7BCAF29_.wvu.PrintTitles" localSheetId="3" hidden="1">#REF!,#REF!</definedName>
    <definedName name="Z_0E8DEF60_5D61_11D2_8EEB_0008C7BCAF29_.wvu.PrintTitles" localSheetId="29" hidden="1">#REF!,#REF!</definedName>
    <definedName name="Z_0E8DEF60_5D61_11D2_8EEB_0008C7BCAF29_.wvu.PrintTitles" hidden="1">#REF!,#REF!</definedName>
    <definedName name="Z_0E8DEF63_5D61_11D2_8EEB_0008C7BCAF29_.wvu.PrintArea" localSheetId="6" hidden="1">#REF!</definedName>
    <definedName name="Z_0E8DEF63_5D61_11D2_8EEB_0008C7BCAF29_.wvu.PrintArea" localSheetId="7" hidden="1">#REF!</definedName>
    <definedName name="Z_0E8DEF63_5D61_11D2_8EEB_0008C7BCAF29_.wvu.PrintArea" localSheetId="3" hidden="1">#REF!</definedName>
    <definedName name="Z_0E8DEF63_5D61_11D2_8EEB_0008C7BCAF29_.wvu.PrintArea" localSheetId="29" hidden="1">#REF!</definedName>
    <definedName name="Z_0E8DEF63_5D61_11D2_8EEB_0008C7BCAF29_.wvu.PrintArea" hidden="1">#REF!</definedName>
    <definedName name="Z_0E8DEF63_5D61_11D2_8EEB_0008C7BCAF29_.wvu.PrintTitles" localSheetId="6" hidden="1">#REF!</definedName>
    <definedName name="Z_0E8DEF63_5D61_11D2_8EEB_0008C7BCAF29_.wvu.PrintTitles" localSheetId="7" hidden="1">#REF!</definedName>
    <definedName name="Z_0E8DEF63_5D61_11D2_8EEB_0008C7BCAF29_.wvu.PrintTitles" localSheetId="3" hidden="1">#REF!</definedName>
    <definedName name="Z_0E8DEF63_5D61_11D2_8EEB_0008C7BCAF29_.wvu.PrintTitles" localSheetId="29" hidden="1">#REF!</definedName>
    <definedName name="Z_0E8DEF63_5D61_11D2_8EEB_0008C7BCAF29_.wvu.PrintTitles" hidden="1">#REF!</definedName>
    <definedName name="Z_0E8DEF68_5D61_11D2_8EEB_0008C7BCAF29_.wvu.PrintArea" localSheetId="6" hidden="1">#REF!</definedName>
    <definedName name="Z_0E8DEF68_5D61_11D2_8EEB_0008C7BCAF29_.wvu.PrintArea" localSheetId="7" hidden="1">#REF!</definedName>
    <definedName name="Z_0E8DEF68_5D61_11D2_8EEB_0008C7BCAF29_.wvu.PrintArea" localSheetId="3" hidden="1">#REF!</definedName>
    <definedName name="Z_0E8DEF68_5D61_11D2_8EEB_0008C7BCAF29_.wvu.PrintArea" localSheetId="29" hidden="1">#REF!</definedName>
    <definedName name="Z_0E8DEF68_5D61_11D2_8EEB_0008C7BCAF29_.wvu.PrintArea" hidden="1">#REF!</definedName>
    <definedName name="Z_0E8DEF68_5D61_11D2_8EEB_0008C7BCAF29_.wvu.PrintTitles" localSheetId="6" hidden="1">#REF!,#REF!</definedName>
    <definedName name="Z_0E8DEF68_5D61_11D2_8EEB_0008C7BCAF29_.wvu.PrintTitles" localSheetId="7" hidden="1">#REF!,#REF!</definedName>
    <definedName name="Z_0E8DEF68_5D61_11D2_8EEB_0008C7BCAF29_.wvu.PrintTitles" localSheetId="3" hidden="1">#REF!,#REF!</definedName>
    <definedName name="Z_0E8DEF68_5D61_11D2_8EEB_0008C7BCAF29_.wvu.PrintTitles" localSheetId="29" hidden="1">#REF!,#REF!</definedName>
    <definedName name="Z_0E8DEF68_5D61_11D2_8EEB_0008C7BCAF29_.wvu.PrintTitles" hidden="1">#REF!,#REF!</definedName>
    <definedName name="Z_0E8DEF6A_5D61_11D2_8EEB_0008C7BCAF29_.wvu.PrintArea" localSheetId="6" hidden="1">#REF!</definedName>
    <definedName name="Z_0E8DEF6A_5D61_11D2_8EEB_0008C7BCAF29_.wvu.PrintArea" localSheetId="7" hidden="1">#REF!</definedName>
    <definedName name="Z_0E8DEF6A_5D61_11D2_8EEB_0008C7BCAF29_.wvu.PrintArea" localSheetId="3" hidden="1">#REF!</definedName>
    <definedName name="Z_0E8DEF6A_5D61_11D2_8EEB_0008C7BCAF29_.wvu.PrintArea" localSheetId="29" hidden="1">#REF!</definedName>
    <definedName name="Z_0E8DEF6A_5D61_11D2_8EEB_0008C7BCAF29_.wvu.PrintArea" hidden="1">#REF!</definedName>
    <definedName name="Z_0E8DEF6A_5D61_11D2_8EEB_0008C7BCAF29_.wvu.PrintTitles" localSheetId="6" hidden="1">#REF!,#REF!</definedName>
    <definedName name="Z_0E8DEF6A_5D61_11D2_8EEB_0008C7BCAF29_.wvu.PrintTitles" localSheetId="7" hidden="1">#REF!,#REF!</definedName>
    <definedName name="Z_0E8DEF6A_5D61_11D2_8EEB_0008C7BCAF29_.wvu.PrintTitles" localSheetId="3" hidden="1">#REF!,#REF!</definedName>
    <definedName name="Z_0E8DEF6A_5D61_11D2_8EEB_0008C7BCAF29_.wvu.PrintTitles" localSheetId="29" hidden="1">#REF!,#REF!</definedName>
    <definedName name="Z_0E8DEF6A_5D61_11D2_8EEB_0008C7BCAF29_.wvu.PrintTitles" hidden="1">#REF!,#REF!</definedName>
    <definedName name="Z_0E8DEF6D_5D61_11D2_8EEB_0008C7BCAF29_.wvu.PrintArea" localSheetId="6" hidden="1">#REF!</definedName>
    <definedName name="Z_0E8DEF6D_5D61_11D2_8EEB_0008C7BCAF29_.wvu.PrintArea" localSheetId="7" hidden="1">#REF!</definedName>
    <definedName name="Z_0E8DEF6D_5D61_11D2_8EEB_0008C7BCAF29_.wvu.PrintArea" localSheetId="3" hidden="1">#REF!</definedName>
    <definedName name="Z_0E8DEF6D_5D61_11D2_8EEB_0008C7BCAF29_.wvu.PrintArea" localSheetId="29" hidden="1">#REF!</definedName>
    <definedName name="Z_0E8DEF6D_5D61_11D2_8EEB_0008C7BCAF29_.wvu.PrintArea" hidden="1">#REF!</definedName>
    <definedName name="Z_0E8DEF6D_5D61_11D2_8EEB_0008C7BCAF29_.wvu.PrintTitles" localSheetId="6" hidden="1">#REF!</definedName>
    <definedName name="Z_0E8DEF6D_5D61_11D2_8EEB_0008C7BCAF29_.wvu.PrintTitles" localSheetId="7" hidden="1">#REF!</definedName>
    <definedName name="Z_0E8DEF6D_5D61_11D2_8EEB_0008C7BCAF29_.wvu.PrintTitles" localSheetId="3" hidden="1">#REF!</definedName>
    <definedName name="Z_0E8DEF6D_5D61_11D2_8EEB_0008C7BCAF29_.wvu.PrintTitles" localSheetId="29" hidden="1">#REF!</definedName>
    <definedName name="Z_0E8DEF6D_5D61_11D2_8EEB_0008C7BCAF29_.wvu.PrintTitles" hidden="1">#REF!</definedName>
    <definedName name="Z_0E8DEF72_5D61_11D2_8EEB_0008C7BCAF29_.wvu.PrintArea" localSheetId="6" hidden="1">#REF!</definedName>
    <definedName name="Z_0E8DEF72_5D61_11D2_8EEB_0008C7BCAF29_.wvu.PrintArea" localSheetId="7" hidden="1">#REF!</definedName>
    <definedName name="Z_0E8DEF72_5D61_11D2_8EEB_0008C7BCAF29_.wvu.PrintArea" localSheetId="3" hidden="1">#REF!</definedName>
    <definedName name="Z_0E8DEF72_5D61_11D2_8EEB_0008C7BCAF29_.wvu.PrintArea" localSheetId="29" hidden="1">#REF!</definedName>
    <definedName name="Z_0E8DEF72_5D61_11D2_8EEB_0008C7BCAF29_.wvu.PrintArea" hidden="1">#REF!</definedName>
    <definedName name="Z_0E8DEF72_5D61_11D2_8EEB_0008C7BCAF29_.wvu.PrintTitles" localSheetId="6" hidden="1">#REF!,#REF!</definedName>
    <definedName name="Z_0E8DEF72_5D61_11D2_8EEB_0008C7BCAF29_.wvu.PrintTitles" localSheetId="7" hidden="1">#REF!,#REF!</definedName>
    <definedName name="Z_0E8DEF72_5D61_11D2_8EEB_0008C7BCAF29_.wvu.PrintTitles" localSheetId="3" hidden="1">#REF!,#REF!</definedName>
    <definedName name="Z_0E8DEF72_5D61_11D2_8EEB_0008C7BCAF29_.wvu.PrintTitles" localSheetId="29" hidden="1">#REF!,#REF!</definedName>
    <definedName name="Z_0E8DEF72_5D61_11D2_8EEB_0008C7BCAF29_.wvu.PrintTitles" hidden="1">#REF!,#REF!</definedName>
    <definedName name="Z_0E8DEF75_5D61_11D2_8EEB_0008C7BCAF29_.wvu.PrintArea" localSheetId="6" hidden="1">#REF!</definedName>
    <definedName name="Z_0E8DEF75_5D61_11D2_8EEB_0008C7BCAF29_.wvu.PrintArea" localSheetId="7" hidden="1">#REF!</definedName>
    <definedName name="Z_0E8DEF75_5D61_11D2_8EEB_0008C7BCAF29_.wvu.PrintArea" localSheetId="3" hidden="1">#REF!</definedName>
    <definedName name="Z_0E8DEF75_5D61_11D2_8EEB_0008C7BCAF29_.wvu.PrintArea" localSheetId="29" hidden="1">#REF!</definedName>
    <definedName name="Z_0E8DEF75_5D61_11D2_8EEB_0008C7BCAF29_.wvu.PrintArea" hidden="1">#REF!</definedName>
    <definedName name="Z_0E8DEF75_5D61_11D2_8EEB_0008C7BCAF29_.wvu.PrintTitles" localSheetId="6" hidden="1">#REF!,#REF!</definedName>
    <definedName name="Z_0E8DEF75_5D61_11D2_8EEB_0008C7BCAF29_.wvu.PrintTitles" localSheetId="7" hidden="1">#REF!,#REF!</definedName>
    <definedName name="Z_0E8DEF75_5D61_11D2_8EEB_0008C7BCAF29_.wvu.PrintTitles" localSheetId="3" hidden="1">#REF!,#REF!</definedName>
    <definedName name="Z_0E8DEF75_5D61_11D2_8EEB_0008C7BCAF29_.wvu.PrintTitles" localSheetId="29" hidden="1">#REF!,#REF!</definedName>
    <definedName name="Z_0E8DEF75_5D61_11D2_8EEB_0008C7BCAF29_.wvu.PrintTitles" hidden="1">#REF!,#REF!</definedName>
    <definedName name="Z_179EFDC8_A1B1_11D3_8FA9_0008C7809E09_.wvu.PrintArea" localSheetId="6" hidden="1">#REF!</definedName>
    <definedName name="Z_179EFDC8_A1B1_11D3_8FA9_0008C7809E09_.wvu.PrintArea" localSheetId="7" hidden="1">#REF!</definedName>
    <definedName name="Z_179EFDC8_A1B1_11D3_8FA9_0008C7809E09_.wvu.PrintArea" localSheetId="3" hidden="1">#REF!</definedName>
    <definedName name="Z_179EFDC8_A1B1_11D3_8FA9_0008C7809E09_.wvu.PrintArea" localSheetId="29" hidden="1">#REF!</definedName>
    <definedName name="Z_179EFDC8_A1B1_11D3_8FA9_0008C7809E09_.wvu.PrintArea" hidden="1">#REF!</definedName>
    <definedName name="Z_179EFDC8_A1B1_11D3_8FA9_0008C7809E09_.wvu.PrintTitles" localSheetId="6" hidden="1">#REF!,#REF!</definedName>
    <definedName name="Z_179EFDC8_A1B1_11D3_8FA9_0008C7809E09_.wvu.PrintTitles" localSheetId="7" hidden="1">#REF!,#REF!</definedName>
    <definedName name="Z_179EFDC8_A1B1_11D3_8FA9_0008C7809E09_.wvu.PrintTitles" localSheetId="3" hidden="1">#REF!,#REF!</definedName>
    <definedName name="Z_179EFDC8_A1B1_11D3_8FA9_0008C7809E09_.wvu.PrintTitles" localSheetId="29" hidden="1">#REF!,#REF!</definedName>
    <definedName name="Z_179EFDC8_A1B1_11D3_8FA9_0008C7809E09_.wvu.PrintTitles" hidden="1">#REF!,#REF!</definedName>
    <definedName name="Z_179EFDC9_A1B1_11D3_8FA9_0008C7809E09_.wvu.PrintArea" localSheetId="6" hidden="1">#REF!</definedName>
    <definedName name="Z_179EFDC9_A1B1_11D3_8FA9_0008C7809E09_.wvu.PrintArea" localSheetId="7" hidden="1">#REF!</definedName>
    <definedName name="Z_179EFDC9_A1B1_11D3_8FA9_0008C7809E09_.wvu.PrintArea" localSheetId="3" hidden="1">#REF!</definedName>
    <definedName name="Z_179EFDC9_A1B1_11D3_8FA9_0008C7809E09_.wvu.PrintArea" localSheetId="29" hidden="1">#REF!</definedName>
    <definedName name="Z_179EFDC9_A1B1_11D3_8FA9_0008C7809E09_.wvu.PrintArea" hidden="1">#REF!</definedName>
    <definedName name="Z_179EFDC9_A1B1_11D3_8FA9_0008C7809E09_.wvu.PrintTitles" localSheetId="6" hidden="1">#REF!,#REF!</definedName>
    <definedName name="Z_179EFDC9_A1B1_11D3_8FA9_0008C7809E09_.wvu.PrintTitles" localSheetId="7" hidden="1">#REF!,#REF!</definedName>
    <definedName name="Z_179EFDC9_A1B1_11D3_8FA9_0008C7809E09_.wvu.PrintTitles" localSheetId="3" hidden="1">#REF!,#REF!</definedName>
    <definedName name="Z_179EFDC9_A1B1_11D3_8FA9_0008C7809E09_.wvu.PrintTitles" localSheetId="29" hidden="1">#REF!,#REF!</definedName>
    <definedName name="Z_179EFDC9_A1B1_11D3_8FA9_0008C7809E09_.wvu.PrintTitles" hidden="1">#REF!,#REF!</definedName>
    <definedName name="Z_179EFDCA_A1B1_11D3_8FA9_0008C7809E09_.wvu.PrintArea" localSheetId="6" hidden="1">#REF!</definedName>
    <definedName name="Z_179EFDCA_A1B1_11D3_8FA9_0008C7809E09_.wvu.PrintArea" localSheetId="7" hidden="1">#REF!</definedName>
    <definedName name="Z_179EFDCA_A1B1_11D3_8FA9_0008C7809E09_.wvu.PrintArea" localSheetId="3" hidden="1">#REF!</definedName>
    <definedName name="Z_179EFDCA_A1B1_11D3_8FA9_0008C7809E09_.wvu.PrintArea" localSheetId="29" hidden="1">#REF!</definedName>
    <definedName name="Z_179EFDCA_A1B1_11D3_8FA9_0008C7809E09_.wvu.PrintArea" hidden="1">#REF!</definedName>
    <definedName name="Z_179EFDCA_A1B1_11D3_8FA9_0008C7809E09_.wvu.PrintTitles" localSheetId="6" hidden="1">#REF!,#REF!</definedName>
    <definedName name="Z_179EFDCA_A1B1_11D3_8FA9_0008C7809E09_.wvu.PrintTitles" localSheetId="7" hidden="1">#REF!,#REF!</definedName>
    <definedName name="Z_179EFDCA_A1B1_11D3_8FA9_0008C7809E09_.wvu.PrintTitles" localSheetId="3" hidden="1">#REF!,#REF!</definedName>
    <definedName name="Z_179EFDCA_A1B1_11D3_8FA9_0008C7809E09_.wvu.PrintTitles" localSheetId="29" hidden="1">#REF!,#REF!</definedName>
    <definedName name="Z_179EFDCA_A1B1_11D3_8FA9_0008C7809E09_.wvu.PrintTitles" hidden="1">#REF!,#REF!</definedName>
    <definedName name="Z_179EFDCB_A1B1_11D3_8FA9_0008C7809E09_.wvu.PrintArea" localSheetId="6" hidden="1">#REF!</definedName>
    <definedName name="Z_179EFDCB_A1B1_11D3_8FA9_0008C7809E09_.wvu.PrintArea" localSheetId="7" hidden="1">#REF!</definedName>
    <definedName name="Z_179EFDCB_A1B1_11D3_8FA9_0008C7809E09_.wvu.PrintArea" localSheetId="3" hidden="1">#REF!</definedName>
    <definedName name="Z_179EFDCB_A1B1_11D3_8FA9_0008C7809E09_.wvu.PrintArea" localSheetId="29" hidden="1">#REF!</definedName>
    <definedName name="Z_179EFDCB_A1B1_11D3_8FA9_0008C7809E09_.wvu.PrintArea" hidden="1">#REF!</definedName>
    <definedName name="Z_179EFDCB_A1B1_11D3_8FA9_0008C7809E09_.wvu.PrintTitles" localSheetId="6" hidden="1">#REF!,#REF!</definedName>
    <definedName name="Z_179EFDCB_A1B1_11D3_8FA9_0008C7809E09_.wvu.PrintTitles" localSheetId="7" hidden="1">#REF!,#REF!</definedName>
    <definedName name="Z_179EFDCB_A1B1_11D3_8FA9_0008C7809E09_.wvu.PrintTitles" localSheetId="3" hidden="1">#REF!,#REF!</definedName>
    <definedName name="Z_179EFDCB_A1B1_11D3_8FA9_0008C7809E09_.wvu.PrintTitles" localSheetId="29" hidden="1">#REF!,#REF!</definedName>
    <definedName name="Z_179EFDCB_A1B1_11D3_8FA9_0008C7809E09_.wvu.PrintTitles" hidden="1">#REF!,#REF!</definedName>
    <definedName name="Z_179EFDCC_A1B1_11D3_8FA9_0008C7809E09_.wvu.PrintArea" localSheetId="6" hidden="1">#REF!</definedName>
    <definedName name="Z_179EFDCC_A1B1_11D3_8FA9_0008C7809E09_.wvu.PrintArea" localSheetId="7" hidden="1">#REF!</definedName>
    <definedName name="Z_179EFDCC_A1B1_11D3_8FA9_0008C7809E09_.wvu.PrintArea" localSheetId="3" hidden="1">#REF!</definedName>
    <definedName name="Z_179EFDCC_A1B1_11D3_8FA9_0008C7809E09_.wvu.PrintArea" localSheetId="29" hidden="1">#REF!</definedName>
    <definedName name="Z_179EFDCC_A1B1_11D3_8FA9_0008C7809E09_.wvu.PrintArea" hidden="1">#REF!</definedName>
    <definedName name="Z_179EFDCC_A1B1_11D3_8FA9_0008C7809E09_.wvu.PrintTitles" localSheetId="6" hidden="1">#REF!,#REF!</definedName>
    <definedName name="Z_179EFDCC_A1B1_11D3_8FA9_0008C7809E09_.wvu.PrintTitles" localSheetId="7" hidden="1">#REF!,#REF!</definedName>
    <definedName name="Z_179EFDCC_A1B1_11D3_8FA9_0008C7809E09_.wvu.PrintTitles" localSheetId="3" hidden="1">#REF!,#REF!</definedName>
    <definedName name="Z_179EFDCC_A1B1_11D3_8FA9_0008C7809E09_.wvu.PrintTitles" localSheetId="29" hidden="1">#REF!,#REF!</definedName>
    <definedName name="Z_179EFDCC_A1B1_11D3_8FA9_0008C7809E09_.wvu.PrintTitles" hidden="1">#REF!,#REF!</definedName>
    <definedName name="Z_179EFDCD_A1B1_11D3_8FA9_0008C7809E09_.wvu.PrintArea" localSheetId="6" hidden="1">#REF!</definedName>
    <definedName name="Z_179EFDCD_A1B1_11D3_8FA9_0008C7809E09_.wvu.PrintArea" localSheetId="7" hidden="1">#REF!</definedName>
    <definedName name="Z_179EFDCD_A1B1_11D3_8FA9_0008C7809E09_.wvu.PrintArea" localSheetId="3" hidden="1">#REF!</definedName>
    <definedName name="Z_179EFDCD_A1B1_11D3_8FA9_0008C7809E09_.wvu.PrintArea" localSheetId="29" hidden="1">#REF!</definedName>
    <definedName name="Z_179EFDCD_A1B1_11D3_8FA9_0008C7809E09_.wvu.PrintArea" hidden="1">#REF!</definedName>
    <definedName name="Z_179EFDCD_A1B1_11D3_8FA9_0008C7809E09_.wvu.PrintTitles" localSheetId="6" hidden="1">#REF!,#REF!</definedName>
    <definedName name="Z_179EFDCD_A1B1_11D3_8FA9_0008C7809E09_.wvu.PrintTitles" localSheetId="7" hidden="1">#REF!,#REF!</definedName>
    <definedName name="Z_179EFDCD_A1B1_11D3_8FA9_0008C7809E09_.wvu.PrintTitles" localSheetId="3" hidden="1">#REF!,#REF!</definedName>
    <definedName name="Z_179EFDCD_A1B1_11D3_8FA9_0008C7809E09_.wvu.PrintTitles" localSheetId="29" hidden="1">#REF!,#REF!</definedName>
    <definedName name="Z_179EFDCD_A1B1_11D3_8FA9_0008C7809E09_.wvu.PrintTitles" hidden="1">#REF!,#REF!</definedName>
    <definedName name="Z_179EFDCE_A1B1_11D3_8FA9_0008C7809E09_.wvu.PrintArea" localSheetId="6" hidden="1">#REF!</definedName>
    <definedName name="Z_179EFDCE_A1B1_11D3_8FA9_0008C7809E09_.wvu.PrintArea" localSheetId="7" hidden="1">#REF!</definedName>
    <definedName name="Z_179EFDCE_A1B1_11D3_8FA9_0008C7809E09_.wvu.PrintArea" localSheetId="3" hidden="1">#REF!</definedName>
    <definedName name="Z_179EFDCE_A1B1_11D3_8FA9_0008C7809E09_.wvu.PrintArea" localSheetId="29" hidden="1">#REF!</definedName>
    <definedName name="Z_179EFDCE_A1B1_11D3_8FA9_0008C7809E09_.wvu.PrintArea" hidden="1">#REF!</definedName>
    <definedName name="Z_179EFDCE_A1B1_11D3_8FA9_0008C7809E09_.wvu.PrintTitles" localSheetId="6" hidden="1">#REF!,#REF!</definedName>
    <definedName name="Z_179EFDCE_A1B1_11D3_8FA9_0008C7809E09_.wvu.PrintTitles" localSheetId="7" hidden="1">#REF!,#REF!</definedName>
    <definedName name="Z_179EFDCE_A1B1_11D3_8FA9_0008C7809E09_.wvu.PrintTitles" localSheetId="3" hidden="1">#REF!,#REF!</definedName>
    <definedName name="Z_179EFDCE_A1B1_11D3_8FA9_0008C7809E09_.wvu.PrintTitles" localSheetId="29" hidden="1">#REF!,#REF!</definedName>
    <definedName name="Z_179EFDCE_A1B1_11D3_8FA9_0008C7809E09_.wvu.PrintTitles" hidden="1">#REF!,#REF!</definedName>
    <definedName name="Z_179EFDCF_A1B1_11D3_8FA9_0008C7809E09_.wvu.PrintArea" localSheetId="6" hidden="1">#REF!</definedName>
    <definedName name="Z_179EFDCF_A1B1_11D3_8FA9_0008C7809E09_.wvu.PrintArea" localSheetId="7" hidden="1">#REF!</definedName>
    <definedName name="Z_179EFDCF_A1B1_11D3_8FA9_0008C7809E09_.wvu.PrintArea" localSheetId="3" hidden="1">#REF!</definedName>
    <definedName name="Z_179EFDCF_A1B1_11D3_8FA9_0008C7809E09_.wvu.PrintArea" localSheetId="29" hidden="1">#REF!</definedName>
    <definedName name="Z_179EFDCF_A1B1_11D3_8FA9_0008C7809E09_.wvu.PrintArea" hidden="1">#REF!</definedName>
    <definedName name="Z_179EFDCF_A1B1_11D3_8FA9_0008C7809E09_.wvu.PrintTitles" localSheetId="6" hidden="1">#REF!,#REF!</definedName>
    <definedName name="Z_179EFDCF_A1B1_11D3_8FA9_0008C7809E09_.wvu.PrintTitles" localSheetId="7" hidden="1">#REF!,#REF!</definedName>
    <definedName name="Z_179EFDCF_A1B1_11D3_8FA9_0008C7809E09_.wvu.PrintTitles" localSheetId="3" hidden="1">#REF!,#REF!</definedName>
    <definedName name="Z_179EFDCF_A1B1_11D3_8FA9_0008C7809E09_.wvu.PrintTitles" localSheetId="29" hidden="1">#REF!,#REF!</definedName>
    <definedName name="Z_179EFDCF_A1B1_11D3_8FA9_0008C7809E09_.wvu.PrintTitles" hidden="1">#REF!,#REF!</definedName>
    <definedName name="Z_179EFDD0_A1B1_11D3_8FA9_0008C7809E09_.wvu.PrintArea" localSheetId="6" hidden="1">#REF!</definedName>
    <definedName name="Z_179EFDD0_A1B1_11D3_8FA9_0008C7809E09_.wvu.PrintArea" localSheetId="7" hidden="1">#REF!</definedName>
    <definedName name="Z_179EFDD0_A1B1_11D3_8FA9_0008C7809E09_.wvu.PrintArea" localSheetId="3" hidden="1">#REF!</definedName>
    <definedName name="Z_179EFDD0_A1B1_11D3_8FA9_0008C7809E09_.wvu.PrintArea" localSheetId="29" hidden="1">#REF!</definedName>
    <definedName name="Z_179EFDD0_A1B1_11D3_8FA9_0008C7809E09_.wvu.PrintArea" hidden="1">#REF!</definedName>
    <definedName name="Z_179EFDD0_A1B1_11D3_8FA9_0008C7809E09_.wvu.PrintTitles" localSheetId="6" hidden="1">#REF!,#REF!</definedName>
    <definedName name="Z_179EFDD0_A1B1_11D3_8FA9_0008C7809E09_.wvu.PrintTitles" localSheetId="7" hidden="1">#REF!,#REF!</definedName>
    <definedName name="Z_179EFDD0_A1B1_11D3_8FA9_0008C7809E09_.wvu.PrintTitles" localSheetId="3" hidden="1">#REF!,#REF!</definedName>
    <definedName name="Z_179EFDD0_A1B1_11D3_8FA9_0008C7809E09_.wvu.PrintTitles" localSheetId="29" hidden="1">#REF!,#REF!</definedName>
    <definedName name="Z_179EFDD0_A1B1_11D3_8FA9_0008C7809E09_.wvu.PrintTitles" hidden="1">#REF!,#REF!</definedName>
    <definedName name="Z_179EFDD1_A1B1_11D3_8FA9_0008C7809E09_.wvu.PrintArea" localSheetId="6" hidden="1">#REF!</definedName>
    <definedName name="Z_179EFDD1_A1B1_11D3_8FA9_0008C7809E09_.wvu.PrintArea" localSheetId="7" hidden="1">#REF!</definedName>
    <definedName name="Z_179EFDD1_A1B1_11D3_8FA9_0008C7809E09_.wvu.PrintArea" localSheetId="3" hidden="1">#REF!</definedName>
    <definedName name="Z_179EFDD1_A1B1_11D3_8FA9_0008C7809E09_.wvu.PrintArea" localSheetId="29" hidden="1">#REF!</definedName>
    <definedName name="Z_179EFDD1_A1B1_11D3_8FA9_0008C7809E09_.wvu.PrintArea" hidden="1">#REF!</definedName>
    <definedName name="Z_179EFDD1_A1B1_11D3_8FA9_0008C7809E09_.wvu.PrintTitles" localSheetId="6" hidden="1">#REF!,#REF!</definedName>
    <definedName name="Z_179EFDD1_A1B1_11D3_8FA9_0008C7809E09_.wvu.PrintTitles" localSheetId="7" hidden="1">#REF!,#REF!</definedName>
    <definedName name="Z_179EFDD1_A1B1_11D3_8FA9_0008C7809E09_.wvu.PrintTitles" localSheetId="3" hidden="1">#REF!,#REF!</definedName>
    <definedName name="Z_179EFDD1_A1B1_11D3_8FA9_0008C7809E09_.wvu.PrintTitles" localSheetId="29" hidden="1">#REF!,#REF!</definedName>
    <definedName name="Z_179EFDD1_A1B1_11D3_8FA9_0008C7809E09_.wvu.PrintTitles" hidden="1">#REF!,#REF!</definedName>
    <definedName name="Z_179EFDD2_A1B1_11D3_8FA9_0008C7809E09_.wvu.PrintArea" localSheetId="6" hidden="1">#REF!</definedName>
    <definedName name="Z_179EFDD2_A1B1_11D3_8FA9_0008C7809E09_.wvu.PrintArea" localSheetId="7" hidden="1">#REF!</definedName>
    <definedName name="Z_179EFDD2_A1B1_11D3_8FA9_0008C7809E09_.wvu.PrintArea" localSheetId="3" hidden="1">#REF!</definedName>
    <definedName name="Z_179EFDD2_A1B1_11D3_8FA9_0008C7809E09_.wvu.PrintArea" localSheetId="29" hidden="1">#REF!</definedName>
    <definedName name="Z_179EFDD2_A1B1_11D3_8FA9_0008C7809E09_.wvu.PrintArea" hidden="1">#REF!</definedName>
    <definedName name="Z_179EFDD2_A1B1_11D3_8FA9_0008C7809E09_.wvu.PrintTitles" localSheetId="6" hidden="1">#REF!,#REF!</definedName>
    <definedName name="Z_179EFDD2_A1B1_11D3_8FA9_0008C7809E09_.wvu.PrintTitles" localSheetId="7" hidden="1">#REF!,#REF!</definedName>
    <definedName name="Z_179EFDD2_A1B1_11D3_8FA9_0008C7809E09_.wvu.PrintTitles" localSheetId="3" hidden="1">#REF!,#REF!</definedName>
    <definedName name="Z_179EFDD2_A1B1_11D3_8FA9_0008C7809E09_.wvu.PrintTitles" localSheetId="29" hidden="1">#REF!,#REF!</definedName>
    <definedName name="Z_179EFDD2_A1B1_11D3_8FA9_0008C7809E09_.wvu.PrintTitles" hidden="1">#REF!,#REF!</definedName>
    <definedName name="Z_179EFDD3_A1B1_11D3_8FA9_0008C7809E09_.wvu.PrintArea" localSheetId="6" hidden="1">#REF!</definedName>
    <definedName name="Z_179EFDD3_A1B1_11D3_8FA9_0008C7809E09_.wvu.PrintArea" localSheetId="7" hidden="1">#REF!</definedName>
    <definedName name="Z_179EFDD3_A1B1_11D3_8FA9_0008C7809E09_.wvu.PrintArea" localSheetId="3" hidden="1">#REF!</definedName>
    <definedName name="Z_179EFDD3_A1B1_11D3_8FA9_0008C7809E09_.wvu.PrintArea" localSheetId="29" hidden="1">#REF!</definedName>
    <definedName name="Z_179EFDD3_A1B1_11D3_8FA9_0008C7809E09_.wvu.PrintArea" hidden="1">#REF!</definedName>
    <definedName name="Z_179EFDD3_A1B1_11D3_8FA9_0008C7809E09_.wvu.PrintTitles" localSheetId="6" hidden="1">#REF!,#REF!</definedName>
    <definedName name="Z_179EFDD3_A1B1_11D3_8FA9_0008C7809E09_.wvu.PrintTitles" localSheetId="7" hidden="1">#REF!,#REF!</definedName>
    <definedName name="Z_179EFDD3_A1B1_11D3_8FA9_0008C7809E09_.wvu.PrintTitles" localSheetId="3" hidden="1">#REF!,#REF!</definedName>
    <definedName name="Z_179EFDD3_A1B1_11D3_8FA9_0008C7809E09_.wvu.PrintTitles" localSheetId="29" hidden="1">#REF!,#REF!</definedName>
    <definedName name="Z_179EFDD3_A1B1_11D3_8FA9_0008C7809E09_.wvu.PrintTitles" hidden="1">#REF!,#REF!</definedName>
    <definedName name="Z_179EFDD4_A1B1_11D3_8FA9_0008C7809E09_.wvu.PrintArea" localSheetId="6" hidden="1">#REF!</definedName>
    <definedName name="Z_179EFDD4_A1B1_11D3_8FA9_0008C7809E09_.wvu.PrintArea" localSheetId="7" hidden="1">#REF!</definedName>
    <definedName name="Z_179EFDD4_A1B1_11D3_8FA9_0008C7809E09_.wvu.PrintArea" localSheetId="3" hidden="1">#REF!</definedName>
    <definedName name="Z_179EFDD4_A1B1_11D3_8FA9_0008C7809E09_.wvu.PrintArea" localSheetId="29" hidden="1">#REF!</definedName>
    <definedName name="Z_179EFDD4_A1B1_11D3_8FA9_0008C7809E09_.wvu.PrintArea" hidden="1">#REF!</definedName>
    <definedName name="Z_179EFDD4_A1B1_11D3_8FA9_0008C7809E09_.wvu.PrintTitles" localSheetId="6" hidden="1">#REF!,#REF!</definedName>
    <definedName name="Z_179EFDD4_A1B1_11D3_8FA9_0008C7809E09_.wvu.PrintTitles" localSheetId="7" hidden="1">#REF!,#REF!</definedName>
    <definedName name="Z_179EFDD4_A1B1_11D3_8FA9_0008C7809E09_.wvu.PrintTitles" localSheetId="3" hidden="1">#REF!,#REF!</definedName>
    <definedName name="Z_179EFDD4_A1B1_11D3_8FA9_0008C7809E09_.wvu.PrintTitles" localSheetId="29" hidden="1">#REF!,#REF!</definedName>
    <definedName name="Z_179EFDD4_A1B1_11D3_8FA9_0008C7809E09_.wvu.PrintTitles" hidden="1">#REF!,#REF!</definedName>
    <definedName name="Z_179EFDD5_A1B1_11D3_8FA9_0008C7809E09_.wvu.PrintArea" localSheetId="6" hidden="1">#REF!</definedName>
    <definedName name="Z_179EFDD5_A1B1_11D3_8FA9_0008C7809E09_.wvu.PrintArea" localSheetId="7" hidden="1">#REF!</definedName>
    <definedName name="Z_179EFDD5_A1B1_11D3_8FA9_0008C7809E09_.wvu.PrintArea" localSheetId="3" hidden="1">#REF!</definedName>
    <definedName name="Z_179EFDD5_A1B1_11D3_8FA9_0008C7809E09_.wvu.PrintArea" localSheetId="29" hidden="1">#REF!</definedName>
    <definedName name="Z_179EFDD5_A1B1_11D3_8FA9_0008C7809E09_.wvu.PrintArea" hidden="1">#REF!</definedName>
    <definedName name="Z_179EFDD5_A1B1_11D3_8FA9_0008C7809E09_.wvu.PrintTitles" localSheetId="6" hidden="1">#REF!,#REF!</definedName>
    <definedName name="Z_179EFDD5_A1B1_11D3_8FA9_0008C7809E09_.wvu.PrintTitles" localSheetId="7" hidden="1">#REF!,#REF!</definedName>
    <definedName name="Z_179EFDD5_A1B1_11D3_8FA9_0008C7809E09_.wvu.PrintTitles" localSheetId="3" hidden="1">#REF!,#REF!</definedName>
    <definedName name="Z_179EFDD5_A1B1_11D3_8FA9_0008C7809E09_.wvu.PrintTitles" localSheetId="29" hidden="1">#REF!,#REF!</definedName>
    <definedName name="Z_179EFDD5_A1B1_11D3_8FA9_0008C7809E09_.wvu.PrintTitles" hidden="1">#REF!,#REF!</definedName>
    <definedName name="Z_179EFDD6_A1B1_11D3_8FA9_0008C7809E09_.wvu.PrintArea" localSheetId="6" hidden="1">#REF!</definedName>
    <definedName name="Z_179EFDD6_A1B1_11D3_8FA9_0008C7809E09_.wvu.PrintArea" localSheetId="7" hidden="1">#REF!</definedName>
    <definedName name="Z_179EFDD6_A1B1_11D3_8FA9_0008C7809E09_.wvu.PrintArea" localSheetId="3" hidden="1">#REF!</definedName>
    <definedName name="Z_179EFDD6_A1B1_11D3_8FA9_0008C7809E09_.wvu.PrintArea" localSheetId="29" hidden="1">#REF!</definedName>
    <definedName name="Z_179EFDD6_A1B1_11D3_8FA9_0008C7809E09_.wvu.PrintArea" hidden="1">#REF!</definedName>
    <definedName name="Z_179EFDD6_A1B1_11D3_8FA9_0008C7809E09_.wvu.PrintTitles" localSheetId="6" hidden="1">#REF!,#REF!</definedName>
    <definedName name="Z_179EFDD6_A1B1_11D3_8FA9_0008C7809E09_.wvu.PrintTitles" localSheetId="7" hidden="1">#REF!,#REF!</definedName>
    <definedName name="Z_179EFDD6_A1B1_11D3_8FA9_0008C7809E09_.wvu.PrintTitles" localSheetId="3" hidden="1">#REF!,#REF!</definedName>
    <definedName name="Z_179EFDD6_A1B1_11D3_8FA9_0008C7809E09_.wvu.PrintTitles" localSheetId="29" hidden="1">#REF!,#REF!</definedName>
    <definedName name="Z_179EFDD6_A1B1_11D3_8FA9_0008C7809E09_.wvu.PrintTitles" hidden="1">#REF!,#REF!</definedName>
    <definedName name="Z_179EFDD7_A1B1_11D3_8FA9_0008C7809E09_.wvu.PrintArea" localSheetId="6" hidden="1">#REF!</definedName>
    <definedName name="Z_179EFDD7_A1B1_11D3_8FA9_0008C7809E09_.wvu.PrintArea" localSheetId="7" hidden="1">#REF!</definedName>
    <definedName name="Z_179EFDD7_A1B1_11D3_8FA9_0008C7809E09_.wvu.PrintArea" localSheetId="3" hidden="1">#REF!</definedName>
    <definedName name="Z_179EFDD7_A1B1_11D3_8FA9_0008C7809E09_.wvu.PrintArea" localSheetId="29" hidden="1">#REF!</definedName>
    <definedName name="Z_179EFDD7_A1B1_11D3_8FA9_0008C7809E09_.wvu.PrintArea" hidden="1">#REF!</definedName>
    <definedName name="Z_179EFDD7_A1B1_11D3_8FA9_0008C7809E09_.wvu.PrintTitles" localSheetId="6" hidden="1">#REF!,#REF!</definedName>
    <definedName name="Z_179EFDD7_A1B1_11D3_8FA9_0008C7809E09_.wvu.PrintTitles" localSheetId="7" hidden="1">#REF!,#REF!</definedName>
    <definedName name="Z_179EFDD7_A1B1_11D3_8FA9_0008C7809E09_.wvu.PrintTitles" localSheetId="3" hidden="1">#REF!,#REF!</definedName>
    <definedName name="Z_179EFDD7_A1B1_11D3_8FA9_0008C7809E09_.wvu.PrintTitles" localSheetId="29" hidden="1">#REF!,#REF!</definedName>
    <definedName name="Z_179EFDD7_A1B1_11D3_8FA9_0008C7809E09_.wvu.PrintTitles" hidden="1">#REF!,#REF!</definedName>
    <definedName name="Z_179EFDD8_A1B1_11D3_8FA9_0008C7809E09_.wvu.PrintArea" localSheetId="6" hidden="1">#REF!</definedName>
    <definedName name="Z_179EFDD8_A1B1_11D3_8FA9_0008C7809E09_.wvu.PrintArea" localSheetId="7" hidden="1">#REF!</definedName>
    <definedName name="Z_179EFDD8_A1B1_11D3_8FA9_0008C7809E09_.wvu.PrintArea" localSheetId="3" hidden="1">#REF!</definedName>
    <definedName name="Z_179EFDD8_A1B1_11D3_8FA9_0008C7809E09_.wvu.PrintArea" localSheetId="29" hidden="1">#REF!</definedName>
    <definedName name="Z_179EFDD8_A1B1_11D3_8FA9_0008C7809E09_.wvu.PrintArea" hidden="1">#REF!</definedName>
    <definedName name="Z_179EFDD8_A1B1_11D3_8FA9_0008C7809E09_.wvu.PrintTitles" localSheetId="6" hidden="1">#REF!,#REF!</definedName>
    <definedName name="Z_179EFDD8_A1B1_11D3_8FA9_0008C7809E09_.wvu.PrintTitles" localSheetId="7" hidden="1">#REF!,#REF!</definedName>
    <definedName name="Z_179EFDD8_A1B1_11D3_8FA9_0008C7809E09_.wvu.PrintTitles" localSheetId="3" hidden="1">#REF!,#REF!</definedName>
    <definedName name="Z_179EFDD8_A1B1_11D3_8FA9_0008C7809E09_.wvu.PrintTitles" localSheetId="29" hidden="1">#REF!,#REF!</definedName>
    <definedName name="Z_179EFDD8_A1B1_11D3_8FA9_0008C7809E09_.wvu.PrintTitles" hidden="1">#REF!,#REF!</definedName>
    <definedName name="Z_179EFDD9_A1B1_11D3_8FA9_0008C7809E09_.wvu.PrintArea" localSheetId="6" hidden="1">#REF!</definedName>
    <definedName name="Z_179EFDD9_A1B1_11D3_8FA9_0008C7809E09_.wvu.PrintArea" localSheetId="7" hidden="1">#REF!</definedName>
    <definedName name="Z_179EFDD9_A1B1_11D3_8FA9_0008C7809E09_.wvu.PrintArea" localSheetId="3" hidden="1">#REF!</definedName>
    <definedName name="Z_179EFDD9_A1B1_11D3_8FA9_0008C7809E09_.wvu.PrintArea" localSheetId="29" hidden="1">#REF!</definedName>
    <definedName name="Z_179EFDD9_A1B1_11D3_8FA9_0008C7809E09_.wvu.PrintArea" hidden="1">#REF!</definedName>
    <definedName name="Z_179EFDD9_A1B1_11D3_8FA9_0008C7809E09_.wvu.PrintTitles" localSheetId="6" hidden="1">#REF!,#REF!</definedName>
    <definedName name="Z_179EFDD9_A1B1_11D3_8FA9_0008C7809E09_.wvu.PrintTitles" localSheetId="7" hidden="1">#REF!,#REF!</definedName>
    <definedName name="Z_179EFDD9_A1B1_11D3_8FA9_0008C7809E09_.wvu.PrintTitles" localSheetId="3" hidden="1">#REF!,#REF!</definedName>
    <definedName name="Z_179EFDD9_A1B1_11D3_8FA9_0008C7809E09_.wvu.PrintTitles" localSheetId="29" hidden="1">#REF!,#REF!</definedName>
    <definedName name="Z_179EFDD9_A1B1_11D3_8FA9_0008C7809E09_.wvu.PrintTitles" hidden="1">#REF!,#REF!</definedName>
    <definedName name="Z_179EFDDA_A1B1_11D3_8FA9_0008C7809E09_.wvu.PrintArea" localSheetId="6" hidden="1">#REF!</definedName>
    <definedName name="Z_179EFDDA_A1B1_11D3_8FA9_0008C7809E09_.wvu.PrintArea" localSheetId="7" hidden="1">#REF!</definedName>
    <definedName name="Z_179EFDDA_A1B1_11D3_8FA9_0008C7809E09_.wvu.PrintArea" localSheetId="3" hidden="1">#REF!</definedName>
    <definedName name="Z_179EFDDA_A1B1_11D3_8FA9_0008C7809E09_.wvu.PrintArea" localSheetId="29" hidden="1">#REF!</definedName>
    <definedName name="Z_179EFDDA_A1B1_11D3_8FA9_0008C7809E09_.wvu.PrintArea" hidden="1">#REF!</definedName>
    <definedName name="Z_179EFDDA_A1B1_11D3_8FA9_0008C7809E09_.wvu.PrintTitles" localSheetId="6" hidden="1">#REF!,#REF!</definedName>
    <definedName name="Z_179EFDDA_A1B1_11D3_8FA9_0008C7809E09_.wvu.PrintTitles" localSheetId="7" hidden="1">#REF!,#REF!</definedName>
    <definedName name="Z_179EFDDA_A1B1_11D3_8FA9_0008C7809E09_.wvu.PrintTitles" localSheetId="3" hidden="1">#REF!,#REF!</definedName>
    <definedName name="Z_179EFDDA_A1B1_11D3_8FA9_0008C7809E09_.wvu.PrintTitles" localSheetId="29" hidden="1">#REF!,#REF!</definedName>
    <definedName name="Z_179EFDDA_A1B1_11D3_8FA9_0008C7809E09_.wvu.PrintTitles" hidden="1">#REF!,#REF!</definedName>
    <definedName name="Z_179EFDDB_A1B1_11D3_8FA9_0008C7809E09_.wvu.PrintArea" localSheetId="6" hidden="1">#REF!</definedName>
    <definedName name="Z_179EFDDB_A1B1_11D3_8FA9_0008C7809E09_.wvu.PrintArea" localSheetId="7" hidden="1">#REF!</definedName>
    <definedName name="Z_179EFDDB_A1B1_11D3_8FA9_0008C7809E09_.wvu.PrintArea" localSheetId="3" hidden="1">#REF!</definedName>
    <definedName name="Z_179EFDDB_A1B1_11D3_8FA9_0008C7809E09_.wvu.PrintArea" localSheetId="29" hidden="1">#REF!</definedName>
    <definedName name="Z_179EFDDB_A1B1_11D3_8FA9_0008C7809E09_.wvu.PrintArea" hidden="1">#REF!</definedName>
    <definedName name="Z_179EFDDB_A1B1_11D3_8FA9_0008C7809E09_.wvu.PrintTitles" localSheetId="6" hidden="1">#REF!,#REF!</definedName>
    <definedName name="Z_179EFDDB_A1B1_11D3_8FA9_0008C7809E09_.wvu.PrintTitles" localSheetId="7" hidden="1">#REF!,#REF!</definedName>
    <definedName name="Z_179EFDDB_A1B1_11D3_8FA9_0008C7809E09_.wvu.PrintTitles" localSheetId="3" hidden="1">#REF!,#REF!</definedName>
    <definedName name="Z_179EFDDB_A1B1_11D3_8FA9_0008C7809E09_.wvu.PrintTitles" localSheetId="29" hidden="1">#REF!,#REF!</definedName>
    <definedName name="Z_179EFDDB_A1B1_11D3_8FA9_0008C7809E09_.wvu.PrintTitles" hidden="1">#REF!,#REF!</definedName>
    <definedName name="Z_179EFDDC_A1B1_11D3_8FA9_0008C7809E09_.wvu.PrintArea" localSheetId="6" hidden="1">#REF!</definedName>
    <definedName name="Z_179EFDDC_A1B1_11D3_8FA9_0008C7809E09_.wvu.PrintArea" localSheetId="7" hidden="1">#REF!</definedName>
    <definedName name="Z_179EFDDC_A1B1_11D3_8FA9_0008C7809E09_.wvu.PrintArea" localSheetId="3" hidden="1">#REF!</definedName>
    <definedName name="Z_179EFDDC_A1B1_11D3_8FA9_0008C7809E09_.wvu.PrintArea" localSheetId="29" hidden="1">#REF!</definedName>
    <definedName name="Z_179EFDDC_A1B1_11D3_8FA9_0008C7809E09_.wvu.PrintArea" hidden="1">#REF!</definedName>
    <definedName name="Z_179EFDDC_A1B1_11D3_8FA9_0008C7809E09_.wvu.PrintTitles" localSheetId="6" hidden="1">#REF!,#REF!</definedName>
    <definedName name="Z_179EFDDC_A1B1_11D3_8FA9_0008C7809E09_.wvu.PrintTitles" localSheetId="7" hidden="1">#REF!,#REF!</definedName>
    <definedName name="Z_179EFDDC_A1B1_11D3_8FA9_0008C7809E09_.wvu.PrintTitles" localSheetId="3" hidden="1">#REF!,#REF!</definedName>
    <definedName name="Z_179EFDDC_A1B1_11D3_8FA9_0008C7809E09_.wvu.PrintTitles" localSheetId="29" hidden="1">#REF!,#REF!</definedName>
    <definedName name="Z_179EFDDC_A1B1_11D3_8FA9_0008C7809E09_.wvu.PrintTitles" hidden="1">#REF!,#REF!</definedName>
    <definedName name="Z_179EFDDD_A1B1_11D3_8FA9_0008C7809E09_.wvu.PrintArea" localSheetId="6" hidden="1">#REF!</definedName>
    <definedName name="Z_179EFDDD_A1B1_11D3_8FA9_0008C7809E09_.wvu.PrintArea" localSheetId="7" hidden="1">#REF!</definedName>
    <definedName name="Z_179EFDDD_A1B1_11D3_8FA9_0008C7809E09_.wvu.PrintArea" localSheetId="3" hidden="1">#REF!</definedName>
    <definedName name="Z_179EFDDD_A1B1_11D3_8FA9_0008C7809E09_.wvu.PrintArea" localSheetId="29" hidden="1">#REF!</definedName>
    <definedName name="Z_179EFDDD_A1B1_11D3_8FA9_0008C7809E09_.wvu.PrintArea" hidden="1">#REF!</definedName>
    <definedName name="Z_179EFDDD_A1B1_11D3_8FA9_0008C7809E09_.wvu.PrintTitles" localSheetId="6" hidden="1">#REF!,#REF!</definedName>
    <definedName name="Z_179EFDDD_A1B1_11D3_8FA9_0008C7809E09_.wvu.PrintTitles" localSheetId="7" hidden="1">#REF!,#REF!</definedName>
    <definedName name="Z_179EFDDD_A1B1_11D3_8FA9_0008C7809E09_.wvu.PrintTitles" localSheetId="3" hidden="1">#REF!,#REF!</definedName>
    <definedName name="Z_179EFDDD_A1B1_11D3_8FA9_0008C7809E09_.wvu.PrintTitles" localSheetId="29" hidden="1">#REF!,#REF!</definedName>
    <definedName name="Z_179EFDDD_A1B1_11D3_8FA9_0008C7809E09_.wvu.PrintTitles" hidden="1">#REF!,#REF!</definedName>
    <definedName name="Z_179EFDDE_A1B1_11D3_8FA9_0008C7809E09_.wvu.PrintArea" localSheetId="6" hidden="1">#REF!</definedName>
    <definedName name="Z_179EFDDE_A1B1_11D3_8FA9_0008C7809E09_.wvu.PrintArea" localSheetId="7" hidden="1">#REF!</definedName>
    <definedName name="Z_179EFDDE_A1B1_11D3_8FA9_0008C7809E09_.wvu.PrintArea" localSheetId="3" hidden="1">#REF!</definedName>
    <definedName name="Z_179EFDDE_A1B1_11D3_8FA9_0008C7809E09_.wvu.PrintArea" localSheetId="29" hidden="1">#REF!</definedName>
    <definedName name="Z_179EFDDE_A1B1_11D3_8FA9_0008C7809E09_.wvu.PrintArea" hidden="1">#REF!</definedName>
    <definedName name="Z_179EFDDE_A1B1_11D3_8FA9_0008C7809E09_.wvu.PrintTitles" localSheetId="6" hidden="1">#REF!,#REF!</definedName>
    <definedName name="Z_179EFDDE_A1B1_11D3_8FA9_0008C7809E09_.wvu.PrintTitles" localSheetId="7" hidden="1">#REF!,#REF!</definedName>
    <definedName name="Z_179EFDDE_A1B1_11D3_8FA9_0008C7809E09_.wvu.PrintTitles" localSheetId="3" hidden="1">#REF!,#REF!</definedName>
    <definedName name="Z_179EFDDE_A1B1_11D3_8FA9_0008C7809E09_.wvu.PrintTitles" localSheetId="29" hidden="1">#REF!,#REF!</definedName>
    <definedName name="Z_179EFDDE_A1B1_11D3_8FA9_0008C7809E09_.wvu.PrintTitles" hidden="1">#REF!,#REF!</definedName>
    <definedName name="Z_179EFDDF_A1B1_11D3_8FA9_0008C7809E09_.wvu.PrintArea" localSheetId="6" hidden="1">#REF!</definedName>
    <definedName name="Z_179EFDDF_A1B1_11D3_8FA9_0008C7809E09_.wvu.PrintArea" localSheetId="7" hidden="1">#REF!</definedName>
    <definedName name="Z_179EFDDF_A1B1_11D3_8FA9_0008C7809E09_.wvu.PrintArea" localSheetId="3" hidden="1">#REF!</definedName>
    <definedName name="Z_179EFDDF_A1B1_11D3_8FA9_0008C7809E09_.wvu.PrintArea" localSheetId="29" hidden="1">#REF!</definedName>
    <definedName name="Z_179EFDDF_A1B1_11D3_8FA9_0008C7809E09_.wvu.PrintArea" hidden="1">#REF!</definedName>
    <definedName name="Z_179EFDDF_A1B1_11D3_8FA9_0008C7809E09_.wvu.PrintTitles" localSheetId="6" hidden="1">#REF!,#REF!</definedName>
    <definedName name="Z_179EFDDF_A1B1_11D3_8FA9_0008C7809E09_.wvu.PrintTitles" localSheetId="7" hidden="1">#REF!,#REF!</definedName>
    <definedName name="Z_179EFDDF_A1B1_11D3_8FA9_0008C7809E09_.wvu.PrintTitles" localSheetId="3" hidden="1">#REF!,#REF!</definedName>
    <definedName name="Z_179EFDDF_A1B1_11D3_8FA9_0008C7809E09_.wvu.PrintTitles" localSheetId="29" hidden="1">#REF!,#REF!</definedName>
    <definedName name="Z_179EFDDF_A1B1_11D3_8FA9_0008C7809E09_.wvu.PrintTitles" hidden="1">#REF!,#REF!</definedName>
    <definedName name="Z_179EFDE0_A1B1_11D3_8FA9_0008C7809E09_.wvu.PrintArea" localSheetId="6" hidden="1">#REF!</definedName>
    <definedName name="Z_179EFDE0_A1B1_11D3_8FA9_0008C7809E09_.wvu.PrintArea" localSheetId="7" hidden="1">#REF!</definedName>
    <definedName name="Z_179EFDE0_A1B1_11D3_8FA9_0008C7809E09_.wvu.PrintArea" localSheetId="3" hidden="1">#REF!</definedName>
    <definedName name="Z_179EFDE0_A1B1_11D3_8FA9_0008C7809E09_.wvu.PrintArea" localSheetId="29" hidden="1">#REF!</definedName>
    <definedName name="Z_179EFDE0_A1B1_11D3_8FA9_0008C7809E09_.wvu.PrintArea" hidden="1">#REF!</definedName>
    <definedName name="Z_179EFDE0_A1B1_11D3_8FA9_0008C7809E09_.wvu.PrintTitles" localSheetId="6" hidden="1">#REF!,#REF!</definedName>
    <definedName name="Z_179EFDE0_A1B1_11D3_8FA9_0008C7809E09_.wvu.PrintTitles" localSheetId="7" hidden="1">#REF!,#REF!</definedName>
    <definedName name="Z_179EFDE0_A1B1_11D3_8FA9_0008C7809E09_.wvu.PrintTitles" localSheetId="3" hidden="1">#REF!,#REF!</definedName>
    <definedName name="Z_179EFDE0_A1B1_11D3_8FA9_0008C7809E09_.wvu.PrintTitles" localSheetId="29" hidden="1">#REF!,#REF!</definedName>
    <definedName name="Z_179EFDE0_A1B1_11D3_8FA9_0008C7809E09_.wvu.PrintTitles" hidden="1">#REF!,#REF!</definedName>
    <definedName name="Z_179EFDE1_A1B1_11D3_8FA9_0008C7809E09_.wvu.PrintArea" localSheetId="6" hidden="1">#REF!</definedName>
    <definedName name="Z_179EFDE1_A1B1_11D3_8FA9_0008C7809E09_.wvu.PrintArea" localSheetId="7" hidden="1">#REF!</definedName>
    <definedName name="Z_179EFDE1_A1B1_11D3_8FA9_0008C7809E09_.wvu.PrintArea" localSheetId="3" hidden="1">#REF!</definedName>
    <definedName name="Z_179EFDE1_A1B1_11D3_8FA9_0008C7809E09_.wvu.PrintArea" localSheetId="29" hidden="1">#REF!</definedName>
    <definedName name="Z_179EFDE1_A1B1_11D3_8FA9_0008C7809E09_.wvu.PrintArea" hidden="1">#REF!</definedName>
    <definedName name="Z_179EFDE1_A1B1_11D3_8FA9_0008C7809E09_.wvu.PrintTitles" localSheetId="6" hidden="1">#REF!,#REF!</definedName>
    <definedName name="Z_179EFDE1_A1B1_11D3_8FA9_0008C7809E09_.wvu.PrintTitles" localSheetId="7" hidden="1">#REF!,#REF!</definedName>
    <definedName name="Z_179EFDE1_A1B1_11D3_8FA9_0008C7809E09_.wvu.PrintTitles" localSheetId="3" hidden="1">#REF!,#REF!</definedName>
    <definedName name="Z_179EFDE1_A1B1_11D3_8FA9_0008C7809E09_.wvu.PrintTitles" localSheetId="29" hidden="1">#REF!,#REF!</definedName>
    <definedName name="Z_179EFDE1_A1B1_11D3_8FA9_0008C7809E09_.wvu.PrintTitles" hidden="1">#REF!,#REF!</definedName>
    <definedName name="Z_179EFDE2_A1B1_11D3_8FA9_0008C7809E09_.wvu.PrintArea" localSheetId="6" hidden="1">#REF!</definedName>
    <definedName name="Z_179EFDE2_A1B1_11D3_8FA9_0008C7809E09_.wvu.PrintArea" localSheetId="7" hidden="1">#REF!</definedName>
    <definedName name="Z_179EFDE2_A1B1_11D3_8FA9_0008C7809E09_.wvu.PrintArea" localSheetId="3" hidden="1">#REF!</definedName>
    <definedName name="Z_179EFDE2_A1B1_11D3_8FA9_0008C7809E09_.wvu.PrintArea" localSheetId="29" hidden="1">#REF!</definedName>
    <definedName name="Z_179EFDE2_A1B1_11D3_8FA9_0008C7809E09_.wvu.PrintArea" hidden="1">#REF!</definedName>
    <definedName name="Z_179EFDE2_A1B1_11D3_8FA9_0008C7809E09_.wvu.PrintTitles" localSheetId="6" hidden="1">#REF!,#REF!</definedName>
    <definedName name="Z_179EFDE2_A1B1_11D3_8FA9_0008C7809E09_.wvu.PrintTitles" localSheetId="7" hidden="1">#REF!,#REF!</definedName>
    <definedName name="Z_179EFDE2_A1B1_11D3_8FA9_0008C7809E09_.wvu.PrintTitles" localSheetId="3" hidden="1">#REF!,#REF!</definedName>
    <definedName name="Z_179EFDE2_A1B1_11D3_8FA9_0008C7809E09_.wvu.PrintTitles" localSheetId="29" hidden="1">#REF!,#REF!</definedName>
    <definedName name="Z_179EFDE2_A1B1_11D3_8FA9_0008C7809E09_.wvu.PrintTitles" hidden="1">#REF!,#REF!</definedName>
    <definedName name="Z_179EFDE3_A1B1_11D3_8FA9_0008C7809E09_.wvu.PrintArea" localSheetId="6" hidden="1">#REF!</definedName>
    <definedName name="Z_179EFDE3_A1B1_11D3_8FA9_0008C7809E09_.wvu.PrintArea" localSheetId="7" hidden="1">#REF!</definedName>
    <definedName name="Z_179EFDE3_A1B1_11D3_8FA9_0008C7809E09_.wvu.PrintArea" localSheetId="3" hidden="1">#REF!</definedName>
    <definedName name="Z_179EFDE3_A1B1_11D3_8FA9_0008C7809E09_.wvu.PrintArea" localSheetId="29" hidden="1">#REF!</definedName>
    <definedName name="Z_179EFDE3_A1B1_11D3_8FA9_0008C7809E09_.wvu.PrintArea" hidden="1">#REF!</definedName>
    <definedName name="Z_179EFDE3_A1B1_11D3_8FA9_0008C7809E09_.wvu.PrintTitles" localSheetId="6" hidden="1">#REF!,#REF!</definedName>
    <definedName name="Z_179EFDE3_A1B1_11D3_8FA9_0008C7809E09_.wvu.PrintTitles" localSheetId="7" hidden="1">#REF!,#REF!</definedName>
    <definedName name="Z_179EFDE3_A1B1_11D3_8FA9_0008C7809E09_.wvu.PrintTitles" localSheetId="3" hidden="1">#REF!,#REF!</definedName>
    <definedName name="Z_179EFDE3_A1B1_11D3_8FA9_0008C7809E09_.wvu.PrintTitles" localSheetId="29" hidden="1">#REF!,#REF!</definedName>
    <definedName name="Z_179EFDE3_A1B1_11D3_8FA9_0008C7809E09_.wvu.PrintTitles" hidden="1">#REF!,#REF!</definedName>
    <definedName name="Z_179EFDE4_A1B1_11D3_8FA9_0008C7809E09_.wvu.PrintArea" localSheetId="6" hidden="1">#REF!</definedName>
    <definedName name="Z_179EFDE4_A1B1_11D3_8FA9_0008C7809E09_.wvu.PrintArea" localSheetId="7" hidden="1">#REF!</definedName>
    <definedName name="Z_179EFDE4_A1B1_11D3_8FA9_0008C7809E09_.wvu.PrintArea" localSheetId="3" hidden="1">#REF!</definedName>
    <definedName name="Z_179EFDE4_A1B1_11D3_8FA9_0008C7809E09_.wvu.PrintArea" localSheetId="29" hidden="1">#REF!</definedName>
    <definedName name="Z_179EFDE4_A1B1_11D3_8FA9_0008C7809E09_.wvu.PrintArea" hidden="1">#REF!</definedName>
    <definedName name="Z_179EFDE4_A1B1_11D3_8FA9_0008C7809E09_.wvu.PrintTitles" localSheetId="6" hidden="1">#REF!,#REF!</definedName>
    <definedName name="Z_179EFDE4_A1B1_11D3_8FA9_0008C7809E09_.wvu.PrintTitles" localSheetId="7" hidden="1">#REF!,#REF!</definedName>
    <definedName name="Z_179EFDE4_A1B1_11D3_8FA9_0008C7809E09_.wvu.PrintTitles" localSheetId="3" hidden="1">#REF!,#REF!</definedName>
    <definedName name="Z_179EFDE4_A1B1_11D3_8FA9_0008C7809E09_.wvu.PrintTitles" localSheetId="29" hidden="1">#REF!,#REF!</definedName>
    <definedName name="Z_179EFDE4_A1B1_11D3_8FA9_0008C7809E09_.wvu.PrintTitles" hidden="1">#REF!,#REF!</definedName>
    <definedName name="Z_179EFDE5_A1B1_11D3_8FA9_0008C7809E09_.wvu.PrintArea" localSheetId="6" hidden="1">#REF!</definedName>
    <definedName name="Z_179EFDE5_A1B1_11D3_8FA9_0008C7809E09_.wvu.PrintArea" localSheetId="7" hidden="1">#REF!</definedName>
    <definedName name="Z_179EFDE5_A1B1_11D3_8FA9_0008C7809E09_.wvu.PrintArea" localSheetId="3" hidden="1">#REF!</definedName>
    <definedName name="Z_179EFDE5_A1B1_11D3_8FA9_0008C7809E09_.wvu.PrintArea" localSheetId="29" hidden="1">#REF!</definedName>
    <definedName name="Z_179EFDE5_A1B1_11D3_8FA9_0008C7809E09_.wvu.PrintArea" hidden="1">#REF!</definedName>
    <definedName name="Z_179EFDE5_A1B1_11D3_8FA9_0008C7809E09_.wvu.PrintTitles" localSheetId="6" hidden="1">#REF!,#REF!</definedName>
    <definedName name="Z_179EFDE5_A1B1_11D3_8FA9_0008C7809E09_.wvu.PrintTitles" localSheetId="7" hidden="1">#REF!,#REF!</definedName>
    <definedName name="Z_179EFDE5_A1B1_11D3_8FA9_0008C7809E09_.wvu.PrintTitles" localSheetId="3" hidden="1">#REF!,#REF!</definedName>
    <definedName name="Z_179EFDE5_A1B1_11D3_8FA9_0008C7809E09_.wvu.PrintTitles" localSheetId="29" hidden="1">#REF!,#REF!</definedName>
    <definedName name="Z_179EFDE5_A1B1_11D3_8FA9_0008C7809E09_.wvu.PrintTitles" hidden="1">#REF!,#REF!</definedName>
    <definedName name="Z_179EFDE6_A1B1_11D3_8FA9_0008C7809E09_.wvu.PrintArea" localSheetId="6" hidden="1">#REF!</definedName>
    <definedName name="Z_179EFDE6_A1B1_11D3_8FA9_0008C7809E09_.wvu.PrintArea" localSheetId="7" hidden="1">#REF!</definedName>
    <definedName name="Z_179EFDE6_A1B1_11D3_8FA9_0008C7809E09_.wvu.PrintArea" localSheetId="3" hidden="1">#REF!</definedName>
    <definedName name="Z_179EFDE6_A1B1_11D3_8FA9_0008C7809E09_.wvu.PrintArea" localSheetId="29" hidden="1">#REF!</definedName>
    <definedName name="Z_179EFDE6_A1B1_11D3_8FA9_0008C7809E09_.wvu.PrintArea" hidden="1">#REF!</definedName>
    <definedName name="Z_179EFDE6_A1B1_11D3_8FA9_0008C7809E09_.wvu.PrintTitles" localSheetId="6" hidden="1">#REF!</definedName>
    <definedName name="Z_179EFDE6_A1B1_11D3_8FA9_0008C7809E09_.wvu.PrintTitles" localSheetId="7" hidden="1">#REF!</definedName>
    <definedName name="Z_179EFDE6_A1B1_11D3_8FA9_0008C7809E09_.wvu.PrintTitles" localSheetId="3" hidden="1">#REF!</definedName>
    <definedName name="Z_179EFDE6_A1B1_11D3_8FA9_0008C7809E09_.wvu.PrintTitles" localSheetId="29" hidden="1">#REF!</definedName>
    <definedName name="Z_179EFDE6_A1B1_11D3_8FA9_0008C7809E09_.wvu.PrintTitles" hidden="1">#REF!</definedName>
    <definedName name="Z_179EFDE7_A1B1_11D3_8FA9_0008C7809E09_.wvu.PrintArea" localSheetId="6" hidden="1">#REF!</definedName>
    <definedName name="Z_179EFDE7_A1B1_11D3_8FA9_0008C7809E09_.wvu.PrintArea" localSheetId="7" hidden="1">#REF!</definedName>
    <definedName name="Z_179EFDE7_A1B1_11D3_8FA9_0008C7809E09_.wvu.PrintArea" localSheetId="3" hidden="1">#REF!</definedName>
    <definedName name="Z_179EFDE7_A1B1_11D3_8FA9_0008C7809E09_.wvu.PrintArea" localSheetId="29" hidden="1">#REF!</definedName>
    <definedName name="Z_179EFDE7_A1B1_11D3_8FA9_0008C7809E09_.wvu.PrintArea" hidden="1">#REF!</definedName>
    <definedName name="Z_179EFDE7_A1B1_11D3_8FA9_0008C7809E09_.wvu.PrintTitles" localSheetId="3" hidden="1">#REF!</definedName>
    <definedName name="Z_179EFDE7_A1B1_11D3_8FA9_0008C7809E09_.wvu.PrintTitles" hidden="1">#REF!</definedName>
    <definedName name="Z_179EFDE8_A1B1_11D3_8FA9_0008C7809E09_.wvu.PrintArea" localSheetId="3" hidden="1">#REF!</definedName>
    <definedName name="Z_179EFDE8_A1B1_11D3_8FA9_0008C7809E09_.wvu.PrintArea" hidden="1">#REF!</definedName>
    <definedName name="Z_179EFDE8_A1B1_11D3_8FA9_0008C7809E09_.wvu.PrintTitles" localSheetId="3" hidden="1">#REF!</definedName>
    <definedName name="Z_179EFDE8_A1B1_11D3_8FA9_0008C7809E09_.wvu.PrintTitles" hidden="1">#REF!</definedName>
    <definedName name="Z_179EFDE9_A1B1_11D3_8FA9_0008C7809E09_.wvu.PrintArea" localSheetId="3" hidden="1">#REF!</definedName>
    <definedName name="Z_179EFDE9_A1B1_11D3_8FA9_0008C7809E09_.wvu.PrintArea" hidden="1">#REF!</definedName>
    <definedName name="Z_179EFDE9_A1B1_11D3_8FA9_0008C7809E09_.wvu.PrintTitles" localSheetId="3" hidden="1">#REF!</definedName>
    <definedName name="Z_179EFDE9_A1B1_11D3_8FA9_0008C7809E09_.wvu.PrintTitles" hidden="1">#REF!</definedName>
    <definedName name="Z_179EFDEA_A1B1_11D3_8FA9_0008C7809E09_.wvu.PrintArea" localSheetId="3" hidden="1">#REF!</definedName>
    <definedName name="Z_179EFDEA_A1B1_11D3_8FA9_0008C7809E09_.wvu.PrintArea" hidden="1">#REF!</definedName>
    <definedName name="Z_179EFDEA_A1B1_11D3_8FA9_0008C7809E09_.wvu.PrintTitles" localSheetId="3" hidden="1">#REF!</definedName>
    <definedName name="Z_179EFDEA_A1B1_11D3_8FA9_0008C7809E09_.wvu.PrintTitles" hidden="1">#REF!</definedName>
    <definedName name="Z_179EFDEB_A1B1_11D3_8FA9_0008C7809E09_.wvu.PrintArea" localSheetId="3" hidden="1">#REF!</definedName>
    <definedName name="Z_179EFDEB_A1B1_11D3_8FA9_0008C7809E09_.wvu.PrintArea" hidden="1">#REF!</definedName>
    <definedName name="Z_179EFDEB_A1B1_11D3_8FA9_0008C7809E09_.wvu.PrintTitles" localSheetId="3" hidden="1">#REF!</definedName>
    <definedName name="Z_179EFDEB_A1B1_11D3_8FA9_0008C7809E09_.wvu.PrintTitles" hidden="1">#REF!</definedName>
    <definedName name="Z_179EFDEC_A1B1_11D3_8FA9_0008C7809E09_.wvu.PrintArea" localSheetId="3" hidden="1">#REF!</definedName>
    <definedName name="Z_179EFDEC_A1B1_11D3_8FA9_0008C7809E09_.wvu.PrintArea" hidden="1">#REF!</definedName>
    <definedName name="Z_179EFDEC_A1B1_11D3_8FA9_0008C7809E09_.wvu.PrintTitles" localSheetId="3" hidden="1">#REF!</definedName>
    <definedName name="Z_179EFDEC_A1B1_11D3_8FA9_0008C7809E09_.wvu.PrintTitles" hidden="1">#REF!</definedName>
    <definedName name="Z_179EFDED_A1B1_11D3_8FA9_0008C7809E09_.wvu.PrintArea" localSheetId="3" hidden="1">#REF!</definedName>
    <definedName name="Z_179EFDED_A1B1_11D3_8FA9_0008C7809E09_.wvu.PrintArea" hidden="1">#REF!</definedName>
    <definedName name="Z_179EFDED_A1B1_11D3_8FA9_0008C7809E09_.wvu.PrintTitles" localSheetId="3" hidden="1">#REF!</definedName>
    <definedName name="Z_179EFDED_A1B1_11D3_8FA9_0008C7809E09_.wvu.PrintTitles" hidden="1">#REF!</definedName>
    <definedName name="Z_179EFDEE_A1B1_11D3_8FA9_0008C7809E09_.wvu.PrintArea" localSheetId="3" hidden="1">#REF!</definedName>
    <definedName name="Z_179EFDEE_A1B1_11D3_8FA9_0008C7809E09_.wvu.PrintArea" hidden="1">#REF!</definedName>
    <definedName name="Z_179EFDEE_A1B1_11D3_8FA9_0008C7809E09_.wvu.PrintTitles" localSheetId="3" hidden="1">#REF!</definedName>
    <definedName name="Z_179EFDEE_A1B1_11D3_8FA9_0008C7809E09_.wvu.PrintTitles" hidden="1">#REF!</definedName>
    <definedName name="Z_179EFDEF_A1B1_11D3_8FA9_0008C7809E09_.wvu.PrintArea" localSheetId="3" hidden="1">#REF!</definedName>
    <definedName name="Z_179EFDEF_A1B1_11D3_8FA9_0008C7809E09_.wvu.PrintArea" hidden="1">#REF!</definedName>
    <definedName name="Z_179EFDEF_A1B1_11D3_8FA9_0008C7809E09_.wvu.PrintTitles" localSheetId="3" hidden="1">#REF!</definedName>
    <definedName name="Z_179EFDEF_A1B1_11D3_8FA9_0008C7809E09_.wvu.PrintTitles" hidden="1">#REF!</definedName>
    <definedName name="Z_179EFDF0_A1B1_11D3_8FA9_0008C7809E09_.wvu.PrintArea" localSheetId="3" hidden="1">#REF!</definedName>
    <definedName name="Z_179EFDF0_A1B1_11D3_8FA9_0008C7809E09_.wvu.PrintArea" hidden="1">#REF!</definedName>
    <definedName name="Z_179EFDF0_A1B1_11D3_8FA9_0008C7809E09_.wvu.PrintTitles" localSheetId="3" hidden="1">#REF!</definedName>
    <definedName name="Z_179EFDF0_A1B1_11D3_8FA9_0008C7809E09_.wvu.PrintTitles" hidden="1">#REF!</definedName>
    <definedName name="Z_179EFDF1_A1B1_11D3_8FA9_0008C7809E09_.wvu.PrintArea" localSheetId="3" hidden="1">#REF!</definedName>
    <definedName name="Z_179EFDF1_A1B1_11D3_8FA9_0008C7809E09_.wvu.PrintArea" hidden="1">#REF!</definedName>
    <definedName name="Z_179EFDF1_A1B1_11D3_8FA9_0008C7809E09_.wvu.PrintTitles" localSheetId="3" hidden="1">#REF!</definedName>
    <definedName name="Z_179EFDF1_A1B1_11D3_8FA9_0008C7809E09_.wvu.PrintTitles" hidden="1">#REF!</definedName>
    <definedName name="Z_179EFDF2_A1B1_11D3_8FA9_0008C7809E09_.wvu.PrintArea" localSheetId="3" hidden="1">#REF!</definedName>
    <definedName name="Z_179EFDF2_A1B1_11D3_8FA9_0008C7809E09_.wvu.PrintArea" hidden="1">#REF!</definedName>
    <definedName name="Z_179EFDF2_A1B1_11D3_8FA9_0008C7809E09_.wvu.PrintTitles" localSheetId="3" hidden="1">#REF!</definedName>
    <definedName name="Z_179EFDF2_A1B1_11D3_8FA9_0008C7809E09_.wvu.PrintTitles" hidden="1">#REF!</definedName>
    <definedName name="Z_179EFDF3_A1B1_11D3_8FA9_0008C7809E09_.wvu.PrintArea" localSheetId="3" hidden="1">#REF!</definedName>
    <definedName name="Z_179EFDF3_A1B1_11D3_8FA9_0008C7809E09_.wvu.PrintArea" hidden="1">#REF!</definedName>
    <definedName name="Z_179EFDF3_A1B1_11D3_8FA9_0008C7809E09_.wvu.PrintTitles" localSheetId="6" hidden="1">#REF!,#REF!</definedName>
    <definedName name="Z_179EFDF3_A1B1_11D3_8FA9_0008C7809E09_.wvu.PrintTitles" localSheetId="7" hidden="1">#REF!,#REF!</definedName>
    <definedName name="Z_179EFDF3_A1B1_11D3_8FA9_0008C7809E09_.wvu.PrintTitles" localSheetId="3" hidden="1">#REF!,#REF!</definedName>
    <definedName name="Z_179EFDF3_A1B1_11D3_8FA9_0008C7809E09_.wvu.PrintTitles" localSheetId="29" hidden="1">#REF!,#REF!</definedName>
    <definedName name="Z_179EFDF3_A1B1_11D3_8FA9_0008C7809E09_.wvu.PrintTitles" hidden="1">#REF!,#REF!</definedName>
    <definedName name="Z_179EFDF4_A1B1_11D3_8FA9_0008C7809E09_.wvu.PrintArea" localSheetId="6" hidden="1">#REF!</definedName>
    <definedName name="Z_179EFDF4_A1B1_11D3_8FA9_0008C7809E09_.wvu.PrintArea" localSheetId="7" hidden="1">#REF!</definedName>
    <definedName name="Z_179EFDF4_A1B1_11D3_8FA9_0008C7809E09_.wvu.PrintArea" localSheetId="3" hidden="1">#REF!</definedName>
    <definedName name="Z_179EFDF4_A1B1_11D3_8FA9_0008C7809E09_.wvu.PrintArea" localSheetId="29" hidden="1">#REF!</definedName>
    <definedName name="Z_179EFDF4_A1B1_11D3_8FA9_0008C7809E09_.wvu.PrintArea" hidden="1">#REF!</definedName>
    <definedName name="Z_179EFDF4_A1B1_11D3_8FA9_0008C7809E09_.wvu.PrintTitles" localSheetId="6" hidden="1">#REF!,#REF!</definedName>
    <definedName name="Z_179EFDF4_A1B1_11D3_8FA9_0008C7809E09_.wvu.PrintTitles" localSheetId="7" hidden="1">#REF!,#REF!</definedName>
    <definedName name="Z_179EFDF4_A1B1_11D3_8FA9_0008C7809E09_.wvu.PrintTitles" localSheetId="3" hidden="1">#REF!,#REF!</definedName>
    <definedName name="Z_179EFDF4_A1B1_11D3_8FA9_0008C7809E09_.wvu.PrintTitles" localSheetId="29" hidden="1">#REF!,#REF!</definedName>
    <definedName name="Z_179EFDF4_A1B1_11D3_8FA9_0008C7809E09_.wvu.PrintTitles" hidden="1">#REF!,#REF!</definedName>
    <definedName name="Z_179EFDF5_A1B1_11D3_8FA9_0008C7809E09_.wvu.PrintArea" localSheetId="6" hidden="1">#REF!</definedName>
    <definedName name="Z_179EFDF5_A1B1_11D3_8FA9_0008C7809E09_.wvu.PrintArea" localSheetId="7" hidden="1">#REF!</definedName>
    <definedName name="Z_179EFDF5_A1B1_11D3_8FA9_0008C7809E09_.wvu.PrintArea" localSheetId="3" hidden="1">#REF!</definedName>
    <definedName name="Z_179EFDF5_A1B1_11D3_8FA9_0008C7809E09_.wvu.PrintArea" localSheetId="29" hidden="1">#REF!</definedName>
    <definedName name="Z_179EFDF5_A1B1_11D3_8FA9_0008C7809E09_.wvu.PrintArea" hidden="1">#REF!</definedName>
    <definedName name="Z_179EFDF5_A1B1_11D3_8FA9_0008C7809E09_.wvu.PrintTitles" localSheetId="6" hidden="1">#REF!,#REF!</definedName>
    <definedName name="Z_179EFDF5_A1B1_11D3_8FA9_0008C7809E09_.wvu.PrintTitles" localSheetId="7" hidden="1">#REF!,#REF!</definedName>
    <definedName name="Z_179EFDF5_A1B1_11D3_8FA9_0008C7809E09_.wvu.PrintTitles" localSheetId="3" hidden="1">#REF!,#REF!</definedName>
    <definedName name="Z_179EFDF5_A1B1_11D3_8FA9_0008C7809E09_.wvu.PrintTitles" localSheetId="29" hidden="1">#REF!,#REF!</definedName>
    <definedName name="Z_179EFDF5_A1B1_11D3_8FA9_0008C7809E09_.wvu.PrintTitles" hidden="1">#REF!,#REF!</definedName>
    <definedName name="Z_179EFDF6_A1B1_11D3_8FA9_0008C7809E09_.wvu.PrintArea" localSheetId="6" hidden="1">#REF!</definedName>
    <definedName name="Z_179EFDF6_A1B1_11D3_8FA9_0008C7809E09_.wvu.PrintArea" localSheetId="7" hidden="1">#REF!</definedName>
    <definedName name="Z_179EFDF6_A1B1_11D3_8FA9_0008C7809E09_.wvu.PrintArea" localSheetId="3" hidden="1">#REF!</definedName>
    <definedName name="Z_179EFDF6_A1B1_11D3_8FA9_0008C7809E09_.wvu.PrintArea" localSheetId="29" hidden="1">#REF!</definedName>
    <definedName name="Z_179EFDF6_A1B1_11D3_8FA9_0008C7809E09_.wvu.PrintArea" hidden="1">#REF!</definedName>
    <definedName name="Z_179EFDF6_A1B1_11D3_8FA9_0008C7809E09_.wvu.PrintTitles" localSheetId="6" hidden="1">#REF!,#REF!</definedName>
    <definedName name="Z_179EFDF6_A1B1_11D3_8FA9_0008C7809E09_.wvu.PrintTitles" localSheetId="7" hidden="1">#REF!,#REF!</definedName>
    <definedName name="Z_179EFDF6_A1B1_11D3_8FA9_0008C7809E09_.wvu.PrintTitles" localSheetId="3" hidden="1">#REF!,#REF!</definedName>
    <definedName name="Z_179EFDF6_A1B1_11D3_8FA9_0008C7809E09_.wvu.PrintTitles" localSheetId="29" hidden="1">#REF!,#REF!</definedName>
    <definedName name="Z_179EFDF6_A1B1_11D3_8FA9_0008C7809E09_.wvu.PrintTitles" hidden="1">#REF!,#REF!</definedName>
    <definedName name="Z_179EFDF7_A1B1_11D3_8FA9_0008C7809E09_.wvu.PrintArea" localSheetId="6" hidden="1">#REF!</definedName>
    <definedName name="Z_179EFDF7_A1B1_11D3_8FA9_0008C7809E09_.wvu.PrintArea" localSheetId="7" hidden="1">#REF!</definedName>
    <definedName name="Z_179EFDF7_A1B1_11D3_8FA9_0008C7809E09_.wvu.PrintArea" localSheetId="3" hidden="1">#REF!</definedName>
    <definedName name="Z_179EFDF7_A1B1_11D3_8FA9_0008C7809E09_.wvu.PrintArea" localSheetId="29" hidden="1">#REF!</definedName>
    <definedName name="Z_179EFDF7_A1B1_11D3_8FA9_0008C7809E09_.wvu.PrintArea" hidden="1">#REF!</definedName>
    <definedName name="Z_179EFDF7_A1B1_11D3_8FA9_0008C7809E09_.wvu.PrintTitles" localSheetId="6" hidden="1">#REF!,#REF!</definedName>
    <definedName name="Z_179EFDF7_A1B1_11D3_8FA9_0008C7809E09_.wvu.PrintTitles" localSheetId="7" hidden="1">#REF!,#REF!</definedName>
    <definedName name="Z_179EFDF7_A1B1_11D3_8FA9_0008C7809E09_.wvu.PrintTitles" localSheetId="3" hidden="1">#REF!,#REF!</definedName>
    <definedName name="Z_179EFDF7_A1B1_11D3_8FA9_0008C7809E09_.wvu.PrintTitles" localSheetId="29" hidden="1">#REF!,#REF!</definedName>
    <definedName name="Z_179EFDF7_A1B1_11D3_8FA9_0008C7809E09_.wvu.PrintTitles" hidden="1">#REF!,#REF!</definedName>
    <definedName name="Z_179EFDF8_A1B1_11D3_8FA9_0008C7809E09_.wvu.PrintArea" localSheetId="6" hidden="1">#REF!</definedName>
    <definedName name="Z_179EFDF8_A1B1_11D3_8FA9_0008C7809E09_.wvu.PrintArea" localSheetId="7" hidden="1">#REF!</definedName>
    <definedName name="Z_179EFDF8_A1B1_11D3_8FA9_0008C7809E09_.wvu.PrintArea" localSheetId="3" hidden="1">#REF!</definedName>
    <definedName name="Z_179EFDF8_A1B1_11D3_8FA9_0008C7809E09_.wvu.PrintArea" localSheetId="29" hidden="1">#REF!</definedName>
    <definedName name="Z_179EFDF8_A1B1_11D3_8FA9_0008C7809E09_.wvu.PrintArea" hidden="1">#REF!</definedName>
    <definedName name="Z_179EFDF8_A1B1_11D3_8FA9_0008C7809E09_.wvu.PrintTitles" localSheetId="6" hidden="1">#REF!,#REF!</definedName>
    <definedName name="Z_179EFDF8_A1B1_11D3_8FA9_0008C7809E09_.wvu.PrintTitles" localSheetId="7" hidden="1">#REF!,#REF!</definedName>
    <definedName name="Z_179EFDF8_A1B1_11D3_8FA9_0008C7809E09_.wvu.PrintTitles" localSheetId="3" hidden="1">#REF!,#REF!</definedName>
    <definedName name="Z_179EFDF8_A1B1_11D3_8FA9_0008C7809E09_.wvu.PrintTitles" localSheetId="29" hidden="1">#REF!,#REF!</definedName>
    <definedName name="Z_179EFDF8_A1B1_11D3_8FA9_0008C7809E09_.wvu.PrintTitles" hidden="1">#REF!,#REF!</definedName>
    <definedName name="Z_179EFDF9_A1B1_11D3_8FA9_0008C7809E09_.wvu.PrintArea" localSheetId="6" hidden="1">#REF!</definedName>
    <definedName name="Z_179EFDF9_A1B1_11D3_8FA9_0008C7809E09_.wvu.PrintArea" localSheetId="7" hidden="1">#REF!</definedName>
    <definedName name="Z_179EFDF9_A1B1_11D3_8FA9_0008C7809E09_.wvu.PrintArea" localSheetId="3" hidden="1">#REF!</definedName>
    <definedName name="Z_179EFDF9_A1B1_11D3_8FA9_0008C7809E09_.wvu.PrintArea" localSheetId="29" hidden="1">#REF!</definedName>
    <definedName name="Z_179EFDF9_A1B1_11D3_8FA9_0008C7809E09_.wvu.PrintArea" hidden="1">#REF!</definedName>
    <definedName name="Z_179EFDF9_A1B1_11D3_8FA9_0008C7809E09_.wvu.PrintTitles" localSheetId="6" hidden="1">#REF!,#REF!</definedName>
    <definedName name="Z_179EFDF9_A1B1_11D3_8FA9_0008C7809E09_.wvu.PrintTitles" localSheetId="7" hidden="1">#REF!,#REF!</definedName>
    <definedName name="Z_179EFDF9_A1B1_11D3_8FA9_0008C7809E09_.wvu.PrintTitles" localSheetId="3" hidden="1">#REF!,#REF!</definedName>
    <definedName name="Z_179EFDF9_A1B1_11D3_8FA9_0008C7809E09_.wvu.PrintTitles" localSheetId="29" hidden="1">#REF!,#REF!</definedName>
    <definedName name="Z_179EFDF9_A1B1_11D3_8FA9_0008C7809E09_.wvu.PrintTitles" hidden="1">#REF!,#REF!</definedName>
    <definedName name="Z_179EFDFA_A1B1_11D3_8FA9_0008C7809E09_.wvu.PrintArea" localSheetId="6" hidden="1">#REF!</definedName>
    <definedName name="Z_179EFDFA_A1B1_11D3_8FA9_0008C7809E09_.wvu.PrintArea" localSheetId="7" hidden="1">#REF!</definedName>
    <definedName name="Z_179EFDFA_A1B1_11D3_8FA9_0008C7809E09_.wvu.PrintArea" localSheetId="3" hidden="1">#REF!</definedName>
    <definedName name="Z_179EFDFA_A1B1_11D3_8FA9_0008C7809E09_.wvu.PrintArea" localSheetId="29" hidden="1">#REF!</definedName>
    <definedName name="Z_179EFDFA_A1B1_11D3_8FA9_0008C7809E09_.wvu.PrintArea" hidden="1">#REF!</definedName>
    <definedName name="Z_179EFDFA_A1B1_11D3_8FA9_0008C7809E09_.wvu.PrintTitles" localSheetId="6" hidden="1">#REF!,#REF!</definedName>
    <definedName name="Z_179EFDFA_A1B1_11D3_8FA9_0008C7809E09_.wvu.PrintTitles" localSheetId="7" hidden="1">#REF!,#REF!</definedName>
    <definedName name="Z_179EFDFA_A1B1_11D3_8FA9_0008C7809E09_.wvu.PrintTitles" localSheetId="3" hidden="1">#REF!,#REF!</definedName>
    <definedName name="Z_179EFDFA_A1B1_11D3_8FA9_0008C7809E09_.wvu.PrintTitles" localSheetId="29" hidden="1">#REF!,#REF!</definedName>
    <definedName name="Z_179EFDFA_A1B1_11D3_8FA9_0008C7809E09_.wvu.PrintTitles" hidden="1">#REF!,#REF!</definedName>
    <definedName name="Z_179EFDFB_A1B1_11D3_8FA9_0008C7809E09_.wvu.PrintArea" localSheetId="6" hidden="1">#REF!</definedName>
    <definedName name="Z_179EFDFB_A1B1_11D3_8FA9_0008C7809E09_.wvu.PrintArea" localSheetId="7" hidden="1">#REF!</definedName>
    <definedName name="Z_179EFDFB_A1B1_11D3_8FA9_0008C7809E09_.wvu.PrintArea" localSheetId="3" hidden="1">#REF!</definedName>
    <definedName name="Z_179EFDFB_A1B1_11D3_8FA9_0008C7809E09_.wvu.PrintArea" localSheetId="29" hidden="1">#REF!</definedName>
    <definedName name="Z_179EFDFB_A1B1_11D3_8FA9_0008C7809E09_.wvu.PrintArea" hidden="1">#REF!</definedName>
    <definedName name="Z_179EFDFB_A1B1_11D3_8FA9_0008C7809E09_.wvu.PrintTitles" localSheetId="6" hidden="1">#REF!,#REF!</definedName>
    <definedName name="Z_179EFDFB_A1B1_11D3_8FA9_0008C7809E09_.wvu.PrintTitles" localSheetId="7" hidden="1">#REF!,#REF!</definedName>
    <definedName name="Z_179EFDFB_A1B1_11D3_8FA9_0008C7809E09_.wvu.PrintTitles" localSheetId="3" hidden="1">#REF!,#REF!</definedName>
    <definedName name="Z_179EFDFB_A1B1_11D3_8FA9_0008C7809E09_.wvu.PrintTitles" localSheetId="29" hidden="1">#REF!,#REF!</definedName>
    <definedName name="Z_179EFDFB_A1B1_11D3_8FA9_0008C7809E09_.wvu.PrintTitles" hidden="1">#REF!,#REF!</definedName>
    <definedName name="Z_179EFDFC_A1B1_11D3_8FA9_0008C7809E09_.wvu.PrintArea" localSheetId="6" hidden="1">#REF!</definedName>
    <definedName name="Z_179EFDFC_A1B1_11D3_8FA9_0008C7809E09_.wvu.PrintArea" localSheetId="7" hidden="1">#REF!</definedName>
    <definedName name="Z_179EFDFC_A1B1_11D3_8FA9_0008C7809E09_.wvu.PrintArea" localSheetId="3" hidden="1">#REF!</definedName>
    <definedName name="Z_179EFDFC_A1B1_11D3_8FA9_0008C7809E09_.wvu.PrintArea" localSheetId="29" hidden="1">#REF!</definedName>
    <definedName name="Z_179EFDFC_A1B1_11D3_8FA9_0008C7809E09_.wvu.PrintArea" hidden="1">#REF!</definedName>
    <definedName name="Z_179EFDFC_A1B1_11D3_8FA9_0008C7809E09_.wvu.PrintTitles" localSheetId="6" hidden="1">#REF!,#REF!</definedName>
    <definedName name="Z_179EFDFC_A1B1_11D3_8FA9_0008C7809E09_.wvu.PrintTitles" localSheetId="7" hidden="1">#REF!,#REF!</definedName>
    <definedName name="Z_179EFDFC_A1B1_11D3_8FA9_0008C7809E09_.wvu.PrintTitles" localSheetId="3" hidden="1">#REF!,#REF!</definedName>
    <definedName name="Z_179EFDFC_A1B1_11D3_8FA9_0008C7809E09_.wvu.PrintTitles" localSheetId="29" hidden="1">#REF!,#REF!</definedName>
    <definedName name="Z_179EFDFC_A1B1_11D3_8FA9_0008C7809E09_.wvu.PrintTitles" hidden="1">#REF!,#REF!</definedName>
    <definedName name="Z_179EFDFD_A1B1_11D3_8FA9_0008C7809E09_.wvu.PrintArea" localSheetId="6" hidden="1">#REF!</definedName>
    <definedName name="Z_179EFDFD_A1B1_11D3_8FA9_0008C7809E09_.wvu.PrintArea" localSheetId="7" hidden="1">#REF!</definedName>
    <definedName name="Z_179EFDFD_A1B1_11D3_8FA9_0008C7809E09_.wvu.PrintArea" localSheetId="3" hidden="1">#REF!</definedName>
    <definedName name="Z_179EFDFD_A1B1_11D3_8FA9_0008C7809E09_.wvu.PrintArea" localSheetId="29" hidden="1">#REF!</definedName>
    <definedName name="Z_179EFDFD_A1B1_11D3_8FA9_0008C7809E09_.wvu.PrintArea" hidden="1">#REF!</definedName>
    <definedName name="Z_179EFDFD_A1B1_11D3_8FA9_0008C7809E09_.wvu.PrintTitles" localSheetId="6" hidden="1">#REF!,#REF!</definedName>
    <definedName name="Z_179EFDFD_A1B1_11D3_8FA9_0008C7809E09_.wvu.PrintTitles" localSheetId="7" hidden="1">#REF!,#REF!</definedName>
    <definedName name="Z_179EFDFD_A1B1_11D3_8FA9_0008C7809E09_.wvu.PrintTitles" localSheetId="3" hidden="1">#REF!,#REF!</definedName>
    <definedName name="Z_179EFDFD_A1B1_11D3_8FA9_0008C7809E09_.wvu.PrintTitles" localSheetId="29" hidden="1">#REF!,#REF!</definedName>
    <definedName name="Z_179EFDFD_A1B1_11D3_8FA9_0008C7809E09_.wvu.PrintTitles" hidden="1">#REF!,#REF!</definedName>
    <definedName name="Z_179EFDFE_A1B1_11D3_8FA9_0008C7809E09_.wvu.PrintArea" localSheetId="6" hidden="1">#REF!</definedName>
    <definedName name="Z_179EFDFE_A1B1_11D3_8FA9_0008C7809E09_.wvu.PrintArea" localSheetId="7" hidden="1">#REF!</definedName>
    <definedName name="Z_179EFDFE_A1B1_11D3_8FA9_0008C7809E09_.wvu.PrintArea" localSheetId="3" hidden="1">#REF!</definedName>
    <definedName name="Z_179EFDFE_A1B1_11D3_8FA9_0008C7809E09_.wvu.PrintArea" localSheetId="29" hidden="1">#REF!</definedName>
    <definedName name="Z_179EFDFE_A1B1_11D3_8FA9_0008C7809E09_.wvu.PrintArea" hidden="1">#REF!</definedName>
    <definedName name="Z_179EFDFE_A1B1_11D3_8FA9_0008C7809E09_.wvu.PrintTitles" localSheetId="6" hidden="1">#REF!,#REF!</definedName>
    <definedName name="Z_179EFDFE_A1B1_11D3_8FA9_0008C7809E09_.wvu.PrintTitles" localSheetId="7" hidden="1">#REF!,#REF!</definedName>
    <definedName name="Z_179EFDFE_A1B1_11D3_8FA9_0008C7809E09_.wvu.PrintTitles" localSheetId="3" hidden="1">#REF!,#REF!</definedName>
    <definedName name="Z_179EFDFE_A1B1_11D3_8FA9_0008C7809E09_.wvu.PrintTitles" localSheetId="29" hidden="1">#REF!,#REF!</definedName>
    <definedName name="Z_179EFDFE_A1B1_11D3_8FA9_0008C7809E09_.wvu.PrintTitles" hidden="1">#REF!,#REF!</definedName>
    <definedName name="Z_179EFDFF_A1B1_11D3_8FA9_0008C7809E09_.wvu.PrintArea" localSheetId="6" hidden="1">#REF!</definedName>
    <definedName name="Z_179EFDFF_A1B1_11D3_8FA9_0008C7809E09_.wvu.PrintArea" localSheetId="7" hidden="1">#REF!</definedName>
    <definedName name="Z_179EFDFF_A1B1_11D3_8FA9_0008C7809E09_.wvu.PrintArea" localSheetId="3" hidden="1">#REF!</definedName>
    <definedName name="Z_179EFDFF_A1B1_11D3_8FA9_0008C7809E09_.wvu.PrintArea" localSheetId="29" hidden="1">#REF!</definedName>
    <definedName name="Z_179EFDFF_A1B1_11D3_8FA9_0008C7809E09_.wvu.PrintArea" hidden="1">#REF!</definedName>
    <definedName name="Z_179EFDFF_A1B1_11D3_8FA9_0008C7809E09_.wvu.PrintTitles" localSheetId="6" hidden="1">#REF!,#REF!</definedName>
    <definedName name="Z_179EFDFF_A1B1_11D3_8FA9_0008C7809E09_.wvu.PrintTitles" localSheetId="7" hidden="1">#REF!,#REF!</definedName>
    <definedName name="Z_179EFDFF_A1B1_11D3_8FA9_0008C7809E09_.wvu.PrintTitles" localSheetId="3" hidden="1">#REF!,#REF!</definedName>
    <definedName name="Z_179EFDFF_A1B1_11D3_8FA9_0008C7809E09_.wvu.PrintTitles" localSheetId="29" hidden="1">#REF!,#REF!</definedName>
    <definedName name="Z_179EFDFF_A1B1_11D3_8FA9_0008C7809E09_.wvu.PrintTitles" hidden="1">#REF!,#REF!</definedName>
    <definedName name="Z_179EFE00_A1B1_11D3_8FA9_0008C7809E09_.wvu.PrintArea" localSheetId="6" hidden="1">#REF!</definedName>
    <definedName name="Z_179EFE00_A1B1_11D3_8FA9_0008C7809E09_.wvu.PrintArea" localSheetId="7" hidden="1">#REF!</definedName>
    <definedName name="Z_179EFE00_A1B1_11D3_8FA9_0008C7809E09_.wvu.PrintArea" localSheetId="3" hidden="1">#REF!</definedName>
    <definedName name="Z_179EFE00_A1B1_11D3_8FA9_0008C7809E09_.wvu.PrintArea" localSheetId="29" hidden="1">#REF!</definedName>
    <definedName name="Z_179EFE00_A1B1_11D3_8FA9_0008C7809E09_.wvu.PrintArea" hidden="1">#REF!</definedName>
    <definedName name="Z_179EFE00_A1B1_11D3_8FA9_0008C7809E09_.wvu.PrintTitles" localSheetId="6" hidden="1">#REF!,#REF!</definedName>
    <definedName name="Z_179EFE00_A1B1_11D3_8FA9_0008C7809E09_.wvu.PrintTitles" localSheetId="7" hidden="1">#REF!,#REF!</definedName>
    <definedName name="Z_179EFE00_A1B1_11D3_8FA9_0008C7809E09_.wvu.PrintTitles" localSheetId="3" hidden="1">#REF!,#REF!</definedName>
    <definedName name="Z_179EFE00_A1B1_11D3_8FA9_0008C7809E09_.wvu.PrintTitles" localSheetId="29" hidden="1">#REF!,#REF!</definedName>
    <definedName name="Z_179EFE00_A1B1_11D3_8FA9_0008C7809E09_.wvu.PrintTitles" hidden="1">#REF!,#REF!</definedName>
    <definedName name="Z_179EFE01_A1B1_11D3_8FA9_0008C7809E09_.wvu.PrintArea" localSheetId="6" hidden="1">#REF!</definedName>
    <definedName name="Z_179EFE01_A1B1_11D3_8FA9_0008C7809E09_.wvu.PrintArea" localSheetId="7" hidden="1">#REF!</definedName>
    <definedName name="Z_179EFE01_A1B1_11D3_8FA9_0008C7809E09_.wvu.PrintArea" localSheetId="3" hidden="1">#REF!</definedName>
    <definedName name="Z_179EFE01_A1B1_11D3_8FA9_0008C7809E09_.wvu.PrintArea" localSheetId="29" hidden="1">#REF!</definedName>
    <definedName name="Z_179EFE01_A1B1_11D3_8FA9_0008C7809E09_.wvu.PrintArea" hidden="1">#REF!</definedName>
    <definedName name="Z_179EFE01_A1B1_11D3_8FA9_0008C7809E09_.wvu.PrintTitles" localSheetId="6" hidden="1">#REF!,#REF!</definedName>
    <definedName name="Z_179EFE01_A1B1_11D3_8FA9_0008C7809E09_.wvu.PrintTitles" localSheetId="7" hidden="1">#REF!,#REF!</definedName>
    <definedName name="Z_179EFE01_A1B1_11D3_8FA9_0008C7809E09_.wvu.PrintTitles" localSheetId="3" hidden="1">#REF!,#REF!</definedName>
    <definedName name="Z_179EFE01_A1B1_11D3_8FA9_0008C7809E09_.wvu.PrintTitles" localSheetId="29" hidden="1">#REF!,#REF!</definedName>
    <definedName name="Z_179EFE01_A1B1_11D3_8FA9_0008C7809E09_.wvu.PrintTitles" hidden="1">#REF!,#REF!</definedName>
    <definedName name="Z_179EFE02_A1B1_11D3_8FA9_0008C7809E09_.wvu.PrintArea" localSheetId="6" hidden="1">#REF!</definedName>
    <definedName name="Z_179EFE02_A1B1_11D3_8FA9_0008C7809E09_.wvu.PrintArea" localSheetId="7" hidden="1">#REF!</definedName>
    <definedName name="Z_179EFE02_A1B1_11D3_8FA9_0008C7809E09_.wvu.PrintArea" localSheetId="3" hidden="1">#REF!</definedName>
    <definedName name="Z_179EFE02_A1B1_11D3_8FA9_0008C7809E09_.wvu.PrintArea" localSheetId="29" hidden="1">#REF!</definedName>
    <definedName name="Z_179EFE02_A1B1_11D3_8FA9_0008C7809E09_.wvu.PrintArea" hidden="1">#REF!</definedName>
    <definedName name="Z_179EFE02_A1B1_11D3_8FA9_0008C7809E09_.wvu.PrintTitles" localSheetId="6" hidden="1">#REF!,#REF!</definedName>
    <definedName name="Z_179EFE02_A1B1_11D3_8FA9_0008C7809E09_.wvu.PrintTitles" localSheetId="7" hidden="1">#REF!,#REF!</definedName>
    <definedName name="Z_179EFE02_A1B1_11D3_8FA9_0008C7809E09_.wvu.PrintTitles" localSheetId="3" hidden="1">#REF!,#REF!</definedName>
    <definedName name="Z_179EFE02_A1B1_11D3_8FA9_0008C7809E09_.wvu.PrintTitles" localSheetId="29" hidden="1">#REF!,#REF!</definedName>
    <definedName name="Z_179EFE02_A1B1_11D3_8FA9_0008C7809E09_.wvu.PrintTitles" hidden="1">#REF!,#REF!</definedName>
    <definedName name="Z_179EFE03_A1B1_11D3_8FA9_0008C7809E09_.wvu.PrintArea" localSheetId="6" hidden="1">#REF!</definedName>
    <definedName name="Z_179EFE03_A1B1_11D3_8FA9_0008C7809E09_.wvu.PrintArea" localSheetId="7" hidden="1">#REF!</definedName>
    <definedName name="Z_179EFE03_A1B1_11D3_8FA9_0008C7809E09_.wvu.PrintArea" localSheetId="3" hidden="1">#REF!</definedName>
    <definedName name="Z_179EFE03_A1B1_11D3_8FA9_0008C7809E09_.wvu.PrintArea" localSheetId="29" hidden="1">#REF!</definedName>
    <definedName name="Z_179EFE03_A1B1_11D3_8FA9_0008C7809E09_.wvu.PrintArea" hidden="1">#REF!</definedName>
    <definedName name="Z_179EFE03_A1B1_11D3_8FA9_0008C7809E09_.wvu.PrintTitles" localSheetId="6" hidden="1">#REF!,#REF!</definedName>
    <definedName name="Z_179EFE03_A1B1_11D3_8FA9_0008C7809E09_.wvu.PrintTitles" localSheetId="7" hidden="1">#REF!,#REF!</definedName>
    <definedName name="Z_179EFE03_A1B1_11D3_8FA9_0008C7809E09_.wvu.PrintTitles" localSheetId="3" hidden="1">#REF!,#REF!</definedName>
    <definedName name="Z_179EFE03_A1B1_11D3_8FA9_0008C7809E09_.wvu.PrintTitles" localSheetId="29" hidden="1">#REF!,#REF!</definedName>
    <definedName name="Z_179EFE03_A1B1_11D3_8FA9_0008C7809E09_.wvu.PrintTitles" hidden="1">#REF!,#REF!</definedName>
    <definedName name="Z_179EFE04_A1B1_11D3_8FA9_0008C7809E09_.wvu.PrintArea" localSheetId="6" hidden="1">#REF!</definedName>
    <definedName name="Z_179EFE04_A1B1_11D3_8FA9_0008C7809E09_.wvu.PrintArea" localSheetId="7" hidden="1">#REF!</definedName>
    <definedName name="Z_179EFE04_A1B1_11D3_8FA9_0008C7809E09_.wvu.PrintArea" localSheetId="3" hidden="1">#REF!</definedName>
    <definedName name="Z_179EFE04_A1B1_11D3_8FA9_0008C7809E09_.wvu.PrintArea" localSheetId="29" hidden="1">#REF!</definedName>
    <definedName name="Z_179EFE04_A1B1_11D3_8FA9_0008C7809E09_.wvu.PrintArea" hidden="1">#REF!</definedName>
    <definedName name="Z_179EFE04_A1B1_11D3_8FA9_0008C7809E09_.wvu.PrintTitles" localSheetId="6" hidden="1">#REF!,#REF!</definedName>
    <definedName name="Z_179EFE04_A1B1_11D3_8FA9_0008C7809E09_.wvu.PrintTitles" localSheetId="7" hidden="1">#REF!,#REF!</definedName>
    <definedName name="Z_179EFE04_A1B1_11D3_8FA9_0008C7809E09_.wvu.PrintTitles" localSheetId="3" hidden="1">#REF!,#REF!</definedName>
    <definedName name="Z_179EFE04_A1B1_11D3_8FA9_0008C7809E09_.wvu.PrintTitles" localSheetId="29" hidden="1">#REF!,#REF!</definedName>
    <definedName name="Z_179EFE04_A1B1_11D3_8FA9_0008C7809E09_.wvu.PrintTitles" hidden="1">#REF!,#REF!</definedName>
    <definedName name="Z_179EFE05_A1B1_11D3_8FA9_0008C7809E09_.wvu.PrintArea" localSheetId="6" hidden="1">#REF!</definedName>
    <definedName name="Z_179EFE05_A1B1_11D3_8FA9_0008C7809E09_.wvu.PrintArea" localSheetId="7" hidden="1">#REF!</definedName>
    <definedName name="Z_179EFE05_A1B1_11D3_8FA9_0008C7809E09_.wvu.PrintArea" localSheetId="3" hidden="1">#REF!</definedName>
    <definedName name="Z_179EFE05_A1B1_11D3_8FA9_0008C7809E09_.wvu.PrintArea" localSheetId="29" hidden="1">#REF!</definedName>
    <definedName name="Z_179EFE05_A1B1_11D3_8FA9_0008C7809E09_.wvu.PrintArea" hidden="1">#REF!</definedName>
    <definedName name="Z_179EFE05_A1B1_11D3_8FA9_0008C7809E09_.wvu.PrintTitles" localSheetId="6" hidden="1">#REF!,#REF!</definedName>
    <definedName name="Z_179EFE05_A1B1_11D3_8FA9_0008C7809E09_.wvu.PrintTitles" localSheetId="7" hidden="1">#REF!,#REF!</definedName>
    <definedName name="Z_179EFE05_A1B1_11D3_8FA9_0008C7809E09_.wvu.PrintTitles" localSheetId="3" hidden="1">#REF!,#REF!</definedName>
    <definedName name="Z_179EFE05_A1B1_11D3_8FA9_0008C7809E09_.wvu.PrintTitles" localSheetId="29" hidden="1">#REF!,#REF!</definedName>
    <definedName name="Z_179EFE05_A1B1_11D3_8FA9_0008C7809E09_.wvu.PrintTitles" hidden="1">#REF!,#REF!</definedName>
    <definedName name="Z_179EFE06_A1B1_11D3_8FA9_0008C7809E09_.wvu.PrintArea" localSheetId="6" hidden="1">#REF!</definedName>
    <definedName name="Z_179EFE06_A1B1_11D3_8FA9_0008C7809E09_.wvu.PrintArea" localSheetId="7" hidden="1">#REF!</definedName>
    <definedName name="Z_179EFE06_A1B1_11D3_8FA9_0008C7809E09_.wvu.PrintArea" localSheetId="3" hidden="1">#REF!</definedName>
    <definedName name="Z_179EFE06_A1B1_11D3_8FA9_0008C7809E09_.wvu.PrintArea" localSheetId="29" hidden="1">#REF!</definedName>
    <definedName name="Z_179EFE06_A1B1_11D3_8FA9_0008C7809E09_.wvu.PrintArea" hidden="1">#REF!</definedName>
    <definedName name="Z_179EFE06_A1B1_11D3_8FA9_0008C7809E09_.wvu.PrintTitles" localSheetId="6" hidden="1">#REF!,#REF!</definedName>
    <definedName name="Z_179EFE06_A1B1_11D3_8FA9_0008C7809E09_.wvu.PrintTitles" localSheetId="7" hidden="1">#REF!,#REF!</definedName>
    <definedName name="Z_179EFE06_A1B1_11D3_8FA9_0008C7809E09_.wvu.PrintTitles" localSheetId="3" hidden="1">#REF!,#REF!</definedName>
    <definedName name="Z_179EFE06_A1B1_11D3_8FA9_0008C7809E09_.wvu.PrintTitles" localSheetId="29" hidden="1">#REF!,#REF!</definedName>
    <definedName name="Z_179EFE06_A1B1_11D3_8FA9_0008C7809E09_.wvu.PrintTitles" hidden="1">#REF!,#REF!</definedName>
    <definedName name="Z_179EFE07_A1B1_11D3_8FA9_0008C7809E09_.wvu.PrintArea" localSheetId="6" hidden="1">#REF!</definedName>
    <definedName name="Z_179EFE07_A1B1_11D3_8FA9_0008C7809E09_.wvu.PrintArea" localSheetId="7" hidden="1">#REF!</definedName>
    <definedName name="Z_179EFE07_A1B1_11D3_8FA9_0008C7809E09_.wvu.PrintArea" localSheetId="3" hidden="1">#REF!</definedName>
    <definedName name="Z_179EFE07_A1B1_11D3_8FA9_0008C7809E09_.wvu.PrintArea" localSheetId="29" hidden="1">#REF!</definedName>
    <definedName name="Z_179EFE07_A1B1_11D3_8FA9_0008C7809E09_.wvu.PrintArea" hidden="1">#REF!</definedName>
    <definedName name="Z_179EFE07_A1B1_11D3_8FA9_0008C7809E09_.wvu.PrintTitles" localSheetId="6" hidden="1">#REF!,#REF!</definedName>
    <definedName name="Z_179EFE07_A1B1_11D3_8FA9_0008C7809E09_.wvu.PrintTitles" localSheetId="7" hidden="1">#REF!,#REF!</definedName>
    <definedName name="Z_179EFE07_A1B1_11D3_8FA9_0008C7809E09_.wvu.PrintTitles" localSheetId="3" hidden="1">#REF!,#REF!</definedName>
    <definedName name="Z_179EFE07_A1B1_11D3_8FA9_0008C7809E09_.wvu.PrintTitles" localSheetId="29" hidden="1">#REF!,#REF!</definedName>
    <definedName name="Z_179EFE07_A1B1_11D3_8FA9_0008C7809E09_.wvu.PrintTitles" hidden="1">#REF!,#REF!</definedName>
    <definedName name="Z_179EFE08_A1B1_11D3_8FA9_0008C7809E09_.wvu.PrintArea" localSheetId="6" hidden="1">#REF!</definedName>
    <definedName name="Z_179EFE08_A1B1_11D3_8FA9_0008C7809E09_.wvu.PrintArea" localSheetId="7" hidden="1">#REF!</definedName>
    <definedName name="Z_179EFE08_A1B1_11D3_8FA9_0008C7809E09_.wvu.PrintArea" localSheetId="3" hidden="1">#REF!</definedName>
    <definedName name="Z_179EFE08_A1B1_11D3_8FA9_0008C7809E09_.wvu.PrintArea" localSheetId="29" hidden="1">#REF!</definedName>
    <definedName name="Z_179EFE08_A1B1_11D3_8FA9_0008C7809E09_.wvu.PrintArea" hidden="1">#REF!</definedName>
    <definedName name="Z_179EFE08_A1B1_11D3_8FA9_0008C7809E09_.wvu.PrintTitles" localSheetId="6" hidden="1">#REF!,#REF!</definedName>
    <definedName name="Z_179EFE08_A1B1_11D3_8FA9_0008C7809E09_.wvu.PrintTitles" localSheetId="7" hidden="1">#REF!,#REF!</definedName>
    <definedName name="Z_179EFE08_A1B1_11D3_8FA9_0008C7809E09_.wvu.PrintTitles" localSheetId="3" hidden="1">#REF!,#REF!</definedName>
    <definedName name="Z_179EFE08_A1B1_11D3_8FA9_0008C7809E09_.wvu.PrintTitles" localSheetId="29" hidden="1">#REF!,#REF!</definedName>
    <definedName name="Z_179EFE08_A1B1_11D3_8FA9_0008C7809E09_.wvu.PrintTitles" hidden="1">#REF!,#REF!</definedName>
    <definedName name="Z_179EFE09_A1B1_11D3_8FA9_0008C7809E09_.wvu.PrintArea" localSheetId="6" hidden="1">#REF!</definedName>
    <definedName name="Z_179EFE09_A1B1_11D3_8FA9_0008C7809E09_.wvu.PrintArea" localSheetId="7" hidden="1">#REF!</definedName>
    <definedName name="Z_179EFE09_A1B1_11D3_8FA9_0008C7809E09_.wvu.PrintArea" localSheetId="3" hidden="1">#REF!</definedName>
    <definedName name="Z_179EFE09_A1B1_11D3_8FA9_0008C7809E09_.wvu.PrintArea" localSheetId="29" hidden="1">#REF!</definedName>
    <definedName name="Z_179EFE09_A1B1_11D3_8FA9_0008C7809E09_.wvu.PrintArea" hidden="1">#REF!</definedName>
    <definedName name="Z_179EFE09_A1B1_11D3_8FA9_0008C7809E09_.wvu.PrintTitles" localSheetId="6" hidden="1">#REF!,#REF!</definedName>
    <definedName name="Z_179EFE09_A1B1_11D3_8FA9_0008C7809E09_.wvu.PrintTitles" localSheetId="7" hidden="1">#REF!,#REF!</definedName>
    <definedName name="Z_179EFE09_A1B1_11D3_8FA9_0008C7809E09_.wvu.PrintTitles" localSheetId="3" hidden="1">#REF!,#REF!</definedName>
    <definedName name="Z_179EFE09_A1B1_11D3_8FA9_0008C7809E09_.wvu.PrintTitles" localSheetId="29" hidden="1">#REF!,#REF!</definedName>
    <definedName name="Z_179EFE09_A1B1_11D3_8FA9_0008C7809E09_.wvu.PrintTitles" hidden="1">#REF!,#REF!</definedName>
    <definedName name="Z_179EFE0A_A1B1_11D3_8FA9_0008C7809E09_.wvu.PrintArea" localSheetId="6" hidden="1">#REF!</definedName>
    <definedName name="Z_179EFE0A_A1B1_11D3_8FA9_0008C7809E09_.wvu.PrintArea" localSheetId="7" hidden="1">#REF!</definedName>
    <definedName name="Z_179EFE0A_A1B1_11D3_8FA9_0008C7809E09_.wvu.PrintArea" localSheetId="3" hidden="1">#REF!</definedName>
    <definedName name="Z_179EFE0A_A1B1_11D3_8FA9_0008C7809E09_.wvu.PrintArea" localSheetId="29" hidden="1">#REF!</definedName>
    <definedName name="Z_179EFE0A_A1B1_11D3_8FA9_0008C7809E09_.wvu.PrintArea" hidden="1">#REF!</definedName>
    <definedName name="Z_179EFE0A_A1B1_11D3_8FA9_0008C7809E09_.wvu.PrintTitles" localSheetId="6" hidden="1">#REF!,#REF!</definedName>
    <definedName name="Z_179EFE0A_A1B1_11D3_8FA9_0008C7809E09_.wvu.PrintTitles" localSheetId="7" hidden="1">#REF!,#REF!</definedName>
    <definedName name="Z_179EFE0A_A1B1_11D3_8FA9_0008C7809E09_.wvu.PrintTitles" localSheetId="3" hidden="1">#REF!,#REF!</definedName>
    <definedName name="Z_179EFE0A_A1B1_11D3_8FA9_0008C7809E09_.wvu.PrintTitles" localSheetId="29" hidden="1">#REF!,#REF!</definedName>
    <definedName name="Z_179EFE0A_A1B1_11D3_8FA9_0008C7809E09_.wvu.PrintTitles" hidden="1">#REF!,#REF!</definedName>
    <definedName name="Z_179EFE0B_A1B1_11D3_8FA9_0008C7809E09_.wvu.PrintArea" localSheetId="6" hidden="1">#REF!</definedName>
    <definedName name="Z_179EFE0B_A1B1_11D3_8FA9_0008C7809E09_.wvu.PrintArea" localSheetId="7" hidden="1">#REF!</definedName>
    <definedName name="Z_179EFE0B_A1B1_11D3_8FA9_0008C7809E09_.wvu.PrintArea" localSheetId="3" hidden="1">#REF!</definedName>
    <definedName name="Z_179EFE0B_A1B1_11D3_8FA9_0008C7809E09_.wvu.PrintArea" localSheetId="29" hidden="1">#REF!</definedName>
    <definedName name="Z_179EFE0B_A1B1_11D3_8FA9_0008C7809E09_.wvu.PrintArea" hidden="1">#REF!</definedName>
    <definedName name="Z_179EFE0B_A1B1_11D3_8FA9_0008C7809E09_.wvu.PrintTitles" localSheetId="6" hidden="1">#REF!,#REF!</definedName>
    <definedName name="Z_179EFE0B_A1B1_11D3_8FA9_0008C7809E09_.wvu.PrintTitles" localSheetId="7" hidden="1">#REF!,#REF!</definedName>
    <definedName name="Z_179EFE0B_A1B1_11D3_8FA9_0008C7809E09_.wvu.PrintTitles" localSheetId="3" hidden="1">#REF!,#REF!</definedName>
    <definedName name="Z_179EFE0B_A1B1_11D3_8FA9_0008C7809E09_.wvu.PrintTitles" localSheetId="29" hidden="1">#REF!,#REF!</definedName>
    <definedName name="Z_179EFE0B_A1B1_11D3_8FA9_0008C7809E09_.wvu.PrintTitles" hidden="1">#REF!,#REF!</definedName>
    <definedName name="Z_179EFE0C_A1B1_11D3_8FA9_0008C7809E09_.wvu.PrintArea" localSheetId="6" hidden="1">#REF!</definedName>
    <definedName name="Z_179EFE0C_A1B1_11D3_8FA9_0008C7809E09_.wvu.PrintArea" localSheetId="7" hidden="1">#REF!</definedName>
    <definedName name="Z_179EFE0C_A1B1_11D3_8FA9_0008C7809E09_.wvu.PrintArea" localSheetId="3" hidden="1">#REF!</definedName>
    <definedName name="Z_179EFE0C_A1B1_11D3_8FA9_0008C7809E09_.wvu.PrintArea" localSheetId="29" hidden="1">#REF!</definedName>
    <definedName name="Z_179EFE0C_A1B1_11D3_8FA9_0008C7809E09_.wvu.PrintArea" hidden="1">#REF!</definedName>
    <definedName name="Z_179EFE0C_A1B1_11D3_8FA9_0008C7809E09_.wvu.PrintTitles" localSheetId="6" hidden="1">#REF!,#REF!</definedName>
    <definedName name="Z_179EFE0C_A1B1_11D3_8FA9_0008C7809E09_.wvu.PrintTitles" localSheetId="7" hidden="1">#REF!,#REF!</definedName>
    <definedName name="Z_179EFE0C_A1B1_11D3_8FA9_0008C7809E09_.wvu.PrintTitles" localSheetId="3" hidden="1">#REF!,#REF!</definedName>
    <definedName name="Z_179EFE0C_A1B1_11D3_8FA9_0008C7809E09_.wvu.PrintTitles" localSheetId="29" hidden="1">#REF!,#REF!</definedName>
    <definedName name="Z_179EFE0C_A1B1_11D3_8FA9_0008C7809E09_.wvu.PrintTitles" hidden="1">#REF!,#REF!</definedName>
    <definedName name="Z_179EFE0D_A1B1_11D3_8FA9_0008C7809E09_.wvu.PrintArea" localSheetId="6" hidden="1">#REF!</definedName>
    <definedName name="Z_179EFE0D_A1B1_11D3_8FA9_0008C7809E09_.wvu.PrintArea" localSheetId="7" hidden="1">#REF!</definedName>
    <definedName name="Z_179EFE0D_A1B1_11D3_8FA9_0008C7809E09_.wvu.PrintArea" localSheetId="3" hidden="1">#REF!</definedName>
    <definedName name="Z_179EFE0D_A1B1_11D3_8FA9_0008C7809E09_.wvu.PrintArea" localSheetId="29" hidden="1">#REF!</definedName>
    <definedName name="Z_179EFE0D_A1B1_11D3_8FA9_0008C7809E09_.wvu.PrintArea" hidden="1">#REF!</definedName>
    <definedName name="Z_179EFE0D_A1B1_11D3_8FA9_0008C7809E09_.wvu.PrintTitles" localSheetId="6" hidden="1">#REF!,#REF!</definedName>
    <definedName name="Z_179EFE0D_A1B1_11D3_8FA9_0008C7809E09_.wvu.PrintTitles" localSheetId="7" hidden="1">#REF!,#REF!</definedName>
    <definedName name="Z_179EFE0D_A1B1_11D3_8FA9_0008C7809E09_.wvu.PrintTitles" localSheetId="3" hidden="1">#REF!,#REF!</definedName>
    <definedName name="Z_179EFE0D_A1B1_11D3_8FA9_0008C7809E09_.wvu.PrintTitles" localSheetId="29" hidden="1">#REF!,#REF!</definedName>
    <definedName name="Z_179EFE0D_A1B1_11D3_8FA9_0008C7809E09_.wvu.PrintTitles" hidden="1">#REF!,#REF!</definedName>
    <definedName name="Z_179EFE0E_A1B1_11D3_8FA9_0008C7809E09_.wvu.PrintArea" localSheetId="6" hidden="1">#REF!</definedName>
    <definedName name="Z_179EFE0E_A1B1_11D3_8FA9_0008C7809E09_.wvu.PrintArea" localSheetId="7" hidden="1">#REF!</definedName>
    <definedName name="Z_179EFE0E_A1B1_11D3_8FA9_0008C7809E09_.wvu.PrintArea" localSheetId="3" hidden="1">#REF!</definedName>
    <definedName name="Z_179EFE0E_A1B1_11D3_8FA9_0008C7809E09_.wvu.PrintArea" localSheetId="29" hidden="1">#REF!</definedName>
    <definedName name="Z_179EFE0E_A1B1_11D3_8FA9_0008C7809E09_.wvu.PrintArea" hidden="1">#REF!</definedName>
    <definedName name="Z_179EFE0E_A1B1_11D3_8FA9_0008C7809E09_.wvu.PrintTitles" localSheetId="6" hidden="1">#REF!,#REF!</definedName>
    <definedName name="Z_179EFE0E_A1B1_11D3_8FA9_0008C7809E09_.wvu.PrintTitles" localSheetId="7" hidden="1">#REF!,#REF!</definedName>
    <definedName name="Z_179EFE0E_A1B1_11D3_8FA9_0008C7809E09_.wvu.PrintTitles" localSheetId="3" hidden="1">#REF!,#REF!</definedName>
    <definedName name="Z_179EFE0E_A1B1_11D3_8FA9_0008C7809E09_.wvu.PrintTitles" localSheetId="29" hidden="1">#REF!,#REF!</definedName>
    <definedName name="Z_179EFE0E_A1B1_11D3_8FA9_0008C7809E09_.wvu.PrintTitles" hidden="1">#REF!,#REF!</definedName>
    <definedName name="Z_179EFE0F_A1B1_11D3_8FA9_0008C7809E09_.wvu.PrintArea" localSheetId="6" hidden="1">#REF!</definedName>
    <definedName name="Z_179EFE0F_A1B1_11D3_8FA9_0008C7809E09_.wvu.PrintArea" localSheetId="7" hidden="1">#REF!</definedName>
    <definedName name="Z_179EFE0F_A1B1_11D3_8FA9_0008C7809E09_.wvu.PrintArea" localSheetId="3" hidden="1">#REF!</definedName>
    <definedName name="Z_179EFE0F_A1B1_11D3_8FA9_0008C7809E09_.wvu.PrintArea" localSheetId="29" hidden="1">#REF!</definedName>
    <definedName name="Z_179EFE0F_A1B1_11D3_8FA9_0008C7809E09_.wvu.PrintArea" hidden="1">#REF!</definedName>
    <definedName name="Z_179EFE0F_A1B1_11D3_8FA9_0008C7809E09_.wvu.PrintTitles" localSheetId="6" hidden="1">#REF!,#REF!</definedName>
    <definedName name="Z_179EFE0F_A1B1_11D3_8FA9_0008C7809E09_.wvu.PrintTitles" localSheetId="7" hidden="1">#REF!,#REF!</definedName>
    <definedName name="Z_179EFE0F_A1B1_11D3_8FA9_0008C7809E09_.wvu.PrintTitles" localSheetId="3" hidden="1">#REF!,#REF!</definedName>
    <definedName name="Z_179EFE0F_A1B1_11D3_8FA9_0008C7809E09_.wvu.PrintTitles" localSheetId="29" hidden="1">#REF!,#REF!</definedName>
    <definedName name="Z_179EFE0F_A1B1_11D3_8FA9_0008C7809E09_.wvu.PrintTitles" hidden="1">#REF!,#REF!</definedName>
    <definedName name="Z_179EFE10_A1B1_11D3_8FA9_0008C7809E09_.wvu.PrintArea" localSheetId="6" hidden="1">#REF!</definedName>
    <definedName name="Z_179EFE10_A1B1_11D3_8FA9_0008C7809E09_.wvu.PrintArea" localSheetId="7" hidden="1">#REF!</definedName>
    <definedName name="Z_179EFE10_A1B1_11D3_8FA9_0008C7809E09_.wvu.PrintArea" localSheetId="3" hidden="1">#REF!</definedName>
    <definedName name="Z_179EFE10_A1B1_11D3_8FA9_0008C7809E09_.wvu.PrintArea" localSheetId="29" hidden="1">#REF!</definedName>
    <definedName name="Z_179EFE10_A1B1_11D3_8FA9_0008C7809E09_.wvu.PrintArea" hidden="1">#REF!</definedName>
    <definedName name="Z_179EFE10_A1B1_11D3_8FA9_0008C7809E09_.wvu.PrintTitles" localSheetId="6" hidden="1">#REF!,#REF!</definedName>
    <definedName name="Z_179EFE10_A1B1_11D3_8FA9_0008C7809E09_.wvu.PrintTitles" localSheetId="7" hidden="1">#REF!,#REF!</definedName>
    <definedName name="Z_179EFE10_A1B1_11D3_8FA9_0008C7809E09_.wvu.PrintTitles" localSheetId="3" hidden="1">#REF!,#REF!</definedName>
    <definedName name="Z_179EFE10_A1B1_11D3_8FA9_0008C7809E09_.wvu.PrintTitles" localSheetId="29" hidden="1">#REF!,#REF!</definedName>
    <definedName name="Z_179EFE10_A1B1_11D3_8FA9_0008C7809E09_.wvu.PrintTitles" hidden="1">#REF!,#REF!</definedName>
    <definedName name="Z_179EFE11_A1B1_11D3_8FA9_0008C7809E09_.wvu.PrintArea" localSheetId="6" hidden="1">#REF!</definedName>
    <definedName name="Z_179EFE11_A1B1_11D3_8FA9_0008C7809E09_.wvu.PrintArea" localSheetId="7" hidden="1">#REF!</definedName>
    <definedName name="Z_179EFE11_A1B1_11D3_8FA9_0008C7809E09_.wvu.PrintArea" localSheetId="3" hidden="1">#REF!</definedName>
    <definedName name="Z_179EFE11_A1B1_11D3_8FA9_0008C7809E09_.wvu.PrintArea" localSheetId="29" hidden="1">#REF!</definedName>
    <definedName name="Z_179EFE11_A1B1_11D3_8FA9_0008C7809E09_.wvu.PrintArea" hidden="1">#REF!</definedName>
    <definedName name="Z_179EFE11_A1B1_11D3_8FA9_0008C7809E09_.wvu.PrintTitles" localSheetId="6" hidden="1">#REF!,#REF!</definedName>
    <definedName name="Z_179EFE11_A1B1_11D3_8FA9_0008C7809E09_.wvu.PrintTitles" localSheetId="7" hidden="1">#REF!,#REF!</definedName>
    <definedName name="Z_179EFE11_A1B1_11D3_8FA9_0008C7809E09_.wvu.PrintTitles" localSheetId="3" hidden="1">#REF!,#REF!</definedName>
    <definedName name="Z_179EFE11_A1B1_11D3_8FA9_0008C7809E09_.wvu.PrintTitles" localSheetId="29" hidden="1">#REF!,#REF!</definedName>
    <definedName name="Z_179EFE11_A1B1_11D3_8FA9_0008C7809E09_.wvu.PrintTitles" hidden="1">#REF!,#REF!</definedName>
    <definedName name="Z_179EFE12_A1B1_11D3_8FA9_0008C7809E09_.wvu.PrintArea" localSheetId="6" hidden="1">#REF!</definedName>
    <definedName name="Z_179EFE12_A1B1_11D3_8FA9_0008C7809E09_.wvu.PrintArea" localSheetId="7" hidden="1">#REF!</definedName>
    <definedName name="Z_179EFE12_A1B1_11D3_8FA9_0008C7809E09_.wvu.PrintArea" localSheetId="3" hidden="1">#REF!</definedName>
    <definedName name="Z_179EFE12_A1B1_11D3_8FA9_0008C7809E09_.wvu.PrintArea" localSheetId="29" hidden="1">#REF!</definedName>
    <definedName name="Z_179EFE12_A1B1_11D3_8FA9_0008C7809E09_.wvu.PrintArea" hidden="1">#REF!</definedName>
    <definedName name="Z_179EFE12_A1B1_11D3_8FA9_0008C7809E09_.wvu.PrintTitles" localSheetId="6" hidden="1">#REF!,#REF!</definedName>
    <definedName name="Z_179EFE12_A1B1_11D3_8FA9_0008C7809E09_.wvu.PrintTitles" localSheetId="7" hidden="1">#REF!,#REF!</definedName>
    <definedName name="Z_179EFE12_A1B1_11D3_8FA9_0008C7809E09_.wvu.PrintTitles" localSheetId="3" hidden="1">#REF!,#REF!</definedName>
    <definedName name="Z_179EFE12_A1B1_11D3_8FA9_0008C7809E09_.wvu.PrintTitles" localSheetId="29" hidden="1">#REF!,#REF!</definedName>
    <definedName name="Z_179EFE12_A1B1_11D3_8FA9_0008C7809E09_.wvu.PrintTitles" hidden="1">#REF!,#REF!</definedName>
    <definedName name="Z_179EFE13_A1B1_11D3_8FA9_0008C7809E09_.wvu.PrintArea" localSheetId="6" hidden="1">#REF!</definedName>
    <definedName name="Z_179EFE13_A1B1_11D3_8FA9_0008C7809E09_.wvu.PrintArea" localSheetId="7" hidden="1">#REF!</definedName>
    <definedName name="Z_179EFE13_A1B1_11D3_8FA9_0008C7809E09_.wvu.PrintArea" localSheetId="3" hidden="1">#REF!</definedName>
    <definedName name="Z_179EFE13_A1B1_11D3_8FA9_0008C7809E09_.wvu.PrintArea" localSheetId="29" hidden="1">#REF!</definedName>
    <definedName name="Z_179EFE13_A1B1_11D3_8FA9_0008C7809E09_.wvu.PrintArea" hidden="1">#REF!</definedName>
    <definedName name="Z_179EFE13_A1B1_11D3_8FA9_0008C7809E09_.wvu.PrintTitles" localSheetId="6" hidden="1">#REF!,#REF!</definedName>
    <definedName name="Z_179EFE13_A1B1_11D3_8FA9_0008C7809E09_.wvu.PrintTitles" localSheetId="7" hidden="1">#REF!,#REF!</definedName>
    <definedName name="Z_179EFE13_A1B1_11D3_8FA9_0008C7809E09_.wvu.PrintTitles" localSheetId="3" hidden="1">#REF!,#REF!</definedName>
    <definedName name="Z_179EFE13_A1B1_11D3_8FA9_0008C7809E09_.wvu.PrintTitles" localSheetId="29" hidden="1">#REF!,#REF!</definedName>
    <definedName name="Z_179EFE13_A1B1_11D3_8FA9_0008C7809E09_.wvu.PrintTitles" hidden="1">#REF!,#REF!</definedName>
    <definedName name="Z_179EFE14_A1B1_11D3_8FA9_0008C7809E09_.wvu.PrintArea" localSheetId="6" hidden="1">#REF!</definedName>
    <definedName name="Z_179EFE14_A1B1_11D3_8FA9_0008C7809E09_.wvu.PrintArea" localSheetId="7" hidden="1">#REF!</definedName>
    <definedName name="Z_179EFE14_A1B1_11D3_8FA9_0008C7809E09_.wvu.PrintArea" localSheetId="3" hidden="1">#REF!</definedName>
    <definedName name="Z_179EFE14_A1B1_11D3_8FA9_0008C7809E09_.wvu.PrintArea" localSheetId="29" hidden="1">#REF!</definedName>
    <definedName name="Z_179EFE14_A1B1_11D3_8FA9_0008C7809E09_.wvu.PrintArea" hidden="1">#REF!</definedName>
    <definedName name="Z_179EFE14_A1B1_11D3_8FA9_0008C7809E09_.wvu.PrintTitles" localSheetId="6" hidden="1">#REF!,#REF!</definedName>
    <definedName name="Z_179EFE14_A1B1_11D3_8FA9_0008C7809E09_.wvu.PrintTitles" localSheetId="7" hidden="1">#REF!,#REF!</definedName>
    <definedName name="Z_179EFE14_A1B1_11D3_8FA9_0008C7809E09_.wvu.PrintTitles" localSheetId="3" hidden="1">#REF!,#REF!</definedName>
    <definedName name="Z_179EFE14_A1B1_11D3_8FA9_0008C7809E09_.wvu.PrintTitles" localSheetId="29" hidden="1">#REF!,#REF!</definedName>
    <definedName name="Z_179EFE14_A1B1_11D3_8FA9_0008C7809E09_.wvu.PrintTitles" hidden="1">#REF!,#REF!</definedName>
    <definedName name="Z_179EFE15_A1B1_11D3_8FA9_0008C7809E09_.wvu.PrintArea" localSheetId="6" hidden="1">#REF!</definedName>
    <definedName name="Z_179EFE15_A1B1_11D3_8FA9_0008C7809E09_.wvu.PrintArea" localSheetId="7" hidden="1">#REF!</definedName>
    <definedName name="Z_179EFE15_A1B1_11D3_8FA9_0008C7809E09_.wvu.PrintArea" localSheetId="3" hidden="1">#REF!</definedName>
    <definedName name="Z_179EFE15_A1B1_11D3_8FA9_0008C7809E09_.wvu.PrintArea" localSheetId="29" hidden="1">#REF!</definedName>
    <definedName name="Z_179EFE15_A1B1_11D3_8FA9_0008C7809E09_.wvu.PrintArea" hidden="1">#REF!</definedName>
    <definedName name="Z_179EFE15_A1B1_11D3_8FA9_0008C7809E09_.wvu.PrintTitles" localSheetId="6" hidden="1">#REF!,#REF!</definedName>
    <definedName name="Z_179EFE15_A1B1_11D3_8FA9_0008C7809E09_.wvu.PrintTitles" localSheetId="7" hidden="1">#REF!,#REF!</definedName>
    <definedName name="Z_179EFE15_A1B1_11D3_8FA9_0008C7809E09_.wvu.PrintTitles" localSheetId="3" hidden="1">#REF!,#REF!</definedName>
    <definedName name="Z_179EFE15_A1B1_11D3_8FA9_0008C7809E09_.wvu.PrintTitles" localSheetId="29" hidden="1">#REF!,#REF!</definedName>
    <definedName name="Z_179EFE15_A1B1_11D3_8FA9_0008C7809E09_.wvu.PrintTitles" hidden="1">#REF!,#REF!</definedName>
    <definedName name="Z_179EFE16_A1B1_11D3_8FA9_0008C7809E09_.wvu.PrintArea" localSheetId="6" hidden="1">#REF!</definedName>
    <definedName name="Z_179EFE16_A1B1_11D3_8FA9_0008C7809E09_.wvu.PrintArea" localSheetId="7" hidden="1">#REF!</definedName>
    <definedName name="Z_179EFE16_A1B1_11D3_8FA9_0008C7809E09_.wvu.PrintArea" localSheetId="3" hidden="1">#REF!</definedName>
    <definedName name="Z_179EFE16_A1B1_11D3_8FA9_0008C7809E09_.wvu.PrintArea" localSheetId="29" hidden="1">#REF!</definedName>
    <definedName name="Z_179EFE16_A1B1_11D3_8FA9_0008C7809E09_.wvu.PrintArea" hidden="1">#REF!</definedName>
    <definedName name="Z_179EFE16_A1B1_11D3_8FA9_0008C7809E09_.wvu.PrintTitles" localSheetId="6" hidden="1">#REF!,#REF!</definedName>
    <definedName name="Z_179EFE16_A1B1_11D3_8FA9_0008C7809E09_.wvu.PrintTitles" localSheetId="7" hidden="1">#REF!,#REF!</definedName>
    <definedName name="Z_179EFE16_A1B1_11D3_8FA9_0008C7809E09_.wvu.PrintTitles" localSheetId="3" hidden="1">#REF!,#REF!</definedName>
    <definedName name="Z_179EFE16_A1B1_11D3_8FA9_0008C7809E09_.wvu.PrintTitles" localSheetId="29" hidden="1">#REF!,#REF!</definedName>
    <definedName name="Z_179EFE16_A1B1_11D3_8FA9_0008C7809E09_.wvu.PrintTitles" hidden="1">#REF!,#REF!</definedName>
    <definedName name="Z_179EFE17_A1B1_11D3_8FA9_0008C7809E09_.wvu.PrintArea" localSheetId="6" hidden="1">#REF!</definedName>
    <definedName name="Z_179EFE17_A1B1_11D3_8FA9_0008C7809E09_.wvu.PrintArea" localSheetId="7" hidden="1">#REF!</definedName>
    <definedName name="Z_179EFE17_A1B1_11D3_8FA9_0008C7809E09_.wvu.PrintArea" localSheetId="3" hidden="1">#REF!</definedName>
    <definedName name="Z_179EFE17_A1B1_11D3_8FA9_0008C7809E09_.wvu.PrintArea" localSheetId="29" hidden="1">#REF!</definedName>
    <definedName name="Z_179EFE17_A1B1_11D3_8FA9_0008C7809E09_.wvu.PrintArea" hidden="1">#REF!</definedName>
    <definedName name="Z_179EFE17_A1B1_11D3_8FA9_0008C7809E09_.wvu.PrintTitles" localSheetId="6" hidden="1">#REF!,#REF!</definedName>
    <definedName name="Z_179EFE17_A1B1_11D3_8FA9_0008C7809E09_.wvu.PrintTitles" localSheetId="7" hidden="1">#REF!,#REF!</definedName>
    <definedName name="Z_179EFE17_A1B1_11D3_8FA9_0008C7809E09_.wvu.PrintTitles" localSheetId="3" hidden="1">#REF!,#REF!</definedName>
    <definedName name="Z_179EFE17_A1B1_11D3_8FA9_0008C7809E09_.wvu.PrintTitles" localSheetId="29" hidden="1">#REF!,#REF!</definedName>
    <definedName name="Z_179EFE17_A1B1_11D3_8FA9_0008C7809E09_.wvu.PrintTitles" hidden="1">#REF!,#REF!</definedName>
    <definedName name="Z_179EFE18_A1B1_11D3_8FA9_0008C7809E09_.wvu.PrintArea" localSheetId="6" hidden="1">#REF!</definedName>
    <definedName name="Z_179EFE18_A1B1_11D3_8FA9_0008C7809E09_.wvu.PrintArea" localSheetId="7" hidden="1">#REF!</definedName>
    <definedName name="Z_179EFE18_A1B1_11D3_8FA9_0008C7809E09_.wvu.PrintArea" localSheetId="3" hidden="1">#REF!</definedName>
    <definedName name="Z_179EFE18_A1B1_11D3_8FA9_0008C7809E09_.wvu.PrintArea" localSheetId="29" hidden="1">#REF!</definedName>
    <definedName name="Z_179EFE18_A1B1_11D3_8FA9_0008C7809E09_.wvu.PrintArea" hidden="1">#REF!</definedName>
    <definedName name="Z_179EFE18_A1B1_11D3_8FA9_0008C7809E09_.wvu.PrintTitles" localSheetId="6" hidden="1">#REF!,#REF!</definedName>
    <definedName name="Z_179EFE18_A1B1_11D3_8FA9_0008C7809E09_.wvu.PrintTitles" localSheetId="7" hidden="1">#REF!,#REF!</definedName>
    <definedName name="Z_179EFE18_A1B1_11D3_8FA9_0008C7809E09_.wvu.PrintTitles" localSheetId="3" hidden="1">#REF!,#REF!</definedName>
    <definedName name="Z_179EFE18_A1B1_11D3_8FA9_0008C7809E09_.wvu.PrintTitles" localSheetId="29" hidden="1">#REF!,#REF!</definedName>
    <definedName name="Z_179EFE18_A1B1_11D3_8FA9_0008C7809E09_.wvu.PrintTitles" hidden="1">#REF!,#REF!</definedName>
    <definedName name="Z_179EFE19_A1B1_11D3_8FA9_0008C7809E09_.wvu.PrintArea" localSheetId="6" hidden="1">#REF!</definedName>
    <definedName name="Z_179EFE19_A1B1_11D3_8FA9_0008C7809E09_.wvu.PrintArea" localSheetId="7" hidden="1">#REF!</definedName>
    <definedName name="Z_179EFE19_A1B1_11D3_8FA9_0008C7809E09_.wvu.PrintArea" localSheetId="3" hidden="1">#REF!</definedName>
    <definedName name="Z_179EFE19_A1B1_11D3_8FA9_0008C7809E09_.wvu.PrintArea" localSheetId="29" hidden="1">#REF!</definedName>
    <definedName name="Z_179EFE19_A1B1_11D3_8FA9_0008C7809E09_.wvu.PrintArea" hidden="1">#REF!</definedName>
    <definedName name="Z_179EFE19_A1B1_11D3_8FA9_0008C7809E09_.wvu.PrintTitles" localSheetId="6" hidden="1">#REF!,#REF!</definedName>
    <definedName name="Z_179EFE19_A1B1_11D3_8FA9_0008C7809E09_.wvu.PrintTitles" localSheetId="7" hidden="1">#REF!,#REF!</definedName>
    <definedName name="Z_179EFE19_A1B1_11D3_8FA9_0008C7809E09_.wvu.PrintTitles" localSheetId="3" hidden="1">#REF!,#REF!</definedName>
    <definedName name="Z_179EFE19_A1B1_11D3_8FA9_0008C7809E09_.wvu.PrintTitles" localSheetId="29" hidden="1">#REF!,#REF!</definedName>
    <definedName name="Z_179EFE19_A1B1_11D3_8FA9_0008C7809E09_.wvu.PrintTitles" hidden="1">#REF!,#REF!</definedName>
    <definedName name="Z_179EFE1A_A1B1_11D3_8FA9_0008C7809E09_.wvu.PrintArea" localSheetId="6" hidden="1">#REF!</definedName>
    <definedName name="Z_179EFE1A_A1B1_11D3_8FA9_0008C7809E09_.wvu.PrintArea" localSheetId="7" hidden="1">#REF!</definedName>
    <definedName name="Z_179EFE1A_A1B1_11D3_8FA9_0008C7809E09_.wvu.PrintArea" localSheetId="3" hidden="1">#REF!</definedName>
    <definedName name="Z_179EFE1A_A1B1_11D3_8FA9_0008C7809E09_.wvu.PrintArea" localSheetId="29" hidden="1">#REF!</definedName>
    <definedName name="Z_179EFE1A_A1B1_11D3_8FA9_0008C7809E09_.wvu.PrintArea" hidden="1">#REF!</definedName>
    <definedName name="Z_179EFE1A_A1B1_11D3_8FA9_0008C7809E09_.wvu.PrintTitles" localSheetId="6" hidden="1">#REF!,#REF!</definedName>
    <definedName name="Z_179EFE1A_A1B1_11D3_8FA9_0008C7809E09_.wvu.PrintTitles" localSheetId="7" hidden="1">#REF!,#REF!</definedName>
    <definedName name="Z_179EFE1A_A1B1_11D3_8FA9_0008C7809E09_.wvu.PrintTitles" localSheetId="3" hidden="1">#REF!,#REF!</definedName>
    <definedName name="Z_179EFE1A_A1B1_11D3_8FA9_0008C7809E09_.wvu.PrintTitles" localSheetId="29" hidden="1">#REF!,#REF!</definedName>
    <definedName name="Z_179EFE1A_A1B1_11D3_8FA9_0008C7809E09_.wvu.PrintTitles" hidden="1">#REF!,#REF!</definedName>
    <definedName name="Z_179EFE1B_A1B1_11D3_8FA9_0008C7809E09_.wvu.PrintArea" localSheetId="6" hidden="1">#REF!</definedName>
    <definedName name="Z_179EFE1B_A1B1_11D3_8FA9_0008C7809E09_.wvu.PrintArea" localSheetId="7" hidden="1">#REF!</definedName>
    <definedName name="Z_179EFE1B_A1B1_11D3_8FA9_0008C7809E09_.wvu.PrintArea" localSheetId="3" hidden="1">#REF!</definedName>
    <definedName name="Z_179EFE1B_A1B1_11D3_8FA9_0008C7809E09_.wvu.PrintArea" localSheetId="29" hidden="1">#REF!</definedName>
    <definedName name="Z_179EFE1B_A1B1_11D3_8FA9_0008C7809E09_.wvu.PrintArea" hidden="1">#REF!</definedName>
    <definedName name="Z_179EFE1B_A1B1_11D3_8FA9_0008C7809E09_.wvu.PrintTitles" localSheetId="6" hidden="1">#REF!,#REF!</definedName>
    <definedName name="Z_179EFE1B_A1B1_11D3_8FA9_0008C7809E09_.wvu.PrintTitles" localSheetId="7" hidden="1">#REF!,#REF!</definedName>
    <definedName name="Z_179EFE1B_A1B1_11D3_8FA9_0008C7809E09_.wvu.PrintTitles" localSheetId="3" hidden="1">#REF!,#REF!</definedName>
    <definedName name="Z_179EFE1B_A1B1_11D3_8FA9_0008C7809E09_.wvu.PrintTitles" localSheetId="29" hidden="1">#REF!,#REF!</definedName>
    <definedName name="Z_179EFE1B_A1B1_11D3_8FA9_0008C7809E09_.wvu.PrintTitles" hidden="1">#REF!,#REF!</definedName>
    <definedName name="Z_179EFE1C_A1B1_11D3_8FA9_0008C7809E09_.wvu.PrintArea" localSheetId="6" hidden="1">#REF!</definedName>
    <definedName name="Z_179EFE1C_A1B1_11D3_8FA9_0008C7809E09_.wvu.PrintArea" localSheetId="7" hidden="1">#REF!</definedName>
    <definedName name="Z_179EFE1C_A1B1_11D3_8FA9_0008C7809E09_.wvu.PrintArea" localSheetId="3" hidden="1">#REF!</definedName>
    <definedName name="Z_179EFE1C_A1B1_11D3_8FA9_0008C7809E09_.wvu.PrintArea" localSheetId="29" hidden="1">#REF!</definedName>
    <definedName name="Z_179EFE1C_A1B1_11D3_8FA9_0008C7809E09_.wvu.PrintArea" hidden="1">#REF!</definedName>
    <definedName name="Z_179EFE1C_A1B1_11D3_8FA9_0008C7809E09_.wvu.PrintTitles" localSheetId="6" hidden="1">#REF!,#REF!</definedName>
    <definedName name="Z_179EFE1C_A1B1_11D3_8FA9_0008C7809E09_.wvu.PrintTitles" localSheetId="7" hidden="1">#REF!,#REF!</definedName>
    <definedName name="Z_179EFE1C_A1B1_11D3_8FA9_0008C7809E09_.wvu.PrintTitles" localSheetId="3" hidden="1">#REF!,#REF!</definedName>
    <definedName name="Z_179EFE1C_A1B1_11D3_8FA9_0008C7809E09_.wvu.PrintTitles" localSheetId="29" hidden="1">#REF!,#REF!</definedName>
    <definedName name="Z_179EFE1C_A1B1_11D3_8FA9_0008C7809E09_.wvu.PrintTitles" hidden="1">#REF!,#REF!</definedName>
    <definedName name="Z_179EFE1D_A1B1_11D3_8FA9_0008C7809E09_.wvu.PrintArea" localSheetId="6" hidden="1">#REF!</definedName>
    <definedName name="Z_179EFE1D_A1B1_11D3_8FA9_0008C7809E09_.wvu.PrintArea" localSheetId="7" hidden="1">#REF!</definedName>
    <definedName name="Z_179EFE1D_A1B1_11D3_8FA9_0008C7809E09_.wvu.PrintArea" localSheetId="3" hidden="1">#REF!</definedName>
    <definedName name="Z_179EFE1D_A1B1_11D3_8FA9_0008C7809E09_.wvu.PrintArea" localSheetId="29" hidden="1">#REF!</definedName>
    <definedName name="Z_179EFE1D_A1B1_11D3_8FA9_0008C7809E09_.wvu.PrintArea" hidden="1">#REF!</definedName>
    <definedName name="Z_179EFE1D_A1B1_11D3_8FA9_0008C7809E09_.wvu.PrintTitles" localSheetId="6" hidden="1">#REF!,#REF!</definedName>
    <definedName name="Z_179EFE1D_A1B1_11D3_8FA9_0008C7809E09_.wvu.PrintTitles" localSheetId="7" hidden="1">#REF!,#REF!</definedName>
    <definedName name="Z_179EFE1D_A1B1_11D3_8FA9_0008C7809E09_.wvu.PrintTitles" localSheetId="3" hidden="1">#REF!,#REF!</definedName>
    <definedName name="Z_179EFE1D_A1B1_11D3_8FA9_0008C7809E09_.wvu.PrintTitles" localSheetId="29" hidden="1">#REF!,#REF!</definedName>
    <definedName name="Z_179EFE1D_A1B1_11D3_8FA9_0008C7809E09_.wvu.PrintTitles" hidden="1">#REF!,#REF!</definedName>
    <definedName name="Z_179EFE1E_A1B1_11D3_8FA9_0008C7809E09_.wvu.PrintArea" localSheetId="6" hidden="1">#REF!</definedName>
    <definedName name="Z_179EFE1E_A1B1_11D3_8FA9_0008C7809E09_.wvu.PrintArea" localSheetId="7" hidden="1">#REF!</definedName>
    <definedName name="Z_179EFE1E_A1B1_11D3_8FA9_0008C7809E09_.wvu.PrintArea" localSheetId="3" hidden="1">#REF!</definedName>
    <definedName name="Z_179EFE1E_A1B1_11D3_8FA9_0008C7809E09_.wvu.PrintArea" localSheetId="29" hidden="1">#REF!</definedName>
    <definedName name="Z_179EFE1E_A1B1_11D3_8FA9_0008C7809E09_.wvu.PrintArea" hidden="1">#REF!</definedName>
    <definedName name="Z_179EFE1E_A1B1_11D3_8FA9_0008C7809E09_.wvu.PrintTitles" localSheetId="6" hidden="1">#REF!,#REF!</definedName>
    <definedName name="Z_179EFE1E_A1B1_11D3_8FA9_0008C7809E09_.wvu.PrintTitles" localSheetId="7" hidden="1">#REF!,#REF!</definedName>
    <definedName name="Z_179EFE1E_A1B1_11D3_8FA9_0008C7809E09_.wvu.PrintTitles" localSheetId="3" hidden="1">#REF!,#REF!</definedName>
    <definedName name="Z_179EFE1E_A1B1_11D3_8FA9_0008C7809E09_.wvu.PrintTitles" localSheetId="29" hidden="1">#REF!,#REF!</definedName>
    <definedName name="Z_179EFE1E_A1B1_11D3_8FA9_0008C7809E09_.wvu.PrintTitles" hidden="1">#REF!,#REF!</definedName>
    <definedName name="Z_179EFE1F_A1B1_11D3_8FA9_0008C7809E09_.wvu.PrintArea" localSheetId="6" hidden="1">#REF!</definedName>
    <definedName name="Z_179EFE1F_A1B1_11D3_8FA9_0008C7809E09_.wvu.PrintArea" localSheetId="7" hidden="1">#REF!</definedName>
    <definedName name="Z_179EFE1F_A1B1_11D3_8FA9_0008C7809E09_.wvu.PrintArea" localSheetId="3" hidden="1">#REF!</definedName>
    <definedName name="Z_179EFE1F_A1B1_11D3_8FA9_0008C7809E09_.wvu.PrintArea" localSheetId="29" hidden="1">#REF!</definedName>
    <definedName name="Z_179EFE1F_A1B1_11D3_8FA9_0008C7809E09_.wvu.PrintArea" hidden="1">#REF!</definedName>
    <definedName name="Z_179EFE1F_A1B1_11D3_8FA9_0008C7809E09_.wvu.PrintTitles" localSheetId="6" hidden="1">#REF!,#REF!</definedName>
    <definedName name="Z_179EFE1F_A1B1_11D3_8FA9_0008C7809E09_.wvu.PrintTitles" localSheetId="7" hidden="1">#REF!,#REF!</definedName>
    <definedName name="Z_179EFE1F_A1B1_11D3_8FA9_0008C7809E09_.wvu.PrintTitles" localSheetId="3" hidden="1">#REF!,#REF!</definedName>
    <definedName name="Z_179EFE1F_A1B1_11D3_8FA9_0008C7809E09_.wvu.PrintTitles" localSheetId="29" hidden="1">#REF!,#REF!</definedName>
    <definedName name="Z_179EFE1F_A1B1_11D3_8FA9_0008C7809E09_.wvu.PrintTitles" hidden="1">#REF!,#REF!</definedName>
    <definedName name="Z_179EFE20_A1B1_11D3_8FA9_0008C7809E09_.wvu.PrintArea" localSheetId="6" hidden="1">#REF!</definedName>
    <definedName name="Z_179EFE20_A1B1_11D3_8FA9_0008C7809E09_.wvu.PrintArea" localSheetId="7" hidden="1">#REF!</definedName>
    <definedName name="Z_179EFE20_A1B1_11D3_8FA9_0008C7809E09_.wvu.PrintArea" localSheetId="3" hidden="1">#REF!</definedName>
    <definedName name="Z_179EFE20_A1B1_11D3_8FA9_0008C7809E09_.wvu.PrintArea" localSheetId="29" hidden="1">#REF!</definedName>
    <definedName name="Z_179EFE20_A1B1_11D3_8FA9_0008C7809E09_.wvu.PrintArea" hidden="1">#REF!</definedName>
    <definedName name="Z_179EFE20_A1B1_11D3_8FA9_0008C7809E09_.wvu.PrintTitles" localSheetId="6" hidden="1">#REF!,#REF!</definedName>
    <definedName name="Z_179EFE20_A1B1_11D3_8FA9_0008C7809E09_.wvu.PrintTitles" localSheetId="7" hidden="1">#REF!,#REF!</definedName>
    <definedName name="Z_179EFE20_A1B1_11D3_8FA9_0008C7809E09_.wvu.PrintTitles" localSheetId="3" hidden="1">#REF!,#REF!</definedName>
    <definedName name="Z_179EFE20_A1B1_11D3_8FA9_0008C7809E09_.wvu.PrintTitles" localSheetId="29" hidden="1">#REF!,#REF!</definedName>
    <definedName name="Z_179EFE20_A1B1_11D3_8FA9_0008C7809E09_.wvu.PrintTitles" hidden="1">#REF!,#REF!</definedName>
    <definedName name="Z_179EFE21_A1B1_11D3_8FA9_0008C7809E09_.wvu.PrintArea" localSheetId="6" hidden="1">#REF!</definedName>
    <definedName name="Z_179EFE21_A1B1_11D3_8FA9_0008C7809E09_.wvu.PrintArea" localSheetId="7" hidden="1">#REF!</definedName>
    <definedName name="Z_179EFE21_A1B1_11D3_8FA9_0008C7809E09_.wvu.PrintArea" localSheetId="3" hidden="1">#REF!</definedName>
    <definedName name="Z_179EFE21_A1B1_11D3_8FA9_0008C7809E09_.wvu.PrintArea" localSheetId="29" hidden="1">#REF!</definedName>
    <definedName name="Z_179EFE21_A1B1_11D3_8FA9_0008C7809E09_.wvu.PrintArea" hidden="1">#REF!</definedName>
    <definedName name="Z_179EFE21_A1B1_11D3_8FA9_0008C7809E09_.wvu.PrintTitles" localSheetId="6" hidden="1">#REF!,#REF!</definedName>
    <definedName name="Z_179EFE21_A1B1_11D3_8FA9_0008C7809E09_.wvu.PrintTitles" localSheetId="7" hidden="1">#REF!,#REF!</definedName>
    <definedName name="Z_179EFE21_A1B1_11D3_8FA9_0008C7809E09_.wvu.PrintTitles" localSheetId="3" hidden="1">#REF!,#REF!</definedName>
    <definedName name="Z_179EFE21_A1B1_11D3_8FA9_0008C7809E09_.wvu.PrintTitles" localSheetId="29" hidden="1">#REF!,#REF!</definedName>
    <definedName name="Z_179EFE21_A1B1_11D3_8FA9_0008C7809E09_.wvu.PrintTitles" hidden="1">#REF!,#REF!</definedName>
    <definedName name="Z_179EFE22_A1B1_11D3_8FA9_0008C7809E09_.wvu.PrintArea" localSheetId="6" hidden="1">#REF!</definedName>
    <definedName name="Z_179EFE22_A1B1_11D3_8FA9_0008C7809E09_.wvu.PrintArea" localSheetId="7" hidden="1">#REF!</definedName>
    <definedName name="Z_179EFE22_A1B1_11D3_8FA9_0008C7809E09_.wvu.PrintArea" localSheetId="3" hidden="1">#REF!</definedName>
    <definedName name="Z_179EFE22_A1B1_11D3_8FA9_0008C7809E09_.wvu.PrintArea" localSheetId="29" hidden="1">#REF!</definedName>
    <definedName name="Z_179EFE22_A1B1_11D3_8FA9_0008C7809E09_.wvu.PrintArea" hidden="1">#REF!</definedName>
    <definedName name="Z_179EFE22_A1B1_11D3_8FA9_0008C7809E09_.wvu.PrintTitles" localSheetId="6" hidden="1">#REF!,#REF!</definedName>
    <definedName name="Z_179EFE22_A1B1_11D3_8FA9_0008C7809E09_.wvu.PrintTitles" localSheetId="7" hidden="1">#REF!,#REF!</definedName>
    <definedName name="Z_179EFE22_A1B1_11D3_8FA9_0008C7809E09_.wvu.PrintTitles" localSheetId="3" hidden="1">#REF!,#REF!</definedName>
    <definedName name="Z_179EFE22_A1B1_11D3_8FA9_0008C7809E09_.wvu.PrintTitles" localSheetId="29" hidden="1">#REF!,#REF!</definedName>
    <definedName name="Z_179EFE22_A1B1_11D3_8FA9_0008C7809E09_.wvu.PrintTitles" hidden="1">#REF!,#REF!</definedName>
    <definedName name="Z_179EFE23_A1B1_11D3_8FA9_0008C7809E09_.wvu.PrintArea" localSheetId="6" hidden="1">#REF!</definedName>
    <definedName name="Z_179EFE23_A1B1_11D3_8FA9_0008C7809E09_.wvu.PrintArea" localSheetId="7" hidden="1">#REF!</definedName>
    <definedName name="Z_179EFE23_A1B1_11D3_8FA9_0008C7809E09_.wvu.PrintArea" localSheetId="3" hidden="1">#REF!</definedName>
    <definedName name="Z_179EFE23_A1B1_11D3_8FA9_0008C7809E09_.wvu.PrintArea" localSheetId="29" hidden="1">#REF!</definedName>
    <definedName name="Z_179EFE23_A1B1_11D3_8FA9_0008C7809E09_.wvu.PrintArea" hidden="1">#REF!</definedName>
    <definedName name="Z_179EFE23_A1B1_11D3_8FA9_0008C7809E09_.wvu.PrintTitles" localSheetId="6" hidden="1">#REF!,#REF!</definedName>
    <definedName name="Z_179EFE23_A1B1_11D3_8FA9_0008C7809E09_.wvu.PrintTitles" localSheetId="7" hidden="1">#REF!,#REF!</definedName>
    <definedName name="Z_179EFE23_A1B1_11D3_8FA9_0008C7809E09_.wvu.PrintTitles" localSheetId="3" hidden="1">#REF!,#REF!</definedName>
    <definedName name="Z_179EFE23_A1B1_11D3_8FA9_0008C7809E09_.wvu.PrintTitles" localSheetId="29" hidden="1">#REF!,#REF!</definedName>
    <definedName name="Z_179EFE23_A1B1_11D3_8FA9_0008C7809E09_.wvu.PrintTitles" hidden="1">#REF!,#REF!</definedName>
    <definedName name="Z_179EFE24_A1B1_11D3_8FA9_0008C7809E09_.wvu.PrintArea" localSheetId="6" hidden="1">#REF!</definedName>
    <definedName name="Z_179EFE24_A1B1_11D3_8FA9_0008C7809E09_.wvu.PrintArea" localSheetId="7" hidden="1">#REF!</definedName>
    <definedName name="Z_179EFE24_A1B1_11D3_8FA9_0008C7809E09_.wvu.PrintArea" localSheetId="3" hidden="1">#REF!</definedName>
    <definedName name="Z_179EFE24_A1B1_11D3_8FA9_0008C7809E09_.wvu.PrintArea" localSheetId="29" hidden="1">#REF!</definedName>
    <definedName name="Z_179EFE24_A1B1_11D3_8FA9_0008C7809E09_.wvu.PrintArea" hidden="1">#REF!</definedName>
    <definedName name="Z_179EFE24_A1B1_11D3_8FA9_0008C7809E09_.wvu.PrintTitles" localSheetId="6" hidden="1">#REF!,#REF!</definedName>
    <definedName name="Z_179EFE24_A1B1_11D3_8FA9_0008C7809E09_.wvu.PrintTitles" localSheetId="7" hidden="1">#REF!,#REF!</definedName>
    <definedName name="Z_179EFE24_A1B1_11D3_8FA9_0008C7809E09_.wvu.PrintTitles" localSheetId="3" hidden="1">#REF!,#REF!</definedName>
    <definedName name="Z_179EFE24_A1B1_11D3_8FA9_0008C7809E09_.wvu.PrintTitles" localSheetId="29" hidden="1">#REF!,#REF!</definedName>
    <definedName name="Z_179EFE24_A1B1_11D3_8FA9_0008C7809E09_.wvu.PrintTitles" hidden="1">#REF!,#REF!</definedName>
    <definedName name="Z_179EFE25_A1B1_11D3_8FA9_0008C7809E09_.wvu.PrintArea" localSheetId="6" hidden="1">#REF!</definedName>
    <definedName name="Z_179EFE25_A1B1_11D3_8FA9_0008C7809E09_.wvu.PrintArea" localSheetId="7" hidden="1">#REF!</definedName>
    <definedName name="Z_179EFE25_A1B1_11D3_8FA9_0008C7809E09_.wvu.PrintArea" localSheetId="3" hidden="1">#REF!</definedName>
    <definedName name="Z_179EFE25_A1B1_11D3_8FA9_0008C7809E09_.wvu.PrintArea" localSheetId="29" hidden="1">#REF!</definedName>
    <definedName name="Z_179EFE25_A1B1_11D3_8FA9_0008C7809E09_.wvu.PrintArea" hidden="1">#REF!</definedName>
    <definedName name="Z_179EFE25_A1B1_11D3_8FA9_0008C7809E09_.wvu.PrintTitles" localSheetId="6" hidden="1">#REF!,#REF!</definedName>
    <definedName name="Z_179EFE25_A1B1_11D3_8FA9_0008C7809E09_.wvu.PrintTitles" localSheetId="7" hidden="1">#REF!,#REF!</definedName>
    <definedName name="Z_179EFE25_A1B1_11D3_8FA9_0008C7809E09_.wvu.PrintTitles" localSheetId="3" hidden="1">#REF!,#REF!</definedName>
    <definedName name="Z_179EFE25_A1B1_11D3_8FA9_0008C7809E09_.wvu.PrintTitles" localSheetId="29" hidden="1">#REF!,#REF!</definedName>
    <definedName name="Z_179EFE25_A1B1_11D3_8FA9_0008C7809E09_.wvu.PrintTitles" hidden="1">#REF!,#REF!</definedName>
    <definedName name="Z_179EFE26_A1B1_11D3_8FA9_0008C7809E09_.wvu.PrintArea" localSheetId="6" hidden="1">#REF!</definedName>
    <definedName name="Z_179EFE26_A1B1_11D3_8FA9_0008C7809E09_.wvu.PrintArea" localSheetId="7" hidden="1">#REF!</definedName>
    <definedName name="Z_179EFE26_A1B1_11D3_8FA9_0008C7809E09_.wvu.PrintArea" localSheetId="3" hidden="1">#REF!</definedName>
    <definedName name="Z_179EFE26_A1B1_11D3_8FA9_0008C7809E09_.wvu.PrintArea" localSheetId="29" hidden="1">#REF!</definedName>
    <definedName name="Z_179EFE26_A1B1_11D3_8FA9_0008C7809E09_.wvu.PrintArea" hidden="1">#REF!</definedName>
    <definedName name="Z_179EFE26_A1B1_11D3_8FA9_0008C7809E09_.wvu.PrintTitles" localSheetId="6" hidden="1">#REF!,#REF!</definedName>
    <definedName name="Z_179EFE26_A1B1_11D3_8FA9_0008C7809E09_.wvu.PrintTitles" localSheetId="7" hidden="1">#REF!,#REF!</definedName>
    <definedName name="Z_179EFE26_A1B1_11D3_8FA9_0008C7809E09_.wvu.PrintTitles" localSheetId="3" hidden="1">#REF!,#REF!</definedName>
    <definedName name="Z_179EFE26_A1B1_11D3_8FA9_0008C7809E09_.wvu.PrintTitles" localSheetId="29" hidden="1">#REF!,#REF!</definedName>
    <definedName name="Z_179EFE26_A1B1_11D3_8FA9_0008C7809E09_.wvu.PrintTitles" hidden="1">#REF!,#REF!</definedName>
    <definedName name="Z_179EFE27_A1B1_11D3_8FA9_0008C7809E09_.wvu.PrintArea" localSheetId="6" hidden="1">#REF!</definedName>
    <definedName name="Z_179EFE27_A1B1_11D3_8FA9_0008C7809E09_.wvu.PrintArea" localSheetId="7" hidden="1">#REF!</definedName>
    <definedName name="Z_179EFE27_A1B1_11D3_8FA9_0008C7809E09_.wvu.PrintArea" localSheetId="3" hidden="1">#REF!</definedName>
    <definedName name="Z_179EFE27_A1B1_11D3_8FA9_0008C7809E09_.wvu.PrintArea" localSheetId="29" hidden="1">#REF!</definedName>
    <definedName name="Z_179EFE27_A1B1_11D3_8FA9_0008C7809E09_.wvu.PrintArea" hidden="1">#REF!</definedName>
    <definedName name="Z_179EFE27_A1B1_11D3_8FA9_0008C7809E09_.wvu.PrintTitles" localSheetId="6" hidden="1">#REF!,#REF!</definedName>
    <definedName name="Z_179EFE27_A1B1_11D3_8FA9_0008C7809E09_.wvu.PrintTitles" localSheetId="7" hidden="1">#REF!,#REF!</definedName>
    <definedName name="Z_179EFE27_A1B1_11D3_8FA9_0008C7809E09_.wvu.PrintTitles" localSheetId="3" hidden="1">#REF!,#REF!</definedName>
    <definedName name="Z_179EFE27_A1B1_11D3_8FA9_0008C7809E09_.wvu.PrintTitles" localSheetId="29" hidden="1">#REF!,#REF!</definedName>
    <definedName name="Z_179EFE27_A1B1_11D3_8FA9_0008C7809E09_.wvu.PrintTitles" hidden="1">#REF!,#REF!</definedName>
    <definedName name="Z_179EFE28_A1B1_11D3_8FA9_0008C7809E09_.wvu.PrintArea" localSheetId="6" hidden="1">#REF!</definedName>
    <definedName name="Z_179EFE28_A1B1_11D3_8FA9_0008C7809E09_.wvu.PrintArea" localSheetId="7" hidden="1">#REF!</definedName>
    <definedName name="Z_179EFE28_A1B1_11D3_8FA9_0008C7809E09_.wvu.PrintArea" localSheetId="3" hidden="1">#REF!</definedName>
    <definedName name="Z_179EFE28_A1B1_11D3_8FA9_0008C7809E09_.wvu.PrintArea" localSheetId="29" hidden="1">#REF!</definedName>
    <definedName name="Z_179EFE28_A1B1_11D3_8FA9_0008C7809E09_.wvu.PrintArea" hidden="1">#REF!</definedName>
    <definedName name="Z_179EFE28_A1B1_11D3_8FA9_0008C7809E09_.wvu.PrintTitles" localSheetId="6" hidden="1">#REF!,#REF!</definedName>
    <definedName name="Z_179EFE28_A1B1_11D3_8FA9_0008C7809E09_.wvu.PrintTitles" localSheetId="7" hidden="1">#REF!,#REF!</definedName>
    <definedName name="Z_179EFE28_A1B1_11D3_8FA9_0008C7809E09_.wvu.PrintTitles" localSheetId="3" hidden="1">#REF!,#REF!</definedName>
    <definedName name="Z_179EFE28_A1B1_11D3_8FA9_0008C7809E09_.wvu.PrintTitles" localSheetId="29" hidden="1">#REF!,#REF!</definedName>
    <definedName name="Z_179EFE28_A1B1_11D3_8FA9_0008C7809E09_.wvu.PrintTitles" hidden="1">#REF!,#REF!</definedName>
    <definedName name="Z_179EFE29_A1B1_11D3_8FA9_0008C7809E09_.wvu.PrintArea" localSheetId="6" hidden="1">#REF!</definedName>
    <definedName name="Z_179EFE29_A1B1_11D3_8FA9_0008C7809E09_.wvu.PrintArea" localSheetId="7" hidden="1">#REF!</definedName>
    <definedName name="Z_179EFE29_A1B1_11D3_8FA9_0008C7809E09_.wvu.PrintArea" localSheetId="3" hidden="1">#REF!</definedName>
    <definedName name="Z_179EFE29_A1B1_11D3_8FA9_0008C7809E09_.wvu.PrintArea" localSheetId="29" hidden="1">#REF!</definedName>
    <definedName name="Z_179EFE29_A1B1_11D3_8FA9_0008C7809E09_.wvu.PrintArea" hidden="1">#REF!</definedName>
    <definedName name="Z_179EFE29_A1B1_11D3_8FA9_0008C7809E09_.wvu.PrintTitles" localSheetId="6" hidden="1">#REF!,#REF!</definedName>
    <definedName name="Z_179EFE29_A1B1_11D3_8FA9_0008C7809E09_.wvu.PrintTitles" localSheetId="7" hidden="1">#REF!,#REF!</definedName>
    <definedName name="Z_179EFE29_A1B1_11D3_8FA9_0008C7809E09_.wvu.PrintTitles" localSheetId="3" hidden="1">#REF!,#REF!</definedName>
    <definedName name="Z_179EFE29_A1B1_11D3_8FA9_0008C7809E09_.wvu.PrintTitles" localSheetId="29" hidden="1">#REF!,#REF!</definedName>
    <definedName name="Z_179EFE29_A1B1_11D3_8FA9_0008C7809E09_.wvu.PrintTitles" hidden="1">#REF!,#REF!</definedName>
    <definedName name="Z_179EFE2A_A1B1_11D3_8FA9_0008C7809E09_.wvu.PrintArea" localSheetId="6" hidden="1">#REF!</definedName>
    <definedName name="Z_179EFE2A_A1B1_11D3_8FA9_0008C7809E09_.wvu.PrintArea" localSheetId="7" hidden="1">#REF!</definedName>
    <definedName name="Z_179EFE2A_A1B1_11D3_8FA9_0008C7809E09_.wvu.PrintArea" localSheetId="3" hidden="1">#REF!</definedName>
    <definedName name="Z_179EFE2A_A1B1_11D3_8FA9_0008C7809E09_.wvu.PrintArea" localSheetId="29" hidden="1">#REF!</definedName>
    <definedName name="Z_179EFE2A_A1B1_11D3_8FA9_0008C7809E09_.wvu.PrintArea" hidden="1">#REF!</definedName>
    <definedName name="Z_179EFE2A_A1B1_11D3_8FA9_0008C7809E09_.wvu.PrintTitles" localSheetId="6" hidden="1">#REF!,#REF!</definedName>
    <definedName name="Z_179EFE2A_A1B1_11D3_8FA9_0008C7809E09_.wvu.PrintTitles" localSheetId="7" hidden="1">#REF!,#REF!</definedName>
    <definedName name="Z_179EFE2A_A1B1_11D3_8FA9_0008C7809E09_.wvu.PrintTitles" localSheetId="3" hidden="1">#REF!,#REF!</definedName>
    <definedName name="Z_179EFE2A_A1B1_11D3_8FA9_0008C7809E09_.wvu.PrintTitles" localSheetId="29" hidden="1">#REF!,#REF!</definedName>
    <definedName name="Z_179EFE2A_A1B1_11D3_8FA9_0008C7809E09_.wvu.PrintTitles" hidden="1">#REF!,#REF!</definedName>
    <definedName name="Z_179EFE2B_A1B1_11D3_8FA9_0008C7809E09_.wvu.PrintArea" localSheetId="6" hidden="1">#REF!</definedName>
    <definedName name="Z_179EFE2B_A1B1_11D3_8FA9_0008C7809E09_.wvu.PrintArea" localSheetId="7" hidden="1">#REF!</definedName>
    <definedName name="Z_179EFE2B_A1B1_11D3_8FA9_0008C7809E09_.wvu.PrintArea" localSheetId="3" hidden="1">#REF!</definedName>
    <definedName name="Z_179EFE2B_A1B1_11D3_8FA9_0008C7809E09_.wvu.PrintArea" localSheetId="29" hidden="1">#REF!</definedName>
    <definedName name="Z_179EFE2B_A1B1_11D3_8FA9_0008C7809E09_.wvu.PrintArea" hidden="1">#REF!</definedName>
    <definedName name="Z_179EFE2B_A1B1_11D3_8FA9_0008C7809E09_.wvu.PrintTitles" localSheetId="6" hidden="1">#REF!,#REF!</definedName>
    <definedName name="Z_179EFE2B_A1B1_11D3_8FA9_0008C7809E09_.wvu.PrintTitles" localSheetId="7" hidden="1">#REF!,#REF!</definedName>
    <definedName name="Z_179EFE2B_A1B1_11D3_8FA9_0008C7809E09_.wvu.PrintTitles" localSheetId="3" hidden="1">#REF!,#REF!</definedName>
    <definedName name="Z_179EFE2B_A1B1_11D3_8FA9_0008C7809E09_.wvu.PrintTitles" localSheetId="29" hidden="1">#REF!,#REF!</definedName>
    <definedName name="Z_179EFE2B_A1B1_11D3_8FA9_0008C7809E09_.wvu.PrintTitles" hidden="1">#REF!,#REF!</definedName>
    <definedName name="Z_179EFE2C_A1B1_11D3_8FA9_0008C7809E09_.wvu.PrintArea" localSheetId="6" hidden="1">#REF!</definedName>
    <definedName name="Z_179EFE2C_A1B1_11D3_8FA9_0008C7809E09_.wvu.PrintArea" localSheetId="7" hidden="1">#REF!</definedName>
    <definedName name="Z_179EFE2C_A1B1_11D3_8FA9_0008C7809E09_.wvu.PrintArea" localSheetId="3" hidden="1">#REF!</definedName>
    <definedName name="Z_179EFE2C_A1B1_11D3_8FA9_0008C7809E09_.wvu.PrintArea" localSheetId="29" hidden="1">#REF!</definedName>
    <definedName name="Z_179EFE2C_A1B1_11D3_8FA9_0008C7809E09_.wvu.PrintArea" hidden="1">#REF!</definedName>
    <definedName name="Z_179EFE2C_A1B1_11D3_8FA9_0008C7809E09_.wvu.PrintTitles" localSheetId="6" hidden="1">#REF!,#REF!</definedName>
    <definedName name="Z_179EFE2C_A1B1_11D3_8FA9_0008C7809E09_.wvu.PrintTitles" localSheetId="7" hidden="1">#REF!,#REF!</definedName>
    <definedName name="Z_179EFE2C_A1B1_11D3_8FA9_0008C7809E09_.wvu.PrintTitles" localSheetId="3" hidden="1">#REF!,#REF!</definedName>
    <definedName name="Z_179EFE2C_A1B1_11D3_8FA9_0008C7809E09_.wvu.PrintTitles" localSheetId="29" hidden="1">#REF!,#REF!</definedName>
    <definedName name="Z_179EFE2C_A1B1_11D3_8FA9_0008C7809E09_.wvu.PrintTitles" hidden="1">#REF!,#REF!</definedName>
    <definedName name="Z_179EFE2D_A1B1_11D3_8FA9_0008C7809E09_.wvu.PrintArea" localSheetId="6" hidden="1">#REF!</definedName>
    <definedName name="Z_179EFE2D_A1B1_11D3_8FA9_0008C7809E09_.wvu.PrintArea" localSheetId="7" hidden="1">#REF!</definedName>
    <definedName name="Z_179EFE2D_A1B1_11D3_8FA9_0008C7809E09_.wvu.PrintArea" localSheetId="3" hidden="1">#REF!</definedName>
    <definedName name="Z_179EFE2D_A1B1_11D3_8FA9_0008C7809E09_.wvu.PrintArea" localSheetId="29" hidden="1">#REF!</definedName>
    <definedName name="Z_179EFE2D_A1B1_11D3_8FA9_0008C7809E09_.wvu.PrintArea" hidden="1">#REF!</definedName>
    <definedName name="Z_179EFE2D_A1B1_11D3_8FA9_0008C7809E09_.wvu.PrintTitles" localSheetId="6" hidden="1">#REF!,#REF!</definedName>
    <definedName name="Z_179EFE2D_A1B1_11D3_8FA9_0008C7809E09_.wvu.PrintTitles" localSheetId="7" hidden="1">#REF!,#REF!</definedName>
    <definedName name="Z_179EFE2D_A1B1_11D3_8FA9_0008C7809E09_.wvu.PrintTitles" localSheetId="3" hidden="1">#REF!,#REF!</definedName>
    <definedName name="Z_179EFE2D_A1B1_11D3_8FA9_0008C7809E09_.wvu.PrintTitles" localSheetId="29" hidden="1">#REF!,#REF!</definedName>
    <definedName name="Z_179EFE2D_A1B1_11D3_8FA9_0008C7809E09_.wvu.PrintTitles" hidden="1">#REF!,#REF!</definedName>
    <definedName name="Z_179EFE2E_A1B1_11D3_8FA9_0008C7809E09_.wvu.PrintArea" localSheetId="6" hidden="1">#REF!</definedName>
    <definedName name="Z_179EFE2E_A1B1_11D3_8FA9_0008C7809E09_.wvu.PrintArea" localSheetId="7" hidden="1">#REF!</definedName>
    <definedName name="Z_179EFE2E_A1B1_11D3_8FA9_0008C7809E09_.wvu.PrintArea" localSheetId="3" hidden="1">#REF!</definedName>
    <definedName name="Z_179EFE2E_A1B1_11D3_8FA9_0008C7809E09_.wvu.PrintArea" localSheetId="29" hidden="1">#REF!</definedName>
    <definedName name="Z_179EFE2E_A1B1_11D3_8FA9_0008C7809E09_.wvu.PrintArea" hidden="1">#REF!</definedName>
    <definedName name="Z_179EFE2E_A1B1_11D3_8FA9_0008C7809E09_.wvu.PrintTitles" localSheetId="6" hidden="1">#REF!,#REF!</definedName>
    <definedName name="Z_179EFE2E_A1B1_11D3_8FA9_0008C7809E09_.wvu.PrintTitles" localSheetId="7" hidden="1">#REF!,#REF!</definedName>
    <definedName name="Z_179EFE2E_A1B1_11D3_8FA9_0008C7809E09_.wvu.PrintTitles" localSheetId="3" hidden="1">#REF!,#REF!</definedName>
    <definedName name="Z_179EFE2E_A1B1_11D3_8FA9_0008C7809E09_.wvu.PrintTitles" localSheetId="29" hidden="1">#REF!,#REF!</definedName>
    <definedName name="Z_179EFE2E_A1B1_11D3_8FA9_0008C7809E09_.wvu.PrintTitles" hidden="1">#REF!,#REF!</definedName>
    <definedName name="Z_179EFE2F_A1B1_11D3_8FA9_0008C7809E09_.wvu.PrintArea" localSheetId="6" hidden="1">#REF!</definedName>
    <definedName name="Z_179EFE2F_A1B1_11D3_8FA9_0008C7809E09_.wvu.PrintArea" localSheetId="7" hidden="1">#REF!</definedName>
    <definedName name="Z_179EFE2F_A1B1_11D3_8FA9_0008C7809E09_.wvu.PrintArea" localSheetId="3" hidden="1">#REF!</definedName>
    <definedName name="Z_179EFE2F_A1B1_11D3_8FA9_0008C7809E09_.wvu.PrintArea" localSheetId="29" hidden="1">#REF!</definedName>
    <definedName name="Z_179EFE2F_A1B1_11D3_8FA9_0008C7809E09_.wvu.PrintArea" hidden="1">#REF!</definedName>
    <definedName name="Z_179EFE2F_A1B1_11D3_8FA9_0008C7809E09_.wvu.PrintTitles" localSheetId="6" hidden="1">#REF!</definedName>
    <definedName name="Z_179EFE2F_A1B1_11D3_8FA9_0008C7809E09_.wvu.PrintTitles" localSheetId="7" hidden="1">#REF!</definedName>
    <definedName name="Z_179EFE2F_A1B1_11D3_8FA9_0008C7809E09_.wvu.PrintTitles" localSheetId="3" hidden="1">#REF!</definedName>
    <definedName name="Z_179EFE2F_A1B1_11D3_8FA9_0008C7809E09_.wvu.PrintTitles" localSheetId="29" hidden="1">#REF!</definedName>
    <definedName name="Z_179EFE2F_A1B1_11D3_8FA9_0008C7809E09_.wvu.PrintTitles" hidden="1">#REF!</definedName>
    <definedName name="Z_179EFE30_A1B1_11D3_8FA9_0008C7809E09_.wvu.PrintArea" localSheetId="6" hidden="1">#REF!</definedName>
    <definedName name="Z_179EFE30_A1B1_11D3_8FA9_0008C7809E09_.wvu.PrintArea" localSheetId="7" hidden="1">#REF!</definedName>
    <definedName name="Z_179EFE30_A1B1_11D3_8FA9_0008C7809E09_.wvu.PrintArea" localSheetId="3" hidden="1">#REF!</definedName>
    <definedName name="Z_179EFE30_A1B1_11D3_8FA9_0008C7809E09_.wvu.PrintArea" localSheetId="29" hidden="1">#REF!</definedName>
    <definedName name="Z_179EFE30_A1B1_11D3_8FA9_0008C7809E09_.wvu.PrintArea" hidden="1">#REF!</definedName>
    <definedName name="Z_179EFE30_A1B1_11D3_8FA9_0008C7809E09_.wvu.PrintTitles" localSheetId="3" hidden="1">#REF!</definedName>
    <definedName name="Z_179EFE30_A1B1_11D3_8FA9_0008C7809E09_.wvu.PrintTitles" hidden="1">#REF!</definedName>
    <definedName name="Z_179EFE31_A1B1_11D3_8FA9_0008C7809E09_.wvu.PrintArea" localSheetId="3" hidden="1">#REF!</definedName>
    <definedName name="Z_179EFE31_A1B1_11D3_8FA9_0008C7809E09_.wvu.PrintArea" hidden="1">#REF!</definedName>
    <definedName name="Z_179EFE31_A1B1_11D3_8FA9_0008C7809E09_.wvu.PrintTitles" localSheetId="3" hidden="1">#REF!</definedName>
    <definedName name="Z_179EFE31_A1B1_11D3_8FA9_0008C7809E09_.wvu.PrintTitles" hidden="1">#REF!</definedName>
    <definedName name="Z_179EFE32_A1B1_11D3_8FA9_0008C7809E09_.wvu.PrintArea" localSheetId="3" hidden="1">#REF!</definedName>
    <definedName name="Z_179EFE32_A1B1_11D3_8FA9_0008C7809E09_.wvu.PrintArea" hidden="1">#REF!</definedName>
    <definedName name="Z_179EFE32_A1B1_11D3_8FA9_0008C7809E09_.wvu.PrintTitles" localSheetId="3" hidden="1">#REF!</definedName>
    <definedName name="Z_179EFE32_A1B1_11D3_8FA9_0008C7809E09_.wvu.PrintTitles" hidden="1">#REF!</definedName>
    <definedName name="Z_179EFE33_A1B1_11D3_8FA9_0008C7809E09_.wvu.PrintArea" localSheetId="3" hidden="1">#REF!</definedName>
    <definedName name="Z_179EFE33_A1B1_11D3_8FA9_0008C7809E09_.wvu.PrintArea" hidden="1">#REF!</definedName>
    <definedName name="Z_179EFE33_A1B1_11D3_8FA9_0008C7809E09_.wvu.PrintTitles" localSheetId="3" hidden="1">#REF!</definedName>
    <definedName name="Z_179EFE33_A1B1_11D3_8FA9_0008C7809E09_.wvu.PrintTitles" hidden="1">#REF!</definedName>
    <definedName name="Z_179EFE34_A1B1_11D3_8FA9_0008C7809E09_.wvu.PrintArea" localSheetId="3" hidden="1">#REF!</definedName>
    <definedName name="Z_179EFE34_A1B1_11D3_8FA9_0008C7809E09_.wvu.PrintArea" hidden="1">#REF!</definedName>
    <definedName name="Z_179EFE34_A1B1_11D3_8FA9_0008C7809E09_.wvu.PrintTitles" localSheetId="3" hidden="1">#REF!</definedName>
    <definedName name="Z_179EFE34_A1B1_11D3_8FA9_0008C7809E09_.wvu.PrintTitles" hidden="1">#REF!</definedName>
    <definedName name="Z_179EFE35_A1B1_11D3_8FA9_0008C7809E09_.wvu.PrintArea" localSheetId="3" hidden="1">#REF!</definedName>
    <definedName name="Z_179EFE35_A1B1_11D3_8FA9_0008C7809E09_.wvu.PrintArea" hidden="1">#REF!</definedName>
    <definedName name="Z_179EFE35_A1B1_11D3_8FA9_0008C7809E09_.wvu.PrintTitles" localSheetId="3" hidden="1">#REF!</definedName>
    <definedName name="Z_179EFE35_A1B1_11D3_8FA9_0008C7809E09_.wvu.PrintTitles" hidden="1">#REF!</definedName>
    <definedName name="Z_179EFE36_A1B1_11D3_8FA9_0008C7809E09_.wvu.PrintArea" localSheetId="3" hidden="1">#REF!</definedName>
    <definedName name="Z_179EFE36_A1B1_11D3_8FA9_0008C7809E09_.wvu.PrintArea" hidden="1">#REF!</definedName>
    <definedName name="Z_179EFE36_A1B1_11D3_8FA9_0008C7809E09_.wvu.PrintTitles" localSheetId="3" hidden="1">#REF!</definedName>
    <definedName name="Z_179EFE36_A1B1_11D3_8FA9_0008C7809E09_.wvu.PrintTitles" hidden="1">#REF!</definedName>
    <definedName name="Z_179EFE37_A1B1_11D3_8FA9_0008C7809E09_.wvu.PrintArea" localSheetId="3" hidden="1">#REF!</definedName>
    <definedName name="Z_179EFE37_A1B1_11D3_8FA9_0008C7809E09_.wvu.PrintArea" hidden="1">#REF!</definedName>
    <definedName name="Z_179EFE37_A1B1_11D3_8FA9_0008C7809E09_.wvu.PrintTitles" localSheetId="3" hidden="1">#REF!</definedName>
    <definedName name="Z_179EFE37_A1B1_11D3_8FA9_0008C7809E09_.wvu.PrintTitles" hidden="1">#REF!</definedName>
    <definedName name="Z_179EFE38_A1B1_11D3_8FA9_0008C7809E09_.wvu.PrintArea" localSheetId="3" hidden="1">#REF!</definedName>
    <definedName name="Z_179EFE38_A1B1_11D3_8FA9_0008C7809E09_.wvu.PrintArea" hidden="1">#REF!</definedName>
    <definedName name="Z_179EFE38_A1B1_11D3_8FA9_0008C7809E09_.wvu.PrintTitles" localSheetId="3" hidden="1">#REF!</definedName>
    <definedName name="Z_179EFE38_A1B1_11D3_8FA9_0008C7809E09_.wvu.PrintTitles" hidden="1">#REF!</definedName>
    <definedName name="Z_179EFE39_A1B1_11D3_8FA9_0008C7809E09_.wvu.PrintArea" localSheetId="3" hidden="1">#REF!</definedName>
    <definedName name="Z_179EFE39_A1B1_11D3_8FA9_0008C7809E09_.wvu.PrintArea" hidden="1">#REF!</definedName>
    <definedName name="Z_179EFE39_A1B1_11D3_8FA9_0008C7809E09_.wvu.PrintTitles" localSheetId="3" hidden="1">#REF!</definedName>
    <definedName name="Z_179EFE39_A1B1_11D3_8FA9_0008C7809E09_.wvu.PrintTitles" hidden="1">#REF!</definedName>
    <definedName name="Z_179EFE3A_A1B1_11D3_8FA9_0008C7809E09_.wvu.PrintArea" localSheetId="3" hidden="1">#REF!</definedName>
    <definedName name="Z_179EFE3A_A1B1_11D3_8FA9_0008C7809E09_.wvu.PrintArea" hidden="1">#REF!</definedName>
    <definedName name="Z_179EFE3A_A1B1_11D3_8FA9_0008C7809E09_.wvu.PrintTitles" localSheetId="3" hidden="1">#REF!</definedName>
    <definedName name="Z_179EFE3A_A1B1_11D3_8FA9_0008C7809E09_.wvu.PrintTitles" hidden="1">#REF!</definedName>
    <definedName name="Z_179EFE3B_A1B1_11D3_8FA9_0008C7809E09_.wvu.PrintArea" localSheetId="3" hidden="1">#REF!</definedName>
    <definedName name="Z_179EFE3B_A1B1_11D3_8FA9_0008C7809E09_.wvu.PrintArea" hidden="1">#REF!</definedName>
    <definedName name="Z_179EFE3B_A1B1_11D3_8FA9_0008C7809E09_.wvu.PrintTitles" localSheetId="3" hidden="1">#REF!</definedName>
    <definedName name="Z_179EFE3B_A1B1_11D3_8FA9_0008C7809E09_.wvu.PrintTitles" hidden="1">#REF!</definedName>
    <definedName name="Z_179EFE3C_A1B1_11D3_8FA9_0008C7809E09_.wvu.PrintArea" localSheetId="3" hidden="1">#REF!</definedName>
    <definedName name="Z_179EFE3C_A1B1_11D3_8FA9_0008C7809E09_.wvu.PrintArea" hidden="1">#REF!</definedName>
    <definedName name="Z_179EFE3C_A1B1_11D3_8FA9_0008C7809E09_.wvu.PrintTitles" localSheetId="6" hidden="1">#REF!,#REF!</definedName>
    <definedName name="Z_179EFE3C_A1B1_11D3_8FA9_0008C7809E09_.wvu.PrintTitles" localSheetId="7" hidden="1">#REF!,#REF!</definedName>
    <definedName name="Z_179EFE3C_A1B1_11D3_8FA9_0008C7809E09_.wvu.PrintTitles" localSheetId="3" hidden="1">#REF!,#REF!</definedName>
    <definedName name="Z_179EFE3C_A1B1_11D3_8FA9_0008C7809E09_.wvu.PrintTitles" localSheetId="29" hidden="1">#REF!,#REF!</definedName>
    <definedName name="Z_179EFE3C_A1B1_11D3_8FA9_0008C7809E09_.wvu.PrintTitles" hidden="1">#REF!,#REF!</definedName>
    <definedName name="Z_179EFE3D_A1B1_11D3_8FA9_0008C7809E09_.wvu.PrintArea" localSheetId="6" hidden="1">#REF!</definedName>
    <definedName name="Z_179EFE3D_A1B1_11D3_8FA9_0008C7809E09_.wvu.PrintArea" localSheetId="7" hidden="1">#REF!</definedName>
    <definedName name="Z_179EFE3D_A1B1_11D3_8FA9_0008C7809E09_.wvu.PrintArea" localSheetId="3" hidden="1">#REF!</definedName>
    <definedName name="Z_179EFE3D_A1B1_11D3_8FA9_0008C7809E09_.wvu.PrintArea" localSheetId="29" hidden="1">#REF!</definedName>
    <definedName name="Z_179EFE3D_A1B1_11D3_8FA9_0008C7809E09_.wvu.PrintArea" hidden="1">#REF!</definedName>
    <definedName name="Z_179EFE3D_A1B1_11D3_8FA9_0008C7809E09_.wvu.PrintTitles" localSheetId="6" hidden="1">#REF!,#REF!</definedName>
    <definedName name="Z_179EFE3D_A1B1_11D3_8FA9_0008C7809E09_.wvu.PrintTitles" localSheetId="7" hidden="1">#REF!,#REF!</definedName>
    <definedName name="Z_179EFE3D_A1B1_11D3_8FA9_0008C7809E09_.wvu.PrintTitles" localSheetId="3" hidden="1">#REF!,#REF!</definedName>
    <definedName name="Z_179EFE3D_A1B1_11D3_8FA9_0008C7809E09_.wvu.PrintTitles" localSheetId="29" hidden="1">#REF!,#REF!</definedName>
    <definedName name="Z_179EFE3D_A1B1_11D3_8FA9_0008C7809E09_.wvu.PrintTitles" hidden="1">#REF!,#REF!</definedName>
    <definedName name="Z_179EFE3E_A1B1_11D3_8FA9_0008C7809E09_.wvu.PrintArea" localSheetId="6" hidden="1">#REF!</definedName>
    <definedName name="Z_179EFE3E_A1B1_11D3_8FA9_0008C7809E09_.wvu.PrintArea" localSheetId="7" hidden="1">#REF!</definedName>
    <definedName name="Z_179EFE3E_A1B1_11D3_8FA9_0008C7809E09_.wvu.PrintArea" localSheetId="3" hidden="1">#REF!</definedName>
    <definedName name="Z_179EFE3E_A1B1_11D3_8FA9_0008C7809E09_.wvu.PrintArea" localSheetId="29" hidden="1">#REF!</definedName>
    <definedName name="Z_179EFE3E_A1B1_11D3_8FA9_0008C7809E09_.wvu.PrintArea" hidden="1">#REF!</definedName>
    <definedName name="Z_179EFE3E_A1B1_11D3_8FA9_0008C7809E09_.wvu.PrintTitles" localSheetId="6" hidden="1">#REF!,#REF!</definedName>
    <definedName name="Z_179EFE3E_A1B1_11D3_8FA9_0008C7809E09_.wvu.PrintTitles" localSheetId="7" hidden="1">#REF!,#REF!</definedName>
    <definedName name="Z_179EFE3E_A1B1_11D3_8FA9_0008C7809E09_.wvu.PrintTitles" localSheetId="3" hidden="1">#REF!,#REF!</definedName>
    <definedName name="Z_179EFE3E_A1B1_11D3_8FA9_0008C7809E09_.wvu.PrintTitles" localSheetId="29" hidden="1">#REF!,#REF!</definedName>
    <definedName name="Z_179EFE3E_A1B1_11D3_8FA9_0008C7809E09_.wvu.PrintTitles" hidden="1">#REF!,#REF!</definedName>
    <definedName name="Z_179EFE3F_A1B1_11D3_8FA9_0008C7809E09_.wvu.PrintArea" localSheetId="6" hidden="1">#REF!</definedName>
    <definedName name="Z_179EFE3F_A1B1_11D3_8FA9_0008C7809E09_.wvu.PrintArea" localSheetId="7" hidden="1">#REF!</definedName>
    <definedName name="Z_179EFE3F_A1B1_11D3_8FA9_0008C7809E09_.wvu.PrintArea" localSheetId="3" hidden="1">#REF!</definedName>
    <definedName name="Z_179EFE3F_A1B1_11D3_8FA9_0008C7809E09_.wvu.PrintArea" localSheetId="29" hidden="1">#REF!</definedName>
    <definedName name="Z_179EFE3F_A1B1_11D3_8FA9_0008C7809E09_.wvu.PrintArea" hidden="1">#REF!</definedName>
    <definedName name="Z_179EFE3F_A1B1_11D3_8FA9_0008C7809E09_.wvu.PrintTitles" localSheetId="6" hidden="1">#REF!,#REF!</definedName>
    <definedName name="Z_179EFE3F_A1B1_11D3_8FA9_0008C7809E09_.wvu.PrintTitles" localSheetId="7" hidden="1">#REF!,#REF!</definedName>
    <definedName name="Z_179EFE3F_A1B1_11D3_8FA9_0008C7809E09_.wvu.PrintTitles" localSheetId="3" hidden="1">#REF!,#REF!</definedName>
    <definedName name="Z_179EFE3F_A1B1_11D3_8FA9_0008C7809E09_.wvu.PrintTitles" localSheetId="29" hidden="1">#REF!,#REF!</definedName>
    <definedName name="Z_179EFE3F_A1B1_11D3_8FA9_0008C7809E09_.wvu.PrintTitles" hidden="1">#REF!,#REF!</definedName>
    <definedName name="Z_179EFE40_A1B1_11D3_8FA9_0008C7809E09_.wvu.PrintArea" localSheetId="6" hidden="1">#REF!</definedName>
    <definedName name="Z_179EFE40_A1B1_11D3_8FA9_0008C7809E09_.wvu.PrintArea" localSheetId="7" hidden="1">#REF!</definedName>
    <definedName name="Z_179EFE40_A1B1_11D3_8FA9_0008C7809E09_.wvu.PrintArea" localSheetId="3" hidden="1">#REF!</definedName>
    <definedName name="Z_179EFE40_A1B1_11D3_8FA9_0008C7809E09_.wvu.PrintArea" localSheetId="29" hidden="1">#REF!</definedName>
    <definedName name="Z_179EFE40_A1B1_11D3_8FA9_0008C7809E09_.wvu.PrintArea" hidden="1">#REF!</definedName>
    <definedName name="Z_179EFE40_A1B1_11D3_8FA9_0008C7809E09_.wvu.PrintTitles" localSheetId="6" hidden="1">#REF!,#REF!</definedName>
    <definedName name="Z_179EFE40_A1B1_11D3_8FA9_0008C7809E09_.wvu.PrintTitles" localSheetId="7" hidden="1">#REF!,#REF!</definedName>
    <definedName name="Z_179EFE40_A1B1_11D3_8FA9_0008C7809E09_.wvu.PrintTitles" localSheetId="3" hidden="1">#REF!,#REF!</definedName>
    <definedName name="Z_179EFE40_A1B1_11D3_8FA9_0008C7809E09_.wvu.PrintTitles" localSheetId="29" hidden="1">#REF!,#REF!</definedName>
    <definedName name="Z_179EFE40_A1B1_11D3_8FA9_0008C7809E09_.wvu.PrintTitles" hidden="1">#REF!,#REF!</definedName>
    <definedName name="Z_179EFE41_A1B1_11D3_8FA9_0008C7809E09_.wvu.PrintArea" localSheetId="6" hidden="1">#REF!</definedName>
    <definedName name="Z_179EFE41_A1B1_11D3_8FA9_0008C7809E09_.wvu.PrintArea" localSheetId="7" hidden="1">#REF!</definedName>
    <definedName name="Z_179EFE41_A1B1_11D3_8FA9_0008C7809E09_.wvu.PrintArea" localSheetId="3" hidden="1">#REF!</definedName>
    <definedName name="Z_179EFE41_A1B1_11D3_8FA9_0008C7809E09_.wvu.PrintArea" localSheetId="29" hidden="1">#REF!</definedName>
    <definedName name="Z_179EFE41_A1B1_11D3_8FA9_0008C7809E09_.wvu.PrintArea" hidden="1">#REF!</definedName>
    <definedName name="Z_179EFE41_A1B1_11D3_8FA9_0008C7809E09_.wvu.PrintTitles" localSheetId="6" hidden="1">#REF!,#REF!</definedName>
    <definedName name="Z_179EFE41_A1B1_11D3_8FA9_0008C7809E09_.wvu.PrintTitles" localSheetId="7" hidden="1">#REF!,#REF!</definedName>
    <definedName name="Z_179EFE41_A1B1_11D3_8FA9_0008C7809E09_.wvu.PrintTitles" localSheetId="3" hidden="1">#REF!,#REF!</definedName>
    <definedName name="Z_179EFE41_A1B1_11D3_8FA9_0008C7809E09_.wvu.PrintTitles" localSheetId="29" hidden="1">#REF!,#REF!</definedName>
    <definedName name="Z_179EFE41_A1B1_11D3_8FA9_0008C7809E09_.wvu.PrintTitles" hidden="1">#REF!,#REF!</definedName>
    <definedName name="Z_179EFE42_A1B1_11D3_8FA9_0008C7809E09_.wvu.PrintArea" localSheetId="6" hidden="1">#REF!</definedName>
    <definedName name="Z_179EFE42_A1B1_11D3_8FA9_0008C7809E09_.wvu.PrintArea" localSheetId="7" hidden="1">#REF!</definedName>
    <definedName name="Z_179EFE42_A1B1_11D3_8FA9_0008C7809E09_.wvu.PrintArea" localSheetId="3" hidden="1">#REF!</definedName>
    <definedName name="Z_179EFE42_A1B1_11D3_8FA9_0008C7809E09_.wvu.PrintArea" localSheetId="29" hidden="1">#REF!</definedName>
    <definedName name="Z_179EFE42_A1B1_11D3_8FA9_0008C7809E09_.wvu.PrintArea" hidden="1">#REF!</definedName>
    <definedName name="Z_179EFE42_A1B1_11D3_8FA9_0008C7809E09_.wvu.PrintTitles" localSheetId="6" hidden="1">#REF!,#REF!</definedName>
    <definedName name="Z_179EFE42_A1B1_11D3_8FA9_0008C7809E09_.wvu.PrintTitles" localSheetId="7" hidden="1">#REF!,#REF!</definedName>
    <definedName name="Z_179EFE42_A1B1_11D3_8FA9_0008C7809E09_.wvu.PrintTitles" localSheetId="3" hidden="1">#REF!,#REF!</definedName>
    <definedName name="Z_179EFE42_A1B1_11D3_8FA9_0008C7809E09_.wvu.PrintTitles" localSheetId="29" hidden="1">#REF!,#REF!</definedName>
    <definedName name="Z_179EFE42_A1B1_11D3_8FA9_0008C7809E09_.wvu.PrintTitles" hidden="1">#REF!,#REF!</definedName>
    <definedName name="Z_179EFE43_A1B1_11D3_8FA9_0008C7809E09_.wvu.PrintArea" localSheetId="6" hidden="1">#REF!</definedName>
    <definedName name="Z_179EFE43_A1B1_11D3_8FA9_0008C7809E09_.wvu.PrintArea" localSheetId="7" hidden="1">#REF!</definedName>
    <definedName name="Z_179EFE43_A1B1_11D3_8FA9_0008C7809E09_.wvu.PrintArea" localSheetId="3" hidden="1">#REF!</definedName>
    <definedName name="Z_179EFE43_A1B1_11D3_8FA9_0008C7809E09_.wvu.PrintArea" localSheetId="29" hidden="1">#REF!</definedName>
    <definedName name="Z_179EFE43_A1B1_11D3_8FA9_0008C7809E09_.wvu.PrintArea" hidden="1">#REF!</definedName>
    <definedName name="Z_179EFE43_A1B1_11D3_8FA9_0008C7809E09_.wvu.PrintTitles" localSheetId="6" hidden="1">#REF!,#REF!</definedName>
    <definedName name="Z_179EFE43_A1B1_11D3_8FA9_0008C7809E09_.wvu.PrintTitles" localSheetId="7" hidden="1">#REF!,#REF!</definedName>
    <definedName name="Z_179EFE43_A1B1_11D3_8FA9_0008C7809E09_.wvu.PrintTitles" localSheetId="3" hidden="1">#REF!,#REF!</definedName>
    <definedName name="Z_179EFE43_A1B1_11D3_8FA9_0008C7809E09_.wvu.PrintTitles" localSheetId="29" hidden="1">#REF!,#REF!</definedName>
    <definedName name="Z_179EFE43_A1B1_11D3_8FA9_0008C7809E09_.wvu.PrintTitles" hidden="1">#REF!,#REF!</definedName>
    <definedName name="Z_179EFE44_A1B1_11D3_8FA9_0008C7809E09_.wvu.PrintArea" localSheetId="6" hidden="1">#REF!</definedName>
    <definedName name="Z_179EFE44_A1B1_11D3_8FA9_0008C7809E09_.wvu.PrintArea" localSheetId="7" hidden="1">#REF!</definedName>
    <definedName name="Z_179EFE44_A1B1_11D3_8FA9_0008C7809E09_.wvu.PrintArea" localSheetId="3" hidden="1">#REF!</definedName>
    <definedName name="Z_179EFE44_A1B1_11D3_8FA9_0008C7809E09_.wvu.PrintArea" localSheetId="29" hidden="1">#REF!</definedName>
    <definedName name="Z_179EFE44_A1B1_11D3_8FA9_0008C7809E09_.wvu.PrintArea" hidden="1">#REF!</definedName>
    <definedName name="Z_179EFE44_A1B1_11D3_8FA9_0008C7809E09_.wvu.PrintTitles" localSheetId="6" hidden="1">#REF!,#REF!</definedName>
    <definedName name="Z_179EFE44_A1B1_11D3_8FA9_0008C7809E09_.wvu.PrintTitles" localSheetId="7" hidden="1">#REF!,#REF!</definedName>
    <definedName name="Z_179EFE44_A1B1_11D3_8FA9_0008C7809E09_.wvu.PrintTitles" localSheetId="3" hidden="1">#REF!,#REF!</definedName>
    <definedName name="Z_179EFE44_A1B1_11D3_8FA9_0008C7809E09_.wvu.PrintTitles" localSheetId="29" hidden="1">#REF!,#REF!</definedName>
    <definedName name="Z_179EFE44_A1B1_11D3_8FA9_0008C7809E09_.wvu.PrintTitles" hidden="1">#REF!,#REF!</definedName>
    <definedName name="Z_179EFE45_A1B1_11D3_8FA9_0008C7809E09_.wvu.PrintArea" localSheetId="6" hidden="1">#REF!</definedName>
    <definedName name="Z_179EFE45_A1B1_11D3_8FA9_0008C7809E09_.wvu.PrintArea" localSheetId="7" hidden="1">#REF!</definedName>
    <definedName name="Z_179EFE45_A1B1_11D3_8FA9_0008C7809E09_.wvu.PrintArea" localSheetId="3" hidden="1">#REF!</definedName>
    <definedName name="Z_179EFE45_A1B1_11D3_8FA9_0008C7809E09_.wvu.PrintArea" localSheetId="29" hidden="1">#REF!</definedName>
    <definedName name="Z_179EFE45_A1B1_11D3_8FA9_0008C7809E09_.wvu.PrintArea" hidden="1">#REF!</definedName>
    <definedName name="Z_179EFE45_A1B1_11D3_8FA9_0008C7809E09_.wvu.PrintTitles" localSheetId="6" hidden="1">#REF!,#REF!</definedName>
    <definedName name="Z_179EFE45_A1B1_11D3_8FA9_0008C7809E09_.wvu.PrintTitles" localSheetId="7" hidden="1">#REF!,#REF!</definedName>
    <definedName name="Z_179EFE45_A1B1_11D3_8FA9_0008C7809E09_.wvu.PrintTitles" localSheetId="3" hidden="1">#REF!,#REF!</definedName>
    <definedName name="Z_179EFE45_A1B1_11D3_8FA9_0008C7809E09_.wvu.PrintTitles" localSheetId="29" hidden="1">#REF!,#REF!</definedName>
    <definedName name="Z_179EFE45_A1B1_11D3_8FA9_0008C7809E09_.wvu.PrintTitles" hidden="1">#REF!,#REF!</definedName>
    <definedName name="Z_179EFE46_A1B1_11D3_8FA9_0008C7809E09_.wvu.PrintArea" localSheetId="6" hidden="1">#REF!</definedName>
    <definedName name="Z_179EFE46_A1B1_11D3_8FA9_0008C7809E09_.wvu.PrintArea" localSheetId="7" hidden="1">#REF!</definedName>
    <definedName name="Z_179EFE46_A1B1_11D3_8FA9_0008C7809E09_.wvu.PrintArea" localSheetId="3" hidden="1">#REF!</definedName>
    <definedName name="Z_179EFE46_A1B1_11D3_8FA9_0008C7809E09_.wvu.PrintArea" localSheetId="29" hidden="1">#REF!</definedName>
    <definedName name="Z_179EFE46_A1B1_11D3_8FA9_0008C7809E09_.wvu.PrintArea" hidden="1">#REF!</definedName>
    <definedName name="Z_179EFE46_A1B1_11D3_8FA9_0008C7809E09_.wvu.PrintTitles" localSheetId="6" hidden="1">#REF!,#REF!</definedName>
    <definedName name="Z_179EFE46_A1B1_11D3_8FA9_0008C7809E09_.wvu.PrintTitles" localSheetId="7" hidden="1">#REF!,#REF!</definedName>
    <definedName name="Z_179EFE46_A1B1_11D3_8FA9_0008C7809E09_.wvu.PrintTitles" localSheetId="3" hidden="1">#REF!,#REF!</definedName>
    <definedName name="Z_179EFE46_A1B1_11D3_8FA9_0008C7809E09_.wvu.PrintTitles" localSheetId="29" hidden="1">#REF!,#REF!</definedName>
    <definedName name="Z_179EFE46_A1B1_11D3_8FA9_0008C7809E09_.wvu.PrintTitles" hidden="1">#REF!,#REF!</definedName>
    <definedName name="Z_179EFE47_A1B1_11D3_8FA9_0008C7809E09_.wvu.PrintArea" localSheetId="6" hidden="1">#REF!</definedName>
    <definedName name="Z_179EFE47_A1B1_11D3_8FA9_0008C7809E09_.wvu.PrintArea" localSheetId="7" hidden="1">#REF!</definedName>
    <definedName name="Z_179EFE47_A1B1_11D3_8FA9_0008C7809E09_.wvu.PrintArea" localSheetId="3" hidden="1">#REF!</definedName>
    <definedName name="Z_179EFE47_A1B1_11D3_8FA9_0008C7809E09_.wvu.PrintArea" localSheetId="29" hidden="1">#REF!</definedName>
    <definedName name="Z_179EFE47_A1B1_11D3_8FA9_0008C7809E09_.wvu.PrintArea" hidden="1">#REF!</definedName>
    <definedName name="Z_179EFE47_A1B1_11D3_8FA9_0008C7809E09_.wvu.PrintTitles" localSheetId="6" hidden="1">#REF!,#REF!</definedName>
    <definedName name="Z_179EFE47_A1B1_11D3_8FA9_0008C7809E09_.wvu.PrintTitles" localSheetId="7" hidden="1">#REF!,#REF!</definedName>
    <definedName name="Z_179EFE47_A1B1_11D3_8FA9_0008C7809E09_.wvu.PrintTitles" localSheetId="3" hidden="1">#REF!,#REF!</definedName>
    <definedName name="Z_179EFE47_A1B1_11D3_8FA9_0008C7809E09_.wvu.PrintTitles" localSheetId="29" hidden="1">#REF!,#REF!</definedName>
    <definedName name="Z_179EFE47_A1B1_11D3_8FA9_0008C7809E09_.wvu.PrintTitles" hidden="1">#REF!,#REF!</definedName>
    <definedName name="Z_179EFE48_A1B1_11D3_8FA9_0008C7809E09_.wvu.PrintArea" localSheetId="6" hidden="1">#REF!</definedName>
    <definedName name="Z_179EFE48_A1B1_11D3_8FA9_0008C7809E09_.wvu.PrintArea" localSheetId="7" hidden="1">#REF!</definedName>
    <definedName name="Z_179EFE48_A1B1_11D3_8FA9_0008C7809E09_.wvu.PrintArea" localSheetId="3" hidden="1">#REF!</definedName>
    <definedName name="Z_179EFE48_A1B1_11D3_8FA9_0008C7809E09_.wvu.PrintArea" localSheetId="29" hidden="1">#REF!</definedName>
    <definedName name="Z_179EFE48_A1B1_11D3_8FA9_0008C7809E09_.wvu.PrintArea" hidden="1">#REF!</definedName>
    <definedName name="Z_179EFE48_A1B1_11D3_8FA9_0008C7809E09_.wvu.PrintTitles" localSheetId="6" hidden="1">#REF!,#REF!</definedName>
    <definedName name="Z_179EFE48_A1B1_11D3_8FA9_0008C7809E09_.wvu.PrintTitles" localSheetId="7" hidden="1">#REF!,#REF!</definedName>
    <definedName name="Z_179EFE48_A1B1_11D3_8FA9_0008C7809E09_.wvu.PrintTitles" localSheetId="3" hidden="1">#REF!,#REF!</definedName>
    <definedName name="Z_179EFE48_A1B1_11D3_8FA9_0008C7809E09_.wvu.PrintTitles" localSheetId="29" hidden="1">#REF!,#REF!</definedName>
    <definedName name="Z_179EFE48_A1B1_11D3_8FA9_0008C7809E09_.wvu.PrintTitles" hidden="1">#REF!,#REF!</definedName>
    <definedName name="Z_179EFE49_A1B1_11D3_8FA9_0008C7809E09_.wvu.PrintArea" localSheetId="6" hidden="1">#REF!</definedName>
    <definedName name="Z_179EFE49_A1B1_11D3_8FA9_0008C7809E09_.wvu.PrintArea" localSheetId="7" hidden="1">#REF!</definedName>
    <definedName name="Z_179EFE49_A1B1_11D3_8FA9_0008C7809E09_.wvu.PrintArea" localSheetId="3" hidden="1">#REF!</definedName>
    <definedName name="Z_179EFE49_A1B1_11D3_8FA9_0008C7809E09_.wvu.PrintArea" localSheetId="29" hidden="1">#REF!</definedName>
    <definedName name="Z_179EFE49_A1B1_11D3_8FA9_0008C7809E09_.wvu.PrintArea" hidden="1">#REF!</definedName>
    <definedName name="Z_179EFE49_A1B1_11D3_8FA9_0008C7809E09_.wvu.PrintTitles" localSheetId="6" hidden="1">#REF!,#REF!</definedName>
    <definedName name="Z_179EFE49_A1B1_11D3_8FA9_0008C7809E09_.wvu.PrintTitles" localSheetId="7" hidden="1">#REF!,#REF!</definedName>
    <definedName name="Z_179EFE49_A1B1_11D3_8FA9_0008C7809E09_.wvu.PrintTitles" localSheetId="3" hidden="1">#REF!,#REF!</definedName>
    <definedName name="Z_179EFE49_A1B1_11D3_8FA9_0008C7809E09_.wvu.PrintTitles" localSheetId="29" hidden="1">#REF!,#REF!</definedName>
    <definedName name="Z_179EFE49_A1B1_11D3_8FA9_0008C7809E09_.wvu.PrintTitles" hidden="1">#REF!,#REF!</definedName>
    <definedName name="Z_179EFE4A_A1B1_11D3_8FA9_0008C7809E09_.wvu.PrintArea" localSheetId="6" hidden="1">#REF!</definedName>
    <definedName name="Z_179EFE4A_A1B1_11D3_8FA9_0008C7809E09_.wvu.PrintArea" localSheetId="7" hidden="1">#REF!</definedName>
    <definedName name="Z_179EFE4A_A1B1_11D3_8FA9_0008C7809E09_.wvu.PrintArea" localSheetId="3" hidden="1">#REF!</definedName>
    <definedName name="Z_179EFE4A_A1B1_11D3_8FA9_0008C7809E09_.wvu.PrintArea" localSheetId="29" hidden="1">#REF!</definedName>
    <definedName name="Z_179EFE4A_A1B1_11D3_8FA9_0008C7809E09_.wvu.PrintArea" hidden="1">#REF!</definedName>
    <definedName name="Z_179EFE4A_A1B1_11D3_8FA9_0008C7809E09_.wvu.PrintTitles" localSheetId="6" hidden="1">#REF!,#REF!</definedName>
    <definedName name="Z_179EFE4A_A1B1_11D3_8FA9_0008C7809E09_.wvu.PrintTitles" localSheetId="7" hidden="1">#REF!,#REF!</definedName>
    <definedName name="Z_179EFE4A_A1B1_11D3_8FA9_0008C7809E09_.wvu.PrintTitles" localSheetId="3" hidden="1">#REF!,#REF!</definedName>
    <definedName name="Z_179EFE4A_A1B1_11D3_8FA9_0008C7809E09_.wvu.PrintTitles" localSheetId="29" hidden="1">#REF!,#REF!</definedName>
    <definedName name="Z_179EFE4A_A1B1_11D3_8FA9_0008C7809E09_.wvu.PrintTitles" hidden="1">#REF!,#REF!</definedName>
    <definedName name="Z_179EFE4B_A1B1_11D3_8FA9_0008C7809E09_.wvu.PrintArea" localSheetId="6" hidden="1">#REF!</definedName>
    <definedName name="Z_179EFE4B_A1B1_11D3_8FA9_0008C7809E09_.wvu.PrintArea" localSheetId="7" hidden="1">#REF!</definedName>
    <definedName name="Z_179EFE4B_A1B1_11D3_8FA9_0008C7809E09_.wvu.PrintArea" localSheetId="3" hidden="1">#REF!</definedName>
    <definedName name="Z_179EFE4B_A1B1_11D3_8FA9_0008C7809E09_.wvu.PrintArea" localSheetId="29" hidden="1">#REF!</definedName>
    <definedName name="Z_179EFE4B_A1B1_11D3_8FA9_0008C7809E09_.wvu.PrintArea" hidden="1">#REF!</definedName>
    <definedName name="Z_179EFE4B_A1B1_11D3_8FA9_0008C7809E09_.wvu.PrintTitles" localSheetId="6" hidden="1">#REF!,#REF!</definedName>
    <definedName name="Z_179EFE4B_A1B1_11D3_8FA9_0008C7809E09_.wvu.PrintTitles" localSheetId="7" hidden="1">#REF!,#REF!</definedName>
    <definedName name="Z_179EFE4B_A1B1_11D3_8FA9_0008C7809E09_.wvu.PrintTitles" localSheetId="3" hidden="1">#REF!,#REF!</definedName>
    <definedName name="Z_179EFE4B_A1B1_11D3_8FA9_0008C7809E09_.wvu.PrintTitles" localSheetId="29" hidden="1">#REF!,#REF!</definedName>
    <definedName name="Z_179EFE4B_A1B1_11D3_8FA9_0008C7809E09_.wvu.PrintTitles" hidden="1">#REF!,#REF!</definedName>
    <definedName name="Z_179EFE4C_A1B1_11D3_8FA9_0008C7809E09_.wvu.PrintArea" localSheetId="6" hidden="1">#REF!</definedName>
    <definedName name="Z_179EFE4C_A1B1_11D3_8FA9_0008C7809E09_.wvu.PrintArea" localSheetId="7" hidden="1">#REF!</definedName>
    <definedName name="Z_179EFE4C_A1B1_11D3_8FA9_0008C7809E09_.wvu.PrintArea" localSheetId="3" hidden="1">#REF!</definedName>
    <definedName name="Z_179EFE4C_A1B1_11D3_8FA9_0008C7809E09_.wvu.PrintArea" localSheetId="29" hidden="1">#REF!</definedName>
    <definedName name="Z_179EFE4C_A1B1_11D3_8FA9_0008C7809E09_.wvu.PrintArea" hidden="1">#REF!</definedName>
    <definedName name="Z_179EFE4C_A1B1_11D3_8FA9_0008C7809E09_.wvu.PrintTitles" localSheetId="6" hidden="1">#REF!,#REF!</definedName>
    <definedName name="Z_179EFE4C_A1B1_11D3_8FA9_0008C7809E09_.wvu.PrintTitles" localSheetId="7" hidden="1">#REF!,#REF!</definedName>
    <definedName name="Z_179EFE4C_A1B1_11D3_8FA9_0008C7809E09_.wvu.PrintTitles" localSheetId="3" hidden="1">#REF!,#REF!</definedName>
    <definedName name="Z_179EFE4C_A1B1_11D3_8FA9_0008C7809E09_.wvu.PrintTitles" localSheetId="29" hidden="1">#REF!,#REF!</definedName>
    <definedName name="Z_179EFE4C_A1B1_11D3_8FA9_0008C7809E09_.wvu.PrintTitles" hidden="1">#REF!,#REF!</definedName>
    <definedName name="Z_179EFE4D_A1B1_11D3_8FA9_0008C7809E09_.wvu.PrintArea" localSheetId="6" hidden="1">#REF!</definedName>
    <definedName name="Z_179EFE4D_A1B1_11D3_8FA9_0008C7809E09_.wvu.PrintArea" localSheetId="7" hidden="1">#REF!</definedName>
    <definedName name="Z_179EFE4D_A1B1_11D3_8FA9_0008C7809E09_.wvu.PrintArea" localSheetId="3" hidden="1">#REF!</definedName>
    <definedName name="Z_179EFE4D_A1B1_11D3_8FA9_0008C7809E09_.wvu.PrintArea" localSheetId="29" hidden="1">#REF!</definedName>
    <definedName name="Z_179EFE4D_A1B1_11D3_8FA9_0008C7809E09_.wvu.PrintArea" hidden="1">#REF!</definedName>
    <definedName name="Z_179EFE4D_A1B1_11D3_8FA9_0008C7809E09_.wvu.PrintTitles" localSheetId="6" hidden="1">#REF!,#REF!</definedName>
    <definedName name="Z_179EFE4D_A1B1_11D3_8FA9_0008C7809E09_.wvu.PrintTitles" localSheetId="7" hidden="1">#REF!,#REF!</definedName>
    <definedName name="Z_179EFE4D_A1B1_11D3_8FA9_0008C7809E09_.wvu.PrintTitles" localSheetId="3" hidden="1">#REF!,#REF!</definedName>
    <definedName name="Z_179EFE4D_A1B1_11D3_8FA9_0008C7809E09_.wvu.PrintTitles" localSheetId="29" hidden="1">#REF!,#REF!</definedName>
    <definedName name="Z_179EFE4D_A1B1_11D3_8FA9_0008C7809E09_.wvu.PrintTitles" hidden="1">#REF!,#REF!</definedName>
    <definedName name="Z_179EFE4E_A1B1_11D3_8FA9_0008C7809E09_.wvu.PrintArea" localSheetId="6" hidden="1">#REF!</definedName>
    <definedName name="Z_179EFE4E_A1B1_11D3_8FA9_0008C7809E09_.wvu.PrintArea" localSheetId="7" hidden="1">#REF!</definedName>
    <definedName name="Z_179EFE4E_A1B1_11D3_8FA9_0008C7809E09_.wvu.PrintArea" localSheetId="3" hidden="1">#REF!</definedName>
    <definedName name="Z_179EFE4E_A1B1_11D3_8FA9_0008C7809E09_.wvu.PrintArea" localSheetId="29" hidden="1">#REF!</definedName>
    <definedName name="Z_179EFE4E_A1B1_11D3_8FA9_0008C7809E09_.wvu.PrintArea" hidden="1">#REF!</definedName>
    <definedName name="Z_179EFE4E_A1B1_11D3_8FA9_0008C7809E09_.wvu.PrintTitles" localSheetId="6" hidden="1">#REF!,#REF!</definedName>
    <definedName name="Z_179EFE4E_A1B1_11D3_8FA9_0008C7809E09_.wvu.PrintTitles" localSheetId="7" hidden="1">#REF!,#REF!</definedName>
    <definedName name="Z_179EFE4E_A1B1_11D3_8FA9_0008C7809E09_.wvu.PrintTitles" localSheetId="3" hidden="1">#REF!,#REF!</definedName>
    <definedName name="Z_179EFE4E_A1B1_11D3_8FA9_0008C7809E09_.wvu.PrintTitles" localSheetId="29" hidden="1">#REF!,#REF!</definedName>
    <definedName name="Z_179EFE4E_A1B1_11D3_8FA9_0008C7809E09_.wvu.PrintTitles" hidden="1">#REF!,#REF!</definedName>
    <definedName name="Z_179EFE4F_A1B1_11D3_8FA9_0008C7809E09_.wvu.PrintArea" localSheetId="6" hidden="1">#REF!</definedName>
    <definedName name="Z_179EFE4F_A1B1_11D3_8FA9_0008C7809E09_.wvu.PrintArea" localSheetId="7" hidden="1">#REF!</definedName>
    <definedName name="Z_179EFE4F_A1B1_11D3_8FA9_0008C7809E09_.wvu.PrintArea" localSheetId="3" hidden="1">#REF!</definedName>
    <definedName name="Z_179EFE4F_A1B1_11D3_8FA9_0008C7809E09_.wvu.PrintArea" localSheetId="29" hidden="1">#REF!</definedName>
    <definedName name="Z_179EFE4F_A1B1_11D3_8FA9_0008C7809E09_.wvu.PrintArea" hidden="1">#REF!</definedName>
    <definedName name="Z_179EFE4F_A1B1_11D3_8FA9_0008C7809E09_.wvu.PrintTitles" localSheetId="6" hidden="1">#REF!,#REF!</definedName>
    <definedName name="Z_179EFE4F_A1B1_11D3_8FA9_0008C7809E09_.wvu.PrintTitles" localSheetId="7" hidden="1">#REF!,#REF!</definedName>
    <definedName name="Z_179EFE4F_A1B1_11D3_8FA9_0008C7809E09_.wvu.PrintTitles" localSheetId="3" hidden="1">#REF!,#REF!</definedName>
    <definedName name="Z_179EFE4F_A1B1_11D3_8FA9_0008C7809E09_.wvu.PrintTitles" localSheetId="29" hidden="1">#REF!,#REF!</definedName>
    <definedName name="Z_179EFE4F_A1B1_11D3_8FA9_0008C7809E09_.wvu.PrintTitles" hidden="1">#REF!,#REF!</definedName>
    <definedName name="Z_179EFE50_A1B1_11D3_8FA9_0008C7809E09_.wvu.PrintArea" localSheetId="6" hidden="1">#REF!</definedName>
    <definedName name="Z_179EFE50_A1B1_11D3_8FA9_0008C7809E09_.wvu.PrintArea" localSheetId="7" hidden="1">#REF!</definedName>
    <definedName name="Z_179EFE50_A1B1_11D3_8FA9_0008C7809E09_.wvu.PrintArea" localSheetId="3" hidden="1">#REF!</definedName>
    <definedName name="Z_179EFE50_A1B1_11D3_8FA9_0008C7809E09_.wvu.PrintArea" localSheetId="29" hidden="1">#REF!</definedName>
    <definedName name="Z_179EFE50_A1B1_11D3_8FA9_0008C7809E09_.wvu.PrintArea" hidden="1">#REF!</definedName>
    <definedName name="Z_179EFE50_A1B1_11D3_8FA9_0008C7809E09_.wvu.PrintTitles" localSheetId="6" hidden="1">#REF!,#REF!</definedName>
    <definedName name="Z_179EFE50_A1B1_11D3_8FA9_0008C7809E09_.wvu.PrintTitles" localSheetId="7" hidden="1">#REF!,#REF!</definedName>
    <definedName name="Z_179EFE50_A1B1_11D3_8FA9_0008C7809E09_.wvu.PrintTitles" localSheetId="3" hidden="1">#REF!,#REF!</definedName>
    <definedName name="Z_179EFE50_A1B1_11D3_8FA9_0008C7809E09_.wvu.PrintTitles" localSheetId="29" hidden="1">#REF!,#REF!</definedName>
    <definedName name="Z_179EFE50_A1B1_11D3_8FA9_0008C7809E09_.wvu.PrintTitles" hidden="1">#REF!,#REF!</definedName>
    <definedName name="Z_179EFE51_A1B1_11D3_8FA9_0008C7809E09_.wvu.PrintArea" localSheetId="6" hidden="1">#REF!</definedName>
    <definedName name="Z_179EFE51_A1B1_11D3_8FA9_0008C7809E09_.wvu.PrintArea" localSheetId="7" hidden="1">#REF!</definedName>
    <definedName name="Z_179EFE51_A1B1_11D3_8FA9_0008C7809E09_.wvu.PrintArea" localSheetId="3" hidden="1">#REF!</definedName>
    <definedName name="Z_179EFE51_A1B1_11D3_8FA9_0008C7809E09_.wvu.PrintArea" localSheetId="29" hidden="1">#REF!</definedName>
    <definedName name="Z_179EFE51_A1B1_11D3_8FA9_0008C7809E09_.wvu.PrintArea" hidden="1">#REF!</definedName>
    <definedName name="Z_179EFE51_A1B1_11D3_8FA9_0008C7809E09_.wvu.PrintTitles" localSheetId="6" hidden="1">#REF!,#REF!</definedName>
    <definedName name="Z_179EFE51_A1B1_11D3_8FA9_0008C7809E09_.wvu.PrintTitles" localSheetId="7" hidden="1">#REF!,#REF!</definedName>
    <definedName name="Z_179EFE51_A1B1_11D3_8FA9_0008C7809E09_.wvu.PrintTitles" localSheetId="3" hidden="1">#REF!,#REF!</definedName>
    <definedName name="Z_179EFE51_A1B1_11D3_8FA9_0008C7809E09_.wvu.PrintTitles" localSheetId="29" hidden="1">#REF!,#REF!</definedName>
    <definedName name="Z_179EFE51_A1B1_11D3_8FA9_0008C7809E09_.wvu.PrintTitles" hidden="1">#REF!,#REF!</definedName>
    <definedName name="Z_179EFE52_A1B1_11D3_8FA9_0008C7809E09_.wvu.PrintArea" localSheetId="6" hidden="1">#REF!</definedName>
    <definedName name="Z_179EFE52_A1B1_11D3_8FA9_0008C7809E09_.wvu.PrintArea" localSheetId="7" hidden="1">#REF!</definedName>
    <definedName name="Z_179EFE52_A1B1_11D3_8FA9_0008C7809E09_.wvu.PrintArea" localSheetId="3" hidden="1">#REF!</definedName>
    <definedName name="Z_179EFE52_A1B1_11D3_8FA9_0008C7809E09_.wvu.PrintArea" localSheetId="29" hidden="1">#REF!</definedName>
    <definedName name="Z_179EFE52_A1B1_11D3_8FA9_0008C7809E09_.wvu.PrintArea" hidden="1">#REF!</definedName>
    <definedName name="Z_179EFE52_A1B1_11D3_8FA9_0008C7809E09_.wvu.PrintTitles" localSheetId="6" hidden="1">#REF!,#REF!</definedName>
    <definedName name="Z_179EFE52_A1B1_11D3_8FA9_0008C7809E09_.wvu.PrintTitles" localSheetId="7" hidden="1">#REF!,#REF!</definedName>
    <definedName name="Z_179EFE52_A1B1_11D3_8FA9_0008C7809E09_.wvu.PrintTitles" localSheetId="3" hidden="1">#REF!,#REF!</definedName>
    <definedName name="Z_179EFE52_A1B1_11D3_8FA9_0008C7809E09_.wvu.PrintTitles" localSheetId="29" hidden="1">#REF!,#REF!</definedName>
    <definedName name="Z_179EFE52_A1B1_11D3_8FA9_0008C7809E09_.wvu.PrintTitles" hidden="1">#REF!,#REF!</definedName>
    <definedName name="Z_179EFE53_A1B1_11D3_8FA9_0008C7809E09_.wvu.PrintArea" localSheetId="6" hidden="1">#REF!</definedName>
    <definedName name="Z_179EFE53_A1B1_11D3_8FA9_0008C7809E09_.wvu.PrintArea" localSheetId="7" hidden="1">#REF!</definedName>
    <definedName name="Z_179EFE53_A1B1_11D3_8FA9_0008C7809E09_.wvu.PrintArea" localSheetId="3" hidden="1">#REF!</definedName>
    <definedName name="Z_179EFE53_A1B1_11D3_8FA9_0008C7809E09_.wvu.PrintArea" localSheetId="29" hidden="1">#REF!</definedName>
    <definedName name="Z_179EFE53_A1B1_11D3_8FA9_0008C7809E09_.wvu.PrintArea" hidden="1">#REF!</definedName>
    <definedName name="Z_179EFE53_A1B1_11D3_8FA9_0008C7809E09_.wvu.PrintTitles" localSheetId="6" hidden="1">#REF!,#REF!</definedName>
    <definedName name="Z_179EFE53_A1B1_11D3_8FA9_0008C7809E09_.wvu.PrintTitles" localSheetId="7" hidden="1">#REF!,#REF!</definedName>
    <definedName name="Z_179EFE53_A1B1_11D3_8FA9_0008C7809E09_.wvu.PrintTitles" localSheetId="3" hidden="1">#REF!,#REF!</definedName>
    <definedName name="Z_179EFE53_A1B1_11D3_8FA9_0008C7809E09_.wvu.PrintTitles" localSheetId="29" hidden="1">#REF!,#REF!</definedName>
    <definedName name="Z_179EFE53_A1B1_11D3_8FA9_0008C7809E09_.wvu.PrintTitles" hidden="1">#REF!,#REF!</definedName>
    <definedName name="Z_179EFE54_A1B1_11D3_8FA9_0008C7809E09_.wvu.PrintArea" localSheetId="6" hidden="1">#REF!</definedName>
    <definedName name="Z_179EFE54_A1B1_11D3_8FA9_0008C7809E09_.wvu.PrintArea" localSheetId="7" hidden="1">#REF!</definedName>
    <definedName name="Z_179EFE54_A1B1_11D3_8FA9_0008C7809E09_.wvu.PrintArea" localSheetId="3" hidden="1">#REF!</definedName>
    <definedName name="Z_179EFE54_A1B1_11D3_8FA9_0008C7809E09_.wvu.PrintArea" localSheetId="29" hidden="1">#REF!</definedName>
    <definedName name="Z_179EFE54_A1B1_11D3_8FA9_0008C7809E09_.wvu.PrintArea" hidden="1">#REF!</definedName>
    <definedName name="Z_179EFE54_A1B1_11D3_8FA9_0008C7809E09_.wvu.PrintTitles" localSheetId="6" hidden="1">#REF!,#REF!</definedName>
    <definedName name="Z_179EFE54_A1B1_11D3_8FA9_0008C7809E09_.wvu.PrintTitles" localSheetId="7" hidden="1">#REF!,#REF!</definedName>
    <definedName name="Z_179EFE54_A1B1_11D3_8FA9_0008C7809E09_.wvu.PrintTitles" localSheetId="3" hidden="1">#REF!,#REF!</definedName>
    <definedName name="Z_179EFE54_A1B1_11D3_8FA9_0008C7809E09_.wvu.PrintTitles" localSheetId="29" hidden="1">#REF!,#REF!</definedName>
    <definedName name="Z_179EFE54_A1B1_11D3_8FA9_0008C7809E09_.wvu.PrintTitles" hidden="1">#REF!,#REF!</definedName>
    <definedName name="Z_179EFE55_A1B1_11D3_8FA9_0008C7809E09_.wvu.PrintArea" localSheetId="6" hidden="1">#REF!</definedName>
    <definedName name="Z_179EFE55_A1B1_11D3_8FA9_0008C7809E09_.wvu.PrintArea" localSheetId="7" hidden="1">#REF!</definedName>
    <definedName name="Z_179EFE55_A1B1_11D3_8FA9_0008C7809E09_.wvu.PrintArea" localSheetId="3" hidden="1">#REF!</definedName>
    <definedName name="Z_179EFE55_A1B1_11D3_8FA9_0008C7809E09_.wvu.PrintArea" localSheetId="29" hidden="1">#REF!</definedName>
    <definedName name="Z_179EFE55_A1B1_11D3_8FA9_0008C7809E09_.wvu.PrintArea" hidden="1">#REF!</definedName>
    <definedName name="Z_179EFE55_A1B1_11D3_8FA9_0008C7809E09_.wvu.PrintTitles" localSheetId="6" hidden="1">#REF!</definedName>
    <definedName name="Z_179EFE55_A1B1_11D3_8FA9_0008C7809E09_.wvu.PrintTitles" localSheetId="7" hidden="1">#REF!</definedName>
    <definedName name="Z_179EFE55_A1B1_11D3_8FA9_0008C7809E09_.wvu.PrintTitles" localSheetId="3" hidden="1">#REF!</definedName>
    <definedName name="Z_179EFE55_A1B1_11D3_8FA9_0008C7809E09_.wvu.PrintTitles" localSheetId="29" hidden="1">#REF!</definedName>
    <definedName name="Z_179EFE55_A1B1_11D3_8FA9_0008C7809E09_.wvu.PrintTitles" hidden="1">#REF!</definedName>
    <definedName name="Z_179EFE56_A1B1_11D3_8FA9_0008C7809E09_.wvu.PrintArea" localSheetId="6" hidden="1">#REF!</definedName>
    <definedName name="Z_179EFE56_A1B1_11D3_8FA9_0008C7809E09_.wvu.PrintArea" localSheetId="7" hidden="1">#REF!</definedName>
    <definedName name="Z_179EFE56_A1B1_11D3_8FA9_0008C7809E09_.wvu.PrintArea" localSheetId="3" hidden="1">#REF!</definedName>
    <definedName name="Z_179EFE56_A1B1_11D3_8FA9_0008C7809E09_.wvu.PrintArea" localSheetId="29" hidden="1">#REF!</definedName>
    <definedName name="Z_179EFE56_A1B1_11D3_8FA9_0008C7809E09_.wvu.PrintArea" hidden="1">#REF!</definedName>
    <definedName name="Z_179EFE56_A1B1_11D3_8FA9_0008C7809E09_.wvu.PrintTitles" localSheetId="6" hidden="1">#REF!,#REF!</definedName>
    <definedName name="Z_179EFE56_A1B1_11D3_8FA9_0008C7809E09_.wvu.PrintTitles" localSheetId="7" hidden="1">#REF!,#REF!</definedName>
    <definedName name="Z_179EFE56_A1B1_11D3_8FA9_0008C7809E09_.wvu.PrintTitles" localSheetId="3" hidden="1">#REF!,#REF!</definedName>
    <definedName name="Z_179EFE56_A1B1_11D3_8FA9_0008C7809E09_.wvu.PrintTitles" localSheetId="29" hidden="1">#REF!,#REF!</definedName>
    <definedName name="Z_179EFE56_A1B1_11D3_8FA9_0008C7809E09_.wvu.PrintTitles" hidden="1">#REF!,#REF!</definedName>
    <definedName name="Z_179EFE57_A1B1_11D3_8FA9_0008C7809E09_.wvu.PrintArea" localSheetId="6" hidden="1">#REF!</definedName>
    <definedName name="Z_179EFE57_A1B1_11D3_8FA9_0008C7809E09_.wvu.PrintArea" localSheetId="7" hidden="1">#REF!</definedName>
    <definedName name="Z_179EFE57_A1B1_11D3_8FA9_0008C7809E09_.wvu.PrintArea" localSheetId="3" hidden="1">#REF!</definedName>
    <definedName name="Z_179EFE57_A1B1_11D3_8FA9_0008C7809E09_.wvu.PrintArea" localSheetId="29" hidden="1">#REF!</definedName>
    <definedName name="Z_179EFE57_A1B1_11D3_8FA9_0008C7809E09_.wvu.PrintArea" hidden="1">#REF!</definedName>
    <definedName name="Z_179EFE57_A1B1_11D3_8FA9_0008C7809E09_.wvu.PrintTitles" localSheetId="6" hidden="1">#REF!,#REF!</definedName>
    <definedName name="Z_179EFE57_A1B1_11D3_8FA9_0008C7809E09_.wvu.PrintTitles" localSheetId="7" hidden="1">#REF!,#REF!</definedName>
    <definedName name="Z_179EFE57_A1B1_11D3_8FA9_0008C7809E09_.wvu.PrintTitles" localSheetId="3" hidden="1">#REF!,#REF!</definedName>
    <definedName name="Z_179EFE57_A1B1_11D3_8FA9_0008C7809E09_.wvu.PrintTitles" localSheetId="29" hidden="1">#REF!,#REF!</definedName>
    <definedName name="Z_179EFE57_A1B1_11D3_8FA9_0008C7809E09_.wvu.PrintTitles" hidden="1">#REF!,#REF!</definedName>
    <definedName name="Z_179EFE58_A1B1_11D3_8FA9_0008C7809E09_.wvu.PrintArea" localSheetId="6" hidden="1">#REF!</definedName>
    <definedName name="Z_179EFE58_A1B1_11D3_8FA9_0008C7809E09_.wvu.PrintArea" localSheetId="7" hidden="1">#REF!</definedName>
    <definedName name="Z_179EFE58_A1B1_11D3_8FA9_0008C7809E09_.wvu.PrintArea" localSheetId="3" hidden="1">#REF!</definedName>
    <definedName name="Z_179EFE58_A1B1_11D3_8FA9_0008C7809E09_.wvu.PrintArea" localSheetId="29" hidden="1">#REF!</definedName>
    <definedName name="Z_179EFE58_A1B1_11D3_8FA9_0008C7809E09_.wvu.PrintArea" hidden="1">#REF!</definedName>
    <definedName name="Z_179EFE58_A1B1_11D3_8FA9_0008C7809E09_.wvu.PrintTitles" localSheetId="6" hidden="1">#REF!,#REF!</definedName>
    <definedName name="Z_179EFE58_A1B1_11D3_8FA9_0008C7809E09_.wvu.PrintTitles" localSheetId="7" hidden="1">#REF!,#REF!</definedName>
    <definedName name="Z_179EFE58_A1B1_11D3_8FA9_0008C7809E09_.wvu.PrintTitles" localSheetId="3" hidden="1">#REF!,#REF!</definedName>
    <definedName name="Z_179EFE58_A1B1_11D3_8FA9_0008C7809E09_.wvu.PrintTitles" localSheetId="29" hidden="1">#REF!,#REF!</definedName>
    <definedName name="Z_179EFE58_A1B1_11D3_8FA9_0008C7809E09_.wvu.PrintTitles" hidden="1">#REF!,#REF!</definedName>
    <definedName name="Z_179EFE59_A1B1_11D3_8FA9_0008C7809E09_.wvu.PrintArea" localSheetId="6" hidden="1">#REF!</definedName>
    <definedName name="Z_179EFE59_A1B1_11D3_8FA9_0008C7809E09_.wvu.PrintArea" localSheetId="7" hidden="1">#REF!</definedName>
    <definedName name="Z_179EFE59_A1B1_11D3_8FA9_0008C7809E09_.wvu.PrintArea" localSheetId="3" hidden="1">#REF!</definedName>
    <definedName name="Z_179EFE59_A1B1_11D3_8FA9_0008C7809E09_.wvu.PrintArea" localSheetId="29" hidden="1">#REF!</definedName>
    <definedName name="Z_179EFE59_A1B1_11D3_8FA9_0008C7809E09_.wvu.PrintArea" hidden="1">#REF!</definedName>
    <definedName name="Z_179EFE59_A1B1_11D3_8FA9_0008C7809E09_.wvu.PrintTitles" localSheetId="6" hidden="1">#REF!,#REF!</definedName>
    <definedName name="Z_179EFE59_A1B1_11D3_8FA9_0008C7809E09_.wvu.PrintTitles" localSheetId="7" hidden="1">#REF!,#REF!</definedName>
    <definedName name="Z_179EFE59_A1B1_11D3_8FA9_0008C7809E09_.wvu.PrintTitles" localSheetId="3" hidden="1">#REF!,#REF!</definedName>
    <definedName name="Z_179EFE59_A1B1_11D3_8FA9_0008C7809E09_.wvu.PrintTitles" localSheetId="29" hidden="1">#REF!,#REF!</definedName>
    <definedName name="Z_179EFE59_A1B1_11D3_8FA9_0008C7809E09_.wvu.PrintTitles" hidden="1">#REF!,#REF!</definedName>
    <definedName name="Z_179EFE5A_A1B1_11D3_8FA9_0008C7809E09_.wvu.PrintArea" localSheetId="6" hidden="1">#REF!</definedName>
    <definedName name="Z_179EFE5A_A1B1_11D3_8FA9_0008C7809E09_.wvu.PrintArea" localSheetId="7" hidden="1">#REF!</definedName>
    <definedName name="Z_179EFE5A_A1B1_11D3_8FA9_0008C7809E09_.wvu.PrintArea" localSheetId="3" hidden="1">#REF!</definedName>
    <definedName name="Z_179EFE5A_A1B1_11D3_8FA9_0008C7809E09_.wvu.PrintArea" localSheetId="29" hidden="1">#REF!</definedName>
    <definedName name="Z_179EFE5A_A1B1_11D3_8FA9_0008C7809E09_.wvu.PrintArea" hidden="1">#REF!</definedName>
    <definedName name="Z_179EFE5A_A1B1_11D3_8FA9_0008C7809E09_.wvu.PrintTitles" localSheetId="6" hidden="1">#REF!,#REF!</definedName>
    <definedName name="Z_179EFE5A_A1B1_11D3_8FA9_0008C7809E09_.wvu.PrintTitles" localSheetId="7" hidden="1">#REF!,#REF!</definedName>
    <definedName name="Z_179EFE5A_A1B1_11D3_8FA9_0008C7809E09_.wvu.PrintTitles" localSheetId="3" hidden="1">#REF!,#REF!</definedName>
    <definedName name="Z_179EFE5A_A1B1_11D3_8FA9_0008C7809E09_.wvu.PrintTitles" localSheetId="29" hidden="1">#REF!,#REF!</definedName>
    <definedName name="Z_179EFE5A_A1B1_11D3_8FA9_0008C7809E09_.wvu.PrintTitles" hidden="1">#REF!,#REF!</definedName>
    <definedName name="Z_1DA8B6E2_5DE1_11D2_8EEC_0008C7BCAF29_.wvu.PrintArea" localSheetId="6" hidden="1">#REF!</definedName>
    <definedName name="Z_1DA8B6E2_5DE1_11D2_8EEC_0008C7BCAF29_.wvu.PrintArea" localSheetId="7" hidden="1">#REF!</definedName>
    <definedName name="Z_1DA8B6E2_5DE1_11D2_8EEC_0008C7BCAF29_.wvu.PrintArea" localSheetId="3" hidden="1">#REF!</definedName>
    <definedName name="Z_1DA8B6E2_5DE1_11D2_8EEC_0008C7BCAF29_.wvu.PrintArea" localSheetId="29" hidden="1">#REF!</definedName>
    <definedName name="Z_1DA8B6E2_5DE1_11D2_8EEC_0008C7BCAF29_.wvu.PrintArea" hidden="1">#REF!</definedName>
    <definedName name="Z_1DA8B6E2_5DE1_11D2_8EEC_0008C7BCAF29_.wvu.PrintTitles" localSheetId="6" hidden="1">#REF!</definedName>
    <definedName name="Z_1DA8B6E2_5DE1_11D2_8EEC_0008C7BCAF29_.wvu.PrintTitles" localSheetId="7" hidden="1">#REF!</definedName>
    <definedName name="Z_1DA8B6E2_5DE1_11D2_8EEC_0008C7BCAF29_.wvu.PrintTitles" localSheetId="3" hidden="1">#REF!</definedName>
    <definedName name="Z_1DA8B6E2_5DE1_11D2_8EEC_0008C7BCAF29_.wvu.PrintTitles" localSheetId="29" hidden="1">#REF!</definedName>
    <definedName name="Z_1DA8B6E2_5DE1_11D2_8EEC_0008C7BCAF29_.wvu.PrintTitles" hidden="1">#REF!</definedName>
    <definedName name="Z_1DA8B6F1_5DE1_11D2_8EEC_0008C7BCAF29_.wvu.PrintArea" localSheetId="6" hidden="1">#REF!</definedName>
    <definedName name="Z_1DA8B6F1_5DE1_11D2_8EEC_0008C7BCAF29_.wvu.PrintArea" localSheetId="7" hidden="1">#REF!</definedName>
    <definedName name="Z_1DA8B6F1_5DE1_11D2_8EEC_0008C7BCAF29_.wvu.PrintArea" localSheetId="3" hidden="1">#REF!</definedName>
    <definedName name="Z_1DA8B6F1_5DE1_11D2_8EEC_0008C7BCAF29_.wvu.PrintArea" localSheetId="29" hidden="1">#REF!</definedName>
    <definedName name="Z_1DA8B6F1_5DE1_11D2_8EEC_0008C7BCAF29_.wvu.PrintArea" hidden="1">#REF!</definedName>
    <definedName name="Z_1DA8B6F1_5DE1_11D2_8EEC_0008C7BCAF29_.wvu.PrintTitles" localSheetId="3" hidden="1">#REF!</definedName>
    <definedName name="Z_1DA8B6F1_5DE1_11D2_8EEC_0008C7BCAF29_.wvu.PrintTitles" hidden="1">#REF!</definedName>
    <definedName name="Z_1DA8B6FE_5DE1_11D2_8EEC_0008C7BCAF29_.wvu.PrintArea" localSheetId="3" hidden="1">#REF!</definedName>
    <definedName name="Z_1DA8B6FE_5DE1_11D2_8EEC_0008C7BCAF29_.wvu.PrintArea" hidden="1">#REF!</definedName>
    <definedName name="Z_1DA8B6FE_5DE1_11D2_8EEC_0008C7BCAF29_.wvu.PrintTitles" localSheetId="6" hidden="1">#REF!,#REF!</definedName>
    <definedName name="Z_1DA8B6FE_5DE1_11D2_8EEC_0008C7BCAF29_.wvu.PrintTitles" localSheetId="7" hidden="1">#REF!,#REF!</definedName>
    <definedName name="Z_1DA8B6FE_5DE1_11D2_8EEC_0008C7BCAF29_.wvu.PrintTitles" localSheetId="3" hidden="1">#REF!,#REF!</definedName>
    <definedName name="Z_1DA8B6FE_5DE1_11D2_8EEC_0008C7BCAF29_.wvu.PrintTitles" localSheetId="29" hidden="1">#REF!,#REF!</definedName>
    <definedName name="Z_1DA8B6FE_5DE1_11D2_8EEC_0008C7BCAF29_.wvu.PrintTitles" hidden="1">#REF!,#REF!</definedName>
    <definedName name="Z_23F18827_7997_11D6_8750_00508BD3B3BA_.wvu.Cols" localSheetId="1" hidden="1">#REF!,#REF!</definedName>
    <definedName name="Z_23F18827_7997_11D6_8750_00508BD3B3BA_.wvu.Cols" localSheetId="5" hidden="1">#REF!,#REF!</definedName>
    <definedName name="Z_23F18827_7997_11D6_8750_00508BD3B3BA_.wvu.Cols" localSheetId="3" hidden="1">#REF!,#REF!</definedName>
    <definedName name="Z_23F18827_7997_11D6_8750_00508BD3B3BA_.wvu.Cols" hidden="1">#REF!,#REF!</definedName>
    <definedName name="Z_23F18827_7997_11D6_8750_00508BD3B3BA_.wvu.PrintArea" localSheetId="1" hidden="1">#REF!</definedName>
    <definedName name="Z_23F18827_7997_11D6_8750_00508BD3B3BA_.wvu.PrintArea" localSheetId="5" hidden="1">#REF!</definedName>
    <definedName name="Z_23F18827_7997_11D6_8750_00508BD3B3BA_.wvu.PrintArea" localSheetId="3" hidden="1">#REF!</definedName>
    <definedName name="Z_23F18827_7997_11D6_8750_00508BD3B3BA_.wvu.PrintArea" localSheetId="29" hidden="1">#REF!</definedName>
    <definedName name="Z_23F18827_7997_11D6_8750_00508BD3B3BA_.wvu.PrintArea" hidden="1">#REF!</definedName>
    <definedName name="Z_2DA61901_F1AB_11D2_8EBB_0008C77C0743_.wvu.PrintArea" localSheetId="3" hidden="1">#REF!</definedName>
    <definedName name="Z_2DA61901_F1AB_11D2_8EBB_0008C77C0743_.wvu.PrintArea" hidden="1">#REF!</definedName>
    <definedName name="Z_2DA61901_F1AB_11D2_8EBB_0008C77C0743_.wvu.PrintTitles" localSheetId="3" hidden="1">#REF!</definedName>
    <definedName name="Z_2DA61901_F1AB_11D2_8EBB_0008C77C0743_.wvu.PrintTitles" hidden="1">#REF!</definedName>
    <definedName name="Z_2DA61914_F1AB_11D2_8EBB_0008C77C0743_.wvu.PrintArea" localSheetId="3" hidden="1">#REF!</definedName>
    <definedName name="Z_2DA61914_F1AB_11D2_8EBB_0008C77C0743_.wvu.PrintArea" hidden="1">#REF!</definedName>
    <definedName name="Z_2DA61914_F1AB_11D2_8EBB_0008C77C0743_.wvu.PrintTitles" localSheetId="3" hidden="1">#REF!</definedName>
    <definedName name="Z_2DA61914_F1AB_11D2_8EBB_0008C77C0743_.wvu.PrintTitles" hidden="1">#REF!</definedName>
    <definedName name="Z_2DA61924_F1AB_11D2_8EBB_0008C77C0743_.wvu.PrintArea" localSheetId="3" hidden="1">#REF!</definedName>
    <definedName name="Z_2DA61924_F1AB_11D2_8EBB_0008C77C0743_.wvu.PrintArea" hidden="1">#REF!</definedName>
    <definedName name="Z_2DA61924_F1AB_11D2_8EBB_0008C77C0743_.wvu.PrintTitles" localSheetId="6" hidden="1">#REF!,#REF!</definedName>
    <definedName name="Z_2DA61924_F1AB_11D2_8EBB_0008C77C0743_.wvu.PrintTitles" localSheetId="7" hidden="1">#REF!,#REF!</definedName>
    <definedName name="Z_2DA61924_F1AB_11D2_8EBB_0008C77C0743_.wvu.PrintTitles" localSheetId="3" hidden="1">#REF!,#REF!</definedName>
    <definedName name="Z_2DA61924_F1AB_11D2_8EBB_0008C77C0743_.wvu.PrintTitles" localSheetId="29" hidden="1">#REF!,#REF!</definedName>
    <definedName name="Z_2DA61924_F1AB_11D2_8EBB_0008C77C0743_.wvu.PrintTitles" hidden="1">#REF!,#REF!</definedName>
    <definedName name="Z_3FBA103C_5DE2_11D2_8EE8_0008C77CC149_.wvu.PrintArea" localSheetId="6" hidden="1">#REF!</definedName>
    <definedName name="Z_3FBA103C_5DE2_11D2_8EE8_0008C77CC149_.wvu.PrintArea" localSheetId="7" hidden="1">#REF!</definedName>
    <definedName name="Z_3FBA103C_5DE2_11D2_8EE8_0008C77CC149_.wvu.PrintArea" localSheetId="3" hidden="1">#REF!</definedName>
    <definedName name="Z_3FBA103C_5DE2_11D2_8EE8_0008C77CC149_.wvu.PrintArea" localSheetId="29" hidden="1">#REF!</definedName>
    <definedName name="Z_3FBA103C_5DE2_11D2_8EE8_0008C77CC149_.wvu.PrintArea" hidden="1">#REF!</definedName>
    <definedName name="Z_3FBA103C_5DE2_11D2_8EE8_0008C77CC149_.wvu.PrintTitles" localSheetId="6" hidden="1">#REF!</definedName>
    <definedName name="Z_3FBA103C_5DE2_11D2_8EE8_0008C77CC149_.wvu.PrintTitles" localSheetId="7" hidden="1">#REF!</definedName>
    <definedName name="Z_3FBA103C_5DE2_11D2_8EE8_0008C77CC149_.wvu.PrintTitles" localSheetId="3" hidden="1">#REF!</definedName>
    <definedName name="Z_3FBA103C_5DE2_11D2_8EE8_0008C77CC149_.wvu.PrintTitles" localSheetId="29" hidden="1">#REF!</definedName>
    <definedName name="Z_3FBA103C_5DE2_11D2_8EE8_0008C77CC149_.wvu.PrintTitles" hidden="1">#REF!</definedName>
    <definedName name="Z_3FBA104B_5DE2_11D2_8EE8_0008C77CC149_.wvu.PrintArea" localSheetId="6" hidden="1">#REF!</definedName>
    <definedName name="Z_3FBA104B_5DE2_11D2_8EE8_0008C77CC149_.wvu.PrintArea" localSheetId="7" hidden="1">#REF!</definedName>
    <definedName name="Z_3FBA104B_5DE2_11D2_8EE8_0008C77CC149_.wvu.PrintArea" localSheetId="3" hidden="1">#REF!</definedName>
    <definedName name="Z_3FBA104B_5DE2_11D2_8EE8_0008C77CC149_.wvu.PrintArea" localSheetId="29" hidden="1">#REF!</definedName>
    <definedName name="Z_3FBA104B_5DE2_11D2_8EE8_0008C77CC149_.wvu.PrintArea" hidden="1">#REF!</definedName>
    <definedName name="Z_3FBA104B_5DE2_11D2_8EE8_0008C77CC149_.wvu.PrintTitles" localSheetId="3" hidden="1">#REF!</definedName>
    <definedName name="Z_3FBA104B_5DE2_11D2_8EE8_0008C77CC149_.wvu.PrintTitles" hidden="1">#REF!</definedName>
    <definedName name="Z_3FBA1058_5DE2_11D2_8EE8_0008C77CC149_.wvu.PrintArea" localSheetId="3" hidden="1">#REF!</definedName>
    <definedName name="Z_3FBA1058_5DE2_11D2_8EE8_0008C77CC149_.wvu.PrintArea" hidden="1">#REF!</definedName>
    <definedName name="Z_3FBA1058_5DE2_11D2_8EE8_0008C77CC149_.wvu.PrintTitles" localSheetId="6" hidden="1">#REF!,#REF!</definedName>
    <definedName name="Z_3FBA1058_5DE2_11D2_8EE8_0008C77CC149_.wvu.PrintTitles" localSheetId="7" hidden="1">#REF!,#REF!</definedName>
    <definedName name="Z_3FBA1058_5DE2_11D2_8EE8_0008C77CC149_.wvu.PrintTitles" localSheetId="3" hidden="1">#REF!,#REF!</definedName>
    <definedName name="Z_3FBA1058_5DE2_11D2_8EE8_0008C77CC149_.wvu.PrintTitles" localSheetId="29" hidden="1">#REF!,#REF!</definedName>
    <definedName name="Z_3FBA1058_5DE2_11D2_8EE8_0008C77CC149_.wvu.PrintTitles" hidden="1">#REF!,#REF!</definedName>
    <definedName name="Z_3FE15DB3_17FC_11D2_8E97_0008C77CC149_.wvu.PrintArea" localSheetId="6" hidden="1">#REF!</definedName>
    <definedName name="Z_3FE15DB3_17FC_11D2_8E97_0008C77CC149_.wvu.PrintArea" localSheetId="7" hidden="1">#REF!</definedName>
    <definedName name="Z_3FE15DB3_17FC_11D2_8E97_0008C77CC149_.wvu.PrintArea" localSheetId="3" hidden="1">#REF!</definedName>
    <definedName name="Z_3FE15DB3_17FC_11D2_8E97_0008C77CC149_.wvu.PrintArea" localSheetId="29" hidden="1">#REF!</definedName>
    <definedName name="Z_3FE15DB3_17FC_11D2_8E97_0008C77CC149_.wvu.PrintArea" hidden="1">#REF!</definedName>
    <definedName name="Z_3FE15DB3_17FC_11D2_8E97_0008C77CC149_.wvu.PrintTitles" localSheetId="6" hidden="1">#REF!</definedName>
    <definedName name="Z_3FE15DB3_17FC_11D2_8E97_0008C77CC149_.wvu.PrintTitles" localSheetId="7" hidden="1">#REF!</definedName>
    <definedName name="Z_3FE15DB3_17FC_11D2_8E97_0008C77CC149_.wvu.PrintTitles" localSheetId="3" hidden="1">#REF!</definedName>
    <definedName name="Z_3FE15DB3_17FC_11D2_8E97_0008C77CC149_.wvu.PrintTitles" localSheetId="29" hidden="1">#REF!</definedName>
    <definedName name="Z_3FE15DB3_17FC_11D2_8E97_0008C77CC149_.wvu.PrintTitles" hidden="1">#REF!</definedName>
    <definedName name="Z_3FE15DC2_17FC_11D2_8E97_0008C77CC149_.wvu.PrintArea" localSheetId="6" hidden="1">#REF!</definedName>
    <definedName name="Z_3FE15DC2_17FC_11D2_8E97_0008C77CC149_.wvu.PrintArea" localSheetId="7" hidden="1">#REF!</definedName>
    <definedName name="Z_3FE15DC2_17FC_11D2_8E97_0008C77CC149_.wvu.PrintArea" localSheetId="3" hidden="1">#REF!</definedName>
    <definedName name="Z_3FE15DC2_17FC_11D2_8E97_0008C77CC149_.wvu.PrintArea" localSheetId="29" hidden="1">#REF!</definedName>
    <definedName name="Z_3FE15DC2_17FC_11D2_8E97_0008C77CC149_.wvu.PrintArea" hidden="1">#REF!</definedName>
    <definedName name="Z_3FE15DC2_17FC_11D2_8E97_0008C77CC149_.wvu.PrintTitles" localSheetId="3" hidden="1">#REF!</definedName>
    <definedName name="Z_3FE15DC2_17FC_11D2_8E97_0008C77CC149_.wvu.PrintTitles" hidden="1">#REF!</definedName>
    <definedName name="Z_3FE15DCF_17FC_11D2_8E97_0008C77CC149_.wvu.PrintArea" localSheetId="3" hidden="1">#REF!</definedName>
    <definedName name="Z_3FE15DCF_17FC_11D2_8E97_0008C77CC149_.wvu.PrintArea" hidden="1">#REF!</definedName>
    <definedName name="Z_3FE15DCF_17FC_11D2_8E97_0008C77CC149_.wvu.PrintTitles" localSheetId="6" hidden="1">#REF!,#REF!</definedName>
    <definedName name="Z_3FE15DCF_17FC_11D2_8E97_0008C77CC149_.wvu.PrintTitles" localSheetId="7" hidden="1">#REF!,#REF!</definedName>
    <definedName name="Z_3FE15DCF_17FC_11D2_8E97_0008C77CC149_.wvu.PrintTitles" localSheetId="3" hidden="1">#REF!,#REF!</definedName>
    <definedName name="Z_3FE15DCF_17FC_11D2_8E97_0008C77CC149_.wvu.PrintTitles" localSheetId="29" hidden="1">#REF!,#REF!</definedName>
    <definedName name="Z_3FE15DCF_17FC_11D2_8E97_0008C77CC149_.wvu.PrintTitles" hidden="1">#REF!,#REF!</definedName>
    <definedName name="Z_4CC3570C_99A5_11D2_8E90_0008C7BCAF29_.wvu.PrintArea" localSheetId="6" hidden="1">#REF!</definedName>
    <definedName name="Z_4CC3570C_99A5_11D2_8E90_0008C7BCAF29_.wvu.PrintArea" localSheetId="7" hidden="1">#REF!</definedName>
    <definedName name="Z_4CC3570C_99A5_11D2_8E90_0008C7BCAF29_.wvu.PrintArea" localSheetId="3" hidden="1">#REF!</definedName>
    <definedName name="Z_4CC3570C_99A5_11D2_8E90_0008C7BCAF29_.wvu.PrintArea" localSheetId="29" hidden="1">#REF!</definedName>
    <definedName name="Z_4CC3570C_99A5_11D2_8E90_0008C7BCAF29_.wvu.PrintArea" hidden="1">#REF!</definedName>
    <definedName name="Z_4CC3570C_99A5_11D2_8E90_0008C7BCAF29_.wvu.PrintTitles" localSheetId="6" hidden="1">#REF!,#REF!</definedName>
    <definedName name="Z_4CC3570C_99A5_11D2_8E90_0008C7BCAF29_.wvu.PrintTitles" localSheetId="7" hidden="1">#REF!,#REF!</definedName>
    <definedName name="Z_4CC3570C_99A5_11D2_8E90_0008C7BCAF29_.wvu.PrintTitles" localSheetId="3" hidden="1">#REF!,#REF!</definedName>
    <definedName name="Z_4CC3570C_99A5_11D2_8E90_0008C7BCAF29_.wvu.PrintTitles" localSheetId="29" hidden="1">#REF!,#REF!</definedName>
    <definedName name="Z_4CC3570C_99A5_11D2_8E90_0008C7BCAF29_.wvu.PrintTitles" hidden="1">#REF!,#REF!</definedName>
    <definedName name="Z_4CC3570F_99A5_11D2_8E90_0008C7BCAF29_.wvu.PrintArea" localSheetId="6" hidden="1">#REF!</definedName>
    <definedName name="Z_4CC3570F_99A5_11D2_8E90_0008C7BCAF29_.wvu.PrintArea" localSheetId="7" hidden="1">#REF!</definedName>
    <definedName name="Z_4CC3570F_99A5_11D2_8E90_0008C7BCAF29_.wvu.PrintArea" localSheetId="3" hidden="1">#REF!</definedName>
    <definedName name="Z_4CC3570F_99A5_11D2_8E90_0008C7BCAF29_.wvu.PrintArea" localSheetId="29" hidden="1">#REF!</definedName>
    <definedName name="Z_4CC3570F_99A5_11D2_8E90_0008C7BCAF29_.wvu.PrintArea" hidden="1">#REF!</definedName>
    <definedName name="Z_4CC3570F_99A5_11D2_8E90_0008C7BCAF29_.wvu.PrintTitles" localSheetId="6" hidden="1">#REF!</definedName>
    <definedName name="Z_4CC3570F_99A5_11D2_8E90_0008C7BCAF29_.wvu.PrintTitles" localSheetId="7" hidden="1">#REF!</definedName>
    <definedName name="Z_4CC3570F_99A5_11D2_8E90_0008C7BCAF29_.wvu.PrintTitles" localSheetId="3" hidden="1">#REF!</definedName>
    <definedName name="Z_4CC3570F_99A5_11D2_8E90_0008C7BCAF29_.wvu.PrintTitles" localSheetId="29" hidden="1">#REF!</definedName>
    <definedName name="Z_4CC3570F_99A5_11D2_8E90_0008C7BCAF29_.wvu.PrintTitles" hidden="1">#REF!</definedName>
    <definedName name="Z_4CC35714_99A5_11D2_8E90_0008C7BCAF29_.wvu.PrintArea" localSheetId="6" hidden="1">#REF!</definedName>
    <definedName name="Z_4CC35714_99A5_11D2_8E90_0008C7BCAF29_.wvu.PrintArea" localSheetId="7" hidden="1">#REF!</definedName>
    <definedName name="Z_4CC35714_99A5_11D2_8E90_0008C7BCAF29_.wvu.PrintArea" localSheetId="3" hidden="1">#REF!</definedName>
    <definedName name="Z_4CC35714_99A5_11D2_8E90_0008C7BCAF29_.wvu.PrintArea" localSheetId="29" hidden="1">#REF!</definedName>
    <definedName name="Z_4CC35714_99A5_11D2_8E90_0008C7BCAF29_.wvu.PrintArea" hidden="1">#REF!</definedName>
    <definedName name="Z_4CC35714_99A5_11D2_8E90_0008C7BCAF29_.wvu.PrintTitles" localSheetId="6" hidden="1">#REF!,#REF!</definedName>
    <definedName name="Z_4CC35714_99A5_11D2_8E90_0008C7BCAF29_.wvu.PrintTitles" localSheetId="7" hidden="1">#REF!,#REF!</definedName>
    <definedName name="Z_4CC35714_99A5_11D2_8E90_0008C7BCAF29_.wvu.PrintTitles" localSheetId="3" hidden="1">#REF!,#REF!</definedName>
    <definedName name="Z_4CC35714_99A5_11D2_8E90_0008C7BCAF29_.wvu.PrintTitles" localSheetId="29" hidden="1">#REF!,#REF!</definedName>
    <definedName name="Z_4CC35714_99A5_11D2_8E90_0008C7BCAF29_.wvu.PrintTitles" hidden="1">#REF!,#REF!</definedName>
    <definedName name="Z_4CC35716_99A5_11D2_8E90_0008C7BCAF29_.wvu.PrintArea" localSheetId="6" hidden="1">#REF!</definedName>
    <definedName name="Z_4CC35716_99A5_11D2_8E90_0008C7BCAF29_.wvu.PrintArea" localSheetId="7" hidden="1">#REF!</definedName>
    <definedName name="Z_4CC35716_99A5_11D2_8E90_0008C7BCAF29_.wvu.PrintArea" localSheetId="3" hidden="1">#REF!</definedName>
    <definedName name="Z_4CC35716_99A5_11D2_8E90_0008C7BCAF29_.wvu.PrintArea" localSheetId="29" hidden="1">#REF!</definedName>
    <definedName name="Z_4CC35716_99A5_11D2_8E90_0008C7BCAF29_.wvu.PrintArea" hidden="1">#REF!</definedName>
    <definedName name="Z_4CC35716_99A5_11D2_8E90_0008C7BCAF29_.wvu.PrintTitles" localSheetId="6" hidden="1">#REF!,#REF!</definedName>
    <definedName name="Z_4CC35716_99A5_11D2_8E90_0008C7BCAF29_.wvu.PrintTitles" localSheetId="7" hidden="1">#REF!,#REF!</definedName>
    <definedName name="Z_4CC35716_99A5_11D2_8E90_0008C7BCAF29_.wvu.PrintTitles" localSheetId="3" hidden="1">#REF!,#REF!</definedName>
    <definedName name="Z_4CC35716_99A5_11D2_8E90_0008C7BCAF29_.wvu.PrintTitles" localSheetId="29" hidden="1">#REF!,#REF!</definedName>
    <definedName name="Z_4CC35716_99A5_11D2_8E90_0008C7BCAF29_.wvu.PrintTitles" hidden="1">#REF!,#REF!</definedName>
    <definedName name="Z_4CC35719_99A5_11D2_8E90_0008C7BCAF29_.wvu.PrintArea" localSheetId="6" hidden="1">#REF!</definedName>
    <definedName name="Z_4CC35719_99A5_11D2_8E90_0008C7BCAF29_.wvu.PrintArea" localSheetId="7" hidden="1">#REF!</definedName>
    <definedName name="Z_4CC35719_99A5_11D2_8E90_0008C7BCAF29_.wvu.PrintArea" localSheetId="3" hidden="1">#REF!</definedName>
    <definedName name="Z_4CC35719_99A5_11D2_8E90_0008C7BCAF29_.wvu.PrintArea" localSheetId="29" hidden="1">#REF!</definedName>
    <definedName name="Z_4CC35719_99A5_11D2_8E90_0008C7BCAF29_.wvu.PrintArea" hidden="1">#REF!</definedName>
    <definedName name="Z_4CC35719_99A5_11D2_8E90_0008C7BCAF29_.wvu.PrintTitles" localSheetId="6" hidden="1">#REF!</definedName>
    <definedName name="Z_4CC35719_99A5_11D2_8E90_0008C7BCAF29_.wvu.PrintTitles" localSheetId="7" hidden="1">#REF!</definedName>
    <definedName name="Z_4CC35719_99A5_11D2_8E90_0008C7BCAF29_.wvu.PrintTitles" localSheetId="3" hidden="1">#REF!</definedName>
    <definedName name="Z_4CC35719_99A5_11D2_8E90_0008C7BCAF29_.wvu.PrintTitles" localSheetId="29" hidden="1">#REF!</definedName>
    <definedName name="Z_4CC35719_99A5_11D2_8E90_0008C7BCAF29_.wvu.PrintTitles" hidden="1">#REF!</definedName>
    <definedName name="Z_4CC3571E_99A5_11D2_8E90_0008C7BCAF29_.wvu.PrintArea" localSheetId="6" hidden="1">#REF!</definedName>
    <definedName name="Z_4CC3571E_99A5_11D2_8E90_0008C7BCAF29_.wvu.PrintArea" localSheetId="7" hidden="1">#REF!</definedName>
    <definedName name="Z_4CC3571E_99A5_11D2_8E90_0008C7BCAF29_.wvu.PrintArea" localSheetId="3" hidden="1">#REF!</definedName>
    <definedName name="Z_4CC3571E_99A5_11D2_8E90_0008C7BCAF29_.wvu.PrintArea" localSheetId="29" hidden="1">#REF!</definedName>
    <definedName name="Z_4CC3571E_99A5_11D2_8E90_0008C7BCAF29_.wvu.PrintArea" hidden="1">#REF!</definedName>
    <definedName name="Z_4CC3571E_99A5_11D2_8E90_0008C7BCAF29_.wvu.PrintTitles" localSheetId="6" hidden="1">#REF!,#REF!</definedName>
    <definedName name="Z_4CC3571E_99A5_11D2_8E90_0008C7BCAF29_.wvu.PrintTitles" localSheetId="7" hidden="1">#REF!,#REF!</definedName>
    <definedName name="Z_4CC3571E_99A5_11D2_8E90_0008C7BCAF29_.wvu.PrintTitles" localSheetId="3" hidden="1">#REF!,#REF!</definedName>
    <definedName name="Z_4CC3571E_99A5_11D2_8E90_0008C7BCAF29_.wvu.PrintTitles" localSheetId="29" hidden="1">#REF!,#REF!</definedName>
    <definedName name="Z_4CC3571E_99A5_11D2_8E90_0008C7BCAF29_.wvu.PrintTitles" hidden="1">#REF!,#REF!</definedName>
    <definedName name="Z_4CC35721_99A5_11D2_8E90_0008C7BCAF29_.wvu.PrintArea" localSheetId="6" hidden="1">#REF!</definedName>
    <definedName name="Z_4CC35721_99A5_11D2_8E90_0008C7BCAF29_.wvu.PrintArea" localSheetId="7" hidden="1">#REF!</definedName>
    <definedName name="Z_4CC35721_99A5_11D2_8E90_0008C7BCAF29_.wvu.PrintArea" localSheetId="3" hidden="1">#REF!</definedName>
    <definedName name="Z_4CC35721_99A5_11D2_8E90_0008C7BCAF29_.wvu.PrintArea" localSheetId="29" hidden="1">#REF!</definedName>
    <definedName name="Z_4CC35721_99A5_11D2_8E90_0008C7BCAF29_.wvu.PrintArea" hidden="1">#REF!</definedName>
    <definedName name="Z_4CC35721_99A5_11D2_8E90_0008C7BCAF29_.wvu.PrintTitles" localSheetId="6" hidden="1">#REF!,#REF!</definedName>
    <definedName name="Z_4CC35721_99A5_11D2_8E90_0008C7BCAF29_.wvu.PrintTitles" localSheetId="7" hidden="1">#REF!,#REF!</definedName>
    <definedName name="Z_4CC35721_99A5_11D2_8E90_0008C7BCAF29_.wvu.PrintTitles" localSheetId="3" hidden="1">#REF!,#REF!</definedName>
    <definedName name="Z_4CC35721_99A5_11D2_8E90_0008C7BCAF29_.wvu.PrintTitles" localSheetId="29" hidden="1">#REF!,#REF!</definedName>
    <definedName name="Z_4CC35721_99A5_11D2_8E90_0008C7BCAF29_.wvu.PrintTitles" hidden="1">#REF!,#REF!</definedName>
    <definedName name="Z_5F95E421_892A_11D2_8E7F_0008C7809E09_.wvu.PrintArea" localSheetId="6" hidden="1">#REF!</definedName>
    <definedName name="Z_5F95E421_892A_11D2_8E7F_0008C7809E09_.wvu.PrintArea" localSheetId="7" hidden="1">#REF!</definedName>
    <definedName name="Z_5F95E421_892A_11D2_8E7F_0008C7809E09_.wvu.PrintArea" localSheetId="3" hidden="1">#REF!</definedName>
    <definedName name="Z_5F95E421_892A_11D2_8E7F_0008C7809E09_.wvu.PrintArea" localSheetId="29" hidden="1">#REF!</definedName>
    <definedName name="Z_5F95E421_892A_11D2_8E7F_0008C7809E09_.wvu.PrintArea" hidden="1">#REF!</definedName>
    <definedName name="Z_5F95E421_892A_11D2_8E7F_0008C7809E09_.wvu.PrintTitles" localSheetId="6" hidden="1">#REF!,#REF!</definedName>
    <definedName name="Z_5F95E421_892A_11D2_8E7F_0008C7809E09_.wvu.PrintTitles" localSheetId="7" hidden="1">#REF!,#REF!</definedName>
    <definedName name="Z_5F95E421_892A_11D2_8E7F_0008C7809E09_.wvu.PrintTitles" localSheetId="3" hidden="1">#REF!,#REF!</definedName>
    <definedName name="Z_5F95E421_892A_11D2_8E7F_0008C7809E09_.wvu.PrintTitles" localSheetId="29" hidden="1">#REF!,#REF!</definedName>
    <definedName name="Z_5F95E421_892A_11D2_8E7F_0008C7809E09_.wvu.PrintTitles" hidden="1">#REF!,#REF!</definedName>
    <definedName name="Z_5F95E424_892A_11D2_8E7F_0008C7809E09_.wvu.PrintArea" localSheetId="6" hidden="1">#REF!</definedName>
    <definedName name="Z_5F95E424_892A_11D2_8E7F_0008C7809E09_.wvu.PrintArea" localSheetId="7" hidden="1">#REF!</definedName>
    <definedName name="Z_5F95E424_892A_11D2_8E7F_0008C7809E09_.wvu.PrintArea" localSheetId="3" hidden="1">#REF!</definedName>
    <definedName name="Z_5F95E424_892A_11D2_8E7F_0008C7809E09_.wvu.PrintArea" localSheetId="29" hidden="1">#REF!</definedName>
    <definedName name="Z_5F95E424_892A_11D2_8E7F_0008C7809E09_.wvu.PrintArea" hidden="1">#REF!</definedName>
    <definedName name="Z_5F95E424_892A_11D2_8E7F_0008C7809E09_.wvu.PrintTitles" localSheetId="6" hidden="1">#REF!</definedName>
    <definedName name="Z_5F95E424_892A_11D2_8E7F_0008C7809E09_.wvu.PrintTitles" localSheetId="7" hidden="1">#REF!</definedName>
    <definedName name="Z_5F95E424_892A_11D2_8E7F_0008C7809E09_.wvu.PrintTitles" localSheetId="3" hidden="1">#REF!</definedName>
    <definedName name="Z_5F95E424_892A_11D2_8E7F_0008C7809E09_.wvu.PrintTitles" localSheetId="29" hidden="1">#REF!</definedName>
    <definedName name="Z_5F95E424_892A_11D2_8E7F_0008C7809E09_.wvu.PrintTitles" hidden="1">#REF!</definedName>
    <definedName name="Z_5F95E429_892A_11D2_8E7F_0008C7809E09_.wvu.PrintArea" localSheetId="6" hidden="1">#REF!</definedName>
    <definedName name="Z_5F95E429_892A_11D2_8E7F_0008C7809E09_.wvu.PrintArea" localSheetId="7" hidden="1">#REF!</definedName>
    <definedName name="Z_5F95E429_892A_11D2_8E7F_0008C7809E09_.wvu.PrintArea" localSheetId="3" hidden="1">#REF!</definedName>
    <definedName name="Z_5F95E429_892A_11D2_8E7F_0008C7809E09_.wvu.PrintArea" localSheetId="29" hidden="1">#REF!</definedName>
    <definedName name="Z_5F95E429_892A_11D2_8E7F_0008C7809E09_.wvu.PrintArea" hidden="1">#REF!</definedName>
    <definedName name="Z_5F95E429_892A_11D2_8E7F_0008C7809E09_.wvu.PrintTitles" localSheetId="6" hidden="1">#REF!,#REF!</definedName>
    <definedName name="Z_5F95E429_892A_11D2_8E7F_0008C7809E09_.wvu.PrintTitles" localSheetId="7" hidden="1">#REF!,#REF!</definedName>
    <definedName name="Z_5F95E429_892A_11D2_8E7F_0008C7809E09_.wvu.PrintTitles" localSheetId="3" hidden="1">#REF!,#REF!</definedName>
    <definedName name="Z_5F95E429_892A_11D2_8E7F_0008C7809E09_.wvu.PrintTitles" localSheetId="29" hidden="1">#REF!,#REF!</definedName>
    <definedName name="Z_5F95E429_892A_11D2_8E7F_0008C7809E09_.wvu.PrintTitles" hidden="1">#REF!,#REF!</definedName>
    <definedName name="Z_5F95E42B_892A_11D2_8E7F_0008C7809E09_.wvu.PrintArea" localSheetId="6" hidden="1">#REF!</definedName>
    <definedName name="Z_5F95E42B_892A_11D2_8E7F_0008C7809E09_.wvu.PrintArea" localSheetId="7" hidden="1">#REF!</definedName>
    <definedName name="Z_5F95E42B_892A_11D2_8E7F_0008C7809E09_.wvu.PrintArea" localSheetId="3" hidden="1">#REF!</definedName>
    <definedName name="Z_5F95E42B_892A_11D2_8E7F_0008C7809E09_.wvu.PrintArea" localSheetId="29" hidden="1">#REF!</definedName>
    <definedName name="Z_5F95E42B_892A_11D2_8E7F_0008C7809E09_.wvu.PrintArea" hidden="1">#REF!</definedName>
    <definedName name="Z_5F95E42B_892A_11D2_8E7F_0008C7809E09_.wvu.PrintTitles" localSheetId="6" hidden="1">#REF!,#REF!</definedName>
    <definedName name="Z_5F95E42B_892A_11D2_8E7F_0008C7809E09_.wvu.PrintTitles" localSheetId="7" hidden="1">#REF!,#REF!</definedName>
    <definedName name="Z_5F95E42B_892A_11D2_8E7F_0008C7809E09_.wvu.PrintTitles" localSheetId="3" hidden="1">#REF!,#REF!</definedName>
    <definedName name="Z_5F95E42B_892A_11D2_8E7F_0008C7809E09_.wvu.PrintTitles" localSheetId="29" hidden="1">#REF!,#REF!</definedName>
    <definedName name="Z_5F95E42B_892A_11D2_8E7F_0008C7809E09_.wvu.PrintTitles" hidden="1">#REF!,#REF!</definedName>
    <definedName name="Z_5F95E42E_892A_11D2_8E7F_0008C7809E09_.wvu.PrintArea" localSheetId="6" hidden="1">#REF!</definedName>
    <definedName name="Z_5F95E42E_892A_11D2_8E7F_0008C7809E09_.wvu.PrintArea" localSheetId="7" hidden="1">#REF!</definedName>
    <definedName name="Z_5F95E42E_892A_11D2_8E7F_0008C7809E09_.wvu.PrintArea" localSheetId="3" hidden="1">#REF!</definedName>
    <definedName name="Z_5F95E42E_892A_11D2_8E7F_0008C7809E09_.wvu.PrintArea" localSheetId="29" hidden="1">#REF!</definedName>
    <definedName name="Z_5F95E42E_892A_11D2_8E7F_0008C7809E09_.wvu.PrintArea" hidden="1">#REF!</definedName>
    <definedName name="Z_5F95E42E_892A_11D2_8E7F_0008C7809E09_.wvu.PrintTitles" localSheetId="6" hidden="1">#REF!</definedName>
    <definedName name="Z_5F95E42E_892A_11D2_8E7F_0008C7809E09_.wvu.PrintTitles" localSheetId="7" hidden="1">#REF!</definedName>
    <definedName name="Z_5F95E42E_892A_11D2_8E7F_0008C7809E09_.wvu.PrintTitles" localSheetId="3" hidden="1">#REF!</definedName>
    <definedName name="Z_5F95E42E_892A_11D2_8E7F_0008C7809E09_.wvu.PrintTitles" localSheetId="29" hidden="1">#REF!</definedName>
    <definedName name="Z_5F95E42E_892A_11D2_8E7F_0008C7809E09_.wvu.PrintTitles" hidden="1">#REF!</definedName>
    <definedName name="Z_5F95E433_892A_11D2_8E7F_0008C7809E09_.wvu.PrintArea" localSheetId="6" hidden="1">#REF!</definedName>
    <definedName name="Z_5F95E433_892A_11D2_8E7F_0008C7809E09_.wvu.PrintArea" localSheetId="7" hidden="1">#REF!</definedName>
    <definedName name="Z_5F95E433_892A_11D2_8E7F_0008C7809E09_.wvu.PrintArea" localSheetId="3" hidden="1">#REF!</definedName>
    <definedName name="Z_5F95E433_892A_11D2_8E7F_0008C7809E09_.wvu.PrintArea" localSheetId="29" hidden="1">#REF!</definedName>
    <definedName name="Z_5F95E433_892A_11D2_8E7F_0008C7809E09_.wvu.PrintArea" hidden="1">#REF!</definedName>
    <definedName name="Z_5F95E433_892A_11D2_8E7F_0008C7809E09_.wvu.PrintTitles" localSheetId="6" hidden="1">#REF!,#REF!</definedName>
    <definedName name="Z_5F95E433_892A_11D2_8E7F_0008C7809E09_.wvu.PrintTitles" localSheetId="7" hidden="1">#REF!,#REF!</definedName>
    <definedName name="Z_5F95E433_892A_11D2_8E7F_0008C7809E09_.wvu.PrintTitles" localSheetId="3" hidden="1">#REF!,#REF!</definedName>
    <definedName name="Z_5F95E433_892A_11D2_8E7F_0008C7809E09_.wvu.PrintTitles" localSheetId="29" hidden="1">#REF!,#REF!</definedName>
    <definedName name="Z_5F95E433_892A_11D2_8E7F_0008C7809E09_.wvu.PrintTitles" hidden="1">#REF!,#REF!</definedName>
    <definedName name="Z_5F95E436_892A_11D2_8E7F_0008C7809E09_.wvu.PrintArea" localSheetId="6" hidden="1">#REF!</definedName>
    <definedName name="Z_5F95E436_892A_11D2_8E7F_0008C7809E09_.wvu.PrintArea" localSheetId="7" hidden="1">#REF!</definedName>
    <definedName name="Z_5F95E436_892A_11D2_8E7F_0008C7809E09_.wvu.PrintArea" localSheetId="3" hidden="1">#REF!</definedName>
    <definedName name="Z_5F95E436_892A_11D2_8E7F_0008C7809E09_.wvu.PrintArea" localSheetId="29" hidden="1">#REF!</definedName>
    <definedName name="Z_5F95E436_892A_11D2_8E7F_0008C7809E09_.wvu.PrintArea" hidden="1">#REF!</definedName>
    <definedName name="Z_5F95E436_892A_11D2_8E7F_0008C7809E09_.wvu.PrintTitles" localSheetId="6" hidden="1">#REF!,#REF!</definedName>
    <definedName name="Z_5F95E436_892A_11D2_8E7F_0008C7809E09_.wvu.PrintTitles" localSheetId="7" hidden="1">#REF!,#REF!</definedName>
    <definedName name="Z_5F95E436_892A_11D2_8E7F_0008C7809E09_.wvu.PrintTitles" localSheetId="3" hidden="1">#REF!,#REF!</definedName>
    <definedName name="Z_5F95E436_892A_11D2_8E7F_0008C7809E09_.wvu.PrintTitles" localSheetId="29" hidden="1">#REF!,#REF!</definedName>
    <definedName name="Z_5F95E436_892A_11D2_8E7F_0008C7809E09_.wvu.PrintTitles" hidden="1">#REF!,#REF!</definedName>
    <definedName name="Z_61DB0F02_10ED_11D2_8E73_0008C77C0743_.wvu.PrintArea" localSheetId="6" hidden="1">#REF!</definedName>
    <definedName name="Z_61DB0F02_10ED_11D2_8E73_0008C77C0743_.wvu.PrintArea" localSheetId="7" hidden="1">#REF!</definedName>
    <definedName name="Z_61DB0F02_10ED_11D2_8E73_0008C77C0743_.wvu.PrintArea" localSheetId="3" hidden="1">#REF!</definedName>
    <definedName name="Z_61DB0F02_10ED_11D2_8E73_0008C77C0743_.wvu.PrintArea" localSheetId="29" hidden="1">#REF!</definedName>
    <definedName name="Z_61DB0F02_10ED_11D2_8E73_0008C77C0743_.wvu.PrintArea" hidden="1">#REF!</definedName>
    <definedName name="Z_61DB0F02_10ED_11D2_8E73_0008C77C0743_.wvu.PrintTitles" localSheetId="6" hidden="1">#REF!</definedName>
    <definedName name="Z_61DB0F02_10ED_11D2_8E73_0008C77C0743_.wvu.PrintTitles" localSheetId="7" hidden="1">#REF!</definedName>
    <definedName name="Z_61DB0F02_10ED_11D2_8E73_0008C77C0743_.wvu.PrintTitles" localSheetId="3" hidden="1">#REF!</definedName>
    <definedName name="Z_61DB0F02_10ED_11D2_8E73_0008C77C0743_.wvu.PrintTitles" localSheetId="29" hidden="1">#REF!</definedName>
    <definedName name="Z_61DB0F02_10ED_11D2_8E73_0008C77C0743_.wvu.PrintTitles" hidden="1">#REF!</definedName>
    <definedName name="Z_61DB0F11_10ED_11D2_8E73_0008C77C0743_.wvu.PrintArea" localSheetId="6" hidden="1">#REF!</definedName>
    <definedName name="Z_61DB0F11_10ED_11D2_8E73_0008C77C0743_.wvu.PrintArea" localSheetId="7" hidden="1">#REF!</definedName>
    <definedName name="Z_61DB0F11_10ED_11D2_8E73_0008C77C0743_.wvu.PrintArea" localSheetId="3" hidden="1">#REF!</definedName>
    <definedName name="Z_61DB0F11_10ED_11D2_8E73_0008C77C0743_.wvu.PrintArea" localSheetId="29" hidden="1">#REF!</definedName>
    <definedName name="Z_61DB0F11_10ED_11D2_8E73_0008C77C0743_.wvu.PrintArea" hidden="1">#REF!</definedName>
    <definedName name="Z_61DB0F11_10ED_11D2_8E73_0008C77C0743_.wvu.PrintTitles" localSheetId="3" hidden="1">#REF!</definedName>
    <definedName name="Z_61DB0F11_10ED_11D2_8E73_0008C77C0743_.wvu.PrintTitles" hidden="1">#REF!</definedName>
    <definedName name="Z_61DB0F1E_10ED_11D2_8E73_0008C77C0743_.wvu.PrintArea" localSheetId="3" hidden="1">#REF!</definedName>
    <definedName name="Z_61DB0F1E_10ED_11D2_8E73_0008C77C0743_.wvu.PrintArea" hidden="1">#REF!</definedName>
    <definedName name="Z_61DB0F1E_10ED_11D2_8E73_0008C77C0743_.wvu.PrintTitles" localSheetId="6" hidden="1">#REF!,#REF!</definedName>
    <definedName name="Z_61DB0F1E_10ED_11D2_8E73_0008C77C0743_.wvu.PrintTitles" localSheetId="7" hidden="1">#REF!,#REF!</definedName>
    <definedName name="Z_61DB0F1E_10ED_11D2_8E73_0008C77C0743_.wvu.PrintTitles" localSheetId="3" hidden="1">#REF!,#REF!</definedName>
    <definedName name="Z_61DB0F1E_10ED_11D2_8E73_0008C77C0743_.wvu.PrintTitles" localSheetId="29" hidden="1">#REF!,#REF!</definedName>
    <definedName name="Z_61DB0F1E_10ED_11D2_8E73_0008C77C0743_.wvu.PrintTitles" hidden="1">#REF!,#REF!</definedName>
    <definedName name="Z_6749F589_14FD_11D3_8EF9_0008C7BCAF29_.wvu.PrintArea" localSheetId="6" hidden="1">#REF!</definedName>
    <definedName name="Z_6749F589_14FD_11D3_8EF9_0008C7BCAF29_.wvu.PrintArea" localSheetId="7" hidden="1">#REF!</definedName>
    <definedName name="Z_6749F589_14FD_11D3_8EF9_0008C7BCAF29_.wvu.PrintArea" localSheetId="3" hidden="1">#REF!</definedName>
    <definedName name="Z_6749F589_14FD_11D3_8EF9_0008C7BCAF29_.wvu.PrintArea" localSheetId="29" hidden="1">#REF!</definedName>
    <definedName name="Z_6749F589_14FD_11D3_8EF9_0008C7BCAF29_.wvu.PrintArea" hidden="1">#REF!</definedName>
    <definedName name="Z_6749F589_14FD_11D3_8EF9_0008C7BCAF29_.wvu.PrintTitles" localSheetId="6" hidden="1">#REF!</definedName>
    <definedName name="Z_6749F589_14FD_11D3_8EF9_0008C7BCAF29_.wvu.PrintTitles" localSheetId="7" hidden="1">#REF!</definedName>
    <definedName name="Z_6749F589_14FD_11D3_8EF9_0008C7BCAF29_.wvu.PrintTitles" localSheetId="3" hidden="1">#REF!</definedName>
    <definedName name="Z_6749F589_14FD_11D3_8EF9_0008C7BCAF29_.wvu.PrintTitles" localSheetId="29" hidden="1">#REF!</definedName>
    <definedName name="Z_6749F589_14FD_11D3_8EF9_0008C7BCAF29_.wvu.PrintTitles" hidden="1">#REF!</definedName>
    <definedName name="Z_6749F59C_14FD_11D3_8EF9_0008C7BCAF29_.wvu.PrintArea" localSheetId="6" hidden="1">#REF!</definedName>
    <definedName name="Z_6749F59C_14FD_11D3_8EF9_0008C7BCAF29_.wvu.PrintArea" localSheetId="7" hidden="1">#REF!</definedName>
    <definedName name="Z_6749F59C_14FD_11D3_8EF9_0008C7BCAF29_.wvu.PrintArea" localSheetId="3" hidden="1">#REF!</definedName>
    <definedName name="Z_6749F59C_14FD_11D3_8EF9_0008C7BCAF29_.wvu.PrintArea" localSheetId="29" hidden="1">#REF!</definedName>
    <definedName name="Z_6749F59C_14FD_11D3_8EF9_0008C7BCAF29_.wvu.PrintArea" hidden="1">#REF!</definedName>
    <definedName name="Z_6749F59C_14FD_11D3_8EF9_0008C7BCAF29_.wvu.PrintTitles" localSheetId="3" hidden="1">#REF!</definedName>
    <definedName name="Z_6749F59C_14FD_11D3_8EF9_0008C7BCAF29_.wvu.PrintTitles" hidden="1">#REF!</definedName>
    <definedName name="Z_6749F5AC_14FD_11D3_8EF9_0008C7BCAF29_.wvu.PrintArea" localSheetId="3" hidden="1">#REF!</definedName>
    <definedName name="Z_6749F5AC_14FD_11D3_8EF9_0008C7BCAF29_.wvu.PrintArea" hidden="1">#REF!</definedName>
    <definedName name="Z_6749F5AC_14FD_11D3_8EF9_0008C7BCAF29_.wvu.PrintTitles" localSheetId="6" hidden="1">#REF!,#REF!</definedName>
    <definedName name="Z_6749F5AC_14FD_11D3_8EF9_0008C7BCAF29_.wvu.PrintTitles" localSheetId="7" hidden="1">#REF!,#REF!</definedName>
    <definedName name="Z_6749F5AC_14FD_11D3_8EF9_0008C7BCAF29_.wvu.PrintTitles" localSheetId="3" hidden="1">#REF!,#REF!</definedName>
    <definedName name="Z_6749F5AC_14FD_11D3_8EF9_0008C7BCAF29_.wvu.PrintTitles" localSheetId="29" hidden="1">#REF!,#REF!</definedName>
    <definedName name="Z_6749F5AC_14FD_11D3_8EF9_0008C7BCAF29_.wvu.PrintTitles" hidden="1">#REF!,#REF!</definedName>
    <definedName name="Z_68F84A93_5E0B_11D2_8EEE_0008C7BCAF29_.wvu.PrintArea" localSheetId="6" hidden="1">#REF!</definedName>
    <definedName name="Z_68F84A93_5E0B_11D2_8EEE_0008C7BCAF29_.wvu.PrintArea" localSheetId="7" hidden="1">#REF!</definedName>
    <definedName name="Z_68F84A93_5E0B_11D2_8EEE_0008C7BCAF29_.wvu.PrintArea" localSheetId="3" hidden="1">#REF!</definedName>
    <definedName name="Z_68F84A93_5E0B_11D2_8EEE_0008C7BCAF29_.wvu.PrintArea" localSheetId="29" hidden="1">#REF!</definedName>
    <definedName name="Z_68F84A93_5E0B_11D2_8EEE_0008C7BCAF29_.wvu.PrintArea" hidden="1">#REF!</definedName>
    <definedName name="Z_68F84A93_5E0B_11D2_8EEE_0008C7BCAF29_.wvu.PrintTitles" localSheetId="6" hidden="1">#REF!</definedName>
    <definedName name="Z_68F84A93_5E0B_11D2_8EEE_0008C7BCAF29_.wvu.PrintTitles" localSheetId="7" hidden="1">#REF!</definedName>
    <definedName name="Z_68F84A93_5E0B_11D2_8EEE_0008C7BCAF29_.wvu.PrintTitles" localSheetId="3" hidden="1">#REF!</definedName>
    <definedName name="Z_68F84A93_5E0B_11D2_8EEE_0008C7BCAF29_.wvu.PrintTitles" localSheetId="29" hidden="1">#REF!</definedName>
    <definedName name="Z_68F84A93_5E0B_11D2_8EEE_0008C7BCAF29_.wvu.PrintTitles" hidden="1">#REF!</definedName>
    <definedName name="Z_68F84AA2_5E0B_11D2_8EEE_0008C7BCAF29_.wvu.PrintArea" localSheetId="6" hidden="1">#REF!</definedName>
    <definedName name="Z_68F84AA2_5E0B_11D2_8EEE_0008C7BCAF29_.wvu.PrintArea" localSheetId="7" hidden="1">#REF!</definedName>
    <definedName name="Z_68F84AA2_5E0B_11D2_8EEE_0008C7BCAF29_.wvu.PrintArea" localSheetId="3" hidden="1">#REF!</definedName>
    <definedName name="Z_68F84AA2_5E0B_11D2_8EEE_0008C7BCAF29_.wvu.PrintArea" localSheetId="29" hidden="1">#REF!</definedName>
    <definedName name="Z_68F84AA2_5E0B_11D2_8EEE_0008C7BCAF29_.wvu.PrintArea" hidden="1">#REF!</definedName>
    <definedName name="Z_68F84AA2_5E0B_11D2_8EEE_0008C7BCAF29_.wvu.PrintTitles" localSheetId="3" hidden="1">#REF!</definedName>
    <definedName name="Z_68F84AA2_5E0B_11D2_8EEE_0008C7BCAF29_.wvu.PrintTitles" hidden="1">#REF!</definedName>
    <definedName name="Z_68F84AAF_5E0B_11D2_8EEE_0008C7BCAF29_.wvu.PrintArea" localSheetId="3" hidden="1">#REF!</definedName>
    <definedName name="Z_68F84AAF_5E0B_11D2_8EEE_0008C7BCAF29_.wvu.PrintArea" hidden="1">#REF!</definedName>
    <definedName name="Z_68F84AAF_5E0B_11D2_8EEE_0008C7BCAF29_.wvu.PrintTitles" localSheetId="6" hidden="1">#REF!,#REF!</definedName>
    <definedName name="Z_68F84AAF_5E0B_11D2_8EEE_0008C7BCAF29_.wvu.PrintTitles" localSheetId="7" hidden="1">#REF!,#REF!</definedName>
    <definedName name="Z_68F84AAF_5E0B_11D2_8EEE_0008C7BCAF29_.wvu.PrintTitles" localSheetId="3" hidden="1">#REF!,#REF!</definedName>
    <definedName name="Z_68F84AAF_5E0B_11D2_8EEE_0008C7BCAF29_.wvu.PrintTitles" localSheetId="29" hidden="1">#REF!,#REF!</definedName>
    <definedName name="Z_68F84AAF_5E0B_11D2_8EEE_0008C7BCAF29_.wvu.PrintTitles" hidden="1">#REF!,#REF!</definedName>
    <definedName name="Z_68F84ABA_5E0B_11D2_8EEE_0008C7BCAF29_.wvu.PrintArea" localSheetId="6" hidden="1">#REF!</definedName>
    <definedName name="Z_68F84ABA_5E0B_11D2_8EEE_0008C7BCAF29_.wvu.PrintArea" localSheetId="7" hidden="1">#REF!</definedName>
    <definedName name="Z_68F84ABA_5E0B_11D2_8EEE_0008C7BCAF29_.wvu.PrintArea" localSheetId="3" hidden="1">#REF!</definedName>
    <definedName name="Z_68F84ABA_5E0B_11D2_8EEE_0008C7BCAF29_.wvu.PrintArea" localSheetId="29" hidden="1">#REF!</definedName>
    <definedName name="Z_68F84ABA_5E0B_11D2_8EEE_0008C7BCAF29_.wvu.PrintArea" hidden="1">#REF!</definedName>
    <definedName name="Z_68F84ABA_5E0B_11D2_8EEE_0008C7BCAF29_.wvu.PrintTitles" localSheetId="6" hidden="1">#REF!,#REF!</definedName>
    <definedName name="Z_68F84ABA_5E0B_11D2_8EEE_0008C7BCAF29_.wvu.PrintTitles" localSheetId="7" hidden="1">#REF!,#REF!</definedName>
    <definedName name="Z_68F84ABA_5E0B_11D2_8EEE_0008C7BCAF29_.wvu.PrintTitles" localSheetId="3" hidden="1">#REF!,#REF!</definedName>
    <definedName name="Z_68F84ABA_5E0B_11D2_8EEE_0008C7BCAF29_.wvu.PrintTitles" localSheetId="29" hidden="1">#REF!,#REF!</definedName>
    <definedName name="Z_68F84ABA_5E0B_11D2_8EEE_0008C7BCAF29_.wvu.PrintTitles" hidden="1">#REF!,#REF!</definedName>
    <definedName name="Z_68F84ABC_5E0B_11D2_8EEE_0008C7BCAF29_.wvu.PrintArea" localSheetId="6" hidden="1">#REF!</definedName>
    <definedName name="Z_68F84ABC_5E0B_11D2_8EEE_0008C7BCAF29_.wvu.PrintArea" localSheetId="7" hidden="1">#REF!</definedName>
    <definedName name="Z_68F84ABC_5E0B_11D2_8EEE_0008C7BCAF29_.wvu.PrintArea" localSheetId="3" hidden="1">#REF!</definedName>
    <definedName name="Z_68F84ABC_5E0B_11D2_8EEE_0008C7BCAF29_.wvu.PrintArea" localSheetId="29" hidden="1">#REF!</definedName>
    <definedName name="Z_68F84ABC_5E0B_11D2_8EEE_0008C7BCAF29_.wvu.PrintArea" hidden="1">#REF!</definedName>
    <definedName name="Z_68F84ABC_5E0B_11D2_8EEE_0008C7BCAF29_.wvu.PrintTitles" localSheetId="6" hidden="1">#REF!</definedName>
    <definedName name="Z_68F84ABC_5E0B_11D2_8EEE_0008C7BCAF29_.wvu.PrintTitles" localSheetId="7" hidden="1">#REF!</definedName>
    <definedName name="Z_68F84ABC_5E0B_11D2_8EEE_0008C7BCAF29_.wvu.PrintTitles" localSheetId="3" hidden="1">#REF!</definedName>
    <definedName name="Z_68F84ABC_5E0B_11D2_8EEE_0008C7BCAF29_.wvu.PrintTitles" localSheetId="29" hidden="1">#REF!</definedName>
    <definedName name="Z_68F84ABC_5E0B_11D2_8EEE_0008C7BCAF29_.wvu.PrintTitles" hidden="1">#REF!</definedName>
    <definedName name="Z_68F84ABF_5E0B_11D2_8EEE_0008C7BCAF29_.wvu.PrintArea" localSheetId="6" hidden="1">#REF!</definedName>
    <definedName name="Z_68F84ABF_5E0B_11D2_8EEE_0008C7BCAF29_.wvu.PrintArea" localSheetId="7" hidden="1">#REF!</definedName>
    <definedName name="Z_68F84ABF_5E0B_11D2_8EEE_0008C7BCAF29_.wvu.PrintArea" localSheetId="3" hidden="1">#REF!</definedName>
    <definedName name="Z_68F84ABF_5E0B_11D2_8EEE_0008C7BCAF29_.wvu.PrintArea" localSheetId="29" hidden="1">#REF!</definedName>
    <definedName name="Z_68F84ABF_5E0B_11D2_8EEE_0008C7BCAF29_.wvu.PrintArea" hidden="1">#REF!</definedName>
    <definedName name="Z_68F84ABF_5E0B_11D2_8EEE_0008C7BCAF29_.wvu.PrintTitles" localSheetId="6" hidden="1">#REF!,#REF!</definedName>
    <definedName name="Z_68F84ABF_5E0B_11D2_8EEE_0008C7BCAF29_.wvu.PrintTitles" localSheetId="7" hidden="1">#REF!,#REF!</definedName>
    <definedName name="Z_68F84ABF_5E0B_11D2_8EEE_0008C7BCAF29_.wvu.PrintTitles" localSheetId="3" hidden="1">#REF!,#REF!</definedName>
    <definedName name="Z_68F84ABF_5E0B_11D2_8EEE_0008C7BCAF29_.wvu.PrintTitles" localSheetId="29" hidden="1">#REF!,#REF!</definedName>
    <definedName name="Z_68F84ABF_5E0B_11D2_8EEE_0008C7BCAF29_.wvu.PrintTitles" hidden="1">#REF!,#REF!</definedName>
    <definedName name="Z_68F84AC1_5E0B_11D2_8EEE_0008C7BCAF29_.wvu.PrintArea" localSheetId="6" hidden="1">#REF!</definedName>
    <definedName name="Z_68F84AC1_5E0B_11D2_8EEE_0008C7BCAF29_.wvu.PrintArea" localSheetId="7" hidden="1">#REF!</definedName>
    <definedName name="Z_68F84AC1_5E0B_11D2_8EEE_0008C7BCAF29_.wvu.PrintArea" localSheetId="3" hidden="1">#REF!</definedName>
    <definedName name="Z_68F84AC1_5E0B_11D2_8EEE_0008C7BCAF29_.wvu.PrintArea" localSheetId="29" hidden="1">#REF!</definedName>
    <definedName name="Z_68F84AC1_5E0B_11D2_8EEE_0008C7BCAF29_.wvu.PrintArea" hidden="1">#REF!</definedName>
    <definedName name="Z_68F84AC1_5E0B_11D2_8EEE_0008C7BCAF29_.wvu.PrintTitles" localSheetId="6" hidden="1">#REF!,#REF!</definedName>
    <definedName name="Z_68F84AC1_5E0B_11D2_8EEE_0008C7BCAF29_.wvu.PrintTitles" localSheetId="7" hidden="1">#REF!,#REF!</definedName>
    <definedName name="Z_68F84AC1_5E0B_11D2_8EEE_0008C7BCAF29_.wvu.PrintTitles" localSheetId="3" hidden="1">#REF!,#REF!</definedName>
    <definedName name="Z_68F84AC1_5E0B_11D2_8EEE_0008C7BCAF29_.wvu.PrintTitles" localSheetId="29" hidden="1">#REF!,#REF!</definedName>
    <definedName name="Z_68F84AC1_5E0B_11D2_8EEE_0008C7BCAF29_.wvu.PrintTitles" hidden="1">#REF!,#REF!</definedName>
    <definedName name="Z_68F84AC3_5E0B_11D2_8EEE_0008C7BCAF29_.wvu.PrintArea" localSheetId="6" hidden="1">#REF!</definedName>
    <definedName name="Z_68F84AC3_5E0B_11D2_8EEE_0008C7BCAF29_.wvu.PrintArea" localSheetId="7" hidden="1">#REF!</definedName>
    <definedName name="Z_68F84AC3_5E0B_11D2_8EEE_0008C7BCAF29_.wvu.PrintArea" localSheetId="3" hidden="1">#REF!</definedName>
    <definedName name="Z_68F84AC3_5E0B_11D2_8EEE_0008C7BCAF29_.wvu.PrintArea" localSheetId="29" hidden="1">#REF!</definedName>
    <definedName name="Z_68F84AC3_5E0B_11D2_8EEE_0008C7BCAF29_.wvu.PrintArea" hidden="1">#REF!</definedName>
    <definedName name="Z_68F84AC3_5E0B_11D2_8EEE_0008C7BCAF29_.wvu.PrintTitles" localSheetId="6" hidden="1">#REF!</definedName>
    <definedName name="Z_68F84AC3_5E0B_11D2_8EEE_0008C7BCAF29_.wvu.PrintTitles" localSheetId="7" hidden="1">#REF!</definedName>
    <definedName name="Z_68F84AC3_5E0B_11D2_8EEE_0008C7BCAF29_.wvu.PrintTitles" localSheetId="3" hidden="1">#REF!</definedName>
    <definedName name="Z_68F84AC3_5E0B_11D2_8EEE_0008C7BCAF29_.wvu.PrintTitles" localSheetId="29" hidden="1">#REF!</definedName>
    <definedName name="Z_68F84AC3_5E0B_11D2_8EEE_0008C7BCAF29_.wvu.PrintTitles" hidden="1">#REF!</definedName>
    <definedName name="Z_68F84AC6_5E0B_11D2_8EEE_0008C7BCAF29_.wvu.PrintArea" localSheetId="6" hidden="1">#REF!</definedName>
    <definedName name="Z_68F84AC6_5E0B_11D2_8EEE_0008C7BCAF29_.wvu.PrintArea" localSheetId="7" hidden="1">#REF!</definedName>
    <definedName name="Z_68F84AC6_5E0B_11D2_8EEE_0008C7BCAF29_.wvu.PrintArea" localSheetId="3" hidden="1">#REF!</definedName>
    <definedName name="Z_68F84AC6_5E0B_11D2_8EEE_0008C7BCAF29_.wvu.PrintArea" localSheetId="29" hidden="1">#REF!</definedName>
    <definedName name="Z_68F84AC6_5E0B_11D2_8EEE_0008C7BCAF29_.wvu.PrintArea" hidden="1">#REF!</definedName>
    <definedName name="Z_68F84AC6_5E0B_11D2_8EEE_0008C7BCAF29_.wvu.PrintTitles" localSheetId="6" hidden="1">#REF!,#REF!</definedName>
    <definedName name="Z_68F84AC6_5E0B_11D2_8EEE_0008C7BCAF29_.wvu.PrintTitles" localSheetId="7" hidden="1">#REF!,#REF!</definedName>
    <definedName name="Z_68F84AC6_5E0B_11D2_8EEE_0008C7BCAF29_.wvu.PrintTitles" localSheetId="3" hidden="1">#REF!,#REF!</definedName>
    <definedName name="Z_68F84AC6_5E0B_11D2_8EEE_0008C7BCAF29_.wvu.PrintTitles" localSheetId="29" hidden="1">#REF!,#REF!</definedName>
    <definedName name="Z_68F84AC6_5E0B_11D2_8EEE_0008C7BCAF29_.wvu.PrintTitles" hidden="1">#REF!,#REF!</definedName>
    <definedName name="Z_68F84AC8_5E0B_11D2_8EEE_0008C7BCAF29_.wvu.PrintArea" localSheetId="6" hidden="1">#REF!</definedName>
    <definedName name="Z_68F84AC8_5E0B_11D2_8EEE_0008C7BCAF29_.wvu.PrintArea" localSheetId="7" hidden="1">#REF!</definedName>
    <definedName name="Z_68F84AC8_5E0B_11D2_8EEE_0008C7BCAF29_.wvu.PrintArea" localSheetId="3" hidden="1">#REF!</definedName>
    <definedName name="Z_68F84AC8_5E0B_11D2_8EEE_0008C7BCAF29_.wvu.PrintArea" localSheetId="29" hidden="1">#REF!</definedName>
    <definedName name="Z_68F84AC8_5E0B_11D2_8EEE_0008C7BCAF29_.wvu.PrintArea" hidden="1">#REF!</definedName>
    <definedName name="Z_68F84AC8_5E0B_11D2_8EEE_0008C7BCAF29_.wvu.PrintTitles" localSheetId="6" hidden="1">#REF!,#REF!</definedName>
    <definedName name="Z_68F84AC8_5E0B_11D2_8EEE_0008C7BCAF29_.wvu.PrintTitles" localSheetId="7" hidden="1">#REF!,#REF!</definedName>
    <definedName name="Z_68F84AC8_5E0B_11D2_8EEE_0008C7BCAF29_.wvu.PrintTitles" localSheetId="3" hidden="1">#REF!,#REF!</definedName>
    <definedName name="Z_68F84AC8_5E0B_11D2_8EEE_0008C7BCAF29_.wvu.PrintTitles" localSheetId="29" hidden="1">#REF!,#REF!</definedName>
    <definedName name="Z_68F84AC8_5E0B_11D2_8EEE_0008C7BCAF29_.wvu.PrintTitles" hidden="1">#REF!,#REF!</definedName>
    <definedName name="Z_68F84ACE_5E0B_11D2_8EEE_0008C7BCAF29_.wvu.PrintArea" localSheetId="6" hidden="1">#REF!</definedName>
    <definedName name="Z_68F84ACE_5E0B_11D2_8EEE_0008C7BCAF29_.wvu.PrintArea" localSheetId="7" hidden="1">#REF!</definedName>
    <definedName name="Z_68F84ACE_5E0B_11D2_8EEE_0008C7BCAF29_.wvu.PrintArea" localSheetId="3" hidden="1">#REF!</definedName>
    <definedName name="Z_68F84ACE_5E0B_11D2_8EEE_0008C7BCAF29_.wvu.PrintArea" localSheetId="29" hidden="1">#REF!</definedName>
    <definedName name="Z_68F84ACE_5E0B_11D2_8EEE_0008C7BCAF29_.wvu.PrintArea" hidden="1">#REF!</definedName>
    <definedName name="Z_68F84ACE_5E0B_11D2_8EEE_0008C7BCAF29_.wvu.PrintTitles" localSheetId="6" hidden="1">#REF!</definedName>
    <definedName name="Z_68F84ACE_5E0B_11D2_8EEE_0008C7BCAF29_.wvu.PrintTitles" localSheetId="7" hidden="1">#REF!</definedName>
    <definedName name="Z_68F84ACE_5E0B_11D2_8EEE_0008C7BCAF29_.wvu.PrintTitles" localSheetId="3" hidden="1">#REF!</definedName>
    <definedName name="Z_68F84ACE_5E0B_11D2_8EEE_0008C7BCAF29_.wvu.PrintTitles" localSheetId="29" hidden="1">#REF!</definedName>
    <definedName name="Z_68F84ACE_5E0B_11D2_8EEE_0008C7BCAF29_.wvu.PrintTitles" hidden="1">#REF!</definedName>
    <definedName name="Z_68F84ADD_5E0B_11D2_8EEE_0008C7BCAF29_.wvu.PrintArea" localSheetId="6" hidden="1">#REF!</definedName>
    <definedName name="Z_68F84ADD_5E0B_11D2_8EEE_0008C7BCAF29_.wvu.PrintArea" localSheetId="7" hidden="1">#REF!</definedName>
    <definedName name="Z_68F84ADD_5E0B_11D2_8EEE_0008C7BCAF29_.wvu.PrintArea" localSheetId="3" hidden="1">#REF!</definedName>
    <definedName name="Z_68F84ADD_5E0B_11D2_8EEE_0008C7BCAF29_.wvu.PrintArea" localSheetId="29" hidden="1">#REF!</definedName>
    <definedName name="Z_68F84ADD_5E0B_11D2_8EEE_0008C7BCAF29_.wvu.PrintArea" hidden="1">#REF!</definedName>
    <definedName name="Z_68F84ADD_5E0B_11D2_8EEE_0008C7BCAF29_.wvu.PrintTitles" localSheetId="3" hidden="1">#REF!</definedName>
    <definedName name="Z_68F84ADD_5E0B_11D2_8EEE_0008C7BCAF29_.wvu.PrintTitles" hidden="1">#REF!</definedName>
    <definedName name="Z_68F84AEA_5E0B_11D2_8EEE_0008C7BCAF29_.wvu.PrintArea" localSheetId="3" hidden="1">#REF!</definedName>
    <definedName name="Z_68F84AEA_5E0B_11D2_8EEE_0008C7BCAF29_.wvu.PrintArea" hidden="1">#REF!</definedName>
    <definedName name="Z_68F84AEA_5E0B_11D2_8EEE_0008C7BCAF29_.wvu.PrintTitles" localSheetId="6" hidden="1">#REF!,#REF!</definedName>
    <definedName name="Z_68F84AEA_5E0B_11D2_8EEE_0008C7BCAF29_.wvu.PrintTitles" localSheetId="7" hidden="1">#REF!,#REF!</definedName>
    <definedName name="Z_68F84AEA_5E0B_11D2_8EEE_0008C7BCAF29_.wvu.PrintTitles" localSheetId="3" hidden="1">#REF!,#REF!</definedName>
    <definedName name="Z_68F84AEA_5E0B_11D2_8EEE_0008C7BCAF29_.wvu.PrintTitles" localSheetId="29" hidden="1">#REF!,#REF!</definedName>
    <definedName name="Z_68F84AEA_5E0B_11D2_8EEE_0008C7BCAF29_.wvu.PrintTitles" hidden="1">#REF!,#REF!</definedName>
    <definedName name="Z_68F84AF6_5E0B_11D2_8EEE_0008C7BCAF29_.wvu.PrintArea" localSheetId="6" hidden="1">#REF!</definedName>
    <definedName name="Z_68F84AF6_5E0B_11D2_8EEE_0008C7BCAF29_.wvu.PrintArea" localSheetId="7" hidden="1">#REF!</definedName>
    <definedName name="Z_68F84AF6_5E0B_11D2_8EEE_0008C7BCAF29_.wvu.PrintArea" localSheetId="3" hidden="1">#REF!</definedName>
    <definedName name="Z_68F84AF6_5E0B_11D2_8EEE_0008C7BCAF29_.wvu.PrintArea" localSheetId="29" hidden="1">#REF!</definedName>
    <definedName name="Z_68F84AF6_5E0B_11D2_8EEE_0008C7BCAF29_.wvu.PrintArea" hidden="1">#REF!</definedName>
    <definedName name="Z_68F84AF6_5E0B_11D2_8EEE_0008C7BCAF29_.wvu.PrintTitles" localSheetId="6" hidden="1">#REF!,#REF!</definedName>
    <definedName name="Z_68F84AF6_5E0B_11D2_8EEE_0008C7BCAF29_.wvu.PrintTitles" localSheetId="7" hidden="1">#REF!,#REF!</definedName>
    <definedName name="Z_68F84AF6_5E0B_11D2_8EEE_0008C7BCAF29_.wvu.PrintTitles" localSheetId="3" hidden="1">#REF!,#REF!</definedName>
    <definedName name="Z_68F84AF6_5E0B_11D2_8EEE_0008C7BCAF29_.wvu.PrintTitles" localSheetId="29" hidden="1">#REF!,#REF!</definedName>
    <definedName name="Z_68F84AF6_5E0B_11D2_8EEE_0008C7BCAF29_.wvu.PrintTitles" hidden="1">#REF!,#REF!</definedName>
    <definedName name="Z_68F84AF9_5E0B_11D2_8EEE_0008C7BCAF29_.wvu.PrintArea" localSheetId="6" hidden="1">#REF!</definedName>
    <definedName name="Z_68F84AF9_5E0B_11D2_8EEE_0008C7BCAF29_.wvu.PrintArea" localSheetId="7" hidden="1">#REF!</definedName>
    <definedName name="Z_68F84AF9_5E0B_11D2_8EEE_0008C7BCAF29_.wvu.PrintArea" localSheetId="3" hidden="1">#REF!</definedName>
    <definedName name="Z_68F84AF9_5E0B_11D2_8EEE_0008C7BCAF29_.wvu.PrintArea" localSheetId="29" hidden="1">#REF!</definedName>
    <definedName name="Z_68F84AF9_5E0B_11D2_8EEE_0008C7BCAF29_.wvu.PrintArea" hidden="1">#REF!</definedName>
    <definedName name="Z_68F84AF9_5E0B_11D2_8EEE_0008C7BCAF29_.wvu.PrintTitles" localSheetId="6" hidden="1">#REF!</definedName>
    <definedName name="Z_68F84AF9_5E0B_11D2_8EEE_0008C7BCAF29_.wvu.PrintTitles" localSheetId="7" hidden="1">#REF!</definedName>
    <definedName name="Z_68F84AF9_5E0B_11D2_8EEE_0008C7BCAF29_.wvu.PrintTitles" localSheetId="3" hidden="1">#REF!</definedName>
    <definedName name="Z_68F84AF9_5E0B_11D2_8EEE_0008C7BCAF29_.wvu.PrintTitles" localSheetId="29" hidden="1">#REF!</definedName>
    <definedName name="Z_68F84AF9_5E0B_11D2_8EEE_0008C7BCAF29_.wvu.PrintTitles" hidden="1">#REF!</definedName>
    <definedName name="Z_68F84AFE_5E0B_11D2_8EEE_0008C7BCAF29_.wvu.PrintArea" localSheetId="6" hidden="1">#REF!</definedName>
    <definedName name="Z_68F84AFE_5E0B_11D2_8EEE_0008C7BCAF29_.wvu.PrintArea" localSheetId="7" hidden="1">#REF!</definedName>
    <definedName name="Z_68F84AFE_5E0B_11D2_8EEE_0008C7BCAF29_.wvu.PrintArea" localSheetId="3" hidden="1">#REF!</definedName>
    <definedName name="Z_68F84AFE_5E0B_11D2_8EEE_0008C7BCAF29_.wvu.PrintArea" localSheetId="29" hidden="1">#REF!</definedName>
    <definedName name="Z_68F84AFE_5E0B_11D2_8EEE_0008C7BCAF29_.wvu.PrintArea" hidden="1">#REF!</definedName>
    <definedName name="Z_68F84AFE_5E0B_11D2_8EEE_0008C7BCAF29_.wvu.PrintTitles" localSheetId="6" hidden="1">#REF!,#REF!</definedName>
    <definedName name="Z_68F84AFE_5E0B_11D2_8EEE_0008C7BCAF29_.wvu.PrintTitles" localSheetId="7" hidden="1">#REF!,#REF!</definedName>
    <definedName name="Z_68F84AFE_5E0B_11D2_8EEE_0008C7BCAF29_.wvu.PrintTitles" localSheetId="3" hidden="1">#REF!,#REF!</definedName>
    <definedName name="Z_68F84AFE_5E0B_11D2_8EEE_0008C7BCAF29_.wvu.PrintTitles" localSheetId="29" hidden="1">#REF!,#REF!</definedName>
    <definedName name="Z_68F84AFE_5E0B_11D2_8EEE_0008C7BCAF29_.wvu.PrintTitles" hidden="1">#REF!,#REF!</definedName>
    <definedName name="Z_68F84B00_5E0B_11D2_8EEE_0008C7BCAF29_.wvu.PrintArea" localSheetId="6" hidden="1">#REF!</definedName>
    <definedName name="Z_68F84B00_5E0B_11D2_8EEE_0008C7BCAF29_.wvu.PrintArea" localSheetId="7" hidden="1">#REF!</definedName>
    <definedName name="Z_68F84B00_5E0B_11D2_8EEE_0008C7BCAF29_.wvu.PrintArea" localSheetId="3" hidden="1">#REF!</definedName>
    <definedName name="Z_68F84B00_5E0B_11D2_8EEE_0008C7BCAF29_.wvu.PrintArea" localSheetId="29" hidden="1">#REF!</definedName>
    <definedName name="Z_68F84B00_5E0B_11D2_8EEE_0008C7BCAF29_.wvu.PrintArea" hidden="1">#REF!</definedName>
    <definedName name="Z_68F84B00_5E0B_11D2_8EEE_0008C7BCAF29_.wvu.PrintTitles" localSheetId="6" hidden="1">#REF!,#REF!</definedName>
    <definedName name="Z_68F84B00_5E0B_11D2_8EEE_0008C7BCAF29_.wvu.PrintTitles" localSheetId="7" hidden="1">#REF!,#REF!</definedName>
    <definedName name="Z_68F84B00_5E0B_11D2_8EEE_0008C7BCAF29_.wvu.PrintTitles" localSheetId="3" hidden="1">#REF!,#REF!</definedName>
    <definedName name="Z_68F84B00_5E0B_11D2_8EEE_0008C7BCAF29_.wvu.PrintTitles" localSheetId="29" hidden="1">#REF!,#REF!</definedName>
    <definedName name="Z_68F84B00_5E0B_11D2_8EEE_0008C7BCAF29_.wvu.PrintTitles" hidden="1">#REF!,#REF!</definedName>
    <definedName name="Z_68F84B03_5E0B_11D2_8EEE_0008C7BCAF29_.wvu.PrintArea" localSheetId="6" hidden="1">#REF!</definedName>
    <definedName name="Z_68F84B03_5E0B_11D2_8EEE_0008C7BCAF29_.wvu.PrintArea" localSheetId="7" hidden="1">#REF!</definedName>
    <definedName name="Z_68F84B03_5E0B_11D2_8EEE_0008C7BCAF29_.wvu.PrintArea" localSheetId="3" hidden="1">#REF!</definedName>
    <definedName name="Z_68F84B03_5E0B_11D2_8EEE_0008C7BCAF29_.wvu.PrintArea" localSheetId="29" hidden="1">#REF!</definedName>
    <definedName name="Z_68F84B03_5E0B_11D2_8EEE_0008C7BCAF29_.wvu.PrintArea" hidden="1">#REF!</definedName>
    <definedName name="Z_68F84B03_5E0B_11D2_8EEE_0008C7BCAF29_.wvu.PrintTitles" localSheetId="6" hidden="1">#REF!</definedName>
    <definedName name="Z_68F84B03_5E0B_11D2_8EEE_0008C7BCAF29_.wvu.PrintTitles" localSheetId="7" hidden="1">#REF!</definedName>
    <definedName name="Z_68F84B03_5E0B_11D2_8EEE_0008C7BCAF29_.wvu.PrintTitles" localSheetId="3" hidden="1">#REF!</definedName>
    <definedName name="Z_68F84B03_5E0B_11D2_8EEE_0008C7BCAF29_.wvu.PrintTitles" localSheetId="29" hidden="1">#REF!</definedName>
    <definedName name="Z_68F84B03_5E0B_11D2_8EEE_0008C7BCAF29_.wvu.PrintTitles" hidden="1">#REF!</definedName>
    <definedName name="Z_68F84B08_5E0B_11D2_8EEE_0008C7BCAF29_.wvu.PrintArea" localSheetId="6" hidden="1">#REF!</definedName>
    <definedName name="Z_68F84B08_5E0B_11D2_8EEE_0008C7BCAF29_.wvu.PrintArea" localSheetId="7" hidden="1">#REF!</definedName>
    <definedName name="Z_68F84B08_5E0B_11D2_8EEE_0008C7BCAF29_.wvu.PrintArea" localSheetId="3" hidden="1">#REF!</definedName>
    <definedName name="Z_68F84B08_5E0B_11D2_8EEE_0008C7BCAF29_.wvu.PrintArea" localSheetId="29" hidden="1">#REF!</definedName>
    <definedName name="Z_68F84B08_5E0B_11D2_8EEE_0008C7BCAF29_.wvu.PrintArea" hidden="1">#REF!</definedName>
    <definedName name="Z_68F84B08_5E0B_11D2_8EEE_0008C7BCAF29_.wvu.PrintTitles" localSheetId="6" hidden="1">#REF!,#REF!</definedName>
    <definedName name="Z_68F84B08_5E0B_11D2_8EEE_0008C7BCAF29_.wvu.PrintTitles" localSheetId="7" hidden="1">#REF!,#REF!</definedName>
    <definedName name="Z_68F84B08_5E0B_11D2_8EEE_0008C7BCAF29_.wvu.PrintTitles" localSheetId="3" hidden="1">#REF!,#REF!</definedName>
    <definedName name="Z_68F84B08_5E0B_11D2_8EEE_0008C7BCAF29_.wvu.PrintTitles" localSheetId="29" hidden="1">#REF!,#REF!</definedName>
    <definedName name="Z_68F84B08_5E0B_11D2_8EEE_0008C7BCAF29_.wvu.PrintTitles" hidden="1">#REF!,#REF!</definedName>
    <definedName name="Z_68F84B0B_5E0B_11D2_8EEE_0008C7BCAF29_.wvu.PrintArea" localSheetId="6" hidden="1">#REF!</definedName>
    <definedName name="Z_68F84B0B_5E0B_11D2_8EEE_0008C7BCAF29_.wvu.PrintArea" localSheetId="7" hidden="1">#REF!</definedName>
    <definedName name="Z_68F84B0B_5E0B_11D2_8EEE_0008C7BCAF29_.wvu.PrintArea" localSheetId="3" hidden="1">#REF!</definedName>
    <definedName name="Z_68F84B0B_5E0B_11D2_8EEE_0008C7BCAF29_.wvu.PrintArea" localSheetId="29" hidden="1">#REF!</definedName>
    <definedName name="Z_68F84B0B_5E0B_11D2_8EEE_0008C7BCAF29_.wvu.PrintArea" hidden="1">#REF!</definedName>
    <definedName name="Z_68F84B0B_5E0B_11D2_8EEE_0008C7BCAF29_.wvu.PrintTitles" localSheetId="6" hidden="1">#REF!,#REF!</definedName>
    <definedName name="Z_68F84B0B_5E0B_11D2_8EEE_0008C7BCAF29_.wvu.PrintTitles" localSheetId="7" hidden="1">#REF!,#REF!</definedName>
    <definedName name="Z_68F84B0B_5E0B_11D2_8EEE_0008C7BCAF29_.wvu.PrintTitles" localSheetId="3" hidden="1">#REF!,#REF!</definedName>
    <definedName name="Z_68F84B0B_5E0B_11D2_8EEE_0008C7BCAF29_.wvu.PrintTitles" localSheetId="29" hidden="1">#REF!,#REF!</definedName>
    <definedName name="Z_68F84B0B_5E0B_11D2_8EEE_0008C7BCAF29_.wvu.PrintTitles" hidden="1">#REF!,#REF!</definedName>
    <definedName name="Z_68F84B11_5E0B_11D2_8EEE_0008C7BCAF29_.wvu.PrintArea" localSheetId="6" hidden="1">#REF!</definedName>
    <definedName name="Z_68F84B11_5E0B_11D2_8EEE_0008C7BCAF29_.wvu.PrintArea" localSheetId="7" hidden="1">#REF!</definedName>
    <definedName name="Z_68F84B11_5E0B_11D2_8EEE_0008C7BCAF29_.wvu.PrintArea" localSheetId="3" hidden="1">#REF!</definedName>
    <definedName name="Z_68F84B11_5E0B_11D2_8EEE_0008C7BCAF29_.wvu.PrintArea" localSheetId="29" hidden="1">#REF!</definedName>
    <definedName name="Z_68F84B11_5E0B_11D2_8EEE_0008C7BCAF29_.wvu.PrintArea" hidden="1">#REF!</definedName>
    <definedName name="Z_68F84B11_5E0B_11D2_8EEE_0008C7BCAF29_.wvu.PrintTitles" localSheetId="6" hidden="1">#REF!,#REF!</definedName>
    <definedName name="Z_68F84B11_5E0B_11D2_8EEE_0008C7BCAF29_.wvu.PrintTitles" localSheetId="7" hidden="1">#REF!,#REF!</definedName>
    <definedName name="Z_68F84B11_5E0B_11D2_8EEE_0008C7BCAF29_.wvu.PrintTitles" localSheetId="3" hidden="1">#REF!,#REF!</definedName>
    <definedName name="Z_68F84B11_5E0B_11D2_8EEE_0008C7BCAF29_.wvu.PrintTitles" localSheetId="29" hidden="1">#REF!,#REF!</definedName>
    <definedName name="Z_68F84B11_5E0B_11D2_8EEE_0008C7BCAF29_.wvu.PrintTitles" hidden="1">#REF!,#REF!</definedName>
    <definedName name="Z_68F84B14_5E0B_11D2_8EEE_0008C7BCAF29_.wvu.PrintArea" localSheetId="6" hidden="1">#REF!</definedName>
    <definedName name="Z_68F84B14_5E0B_11D2_8EEE_0008C7BCAF29_.wvu.PrintArea" localSheetId="7" hidden="1">#REF!</definedName>
    <definedName name="Z_68F84B14_5E0B_11D2_8EEE_0008C7BCAF29_.wvu.PrintArea" localSheetId="3" hidden="1">#REF!</definedName>
    <definedName name="Z_68F84B14_5E0B_11D2_8EEE_0008C7BCAF29_.wvu.PrintArea" localSheetId="29" hidden="1">#REF!</definedName>
    <definedName name="Z_68F84B14_5E0B_11D2_8EEE_0008C7BCAF29_.wvu.PrintArea" hidden="1">#REF!</definedName>
    <definedName name="Z_68F84B14_5E0B_11D2_8EEE_0008C7BCAF29_.wvu.PrintTitles" localSheetId="6" hidden="1">#REF!</definedName>
    <definedName name="Z_68F84B14_5E0B_11D2_8EEE_0008C7BCAF29_.wvu.PrintTitles" localSheetId="7" hidden="1">#REF!</definedName>
    <definedName name="Z_68F84B14_5E0B_11D2_8EEE_0008C7BCAF29_.wvu.PrintTitles" localSheetId="3" hidden="1">#REF!</definedName>
    <definedName name="Z_68F84B14_5E0B_11D2_8EEE_0008C7BCAF29_.wvu.PrintTitles" localSheetId="29" hidden="1">#REF!</definedName>
    <definedName name="Z_68F84B14_5E0B_11D2_8EEE_0008C7BCAF29_.wvu.PrintTitles" hidden="1">#REF!</definedName>
    <definedName name="Z_68F84B19_5E0B_11D2_8EEE_0008C7BCAF29_.wvu.PrintArea" localSheetId="6" hidden="1">#REF!</definedName>
    <definedName name="Z_68F84B19_5E0B_11D2_8EEE_0008C7BCAF29_.wvu.PrintArea" localSheetId="7" hidden="1">#REF!</definedName>
    <definedName name="Z_68F84B19_5E0B_11D2_8EEE_0008C7BCAF29_.wvu.PrintArea" localSheetId="3" hidden="1">#REF!</definedName>
    <definedName name="Z_68F84B19_5E0B_11D2_8EEE_0008C7BCAF29_.wvu.PrintArea" localSheetId="29" hidden="1">#REF!</definedName>
    <definedName name="Z_68F84B19_5E0B_11D2_8EEE_0008C7BCAF29_.wvu.PrintArea" hidden="1">#REF!</definedName>
    <definedName name="Z_68F84B19_5E0B_11D2_8EEE_0008C7BCAF29_.wvu.PrintTitles" localSheetId="6" hidden="1">#REF!,#REF!</definedName>
    <definedName name="Z_68F84B19_5E0B_11D2_8EEE_0008C7BCAF29_.wvu.PrintTitles" localSheetId="7" hidden="1">#REF!,#REF!</definedName>
    <definedName name="Z_68F84B19_5E0B_11D2_8EEE_0008C7BCAF29_.wvu.PrintTitles" localSheetId="3" hidden="1">#REF!,#REF!</definedName>
    <definedName name="Z_68F84B19_5E0B_11D2_8EEE_0008C7BCAF29_.wvu.PrintTitles" localSheetId="29" hidden="1">#REF!,#REF!</definedName>
    <definedName name="Z_68F84B19_5E0B_11D2_8EEE_0008C7BCAF29_.wvu.PrintTitles" hidden="1">#REF!,#REF!</definedName>
    <definedName name="Z_68F84B1B_5E0B_11D2_8EEE_0008C7BCAF29_.wvu.PrintArea" localSheetId="6" hidden="1">#REF!</definedName>
    <definedName name="Z_68F84B1B_5E0B_11D2_8EEE_0008C7BCAF29_.wvu.PrintArea" localSheetId="7" hidden="1">#REF!</definedName>
    <definedName name="Z_68F84B1B_5E0B_11D2_8EEE_0008C7BCAF29_.wvu.PrintArea" localSheetId="3" hidden="1">#REF!</definedName>
    <definedName name="Z_68F84B1B_5E0B_11D2_8EEE_0008C7BCAF29_.wvu.PrintArea" localSheetId="29" hidden="1">#REF!</definedName>
    <definedName name="Z_68F84B1B_5E0B_11D2_8EEE_0008C7BCAF29_.wvu.PrintArea" hidden="1">#REF!</definedName>
    <definedName name="Z_68F84B1B_5E0B_11D2_8EEE_0008C7BCAF29_.wvu.PrintTitles" localSheetId="6" hidden="1">#REF!,#REF!</definedName>
    <definedName name="Z_68F84B1B_5E0B_11D2_8EEE_0008C7BCAF29_.wvu.PrintTitles" localSheetId="7" hidden="1">#REF!,#REF!</definedName>
    <definedName name="Z_68F84B1B_5E0B_11D2_8EEE_0008C7BCAF29_.wvu.PrintTitles" localSheetId="3" hidden="1">#REF!,#REF!</definedName>
    <definedName name="Z_68F84B1B_5E0B_11D2_8EEE_0008C7BCAF29_.wvu.PrintTitles" localSheetId="29" hidden="1">#REF!,#REF!</definedName>
    <definedName name="Z_68F84B1B_5E0B_11D2_8EEE_0008C7BCAF29_.wvu.PrintTitles" hidden="1">#REF!,#REF!</definedName>
    <definedName name="Z_68F84B1E_5E0B_11D2_8EEE_0008C7BCAF29_.wvu.PrintArea" localSheetId="6" hidden="1">#REF!</definedName>
    <definedName name="Z_68F84B1E_5E0B_11D2_8EEE_0008C7BCAF29_.wvu.PrintArea" localSheetId="7" hidden="1">#REF!</definedName>
    <definedName name="Z_68F84B1E_5E0B_11D2_8EEE_0008C7BCAF29_.wvu.PrintArea" localSheetId="3" hidden="1">#REF!</definedName>
    <definedName name="Z_68F84B1E_5E0B_11D2_8EEE_0008C7BCAF29_.wvu.PrintArea" localSheetId="29" hidden="1">#REF!</definedName>
    <definedName name="Z_68F84B1E_5E0B_11D2_8EEE_0008C7BCAF29_.wvu.PrintArea" hidden="1">#REF!</definedName>
    <definedName name="Z_68F84B1E_5E0B_11D2_8EEE_0008C7BCAF29_.wvu.PrintTitles" localSheetId="6" hidden="1">#REF!</definedName>
    <definedName name="Z_68F84B1E_5E0B_11D2_8EEE_0008C7BCAF29_.wvu.PrintTitles" localSheetId="7" hidden="1">#REF!</definedName>
    <definedName name="Z_68F84B1E_5E0B_11D2_8EEE_0008C7BCAF29_.wvu.PrintTitles" localSheetId="3" hidden="1">#REF!</definedName>
    <definedName name="Z_68F84B1E_5E0B_11D2_8EEE_0008C7BCAF29_.wvu.PrintTitles" localSheetId="29" hidden="1">#REF!</definedName>
    <definedName name="Z_68F84B1E_5E0B_11D2_8EEE_0008C7BCAF29_.wvu.PrintTitles" hidden="1">#REF!</definedName>
    <definedName name="Z_68F84B23_5E0B_11D2_8EEE_0008C7BCAF29_.wvu.PrintArea" localSheetId="6" hidden="1">#REF!</definedName>
    <definedName name="Z_68F84B23_5E0B_11D2_8EEE_0008C7BCAF29_.wvu.PrintArea" localSheetId="7" hidden="1">#REF!</definedName>
    <definedName name="Z_68F84B23_5E0B_11D2_8EEE_0008C7BCAF29_.wvu.PrintArea" localSheetId="3" hidden="1">#REF!</definedName>
    <definedName name="Z_68F84B23_5E0B_11D2_8EEE_0008C7BCAF29_.wvu.PrintArea" localSheetId="29" hidden="1">#REF!</definedName>
    <definedName name="Z_68F84B23_5E0B_11D2_8EEE_0008C7BCAF29_.wvu.PrintArea" hidden="1">#REF!</definedName>
    <definedName name="Z_68F84B23_5E0B_11D2_8EEE_0008C7BCAF29_.wvu.PrintTitles" localSheetId="6" hidden="1">#REF!,#REF!</definedName>
    <definedName name="Z_68F84B23_5E0B_11D2_8EEE_0008C7BCAF29_.wvu.PrintTitles" localSheetId="7" hidden="1">#REF!,#REF!</definedName>
    <definedName name="Z_68F84B23_5E0B_11D2_8EEE_0008C7BCAF29_.wvu.PrintTitles" localSheetId="3" hidden="1">#REF!,#REF!</definedName>
    <definedName name="Z_68F84B23_5E0B_11D2_8EEE_0008C7BCAF29_.wvu.PrintTitles" localSheetId="29" hidden="1">#REF!,#REF!</definedName>
    <definedName name="Z_68F84B23_5E0B_11D2_8EEE_0008C7BCAF29_.wvu.PrintTitles" hidden="1">#REF!,#REF!</definedName>
    <definedName name="Z_68F84B26_5E0B_11D2_8EEE_0008C7BCAF29_.wvu.PrintArea" localSheetId="6" hidden="1">#REF!</definedName>
    <definedName name="Z_68F84B26_5E0B_11D2_8EEE_0008C7BCAF29_.wvu.PrintArea" localSheetId="7" hidden="1">#REF!</definedName>
    <definedName name="Z_68F84B26_5E0B_11D2_8EEE_0008C7BCAF29_.wvu.PrintArea" localSheetId="3" hidden="1">#REF!</definedName>
    <definedName name="Z_68F84B26_5E0B_11D2_8EEE_0008C7BCAF29_.wvu.PrintArea" localSheetId="29" hidden="1">#REF!</definedName>
    <definedName name="Z_68F84B26_5E0B_11D2_8EEE_0008C7BCAF29_.wvu.PrintArea" hidden="1">#REF!</definedName>
    <definedName name="Z_68F84B26_5E0B_11D2_8EEE_0008C7BCAF29_.wvu.PrintTitles" localSheetId="6" hidden="1">#REF!,#REF!</definedName>
    <definedName name="Z_68F84B26_5E0B_11D2_8EEE_0008C7BCAF29_.wvu.PrintTitles" localSheetId="7" hidden="1">#REF!,#REF!</definedName>
    <definedName name="Z_68F84B26_5E0B_11D2_8EEE_0008C7BCAF29_.wvu.PrintTitles" localSheetId="3" hidden="1">#REF!,#REF!</definedName>
    <definedName name="Z_68F84B26_5E0B_11D2_8EEE_0008C7BCAF29_.wvu.PrintTitles" localSheetId="29" hidden="1">#REF!,#REF!</definedName>
    <definedName name="Z_68F84B26_5E0B_11D2_8EEE_0008C7BCAF29_.wvu.PrintTitles" hidden="1">#REF!,#REF!</definedName>
    <definedName name="Z_76FBE7D5_5EAD_11D2_8EEF_0008C7BCAF29_.wvu.PrintArea" localSheetId="6" hidden="1">#REF!</definedName>
    <definedName name="Z_76FBE7D5_5EAD_11D2_8EEF_0008C7BCAF29_.wvu.PrintArea" localSheetId="7" hidden="1">#REF!</definedName>
    <definedName name="Z_76FBE7D5_5EAD_11D2_8EEF_0008C7BCAF29_.wvu.PrintArea" localSheetId="3" hidden="1">#REF!</definedName>
    <definedName name="Z_76FBE7D5_5EAD_11D2_8EEF_0008C7BCAF29_.wvu.PrintArea" localSheetId="29" hidden="1">#REF!</definedName>
    <definedName name="Z_76FBE7D5_5EAD_11D2_8EEF_0008C7BCAF29_.wvu.PrintArea" hidden="1">#REF!</definedName>
    <definedName name="Z_76FBE7D5_5EAD_11D2_8EEF_0008C7BCAF29_.wvu.PrintTitles" localSheetId="6" hidden="1">#REF!,#REF!</definedName>
    <definedName name="Z_76FBE7D5_5EAD_11D2_8EEF_0008C7BCAF29_.wvu.PrintTitles" localSheetId="7" hidden="1">#REF!,#REF!</definedName>
    <definedName name="Z_76FBE7D5_5EAD_11D2_8EEF_0008C7BCAF29_.wvu.PrintTitles" localSheetId="3" hidden="1">#REF!,#REF!</definedName>
    <definedName name="Z_76FBE7D5_5EAD_11D2_8EEF_0008C7BCAF29_.wvu.PrintTitles" localSheetId="29" hidden="1">#REF!,#REF!</definedName>
    <definedName name="Z_76FBE7D5_5EAD_11D2_8EEF_0008C7BCAF29_.wvu.PrintTitles" hidden="1">#REF!,#REF!</definedName>
    <definedName name="Z_76FBE7D7_5EAD_11D2_8EEF_0008C7BCAF29_.wvu.PrintArea" localSheetId="6" hidden="1">#REF!</definedName>
    <definedName name="Z_76FBE7D7_5EAD_11D2_8EEF_0008C7BCAF29_.wvu.PrintArea" localSheetId="7" hidden="1">#REF!</definedName>
    <definedName name="Z_76FBE7D7_5EAD_11D2_8EEF_0008C7BCAF29_.wvu.PrintArea" localSheetId="3" hidden="1">#REF!</definedName>
    <definedName name="Z_76FBE7D7_5EAD_11D2_8EEF_0008C7BCAF29_.wvu.PrintArea" localSheetId="29" hidden="1">#REF!</definedName>
    <definedName name="Z_76FBE7D7_5EAD_11D2_8EEF_0008C7BCAF29_.wvu.PrintArea" hidden="1">#REF!</definedName>
    <definedName name="Z_76FBE7D7_5EAD_11D2_8EEF_0008C7BCAF29_.wvu.PrintTitles" localSheetId="6" hidden="1">#REF!</definedName>
    <definedName name="Z_76FBE7D7_5EAD_11D2_8EEF_0008C7BCAF29_.wvu.PrintTitles" localSheetId="7" hidden="1">#REF!</definedName>
    <definedName name="Z_76FBE7D7_5EAD_11D2_8EEF_0008C7BCAF29_.wvu.PrintTitles" localSheetId="3" hidden="1">#REF!</definedName>
    <definedName name="Z_76FBE7D7_5EAD_11D2_8EEF_0008C7BCAF29_.wvu.PrintTitles" localSheetId="29" hidden="1">#REF!</definedName>
    <definedName name="Z_76FBE7D7_5EAD_11D2_8EEF_0008C7BCAF29_.wvu.PrintTitles" hidden="1">#REF!</definedName>
    <definedName name="Z_76FBE7DA_5EAD_11D2_8EEF_0008C7BCAF29_.wvu.PrintArea" localSheetId="6" hidden="1">#REF!</definedName>
    <definedName name="Z_76FBE7DA_5EAD_11D2_8EEF_0008C7BCAF29_.wvu.PrintArea" localSheetId="7" hidden="1">#REF!</definedName>
    <definedName name="Z_76FBE7DA_5EAD_11D2_8EEF_0008C7BCAF29_.wvu.PrintArea" localSheetId="3" hidden="1">#REF!</definedName>
    <definedName name="Z_76FBE7DA_5EAD_11D2_8EEF_0008C7BCAF29_.wvu.PrintArea" localSheetId="29" hidden="1">#REF!</definedName>
    <definedName name="Z_76FBE7DA_5EAD_11D2_8EEF_0008C7BCAF29_.wvu.PrintArea" hidden="1">#REF!</definedName>
    <definedName name="Z_76FBE7DA_5EAD_11D2_8EEF_0008C7BCAF29_.wvu.PrintTitles" localSheetId="6" hidden="1">#REF!,#REF!</definedName>
    <definedName name="Z_76FBE7DA_5EAD_11D2_8EEF_0008C7BCAF29_.wvu.PrintTitles" localSheetId="7" hidden="1">#REF!,#REF!</definedName>
    <definedName name="Z_76FBE7DA_5EAD_11D2_8EEF_0008C7BCAF29_.wvu.PrintTitles" localSheetId="3" hidden="1">#REF!,#REF!</definedName>
    <definedName name="Z_76FBE7DA_5EAD_11D2_8EEF_0008C7BCAF29_.wvu.PrintTitles" localSheetId="29" hidden="1">#REF!,#REF!</definedName>
    <definedName name="Z_76FBE7DA_5EAD_11D2_8EEF_0008C7BCAF29_.wvu.PrintTitles" hidden="1">#REF!,#REF!</definedName>
    <definedName name="Z_76FBE7DC_5EAD_11D2_8EEF_0008C7BCAF29_.wvu.PrintArea" localSheetId="6" hidden="1">#REF!</definedName>
    <definedName name="Z_76FBE7DC_5EAD_11D2_8EEF_0008C7BCAF29_.wvu.PrintArea" localSheetId="7" hidden="1">#REF!</definedName>
    <definedName name="Z_76FBE7DC_5EAD_11D2_8EEF_0008C7BCAF29_.wvu.PrintArea" localSheetId="3" hidden="1">#REF!</definedName>
    <definedName name="Z_76FBE7DC_5EAD_11D2_8EEF_0008C7BCAF29_.wvu.PrintArea" localSheetId="29" hidden="1">#REF!</definedName>
    <definedName name="Z_76FBE7DC_5EAD_11D2_8EEF_0008C7BCAF29_.wvu.PrintArea" hidden="1">#REF!</definedName>
    <definedName name="Z_76FBE7DC_5EAD_11D2_8EEF_0008C7BCAF29_.wvu.PrintTitles" localSheetId="6" hidden="1">#REF!,#REF!</definedName>
    <definedName name="Z_76FBE7DC_5EAD_11D2_8EEF_0008C7BCAF29_.wvu.PrintTitles" localSheetId="7" hidden="1">#REF!,#REF!</definedName>
    <definedName name="Z_76FBE7DC_5EAD_11D2_8EEF_0008C7BCAF29_.wvu.PrintTitles" localSheetId="3" hidden="1">#REF!,#REF!</definedName>
    <definedName name="Z_76FBE7DC_5EAD_11D2_8EEF_0008C7BCAF29_.wvu.PrintTitles" localSheetId="29" hidden="1">#REF!,#REF!</definedName>
    <definedName name="Z_76FBE7DC_5EAD_11D2_8EEF_0008C7BCAF29_.wvu.PrintTitles" hidden="1">#REF!,#REF!</definedName>
    <definedName name="Z_76FBE7DE_5EAD_11D2_8EEF_0008C7BCAF29_.wvu.PrintArea" localSheetId="6" hidden="1">#REF!</definedName>
    <definedName name="Z_76FBE7DE_5EAD_11D2_8EEF_0008C7BCAF29_.wvu.PrintArea" localSheetId="7" hidden="1">#REF!</definedName>
    <definedName name="Z_76FBE7DE_5EAD_11D2_8EEF_0008C7BCAF29_.wvu.PrintArea" localSheetId="3" hidden="1">#REF!</definedName>
    <definedName name="Z_76FBE7DE_5EAD_11D2_8EEF_0008C7BCAF29_.wvu.PrintArea" localSheetId="29" hidden="1">#REF!</definedName>
    <definedName name="Z_76FBE7DE_5EAD_11D2_8EEF_0008C7BCAF29_.wvu.PrintArea" hidden="1">#REF!</definedName>
    <definedName name="Z_76FBE7DE_5EAD_11D2_8EEF_0008C7BCAF29_.wvu.PrintTitles" localSheetId="6" hidden="1">#REF!</definedName>
    <definedName name="Z_76FBE7DE_5EAD_11D2_8EEF_0008C7BCAF29_.wvu.PrintTitles" localSheetId="7" hidden="1">#REF!</definedName>
    <definedName name="Z_76FBE7DE_5EAD_11D2_8EEF_0008C7BCAF29_.wvu.PrintTitles" localSheetId="3" hidden="1">#REF!</definedName>
    <definedName name="Z_76FBE7DE_5EAD_11D2_8EEF_0008C7BCAF29_.wvu.PrintTitles" localSheetId="29" hidden="1">#REF!</definedName>
    <definedName name="Z_76FBE7DE_5EAD_11D2_8EEF_0008C7BCAF29_.wvu.PrintTitles" hidden="1">#REF!</definedName>
    <definedName name="Z_76FBE7E1_5EAD_11D2_8EEF_0008C7BCAF29_.wvu.PrintArea" localSheetId="6" hidden="1">#REF!</definedName>
    <definedName name="Z_76FBE7E1_5EAD_11D2_8EEF_0008C7BCAF29_.wvu.PrintArea" localSheetId="7" hidden="1">#REF!</definedName>
    <definedName name="Z_76FBE7E1_5EAD_11D2_8EEF_0008C7BCAF29_.wvu.PrintArea" localSheetId="3" hidden="1">#REF!</definedName>
    <definedName name="Z_76FBE7E1_5EAD_11D2_8EEF_0008C7BCAF29_.wvu.PrintArea" localSheetId="29" hidden="1">#REF!</definedName>
    <definedName name="Z_76FBE7E1_5EAD_11D2_8EEF_0008C7BCAF29_.wvu.PrintArea" hidden="1">#REF!</definedName>
    <definedName name="Z_76FBE7E1_5EAD_11D2_8EEF_0008C7BCAF29_.wvu.PrintTitles" localSheetId="6" hidden="1">#REF!,#REF!</definedName>
    <definedName name="Z_76FBE7E1_5EAD_11D2_8EEF_0008C7BCAF29_.wvu.PrintTitles" localSheetId="7" hidden="1">#REF!,#REF!</definedName>
    <definedName name="Z_76FBE7E1_5EAD_11D2_8EEF_0008C7BCAF29_.wvu.PrintTitles" localSheetId="3" hidden="1">#REF!,#REF!</definedName>
    <definedName name="Z_76FBE7E1_5EAD_11D2_8EEF_0008C7BCAF29_.wvu.PrintTitles" localSheetId="29" hidden="1">#REF!,#REF!</definedName>
    <definedName name="Z_76FBE7E1_5EAD_11D2_8EEF_0008C7BCAF29_.wvu.PrintTitles" hidden="1">#REF!,#REF!</definedName>
    <definedName name="Z_76FBE7E3_5EAD_11D2_8EEF_0008C7BCAF29_.wvu.PrintArea" localSheetId="6" hidden="1">#REF!</definedName>
    <definedName name="Z_76FBE7E3_5EAD_11D2_8EEF_0008C7BCAF29_.wvu.PrintArea" localSheetId="7" hidden="1">#REF!</definedName>
    <definedName name="Z_76FBE7E3_5EAD_11D2_8EEF_0008C7BCAF29_.wvu.PrintArea" localSheetId="3" hidden="1">#REF!</definedName>
    <definedName name="Z_76FBE7E3_5EAD_11D2_8EEF_0008C7BCAF29_.wvu.PrintArea" localSheetId="29" hidden="1">#REF!</definedName>
    <definedName name="Z_76FBE7E3_5EAD_11D2_8EEF_0008C7BCAF29_.wvu.PrintArea" hidden="1">#REF!</definedName>
    <definedName name="Z_76FBE7E3_5EAD_11D2_8EEF_0008C7BCAF29_.wvu.PrintTitles" localSheetId="6" hidden="1">#REF!,#REF!</definedName>
    <definedName name="Z_76FBE7E3_5EAD_11D2_8EEF_0008C7BCAF29_.wvu.PrintTitles" localSheetId="7" hidden="1">#REF!,#REF!</definedName>
    <definedName name="Z_76FBE7E3_5EAD_11D2_8EEF_0008C7BCAF29_.wvu.PrintTitles" localSheetId="3" hidden="1">#REF!,#REF!</definedName>
    <definedName name="Z_76FBE7E3_5EAD_11D2_8EEF_0008C7BCAF29_.wvu.PrintTitles" localSheetId="29" hidden="1">#REF!,#REF!</definedName>
    <definedName name="Z_76FBE7E3_5EAD_11D2_8EEF_0008C7BCAF29_.wvu.PrintTitles" hidden="1">#REF!,#REF!</definedName>
    <definedName name="Z_974EFDB0_1051_11D2_8E71_0008C77C0743_.wvu.PrintArea" localSheetId="6" hidden="1">#REF!</definedName>
    <definedName name="Z_974EFDB0_1051_11D2_8E71_0008C77C0743_.wvu.PrintArea" localSheetId="7" hidden="1">#REF!</definedName>
    <definedName name="Z_974EFDB0_1051_11D2_8E71_0008C77C0743_.wvu.PrintArea" localSheetId="3" hidden="1">#REF!</definedName>
    <definedName name="Z_974EFDB0_1051_11D2_8E71_0008C77C0743_.wvu.PrintArea" localSheetId="29" hidden="1">#REF!</definedName>
    <definedName name="Z_974EFDB0_1051_11D2_8E71_0008C77C0743_.wvu.PrintArea" hidden="1">#REF!</definedName>
    <definedName name="Z_974EFDB0_1051_11D2_8E71_0008C77C0743_.wvu.PrintTitles" localSheetId="6" hidden="1">#REF!,#REF!</definedName>
    <definedName name="Z_974EFDB0_1051_11D2_8E71_0008C77C0743_.wvu.PrintTitles" localSheetId="7" hidden="1">#REF!,#REF!</definedName>
    <definedName name="Z_974EFDB0_1051_11D2_8E71_0008C77C0743_.wvu.PrintTitles" localSheetId="3" hidden="1">#REF!,#REF!</definedName>
    <definedName name="Z_974EFDB0_1051_11D2_8E71_0008C77C0743_.wvu.PrintTitles" localSheetId="29" hidden="1">#REF!,#REF!</definedName>
    <definedName name="Z_974EFDB0_1051_11D2_8E71_0008C77C0743_.wvu.PrintTitles" hidden="1">#REF!,#REF!</definedName>
    <definedName name="Z_974EFDB2_1051_11D2_8E71_0008C77C0743_.wvu.PrintArea" localSheetId="6" hidden="1">#REF!</definedName>
    <definedName name="Z_974EFDB2_1051_11D2_8E71_0008C77C0743_.wvu.PrintArea" localSheetId="7" hidden="1">#REF!</definedName>
    <definedName name="Z_974EFDB2_1051_11D2_8E71_0008C77C0743_.wvu.PrintArea" localSheetId="3" hidden="1">#REF!</definedName>
    <definedName name="Z_974EFDB2_1051_11D2_8E71_0008C77C0743_.wvu.PrintArea" localSheetId="29" hidden="1">#REF!</definedName>
    <definedName name="Z_974EFDB2_1051_11D2_8E71_0008C77C0743_.wvu.PrintArea" hidden="1">#REF!</definedName>
    <definedName name="Z_974EFDB2_1051_11D2_8E71_0008C77C0743_.wvu.PrintTitles" localSheetId="6" hidden="1">#REF!</definedName>
    <definedName name="Z_974EFDB2_1051_11D2_8E71_0008C77C0743_.wvu.PrintTitles" localSheetId="7" hidden="1">#REF!</definedName>
    <definedName name="Z_974EFDB2_1051_11D2_8E71_0008C77C0743_.wvu.PrintTitles" localSheetId="3" hidden="1">#REF!</definedName>
    <definedName name="Z_974EFDB2_1051_11D2_8E71_0008C77C0743_.wvu.PrintTitles" localSheetId="29" hidden="1">#REF!</definedName>
    <definedName name="Z_974EFDB2_1051_11D2_8E71_0008C77C0743_.wvu.PrintTitles" hidden="1">#REF!</definedName>
    <definedName name="Z_974EFDB5_1051_11D2_8E71_0008C77C0743_.wvu.PrintArea" localSheetId="6" hidden="1">#REF!</definedName>
    <definedName name="Z_974EFDB5_1051_11D2_8E71_0008C77C0743_.wvu.PrintArea" localSheetId="7" hidden="1">#REF!</definedName>
    <definedName name="Z_974EFDB5_1051_11D2_8E71_0008C77C0743_.wvu.PrintArea" localSheetId="3" hidden="1">#REF!</definedName>
    <definedName name="Z_974EFDB5_1051_11D2_8E71_0008C77C0743_.wvu.PrintArea" localSheetId="29" hidden="1">#REF!</definedName>
    <definedName name="Z_974EFDB5_1051_11D2_8E71_0008C77C0743_.wvu.PrintArea" hidden="1">#REF!</definedName>
    <definedName name="Z_974EFDB5_1051_11D2_8E71_0008C77C0743_.wvu.PrintTitles" localSheetId="6" hidden="1">#REF!,#REF!</definedName>
    <definedName name="Z_974EFDB5_1051_11D2_8E71_0008C77C0743_.wvu.PrintTitles" localSheetId="7" hidden="1">#REF!,#REF!</definedName>
    <definedName name="Z_974EFDB5_1051_11D2_8E71_0008C77C0743_.wvu.PrintTitles" localSheetId="3" hidden="1">#REF!,#REF!</definedName>
    <definedName name="Z_974EFDB5_1051_11D2_8E71_0008C77C0743_.wvu.PrintTitles" localSheetId="29" hidden="1">#REF!,#REF!</definedName>
    <definedName name="Z_974EFDB5_1051_11D2_8E71_0008C77C0743_.wvu.PrintTitles" hidden="1">#REF!,#REF!</definedName>
    <definedName name="Z_974EFDB7_1051_11D2_8E71_0008C77C0743_.wvu.PrintArea" localSheetId="6" hidden="1">#REF!</definedName>
    <definedName name="Z_974EFDB7_1051_11D2_8E71_0008C77C0743_.wvu.PrintArea" localSheetId="7" hidden="1">#REF!</definedName>
    <definedName name="Z_974EFDB7_1051_11D2_8E71_0008C77C0743_.wvu.PrintArea" localSheetId="3" hidden="1">#REF!</definedName>
    <definedName name="Z_974EFDB7_1051_11D2_8E71_0008C77C0743_.wvu.PrintArea" localSheetId="29" hidden="1">#REF!</definedName>
    <definedName name="Z_974EFDB7_1051_11D2_8E71_0008C77C0743_.wvu.PrintArea" hidden="1">#REF!</definedName>
    <definedName name="Z_974EFDB7_1051_11D2_8E71_0008C77C0743_.wvu.PrintTitles" localSheetId="6" hidden="1">#REF!,#REF!</definedName>
    <definedName name="Z_974EFDB7_1051_11D2_8E71_0008C77C0743_.wvu.PrintTitles" localSheetId="7" hidden="1">#REF!,#REF!</definedName>
    <definedName name="Z_974EFDB7_1051_11D2_8E71_0008C77C0743_.wvu.PrintTitles" localSheetId="3" hidden="1">#REF!,#REF!</definedName>
    <definedName name="Z_974EFDB7_1051_11D2_8E71_0008C77C0743_.wvu.PrintTitles" localSheetId="29" hidden="1">#REF!,#REF!</definedName>
    <definedName name="Z_974EFDB7_1051_11D2_8E71_0008C77C0743_.wvu.PrintTitles" hidden="1">#REF!,#REF!</definedName>
    <definedName name="Z_974EFDB9_1051_11D2_8E71_0008C77C0743_.wvu.PrintArea" localSheetId="6" hidden="1">#REF!</definedName>
    <definedName name="Z_974EFDB9_1051_11D2_8E71_0008C77C0743_.wvu.PrintArea" localSheetId="7" hidden="1">#REF!</definedName>
    <definedName name="Z_974EFDB9_1051_11D2_8E71_0008C77C0743_.wvu.PrintArea" localSheetId="3" hidden="1">#REF!</definedName>
    <definedName name="Z_974EFDB9_1051_11D2_8E71_0008C77C0743_.wvu.PrintArea" localSheetId="29" hidden="1">#REF!</definedName>
    <definedName name="Z_974EFDB9_1051_11D2_8E71_0008C77C0743_.wvu.PrintArea" hidden="1">#REF!</definedName>
    <definedName name="Z_974EFDB9_1051_11D2_8E71_0008C77C0743_.wvu.PrintTitles" localSheetId="6" hidden="1">#REF!</definedName>
    <definedName name="Z_974EFDB9_1051_11D2_8E71_0008C77C0743_.wvu.PrintTitles" localSheetId="7" hidden="1">#REF!</definedName>
    <definedName name="Z_974EFDB9_1051_11D2_8E71_0008C77C0743_.wvu.PrintTitles" localSheetId="3" hidden="1">#REF!</definedName>
    <definedName name="Z_974EFDB9_1051_11D2_8E71_0008C77C0743_.wvu.PrintTitles" localSheetId="29" hidden="1">#REF!</definedName>
    <definedName name="Z_974EFDB9_1051_11D2_8E71_0008C77C0743_.wvu.PrintTitles" hidden="1">#REF!</definedName>
    <definedName name="Z_974EFDBC_1051_11D2_8E71_0008C77C0743_.wvu.PrintArea" localSheetId="6" hidden="1">#REF!</definedName>
    <definedName name="Z_974EFDBC_1051_11D2_8E71_0008C77C0743_.wvu.PrintArea" localSheetId="7" hidden="1">#REF!</definedName>
    <definedName name="Z_974EFDBC_1051_11D2_8E71_0008C77C0743_.wvu.PrintArea" localSheetId="3" hidden="1">#REF!</definedName>
    <definedName name="Z_974EFDBC_1051_11D2_8E71_0008C77C0743_.wvu.PrintArea" localSheetId="29" hidden="1">#REF!</definedName>
    <definedName name="Z_974EFDBC_1051_11D2_8E71_0008C77C0743_.wvu.PrintArea" hidden="1">#REF!</definedName>
    <definedName name="Z_974EFDBC_1051_11D2_8E71_0008C77C0743_.wvu.PrintTitles" localSheetId="6" hidden="1">#REF!,#REF!</definedName>
    <definedName name="Z_974EFDBC_1051_11D2_8E71_0008C77C0743_.wvu.PrintTitles" localSheetId="7" hidden="1">#REF!,#REF!</definedName>
    <definedName name="Z_974EFDBC_1051_11D2_8E71_0008C77C0743_.wvu.PrintTitles" localSheetId="3" hidden="1">#REF!,#REF!</definedName>
    <definedName name="Z_974EFDBC_1051_11D2_8E71_0008C77C0743_.wvu.PrintTitles" localSheetId="29" hidden="1">#REF!,#REF!</definedName>
    <definedName name="Z_974EFDBC_1051_11D2_8E71_0008C77C0743_.wvu.PrintTitles" hidden="1">#REF!,#REF!</definedName>
    <definedName name="Z_974EFDBE_1051_11D2_8E71_0008C77C0743_.wvu.PrintArea" localSheetId="6" hidden="1">#REF!</definedName>
    <definedName name="Z_974EFDBE_1051_11D2_8E71_0008C77C0743_.wvu.PrintArea" localSheetId="7" hidden="1">#REF!</definedName>
    <definedName name="Z_974EFDBE_1051_11D2_8E71_0008C77C0743_.wvu.PrintArea" localSheetId="3" hidden="1">#REF!</definedName>
    <definedName name="Z_974EFDBE_1051_11D2_8E71_0008C77C0743_.wvu.PrintArea" localSheetId="29" hidden="1">#REF!</definedName>
    <definedName name="Z_974EFDBE_1051_11D2_8E71_0008C77C0743_.wvu.PrintArea" hidden="1">#REF!</definedName>
    <definedName name="Z_974EFDBE_1051_11D2_8E71_0008C77C0743_.wvu.PrintTitles" localSheetId="6" hidden="1">#REF!,#REF!</definedName>
    <definedName name="Z_974EFDBE_1051_11D2_8E71_0008C77C0743_.wvu.PrintTitles" localSheetId="7" hidden="1">#REF!,#REF!</definedName>
    <definedName name="Z_974EFDBE_1051_11D2_8E71_0008C77C0743_.wvu.PrintTitles" localSheetId="3" hidden="1">#REF!,#REF!</definedName>
    <definedName name="Z_974EFDBE_1051_11D2_8E71_0008C77C0743_.wvu.PrintTitles" localSheetId="29" hidden="1">#REF!,#REF!</definedName>
    <definedName name="Z_974EFDBE_1051_11D2_8E71_0008C77C0743_.wvu.PrintTitles" hidden="1">#REF!,#REF!</definedName>
    <definedName name="Z_A1DB4122_5E0E_11D2_8EC3_0008C77C0743_.wvu.PrintArea" localSheetId="6" hidden="1">#REF!</definedName>
    <definedName name="Z_A1DB4122_5E0E_11D2_8EC3_0008C77C0743_.wvu.PrintArea" localSheetId="7" hidden="1">#REF!</definedName>
    <definedName name="Z_A1DB4122_5E0E_11D2_8EC3_0008C77C0743_.wvu.PrintArea" localSheetId="3" hidden="1">#REF!</definedName>
    <definedName name="Z_A1DB4122_5E0E_11D2_8EC3_0008C77C0743_.wvu.PrintArea" localSheetId="29" hidden="1">#REF!</definedName>
    <definedName name="Z_A1DB4122_5E0E_11D2_8EC3_0008C77C0743_.wvu.PrintArea" hidden="1">#REF!</definedName>
    <definedName name="Z_A1DB4122_5E0E_11D2_8EC3_0008C77C0743_.wvu.PrintTitles" localSheetId="6" hidden="1">#REF!</definedName>
    <definedName name="Z_A1DB4122_5E0E_11D2_8EC3_0008C77C0743_.wvu.PrintTitles" localSheetId="7" hidden="1">#REF!</definedName>
    <definedName name="Z_A1DB4122_5E0E_11D2_8EC3_0008C77C0743_.wvu.PrintTitles" localSheetId="3" hidden="1">#REF!</definedName>
    <definedName name="Z_A1DB4122_5E0E_11D2_8EC3_0008C77C0743_.wvu.PrintTitles" localSheetId="29" hidden="1">#REF!</definedName>
    <definedName name="Z_A1DB4122_5E0E_11D2_8EC3_0008C77C0743_.wvu.PrintTitles" hidden="1">#REF!</definedName>
    <definedName name="Z_A1DB4131_5E0E_11D2_8EC3_0008C77C0743_.wvu.PrintArea" localSheetId="6" hidden="1">#REF!</definedName>
    <definedName name="Z_A1DB4131_5E0E_11D2_8EC3_0008C77C0743_.wvu.PrintArea" localSheetId="7" hidden="1">#REF!</definedName>
    <definedName name="Z_A1DB4131_5E0E_11D2_8EC3_0008C77C0743_.wvu.PrintArea" localSheetId="3" hidden="1">#REF!</definedName>
    <definedName name="Z_A1DB4131_5E0E_11D2_8EC3_0008C77C0743_.wvu.PrintArea" localSheetId="29" hidden="1">#REF!</definedName>
    <definedName name="Z_A1DB4131_5E0E_11D2_8EC3_0008C77C0743_.wvu.PrintArea" hidden="1">#REF!</definedName>
    <definedName name="Z_A1DB4131_5E0E_11D2_8EC3_0008C77C0743_.wvu.PrintTitles" localSheetId="3" hidden="1">#REF!</definedName>
    <definedName name="Z_A1DB4131_5E0E_11D2_8EC3_0008C77C0743_.wvu.PrintTitles" hidden="1">#REF!</definedName>
    <definedName name="Z_A1DB413E_5E0E_11D2_8EC3_0008C77C0743_.wvu.PrintArea" localSheetId="3" hidden="1">#REF!</definedName>
    <definedName name="Z_A1DB413E_5E0E_11D2_8EC3_0008C77C0743_.wvu.PrintArea" hidden="1">#REF!</definedName>
    <definedName name="Z_A1DB413E_5E0E_11D2_8EC3_0008C77C0743_.wvu.PrintTitles" localSheetId="6" hidden="1">#REF!,#REF!</definedName>
    <definedName name="Z_A1DB413E_5E0E_11D2_8EC3_0008C77C0743_.wvu.PrintTitles" localSheetId="7" hidden="1">#REF!,#REF!</definedName>
    <definedName name="Z_A1DB413E_5E0E_11D2_8EC3_0008C77C0743_.wvu.PrintTitles" localSheetId="3" hidden="1">#REF!,#REF!</definedName>
    <definedName name="Z_A1DB413E_5E0E_11D2_8EC3_0008C77C0743_.wvu.PrintTitles" localSheetId="29" hidden="1">#REF!,#REF!</definedName>
    <definedName name="Z_A1DB413E_5E0E_11D2_8EC3_0008C77C0743_.wvu.PrintTitles" hidden="1">#REF!,#REF!</definedName>
    <definedName name="Z_A1DB414B_5E0E_11D2_8EC3_0008C77C0743_.wvu.PrintArea" localSheetId="6" hidden="1">#REF!</definedName>
    <definedName name="Z_A1DB414B_5E0E_11D2_8EC3_0008C77C0743_.wvu.PrintArea" localSheetId="7" hidden="1">#REF!</definedName>
    <definedName name="Z_A1DB414B_5E0E_11D2_8EC3_0008C77C0743_.wvu.PrintArea" localSheetId="3" hidden="1">#REF!</definedName>
    <definedName name="Z_A1DB414B_5E0E_11D2_8EC3_0008C77C0743_.wvu.PrintArea" localSheetId="29" hidden="1">#REF!</definedName>
    <definedName name="Z_A1DB414B_5E0E_11D2_8EC3_0008C77C0743_.wvu.PrintArea" hidden="1">#REF!</definedName>
    <definedName name="Z_A1DB414B_5E0E_11D2_8EC3_0008C77C0743_.wvu.PrintTitles" localSheetId="6" hidden="1">#REF!</definedName>
    <definedName name="Z_A1DB414B_5E0E_11D2_8EC3_0008C77C0743_.wvu.PrintTitles" localSheetId="7" hidden="1">#REF!</definedName>
    <definedName name="Z_A1DB414B_5E0E_11D2_8EC3_0008C77C0743_.wvu.PrintTitles" localSheetId="3" hidden="1">#REF!</definedName>
    <definedName name="Z_A1DB414B_5E0E_11D2_8EC3_0008C77C0743_.wvu.PrintTitles" localSheetId="29" hidden="1">#REF!</definedName>
    <definedName name="Z_A1DB414B_5E0E_11D2_8EC3_0008C77C0743_.wvu.PrintTitles" hidden="1">#REF!</definedName>
    <definedName name="Z_A1DB415A_5E0E_11D2_8EC3_0008C77C0743_.wvu.PrintArea" localSheetId="6" hidden="1">#REF!</definedName>
    <definedName name="Z_A1DB415A_5E0E_11D2_8EC3_0008C77C0743_.wvu.PrintArea" localSheetId="7" hidden="1">#REF!</definedName>
    <definedName name="Z_A1DB415A_5E0E_11D2_8EC3_0008C77C0743_.wvu.PrintArea" localSheetId="3" hidden="1">#REF!</definedName>
    <definedName name="Z_A1DB415A_5E0E_11D2_8EC3_0008C77C0743_.wvu.PrintArea" localSheetId="29" hidden="1">#REF!</definedName>
    <definedName name="Z_A1DB415A_5E0E_11D2_8EC3_0008C77C0743_.wvu.PrintArea" hidden="1">#REF!</definedName>
    <definedName name="Z_A1DB415A_5E0E_11D2_8EC3_0008C77C0743_.wvu.PrintTitles" localSheetId="3" hidden="1">#REF!</definedName>
    <definedName name="Z_A1DB415A_5E0E_11D2_8EC3_0008C77C0743_.wvu.PrintTitles" hidden="1">#REF!</definedName>
    <definedName name="Z_A1DB4167_5E0E_11D2_8EC3_0008C77C0743_.wvu.PrintArea" localSheetId="3" hidden="1">#REF!</definedName>
    <definedName name="Z_A1DB4167_5E0E_11D2_8EC3_0008C77C0743_.wvu.PrintArea" hidden="1">#REF!</definedName>
    <definedName name="Z_A1DB4167_5E0E_11D2_8EC3_0008C77C0743_.wvu.PrintTitles" localSheetId="6" hidden="1">#REF!,#REF!</definedName>
    <definedName name="Z_A1DB4167_5E0E_11D2_8EC3_0008C77C0743_.wvu.PrintTitles" localSheetId="7" hidden="1">#REF!,#REF!</definedName>
    <definedName name="Z_A1DB4167_5E0E_11D2_8EC3_0008C77C0743_.wvu.PrintTitles" localSheetId="3" hidden="1">#REF!,#REF!</definedName>
    <definedName name="Z_A1DB4167_5E0E_11D2_8EC3_0008C77C0743_.wvu.PrintTitles" localSheetId="29" hidden="1">#REF!,#REF!</definedName>
    <definedName name="Z_A1DB4167_5E0E_11D2_8EC3_0008C77C0743_.wvu.PrintTitles" hidden="1">#REF!,#REF!</definedName>
    <definedName name="Z_A1DB4176_5E0E_11D2_8EC3_0008C77C0743_.wvu.PrintArea" localSheetId="6" hidden="1">#REF!</definedName>
    <definedName name="Z_A1DB4176_5E0E_11D2_8EC3_0008C77C0743_.wvu.PrintArea" localSheetId="7" hidden="1">#REF!</definedName>
    <definedName name="Z_A1DB4176_5E0E_11D2_8EC3_0008C77C0743_.wvu.PrintArea" localSheetId="3" hidden="1">#REF!</definedName>
    <definedName name="Z_A1DB4176_5E0E_11D2_8EC3_0008C77C0743_.wvu.PrintArea" localSheetId="29" hidden="1">#REF!</definedName>
    <definedName name="Z_A1DB4176_5E0E_11D2_8EC3_0008C77C0743_.wvu.PrintArea" hidden="1">#REF!</definedName>
    <definedName name="Z_A1DB4176_5E0E_11D2_8EC3_0008C77C0743_.wvu.PrintTitles" localSheetId="6" hidden="1">#REF!</definedName>
    <definedName name="Z_A1DB4176_5E0E_11D2_8EC3_0008C77C0743_.wvu.PrintTitles" localSheetId="7" hidden="1">#REF!</definedName>
    <definedName name="Z_A1DB4176_5E0E_11D2_8EC3_0008C77C0743_.wvu.PrintTitles" localSheetId="3" hidden="1">#REF!</definedName>
    <definedName name="Z_A1DB4176_5E0E_11D2_8EC3_0008C77C0743_.wvu.PrintTitles" localSheetId="29" hidden="1">#REF!</definedName>
    <definedName name="Z_A1DB4176_5E0E_11D2_8EC3_0008C77C0743_.wvu.PrintTitles" hidden="1">#REF!</definedName>
    <definedName name="Z_A1DB4185_5E0E_11D2_8EC3_0008C77C0743_.wvu.PrintArea" localSheetId="6" hidden="1">#REF!</definedName>
    <definedName name="Z_A1DB4185_5E0E_11D2_8EC3_0008C77C0743_.wvu.PrintArea" localSheetId="7" hidden="1">#REF!</definedName>
    <definedName name="Z_A1DB4185_5E0E_11D2_8EC3_0008C77C0743_.wvu.PrintArea" localSheetId="3" hidden="1">#REF!</definedName>
    <definedName name="Z_A1DB4185_5E0E_11D2_8EC3_0008C77C0743_.wvu.PrintArea" localSheetId="29" hidden="1">#REF!</definedName>
    <definedName name="Z_A1DB4185_5E0E_11D2_8EC3_0008C77C0743_.wvu.PrintArea" hidden="1">#REF!</definedName>
    <definedName name="Z_A1DB4185_5E0E_11D2_8EC3_0008C77C0743_.wvu.PrintTitles" localSheetId="3" hidden="1">#REF!</definedName>
    <definedName name="Z_A1DB4185_5E0E_11D2_8EC3_0008C77C0743_.wvu.PrintTitles" hidden="1">#REF!</definedName>
    <definedName name="Z_A1DB4192_5E0E_11D2_8EC3_0008C77C0743_.wvu.PrintArea" localSheetId="3" hidden="1">#REF!</definedName>
    <definedName name="Z_A1DB4192_5E0E_11D2_8EC3_0008C77C0743_.wvu.PrintArea" hidden="1">#REF!</definedName>
    <definedName name="Z_A1DB4192_5E0E_11D2_8EC3_0008C77C0743_.wvu.PrintTitles" localSheetId="6" hidden="1">#REF!,#REF!</definedName>
    <definedName name="Z_A1DB4192_5E0E_11D2_8EC3_0008C77C0743_.wvu.PrintTitles" localSheetId="7" hidden="1">#REF!,#REF!</definedName>
    <definedName name="Z_A1DB4192_5E0E_11D2_8EC3_0008C77C0743_.wvu.PrintTitles" localSheetId="3" hidden="1">#REF!,#REF!</definedName>
    <definedName name="Z_A1DB4192_5E0E_11D2_8EC3_0008C77C0743_.wvu.PrintTitles" localSheetId="29" hidden="1">#REF!,#REF!</definedName>
    <definedName name="Z_A1DB4192_5E0E_11D2_8EC3_0008C77C0743_.wvu.PrintTitles" hidden="1">#REF!,#REF!</definedName>
    <definedName name="Z_A1DB41A0_5E0E_11D2_8EC3_0008C77C0743_.wvu.PrintArea" localSheetId="6" hidden="1">#REF!</definedName>
    <definedName name="Z_A1DB41A0_5E0E_11D2_8EC3_0008C77C0743_.wvu.PrintArea" localSheetId="7" hidden="1">#REF!</definedName>
    <definedName name="Z_A1DB41A0_5E0E_11D2_8EC3_0008C77C0743_.wvu.PrintArea" localSheetId="3" hidden="1">#REF!</definedName>
    <definedName name="Z_A1DB41A0_5E0E_11D2_8EC3_0008C77C0743_.wvu.PrintArea" localSheetId="29" hidden="1">#REF!</definedName>
    <definedName name="Z_A1DB41A0_5E0E_11D2_8EC3_0008C77C0743_.wvu.PrintArea" hidden="1">#REF!</definedName>
    <definedName name="Z_A1DB41A0_5E0E_11D2_8EC3_0008C77C0743_.wvu.PrintTitles" localSheetId="6" hidden="1">#REF!</definedName>
    <definedName name="Z_A1DB41A0_5E0E_11D2_8EC3_0008C77C0743_.wvu.PrintTitles" localSheetId="7" hidden="1">#REF!</definedName>
    <definedName name="Z_A1DB41A0_5E0E_11D2_8EC3_0008C77C0743_.wvu.PrintTitles" localSheetId="3" hidden="1">#REF!</definedName>
    <definedName name="Z_A1DB41A0_5E0E_11D2_8EC3_0008C77C0743_.wvu.PrintTitles" localSheetId="29" hidden="1">#REF!</definedName>
    <definedName name="Z_A1DB41A0_5E0E_11D2_8EC3_0008C77C0743_.wvu.PrintTitles" hidden="1">#REF!</definedName>
    <definedName name="Z_A1DB41AF_5E0E_11D2_8EC3_0008C77C0743_.wvu.PrintArea" localSheetId="6" hidden="1">#REF!</definedName>
    <definedName name="Z_A1DB41AF_5E0E_11D2_8EC3_0008C77C0743_.wvu.PrintArea" localSheetId="7" hidden="1">#REF!</definedName>
    <definedName name="Z_A1DB41AF_5E0E_11D2_8EC3_0008C77C0743_.wvu.PrintArea" localSheetId="3" hidden="1">#REF!</definedName>
    <definedName name="Z_A1DB41AF_5E0E_11D2_8EC3_0008C77C0743_.wvu.PrintArea" localSheetId="29" hidden="1">#REF!</definedName>
    <definedName name="Z_A1DB41AF_5E0E_11D2_8EC3_0008C77C0743_.wvu.PrintArea" hidden="1">#REF!</definedName>
    <definedName name="Z_A1DB41AF_5E0E_11D2_8EC3_0008C77C0743_.wvu.PrintTitles" localSheetId="3" hidden="1">#REF!</definedName>
    <definedName name="Z_A1DB41AF_5E0E_11D2_8EC3_0008C77C0743_.wvu.PrintTitles" hidden="1">#REF!</definedName>
    <definedName name="Z_A1DB41BC_5E0E_11D2_8EC3_0008C77C0743_.wvu.PrintArea" localSheetId="3" hidden="1">#REF!</definedName>
    <definedName name="Z_A1DB41BC_5E0E_11D2_8EC3_0008C77C0743_.wvu.PrintArea" hidden="1">#REF!</definedName>
    <definedName name="Z_A1DB41BC_5E0E_11D2_8EC3_0008C77C0743_.wvu.PrintTitles" localSheetId="6" hidden="1">#REF!,#REF!</definedName>
    <definedName name="Z_A1DB41BC_5E0E_11D2_8EC3_0008C77C0743_.wvu.PrintTitles" localSheetId="7" hidden="1">#REF!,#REF!</definedName>
    <definedName name="Z_A1DB41BC_5E0E_11D2_8EC3_0008C77C0743_.wvu.PrintTitles" localSheetId="3" hidden="1">#REF!,#REF!</definedName>
    <definedName name="Z_A1DB41BC_5E0E_11D2_8EC3_0008C77C0743_.wvu.PrintTitles" localSheetId="29" hidden="1">#REF!,#REF!</definedName>
    <definedName name="Z_A1DB41BC_5E0E_11D2_8EC3_0008C77C0743_.wvu.PrintTitles" hidden="1">#REF!,#REF!</definedName>
    <definedName name="Z_B6FCCF30_1696_11D2_8E91_0008C77C21AF_.wvu.PrintArea" localSheetId="6" hidden="1">#REF!</definedName>
    <definedName name="Z_B6FCCF30_1696_11D2_8E91_0008C77C21AF_.wvu.PrintArea" localSheetId="7" hidden="1">#REF!</definedName>
    <definedName name="Z_B6FCCF30_1696_11D2_8E91_0008C77C21AF_.wvu.PrintArea" localSheetId="3" hidden="1">#REF!</definedName>
    <definedName name="Z_B6FCCF30_1696_11D2_8E91_0008C77C21AF_.wvu.PrintArea" localSheetId="29" hidden="1">#REF!</definedName>
    <definedName name="Z_B6FCCF30_1696_11D2_8E91_0008C77C21AF_.wvu.PrintArea" hidden="1">#REF!</definedName>
    <definedName name="Z_B6FCCF30_1696_11D2_8E91_0008C77C21AF_.wvu.PrintTitles" localSheetId="6" hidden="1">#REF!,#REF!</definedName>
    <definedName name="Z_B6FCCF30_1696_11D2_8E91_0008C77C21AF_.wvu.PrintTitles" localSheetId="7" hidden="1">#REF!,#REF!</definedName>
    <definedName name="Z_B6FCCF30_1696_11D2_8E91_0008C77C21AF_.wvu.PrintTitles" localSheetId="3" hidden="1">#REF!,#REF!</definedName>
    <definedName name="Z_B6FCCF30_1696_11D2_8E91_0008C77C21AF_.wvu.PrintTitles" localSheetId="29" hidden="1">#REF!,#REF!</definedName>
    <definedName name="Z_B6FCCF30_1696_11D2_8E91_0008C77C21AF_.wvu.PrintTitles" hidden="1">#REF!,#REF!</definedName>
    <definedName name="Z_B6FCCF32_1696_11D2_8E91_0008C77C21AF_.wvu.PrintArea" localSheetId="6" hidden="1">#REF!</definedName>
    <definedName name="Z_B6FCCF32_1696_11D2_8E91_0008C77C21AF_.wvu.PrintArea" localSheetId="7" hidden="1">#REF!</definedName>
    <definedName name="Z_B6FCCF32_1696_11D2_8E91_0008C77C21AF_.wvu.PrintArea" localSheetId="3" hidden="1">#REF!</definedName>
    <definedName name="Z_B6FCCF32_1696_11D2_8E91_0008C77C21AF_.wvu.PrintArea" localSheetId="29" hidden="1">#REF!</definedName>
    <definedName name="Z_B6FCCF32_1696_11D2_8E91_0008C77C21AF_.wvu.PrintArea" hidden="1">#REF!</definedName>
    <definedName name="Z_B6FCCF32_1696_11D2_8E91_0008C77C21AF_.wvu.PrintTitles" localSheetId="6" hidden="1">#REF!</definedName>
    <definedName name="Z_B6FCCF32_1696_11D2_8E91_0008C77C21AF_.wvu.PrintTitles" localSheetId="7" hidden="1">#REF!</definedName>
    <definedName name="Z_B6FCCF32_1696_11D2_8E91_0008C77C21AF_.wvu.PrintTitles" localSheetId="3" hidden="1">#REF!</definedName>
    <definedName name="Z_B6FCCF32_1696_11D2_8E91_0008C77C21AF_.wvu.PrintTitles" localSheetId="29" hidden="1">#REF!</definedName>
    <definedName name="Z_B6FCCF32_1696_11D2_8E91_0008C77C21AF_.wvu.PrintTitles" hidden="1">#REF!</definedName>
    <definedName name="Z_B6FCCF35_1696_11D2_8E91_0008C77C21AF_.wvu.PrintArea" localSheetId="6" hidden="1">#REF!</definedName>
    <definedName name="Z_B6FCCF35_1696_11D2_8E91_0008C77C21AF_.wvu.PrintArea" localSheetId="7" hidden="1">#REF!</definedName>
    <definedName name="Z_B6FCCF35_1696_11D2_8E91_0008C77C21AF_.wvu.PrintArea" localSheetId="3" hidden="1">#REF!</definedName>
    <definedName name="Z_B6FCCF35_1696_11D2_8E91_0008C77C21AF_.wvu.PrintArea" localSheetId="29" hidden="1">#REF!</definedName>
    <definedName name="Z_B6FCCF35_1696_11D2_8E91_0008C77C21AF_.wvu.PrintArea" hidden="1">#REF!</definedName>
    <definedName name="Z_B6FCCF35_1696_11D2_8E91_0008C77C21AF_.wvu.PrintTitles" localSheetId="6" hidden="1">#REF!,#REF!</definedName>
    <definedName name="Z_B6FCCF35_1696_11D2_8E91_0008C77C21AF_.wvu.PrintTitles" localSheetId="7" hidden="1">#REF!,#REF!</definedName>
    <definedName name="Z_B6FCCF35_1696_11D2_8E91_0008C77C21AF_.wvu.PrintTitles" localSheetId="3" hidden="1">#REF!,#REF!</definedName>
    <definedName name="Z_B6FCCF35_1696_11D2_8E91_0008C77C21AF_.wvu.PrintTitles" localSheetId="29" hidden="1">#REF!,#REF!</definedName>
    <definedName name="Z_B6FCCF35_1696_11D2_8E91_0008C77C21AF_.wvu.PrintTitles" hidden="1">#REF!,#REF!</definedName>
    <definedName name="Z_B6FCCF37_1696_11D2_8E91_0008C77C21AF_.wvu.PrintArea" localSheetId="6" hidden="1">#REF!</definedName>
    <definedName name="Z_B6FCCF37_1696_11D2_8E91_0008C77C21AF_.wvu.PrintArea" localSheetId="7" hidden="1">#REF!</definedName>
    <definedName name="Z_B6FCCF37_1696_11D2_8E91_0008C77C21AF_.wvu.PrintArea" localSheetId="3" hidden="1">#REF!</definedName>
    <definedName name="Z_B6FCCF37_1696_11D2_8E91_0008C77C21AF_.wvu.PrintArea" localSheetId="29" hidden="1">#REF!</definedName>
    <definedName name="Z_B6FCCF37_1696_11D2_8E91_0008C77C21AF_.wvu.PrintArea" hidden="1">#REF!</definedName>
    <definedName name="Z_B6FCCF37_1696_11D2_8E91_0008C77C21AF_.wvu.PrintTitles" localSheetId="6" hidden="1">#REF!,#REF!</definedName>
    <definedName name="Z_B6FCCF37_1696_11D2_8E91_0008C77C21AF_.wvu.PrintTitles" localSheetId="7" hidden="1">#REF!,#REF!</definedName>
    <definedName name="Z_B6FCCF37_1696_11D2_8E91_0008C77C21AF_.wvu.PrintTitles" localSheetId="3" hidden="1">#REF!,#REF!</definedName>
    <definedName name="Z_B6FCCF37_1696_11D2_8E91_0008C77C21AF_.wvu.PrintTitles" localSheetId="29" hidden="1">#REF!,#REF!</definedName>
    <definedName name="Z_B6FCCF37_1696_11D2_8E91_0008C77C21AF_.wvu.PrintTitles" hidden="1">#REF!,#REF!</definedName>
    <definedName name="Z_B6FCCF39_1696_11D2_8E91_0008C77C21AF_.wvu.PrintArea" localSheetId="6" hidden="1">#REF!</definedName>
    <definedName name="Z_B6FCCF39_1696_11D2_8E91_0008C77C21AF_.wvu.PrintArea" localSheetId="7" hidden="1">#REF!</definedName>
    <definedName name="Z_B6FCCF39_1696_11D2_8E91_0008C77C21AF_.wvu.PrintArea" localSheetId="3" hidden="1">#REF!</definedName>
    <definedName name="Z_B6FCCF39_1696_11D2_8E91_0008C77C21AF_.wvu.PrintArea" localSheetId="29" hidden="1">#REF!</definedName>
    <definedName name="Z_B6FCCF39_1696_11D2_8E91_0008C77C21AF_.wvu.PrintArea" hidden="1">#REF!</definedName>
    <definedName name="Z_B6FCCF39_1696_11D2_8E91_0008C77C21AF_.wvu.PrintTitles" localSheetId="6" hidden="1">#REF!</definedName>
    <definedName name="Z_B6FCCF39_1696_11D2_8E91_0008C77C21AF_.wvu.PrintTitles" localSheetId="7" hidden="1">#REF!</definedName>
    <definedName name="Z_B6FCCF39_1696_11D2_8E91_0008C77C21AF_.wvu.PrintTitles" localSheetId="3" hidden="1">#REF!</definedName>
    <definedName name="Z_B6FCCF39_1696_11D2_8E91_0008C77C21AF_.wvu.PrintTitles" localSheetId="29" hidden="1">#REF!</definedName>
    <definedName name="Z_B6FCCF39_1696_11D2_8E91_0008C77C21AF_.wvu.PrintTitles" hidden="1">#REF!</definedName>
    <definedName name="Z_B6FCCF3C_1696_11D2_8E91_0008C77C21AF_.wvu.PrintArea" localSheetId="6" hidden="1">#REF!</definedName>
    <definedName name="Z_B6FCCF3C_1696_11D2_8E91_0008C77C21AF_.wvu.PrintArea" localSheetId="7" hidden="1">#REF!</definedName>
    <definedName name="Z_B6FCCF3C_1696_11D2_8E91_0008C77C21AF_.wvu.PrintArea" localSheetId="3" hidden="1">#REF!</definedName>
    <definedName name="Z_B6FCCF3C_1696_11D2_8E91_0008C77C21AF_.wvu.PrintArea" localSheetId="29" hidden="1">#REF!</definedName>
    <definedName name="Z_B6FCCF3C_1696_11D2_8E91_0008C77C21AF_.wvu.PrintArea" hidden="1">#REF!</definedName>
    <definedName name="Z_B6FCCF3C_1696_11D2_8E91_0008C77C21AF_.wvu.PrintTitles" localSheetId="6" hidden="1">#REF!,#REF!</definedName>
    <definedName name="Z_B6FCCF3C_1696_11D2_8E91_0008C77C21AF_.wvu.PrintTitles" localSheetId="7" hidden="1">#REF!,#REF!</definedName>
    <definedName name="Z_B6FCCF3C_1696_11D2_8E91_0008C77C21AF_.wvu.PrintTitles" localSheetId="3" hidden="1">#REF!,#REF!</definedName>
    <definedName name="Z_B6FCCF3C_1696_11D2_8E91_0008C77C21AF_.wvu.PrintTitles" localSheetId="29" hidden="1">#REF!,#REF!</definedName>
    <definedName name="Z_B6FCCF3C_1696_11D2_8E91_0008C77C21AF_.wvu.PrintTitles" hidden="1">#REF!,#REF!</definedName>
    <definedName name="Z_B6FCCF3E_1696_11D2_8E91_0008C77C21AF_.wvu.PrintArea" localSheetId="6" hidden="1">#REF!</definedName>
    <definedName name="Z_B6FCCF3E_1696_11D2_8E91_0008C77C21AF_.wvu.PrintArea" localSheetId="7" hidden="1">#REF!</definedName>
    <definedName name="Z_B6FCCF3E_1696_11D2_8E91_0008C77C21AF_.wvu.PrintArea" localSheetId="3" hidden="1">#REF!</definedName>
    <definedName name="Z_B6FCCF3E_1696_11D2_8E91_0008C77C21AF_.wvu.PrintArea" localSheetId="29" hidden="1">#REF!</definedName>
    <definedName name="Z_B6FCCF3E_1696_11D2_8E91_0008C77C21AF_.wvu.PrintArea" hidden="1">#REF!</definedName>
    <definedName name="Z_B6FCCF3E_1696_11D2_8E91_0008C77C21AF_.wvu.PrintTitles" localSheetId="6" hidden="1">#REF!,#REF!</definedName>
    <definedName name="Z_B6FCCF3E_1696_11D2_8E91_0008C77C21AF_.wvu.PrintTitles" localSheetId="7" hidden="1">#REF!,#REF!</definedName>
    <definedName name="Z_B6FCCF3E_1696_11D2_8E91_0008C77C21AF_.wvu.PrintTitles" localSheetId="3" hidden="1">#REF!,#REF!</definedName>
    <definedName name="Z_B6FCCF3E_1696_11D2_8E91_0008C77C21AF_.wvu.PrintTitles" localSheetId="29" hidden="1">#REF!,#REF!</definedName>
    <definedName name="Z_B6FCCF3E_1696_11D2_8E91_0008C77C21AF_.wvu.PrintTitles" hidden="1">#REF!,#REF!</definedName>
    <definedName name="Z_BDFEE6B6_734C_11D2_8E68_0008C77C0743_.wvu.PrintArea" localSheetId="6" hidden="1">#REF!</definedName>
    <definedName name="Z_BDFEE6B6_734C_11D2_8E68_0008C77C0743_.wvu.PrintArea" localSheetId="7" hidden="1">#REF!</definedName>
    <definedName name="Z_BDFEE6B6_734C_11D2_8E68_0008C77C0743_.wvu.PrintArea" localSheetId="3" hidden="1">#REF!</definedName>
    <definedName name="Z_BDFEE6B6_734C_11D2_8E68_0008C77C0743_.wvu.PrintArea" localSheetId="29" hidden="1">#REF!</definedName>
    <definedName name="Z_BDFEE6B6_734C_11D2_8E68_0008C77C0743_.wvu.PrintArea" hidden="1">#REF!</definedName>
    <definedName name="Z_BDFEE6B6_734C_11D2_8E68_0008C77C0743_.wvu.PrintTitles" localSheetId="6" hidden="1">#REF!,#REF!</definedName>
    <definedName name="Z_BDFEE6B6_734C_11D2_8E68_0008C77C0743_.wvu.PrintTitles" localSheetId="7" hidden="1">#REF!,#REF!</definedName>
    <definedName name="Z_BDFEE6B6_734C_11D2_8E68_0008C77C0743_.wvu.PrintTitles" localSheetId="3" hidden="1">#REF!,#REF!</definedName>
    <definedName name="Z_BDFEE6B6_734C_11D2_8E68_0008C77C0743_.wvu.PrintTitles" localSheetId="29" hidden="1">#REF!,#REF!</definedName>
    <definedName name="Z_BDFEE6B6_734C_11D2_8E68_0008C77C0743_.wvu.PrintTitles" hidden="1">#REF!,#REF!</definedName>
    <definedName name="Z_BDFEE6B9_734C_11D2_8E68_0008C77C0743_.wvu.PrintArea" localSheetId="6" hidden="1">#REF!</definedName>
    <definedName name="Z_BDFEE6B9_734C_11D2_8E68_0008C77C0743_.wvu.PrintArea" localSheetId="7" hidden="1">#REF!</definedName>
    <definedName name="Z_BDFEE6B9_734C_11D2_8E68_0008C77C0743_.wvu.PrintArea" localSheetId="3" hidden="1">#REF!</definedName>
    <definedName name="Z_BDFEE6B9_734C_11D2_8E68_0008C77C0743_.wvu.PrintArea" localSheetId="29" hidden="1">#REF!</definedName>
    <definedName name="Z_BDFEE6B9_734C_11D2_8E68_0008C77C0743_.wvu.PrintArea" hidden="1">#REF!</definedName>
    <definedName name="Z_BDFEE6B9_734C_11D2_8E68_0008C77C0743_.wvu.PrintTitles" localSheetId="6" hidden="1">#REF!,#REF!</definedName>
    <definedName name="Z_BDFEE6B9_734C_11D2_8E68_0008C77C0743_.wvu.PrintTitles" localSheetId="7" hidden="1">#REF!,#REF!</definedName>
    <definedName name="Z_BDFEE6B9_734C_11D2_8E68_0008C77C0743_.wvu.PrintTitles" localSheetId="3" hidden="1">#REF!,#REF!</definedName>
    <definedName name="Z_BDFEE6B9_734C_11D2_8E68_0008C77C0743_.wvu.PrintTitles" localSheetId="29" hidden="1">#REF!,#REF!</definedName>
    <definedName name="Z_BDFEE6B9_734C_11D2_8E68_0008C77C0743_.wvu.PrintTitles" hidden="1">#REF!,#REF!</definedName>
    <definedName name="Z_BDFEE6BB_734C_11D2_8E68_0008C77C0743_.wvu.PrintArea" localSheetId="6" hidden="1">#REF!</definedName>
    <definedName name="Z_BDFEE6BB_734C_11D2_8E68_0008C77C0743_.wvu.PrintArea" localSheetId="7" hidden="1">#REF!</definedName>
    <definedName name="Z_BDFEE6BB_734C_11D2_8E68_0008C77C0743_.wvu.PrintArea" localSheetId="3" hidden="1">#REF!</definedName>
    <definedName name="Z_BDFEE6BB_734C_11D2_8E68_0008C77C0743_.wvu.PrintArea" localSheetId="29" hidden="1">#REF!</definedName>
    <definedName name="Z_BDFEE6BB_734C_11D2_8E68_0008C77C0743_.wvu.PrintArea" hidden="1">#REF!</definedName>
    <definedName name="Z_BDFEE6BB_734C_11D2_8E68_0008C77C0743_.wvu.PrintTitles" localSheetId="6" hidden="1">#REF!,#REF!</definedName>
    <definedName name="Z_BDFEE6BB_734C_11D2_8E68_0008C77C0743_.wvu.PrintTitles" localSheetId="7" hidden="1">#REF!,#REF!</definedName>
    <definedName name="Z_BDFEE6BB_734C_11D2_8E68_0008C77C0743_.wvu.PrintTitles" localSheetId="3" hidden="1">#REF!,#REF!</definedName>
    <definedName name="Z_BDFEE6BB_734C_11D2_8E68_0008C77C0743_.wvu.PrintTitles" localSheetId="29" hidden="1">#REF!,#REF!</definedName>
    <definedName name="Z_BDFEE6BB_734C_11D2_8E68_0008C77C0743_.wvu.PrintTitles" hidden="1">#REF!,#REF!</definedName>
    <definedName name="Z_BDFEE6C1_734C_11D2_8E68_0008C77C0743_.wvu.PrintArea" localSheetId="6" hidden="1">#REF!</definedName>
    <definedName name="Z_BDFEE6C1_734C_11D2_8E68_0008C77C0743_.wvu.PrintArea" localSheetId="7" hidden="1">#REF!</definedName>
    <definedName name="Z_BDFEE6C1_734C_11D2_8E68_0008C77C0743_.wvu.PrintArea" localSheetId="3" hidden="1">#REF!</definedName>
    <definedName name="Z_BDFEE6C1_734C_11D2_8E68_0008C77C0743_.wvu.PrintArea" localSheetId="29" hidden="1">#REF!</definedName>
    <definedName name="Z_BDFEE6C1_734C_11D2_8E68_0008C77C0743_.wvu.PrintArea" hidden="1">#REF!</definedName>
    <definedName name="Z_BDFEE6C1_734C_11D2_8E68_0008C77C0743_.wvu.PrintTitles" localSheetId="6" hidden="1">#REF!</definedName>
    <definedName name="Z_BDFEE6C1_734C_11D2_8E68_0008C77C0743_.wvu.PrintTitles" localSheetId="7" hidden="1">#REF!</definedName>
    <definedName name="Z_BDFEE6C1_734C_11D2_8E68_0008C77C0743_.wvu.PrintTitles" localSheetId="3" hidden="1">#REF!</definedName>
    <definedName name="Z_BDFEE6C1_734C_11D2_8E68_0008C77C0743_.wvu.PrintTitles" localSheetId="29" hidden="1">#REF!</definedName>
    <definedName name="Z_BDFEE6C1_734C_11D2_8E68_0008C77C0743_.wvu.PrintTitles" hidden="1">#REF!</definedName>
    <definedName name="Z_BDFEE6C3_734C_11D2_8E68_0008C77C0743_.wvu.PrintArea" localSheetId="6" hidden="1">#REF!</definedName>
    <definedName name="Z_BDFEE6C3_734C_11D2_8E68_0008C77C0743_.wvu.PrintArea" localSheetId="7" hidden="1">#REF!</definedName>
    <definedName name="Z_BDFEE6C3_734C_11D2_8E68_0008C77C0743_.wvu.PrintArea" localSheetId="3" hidden="1">#REF!</definedName>
    <definedName name="Z_BDFEE6C3_734C_11D2_8E68_0008C77C0743_.wvu.PrintArea" localSheetId="29" hidden="1">#REF!</definedName>
    <definedName name="Z_BDFEE6C3_734C_11D2_8E68_0008C77C0743_.wvu.PrintArea" hidden="1">#REF!</definedName>
    <definedName name="Z_BDFEE6C3_734C_11D2_8E68_0008C77C0743_.wvu.PrintTitles" localSheetId="3" hidden="1">#REF!</definedName>
    <definedName name="Z_BDFEE6C3_734C_11D2_8E68_0008C77C0743_.wvu.PrintTitles" hidden="1">#REF!</definedName>
    <definedName name="Z_BDFEE6C5_734C_11D2_8E68_0008C77C0743_.wvu.PrintArea" localSheetId="3" hidden="1">#REF!</definedName>
    <definedName name="Z_BDFEE6C5_734C_11D2_8E68_0008C77C0743_.wvu.PrintArea" hidden="1">#REF!</definedName>
    <definedName name="Z_BDFEE6C5_734C_11D2_8E68_0008C77C0743_.wvu.PrintTitles" localSheetId="3" hidden="1">#REF!</definedName>
    <definedName name="Z_BDFEE6C5_734C_11D2_8E68_0008C77C0743_.wvu.PrintTitles" hidden="1">#REF!</definedName>
    <definedName name="Z_BDFEE6CE_734C_11D2_8E68_0008C77C0743_.wvu.PrintArea" localSheetId="3" hidden="1">#REF!</definedName>
    <definedName name="Z_BDFEE6CE_734C_11D2_8E68_0008C77C0743_.wvu.PrintArea" hidden="1">#REF!</definedName>
    <definedName name="Z_BDFEE6CE_734C_11D2_8E68_0008C77C0743_.wvu.PrintTitles" localSheetId="6" hidden="1">#REF!,#REF!</definedName>
    <definedName name="Z_BDFEE6CE_734C_11D2_8E68_0008C77C0743_.wvu.PrintTitles" localSheetId="7" hidden="1">#REF!,#REF!</definedName>
    <definedName name="Z_BDFEE6CE_734C_11D2_8E68_0008C77C0743_.wvu.PrintTitles" localSheetId="3" hidden="1">#REF!,#REF!</definedName>
    <definedName name="Z_BDFEE6CE_734C_11D2_8E68_0008C77C0743_.wvu.PrintTitles" localSheetId="29" hidden="1">#REF!,#REF!</definedName>
    <definedName name="Z_BDFEE6CE_734C_11D2_8E68_0008C77C0743_.wvu.PrintTitles" hidden="1">#REF!,#REF!</definedName>
    <definedName name="Z_BDFEE6D1_734C_11D2_8E68_0008C77C0743_.wvu.PrintArea" localSheetId="6" hidden="1">#REF!</definedName>
    <definedName name="Z_BDFEE6D1_734C_11D2_8E68_0008C77C0743_.wvu.PrintArea" localSheetId="7" hidden="1">#REF!</definedName>
    <definedName name="Z_BDFEE6D1_734C_11D2_8E68_0008C77C0743_.wvu.PrintArea" localSheetId="3" hidden="1">#REF!</definedName>
    <definedName name="Z_BDFEE6D1_734C_11D2_8E68_0008C77C0743_.wvu.PrintArea" localSheetId="29" hidden="1">#REF!</definedName>
    <definedName name="Z_BDFEE6D1_734C_11D2_8E68_0008C77C0743_.wvu.PrintArea" hidden="1">#REF!</definedName>
    <definedName name="Z_BDFEE6D1_734C_11D2_8E68_0008C77C0743_.wvu.PrintTitles" localSheetId="6" hidden="1">#REF!,#REF!</definedName>
    <definedName name="Z_BDFEE6D1_734C_11D2_8E68_0008C77C0743_.wvu.PrintTitles" localSheetId="7" hidden="1">#REF!,#REF!</definedName>
    <definedName name="Z_BDFEE6D1_734C_11D2_8E68_0008C77C0743_.wvu.PrintTitles" localSheetId="3" hidden="1">#REF!,#REF!</definedName>
    <definedName name="Z_BDFEE6D1_734C_11D2_8E68_0008C77C0743_.wvu.PrintTitles" localSheetId="29" hidden="1">#REF!,#REF!</definedName>
    <definedName name="Z_BDFEE6D1_734C_11D2_8E68_0008C77C0743_.wvu.PrintTitles" hidden="1">#REF!,#REF!</definedName>
    <definedName name="Z_BDFEE6D3_734C_11D2_8E68_0008C77C0743_.wvu.PrintArea" localSheetId="6" hidden="1">#REF!</definedName>
    <definedName name="Z_BDFEE6D3_734C_11D2_8E68_0008C77C0743_.wvu.PrintArea" localSheetId="7" hidden="1">#REF!</definedName>
    <definedName name="Z_BDFEE6D3_734C_11D2_8E68_0008C77C0743_.wvu.PrintArea" localSheetId="3" hidden="1">#REF!</definedName>
    <definedName name="Z_BDFEE6D3_734C_11D2_8E68_0008C77C0743_.wvu.PrintArea" localSheetId="29" hidden="1">#REF!</definedName>
    <definedName name="Z_BDFEE6D3_734C_11D2_8E68_0008C77C0743_.wvu.PrintArea" hidden="1">#REF!</definedName>
    <definedName name="Z_BDFEE6D3_734C_11D2_8E68_0008C77C0743_.wvu.PrintTitles" localSheetId="6" hidden="1">#REF!,#REF!</definedName>
    <definedName name="Z_BDFEE6D3_734C_11D2_8E68_0008C77C0743_.wvu.PrintTitles" localSheetId="7" hidden="1">#REF!,#REF!</definedName>
    <definedName name="Z_BDFEE6D3_734C_11D2_8E68_0008C77C0743_.wvu.PrintTitles" localSheetId="3" hidden="1">#REF!,#REF!</definedName>
    <definedName name="Z_BDFEE6D3_734C_11D2_8E68_0008C77C0743_.wvu.PrintTitles" localSheetId="29" hidden="1">#REF!,#REF!</definedName>
    <definedName name="Z_BDFEE6D3_734C_11D2_8E68_0008C77C0743_.wvu.PrintTitles" hidden="1">#REF!,#REF!</definedName>
    <definedName name="Z_BDFEE6D7_734C_11D2_8E68_0008C77C0743_.wvu.PrintArea" localSheetId="6" hidden="1">#REF!</definedName>
    <definedName name="Z_BDFEE6D7_734C_11D2_8E68_0008C77C0743_.wvu.PrintArea" localSheetId="7" hidden="1">#REF!</definedName>
    <definedName name="Z_BDFEE6D7_734C_11D2_8E68_0008C77C0743_.wvu.PrintArea" localSheetId="3" hidden="1">#REF!</definedName>
    <definedName name="Z_BDFEE6D7_734C_11D2_8E68_0008C77C0743_.wvu.PrintArea" localSheetId="29" hidden="1">#REF!</definedName>
    <definedName name="Z_BDFEE6D7_734C_11D2_8E68_0008C77C0743_.wvu.PrintArea" hidden="1">#REF!</definedName>
    <definedName name="Z_BDFEE6D7_734C_11D2_8E68_0008C77C0743_.wvu.PrintTitles" localSheetId="6" hidden="1">#REF!,#REF!</definedName>
    <definedName name="Z_BDFEE6D7_734C_11D2_8E68_0008C77C0743_.wvu.PrintTitles" localSheetId="7" hidden="1">#REF!,#REF!</definedName>
    <definedName name="Z_BDFEE6D7_734C_11D2_8E68_0008C77C0743_.wvu.PrintTitles" localSheetId="3" hidden="1">#REF!,#REF!</definedName>
    <definedName name="Z_BDFEE6D7_734C_11D2_8E68_0008C77C0743_.wvu.PrintTitles" localSheetId="29" hidden="1">#REF!,#REF!</definedName>
    <definedName name="Z_BDFEE6D7_734C_11D2_8E68_0008C77C0743_.wvu.PrintTitles" hidden="1">#REF!,#REF!</definedName>
    <definedName name="Z_BDFEE6DA_734C_11D2_8E68_0008C77C0743_.wvu.PrintArea" localSheetId="6" hidden="1">#REF!</definedName>
    <definedName name="Z_BDFEE6DA_734C_11D2_8E68_0008C77C0743_.wvu.PrintArea" localSheetId="7" hidden="1">#REF!</definedName>
    <definedName name="Z_BDFEE6DA_734C_11D2_8E68_0008C77C0743_.wvu.PrintArea" localSheetId="3" hidden="1">#REF!</definedName>
    <definedName name="Z_BDFEE6DA_734C_11D2_8E68_0008C77C0743_.wvu.PrintArea" localSheetId="29" hidden="1">#REF!</definedName>
    <definedName name="Z_BDFEE6DA_734C_11D2_8E68_0008C77C0743_.wvu.PrintArea" hidden="1">#REF!</definedName>
    <definedName name="Z_BDFEE6DA_734C_11D2_8E68_0008C77C0743_.wvu.PrintTitles" localSheetId="6" hidden="1">#REF!,#REF!</definedName>
    <definedName name="Z_BDFEE6DA_734C_11D2_8E68_0008C77C0743_.wvu.PrintTitles" localSheetId="7" hidden="1">#REF!,#REF!</definedName>
    <definedName name="Z_BDFEE6DA_734C_11D2_8E68_0008C77C0743_.wvu.PrintTitles" localSheetId="3" hidden="1">#REF!,#REF!</definedName>
    <definedName name="Z_BDFEE6DA_734C_11D2_8E68_0008C77C0743_.wvu.PrintTitles" localSheetId="29" hidden="1">#REF!,#REF!</definedName>
    <definedName name="Z_BDFEE6DA_734C_11D2_8E68_0008C77C0743_.wvu.PrintTitles" hidden="1">#REF!,#REF!</definedName>
    <definedName name="Z_BDFEE6DC_734C_11D2_8E68_0008C77C0743_.wvu.PrintArea" localSheetId="6" hidden="1">#REF!</definedName>
    <definedName name="Z_BDFEE6DC_734C_11D2_8E68_0008C77C0743_.wvu.PrintArea" localSheetId="7" hidden="1">#REF!</definedName>
    <definedName name="Z_BDFEE6DC_734C_11D2_8E68_0008C77C0743_.wvu.PrintArea" localSheetId="3" hidden="1">#REF!</definedName>
    <definedName name="Z_BDFEE6DC_734C_11D2_8E68_0008C77C0743_.wvu.PrintArea" localSheetId="29" hidden="1">#REF!</definedName>
    <definedName name="Z_BDFEE6DC_734C_11D2_8E68_0008C77C0743_.wvu.PrintArea" hidden="1">#REF!</definedName>
    <definedName name="Z_BDFEE6DC_734C_11D2_8E68_0008C77C0743_.wvu.PrintTitles" localSheetId="6" hidden="1">#REF!,#REF!</definedName>
    <definedName name="Z_BDFEE6DC_734C_11D2_8E68_0008C77C0743_.wvu.PrintTitles" localSheetId="7" hidden="1">#REF!,#REF!</definedName>
    <definedName name="Z_BDFEE6DC_734C_11D2_8E68_0008C77C0743_.wvu.PrintTitles" localSheetId="3" hidden="1">#REF!,#REF!</definedName>
    <definedName name="Z_BDFEE6DC_734C_11D2_8E68_0008C77C0743_.wvu.PrintTitles" localSheetId="29" hidden="1">#REF!,#REF!</definedName>
    <definedName name="Z_BDFEE6DC_734C_11D2_8E68_0008C77C0743_.wvu.PrintTitles" hidden="1">#REF!,#REF!</definedName>
    <definedName name="Z_BDFEE6E2_734C_11D2_8E68_0008C77C0743_.wvu.PrintArea" localSheetId="6" hidden="1">#REF!</definedName>
    <definedName name="Z_BDFEE6E2_734C_11D2_8E68_0008C77C0743_.wvu.PrintArea" localSheetId="7" hidden="1">#REF!</definedName>
    <definedName name="Z_BDFEE6E2_734C_11D2_8E68_0008C77C0743_.wvu.PrintArea" localSheetId="3" hidden="1">#REF!</definedName>
    <definedName name="Z_BDFEE6E2_734C_11D2_8E68_0008C77C0743_.wvu.PrintArea" localSheetId="29" hidden="1">#REF!</definedName>
    <definedName name="Z_BDFEE6E2_734C_11D2_8E68_0008C77C0743_.wvu.PrintArea" hidden="1">#REF!</definedName>
    <definedName name="Z_BDFEE6E2_734C_11D2_8E68_0008C77C0743_.wvu.PrintTitles" localSheetId="6" hidden="1">#REF!</definedName>
    <definedName name="Z_BDFEE6E2_734C_11D2_8E68_0008C77C0743_.wvu.PrintTitles" localSheetId="7" hidden="1">#REF!</definedName>
    <definedName name="Z_BDFEE6E2_734C_11D2_8E68_0008C77C0743_.wvu.PrintTitles" localSheetId="3" hidden="1">#REF!</definedName>
    <definedName name="Z_BDFEE6E2_734C_11D2_8E68_0008C77C0743_.wvu.PrintTitles" localSheetId="29" hidden="1">#REF!</definedName>
    <definedName name="Z_BDFEE6E2_734C_11D2_8E68_0008C77C0743_.wvu.PrintTitles" hidden="1">#REF!</definedName>
    <definedName name="Z_BDFEE6E4_734C_11D2_8E68_0008C77C0743_.wvu.PrintArea" localSheetId="6" hidden="1">#REF!</definedName>
    <definedName name="Z_BDFEE6E4_734C_11D2_8E68_0008C77C0743_.wvu.PrintArea" localSheetId="7" hidden="1">#REF!</definedName>
    <definedName name="Z_BDFEE6E4_734C_11D2_8E68_0008C77C0743_.wvu.PrintArea" localSheetId="3" hidden="1">#REF!</definedName>
    <definedName name="Z_BDFEE6E4_734C_11D2_8E68_0008C77C0743_.wvu.PrintArea" localSheetId="29" hidden="1">#REF!</definedName>
    <definedName name="Z_BDFEE6E4_734C_11D2_8E68_0008C77C0743_.wvu.PrintArea" hidden="1">#REF!</definedName>
    <definedName name="Z_BDFEE6E4_734C_11D2_8E68_0008C77C0743_.wvu.PrintTitles" localSheetId="3" hidden="1">#REF!</definedName>
    <definedName name="Z_BDFEE6E4_734C_11D2_8E68_0008C77C0743_.wvu.PrintTitles" hidden="1">#REF!</definedName>
    <definedName name="Z_BDFEE6E6_734C_11D2_8E68_0008C77C0743_.wvu.PrintArea" localSheetId="3" hidden="1">#REF!</definedName>
    <definedName name="Z_BDFEE6E6_734C_11D2_8E68_0008C77C0743_.wvu.PrintArea" hidden="1">#REF!</definedName>
    <definedName name="Z_BDFEE6E6_734C_11D2_8E68_0008C77C0743_.wvu.PrintTitles" localSheetId="3" hidden="1">#REF!</definedName>
    <definedName name="Z_BDFEE6E6_734C_11D2_8E68_0008C77C0743_.wvu.PrintTitles" hidden="1">#REF!</definedName>
    <definedName name="Z_BDFEE6EF_734C_11D2_8E68_0008C77C0743_.wvu.PrintArea" localSheetId="3" hidden="1">#REF!</definedName>
    <definedName name="Z_BDFEE6EF_734C_11D2_8E68_0008C77C0743_.wvu.PrintArea" hidden="1">#REF!</definedName>
    <definedName name="Z_BDFEE6EF_734C_11D2_8E68_0008C77C0743_.wvu.PrintTitles" localSheetId="6" hidden="1">#REF!,#REF!</definedName>
    <definedName name="Z_BDFEE6EF_734C_11D2_8E68_0008C77C0743_.wvu.PrintTitles" localSheetId="7" hidden="1">#REF!,#REF!</definedName>
    <definedName name="Z_BDFEE6EF_734C_11D2_8E68_0008C77C0743_.wvu.PrintTitles" localSheetId="3" hidden="1">#REF!,#REF!</definedName>
    <definedName name="Z_BDFEE6EF_734C_11D2_8E68_0008C77C0743_.wvu.PrintTitles" localSheetId="29" hidden="1">#REF!,#REF!</definedName>
    <definedName name="Z_BDFEE6EF_734C_11D2_8E68_0008C77C0743_.wvu.PrintTitles" hidden="1">#REF!,#REF!</definedName>
    <definedName name="Z_BDFEE6F2_734C_11D2_8E68_0008C77C0743_.wvu.PrintArea" localSheetId="6" hidden="1">#REF!</definedName>
    <definedName name="Z_BDFEE6F2_734C_11D2_8E68_0008C77C0743_.wvu.PrintArea" localSheetId="7" hidden="1">#REF!</definedName>
    <definedName name="Z_BDFEE6F2_734C_11D2_8E68_0008C77C0743_.wvu.PrintArea" localSheetId="3" hidden="1">#REF!</definedName>
    <definedName name="Z_BDFEE6F2_734C_11D2_8E68_0008C77C0743_.wvu.PrintArea" localSheetId="29" hidden="1">#REF!</definedName>
    <definedName name="Z_BDFEE6F2_734C_11D2_8E68_0008C77C0743_.wvu.PrintArea" hidden="1">#REF!</definedName>
    <definedName name="Z_BDFEE6F2_734C_11D2_8E68_0008C77C0743_.wvu.PrintTitles" localSheetId="6" hidden="1">#REF!,#REF!</definedName>
    <definedName name="Z_BDFEE6F2_734C_11D2_8E68_0008C77C0743_.wvu.PrintTitles" localSheetId="7" hidden="1">#REF!,#REF!</definedName>
    <definedName name="Z_BDFEE6F2_734C_11D2_8E68_0008C77C0743_.wvu.PrintTitles" localSheetId="3" hidden="1">#REF!,#REF!</definedName>
    <definedName name="Z_BDFEE6F2_734C_11D2_8E68_0008C77C0743_.wvu.PrintTitles" localSheetId="29" hidden="1">#REF!,#REF!</definedName>
    <definedName name="Z_BDFEE6F2_734C_11D2_8E68_0008C77C0743_.wvu.PrintTitles" hidden="1">#REF!,#REF!</definedName>
    <definedName name="Z_BDFEE6F4_734C_11D2_8E68_0008C77C0743_.wvu.PrintArea" localSheetId="6" hidden="1">#REF!</definedName>
    <definedName name="Z_BDFEE6F4_734C_11D2_8E68_0008C77C0743_.wvu.PrintArea" localSheetId="7" hidden="1">#REF!</definedName>
    <definedName name="Z_BDFEE6F4_734C_11D2_8E68_0008C77C0743_.wvu.PrintArea" localSheetId="3" hidden="1">#REF!</definedName>
    <definedName name="Z_BDFEE6F4_734C_11D2_8E68_0008C77C0743_.wvu.PrintArea" localSheetId="29" hidden="1">#REF!</definedName>
    <definedName name="Z_BDFEE6F4_734C_11D2_8E68_0008C77C0743_.wvu.PrintArea" hidden="1">#REF!</definedName>
    <definedName name="Z_BDFEE6F4_734C_11D2_8E68_0008C77C0743_.wvu.PrintTitles" localSheetId="6" hidden="1">#REF!,#REF!</definedName>
    <definedName name="Z_BDFEE6F4_734C_11D2_8E68_0008C77C0743_.wvu.PrintTitles" localSheetId="7" hidden="1">#REF!,#REF!</definedName>
    <definedName name="Z_BDFEE6F4_734C_11D2_8E68_0008C77C0743_.wvu.PrintTitles" localSheetId="3" hidden="1">#REF!,#REF!</definedName>
    <definedName name="Z_BDFEE6F4_734C_11D2_8E68_0008C77C0743_.wvu.PrintTitles" localSheetId="29" hidden="1">#REF!,#REF!</definedName>
    <definedName name="Z_BDFEE6F4_734C_11D2_8E68_0008C77C0743_.wvu.PrintTitles" hidden="1">#REF!,#REF!</definedName>
    <definedName name="Z_BDFEE6FA_734C_11D2_8E68_0008C77C0743_.wvu.PrintArea" localSheetId="6" hidden="1">#REF!</definedName>
    <definedName name="Z_BDFEE6FA_734C_11D2_8E68_0008C77C0743_.wvu.PrintArea" localSheetId="7" hidden="1">#REF!</definedName>
    <definedName name="Z_BDFEE6FA_734C_11D2_8E68_0008C77C0743_.wvu.PrintArea" localSheetId="3" hidden="1">#REF!</definedName>
    <definedName name="Z_BDFEE6FA_734C_11D2_8E68_0008C77C0743_.wvu.PrintArea" localSheetId="29" hidden="1">#REF!</definedName>
    <definedName name="Z_BDFEE6FA_734C_11D2_8E68_0008C77C0743_.wvu.PrintArea" hidden="1">#REF!</definedName>
    <definedName name="Z_BDFEE6FA_734C_11D2_8E68_0008C77C0743_.wvu.PrintTitles" localSheetId="6" hidden="1">#REF!,#REF!</definedName>
    <definedName name="Z_BDFEE6FA_734C_11D2_8E68_0008C77C0743_.wvu.PrintTitles" localSheetId="7" hidden="1">#REF!,#REF!</definedName>
    <definedName name="Z_BDFEE6FA_734C_11D2_8E68_0008C77C0743_.wvu.PrintTitles" localSheetId="3" hidden="1">#REF!,#REF!</definedName>
    <definedName name="Z_BDFEE6FA_734C_11D2_8E68_0008C77C0743_.wvu.PrintTitles" localSheetId="29" hidden="1">#REF!,#REF!</definedName>
    <definedName name="Z_BDFEE6FA_734C_11D2_8E68_0008C77C0743_.wvu.PrintTitles" hidden="1">#REF!,#REF!</definedName>
    <definedName name="Z_BDFEE6FC_734C_11D2_8E68_0008C77C0743_.wvu.PrintArea" localSheetId="6" hidden="1">#REF!</definedName>
    <definedName name="Z_BDFEE6FC_734C_11D2_8E68_0008C77C0743_.wvu.PrintArea" localSheetId="7" hidden="1">#REF!</definedName>
    <definedName name="Z_BDFEE6FC_734C_11D2_8E68_0008C77C0743_.wvu.PrintArea" localSheetId="3" hidden="1">#REF!</definedName>
    <definedName name="Z_BDFEE6FC_734C_11D2_8E68_0008C77C0743_.wvu.PrintArea" localSheetId="29" hidden="1">#REF!</definedName>
    <definedName name="Z_BDFEE6FC_734C_11D2_8E68_0008C77C0743_.wvu.PrintArea" hidden="1">#REF!</definedName>
    <definedName name="Z_BDFEE6FC_734C_11D2_8E68_0008C77C0743_.wvu.PrintTitles" localSheetId="6" hidden="1">#REF!,#REF!</definedName>
    <definedName name="Z_BDFEE6FC_734C_11D2_8E68_0008C77C0743_.wvu.PrintTitles" localSheetId="7" hidden="1">#REF!,#REF!</definedName>
    <definedName name="Z_BDFEE6FC_734C_11D2_8E68_0008C77C0743_.wvu.PrintTitles" localSheetId="3" hidden="1">#REF!,#REF!</definedName>
    <definedName name="Z_BDFEE6FC_734C_11D2_8E68_0008C77C0743_.wvu.PrintTitles" localSheetId="29" hidden="1">#REF!,#REF!</definedName>
    <definedName name="Z_BDFEE6FC_734C_11D2_8E68_0008C77C0743_.wvu.PrintTitles" hidden="1">#REF!,#REF!</definedName>
    <definedName name="Z_BDFEE6FE_734C_11D2_8E68_0008C77C0743_.wvu.PrintArea" localSheetId="6" hidden="1">#REF!</definedName>
    <definedName name="Z_BDFEE6FE_734C_11D2_8E68_0008C77C0743_.wvu.PrintArea" localSheetId="7" hidden="1">#REF!</definedName>
    <definedName name="Z_BDFEE6FE_734C_11D2_8E68_0008C77C0743_.wvu.PrintArea" localSheetId="3" hidden="1">#REF!</definedName>
    <definedName name="Z_BDFEE6FE_734C_11D2_8E68_0008C77C0743_.wvu.PrintArea" localSheetId="29" hidden="1">#REF!</definedName>
    <definedName name="Z_BDFEE6FE_734C_11D2_8E68_0008C77C0743_.wvu.PrintArea" hidden="1">#REF!</definedName>
    <definedName name="Z_BDFEE6FE_734C_11D2_8E68_0008C77C0743_.wvu.PrintTitles" localSheetId="6" hidden="1">#REF!,#REF!</definedName>
    <definedName name="Z_BDFEE6FE_734C_11D2_8E68_0008C77C0743_.wvu.PrintTitles" localSheetId="7" hidden="1">#REF!,#REF!</definedName>
    <definedName name="Z_BDFEE6FE_734C_11D2_8E68_0008C77C0743_.wvu.PrintTitles" localSheetId="3" hidden="1">#REF!,#REF!</definedName>
    <definedName name="Z_BDFEE6FE_734C_11D2_8E68_0008C77C0743_.wvu.PrintTitles" localSheetId="29" hidden="1">#REF!,#REF!</definedName>
    <definedName name="Z_BDFEE6FE_734C_11D2_8E68_0008C77C0743_.wvu.PrintTitles" hidden="1">#REF!,#REF!</definedName>
    <definedName name="Z_BE4AA1C5_ECFE_11D2_8EB8_0008C77C0743_.wvu.PrintArea" localSheetId="6" hidden="1">#REF!</definedName>
    <definedName name="Z_BE4AA1C5_ECFE_11D2_8EB8_0008C77C0743_.wvu.PrintArea" localSheetId="7" hidden="1">#REF!</definedName>
    <definedName name="Z_BE4AA1C5_ECFE_11D2_8EB8_0008C77C0743_.wvu.PrintArea" localSheetId="3" hidden="1">#REF!</definedName>
    <definedName name="Z_BE4AA1C5_ECFE_11D2_8EB8_0008C77C0743_.wvu.PrintArea" localSheetId="29" hidden="1">#REF!</definedName>
    <definedName name="Z_BE4AA1C5_ECFE_11D2_8EB8_0008C77C0743_.wvu.PrintArea" hidden="1">#REF!</definedName>
    <definedName name="Z_BE4AA1C5_ECFE_11D2_8EB8_0008C77C0743_.wvu.PrintTitles" localSheetId="6" hidden="1">#REF!</definedName>
    <definedName name="Z_BE4AA1C5_ECFE_11D2_8EB8_0008C77C0743_.wvu.PrintTitles" localSheetId="7" hidden="1">#REF!</definedName>
    <definedName name="Z_BE4AA1C5_ECFE_11D2_8EB8_0008C77C0743_.wvu.PrintTitles" localSheetId="3" hidden="1">#REF!</definedName>
    <definedName name="Z_BE4AA1C5_ECFE_11D2_8EB8_0008C77C0743_.wvu.PrintTitles" localSheetId="29" hidden="1">#REF!</definedName>
    <definedName name="Z_BE4AA1C5_ECFE_11D2_8EB8_0008C77C0743_.wvu.PrintTitles" hidden="1">#REF!</definedName>
    <definedName name="Z_BE4AA1D8_ECFE_11D2_8EB8_0008C77C0743_.wvu.PrintArea" localSheetId="6" hidden="1">#REF!</definedName>
    <definedName name="Z_BE4AA1D8_ECFE_11D2_8EB8_0008C77C0743_.wvu.PrintArea" localSheetId="7" hidden="1">#REF!</definedName>
    <definedName name="Z_BE4AA1D8_ECFE_11D2_8EB8_0008C77C0743_.wvu.PrintArea" localSheetId="3" hidden="1">#REF!</definedName>
    <definedName name="Z_BE4AA1D8_ECFE_11D2_8EB8_0008C77C0743_.wvu.PrintArea" localSheetId="29" hidden="1">#REF!</definedName>
    <definedName name="Z_BE4AA1D8_ECFE_11D2_8EB8_0008C77C0743_.wvu.PrintArea" hidden="1">#REF!</definedName>
    <definedName name="Z_BE4AA1D8_ECFE_11D2_8EB8_0008C77C0743_.wvu.PrintTitles" localSheetId="3" hidden="1">#REF!</definedName>
    <definedName name="Z_BE4AA1D8_ECFE_11D2_8EB8_0008C77C0743_.wvu.PrintTitles" hidden="1">#REF!</definedName>
    <definedName name="Z_BE4AA1E8_ECFE_11D2_8EB8_0008C77C0743_.wvu.PrintArea" localSheetId="3" hidden="1">#REF!</definedName>
    <definedName name="Z_BE4AA1E8_ECFE_11D2_8EB8_0008C77C0743_.wvu.PrintArea" hidden="1">#REF!</definedName>
    <definedName name="Z_BE4AA1E8_ECFE_11D2_8EB8_0008C77C0743_.wvu.PrintTitles" localSheetId="6" hidden="1">#REF!,#REF!</definedName>
    <definedName name="Z_BE4AA1E8_ECFE_11D2_8EB8_0008C77C0743_.wvu.PrintTitles" localSheetId="7" hidden="1">#REF!,#REF!</definedName>
    <definedName name="Z_BE4AA1E8_ECFE_11D2_8EB8_0008C77C0743_.wvu.PrintTitles" localSheetId="3" hidden="1">#REF!,#REF!</definedName>
    <definedName name="Z_BE4AA1E8_ECFE_11D2_8EB8_0008C77C0743_.wvu.PrintTitles" localSheetId="29" hidden="1">#REF!,#REF!</definedName>
    <definedName name="Z_BE4AA1E8_ECFE_11D2_8EB8_0008C77C0743_.wvu.PrintTitles" hidden="1">#REF!,#REF!</definedName>
    <definedName name="Z_BFEBD6B7_EDBB_11D2_8EB9_0008C77C0743_.wvu.PrintArea" localSheetId="6" hidden="1">#REF!</definedName>
    <definedName name="Z_BFEBD6B7_EDBB_11D2_8EB9_0008C77C0743_.wvu.PrintArea" localSheetId="7" hidden="1">#REF!</definedName>
    <definedName name="Z_BFEBD6B7_EDBB_11D2_8EB9_0008C77C0743_.wvu.PrintArea" localSheetId="3" hidden="1">#REF!</definedName>
    <definedName name="Z_BFEBD6B7_EDBB_11D2_8EB9_0008C77C0743_.wvu.PrintArea" localSheetId="29" hidden="1">#REF!</definedName>
    <definedName name="Z_BFEBD6B7_EDBB_11D2_8EB9_0008C77C0743_.wvu.PrintArea" hidden="1">#REF!</definedName>
    <definedName name="Z_BFEBD6B7_EDBB_11D2_8EB9_0008C77C0743_.wvu.PrintTitles" localSheetId="6" hidden="1">#REF!</definedName>
    <definedName name="Z_BFEBD6B7_EDBB_11D2_8EB9_0008C77C0743_.wvu.PrintTitles" localSheetId="7" hidden="1">#REF!</definedName>
    <definedName name="Z_BFEBD6B7_EDBB_11D2_8EB9_0008C77C0743_.wvu.PrintTitles" localSheetId="3" hidden="1">#REF!</definedName>
    <definedName name="Z_BFEBD6B7_EDBB_11D2_8EB9_0008C77C0743_.wvu.PrintTitles" localSheetId="29" hidden="1">#REF!</definedName>
    <definedName name="Z_BFEBD6B7_EDBB_11D2_8EB9_0008C77C0743_.wvu.PrintTitles" hidden="1">#REF!</definedName>
    <definedName name="Z_BFEBD6CA_EDBB_11D2_8EB9_0008C77C0743_.wvu.PrintArea" localSheetId="6" hidden="1">#REF!</definedName>
    <definedName name="Z_BFEBD6CA_EDBB_11D2_8EB9_0008C77C0743_.wvu.PrintArea" localSheetId="7" hidden="1">#REF!</definedName>
    <definedName name="Z_BFEBD6CA_EDBB_11D2_8EB9_0008C77C0743_.wvu.PrintArea" localSheetId="3" hidden="1">#REF!</definedName>
    <definedName name="Z_BFEBD6CA_EDBB_11D2_8EB9_0008C77C0743_.wvu.PrintArea" localSheetId="29" hidden="1">#REF!</definedName>
    <definedName name="Z_BFEBD6CA_EDBB_11D2_8EB9_0008C77C0743_.wvu.PrintArea" hidden="1">#REF!</definedName>
    <definedName name="Z_BFEBD6CA_EDBB_11D2_8EB9_0008C77C0743_.wvu.PrintTitles" localSheetId="3" hidden="1">#REF!</definedName>
    <definedName name="Z_BFEBD6CA_EDBB_11D2_8EB9_0008C77C0743_.wvu.PrintTitles" hidden="1">#REF!</definedName>
    <definedName name="Z_BFEBD6DA_EDBB_11D2_8EB9_0008C77C0743_.wvu.PrintArea" localSheetId="3" hidden="1">#REF!</definedName>
    <definedName name="Z_BFEBD6DA_EDBB_11D2_8EB9_0008C77C0743_.wvu.PrintArea" hidden="1">#REF!</definedName>
    <definedName name="Z_BFEBD6DA_EDBB_11D2_8EB9_0008C77C0743_.wvu.PrintTitles" localSheetId="6" hidden="1">#REF!,#REF!</definedName>
    <definedName name="Z_BFEBD6DA_EDBB_11D2_8EB9_0008C77C0743_.wvu.PrintTitles" localSheetId="7" hidden="1">#REF!,#REF!</definedName>
    <definedName name="Z_BFEBD6DA_EDBB_11D2_8EB9_0008C77C0743_.wvu.PrintTitles" localSheetId="3" hidden="1">#REF!,#REF!</definedName>
    <definedName name="Z_BFEBD6DA_EDBB_11D2_8EB9_0008C77C0743_.wvu.PrintTitles" localSheetId="29" hidden="1">#REF!,#REF!</definedName>
    <definedName name="Z_BFEBD6DA_EDBB_11D2_8EB9_0008C77C0743_.wvu.PrintTitles" hidden="1">#REF!,#REF!</definedName>
    <definedName name="Z_CD050555_ECE8_11D2_8EB7_0008C77C0743_.wvu.PrintArea" localSheetId="6" hidden="1">#REF!</definedName>
    <definedName name="Z_CD050555_ECE8_11D2_8EB7_0008C77C0743_.wvu.PrintArea" localSheetId="7" hidden="1">#REF!</definedName>
    <definedName name="Z_CD050555_ECE8_11D2_8EB7_0008C77C0743_.wvu.PrintArea" localSheetId="3" hidden="1">#REF!</definedName>
    <definedName name="Z_CD050555_ECE8_11D2_8EB7_0008C77C0743_.wvu.PrintArea" localSheetId="29" hidden="1">#REF!</definedName>
    <definedName name="Z_CD050555_ECE8_11D2_8EB7_0008C77C0743_.wvu.PrintArea" hidden="1">#REF!</definedName>
    <definedName name="Z_CD050555_ECE8_11D2_8EB7_0008C77C0743_.wvu.PrintTitles" localSheetId="6" hidden="1">#REF!</definedName>
    <definedName name="Z_CD050555_ECE8_11D2_8EB7_0008C77C0743_.wvu.PrintTitles" localSheetId="7" hidden="1">#REF!</definedName>
    <definedName name="Z_CD050555_ECE8_11D2_8EB7_0008C77C0743_.wvu.PrintTitles" localSheetId="3" hidden="1">#REF!</definedName>
    <definedName name="Z_CD050555_ECE8_11D2_8EB7_0008C77C0743_.wvu.PrintTitles" localSheetId="29" hidden="1">#REF!</definedName>
    <definedName name="Z_CD050555_ECE8_11D2_8EB7_0008C77C0743_.wvu.PrintTitles" hidden="1">#REF!</definedName>
    <definedName name="Z_CD050568_ECE8_11D2_8EB7_0008C77C0743_.wvu.PrintArea" localSheetId="6" hidden="1">#REF!</definedName>
    <definedName name="Z_CD050568_ECE8_11D2_8EB7_0008C77C0743_.wvu.PrintArea" localSheetId="7" hidden="1">#REF!</definedName>
    <definedName name="Z_CD050568_ECE8_11D2_8EB7_0008C77C0743_.wvu.PrintArea" localSheetId="3" hidden="1">#REF!</definedName>
    <definedName name="Z_CD050568_ECE8_11D2_8EB7_0008C77C0743_.wvu.PrintArea" localSheetId="29" hidden="1">#REF!</definedName>
    <definedName name="Z_CD050568_ECE8_11D2_8EB7_0008C77C0743_.wvu.PrintArea" hidden="1">#REF!</definedName>
    <definedName name="Z_CD050568_ECE8_11D2_8EB7_0008C77C0743_.wvu.PrintTitles" localSheetId="3" hidden="1">#REF!</definedName>
    <definedName name="Z_CD050568_ECE8_11D2_8EB7_0008C77C0743_.wvu.PrintTitles" hidden="1">#REF!</definedName>
    <definedName name="Z_CD050578_ECE8_11D2_8EB7_0008C77C0743_.wvu.PrintArea" localSheetId="3" hidden="1">#REF!</definedName>
    <definedName name="Z_CD050578_ECE8_11D2_8EB7_0008C77C0743_.wvu.PrintArea" hidden="1">#REF!</definedName>
    <definedName name="Z_CD050578_ECE8_11D2_8EB7_0008C77C0743_.wvu.PrintTitles" localSheetId="6" hidden="1">#REF!,#REF!</definedName>
    <definedName name="Z_CD050578_ECE8_11D2_8EB7_0008C77C0743_.wvu.PrintTitles" localSheetId="7" hidden="1">#REF!,#REF!</definedName>
    <definedName name="Z_CD050578_ECE8_11D2_8EB7_0008C77C0743_.wvu.PrintTitles" localSheetId="3" hidden="1">#REF!,#REF!</definedName>
    <definedName name="Z_CD050578_ECE8_11D2_8EB7_0008C77C0743_.wvu.PrintTitles" localSheetId="29" hidden="1">#REF!,#REF!</definedName>
    <definedName name="Z_CD050578_ECE8_11D2_8EB7_0008C77C0743_.wvu.PrintTitles" hidden="1">#REF!,#REF!</definedName>
    <definedName name="Z_CF4A68D4_EB6D_11D2_8EB5_0008C77C0743_.wvu.PrintArea" localSheetId="6" hidden="1">#REF!</definedName>
    <definedName name="Z_CF4A68D4_EB6D_11D2_8EB5_0008C77C0743_.wvu.PrintArea" localSheetId="7" hidden="1">#REF!</definedName>
    <definedName name="Z_CF4A68D4_EB6D_11D2_8EB5_0008C77C0743_.wvu.PrintArea" localSheetId="3" hidden="1">#REF!</definedName>
    <definedName name="Z_CF4A68D4_EB6D_11D2_8EB5_0008C77C0743_.wvu.PrintArea" localSheetId="29" hidden="1">#REF!</definedName>
    <definedName name="Z_CF4A68D4_EB6D_11D2_8EB5_0008C77C0743_.wvu.PrintArea" hidden="1">#REF!</definedName>
    <definedName name="Z_CF4A68D4_EB6D_11D2_8EB5_0008C77C0743_.wvu.PrintTitles" localSheetId="6" hidden="1">#REF!</definedName>
    <definedName name="Z_CF4A68D4_EB6D_11D2_8EB5_0008C77C0743_.wvu.PrintTitles" localSheetId="7" hidden="1">#REF!</definedName>
    <definedName name="Z_CF4A68D4_EB6D_11D2_8EB5_0008C77C0743_.wvu.PrintTitles" localSheetId="3" hidden="1">#REF!</definedName>
    <definedName name="Z_CF4A68D4_EB6D_11D2_8EB5_0008C77C0743_.wvu.PrintTitles" localSheetId="29" hidden="1">#REF!</definedName>
    <definedName name="Z_CF4A68D4_EB6D_11D2_8EB5_0008C77C0743_.wvu.PrintTitles" hidden="1">#REF!</definedName>
    <definedName name="Z_CF4A68E7_EB6D_11D2_8EB5_0008C77C0743_.wvu.PrintArea" localSheetId="6" hidden="1">#REF!</definedName>
    <definedName name="Z_CF4A68E7_EB6D_11D2_8EB5_0008C77C0743_.wvu.PrintArea" localSheetId="7" hidden="1">#REF!</definedName>
    <definedName name="Z_CF4A68E7_EB6D_11D2_8EB5_0008C77C0743_.wvu.PrintArea" localSheetId="3" hidden="1">#REF!</definedName>
    <definedName name="Z_CF4A68E7_EB6D_11D2_8EB5_0008C77C0743_.wvu.PrintArea" localSheetId="29" hidden="1">#REF!</definedName>
    <definedName name="Z_CF4A68E7_EB6D_11D2_8EB5_0008C77C0743_.wvu.PrintArea" hidden="1">#REF!</definedName>
    <definedName name="Z_CF4A68E7_EB6D_11D2_8EB5_0008C77C0743_.wvu.PrintTitles" localSheetId="3" hidden="1">#REF!</definedName>
    <definedName name="Z_CF4A68E7_EB6D_11D2_8EB5_0008C77C0743_.wvu.PrintTitles" hidden="1">#REF!</definedName>
    <definedName name="Z_CF4A68F7_EB6D_11D2_8EB5_0008C77C0743_.wvu.PrintArea" localSheetId="3" hidden="1">#REF!</definedName>
    <definedName name="Z_CF4A68F7_EB6D_11D2_8EB5_0008C77C0743_.wvu.PrintArea" hidden="1">#REF!</definedName>
    <definedName name="Z_CF4A68F7_EB6D_11D2_8EB5_0008C77C0743_.wvu.PrintTitles" localSheetId="6" hidden="1">#REF!,#REF!</definedName>
    <definedName name="Z_CF4A68F7_EB6D_11D2_8EB5_0008C77C0743_.wvu.PrintTitles" localSheetId="7" hidden="1">#REF!,#REF!</definedName>
    <definedName name="Z_CF4A68F7_EB6D_11D2_8EB5_0008C77C0743_.wvu.PrintTitles" localSheetId="3" hidden="1">#REF!,#REF!</definedName>
    <definedName name="Z_CF4A68F7_EB6D_11D2_8EB5_0008C77C0743_.wvu.PrintTitles" localSheetId="29" hidden="1">#REF!,#REF!</definedName>
    <definedName name="Z_CF4A68F7_EB6D_11D2_8EB5_0008C77C0743_.wvu.PrintTitles" hidden="1">#REF!,#REF!</definedName>
    <definedName name="Z_F3D6017D_338E_11D2_8E9B_0008C77C0743_.wvu.PrintArea" localSheetId="6" hidden="1">#REF!</definedName>
    <definedName name="Z_F3D6017D_338E_11D2_8E9B_0008C77C0743_.wvu.PrintArea" localSheetId="7" hidden="1">#REF!</definedName>
    <definedName name="Z_F3D6017D_338E_11D2_8E9B_0008C77C0743_.wvu.PrintArea" localSheetId="3" hidden="1">#REF!</definedName>
    <definedName name="Z_F3D6017D_338E_11D2_8E9B_0008C77C0743_.wvu.PrintArea" localSheetId="29" hidden="1">#REF!</definedName>
    <definedName name="Z_F3D6017D_338E_11D2_8E9B_0008C77C0743_.wvu.PrintArea" hidden="1">#REF!</definedName>
    <definedName name="Z_F3D6017D_338E_11D2_8E9B_0008C77C0743_.wvu.PrintTitles" localSheetId="6" hidden="1">#REF!</definedName>
    <definedName name="Z_F3D6017D_338E_11D2_8E9B_0008C77C0743_.wvu.PrintTitles" localSheetId="7" hidden="1">#REF!</definedName>
    <definedName name="Z_F3D6017D_338E_11D2_8E9B_0008C77C0743_.wvu.PrintTitles" localSheetId="3" hidden="1">#REF!</definedName>
    <definedName name="Z_F3D6017D_338E_11D2_8E9B_0008C77C0743_.wvu.PrintTitles" localSheetId="29" hidden="1">#REF!</definedName>
    <definedName name="Z_F3D6017D_338E_11D2_8E9B_0008C77C0743_.wvu.PrintTitles" hidden="1">#REF!</definedName>
    <definedName name="Z_F3D6018C_338E_11D2_8E9B_0008C77C0743_.wvu.PrintArea" localSheetId="6" hidden="1">#REF!</definedName>
    <definedName name="Z_F3D6018C_338E_11D2_8E9B_0008C77C0743_.wvu.PrintArea" localSheetId="7" hidden="1">#REF!</definedName>
    <definedName name="Z_F3D6018C_338E_11D2_8E9B_0008C77C0743_.wvu.PrintArea" localSheetId="3" hidden="1">#REF!</definedName>
    <definedName name="Z_F3D6018C_338E_11D2_8E9B_0008C77C0743_.wvu.PrintArea" localSheetId="29" hidden="1">#REF!</definedName>
    <definedName name="Z_F3D6018C_338E_11D2_8E9B_0008C77C0743_.wvu.PrintArea" hidden="1">#REF!</definedName>
    <definedName name="Z_F3D6018C_338E_11D2_8E9B_0008C77C0743_.wvu.PrintTitles" localSheetId="3" hidden="1">#REF!</definedName>
    <definedName name="Z_F3D6018C_338E_11D2_8E9B_0008C77C0743_.wvu.PrintTitles" hidden="1">#REF!</definedName>
    <definedName name="Z_F3D60199_338E_11D2_8E9B_0008C77C0743_.wvu.PrintArea" localSheetId="3" hidden="1">#REF!</definedName>
    <definedName name="Z_F3D60199_338E_11D2_8E9B_0008C77C0743_.wvu.PrintArea" hidden="1">#REF!</definedName>
    <definedName name="Z_F3D60199_338E_11D2_8E9B_0008C77C0743_.wvu.PrintTitles" localSheetId="6" hidden="1">#REF!,#REF!</definedName>
    <definedName name="Z_F3D60199_338E_11D2_8E9B_0008C77C0743_.wvu.PrintTitles" localSheetId="7" hidden="1">#REF!,#REF!</definedName>
    <definedName name="Z_F3D60199_338E_11D2_8E9B_0008C77C0743_.wvu.PrintTitles" localSheetId="3" hidden="1">#REF!,#REF!</definedName>
    <definedName name="Z_F3D60199_338E_11D2_8E9B_0008C77C0743_.wvu.PrintTitles" localSheetId="29" hidden="1">#REF!,#REF!</definedName>
    <definedName name="Z_F3D60199_338E_11D2_8E9B_0008C77C0743_.wvu.PrintTitles" hidden="1">#REF!,#REF!</definedName>
    <definedName name="ZACKSGROWTH" localSheetId="6">#REF!</definedName>
    <definedName name="ZACKSGROWTH" localSheetId="3">#REF!</definedName>
    <definedName name="ZACKSGROWTH">#REF!</definedName>
    <definedName name="zdcw" localSheetId="5" hidden="1">#REF!</definedName>
    <definedName name="zdcw" localSheetId="3" hidden="1">#REF!</definedName>
    <definedName name="zdcw" localSheetId="29" hidden="1">#REF!</definedName>
    <definedName name="zdcw" hidden="1">#REF!</definedName>
    <definedName name="zj" localSheetId="5" hidden="1">#REF!</definedName>
    <definedName name="zj" localSheetId="3" hidden="1">#REF!</definedName>
    <definedName name="zj" localSheetId="29" hidden="1">#REF!</definedName>
    <definedName name="zj" hidden="1">#REF!</definedName>
    <definedName name="znh" localSheetId="5" hidden="1">#REF!</definedName>
    <definedName name="znh" localSheetId="3" hidden="1">#REF!</definedName>
    <definedName name="znh" localSheetId="29" hidden="1">#REF!</definedName>
    <definedName name="znh" hidden="1">#REF!</definedName>
    <definedName name="zxcvb" localSheetId="5" hidden="1">#REF!</definedName>
    <definedName name="zxcvb" localSheetId="3" hidden="1">#REF!</definedName>
    <definedName name="zxcvb" localSheetId="29" hidden="1">#REF!</definedName>
    <definedName name="zxcvb" hidden="1">#REF!</definedName>
    <definedName name="zxd" localSheetId="5" hidden="1">#REF!</definedName>
    <definedName name="zxd" localSheetId="3" hidden="1">#REF!</definedName>
    <definedName name="zxd" localSheetId="29" hidden="1">#REF!</definedName>
    <definedName name="zxd" hidden="1">#REF!</definedName>
    <definedName name="ZZ_EVCOMOPTS" hidden="1">10</definedName>
    <definedName name="zzz" localSheetId="1" hidden="1">{"'Sheet1'!$A$1:$O$40"}</definedName>
    <definedName name="zzz" localSheetId="32" hidden="1">{"'Sheet1'!$A$1:$O$40"}</definedName>
    <definedName name="zzz" localSheetId="6" hidden="1">{"'Sheet1'!$A$1:$O$40"}</definedName>
    <definedName name="zzz" localSheetId="4" hidden="1">{"'Sheet1'!$A$1:$O$40"}</definedName>
    <definedName name="zzz" localSheetId="5" hidden="1">{"'Sheet1'!$A$1:$O$40"}</definedName>
    <definedName name="zzz" localSheetId="7" hidden="1">{"'Sheet1'!$A$1:$O$40"}</definedName>
    <definedName name="zzz" localSheetId="3" hidden="1">{"'Sheet1'!$A$1:$O$40"}</definedName>
    <definedName name="zzz" localSheetId="29" hidden="1">{"'Sheet1'!$A$1:$O$40"}</definedName>
    <definedName name="zzz" localSheetId="47" hidden="1">{"'Sheet1'!$A$1:$O$40"}</definedName>
    <definedName name="zzz" hidden="1">{"'Sheet1'!$A$1:$O$40"}</definedName>
    <definedName name="zzz."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 i="482" l="1"/>
  <c r="I22" i="482"/>
  <c r="H22" i="482"/>
  <c r="G22" i="482"/>
  <c r="F22" i="482"/>
  <c r="E22" i="482"/>
  <c r="D22" i="482"/>
  <c r="E17" i="13"/>
  <c r="J11" i="254"/>
  <c r="D24" i="417" l="1"/>
  <c r="C12" i="361"/>
  <c r="C12" i="360"/>
  <c r="C12" i="358"/>
  <c r="K11" i="13" l="1"/>
  <c r="K9" i="13"/>
  <c r="F2" i="482"/>
  <c r="G2" i="482"/>
  <c r="H2" i="482"/>
  <c r="I2" i="482" s="1"/>
  <c r="E2" i="482"/>
  <c r="C30" i="14" l="1"/>
  <c r="C28" i="14"/>
  <c r="P40" i="39"/>
  <c r="P34" i="39"/>
  <c r="H47" i="7"/>
  <c r="E13" i="14"/>
  <c r="E15" i="10"/>
  <c r="K20" i="18"/>
  <c r="G20" i="18"/>
  <c r="I24" i="15"/>
  <c r="I21" i="15"/>
  <c r="I16" i="15"/>
  <c r="F16" i="15"/>
  <c r="C16" i="15"/>
  <c r="P15" i="55"/>
  <c r="P13" i="55"/>
  <c r="P12" i="55"/>
  <c r="P11" i="55"/>
  <c r="P10" i="55"/>
  <c r="L15" i="55"/>
  <c r="L14" i="55"/>
  <c r="L13" i="55"/>
  <c r="L12" i="55"/>
  <c r="L11" i="55"/>
  <c r="L10" i="55"/>
  <c r="H15" i="55"/>
  <c r="H14" i="55"/>
  <c r="H13" i="55"/>
  <c r="H12" i="55"/>
  <c r="H11" i="55"/>
  <c r="H10" i="55"/>
  <c r="L504" i="100" l="1"/>
  <c r="M22" i="7"/>
  <c r="J22" i="7"/>
  <c r="G22" i="7"/>
  <c r="D22" i="7"/>
  <c r="D11" i="55" l="1"/>
  <c r="D12" i="55"/>
  <c r="D13" i="55"/>
  <c r="D14" i="55"/>
  <c r="D15" i="55"/>
  <c r="D10" i="55"/>
  <c r="I1179" i="99"/>
  <c r="J1173" i="99"/>
  <c r="J1179" i="99" s="1"/>
  <c r="I1173" i="99"/>
  <c r="H1173" i="99"/>
  <c r="H1179" i="99" s="1"/>
  <c r="J1171" i="99"/>
  <c r="J1177" i="99" s="1"/>
  <c r="J1181" i="99" s="1"/>
  <c r="I1171" i="99"/>
  <c r="I1177" i="99" s="1"/>
  <c r="I1181" i="99" s="1"/>
  <c r="H1171" i="99"/>
  <c r="H1177" i="99" s="1"/>
  <c r="H1181" i="99" s="1"/>
  <c r="G1173" i="99"/>
  <c r="F1173" i="99"/>
  <c r="E1173" i="99"/>
  <c r="D1173" i="99"/>
  <c r="C1173" i="99"/>
  <c r="B1173" i="99"/>
  <c r="G1171" i="99"/>
  <c r="F1171" i="99"/>
  <c r="E1171" i="99"/>
  <c r="D1171" i="99"/>
  <c r="C1171" i="99"/>
  <c r="B1171" i="99"/>
  <c r="R2" i="482" l="1"/>
  <c r="P14" i="36"/>
  <c r="P10" i="36"/>
  <c r="P11" i="36"/>
  <c r="P12" i="36"/>
  <c r="P13" i="36"/>
  <c r="M10" i="36"/>
  <c r="M11" i="36"/>
  <c r="M12" i="36"/>
  <c r="M13" i="36"/>
  <c r="M14" i="36"/>
  <c r="J10" i="36"/>
  <c r="J11" i="36"/>
  <c r="J12" i="36"/>
  <c r="J13" i="36"/>
  <c r="J14" i="36"/>
  <c r="G10" i="36"/>
  <c r="G11" i="36"/>
  <c r="G12" i="36"/>
  <c r="G13" i="36"/>
  <c r="G14" i="36"/>
  <c r="J11" i="55"/>
  <c r="J12" i="55"/>
  <c r="J13" i="55"/>
  <c r="J14" i="55"/>
  <c r="J15" i="55"/>
  <c r="J10" i="55"/>
  <c r="F11" i="55"/>
  <c r="F12" i="55"/>
  <c r="F13" i="55"/>
  <c r="F14" i="55"/>
  <c r="F15" i="55"/>
  <c r="F10" i="55"/>
  <c r="G14" i="18"/>
  <c r="G15" i="18"/>
  <c r="G16" i="18"/>
  <c r="G17" i="18"/>
  <c r="K14" i="18"/>
  <c r="K15" i="18"/>
  <c r="K16" i="18"/>
  <c r="K17" i="18"/>
  <c r="K18" i="18"/>
  <c r="K6" i="316" l="1"/>
  <c r="K7" i="316"/>
  <c r="K8" i="316"/>
  <c r="K9" i="316"/>
  <c r="K10" i="316"/>
  <c r="K11" i="316"/>
  <c r="K12" i="316"/>
  <c r="K13" i="316"/>
  <c r="K14" i="316"/>
  <c r="K15" i="316"/>
  <c r="K16" i="316"/>
  <c r="K17" i="316"/>
  <c r="K18" i="316"/>
  <c r="K19" i="316"/>
  <c r="K20" i="316"/>
  <c r="K21" i="316"/>
  <c r="K22" i="316"/>
  <c r="K23" i="316"/>
  <c r="K24" i="316"/>
  <c r="K25" i="316"/>
  <c r="K26" i="316"/>
  <c r="K27" i="316"/>
  <c r="K28" i="316"/>
  <c r="K29" i="316"/>
  <c r="K30" i="316"/>
  <c r="K31" i="316"/>
  <c r="K32" i="316"/>
  <c r="K33" i="316"/>
  <c r="K34" i="316"/>
  <c r="K35" i="316"/>
  <c r="K36" i="316"/>
  <c r="K37" i="316"/>
  <c r="K38" i="316"/>
  <c r="K39" i="316"/>
  <c r="K40" i="316"/>
  <c r="K41" i="316"/>
  <c r="K42" i="316"/>
  <c r="K43" i="316"/>
  <c r="K44" i="316"/>
  <c r="K45" i="316"/>
  <c r="K46" i="316"/>
  <c r="K47" i="316"/>
  <c r="K48" i="316"/>
  <c r="K49" i="316"/>
  <c r="K50" i="316"/>
  <c r="K51" i="316"/>
  <c r="K52" i="316"/>
  <c r="K53" i="316"/>
  <c r="K54" i="316"/>
  <c r="K55" i="316"/>
  <c r="K56" i="316"/>
  <c r="K57" i="316"/>
  <c r="K58" i="316"/>
  <c r="K59" i="316"/>
  <c r="K60" i="316"/>
  <c r="K61" i="316"/>
  <c r="K62" i="316"/>
  <c r="K63" i="316"/>
  <c r="K64" i="316"/>
  <c r="K65" i="316"/>
  <c r="K66" i="316"/>
  <c r="K67" i="316"/>
  <c r="K68" i="316"/>
  <c r="K69" i="316"/>
  <c r="K70" i="316"/>
  <c r="K71" i="316"/>
  <c r="K72" i="316"/>
  <c r="K73" i="316"/>
  <c r="K74" i="316"/>
  <c r="K75" i="316"/>
  <c r="K76" i="316"/>
  <c r="K77" i="316"/>
  <c r="K78" i="316"/>
  <c r="K79" i="316"/>
  <c r="K80" i="316"/>
  <c r="K81" i="316"/>
  <c r="K82" i="316"/>
  <c r="K83" i="316"/>
  <c r="K84" i="316"/>
  <c r="K85" i="316"/>
  <c r="K86" i="316"/>
  <c r="K87" i="316"/>
  <c r="K88" i="316"/>
  <c r="K89" i="316"/>
  <c r="K90" i="316"/>
  <c r="K91" i="316"/>
  <c r="K92" i="316"/>
  <c r="K93" i="316"/>
  <c r="K94" i="316"/>
  <c r="K95" i="316"/>
  <c r="K96" i="316"/>
  <c r="K97" i="316"/>
  <c r="K98" i="316"/>
  <c r="K99" i="316"/>
  <c r="K100" i="316"/>
  <c r="K101" i="316"/>
  <c r="K102" i="316"/>
  <c r="K103" i="316"/>
  <c r="K104" i="316"/>
  <c r="K105" i="316"/>
  <c r="K106" i="316"/>
  <c r="K107" i="316"/>
  <c r="K108" i="316"/>
  <c r="K109" i="316"/>
  <c r="K110" i="316"/>
  <c r="K111" i="316"/>
  <c r="K112" i="316"/>
  <c r="K113" i="316"/>
  <c r="K114" i="316"/>
  <c r="K115" i="316"/>
  <c r="K116" i="316"/>
  <c r="K117" i="316"/>
  <c r="K118" i="316"/>
  <c r="K119" i="316"/>
  <c r="K120" i="316"/>
  <c r="K121" i="316"/>
  <c r="K122" i="316"/>
  <c r="K123" i="316"/>
  <c r="K124" i="316"/>
  <c r="K125" i="316"/>
  <c r="K126" i="316"/>
  <c r="K127" i="316"/>
  <c r="K128" i="316"/>
  <c r="K129" i="316"/>
  <c r="K130" i="316"/>
  <c r="K131" i="316"/>
  <c r="K132" i="316"/>
  <c r="K133" i="316"/>
  <c r="K134" i="316"/>
  <c r="K135" i="316"/>
  <c r="K136" i="316"/>
  <c r="K137" i="316"/>
  <c r="K138" i="316"/>
  <c r="K139" i="316"/>
  <c r="K140" i="316"/>
  <c r="K141" i="316"/>
  <c r="K142" i="316"/>
  <c r="K143" i="316"/>
  <c r="K144" i="316"/>
  <c r="K145" i="316"/>
  <c r="K146" i="316"/>
  <c r="K147" i="316"/>
  <c r="K148" i="316"/>
  <c r="K149" i="316"/>
  <c r="K150" i="316"/>
  <c r="K151" i="316"/>
  <c r="K152" i="316"/>
  <c r="K153" i="316"/>
  <c r="K154" i="316"/>
  <c r="K155" i="316"/>
  <c r="K156" i="316"/>
  <c r="K157" i="316"/>
  <c r="K158" i="316"/>
  <c r="K159" i="316"/>
  <c r="K160" i="316"/>
  <c r="K161" i="316"/>
  <c r="K162" i="316"/>
  <c r="K163" i="316"/>
  <c r="K164" i="316"/>
  <c r="K165" i="316"/>
  <c r="K166" i="316"/>
  <c r="K167" i="316"/>
  <c r="K168" i="316"/>
  <c r="K169" i="316"/>
  <c r="K170" i="316"/>
  <c r="K171" i="316"/>
  <c r="K172" i="316"/>
  <c r="K173" i="316"/>
  <c r="K174" i="316"/>
  <c r="K175" i="316"/>
  <c r="K176" i="316"/>
  <c r="K177" i="316"/>
  <c r="K178" i="316"/>
  <c r="K179" i="316"/>
  <c r="K180" i="316"/>
  <c r="K181" i="316"/>
  <c r="K182" i="316"/>
  <c r="K183" i="316"/>
  <c r="K184" i="316"/>
  <c r="K185" i="316"/>
  <c r="K186" i="316"/>
  <c r="K187" i="316"/>
  <c r="K188" i="316"/>
  <c r="K189" i="316"/>
  <c r="K190" i="316"/>
  <c r="K191" i="316"/>
  <c r="K192" i="316"/>
  <c r="K193" i="316"/>
  <c r="K194" i="316"/>
  <c r="K195" i="316"/>
  <c r="K196" i="316"/>
  <c r="K197" i="316"/>
  <c r="K198" i="316"/>
  <c r="K199" i="316"/>
  <c r="K200" i="316"/>
  <c r="K201" i="316"/>
  <c r="K202" i="316"/>
  <c r="K203" i="316"/>
  <c r="K204" i="316"/>
  <c r="K205" i="316"/>
  <c r="K206" i="316"/>
  <c r="K207" i="316"/>
  <c r="K208" i="316"/>
  <c r="K209" i="316"/>
  <c r="K210" i="316"/>
  <c r="K211" i="316"/>
  <c r="K212" i="316"/>
  <c r="K213" i="316"/>
  <c r="K214" i="316"/>
  <c r="K215" i="316"/>
  <c r="K216" i="316"/>
  <c r="K217" i="316"/>
  <c r="K218" i="316"/>
  <c r="K219" i="316"/>
  <c r="K220" i="316"/>
  <c r="K221" i="316"/>
  <c r="K222" i="316"/>
  <c r="K223" i="316"/>
  <c r="K224" i="316"/>
  <c r="K225" i="316"/>
  <c r="K226" i="316"/>
  <c r="K227" i="316"/>
  <c r="K228" i="316"/>
  <c r="K229" i="316"/>
  <c r="K230" i="316"/>
  <c r="K231" i="316"/>
  <c r="K232" i="316"/>
  <c r="K233" i="316"/>
  <c r="K234" i="316"/>
  <c r="K235" i="316"/>
  <c r="K236" i="316"/>
  <c r="K237" i="316"/>
  <c r="K238" i="316"/>
  <c r="K239" i="316"/>
  <c r="K240" i="316"/>
  <c r="K241" i="316"/>
  <c r="K242" i="316"/>
  <c r="K243" i="316"/>
  <c r="K244" i="316"/>
  <c r="K245" i="316"/>
  <c r="K246" i="316"/>
  <c r="K247" i="316"/>
  <c r="K248" i="316"/>
  <c r="K249" i="316"/>
  <c r="K250" i="316"/>
  <c r="K251" i="316"/>
  <c r="K252" i="316"/>
  <c r="K253" i="316"/>
  <c r="K254" i="316"/>
  <c r="K255" i="316"/>
  <c r="K256" i="316"/>
  <c r="K257" i="316"/>
  <c r="K258" i="316"/>
  <c r="K259" i="316"/>
  <c r="K260" i="316"/>
  <c r="K261" i="316"/>
  <c r="K262" i="316"/>
  <c r="K263" i="316"/>
  <c r="K264" i="316"/>
  <c r="K265" i="316"/>
  <c r="K266" i="316"/>
  <c r="K267" i="316"/>
  <c r="K268" i="316"/>
  <c r="K269" i="316"/>
  <c r="K270" i="316"/>
  <c r="K271" i="316"/>
  <c r="K272" i="316"/>
  <c r="K273" i="316"/>
  <c r="K274" i="316"/>
  <c r="K275" i="316"/>
  <c r="K276" i="316"/>
  <c r="K277" i="316"/>
  <c r="K278" i="316"/>
  <c r="K279" i="316"/>
  <c r="K280" i="316"/>
  <c r="K281" i="316"/>
  <c r="K282" i="316"/>
  <c r="K283" i="316"/>
  <c r="K284" i="316"/>
  <c r="K285" i="316"/>
  <c r="K286" i="316"/>
  <c r="K287" i="316"/>
  <c r="K288" i="316"/>
  <c r="K289" i="316"/>
  <c r="K290" i="316"/>
  <c r="K291" i="316"/>
  <c r="K292" i="316"/>
  <c r="K293" i="316"/>
  <c r="K294" i="316"/>
  <c r="K295" i="316"/>
  <c r="K296" i="316"/>
  <c r="K297" i="316"/>
  <c r="K298" i="316"/>
  <c r="K299" i="316"/>
  <c r="K300" i="316"/>
  <c r="K301" i="316"/>
  <c r="K302" i="316"/>
  <c r="K303" i="316"/>
  <c r="K304" i="316"/>
  <c r="K305" i="316"/>
  <c r="K306" i="316"/>
  <c r="K307" i="316"/>
  <c r="K308" i="316"/>
  <c r="K309" i="316"/>
  <c r="K310" i="316"/>
  <c r="K311" i="316"/>
  <c r="K312" i="316"/>
  <c r="K313" i="316"/>
  <c r="K314" i="316"/>
  <c r="K315" i="316"/>
  <c r="K316" i="316"/>
  <c r="K317" i="316"/>
  <c r="K318" i="316"/>
  <c r="K319" i="316"/>
  <c r="K320" i="316"/>
  <c r="K321" i="316"/>
  <c r="K322" i="316"/>
  <c r="K323" i="316"/>
  <c r="K324" i="316"/>
  <c r="K325" i="316"/>
  <c r="K326" i="316"/>
  <c r="K327" i="316"/>
  <c r="K328" i="316"/>
  <c r="K329" i="316"/>
  <c r="K330" i="316"/>
  <c r="K331" i="316"/>
  <c r="K332" i="316"/>
  <c r="K333" i="316"/>
  <c r="K334" i="316"/>
  <c r="K335" i="316"/>
  <c r="K336" i="316"/>
  <c r="K337" i="316"/>
  <c r="K338" i="316"/>
  <c r="K339" i="316"/>
  <c r="K340" i="316"/>
  <c r="K341" i="316"/>
  <c r="K342" i="316"/>
  <c r="K343" i="316"/>
  <c r="K344" i="316"/>
  <c r="K345" i="316"/>
  <c r="K346" i="316"/>
  <c r="K347" i="316"/>
  <c r="K348" i="316"/>
  <c r="K349" i="316"/>
  <c r="K350" i="316"/>
  <c r="K351" i="316"/>
  <c r="K352" i="316"/>
  <c r="K353" i="316"/>
  <c r="K354" i="316"/>
  <c r="K355" i="316"/>
  <c r="K356" i="316"/>
  <c r="K357" i="316"/>
  <c r="K358" i="316"/>
  <c r="K359" i="316"/>
  <c r="K360" i="316"/>
  <c r="K361" i="316"/>
  <c r="K362" i="316"/>
  <c r="K363" i="316"/>
  <c r="K364" i="316"/>
  <c r="K365" i="316"/>
  <c r="K366" i="316"/>
  <c r="K367" i="316"/>
  <c r="K368" i="316"/>
  <c r="K369" i="316"/>
  <c r="K370" i="316"/>
  <c r="K371" i="316"/>
  <c r="K372" i="316"/>
  <c r="K373" i="316"/>
  <c r="K374" i="316"/>
  <c r="K375" i="316"/>
  <c r="K376" i="316"/>
  <c r="K377" i="316"/>
  <c r="K378" i="316"/>
  <c r="K379" i="316"/>
  <c r="K380" i="316"/>
  <c r="K381" i="316"/>
  <c r="K382" i="316"/>
  <c r="K383" i="316"/>
  <c r="K384" i="316"/>
  <c r="K385" i="316"/>
  <c r="K386" i="316"/>
  <c r="K387" i="316"/>
  <c r="K388" i="316"/>
  <c r="K389" i="316"/>
  <c r="K390" i="316"/>
  <c r="K391" i="316"/>
  <c r="K392" i="316"/>
  <c r="K393" i="316"/>
  <c r="K394" i="316"/>
  <c r="K395" i="316"/>
  <c r="K396" i="316"/>
  <c r="K397" i="316"/>
  <c r="K398" i="316"/>
  <c r="K399" i="316"/>
  <c r="K400" i="316"/>
  <c r="K401" i="316"/>
  <c r="K402" i="316"/>
  <c r="K403" i="316"/>
  <c r="K404" i="316"/>
  <c r="K405" i="316"/>
  <c r="K406" i="316"/>
  <c r="K407" i="316"/>
  <c r="K408" i="316"/>
  <c r="K409" i="316"/>
  <c r="K410" i="316"/>
  <c r="K411" i="316"/>
  <c r="K412" i="316"/>
  <c r="K413" i="316"/>
  <c r="K414" i="316"/>
  <c r="K415" i="316"/>
  <c r="K416" i="316"/>
  <c r="K417" i="316"/>
  <c r="K418" i="316"/>
  <c r="K419" i="316"/>
  <c r="K420" i="316"/>
  <c r="K421" i="316"/>
  <c r="K422" i="316"/>
  <c r="K423" i="316"/>
  <c r="K424" i="316"/>
  <c r="K425" i="316"/>
  <c r="K426" i="316"/>
  <c r="K427" i="316"/>
  <c r="K428" i="316"/>
  <c r="K429" i="316"/>
  <c r="K430" i="316"/>
  <c r="K431" i="316"/>
  <c r="K432" i="316"/>
  <c r="K433" i="316"/>
  <c r="K434" i="316"/>
  <c r="K435" i="316"/>
  <c r="K436" i="316"/>
  <c r="K437" i="316"/>
  <c r="K438" i="316"/>
  <c r="K439" i="316"/>
  <c r="K440" i="316"/>
  <c r="K441" i="316"/>
  <c r="K442" i="316"/>
  <c r="K443" i="316"/>
  <c r="K444" i="316"/>
  <c r="K445" i="316"/>
  <c r="K446" i="316"/>
  <c r="K447" i="316"/>
  <c r="K448" i="316"/>
  <c r="K449" i="316"/>
  <c r="K450" i="316"/>
  <c r="K451" i="316"/>
  <c r="K452" i="316"/>
  <c r="K453" i="316"/>
  <c r="K454" i="316"/>
  <c r="K455" i="316"/>
  <c r="K456" i="316"/>
  <c r="K457" i="316"/>
  <c r="K458" i="316"/>
  <c r="K459" i="316"/>
  <c r="K460" i="316"/>
  <c r="K461" i="316"/>
  <c r="K462" i="316"/>
  <c r="K463" i="316"/>
  <c r="K464" i="316"/>
  <c r="K465" i="316"/>
  <c r="K466" i="316"/>
  <c r="K467" i="316"/>
  <c r="K468" i="316"/>
  <c r="K469" i="316"/>
  <c r="K470" i="316"/>
  <c r="K471" i="316"/>
  <c r="K472" i="316"/>
  <c r="K473" i="316"/>
  <c r="K474" i="316"/>
  <c r="K475" i="316"/>
  <c r="K476" i="316"/>
  <c r="K477" i="316"/>
  <c r="K478" i="316"/>
  <c r="K479" i="316"/>
  <c r="K480" i="316"/>
  <c r="K481" i="316"/>
  <c r="K482" i="316"/>
  <c r="K483" i="316"/>
  <c r="K484" i="316"/>
  <c r="K485" i="316"/>
  <c r="K486" i="316"/>
  <c r="K487" i="316"/>
  <c r="K488" i="316"/>
  <c r="K489" i="316"/>
  <c r="K490" i="316"/>
  <c r="K491" i="316"/>
  <c r="K492" i="316"/>
  <c r="K493" i="316"/>
  <c r="K494" i="316"/>
  <c r="K495" i="316"/>
  <c r="K496" i="316"/>
  <c r="K497" i="316"/>
  <c r="K498" i="316"/>
  <c r="K499" i="316"/>
  <c r="K500" i="316"/>
  <c r="K501" i="316"/>
  <c r="K502" i="316"/>
  <c r="K503" i="316"/>
  <c r="K504" i="316"/>
  <c r="K505" i="316"/>
  <c r="K506" i="316"/>
  <c r="K507" i="316"/>
  <c r="K508" i="316"/>
  <c r="K509" i="316"/>
  <c r="K510" i="316"/>
  <c r="K511" i="316"/>
  <c r="K512" i="316"/>
  <c r="K513" i="316"/>
  <c r="K514" i="316"/>
  <c r="K515" i="316"/>
  <c r="K516" i="316"/>
  <c r="K517" i="316"/>
  <c r="K518" i="316"/>
  <c r="K519" i="316"/>
  <c r="K520" i="316"/>
  <c r="K521" i="316"/>
  <c r="K522" i="316"/>
  <c r="K523" i="316"/>
  <c r="K524" i="316"/>
  <c r="K525" i="316"/>
  <c r="K526" i="316"/>
  <c r="K527" i="316"/>
  <c r="K528" i="316"/>
  <c r="K529" i="316"/>
  <c r="K530" i="316"/>
  <c r="K531" i="316"/>
  <c r="K532" i="316"/>
  <c r="K533" i="316"/>
  <c r="K534" i="316"/>
  <c r="K535" i="316"/>
  <c r="K536" i="316"/>
  <c r="K537" i="316"/>
  <c r="K538" i="316"/>
  <c r="K539" i="316"/>
  <c r="K540" i="316"/>
  <c r="K541" i="316"/>
  <c r="K542" i="316"/>
  <c r="K543" i="316"/>
  <c r="K544" i="316"/>
  <c r="K545" i="316"/>
  <c r="K546" i="316"/>
  <c r="K547" i="316"/>
  <c r="K548" i="316"/>
  <c r="K549" i="316"/>
  <c r="K550" i="316"/>
  <c r="K551" i="316"/>
  <c r="K552" i="316"/>
  <c r="K553" i="316"/>
  <c r="K554" i="316"/>
  <c r="K555" i="316"/>
  <c r="K556" i="316"/>
  <c r="K557" i="316"/>
  <c r="K558" i="316"/>
  <c r="K559" i="316"/>
  <c r="K560" i="316"/>
  <c r="K561" i="316"/>
  <c r="K562" i="316"/>
  <c r="K563" i="316"/>
  <c r="K564" i="316"/>
  <c r="K565" i="316"/>
  <c r="K566" i="316"/>
  <c r="K567" i="316"/>
  <c r="K568" i="316"/>
  <c r="K569" i="316"/>
  <c r="K570" i="316"/>
  <c r="K571" i="316"/>
  <c r="K572" i="316"/>
  <c r="K573" i="316"/>
  <c r="K574" i="316"/>
  <c r="K575" i="316"/>
  <c r="K576" i="316"/>
  <c r="K577" i="316"/>
  <c r="K578" i="316"/>
  <c r="K579" i="316"/>
  <c r="K580" i="316"/>
  <c r="K581" i="316"/>
  <c r="K582" i="316"/>
  <c r="K583" i="316"/>
  <c r="K584" i="316"/>
  <c r="K585" i="316"/>
  <c r="K586" i="316"/>
  <c r="K587" i="316"/>
  <c r="K588" i="316"/>
  <c r="K589" i="316"/>
  <c r="K590" i="316"/>
  <c r="K591" i="316"/>
  <c r="K592" i="316"/>
  <c r="K593" i="316"/>
  <c r="K594" i="316"/>
  <c r="K595" i="316"/>
  <c r="K596" i="316"/>
  <c r="K597" i="316"/>
  <c r="K598" i="316"/>
  <c r="K599" i="316"/>
  <c r="K600" i="316"/>
  <c r="K601" i="316"/>
  <c r="K602" i="316"/>
  <c r="K603" i="316"/>
  <c r="K604" i="316"/>
  <c r="K605" i="316"/>
  <c r="K606" i="316"/>
  <c r="K607" i="316"/>
  <c r="K608" i="316"/>
  <c r="K609" i="316"/>
  <c r="K610" i="316"/>
  <c r="K611" i="316"/>
  <c r="K612" i="316"/>
  <c r="K613" i="316"/>
  <c r="K614" i="316"/>
  <c r="K615" i="316"/>
  <c r="K616" i="316"/>
  <c r="K617" i="316"/>
  <c r="K618" i="316"/>
  <c r="K619" i="316"/>
  <c r="K620" i="316"/>
  <c r="K621" i="316"/>
  <c r="K622" i="316"/>
  <c r="K623" i="316"/>
  <c r="K624" i="316"/>
  <c r="K625" i="316"/>
  <c r="K626" i="316"/>
  <c r="K627" i="316"/>
  <c r="K628" i="316"/>
  <c r="K629" i="316"/>
  <c r="K630" i="316"/>
  <c r="K631" i="316"/>
  <c r="K632" i="316"/>
  <c r="K633" i="316"/>
  <c r="K634" i="316"/>
  <c r="K635" i="316"/>
  <c r="K636" i="316"/>
  <c r="K637" i="316"/>
  <c r="K638" i="316"/>
  <c r="K639" i="316"/>
  <c r="K640" i="316"/>
  <c r="K641" i="316"/>
  <c r="K642" i="316"/>
  <c r="K643" i="316"/>
  <c r="K644" i="316"/>
  <c r="K645" i="316"/>
  <c r="K646" i="316"/>
  <c r="K647" i="316"/>
  <c r="K648" i="316"/>
  <c r="K649" i="316"/>
  <c r="K650" i="316"/>
  <c r="K651" i="316"/>
  <c r="K652" i="316"/>
  <c r="K653" i="316"/>
  <c r="K654" i="316"/>
  <c r="K655" i="316"/>
  <c r="K656" i="316"/>
  <c r="K657" i="316"/>
  <c r="K658" i="316"/>
  <c r="K659" i="316"/>
  <c r="K660" i="316"/>
  <c r="K661" i="316"/>
  <c r="K662" i="316"/>
  <c r="K663" i="316"/>
  <c r="K664" i="316"/>
  <c r="K665" i="316"/>
  <c r="K666" i="316"/>
  <c r="K667" i="316"/>
  <c r="K668" i="316"/>
  <c r="K669" i="316"/>
  <c r="K670" i="316"/>
  <c r="K671" i="316"/>
  <c r="K672" i="316"/>
  <c r="K673" i="316"/>
  <c r="K674" i="316"/>
  <c r="K675" i="316"/>
  <c r="K676" i="316"/>
  <c r="K677" i="316"/>
  <c r="K678" i="316"/>
  <c r="K679" i="316"/>
  <c r="K680" i="316"/>
  <c r="K681" i="316"/>
  <c r="K682" i="316"/>
  <c r="K683" i="316"/>
  <c r="K684" i="316"/>
  <c r="K685" i="316"/>
  <c r="K686" i="316"/>
  <c r="K687" i="316"/>
  <c r="K688" i="316"/>
  <c r="K689" i="316"/>
  <c r="K690" i="316"/>
  <c r="K691" i="316"/>
  <c r="K692" i="316"/>
  <c r="K693" i="316"/>
  <c r="K694" i="316"/>
  <c r="K695" i="316"/>
  <c r="K696" i="316"/>
  <c r="K697" i="316"/>
  <c r="K698" i="316"/>
  <c r="K699" i="316"/>
  <c r="K700" i="316"/>
  <c r="K701" i="316"/>
  <c r="K702" i="316"/>
  <c r="K703" i="316"/>
  <c r="K704" i="316"/>
  <c r="K705" i="316"/>
  <c r="K706" i="316"/>
  <c r="K707" i="316"/>
  <c r="K708" i="316"/>
  <c r="K709" i="316"/>
  <c r="K710" i="316"/>
  <c r="K711" i="316"/>
  <c r="K712" i="316"/>
  <c r="K713" i="316"/>
  <c r="K714" i="316"/>
  <c r="K715" i="316"/>
  <c r="K716" i="316"/>
  <c r="K717" i="316"/>
  <c r="K718" i="316"/>
  <c r="K719" i="316"/>
  <c r="K720" i="316"/>
  <c r="K721" i="316"/>
  <c r="K722" i="316"/>
  <c r="K723" i="316"/>
  <c r="K724" i="316"/>
  <c r="K725" i="316"/>
  <c r="K726" i="316"/>
  <c r="K727" i="316"/>
  <c r="K728" i="316"/>
  <c r="K729" i="316"/>
  <c r="K730" i="316"/>
  <c r="K731" i="316"/>
  <c r="K732" i="316"/>
  <c r="K733" i="316"/>
  <c r="K734" i="316"/>
  <c r="K735" i="316"/>
  <c r="K736" i="316"/>
  <c r="K737" i="316"/>
  <c r="K738" i="316"/>
  <c r="K739" i="316"/>
  <c r="K740" i="316"/>
  <c r="K741" i="316"/>
  <c r="K742" i="316"/>
  <c r="K743" i="316"/>
  <c r="K744" i="316"/>
  <c r="K745" i="316"/>
  <c r="K746" i="316"/>
  <c r="K747" i="316"/>
  <c r="K748" i="316"/>
  <c r="K749" i="316"/>
  <c r="K750" i="316"/>
  <c r="K751" i="316"/>
  <c r="K752" i="316"/>
  <c r="K753" i="316"/>
  <c r="K754" i="316"/>
  <c r="K755" i="316"/>
  <c r="K756" i="316"/>
  <c r="K757" i="316"/>
  <c r="K758" i="316"/>
  <c r="K759" i="316"/>
  <c r="K760" i="316"/>
  <c r="K761" i="316"/>
  <c r="K762" i="316"/>
  <c r="K763" i="316"/>
  <c r="K764" i="316"/>
  <c r="K765" i="316"/>
  <c r="K766" i="316"/>
  <c r="K767" i="316"/>
  <c r="K768" i="316"/>
  <c r="K769" i="316"/>
  <c r="K770" i="316"/>
  <c r="K771" i="316"/>
  <c r="K772" i="316"/>
  <c r="K773" i="316"/>
  <c r="K774" i="316"/>
  <c r="K775" i="316"/>
  <c r="K776" i="316"/>
  <c r="K777" i="316"/>
  <c r="K778" i="316"/>
  <c r="K779" i="316"/>
  <c r="K780" i="316"/>
  <c r="K781" i="316"/>
  <c r="K782" i="316"/>
  <c r="K783" i="316"/>
  <c r="K784" i="316"/>
  <c r="K785" i="316"/>
  <c r="K786" i="316"/>
  <c r="K787" i="316"/>
  <c r="K788" i="316"/>
  <c r="K789" i="316"/>
  <c r="K790" i="316"/>
  <c r="K791" i="316"/>
  <c r="K792" i="316"/>
  <c r="K793" i="316"/>
  <c r="K794" i="316"/>
  <c r="K795" i="316"/>
  <c r="K796" i="316"/>
  <c r="K797" i="316"/>
  <c r="K798" i="316"/>
  <c r="K799" i="316"/>
  <c r="K800" i="316"/>
  <c r="K801" i="316"/>
  <c r="K802" i="316"/>
  <c r="K803" i="316"/>
  <c r="K804" i="316"/>
  <c r="K805" i="316"/>
  <c r="K806" i="316"/>
  <c r="K807" i="316"/>
  <c r="K808" i="316"/>
  <c r="K809" i="316"/>
  <c r="K810" i="316"/>
  <c r="K811" i="316"/>
  <c r="K812" i="316"/>
  <c r="K813" i="316"/>
  <c r="K814" i="316"/>
  <c r="K815" i="316"/>
  <c r="K816" i="316"/>
  <c r="K817" i="316"/>
  <c r="K818" i="316"/>
  <c r="K819" i="316"/>
  <c r="K820" i="316"/>
  <c r="K821" i="316"/>
  <c r="K822" i="316"/>
  <c r="K823" i="316"/>
  <c r="A847" i="316" l="1"/>
  <c r="H10" i="37"/>
  <c r="H11" i="37"/>
  <c r="H12" i="37"/>
  <c r="H13" i="37"/>
  <c r="H14" i="37"/>
  <c r="E28" i="34"/>
  <c r="M10" i="39"/>
  <c r="M11" i="39"/>
  <c r="M12" i="39"/>
  <c r="M13" i="39"/>
  <c r="M14" i="39"/>
  <c r="M15" i="39"/>
  <c r="M16" i="39"/>
  <c r="M17" i="39"/>
  <c r="M18" i="39"/>
  <c r="M19" i="39"/>
  <c r="M20" i="39"/>
  <c r="M21" i="39"/>
  <c r="M22" i="39"/>
  <c r="P22" i="39" s="1"/>
  <c r="M23" i="39"/>
  <c r="M24" i="39"/>
  <c r="M25" i="39"/>
  <c r="M26" i="39"/>
  <c r="M27" i="39"/>
  <c r="M28" i="39"/>
  <c r="M29" i="39"/>
  <c r="M30" i="39"/>
  <c r="P30" i="39" s="1"/>
  <c r="M31" i="39"/>
  <c r="P31" i="39" s="1"/>
  <c r="M32" i="39"/>
  <c r="M33" i="39"/>
  <c r="M34" i="39"/>
  <c r="M35" i="39"/>
  <c r="M36" i="39"/>
  <c r="M37" i="39"/>
  <c r="M38" i="39"/>
  <c r="M39" i="39"/>
  <c r="M40" i="39"/>
  <c r="M41" i="39"/>
  <c r="M42" i="39"/>
  <c r="M43" i="39"/>
  <c r="M44" i="39"/>
  <c r="M45" i="39"/>
  <c r="P45" i="39" s="1"/>
  <c r="M46" i="39"/>
  <c r="M47" i="39"/>
  <c r="J10" i="39"/>
  <c r="J11" i="39"/>
  <c r="J12" i="39"/>
  <c r="J13" i="39"/>
  <c r="J14" i="39"/>
  <c r="J15" i="39"/>
  <c r="J16" i="39"/>
  <c r="J17" i="39"/>
  <c r="J18" i="39"/>
  <c r="P18" i="39" s="1"/>
  <c r="J19" i="39"/>
  <c r="J20" i="39"/>
  <c r="J21" i="39"/>
  <c r="J22" i="39"/>
  <c r="J23" i="39"/>
  <c r="J24" i="39"/>
  <c r="J25" i="39"/>
  <c r="J26" i="39"/>
  <c r="J27" i="39"/>
  <c r="J28" i="39"/>
  <c r="J29" i="39"/>
  <c r="J30" i="39"/>
  <c r="J31" i="39"/>
  <c r="J32" i="39"/>
  <c r="P32" i="39" s="1"/>
  <c r="J33" i="39"/>
  <c r="J34" i="39"/>
  <c r="J35" i="39"/>
  <c r="J36" i="39"/>
  <c r="P36" i="39" s="1"/>
  <c r="J37" i="39"/>
  <c r="J38" i="39"/>
  <c r="J39" i="39"/>
  <c r="J40" i="39"/>
  <c r="J41" i="39"/>
  <c r="J42" i="39"/>
  <c r="J43" i="39"/>
  <c r="J44" i="39"/>
  <c r="J45" i="39"/>
  <c r="J46" i="39"/>
  <c r="J47" i="39"/>
  <c r="G10" i="39"/>
  <c r="G11" i="39"/>
  <c r="G12" i="39"/>
  <c r="G13" i="39"/>
  <c r="G14" i="39"/>
  <c r="G15" i="39"/>
  <c r="G16" i="39"/>
  <c r="G17" i="39"/>
  <c r="G18" i="39"/>
  <c r="G19" i="39"/>
  <c r="G20" i="39"/>
  <c r="G21" i="39"/>
  <c r="P21" i="39" s="1"/>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P10" i="39"/>
  <c r="P11" i="39"/>
  <c r="P12" i="39"/>
  <c r="P13" i="39"/>
  <c r="P14" i="39"/>
  <c r="P19" i="39"/>
  <c r="P20" i="39"/>
  <c r="P26" i="39"/>
  <c r="P27" i="39"/>
  <c r="P28" i="39"/>
  <c r="P29" i="39"/>
  <c r="P35" i="39"/>
  <c r="P37" i="39"/>
  <c r="P41" i="39"/>
  <c r="P42" i="39"/>
  <c r="P43" i="39"/>
  <c r="P44" i="39"/>
  <c r="B9" i="150"/>
  <c r="C49" i="10"/>
  <c r="F503" i="152"/>
  <c r="F502" i="152"/>
  <c r="F501" i="152"/>
  <c r="F500" i="152"/>
  <c r="F499" i="152"/>
  <c r="F498" i="152"/>
  <c r="F497" i="152"/>
  <c r="F496" i="152"/>
  <c r="F495" i="152"/>
  <c r="G494" i="152"/>
  <c r="H494" i="152" s="1"/>
  <c r="F494" i="152"/>
  <c r="F493" i="152"/>
  <c r="F492" i="152"/>
  <c r="F491" i="152"/>
  <c r="F490" i="152"/>
  <c r="F489" i="152"/>
  <c r="F488" i="152"/>
  <c r="F487" i="152"/>
  <c r="F486" i="152"/>
  <c r="F485" i="152"/>
  <c r="F484" i="152"/>
  <c r="F483" i="152"/>
  <c r="F482" i="152"/>
  <c r="F481" i="152"/>
  <c r="F480" i="152"/>
  <c r="G480" i="152" s="1"/>
  <c r="H480" i="152" s="1"/>
  <c r="F479" i="152"/>
  <c r="F478" i="152"/>
  <c r="F477" i="152"/>
  <c r="F476" i="152"/>
  <c r="H475" i="152"/>
  <c r="G475" i="152"/>
  <c r="F475" i="152"/>
  <c r="F474" i="152"/>
  <c r="F473" i="152"/>
  <c r="F472" i="152"/>
  <c r="F471" i="152"/>
  <c r="F470" i="152"/>
  <c r="F469" i="152"/>
  <c r="F468" i="152"/>
  <c r="F467" i="152"/>
  <c r="F466" i="152"/>
  <c r="F465" i="152"/>
  <c r="F464" i="152"/>
  <c r="F463" i="152"/>
  <c r="F462" i="152"/>
  <c r="F461" i="152"/>
  <c r="F460" i="152"/>
  <c r="F459" i="152"/>
  <c r="F458" i="152"/>
  <c r="F457" i="152"/>
  <c r="F456" i="152"/>
  <c r="G456" i="152" s="1"/>
  <c r="H456" i="152" s="1"/>
  <c r="F455" i="152"/>
  <c r="F454" i="152"/>
  <c r="F453" i="152"/>
  <c r="F452" i="152"/>
  <c r="H451" i="152"/>
  <c r="G451" i="152"/>
  <c r="F451" i="152"/>
  <c r="F450" i="152"/>
  <c r="F449" i="152"/>
  <c r="F448" i="152"/>
  <c r="F447" i="152"/>
  <c r="F446" i="152"/>
  <c r="F445" i="152"/>
  <c r="F444" i="152"/>
  <c r="G444" i="152" s="1"/>
  <c r="H444" i="152" s="1"/>
  <c r="F443" i="152"/>
  <c r="F442" i="152"/>
  <c r="F441" i="152"/>
  <c r="F440" i="152"/>
  <c r="F439" i="152"/>
  <c r="F438" i="152"/>
  <c r="F437" i="152"/>
  <c r="F436" i="152"/>
  <c r="F435" i="152"/>
  <c r="F434" i="152"/>
  <c r="F433" i="152"/>
  <c r="F432" i="152"/>
  <c r="F431" i="152"/>
  <c r="F430" i="152"/>
  <c r="F429" i="152"/>
  <c r="F428" i="152"/>
  <c r="F427" i="152"/>
  <c r="F426" i="152"/>
  <c r="F425" i="152"/>
  <c r="F424" i="152"/>
  <c r="F423" i="152"/>
  <c r="F422" i="152"/>
  <c r="F421" i="152"/>
  <c r="F420" i="152"/>
  <c r="F419" i="152"/>
  <c r="F418" i="152"/>
  <c r="F417" i="152"/>
  <c r="F416" i="152"/>
  <c r="F415" i="152"/>
  <c r="F414" i="152"/>
  <c r="F413" i="152"/>
  <c r="F412" i="152"/>
  <c r="F411" i="152"/>
  <c r="F410" i="152"/>
  <c r="F409" i="152"/>
  <c r="F408" i="152"/>
  <c r="F407" i="152"/>
  <c r="F406" i="152"/>
  <c r="F405" i="152"/>
  <c r="F404" i="152"/>
  <c r="F403" i="152"/>
  <c r="F402" i="152"/>
  <c r="F401" i="152"/>
  <c r="F400" i="152"/>
  <c r="F399" i="152"/>
  <c r="F398" i="152"/>
  <c r="F397" i="152"/>
  <c r="F396" i="152"/>
  <c r="F395" i="152"/>
  <c r="F394" i="152"/>
  <c r="F393" i="152"/>
  <c r="F392" i="152"/>
  <c r="F391" i="152"/>
  <c r="F390" i="152"/>
  <c r="G389" i="152"/>
  <c r="H389" i="152" s="1"/>
  <c r="F389" i="152"/>
  <c r="F388" i="152"/>
  <c r="F387" i="152"/>
  <c r="F386" i="152"/>
  <c r="F385" i="152"/>
  <c r="F384" i="152"/>
  <c r="F383" i="152"/>
  <c r="F382" i="152"/>
  <c r="F381" i="152"/>
  <c r="F380" i="152"/>
  <c r="F379" i="152"/>
  <c r="F378" i="152"/>
  <c r="F377" i="152"/>
  <c r="F376" i="152"/>
  <c r="F375" i="152"/>
  <c r="F374" i="152"/>
  <c r="F373" i="152"/>
  <c r="F372" i="152"/>
  <c r="F371" i="152"/>
  <c r="F370" i="152"/>
  <c r="F369" i="152"/>
  <c r="F368" i="152"/>
  <c r="F367" i="152"/>
  <c r="F366" i="152"/>
  <c r="F365" i="152"/>
  <c r="F364" i="152"/>
  <c r="F363" i="152"/>
  <c r="F362" i="152"/>
  <c r="F361" i="152"/>
  <c r="H360" i="152"/>
  <c r="F360" i="152"/>
  <c r="G360" i="152" s="1"/>
  <c r="F359" i="152"/>
  <c r="F358" i="152"/>
  <c r="F357" i="152"/>
  <c r="F356" i="152"/>
  <c r="H355" i="152"/>
  <c r="G355" i="152"/>
  <c r="F355" i="152"/>
  <c r="F354" i="152"/>
  <c r="G354" i="152" s="1"/>
  <c r="H354" i="152" s="1"/>
  <c r="F353" i="152"/>
  <c r="F352" i="152"/>
  <c r="F351" i="152"/>
  <c r="F350" i="152"/>
  <c r="F349" i="152"/>
  <c r="H348" i="152"/>
  <c r="F348" i="152"/>
  <c r="G348" i="152" s="1"/>
  <c r="F347" i="152"/>
  <c r="F346" i="152"/>
  <c r="F345" i="152"/>
  <c r="H344" i="152"/>
  <c r="F344" i="152"/>
  <c r="G344" i="152" s="1"/>
  <c r="G343" i="152"/>
  <c r="H343" i="152" s="1"/>
  <c r="F343" i="152"/>
  <c r="F342" i="152"/>
  <c r="F341" i="152"/>
  <c r="F340" i="152"/>
  <c r="F339" i="152"/>
  <c r="F338" i="152"/>
  <c r="F337" i="152"/>
  <c r="F336" i="152"/>
  <c r="F335" i="152"/>
  <c r="F334" i="152"/>
  <c r="F333" i="152"/>
  <c r="F332" i="152"/>
  <c r="F331" i="152"/>
  <c r="F330" i="152"/>
  <c r="F329" i="152"/>
  <c r="F328" i="152"/>
  <c r="F327" i="152"/>
  <c r="F326" i="152"/>
  <c r="G326" i="152" s="1"/>
  <c r="H326" i="152" s="1"/>
  <c r="F325" i="152"/>
  <c r="F324" i="152"/>
  <c r="F323" i="152"/>
  <c r="F322" i="152"/>
  <c r="F321" i="152"/>
  <c r="F320" i="152"/>
  <c r="F319" i="152"/>
  <c r="F318" i="152"/>
  <c r="F317" i="152"/>
  <c r="F316" i="152"/>
  <c r="F315" i="152"/>
  <c r="F314" i="152"/>
  <c r="F313" i="152"/>
  <c r="G313" i="152" s="1"/>
  <c r="H313" i="152" s="1"/>
  <c r="F312" i="152"/>
  <c r="F311" i="152"/>
  <c r="F310" i="152"/>
  <c r="F309" i="152"/>
  <c r="F308" i="152"/>
  <c r="F307" i="152"/>
  <c r="F306" i="152"/>
  <c r="F305" i="152"/>
  <c r="F304" i="152"/>
  <c r="F303" i="152"/>
  <c r="H302" i="152"/>
  <c r="G302" i="152"/>
  <c r="F302" i="152"/>
  <c r="F301" i="152"/>
  <c r="F300" i="152"/>
  <c r="F299" i="152"/>
  <c r="F298" i="152"/>
  <c r="F297" i="152"/>
  <c r="F296" i="152"/>
  <c r="F295" i="152"/>
  <c r="F294" i="152"/>
  <c r="F293" i="152"/>
  <c r="F292" i="152"/>
  <c r="F291" i="152"/>
  <c r="F290" i="152"/>
  <c r="H289" i="152"/>
  <c r="G289" i="152"/>
  <c r="F289" i="152"/>
  <c r="F288" i="152"/>
  <c r="F287" i="152"/>
  <c r="F286" i="152"/>
  <c r="G286" i="152" s="1"/>
  <c r="H286" i="152" s="1"/>
  <c r="G285" i="152"/>
  <c r="H285" i="152" s="1"/>
  <c r="F285" i="152"/>
  <c r="F284" i="152"/>
  <c r="F283" i="152"/>
  <c r="F282" i="152"/>
  <c r="F281" i="152"/>
  <c r="F280" i="152"/>
  <c r="F279" i="152"/>
  <c r="F278" i="152"/>
  <c r="F277" i="152"/>
  <c r="F276" i="152"/>
  <c r="F275" i="152"/>
  <c r="F274" i="152"/>
  <c r="F273" i="152"/>
  <c r="F272" i="152"/>
  <c r="F271" i="152"/>
  <c r="F270" i="152"/>
  <c r="F269" i="152"/>
  <c r="F268" i="152"/>
  <c r="F267" i="152"/>
  <c r="F266" i="152"/>
  <c r="F265" i="152"/>
  <c r="F264" i="152"/>
  <c r="F263" i="152"/>
  <c r="F262" i="152"/>
  <c r="F261" i="152"/>
  <c r="F260" i="152"/>
  <c r="F259" i="152"/>
  <c r="F258" i="152"/>
  <c r="F257" i="152"/>
  <c r="F256" i="152"/>
  <c r="F255" i="152"/>
  <c r="F254" i="152"/>
  <c r="F253" i="152"/>
  <c r="F252" i="152"/>
  <c r="F251" i="152"/>
  <c r="F250" i="152"/>
  <c r="F249" i="152"/>
  <c r="F248" i="152"/>
  <c r="F247" i="152"/>
  <c r="H246" i="152"/>
  <c r="F246" i="152"/>
  <c r="G246" i="152" s="1"/>
  <c r="F245" i="152"/>
  <c r="F244" i="152"/>
  <c r="F243" i="152"/>
  <c r="F242" i="152"/>
  <c r="G242" i="152" s="1"/>
  <c r="H242" i="152" s="1"/>
  <c r="F241" i="152"/>
  <c r="F240" i="152"/>
  <c r="F239" i="152"/>
  <c r="F238" i="152"/>
  <c r="F237" i="152"/>
  <c r="F236" i="152"/>
  <c r="F235" i="152"/>
  <c r="F234" i="152"/>
  <c r="F233" i="152"/>
  <c r="F232" i="152"/>
  <c r="F231" i="152"/>
  <c r="F230" i="152"/>
  <c r="F229" i="152"/>
  <c r="F228" i="152"/>
  <c r="F227" i="152"/>
  <c r="F226" i="152"/>
  <c r="F225" i="152"/>
  <c r="F224" i="152"/>
  <c r="F223" i="152"/>
  <c r="F222" i="152"/>
  <c r="F221" i="152"/>
  <c r="F220" i="152"/>
  <c r="G219" i="152"/>
  <c r="H219" i="152" s="1"/>
  <c r="F219" i="152"/>
  <c r="F218" i="152"/>
  <c r="F217" i="152"/>
  <c r="F216" i="152"/>
  <c r="F215" i="152"/>
  <c r="F214" i="152"/>
  <c r="F213" i="152"/>
  <c r="F212" i="152"/>
  <c r="F211" i="152"/>
  <c r="F210" i="152"/>
  <c r="F209" i="152"/>
  <c r="F208" i="152"/>
  <c r="F207" i="152"/>
  <c r="F206" i="152"/>
  <c r="F205" i="152"/>
  <c r="F204" i="152"/>
  <c r="F203" i="152"/>
  <c r="F202" i="152"/>
  <c r="F201" i="152"/>
  <c r="F200" i="152"/>
  <c r="F199" i="152"/>
  <c r="F198" i="152"/>
  <c r="F197" i="152"/>
  <c r="F196" i="152"/>
  <c r="H195" i="152"/>
  <c r="G195" i="152"/>
  <c r="F195" i="152"/>
  <c r="F194" i="152"/>
  <c r="F193" i="152"/>
  <c r="F192" i="152"/>
  <c r="F191" i="152"/>
  <c r="F190" i="152"/>
  <c r="F189" i="152"/>
  <c r="F188" i="152"/>
  <c r="F187" i="152"/>
  <c r="F186" i="152"/>
  <c r="F185" i="152"/>
  <c r="F184" i="152"/>
  <c r="F183" i="152"/>
  <c r="F182" i="152"/>
  <c r="G181" i="152"/>
  <c r="H181" i="152" s="1"/>
  <c r="F181" i="152"/>
  <c r="F180" i="152"/>
  <c r="F179" i="152"/>
  <c r="F178" i="152"/>
  <c r="G178" i="152" s="1"/>
  <c r="H178" i="152" s="1"/>
  <c r="F177" i="152"/>
  <c r="F176" i="152"/>
  <c r="F175" i="152"/>
  <c r="F174" i="152"/>
  <c r="F173" i="152"/>
  <c r="F172" i="152"/>
  <c r="F171" i="152"/>
  <c r="F170" i="152"/>
  <c r="F169" i="152"/>
  <c r="F168" i="152"/>
  <c r="G168" i="152" s="1"/>
  <c r="H168" i="152" s="1"/>
  <c r="F167" i="152"/>
  <c r="F166" i="152"/>
  <c r="F165" i="152"/>
  <c r="F164" i="152"/>
  <c r="F163" i="152"/>
  <c r="F162" i="152"/>
  <c r="F161" i="152"/>
  <c r="F160" i="152"/>
  <c r="F159" i="152"/>
  <c r="F158" i="152"/>
  <c r="F157" i="152"/>
  <c r="F156" i="152"/>
  <c r="F155" i="152"/>
  <c r="F154" i="152"/>
  <c r="F153" i="152"/>
  <c r="F152" i="152"/>
  <c r="F151" i="152"/>
  <c r="F150" i="152"/>
  <c r="F149" i="152"/>
  <c r="F148" i="152"/>
  <c r="F147" i="152"/>
  <c r="F146" i="152"/>
  <c r="F145" i="152"/>
  <c r="F144" i="152"/>
  <c r="F143" i="152"/>
  <c r="F142" i="152"/>
  <c r="F141" i="152"/>
  <c r="F140" i="152"/>
  <c r="F139" i="152"/>
  <c r="F138" i="152"/>
  <c r="F137" i="152"/>
  <c r="F136" i="152"/>
  <c r="F135" i="152"/>
  <c r="F134" i="152"/>
  <c r="F133" i="152"/>
  <c r="F132" i="152"/>
  <c r="F131" i="152"/>
  <c r="G131" i="152" s="1"/>
  <c r="H131" i="152" s="1"/>
  <c r="F130" i="152"/>
  <c r="G129" i="152"/>
  <c r="H129" i="152" s="1"/>
  <c r="F129" i="152"/>
  <c r="F128" i="152"/>
  <c r="F127" i="152"/>
  <c r="F126" i="152"/>
  <c r="F125" i="152"/>
  <c r="F124" i="152"/>
  <c r="G124" i="152" s="1"/>
  <c r="H124" i="152" s="1"/>
  <c r="F123" i="152"/>
  <c r="F122" i="152"/>
  <c r="F121" i="152"/>
  <c r="F120" i="152"/>
  <c r="F119" i="152"/>
  <c r="F118" i="152"/>
  <c r="F117" i="152"/>
  <c r="F116" i="152"/>
  <c r="F115" i="152"/>
  <c r="F114" i="152"/>
  <c r="F113" i="152"/>
  <c r="F112" i="152"/>
  <c r="F111" i="152"/>
  <c r="F110" i="152"/>
  <c r="F109" i="152"/>
  <c r="F108" i="152"/>
  <c r="F107" i="152"/>
  <c r="F106" i="152"/>
  <c r="F105" i="152"/>
  <c r="F104" i="152"/>
  <c r="F103" i="152"/>
  <c r="F102" i="152"/>
  <c r="F101" i="152"/>
  <c r="F100" i="152"/>
  <c r="F99" i="152"/>
  <c r="F98" i="152"/>
  <c r="F97" i="152"/>
  <c r="F96" i="152"/>
  <c r="F95" i="152"/>
  <c r="F94" i="152"/>
  <c r="F93" i="152"/>
  <c r="H92" i="152"/>
  <c r="G92" i="152"/>
  <c r="F92" i="152"/>
  <c r="F91" i="152"/>
  <c r="F90" i="152"/>
  <c r="F89" i="152"/>
  <c r="G88" i="152"/>
  <c r="H88" i="152" s="1"/>
  <c r="F88" i="152"/>
  <c r="G87" i="152"/>
  <c r="H87" i="152" s="1"/>
  <c r="F87" i="152"/>
  <c r="F86" i="152"/>
  <c r="F85" i="152"/>
  <c r="F84" i="152"/>
  <c r="F83" i="152"/>
  <c r="F82" i="152"/>
  <c r="H81" i="152"/>
  <c r="F81" i="152"/>
  <c r="G81" i="152" s="1"/>
  <c r="F80" i="152"/>
  <c r="F79" i="152"/>
  <c r="F78" i="152"/>
  <c r="F77" i="152"/>
  <c r="F76" i="152"/>
  <c r="F75" i="152"/>
  <c r="F74" i="152"/>
  <c r="F73" i="152"/>
  <c r="G73" i="152" s="1"/>
  <c r="H73" i="152" s="1"/>
  <c r="F72" i="152"/>
  <c r="F71" i="152"/>
  <c r="F70" i="152"/>
  <c r="F69" i="152"/>
  <c r="G69" i="152" s="1"/>
  <c r="H69" i="152" s="1"/>
  <c r="F68" i="152"/>
  <c r="F67" i="152"/>
  <c r="F66" i="152"/>
  <c r="F65" i="152"/>
  <c r="F64" i="152"/>
  <c r="F63" i="152"/>
  <c r="F62" i="152"/>
  <c r="F61" i="152"/>
  <c r="F60" i="152"/>
  <c r="F59" i="152"/>
  <c r="F58" i="152"/>
  <c r="F57" i="152"/>
  <c r="G56" i="152"/>
  <c r="H56" i="152" s="1"/>
  <c r="F56" i="152"/>
  <c r="F55" i="152"/>
  <c r="F54" i="152"/>
  <c r="F53" i="152"/>
  <c r="F52" i="152"/>
  <c r="F51" i="152"/>
  <c r="F50" i="152"/>
  <c r="F49" i="152"/>
  <c r="F48" i="152"/>
  <c r="F47" i="152"/>
  <c r="F46" i="152"/>
  <c r="F45" i="152"/>
  <c r="F44" i="152"/>
  <c r="F43" i="152"/>
  <c r="F42" i="152"/>
  <c r="F41" i="152"/>
  <c r="F40" i="152"/>
  <c r="F39" i="152"/>
  <c r="F38" i="152"/>
  <c r="F37" i="152"/>
  <c r="F36" i="152"/>
  <c r="F35" i="152"/>
  <c r="F34" i="152"/>
  <c r="F33" i="152"/>
  <c r="F32" i="152"/>
  <c r="F31" i="152"/>
  <c r="F30" i="152"/>
  <c r="F29" i="152"/>
  <c r="H28" i="152"/>
  <c r="G28" i="152"/>
  <c r="F28" i="152"/>
  <c r="F27" i="152"/>
  <c r="F26" i="152"/>
  <c r="F25" i="152"/>
  <c r="F24" i="152"/>
  <c r="F23" i="152"/>
  <c r="F22" i="152"/>
  <c r="F21" i="152"/>
  <c r="G20" i="152"/>
  <c r="H20" i="152" s="1"/>
  <c r="F20" i="152"/>
  <c r="F19" i="152"/>
  <c r="F18" i="152"/>
  <c r="F17" i="152"/>
  <c r="F16" i="152"/>
  <c r="F15" i="152"/>
  <c r="F14" i="152"/>
  <c r="F13" i="152"/>
  <c r="F12" i="152"/>
  <c r="F11" i="152"/>
  <c r="F10" i="152"/>
  <c r="F9" i="152"/>
  <c r="F8" i="152"/>
  <c r="F7" i="152"/>
  <c r="F6" i="152"/>
  <c r="F5" i="152"/>
  <c r="G5" i="152" s="1"/>
  <c r="H5" i="152" s="1"/>
  <c r="F4" i="152"/>
  <c r="N502" i="100"/>
  <c r="M502" i="100"/>
  <c r="O502" i="100" s="1"/>
  <c r="L502" i="100"/>
  <c r="K502" i="100"/>
  <c r="J502" i="100"/>
  <c r="N501" i="100"/>
  <c r="M501" i="100"/>
  <c r="O501" i="100" s="1"/>
  <c r="L501" i="100"/>
  <c r="K501" i="100"/>
  <c r="J501" i="100"/>
  <c r="N500" i="100"/>
  <c r="P500" i="100" s="1"/>
  <c r="M500" i="100"/>
  <c r="O500" i="100" s="1"/>
  <c r="L500" i="100"/>
  <c r="K500" i="100"/>
  <c r="J500" i="100"/>
  <c r="N499" i="100"/>
  <c r="M499" i="100"/>
  <c r="O499" i="100" s="1"/>
  <c r="L499" i="100"/>
  <c r="K499" i="100"/>
  <c r="J499" i="100"/>
  <c r="N498" i="100"/>
  <c r="M498" i="100"/>
  <c r="O498" i="100" s="1"/>
  <c r="L498" i="100"/>
  <c r="K498" i="100"/>
  <c r="J498" i="100"/>
  <c r="P497" i="100"/>
  <c r="N497" i="100"/>
  <c r="M497" i="100"/>
  <c r="L497" i="100"/>
  <c r="K497" i="100"/>
  <c r="J497" i="100"/>
  <c r="N496" i="100"/>
  <c r="P496" i="100" s="1"/>
  <c r="M496" i="100"/>
  <c r="O496" i="100" s="1"/>
  <c r="L496" i="100"/>
  <c r="K496" i="100"/>
  <c r="J496" i="100"/>
  <c r="N495" i="100"/>
  <c r="M495" i="100"/>
  <c r="O495" i="100" s="1"/>
  <c r="L495" i="100"/>
  <c r="K495" i="100"/>
  <c r="J495" i="100"/>
  <c r="N494" i="100"/>
  <c r="M494" i="100"/>
  <c r="L494" i="100"/>
  <c r="K494" i="100"/>
  <c r="J494" i="100"/>
  <c r="N493" i="100"/>
  <c r="M493" i="100"/>
  <c r="L493" i="100"/>
  <c r="K493" i="100"/>
  <c r="J493" i="100"/>
  <c r="N492" i="100"/>
  <c r="M492" i="100"/>
  <c r="O492" i="100" s="1"/>
  <c r="L492" i="100"/>
  <c r="K492" i="100"/>
  <c r="J492" i="100"/>
  <c r="N491" i="100"/>
  <c r="M491" i="100"/>
  <c r="O491" i="100" s="1"/>
  <c r="L491" i="100"/>
  <c r="K491" i="100"/>
  <c r="J491" i="100"/>
  <c r="N490" i="100"/>
  <c r="M490" i="100"/>
  <c r="O490" i="100" s="1"/>
  <c r="L490" i="100"/>
  <c r="K490" i="100"/>
  <c r="J490" i="100"/>
  <c r="N489" i="100"/>
  <c r="M489" i="100"/>
  <c r="L489" i="100"/>
  <c r="K489" i="100"/>
  <c r="J489" i="100"/>
  <c r="N488" i="100"/>
  <c r="M488" i="100"/>
  <c r="O488" i="100" s="1"/>
  <c r="L488" i="100"/>
  <c r="K488" i="100"/>
  <c r="J488" i="100"/>
  <c r="N487" i="100"/>
  <c r="M487" i="100"/>
  <c r="O487" i="100" s="1"/>
  <c r="L487" i="100"/>
  <c r="K487" i="100"/>
  <c r="J487" i="100"/>
  <c r="N486" i="100"/>
  <c r="M486" i="100"/>
  <c r="O486" i="100" s="1"/>
  <c r="L486" i="100"/>
  <c r="K486" i="100"/>
  <c r="J486" i="100"/>
  <c r="N485" i="100"/>
  <c r="M485" i="100"/>
  <c r="L485" i="100"/>
  <c r="K485" i="100"/>
  <c r="J485" i="100"/>
  <c r="N484" i="100"/>
  <c r="M484" i="100"/>
  <c r="O484" i="100" s="1"/>
  <c r="L484" i="100"/>
  <c r="K484" i="100"/>
  <c r="J484" i="100"/>
  <c r="N483" i="100"/>
  <c r="M483" i="100"/>
  <c r="O483" i="100" s="1"/>
  <c r="L483" i="100"/>
  <c r="K483" i="100"/>
  <c r="J483" i="100"/>
  <c r="N482" i="100"/>
  <c r="M482" i="100"/>
  <c r="O482" i="100" s="1"/>
  <c r="L482" i="100"/>
  <c r="K482" i="100"/>
  <c r="J482" i="100"/>
  <c r="N481" i="100"/>
  <c r="M481" i="100"/>
  <c r="L481" i="100"/>
  <c r="K481" i="100"/>
  <c r="J481" i="100"/>
  <c r="N480" i="100"/>
  <c r="M480" i="100"/>
  <c r="O480" i="100" s="1"/>
  <c r="L480" i="100"/>
  <c r="K480" i="100"/>
  <c r="J480" i="100"/>
  <c r="P479" i="100"/>
  <c r="N479" i="100"/>
  <c r="M479" i="100"/>
  <c r="O479" i="100" s="1"/>
  <c r="L479" i="100"/>
  <c r="Q479" i="100" s="1"/>
  <c r="K479" i="100"/>
  <c r="J479" i="100"/>
  <c r="N478" i="100"/>
  <c r="M478" i="100"/>
  <c r="L478" i="100"/>
  <c r="K478" i="100"/>
  <c r="J478" i="100"/>
  <c r="N477" i="100"/>
  <c r="M477" i="100"/>
  <c r="L477" i="100"/>
  <c r="K477" i="100"/>
  <c r="J477" i="100"/>
  <c r="N476" i="100"/>
  <c r="M476" i="100"/>
  <c r="O476" i="100" s="1"/>
  <c r="L476" i="100"/>
  <c r="K476" i="100"/>
  <c r="J476" i="100"/>
  <c r="N475" i="100"/>
  <c r="M475" i="100"/>
  <c r="O475" i="100" s="1"/>
  <c r="L475" i="100"/>
  <c r="K475" i="100"/>
  <c r="J475" i="100"/>
  <c r="N474" i="100"/>
  <c r="M474" i="100"/>
  <c r="O474" i="100" s="1"/>
  <c r="L474" i="100"/>
  <c r="K474" i="100"/>
  <c r="J474" i="100"/>
  <c r="N473" i="100"/>
  <c r="M473" i="100"/>
  <c r="L473" i="100"/>
  <c r="K473" i="100"/>
  <c r="J473" i="100"/>
  <c r="N472" i="100"/>
  <c r="M472" i="100"/>
  <c r="O472" i="100" s="1"/>
  <c r="L472" i="100"/>
  <c r="K472" i="100"/>
  <c r="J472" i="100"/>
  <c r="N471" i="100"/>
  <c r="M471" i="100"/>
  <c r="O471" i="100" s="1"/>
  <c r="L471" i="100"/>
  <c r="K471" i="100"/>
  <c r="J471" i="100"/>
  <c r="N470" i="100"/>
  <c r="M470" i="100"/>
  <c r="L470" i="100"/>
  <c r="K470" i="100"/>
  <c r="J470" i="100"/>
  <c r="N469" i="100"/>
  <c r="M469" i="100"/>
  <c r="L469" i="100"/>
  <c r="K469" i="100"/>
  <c r="J469" i="100"/>
  <c r="N468" i="100"/>
  <c r="M468" i="100"/>
  <c r="O468" i="100" s="1"/>
  <c r="L468" i="100"/>
  <c r="K468" i="100"/>
  <c r="J468" i="100"/>
  <c r="N467" i="100"/>
  <c r="M467" i="100"/>
  <c r="O467" i="100" s="1"/>
  <c r="L467" i="100"/>
  <c r="K467" i="100"/>
  <c r="J467" i="100"/>
  <c r="N466" i="100"/>
  <c r="M466" i="100"/>
  <c r="L466" i="100"/>
  <c r="K466" i="100"/>
  <c r="J466" i="100"/>
  <c r="N465" i="100"/>
  <c r="M465" i="100"/>
  <c r="L465" i="100"/>
  <c r="K465" i="100"/>
  <c r="J465" i="100"/>
  <c r="N464" i="100"/>
  <c r="M464" i="100"/>
  <c r="O464" i="100" s="1"/>
  <c r="L464" i="100"/>
  <c r="K464" i="100"/>
  <c r="J464" i="100"/>
  <c r="N463" i="100"/>
  <c r="M463" i="100"/>
  <c r="O463" i="100" s="1"/>
  <c r="L463" i="100"/>
  <c r="K463" i="100"/>
  <c r="J463" i="100"/>
  <c r="N462" i="100"/>
  <c r="M462" i="100"/>
  <c r="L462" i="100"/>
  <c r="K462" i="100"/>
  <c r="J462" i="100"/>
  <c r="N461" i="100"/>
  <c r="M461" i="100"/>
  <c r="L461" i="100"/>
  <c r="K461" i="100"/>
  <c r="J461" i="100"/>
  <c r="N460" i="100"/>
  <c r="M460" i="100"/>
  <c r="O460" i="100" s="1"/>
  <c r="L460" i="100"/>
  <c r="K460" i="100"/>
  <c r="J460" i="100"/>
  <c r="N459" i="100"/>
  <c r="M459" i="100"/>
  <c r="O459" i="100" s="1"/>
  <c r="L459" i="100"/>
  <c r="K459" i="100"/>
  <c r="J459" i="100"/>
  <c r="N458" i="100"/>
  <c r="M458" i="100"/>
  <c r="O458" i="100" s="1"/>
  <c r="L458" i="100"/>
  <c r="K458" i="100"/>
  <c r="J458" i="100"/>
  <c r="N457" i="100"/>
  <c r="M457" i="100"/>
  <c r="L457" i="100"/>
  <c r="K457" i="100"/>
  <c r="J457" i="100"/>
  <c r="N456" i="100"/>
  <c r="M456" i="100"/>
  <c r="O456" i="100" s="1"/>
  <c r="L456" i="100"/>
  <c r="K456" i="100"/>
  <c r="J456" i="100"/>
  <c r="P455" i="100"/>
  <c r="N455" i="100"/>
  <c r="M455" i="100"/>
  <c r="O455" i="100" s="1"/>
  <c r="L455" i="100"/>
  <c r="Q455" i="100" s="1"/>
  <c r="K455" i="100"/>
  <c r="J455" i="100"/>
  <c r="N454" i="100"/>
  <c r="M454" i="100"/>
  <c r="L454" i="100"/>
  <c r="K454" i="100"/>
  <c r="J454" i="100"/>
  <c r="N453" i="100"/>
  <c r="M453" i="100"/>
  <c r="L453" i="100"/>
  <c r="K453" i="100"/>
  <c r="J453" i="100"/>
  <c r="N452" i="100"/>
  <c r="M452" i="100"/>
  <c r="O452" i="100" s="1"/>
  <c r="L452" i="100"/>
  <c r="K452" i="100"/>
  <c r="J452" i="100"/>
  <c r="N451" i="100"/>
  <c r="M451" i="100"/>
  <c r="O451" i="100" s="1"/>
  <c r="L451" i="100"/>
  <c r="K451" i="100"/>
  <c r="J451" i="100"/>
  <c r="N450" i="100"/>
  <c r="M450" i="100"/>
  <c r="L450" i="100"/>
  <c r="K450" i="100"/>
  <c r="J450" i="100"/>
  <c r="N449" i="100"/>
  <c r="M449" i="100"/>
  <c r="O449" i="100" s="1"/>
  <c r="L449" i="100"/>
  <c r="K449" i="100"/>
  <c r="J449" i="100"/>
  <c r="O448" i="100"/>
  <c r="N448" i="100"/>
  <c r="M448" i="100"/>
  <c r="L448" i="100"/>
  <c r="K448" i="100"/>
  <c r="J448" i="100"/>
  <c r="N447" i="100"/>
  <c r="M447" i="100"/>
  <c r="L447" i="100"/>
  <c r="K447" i="100"/>
  <c r="J447" i="100"/>
  <c r="N446" i="100"/>
  <c r="M446" i="100"/>
  <c r="O446" i="100" s="1"/>
  <c r="L446" i="100"/>
  <c r="K446" i="100"/>
  <c r="J446" i="100"/>
  <c r="N445" i="100"/>
  <c r="M445" i="100"/>
  <c r="O445" i="100" s="1"/>
  <c r="L445" i="100"/>
  <c r="K445" i="100"/>
  <c r="J445" i="100"/>
  <c r="O444" i="100"/>
  <c r="N444" i="100"/>
  <c r="M444" i="100"/>
  <c r="L444" i="100"/>
  <c r="K444" i="100"/>
  <c r="J444" i="100"/>
  <c r="O443" i="100"/>
  <c r="N443" i="100"/>
  <c r="M443" i="100"/>
  <c r="L443" i="100"/>
  <c r="K443" i="100"/>
  <c r="J443" i="100"/>
  <c r="N442" i="100"/>
  <c r="M442" i="100"/>
  <c r="L442" i="100"/>
  <c r="K442" i="100"/>
  <c r="J442" i="100"/>
  <c r="N441" i="100"/>
  <c r="M441" i="100"/>
  <c r="O441" i="100" s="1"/>
  <c r="L441" i="100"/>
  <c r="K441" i="100"/>
  <c r="J441" i="100"/>
  <c r="P440" i="100"/>
  <c r="O440" i="100"/>
  <c r="N440" i="100"/>
  <c r="M440" i="100"/>
  <c r="L440" i="100"/>
  <c r="Q440" i="100" s="1"/>
  <c r="K440" i="100"/>
  <c r="J440" i="100"/>
  <c r="N439" i="100"/>
  <c r="M439" i="100"/>
  <c r="L439" i="100"/>
  <c r="K439" i="100"/>
  <c r="J439" i="100"/>
  <c r="N438" i="100"/>
  <c r="M438" i="100"/>
  <c r="O438" i="100" s="1"/>
  <c r="L438" i="100"/>
  <c r="K438" i="100"/>
  <c r="J438" i="100"/>
  <c r="N437" i="100"/>
  <c r="M437" i="100"/>
  <c r="O437" i="100" s="1"/>
  <c r="L437" i="100"/>
  <c r="K437" i="100"/>
  <c r="J437" i="100"/>
  <c r="O436" i="100"/>
  <c r="N436" i="100"/>
  <c r="M436" i="100"/>
  <c r="L436" i="100"/>
  <c r="K436" i="100"/>
  <c r="J436" i="100"/>
  <c r="N435" i="100"/>
  <c r="M435" i="100"/>
  <c r="L435" i="100"/>
  <c r="K435" i="100"/>
  <c r="J435" i="100"/>
  <c r="N434" i="100"/>
  <c r="P434" i="100" s="1"/>
  <c r="M434" i="100"/>
  <c r="L434" i="100"/>
  <c r="K434" i="100"/>
  <c r="J434" i="100"/>
  <c r="N433" i="100"/>
  <c r="M433" i="100"/>
  <c r="O433" i="100" s="1"/>
  <c r="L433" i="100"/>
  <c r="K433" i="100"/>
  <c r="J433" i="100"/>
  <c r="O432" i="100"/>
  <c r="N432" i="100"/>
  <c r="M432" i="100"/>
  <c r="L432" i="100"/>
  <c r="K432" i="100"/>
  <c r="J432" i="100"/>
  <c r="O431" i="100"/>
  <c r="N431" i="100"/>
  <c r="M431" i="100"/>
  <c r="L431" i="100"/>
  <c r="K431" i="100"/>
  <c r="J431" i="100"/>
  <c r="N430" i="100"/>
  <c r="M430" i="100"/>
  <c r="O430" i="100" s="1"/>
  <c r="L430" i="100"/>
  <c r="K430" i="100"/>
  <c r="J430" i="100"/>
  <c r="N429" i="100"/>
  <c r="M429" i="100"/>
  <c r="O429" i="100" s="1"/>
  <c r="L429" i="100"/>
  <c r="K429" i="100"/>
  <c r="J429" i="100"/>
  <c r="O428" i="100"/>
  <c r="N428" i="100"/>
  <c r="M428" i="100"/>
  <c r="L428" i="100"/>
  <c r="K428" i="100"/>
  <c r="J428" i="100"/>
  <c r="O427" i="100"/>
  <c r="N427" i="100"/>
  <c r="M427" i="100"/>
  <c r="L427" i="100"/>
  <c r="K427" i="100"/>
  <c r="J427" i="100"/>
  <c r="N426" i="100"/>
  <c r="P426" i="100" s="1"/>
  <c r="M426" i="100"/>
  <c r="O426" i="100" s="1"/>
  <c r="L426" i="100"/>
  <c r="K426" i="100"/>
  <c r="J426" i="100"/>
  <c r="N425" i="100"/>
  <c r="M425" i="100"/>
  <c r="O425" i="100" s="1"/>
  <c r="L425" i="100"/>
  <c r="K425" i="100"/>
  <c r="J425" i="100"/>
  <c r="O424" i="100"/>
  <c r="N424" i="100"/>
  <c r="M424" i="100"/>
  <c r="L424" i="100"/>
  <c r="K424" i="100"/>
  <c r="J424" i="100"/>
  <c r="O423" i="100"/>
  <c r="N423" i="100"/>
  <c r="M423" i="100"/>
  <c r="L423" i="100"/>
  <c r="K423" i="100"/>
  <c r="J423" i="100"/>
  <c r="N422" i="100"/>
  <c r="M422" i="100"/>
  <c r="O422" i="100" s="1"/>
  <c r="L422" i="100"/>
  <c r="K422" i="100"/>
  <c r="J422" i="100"/>
  <c r="N421" i="100"/>
  <c r="M421" i="100"/>
  <c r="O421" i="100" s="1"/>
  <c r="L421" i="100"/>
  <c r="K421" i="100"/>
  <c r="J421" i="100"/>
  <c r="P420" i="100"/>
  <c r="O420" i="100"/>
  <c r="N420" i="100"/>
  <c r="M420" i="100"/>
  <c r="L420" i="100"/>
  <c r="K420" i="100"/>
  <c r="J420" i="100"/>
  <c r="O419" i="100"/>
  <c r="N419" i="100"/>
  <c r="P419" i="100" s="1"/>
  <c r="M419" i="100"/>
  <c r="L419" i="100"/>
  <c r="K419" i="100"/>
  <c r="J419" i="100"/>
  <c r="N418" i="100"/>
  <c r="P418" i="100" s="1"/>
  <c r="M418" i="100"/>
  <c r="L418" i="100"/>
  <c r="K418" i="100"/>
  <c r="J418" i="100"/>
  <c r="P417" i="100"/>
  <c r="N417" i="100"/>
  <c r="M417" i="100"/>
  <c r="O417" i="100" s="1"/>
  <c r="Q417" i="100" s="1"/>
  <c r="L417" i="100"/>
  <c r="K417" i="100"/>
  <c r="J417" i="100"/>
  <c r="N416" i="100"/>
  <c r="M416" i="100"/>
  <c r="L416" i="100"/>
  <c r="K416" i="100"/>
  <c r="J416" i="100"/>
  <c r="N415" i="100"/>
  <c r="M415" i="100"/>
  <c r="L415" i="100"/>
  <c r="K415" i="100"/>
  <c r="J415" i="100"/>
  <c r="N414" i="100"/>
  <c r="M414" i="100"/>
  <c r="O414" i="100" s="1"/>
  <c r="L414" i="100"/>
  <c r="K414" i="100"/>
  <c r="J414" i="100"/>
  <c r="N413" i="100"/>
  <c r="M413" i="100"/>
  <c r="L413" i="100"/>
  <c r="K413" i="100"/>
  <c r="J413" i="100"/>
  <c r="N412" i="100"/>
  <c r="M412" i="100"/>
  <c r="O412" i="100" s="1"/>
  <c r="L412" i="100"/>
  <c r="K412" i="100"/>
  <c r="J412" i="100"/>
  <c r="N411" i="100"/>
  <c r="M411" i="100"/>
  <c r="L411" i="100"/>
  <c r="K411" i="100"/>
  <c r="J411" i="100"/>
  <c r="N410" i="100"/>
  <c r="M410" i="100"/>
  <c r="L410" i="100"/>
  <c r="K410" i="100"/>
  <c r="J410" i="100"/>
  <c r="N409" i="100"/>
  <c r="M409" i="100"/>
  <c r="O409" i="100" s="1"/>
  <c r="L409" i="100"/>
  <c r="K409" i="100"/>
  <c r="J409" i="100"/>
  <c r="N408" i="100"/>
  <c r="M408" i="100"/>
  <c r="L408" i="100"/>
  <c r="K408" i="100"/>
  <c r="J408" i="100"/>
  <c r="N407" i="100"/>
  <c r="M407" i="100"/>
  <c r="L407" i="100"/>
  <c r="K407" i="100"/>
  <c r="J407" i="100"/>
  <c r="N406" i="100"/>
  <c r="M406" i="100"/>
  <c r="O406" i="100" s="1"/>
  <c r="L406" i="100"/>
  <c r="K406" i="100"/>
  <c r="J406" i="100"/>
  <c r="N405" i="100"/>
  <c r="M405" i="100"/>
  <c r="L405" i="100"/>
  <c r="K405" i="100"/>
  <c r="J405" i="100"/>
  <c r="N404" i="100"/>
  <c r="M404" i="100"/>
  <c r="O404" i="100" s="1"/>
  <c r="L404" i="100"/>
  <c r="K404" i="100"/>
  <c r="J404" i="100"/>
  <c r="N403" i="100"/>
  <c r="M403" i="100"/>
  <c r="L403" i="100"/>
  <c r="K403" i="100"/>
  <c r="J403" i="100"/>
  <c r="N402" i="100"/>
  <c r="M402" i="100"/>
  <c r="L402" i="100"/>
  <c r="K402" i="100"/>
  <c r="J402" i="100"/>
  <c r="N401" i="100"/>
  <c r="M401" i="100"/>
  <c r="O401" i="100" s="1"/>
  <c r="L401" i="100"/>
  <c r="K401" i="100"/>
  <c r="J401" i="100"/>
  <c r="N400" i="100"/>
  <c r="M400" i="100"/>
  <c r="L400" i="100"/>
  <c r="K400" i="100"/>
  <c r="J400" i="100"/>
  <c r="N399" i="100"/>
  <c r="M399" i="100"/>
  <c r="L399" i="100"/>
  <c r="K399" i="100"/>
  <c r="J399" i="100"/>
  <c r="N398" i="100"/>
  <c r="M398" i="100"/>
  <c r="O398" i="100" s="1"/>
  <c r="L398" i="100"/>
  <c r="K398" i="100"/>
  <c r="J398" i="100"/>
  <c r="N397" i="100"/>
  <c r="M397" i="100"/>
  <c r="L397" i="100"/>
  <c r="K397" i="100"/>
  <c r="J397" i="100"/>
  <c r="N396" i="100"/>
  <c r="M396" i="100"/>
  <c r="O396" i="100" s="1"/>
  <c r="L396" i="100"/>
  <c r="K396" i="100"/>
  <c r="J396" i="100"/>
  <c r="N395" i="100"/>
  <c r="M395" i="100"/>
  <c r="L395" i="100"/>
  <c r="K395" i="100"/>
  <c r="J395" i="100"/>
  <c r="N394" i="100"/>
  <c r="M394" i="100"/>
  <c r="L394" i="100"/>
  <c r="K394" i="100"/>
  <c r="J394" i="100"/>
  <c r="N393" i="100"/>
  <c r="M393" i="100"/>
  <c r="O393" i="100" s="1"/>
  <c r="L393" i="100"/>
  <c r="K393" i="100"/>
  <c r="J393" i="100"/>
  <c r="N392" i="100"/>
  <c r="M392" i="100"/>
  <c r="L392" i="100"/>
  <c r="K392" i="100"/>
  <c r="J392" i="100"/>
  <c r="N391" i="100"/>
  <c r="M391" i="100"/>
  <c r="L391" i="100"/>
  <c r="K391" i="100"/>
  <c r="J391" i="100"/>
  <c r="N390" i="100"/>
  <c r="M390" i="100"/>
  <c r="O390" i="100" s="1"/>
  <c r="L390" i="100"/>
  <c r="K390" i="100"/>
  <c r="J390" i="100"/>
  <c r="N389" i="100"/>
  <c r="M389" i="100"/>
  <c r="L389" i="100"/>
  <c r="K389" i="100"/>
  <c r="J389" i="100"/>
  <c r="N388" i="100"/>
  <c r="M388" i="100"/>
  <c r="O388" i="100" s="1"/>
  <c r="L388" i="100"/>
  <c r="K388" i="100"/>
  <c r="J388" i="100"/>
  <c r="N387" i="100"/>
  <c r="M387" i="100"/>
  <c r="L387" i="100"/>
  <c r="K387" i="100"/>
  <c r="J387" i="100"/>
  <c r="N386" i="100"/>
  <c r="M386" i="100"/>
  <c r="O386" i="100" s="1"/>
  <c r="L386" i="100"/>
  <c r="K386" i="100"/>
  <c r="J386" i="100"/>
  <c r="N385" i="100"/>
  <c r="M385" i="100"/>
  <c r="O385" i="100" s="1"/>
  <c r="L385" i="100"/>
  <c r="K385" i="100"/>
  <c r="J385" i="100"/>
  <c r="P384" i="100"/>
  <c r="N384" i="100"/>
  <c r="M384" i="100"/>
  <c r="L384" i="100"/>
  <c r="K384" i="100"/>
  <c r="J384" i="100"/>
  <c r="N383" i="100"/>
  <c r="M383" i="100"/>
  <c r="L383" i="100"/>
  <c r="K383" i="100"/>
  <c r="J383" i="100"/>
  <c r="N382" i="100"/>
  <c r="M382" i="100"/>
  <c r="O382" i="100" s="1"/>
  <c r="L382" i="100"/>
  <c r="K382" i="100"/>
  <c r="J382" i="100"/>
  <c r="N381" i="100"/>
  <c r="M381" i="100"/>
  <c r="L381" i="100"/>
  <c r="K381" i="100"/>
  <c r="J381" i="100"/>
  <c r="N380" i="100"/>
  <c r="M380" i="100"/>
  <c r="O380" i="100" s="1"/>
  <c r="L380" i="100"/>
  <c r="K380" i="100"/>
  <c r="J380" i="100"/>
  <c r="N379" i="100"/>
  <c r="M379" i="100"/>
  <c r="L379" i="100"/>
  <c r="K379" i="100"/>
  <c r="J379" i="100"/>
  <c r="N378" i="100"/>
  <c r="P378" i="100" s="1"/>
  <c r="M378" i="100"/>
  <c r="O378" i="100" s="1"/>
  <c r="L378" i="100"/>
  <c r="K378" i="100"/>
  <c r="J378" i="100"/>
  <c r="N377" i="100"/>
  <c r="M377" i="100"/>
  <c r="O377" i="100" s="1"/>
  <c r="L377" i="100"/>
  <c r="K377" i="100"/>
  <c r="J377" i="100"/>
  <c r="N376" i="100"/>
  <c r="M376" i="100"/>
  <c r="L376" i="100"/>
  <c r="K376" i="100"/>
  <c r="J376" i="100"/>
  <c r="N375" i="100"/>
  <c r="M375" i="100"/>
  <c r="L375" i="100"/>
  <c r="K375" i="100"/>
  <c r="J375" i="100"/>
  <c r="N374" i="100"/>
  <c r="M374" i="100"/>
  <c r="O374" i="100" s="1"/>
  <c r="L374" i="100"/>
  <c r="K374" i="100"/>
  <c r="J374" i="100"/>
  <c r="N373" i="100"/>
  <c r="M373" i="100"/>
  <c r="L373" i="100"/>
  <c r="K373" i="100"/>
  <c r="J373" i="100"/>
  <c r="N372" i="100"/>
  <c r="M372" i="100"/>
  <c r="O372" i="100" s="1"/>
  <c r="L372" i="100"/>
  <c r="K372" i="100"/>
  <c r="J372" i="100"/>
  <c r="N371" i="100"/>
  <c r="M371" i="100"/>
  <c r="L371" i="100"/>
  <c r="K371" i="100"/>
  <c r="J371" i="100"/>
  <c r="N370" i="100"/>
  <c r="P370" i="100" s="1"/>
  <c r="M370" i="100"/>
  <c r="O370" i="100" s="1"/>
  <c r="L370" i="100"/>
  <c r="K370" i="100"/>
  <c r="J370" i="100"/>
  <c r="N369" i="100"/>
  <c r="M369" i="100"/>
  <c r="L369" i="100"/>
  <c r="K369" i="100"/>
  <c r="J369" i="100"/>
  <c r="N368" i="100"/>
  <c r="M368" i="100"/>
  <c r="L368" i="100"/>
  <c r="K368" i="100"/>
  <c r="J368" i="100"/>
  <c r="N367" i="100"/>
  <c r="M367" i="100"/>
  <c r="O367" i="100" s="1"/>
  <c r="L367" i="100"/>
  <c r="K367" i="100"/>
  <c r="J367" i="100"/>
  <c r="N366" i="100"/>
  <c r="M366" i="100"/>
  <c r="O366" i="100" s="1"/>
  <c r="L366" i="100"/>
  <c r="K366" i="100"/>
  <c r="J366" i="100"/>
  <c r="N365" i="100"/>
  <c r="M365" i="100"/>
  <c r="L365" i="100"/>
  <c r="K365" i="100"/>
  <c r="J365" i="100"/>
  <c r="N364" i="100"/>
  <c r="M364" i="100"/>
  <c r="L364" i="100"/>
  <c r="K364" i="100"/>
  <c r="J364" i="100"/>
  <c r="N363" i="100"/>
  <c r="M363" i="100"/>
  <c r="O363" i="100" s="1"/>
  <c r="L363" i="100"/>
  <c r="K363" i="100"/>
  <c r="J363" i="100"/>
  <c r="N362" i="100"/>
  <c r="M362" i="100"/>
  <c r="O362" i="100" s="1"/>
  <c r="L362" i="100"/>
  <c r="K362" i="100"/>
  <c r="J362" i="100"/>
  <c r="N361" i="100"/>
  <c r="M361" i="100"/>
  <c r="O361" i="100" s="1"/>
  <c r="L361" i="100"/>
  <c r="K361" i="100"/>
  <c r="J361" i="100"/>
  <c r="N360" i="100"/>
  <c r="M360" i="100"/>
  <c r="L360" i="100"/>
  <c r="K360" i="100"/>
  <c r="J360" i="100"/>
  <c r="N359" i="100"/>
  <c r="M359" i="100"/>
  <c r="O359" i="100" s="1"/>
  <c r="L359" i="100"/>
  <c r="K359" i="100"/>
  <c r="J359" i="100"/>
  <c r="N358" i="100"/>
  <c r="M358" i="100"/>
  <c r="O358" i="100" s="1"/>
  <c r="L358" i="100"/>
  <c r="K358" i="100"/>
  <c r="J358" i="100"/>
  <c r="N357" i="100"/>
  <c r="M357" i="100"/>
  <c r="O357" i="100" s="1"/>
  <c r="L357" i="100"/>
  <c r="K357" i="100"/>
  <c r="J357" i="100"/>
  <c r="N356" i="100"/>
  <c r="M356" i="100"/>
  <c r="L356" i="100"/>
  <c r="K356" i="100"/>
  <c r="J356" i="100"/>
  <c r="N355" i="100"/>
  <c r="M355" i="100"/>
  <c r="O355" i="100" s="1"/>
  <c r="L355" i="100"/>
  <c r="K355" i="100"/>
  <c r="J355" i="100"/>
  <c r="N354" i="100"/>
  <c r="M354" i="100"/>
  <c r="O354" i="100" s="1"/>
  <c r="L354" i="100"/>
  <c r="K354" i="100"/>
  <c r="J354" i="100"/>
  <c r="N353" i="100"/>
  <c r="M353" i="100"/>
  <c r="L353" i="100"/>
  <c r="K353" i="100"/>
  <c r="J353" i="100"/>
  <c r="N352" i="100"/>
  <c r="M352" i="100"/>
  <c r="L352" i="100"/>
  <c r="K352" i="100"/>
  <c r="J352" i="100"/>
  <c r="N351" i="100"/>
  <c r="M351" i="100"/>
  <c r="O351" i="100" s="1"/>
  <c r="L351" i="100"/>
  <c r="K351" i="100"/>
  <c r="J351" i="100"/>
  <c r="N350" i="100"/>
  <c r="M350" i="100"/>
  <c r="O350" i="100" s="1"/>
  <c r="L350" i="100"/>
  <c r="K350" i="100"/>
  <c r="J350" i="100"/>
  <c r="N349" i="100"/>
  <c r="M349" i="100"/>
  <c r="L349" i="100"/>
  <c r="K349" i="100"/>
  <c r="J349" i="100"/>
  <c r="N348" i="100"/>
  <c r="M348" i="100"/>
  <c r="L348" i="100"/>
  <c r="K348" i="100"/>
  <c r="J348" i="100"/>
  <c r="N347" i="100"/>
  <c r="M347" i="100"/>
  <c r="O347" i="100" s="1"/>
  <c r="L347" i="100"/>
  <c r="K347" i="100"/>
  <c r="J347" i="100"/>
  <c r="N346" i="100"/>
  <c r="M346" i="100"/>
  <c r="O346" i="100" s="1"/>
  <c r="L346" i="100"/>
  <c r="K346" i="100"/>
  <c r="J346" i="100"/>
  <c r="N345" i="100"/>
  <c r="M345" i="100"/>
  <c r="O345" i="100" s="1"/>
  <c r="L345" i="100"/>
  <c r="K345" i="100"/>
  <c r="J345" i="100"/>
  <c r="N344" i="100"/>
  <c r="M344" i="100"/>
  <c r="L344" i="100"/>
  <c r="K344" i="100"/>
  <c r="J344" i="100"/>
  <c r="N343" i="100"/>
  <c r="M343" i="100"/>
  <c r="O343" i="100" s="1"/>
  <c r="L343" i="100"/>
  <c r="K343" i="100"/>
  <c r="J343" i="100"/>
  <c r="N342" i="100"/>
  <c r="M342" i="100"/>
  <c r="O342" i="100" s="1"/>
  <c r="L342" i="100"/>
  <c r="K342" i="100"/>
  <c r="J342" i="100"/>
  <c r="N341" i="100"/>
  <c r="M341" i="100"/>
  <c r="L341" i="100"/>
  <c r="K341" i="100"/>
  <c r="J341" i="100"/>
  <c r="N340" i="100"/>
  <c r="M340" i="100"/>
  <c r="L340" i="100"/>
  <c r="K340" i="100"/>
  <c r="J340" i="100"/>
  <c r="N339" i="100"/>
  <c r="P339" i="100" s="1"/>
  <c r="M339" i="100"/>
  <c r="O339" i="100" s="1"/>
  <c r="Q339" i="100" s="1"/>
  <c r="L339" i="100"/>
  <c r="K339" i="100"/>
  <c r="J339" i="100"/>
  <c r="N338" i="100"/>
  <c r="M338" i="100"/>
  <c r="O338" i="100" s="1"/>
  <c r="L338" i="100"/>
  <c r="K338" i="100"/>
  <c r="J338" i="100"/>
  <c r="N337" i="100"/>
  <c r="M337" i="100"/>
  <c r="L337" i="100"/>
  <c r="K337" i="100"/>
  <c r="J337" i="100"/>
  <c r="N336" i="100"/>
  <c r="M336" i="100"/>
  <c r="L336" i="100"/>
  <c r="K336" i="100"/>
  <c r="J336" i="100"/>
  <c r="N335" i="100"/>
  <c r="M335" i="100"/>
  <c r="O335" i="100" s="1"/>
  <c r="L335" i="100"/>
  <c r="K335" i="100"/>
  <c r="J335" i="100"/>
  <c r="N334" i="100"/>
  <c r="M334" i="100"/>
  <c r="O334" i="100" s="1"/>
  <c r="L334" i="100"/>
  <c r="K334" i="100"/>
  <c r="J334" i="100"/>
  <c r="N333" i="100"/>
  <c r="M333" i="100"/>
  <c r="L333" i="100"/>
  <c r="K333" i="100"/>
  <c r="J333" i="100"/>
  <c r="N332" i="100"/>
  <c r="M332" i="100"/>
  <c r="L332" i="100"/>
  <c r="K332" i="100"/>
  <c r="J332" i="100"/>
  <c r="N331" i="100"/>
  <c r="M331" i="100"/>
  <c r="O331" i="100" s="1"/>
  <c r="L331" i="100"/>
  <c r="K331" i="100"/>
  <c r="J331" i="100"/>
  <c r="N330" i="100"/>
  <c r="M330" i="100"/>
  <c r="O330" i="100" s="1"/>
  <c r="L330" i="100"/>
  <c r="K330" i="100"/>
  <c r="J330" i="100"/>
  <c r="N329" i="100"/>
  <c r="M329" i="100"/>
  <c r="L329" i="100"/>
  <c r="K329" i="100"/>
  <c r="J329" i="100"/>
  <c r="N328" i="100"/>
  <c r="M328" i="100"/>
  <c r="L328" i="100"/>
  <c r="K328" i="100"/>
  <c r="J328" i="100"/>
  <c r="N327" i="100"/>
  <c r="M327" i="100"/>
  <c r="O327" i="100" s="1"/>
  <c r="L327" i="100"/>
  <c r="K327" i="100"/>
  <c r="J327" i="100"/>
  <c r="N326" i="100"/>
  <c r="M326" i="100"/>
  <c r="O326" i="100" s="1"/>
  <c r="L326" i="100"/>
  <c r="K326" i="100"/>
  <c r="J326" i="100"/>
  <c r="N325" i="100"/>
  <c r="M325" i="100"/>
  <c r="L325" i="100"/>
  <c r="K325" i="100"/>
  <c r="J325" i="100"/>
  <c r="N324" i="100"/>
  <c r="M324" i="100"/>
  <c r="L324" i="100"/>
  <c r="K324" i="100"/>
  <c r="J324" i="100"/>
  <c r="N323" i="100"/>
  <c r="M323" i="100"/>
  <c r="O323" i="100" s="1"/>
  <c r="L323" i="100"/>
  <c r="K323" i="100"/>
  <c r="J323" i="100"/>
  <c r="N322" i="100"/>
  <c r="M322" i="100"/>
  <c r="O322" i="100" s="1"/>
  <c r="L322" i="100"/>
  <c r="K322" i="100"/>
  <c r="J322" i="100"/>
  <c r="N321" i="100"/>
  <c r="M321" i="100"/>
  <c r="L321" i="100"/>
  <c r="K321" i="100"/>
  <c r="J321" i="100"/>
  <c r="N320" i="100"/>
  <c r="P320" i="100" s="1"/>
  <c r="M320" i="100"/>
  <c r="L320" i="100"/>
  <c r="K320" i="100"/>
  <c r="J320" i="100"/>
  <c r="N319" i="100"/>
  <c r="M319" i="100"/>
  <c r="O319" i="100" s="1"/>
  <c r="L319" i="100"/>
  <c r="K319" i="100"/>
  <c r="J319" i="100"/>
  <c r="Q318" i="100"/>
  <c r="N318" i="100"/>
  <c r="P318" i="100" s="1"/>
  <c r="M318" i="100"/>
  <c r="O318" i="100" s="1"/>
  <c r="L318" i="100"/>
  <c r="K318" i="100"/>
  <c r="J318" i="100"/>
  <c r="N317" i="100"/>
  <c r="M317" i="100"/>
  <c r="L317" i="100"/>
  <c r="K317" i="100"/>
  <c r="J317" i="100"/>
  <c r="N316" i="100"/>
  <c r="P316" i="100" s="1"/>
  <c r="M316" i="100"/>
  <c r="L316" i="100"/>
  <c r="K316" i="100"/>
  <c r="J316" i="100"/>
  <c r="N315" i="100"/>
  <c r="M315" i="100"/>
  <c r="L315" i="100"/>
  <c r="K315" i="100"/>
  <c r="J315" i="100"/>
  <c r="N314" i="100"/>
  <c r="M314" i="100"/>
  <c r="O314" i="100" s="1"/>
  <c r="L314" i="100"/>
  <c r="K314" i="100"/>
  <c r="J314" i="100"/>
  <c r="N313" i="100"/>
  <c r="M313" i="100"/>
  <c r="L313" i="100"/>
  <c r="K313" i="100"/>
  <c r="J313" i="100"/>
  <c r="N312" i="100"/>
  <c r="M312" i="100"/>
  <c r="O312" i="100" s="1"/>
  <c r="L312" i="100"/>
  <c r="K312" i="100"/>
  <c r="J312" i="100"/>
  <c r="N311" i="100"/>
  <c r="M311" i="100"/>
  <c r="L311" i="100"/>
  <c r="K311" i="100"/>
  <c r="J311" i="100"/>
  <c r="N310" i="100"/>
  <c r="M310" i="100"/>
  <c r="L310" i="100"/>
  <c r="K310" i="100"/>
  <c r="J310" i="100"/>
  <c r="N309" i="100"/>
  <c r="M309" i="100"/>
  <c r="O309" i="100" s="1"/>
  <c r="L309" i="100"/>
  <c r="K309" i="100"/>
  <c r="J309" i="100"/>
  <c r="N308" i="100"/>
  <c r="M308" i="100"/>
  <c r="L308" i="100"/>
  <c r="K308" i="100"/>
  <c r="J308" i="100"/>
  <c r="N307" i="100"/>
  <c r="M307" i="100"/>
  <c r="L307" i="100"/>
  <c r="K307" i="100"/>
  <c r="J307" i="100"/>
  <c r="N306" i="100"/>
  <c r="M306" i="100"/>
  <c r="O306" i="100" s="1"/>
  <c r="L306" i="100"/>
  <c r="K306" i="100"/>
  <c r="J306" i="100"/>
  <c r="N305" i="100"/>
  <c r="M305" i="100"/>
  <c r="L305" i="100"/>
  <c r="K305" i="100"/>
  <c r="J305" i="100"/>
  <c r="P304" i="100"/>
  <c r="N304" i="100"/>
  <c r="M304" i="100"/>
  <c r="O304" i="100" s="1"/>
  <c r="Q304" i="100" s="1"/>
  <c r="L304" i="100"/>
  <c r="K304" i="100"/>
  <c r="J304" i="100"/>
  <c r="N303" i="100"/>
  <c r="M303" i="100"/>
  <c r="L303" i="100"/>
  <c r="K303" i="100"/>
  <c r="J303" i="100"/>
  <c r="N302" i="100"/>
  <c r="M302" i="100"/>
  <c r="L302" i="100"/>
  <c r="K302" i="100"/>
  <c r="J302" i="100"/>
  <c r="N301" i="100"/>
  <c r="M301" i="100"/>
  <c r="O301" i="100" s="1"/>
  <c r="L301" i="100"/>
  <c r="K301" i="100"/>
  <c r="J301" i="100"/>
  <c r="N300" i="100"/>
  <c r="M300" i="100"/>
  <c r="L300" i="100"/>
  <c r="K300" i="100"/>
  <c r="J300" i="100"/>
  <c r="N299" i="100"/>
  <c r="M299" i="100"/>
  <c r="L299" i="100"/>
  <c r="K299" i="100"/>
  <c r="J299" i="100"/>
  <c r="N298" i="100"/>
  <c r="M298" i="100"/>
  <c r="O298" i="100" s="1"/>
  <c r="L298" i="100"/>
  <c r="K298" i="100"/>
  <c r="J298" i="100"/>
  <c r="N297" i="100"/>
  <c r="M297" i="100"/>
  <c r="L297" i="100"/>
  <c r="K297" i="100"/>
  <c r="J297" i="100"/>
  <c r="P296" i="100"/>
  <c r="N296" i="100"/>
  <c r="M296" i="100"/>
  <c r="O296" i="100" s="1"/>
  <c r="Q296" i="100" s="1"/>
  <c r="L296" i="100"/>
  <c r="K296" i="100"/>
  <c r="J296" i="100"/>
  <c r="N295" i="100"/>
  <c r="M295" i="100"/>
  <c r="L295" i="100"/>
  <c r="K295" i="100"/>
  <c r="J295" i="100"/>
  <c r="N294" i="100"/>
  <c r="M294" i="100"/>
  <c r="L294" i="100"/>
  <c r="K294" i="100"/>
  <c r="J294" i="100"/>
  <c r="N293" i="100"/>
  <c r="M293" i="100"/>
  <c r="O293" i="100" s="1"/>
  <c r="L293" i="100"/>
  <c r="K293" i="100"/>
  <c r="J293" i="100"/>
  <c r="N292" i="100"/>
  <c r="M292" i="100"/>
  <c r="L292" i="100"/>
  <c r="K292" i="100"/>
  <c r="J292" i="100"/>
  <c r="N291" i="100"/>
  <c r="M291" i="100"/>
  <c r="L291" i="100"/>
  <c r="K291" i="100"/>
  <c r="J291" i="100"/>
  <c r="P290" i="100"/>
  <c r="N290" i="100"/>
  <c r="M290" i="100"/>
  <c r="O290" i="100" s="1"/>
  <c r="Q290" i="100" s="1"/>
  <c r="L290" i="100"/>
  <c r="K290" i="100"/>
  <c r="J290" i="100"/>
  <c r="N289" i="100"/>
  <c r="M289" i="100"/>
  <c r="L289" i="100"/>
  <c r="K289" i="100"/>
  <c r="J289" i="100"/>
  <c r="P288" i="100"/>
  <c r="N288" i="100"/>
  <c r="M288" i="100"/>
  <c r="O288" i="100" s="1"/>
  <c r="Q288" i="100" s="1"/>
  <c r="L288" i="100"/>
  <c r="K288" i="100"/>
  <c r="J288" i="100"/>
  <c r="N287" i="100"/>
  <c r="M287" i="100"/>
  <c r="L287" i="100"/>
  <c r="K287" i="100"/>
  <c r="J287" i="100"/>
  <c r="N286" i="100"/>
  <c r="M286" i="100"/>
  <c r="L286" i="100"/>
  <c r="K286" i="100"/>
  <c r="J286" i="100"/>
  <c r="N285" i="100"/>
  <c r="M285" i="100"/>
  <c r="O285" i="100" s="1"/>
  <c r="L285" i="100"/>
  <c r="K285" i="100"/>
  <c r="J285" i="100"/>
  <c r="N284" i="100"/>
  <c r="M284" i="100"/>
  <c r="L284" i="100"/>
  <c r="K284" i="100"/>
  <c r="J284" i="100"/>
  <c r="N283" i="100"/>
  <c r="M283" i="100"/>
  <c r="L283" i="100"/>
  <c r="K283" i="100"/>
  <c r="J283" i="100"/>
  <c r="N282" i="100"/>
  <c r="M282" i="100"/>
  <c r="O282" i="100" s="1"/>
  <c r="L282" i="100"/>
  <c r="K282" i="100"/>
  <c r="J282" i="100"/>
  <c r="N281" i="100"/>
  <c r="M281" i="100"/>
  <c r="L281" i="100"/>
  <c r="K281" i="100"/>
  <c r="J281" i="100"/>
  <c r="N280" i="100"/>
  <c r="M280" i="100"/>
  <c r="O280" i="100" s="1"/>
  <c r="L280" i="100"/>
  <c r="K280" i="100"/>
  <c r="J280" i="100"/>
  <c r="N279" i="100"/>
  <c r="M279" i="100"/>
  <c r="L279" i="100"/>
  <c r="K279" i="100"/>
  <c r="J279" i="100"/>
  <c r="N278" i="100"/>
  <c r="M278" i="100"/>
  <c r="L278" i="100"/>
  <c r="K278" i="100"/>
  <c r="J278" i="100"/>
  <c r="N277" i="100"/>
  <c r="M277" i="100"/>
  <c r="O277" i="100" s="1"/>
  <c r="L277" i="100"/>
  <c r="K277" i="100"/>
  <c r="J277" i="100"/>
  <c r="N276" i="100"/>
  <c r="M276" i="100"/>
  <c r="L276" i="100"/>
  <c r="K276" i="100"/>
  <c r="J276" i="100"/>
  <c r="N275" i="100"/>
  <c r="M275" i="100"/>
  <c r="L275" i="100"/>
  <c r="K275" i="100"/>
  <c r="J275" i="100"/>
  <c r="N274" i="100"/>
  <c r="M274" i="100"/>
  <c r="O274" i="100" s="1"/>
  <c r="L274" i="100"/>
  <c r="K274" i="100"/>
  <c r="J274" i="100"/>
  <c r="N273" i="100"/>
  <c r="M273" i="100"/>
  <c r="L273" i="100"/>
  <c r="K273" i="100"/>
  <c r="J273" i="100"/>
  <c r="N272" i="100"/>
  <c r="M272" i="100"/>
  <c r="L272" i="100"/>
  <c r="K272" i="100"/>
  <c r="J272" i="100"/>
  <c r="N271" i="100"/>
  <c r="M271" i="100"/>
  <c r="O271" i="100" s="1"/>
  <c r="L271" i="100"/>
  <c r="K271" i="100"/>
  <c r="J271" i="100"/>
  <c r="N270" i="100"/>
  <c r="P270" i="100" s="1"/>
  <c r="M270" i="100"/>
  <c r="L270" i="100"/>
  <c r="K270" i="100"/>
  <c r="J270" i="100"/>
  <c r="N269" i="100"/>
  <c r="M269" i="100"/>
  <c r="L269" i="100"/>
  <c r="K269" i="100"/>
  <c r="J269" i="100"/>
  <c r="N268" i="100"/>
  <c r="M268" i="100"/>
  <c r="L268" i="100"/>
  <c r="K268" i="100"/>
  <c r="J268" i="100"/>
  <c r="N267" i="100"/>
  <c r="M267" i="100"/>
  <c r="L267" i="100"/>
  <c r="K267" i="100"/>
  <c r="J267" i="100"/>
  <c r="N266" i="100"/>
  <c r="M266" i="100"/>
  <c r="L266" i="100"/>
  <c r="K266" i="100"/>
  <c r="J266" i="100"/>
  <c r="N265" i="100"/>
  <c r="M265" i="100"/>
  <c r="L265" i="100"/>
  <c r="K265" i="100"/>
  <c r="J265" i="100"/>
  <c r="N264" i="100"/>
  <c r="M264" i="100"/>
  <c r="L264" i="100"/>
  <c r="K264" i="100"/>
  <c r="J264" i="100"/>
  <c r="N263" i="100"/>
  <c r="M263" i="100"/>
  <c r="L263" i="100"/>
  <c r="K263" i="100"/>
  <c r="J263" i="100"/>
  <c r="N262" i="100"/>
  <c r="M262" i="100"/>
  <c r="L262" i="100"/>
  <c r="K262" i="100"/>
  <c r="J262" i="100"/>
  <c r="N261" i="100"/>
  <c r="M261" i="100"/>
  <c r="L261" i="100"/>
  <c r="K261" i="100"/>
  <c r="J261" i="100"/>
  <c r="N260" i="100"/>
  <c r="M260" i="100"/>
  <c r="L260" i="100"/>
  <c r="K260" i="100"/>
  <c r="J260" i="100"/>
  <c r="N259" i="100"/>
  <c r="M259" i="100"/>
  <c r="L259" i="100"/>
  <c r="K259" i="100"/>
  <c r="J259" i="100"/>
  <c r="N258" i="100"/>
  <c r="M258" i="100"/>
  <c r="L258" i="100"/>
  <c r="K258" i="100"/>
  <c r="J258" i="100"/>
  <c r="N257" i="100"/>
  <c r="M257" i="100"/>
  <c r="L257" i="100"/>
  <c r="K257" i="100"/>
  <c r="J257" i="100"/>
  <c r="N256" i="100"/>
  <c r="M256" i="100"/>
  <c r="L256" i="100"/>
  <c r="K256" i="100"/>
  <c r="J256" i="100"/>
  <c r="N255" i="100"/>
  <c r="M255" i="100"/>
  <c r="L255" i="100"/>
  <c r="K255" i="100"/>
  <c r="J255" i="100"/>
  <c r="N254" i="100"/>
  <c r="M254" i="100"/>
  <c r="L254" i="100"/>
  <c r="K254" i="100"/>
  <c r="J254" i="100"/>
  <c r="N253" i="100"/>
  <c r="M253" i="100"/>
  <c r="L253" i="100"/>
  <c r="K253" i="100"/>
  <c r="J253" i="100"/>
  <c r="N252" i="100"/>
  <c r="M252" i="100"/>
  <c r="O252" i="100" s="1"/>
  <c r="L252" i="100"/>
  <c r="K252" i="100"/>
  <c r="J252" i="100"/>
  <c r="N251" i="100"/>
  <c r="M251" i="100"/>
  <c r="L251" i="100"/>
  <c r="K251" i="100"/>
  <c r="J251" i="100"/>
  <c r="N250" i="100"/>
  <c r="M250" i="100"/>
  <c r="L250" i="100"/>
  <c r="K250" i="100"/>
  <c r="J250" i="100"/>
  <c r="N249" i="100"/>
  <c r="M249" i="100"/>
  <c r="L249" i="100"/>
  <c r="K249" i="100"/>
  <c r="J249" i="100"/>
  <c r="N248" i="100"/>
  <c r="M248" i="100"/>
  <c r="O248" i="100" s="1"/>
  <c r="L248" i="100"/>
  <c r="K248" i="100"/>
  <c r="J248" i="100"/>
  <c r="N247" i="100"/>
  <c r="M247" i="100"/>
  <c r="L247" i="100"/>
  <c r="K247" i="100"/>
  <c r="J247" i="100"/>
  <c r="N246" i="100"/>
  <c r="M246" i="100"/>
  <c r="L246" i="100"/>
  <c r="K246" i="100"/>
  <c r="J246" i="100"/>
  <c r="N245" i="100"/>
  <c r="P245" i="100" s="1"/>
  <c r="M245" i="100"/>
  <c r="L245" i="100"/>
  <c r="K245" i="100"/>
  <c r="J245" i="100"/>
  <c r="N244" i="100"/>
  <c r="M244" i="100"/>
  <c r="O244" i="100" s="1"/>
  <c r="L244" i="100"/>
  <c r="K244" i="100"/>
  <c r="J244" i="100"/>
  <c r="N243" i="100"/>
  <c r="M243" i="100"/>
  <c r="L243" i="100"/>
  <c r="K243" i="100"/>
  <c r="J243" i="100"/>
  <c r="N242" i="100"/>
  <c r="M242" i="100"/>
  <c r="L242" i="100"/>
  <c r="K242" i="100"/>
  <c r="J242" i="100"/>
  <c r="N241" i="100"/>
  <c r="M241" i="100"/>
  <c r="L241" i="100"/>
  <c r="K241" i="100"/>
  <c r="J241" i="100"/>
  <c r="N240" i="100"/>
  <c r="M240" i="100"/>
  <c r="L240" i="100"/>
  <c r="K240" i="100"/>
  <c r="J240" i="100"/>
  <c r="N239" i="100"/>
  <c r="M239" i="100"/>
  <c r="L239" i="100"/>
  <c r="K239" i="100"/>
  <c r="J239" i="100"/>
  <c r="N238" i="100"/>
  <c r="M238" i="100"/>
  <c r="L238" i="100"/>
  <c r="K238" i="100"/>
  <c r="J238" i="100"/>
  <c r="N237" i="100"/>
  <c r="P237" i="100" s="1"/>
  <c r="M237" i="100"/>
  <c r="L237" i="100"/>
  <c r="K237" i="100"/>
  <c r="J237" i="100"/>
  <c r="N236" i="100"/>
  <c r="M236" i="100"/>
  <c r="L236" i="100"/>
  <c r="K236" i="100"/>
  <c r="J236" i="100"/>
  <c r="N235" i="100"/>
  <c r="M235" i="100"/>
  <c r="L235" i="100"/>
  <c r="K235" i="100"/>
  <c r="J235" i="100"/>
  <c r="N234" i="100"/>
  <c r="M234" i="100"/>
  <c r="L234" i="100"/>
  <c r="K234" i="100"/>
  <c r="J234" i="100"/>
  <c r="N233" i="100"/>
  <c r="M233" i="100"/>
  <c r="L233" i="100"/>
  <c r="K233" i="100"/>
  <c r="J233" i="100"/>
  <c r="N232" i="100"/>
  <c r="M232" i="100"/>
  <c r="L232" i="100"/>
  <c r="K232" i="100"/>
  <c r="J232" i="100"/>
  <c r="N231" i="100"/>
  <c r="M231" i="100"/>
  <c r="L231" i="100"/>
  <c r="K231" i="100"/>
  <c r="J231" i="100"/>
  <c r="N230" i="100"/>
  <c r="M230" i="100"/>
  <c r="L230" i="100"/>
  <c r="K230" i="100"/>
  <c r="J230" i="100"/>
  <c r="N229" i="100"/>
  <c r="M229" i="100"/>
  <c r="L229" i="100"/>
  <c r="K229" i="100"/>
  <c r="J229" i="100"/>
  <c r="N228" i="100"/>
  <c r="P228" i="100" s="1"/>
  <c r="M228" i="100"/>
  <c r="L228" i="100"/>
  <c r="K228" i="100"/>
  <c r="J228" i="100"/>
  <c r="N227" i="100"/>
  <c r="M227" i="100"/>
  <c r="L227" i="100"/>
  <c r="K227" i="100"/>
  <c r="J227" i="100"/>
  <c r="N226" i="100"/>
  <c r="M226" i="100"/>
  <c r="L226" i="100"/>
  <c r="K226" i="100"/>
  <c r="J226" i="100"/>
  <c r="N225" i="100"/>
  <c r="M225" i="100"/>
  <c r="L225" i="100"/>
  <c r="K225" i="100"/>
  <c r="J225" i="100"/>
  <c r="N224" i="100"/>
  <c r="M224" i="100"/>
  <c r="L224" i="100"/>
  <c r="K224" i="100"/>
  <c r="J224" i="100"/>
  <c r="N223" i="100"/>
  <c r="M223" i="100"/>
  <c r="L223" i="100"/>
  <c r="K223" i="100"/>
  <c r="J223" i="100"/>
  <c r="N222" i="100"/>
  <c r="M222" i="100"/>
  <c r="O222" i="100" s="1"/>
  <c r="L222" i="100"/>
  <c r="K222" i="100"/>
  <c r="J222" i="100"/>
  <c r="N221" i="100"/>
  <c r="M221" i="100"/>
  <c r="L221" i="100"/>
  <c r="K221" i="100"/>
  <c r="J221" i="100"/>
  <c r="N220" i="100"/>
  <c r="M220" i="100"/>
  <c r="L220" i="100"/>
  <c r="K220" i="100"/>
  <c r="J220" i="100"/>
  <c r="N219" i="100"/>
  <c r="M219" i="100"/>
  <c r="O219" i="100" s="1"/>
  <c r="L219" i="100"/>
  <c r="K219" i="100"/>
  <c r="J219" i="100"/>
  <c r="N218" i="100"/>
  <c r="M218" i="100"/>
  <c r="O218" i="100" s="1"/>
  <c r="L218" i="100"/>
  <c r="K218" i="100"/>
  <c r="J218" i="100"/>
  <c r="N217" i="100"/>
  <c r="M217" i="100"/>
  <c r="L217" i="100"/>
  <c r="K217" i="100"/>
  <c r="J217" i="100"/>
  <c r="N216" i="100"/>
  <c r="M216" i="100"/>
  <c r="L216" i="100"/>
  <c r="K216" i="100"/>
  <c r="J216" i="100"/>
  <c r="N215" i="100"/>
  <c r="M215" i="100"/>
  <c r="O215" i="100" s="1"/>
  <c r="L215" i="100"/>
  <c r="K215" i="100"/>
  <c r="J215" i="100"/>
  <c r="N214" i="100"/>
  <c r="M214" i="100"/>
  <c r="O214" i="100" s="1"/>
  <c r="L214" i="100"/>
  <c r="K214" i="100"/>
  <c r="J214" i="100"/>
  <c r="N213" i="100"/>
  <c r="M213" i="100"/>
  <c r="L213" i="100"/>
  <c r="K213" i="100"/>
  <c r="J213" i="100"/>
  <c r="N212" i="100"/>
  <c r="M212" i="100"/>
  <c r="L212" i="100"/>
  <c r="K212" i="100"/>
  <c r="J212" i="100"/>
  <c r="N211" i="100"/>
  <c r="M211" i="100"/>
  <c r="O211" i="100" s="1"/>
  <c r="L211" i="100"/>
  <c r="K211" i="100"/>
  <c r="J211" i="100"/>
  <c r="N210" i="100"/>
  <c r="M210" i="100"/>
  <c r="O210" i="100" s="1"/>
  <c r="L210" i="100"/>
  <c r="K210" i="100"/>
  <c r="J210" i="100"/>
  <c r="N209" i="100"/>
  <c r="M209" i="100"/>
  <c r="L209" i="100"/>
  <c r="K209" i="100"/>
  <c r="J209" i="100"/>
  <c r="N208" i="100"/>
  <c r="M208" i="100"/>
  <c r="L208" i="100"/>
  <c r="K208" i="100"/>
  <c r="J208" i="100"/>
  <c r="N207" i="100"/>
  <c r="M207" i="100"/>
  <c r="L207" i="100"/>
  <c r="K207" i="100"/>
  <c r="J207" i="100"/>
  <c r="N206" i="100"/>
  <c r="M206" i="100"/>
  <c r="O206" i="100" s="1"/>
  <c r="L206" i="100"/>
  <c r="K206" i="100"/>
  <c r="J206" i="100"/>
  <c r="N205" i="100"/>
  <c r="M205" i="100"/>
  <c r="L205" i="100"/>
  <c r="K205" i="100"/>
  <c r="J205" i="100"/>
  <c r="N204" i="100"/>
  <c r="M204" i="100"/>
  <c r="L204" i="100"/>
  <c r="K204" i="100"/>
  <c r="J204" i="100"/>
  <c r="N203" i="100"/>
  <c r="P203" i="100" s="1"/>
  <c r="M203" i="100"/>
  <c r="O203" i="100" s="1"/>
  <c r="Q203" i="100" s="1"/>
  <c r="L203" i="100"/>
  <c r="K203" i="100"/>
  <c r="J203" i="100"/>
  <c r="N202" i="100"/>
  <c r="M202" i="100"/>
  <c r="O202" i="100" s="1"/>
  <c r="L202" i="100"/>
  <c r="K202" i="100"/>
  <c r="J202" i="100"/>
  <c r="N201" i="100"/>
  <c r="M201" i="100"/>
  <c r="L201" i="100"/>
  <c r="K201" i="100"/>
  <c r="J201" i="100"/>
  <c r="P200" i="100"/>
  <c r="N200" i="100"/>
  <c r="M200" i="100"/>
  <c r="L200" i="100"/>
  <c r="K200" i="100"/>
  <c r="J200" i="100"/>
  <c r="N199" i="100"/>
  <c r="M199" i="100"/>
  <c r="O199" i="100" s="1"/>
  <c r="L199" i="100"/>
  <c r="K199" i="100"/>
  <c r="J199" i="100"/>
  <c r="N198" i="100"/>
  <c r="M198" i="100"/>
  <c r="O198" i="100" s="1"/>
  <c r="L198" i="100"/>
  <c r="K198" i="100"/>
  <c r="J198" i="100"/>
  <c r="N197" i="100"/>
  <c r="M197" i="100"/>
  <c r="L197" i="100"/>
  <c r="K197" i="100"/>
  <c r="J197" i="100"/>
  <c r="N196" i="100"/>
  <c r="M196" i="100"/>
  <c r="L196" i="100"/>
  <c r="K196" i="100"/>
  <c r="J196" i="100"/>
  <c r="N195" i="100"/>
  <c r="M195" i="100"/>
  <c r="O195" i="100" s="1"/>
  <c r="L195" i="100"/>
  <c r="K195" i="100"/>
  <c r="J195" i="100"/>
  <c r="N194" i="100"/>
  <c r="M194" i="100"/>
  <c r="O194" i="100" s="1"/>
  <c r="L194" i="100"/>
  <c r="K194" i="100"/>
  <c r="J194" i="100"/>
  <c r="N193" i="100"/>
  <c r="M193" i="100"/>
  <c r="L193" i="100"/>
  <c r="K193" i="100"/>
  <c r="J193" i="100"/>
  <c r="N192" i="100"/>
  <c r="M192" i="100"/>
  <c r="L192" i="100"/>
  <c r="K192" i="100"/>
  <c r="J192" i="100"/>
  <c r="N191" i="100"/>
  <c r="M191" i="100"/>
  <c r="L191" i="100"/>
  <c r="K191" i="100"/>
  <c r="J191" i="100"/>
  <c r="N190" i="100"/>
  <c r="M190" i="100"/>
  <c r="O190" i="100" s="1"/>
  <c r="L190" i="100"/>
  <c r="K190" i="100"/>
  <c r="J190" i="100"/>
  <c r="N189" i="100"/>
  <c r="M189" i="100"/>
  <c r="L189" i="100"/>
  <c r="K189" i="100"/>
  <c r="J189" i="100"/>
  <c r="N188" i="100"/>
  <c r="M188" i="100"/>
  <c r="L188" i="100"/>
  <c r="K188" i="100"/>
  <c r="J188" i="100"/>
  <c r="N187" i="100"/>
  <c r="M187" i="100"/>
  <c r="O187" i="100" s="1"/>
  <c r="L187" i="100"/>
  <c r="K187" i="100"/>
  <c r="J187" i="100"/>
  <c r="N186" i="100"/>
  <c r="M186" i="100"/>
  <c r="O186" i="100" s="1"/>
  <c r="L186" i="100"/>
  <c r="K186" i="100"/>
  <c r="J186" i="100"/>
  <c r="N185" i="100"/>
  <c r="M185" i="100"/>
  <c r="L185" i="100"/>
  <c r="K185" i="100"/>
  <c r="J185" i="100"/>
  <c r="N184" i="100"/>
  <c r="M184" i="100"/>
  <c r="L184" i="100"/>
  <c r="K184" i="100"/>
  <c r="J184" i="100"/>
  <c r="N183" i="100"/>
  <c r="M183" i="100"/>
  <c r="L183" i="100"/>
  <c r="K183" i="100"/>
  <c r="J183" i="100"/>
  <c r="N182" i="100"/>
  <c r="M182" i="100"/>
  <c r="O182" i="100" s="1"/>
  <c r="L182" i="100"/>
  <c r="K182" i="100"/>
  <c r="J182" i="100"/>
  <c r="P181" i="100"/>
  <c r="N181" i="100"/>
  <c r="M181" i="100"/>
  <c r="L181" i="100"/>
  <c r="K181" i="100"/>
  <c r="J181" i="100"/>
  <c r="N180" i="100"/>
  <c r="M180" i="100"/>
  <c r="L180" i="100"/>
  <c r="K180" i="100"/>
  <c r="J180" i="100"/>
  <c r="N179" i="100"/>
  <c r="M179" i="100"/>
  <c r="O179" i="100" s="1"/>
  <c r="L179" i="100"/>
  <c r="K179" i="100"/>
  <c r="J179" i="100"/>
  <c r="N178" i="100"/>
  <c r="M178" i="100"/>
  <c r="O178" i="100" s="1"/>
  <c r="L178" i="100"/>
  <c r="K178" i="100"/>
  <c r="J178" i="100"/>
  <c r="N177" i="100"/>
  <c r="M177" i="100"/>
  <c r="L177" i="100"/>
  <c r="K177" i="100"/>
  <c r="J177" i="100"/>
  <c r="N176" i="100"/>
  <c r="M176" i="100"/>
  <c r="L176" i="100"/>
  <c r="K176" i="100"/>
  <c r="J176" i="100"/>
  <c r="N175" i="100"/>
  <c r="P175" i="100" s="1"/>
  <c r="M175" i="100"/>
  <c r="O175" i="100" s="1"/>
  <c r="L175" i="100"/>
  <c r="K175" i="100"/>
  <c r="J175" i="100"/>
  <c r="N174" i="100"/>
  <c r="M174" i="100"/>
  <c r="O174" i="100" s="1"/>
  <c r="L174" i="100"/>
  <c r="K174" i="100"/>
  <c r="J174" i="100"/>
  <c r="N173" i="100"/>
  <c r="M173" i="100"/>
  <c r="L173" i="100"/>
  <c r="K173" i="100"/>
  <c r="J173" i="100"/>
  <c r="N172" i="100"/>
  <c r="M172" i="100"/>
  <c r="L172" i="100"/>
  <c r="K172" i="100"/>
  <c r="J172" i="100"/>
  <c r="N171" i="100"/>
  <c r="M171" i="100"/>
  <c r="O171" i="100" s="1"/>
  <c r="L171" i="100"/>
  <c r="K171" i="100"/>
  <c r="J171" i="100"/>
  <c r="N170" i="100"/>
  <c r="M170" i="100"/>
  <c r="O170" i="100" s="1"/>
  <c r="L170" i="100"/>
  <c r="K170" i="100"/>
  <c r="J170" i="100"/>
  <c r="N169" i="100"/>
  <c r="M169" i="100"/>
  <c r="L169" i="100"/>
  <c r="K169" i="100"/>
  <c r="J169" i="100"/>
  <c r="N168" i="100"/>
  <c r="M168" i="100"/>
  <c r="L168" i="100"/>
  <c r="K168" i="100"/>
  <c r="J168" i="100"/>
  <c r="N167" i="100"/>
  <c r="M167" i="100"/>
  <c r="O167" i="100" s="1"/>
  <c r="L167" i="100"/>
  <c r="K167" i="100"/>
  <c r="J167" i="100"/>
  <c r="N166" i="100"/>
  <c r="M166" i="100"/>
  <c r="O166" i="100" s="1"/>
  <c r="L166" i="100"/>
  <c r="K166" i="100"/>
  <c r="J166" i="100"/>
  <c r="N165" i="100"/>
  <c r="M165" i="100"/>
  <c r="L165" i="100"/>
  <c r="K165" i="100"/>
  <c r="J165" i="100"/>
  <c r="N164" i="100"/>
  <c r="M164" i="100"/>
  <c r="L164" i="100"/>
  <c r="K164" i="100"/>
  <c r="J164" i="100"/>
  <c r="N163" i="100"/>
  <c r="M163" i="100"/>
  <c r="O163" i="100" s="1"/>
  <c r="L163" i="100"/>
  <c r="K163" i="100"/>
  <c r="J163" i="100"/>
  <c r="N162" i="100"/>
  <c r="M162" i="100"/>
  <c r="O162" i="100" s="1"/>
  <c r="L162" i="100"/>
  <c r="K162" i="100"/>
  <c r="J162" i="100"/>
  <c r="N161" i="100"/>
  <c r="M161" i="100"/>
  <c r="L161" i="100"/>
  <c r="K161" i="100"/>
  <c r="J161" i="100"/>
  <c r="N160" i="100"/>
  <c r="M160" i="100"/>
  <c r="L160" i="100"/>
  <c r="K160" i="100"/>
  <c r="J160" i="100"/>
  <c r="N159" i="100"/>
  <c r="M159" i="100"/>
  <c r="O159" i="100" s="1"/>
  <c r="L159" i="100"/>
  <c r="K159" i="100"/>
  <c r="J159" i="100"/>
  <c r="N158" i="100"/>
  <c r="M158" i="100"/>
  <c r="L158" i="100"/>
  <c r="K158" i="100"/>
  <c r="J158" i="100"/>
  <c r="N157" i="100"/>
  <c r="M157" i="100"/>
  <c r="L157" i="100"/>
  <c r="K157" i="100"/>
  <c r="J157" i="100"/>
  <c r="N156" i="100"/>
  <c r="M156" i="100"/>
  <c r="L156" i="100"/>
  <c r="K156" i="100"/>
  <c r="J156" i="100"/>
  <c r="N155" i="100"/>
  <c r="M155" i="100"/>
  <c r="O155" i="100" s="1"/>
  <c r="L155" i="100"/>
  <c r="K155" i="100"/>
  <c r="J155" i="100"/>
  <c r="N154" i="100"/>
  <c r="M154" i="100"/>
  <c r="L154" i="100"/>
  <c r="K154" i="100"/>
  <c r="J154" i="100"/>
  <c r="N153" i="100"/>
  <c r="M153" i="100"/>
  <c r="L153" i="100"/>
  <c r="K153" i="100"/>
  <c r="J153" i="100"/>
  <c r="N152" i="100"/>
  <c r="M152" i="100"/>
  <c r="L152" i="100"/>
  <c r="K152" i="100"/>
  <c r="J152" i="100"/>
  <c r="N151" i="100"/>
  <c r="M151" i="100"/>
  <c r="O151" i="100" s="1"/>
  <c r="L151" i="100"/>
  <c r="K151" i="100"/>
  <c r="J151" i="100"/>
  <c r="N150" i="100"/>
  <c r="M150" i="100"/>
  <c r="L150" i="100"/>
  <c r="K150" i="100"/>
  <c r="J150" i="100"/>
  <c r="N149" i="100"/>
  <c r="M149" i="100"/>
  <c r="L149" i="100"/>
  <c r="K149" i="100"/>
  <c r="J149" i="100"/>
  <c r="N148" i="100"/>
  <c r="M148" i="100"/>
  <c r="L148" i="100"/>
  <c r="K148" i="100"/>
  <c r="J148" i="100"/>
  <c r="N147" i="100"/>
  <c r="M147" i="100"/>
  <c r="O147" i="100" s="1"/>
  <c r="L147" i="100"/>
  <c r="K147" i="100"/>
  <c r="J147" i="100"/>
  <c r="N146" i="100"/>
  <c r="M146" i="100"/>
  <c r="L146" i="100"/>
  <c r="K146" i="100"/>
  <c r="J146" i="100"/>
  <c r="N145" i="100"/>
  <c r="M145" i="100"/>
  <c r="L145" i="100"/>
  <c r="K145" i="100"/>
  <c r="J145" i="100"/>
  <c r="N144" i="100"/>
  <c r="M144" i="100"/>
  <c r="L144" i="100"/>
  <c r="K144" i="100"/>
  <c r="J144" i="100"/>
  <c r="N143" i="100"/>
  <c r="M143" i="100"/>
  <c r="O143" i="100" s="1"/>
  <c r="L143" i="100"/>
  <c r="K143" i="100"/>
  <c r="J143" i="100"/>
  <c r="N142" i="100"/>
  <c r="M142" i="100"/>
  <c r="L142" i="100"/>
  <c r="K142" i="100"/>
  <c r="J142" i="100"/>
  <c r="N141" i="100"/>
  <c r="M141" i="100"/>
  <c r="L141" i="100"/>
  <c r="K141" i="100"/>
  <c r="J141" i="100"/>
  <c r="N140" i="100"/>
  <c r="M140" i="100"/>
  <c r="L140" i="100"/>
  <c r="K140" i="100"/>
  <c r="J140" i="100"/>
  <c r="N139" i="100"/>
  <c r="M139" i="100"/>
  <c r="O139" i="100" s="1"/>
  <c r="L139" i="100"/>
  <c r="K139" i="100"/>
  <c r="J139" i="100"/>
  <c r="N138" i="100"/>
  <c r="M138" i="100"/>
  <c r="L138" i="100"/>
  <c r="K138" i="100"/>
  <c r="J138" i="100"/>
  <c r="N137" i="100"/>
  <c r="M137" i="100"/>
  <c r="L137" i="100"/>
  <c r="K137" i="100"/>
  <c r="J137" i="100"/>
  <c r="N136" i="100"/>
  <c r="M136" i="100"/>
  <c r="L136" i="100"/>
  <c r="K136" i="100"/>
  <c r="J136" i="100"/>
  <c r="N135" i="100"/>
  <c r="M135" i="100"/>
  <c r="O135" i="100" s="1"/>
  <c r="L135" i="100"/>
  <c r="K135" i="100"/>
  <c r="J135" i="100"/>
  <c r="N134" i="100"/>
  <c r="M134" i="100"/>
  <c r="L134" i="100"/>
  <c r="K134" i="100"/>
  <c r="J134" i="100"/>
  <c r="N133" i="100"/>
  <c r="M133" i="100"/>
  <c r="L133" i="100"/>
  <c r="K133" i="100"/>
  <c r="J133" i="100"/>
  <c r="N132" i="100"/>
  <c r="M132" i="100"/>
  <c r="L132" i="100"/>
  <c r="K132" i="100"/>
  <c r="J132" i="100"/>
  <c r="N131" i="100"/>
  <c r="M131" i="100"/>
  <c r="O131" i="100" s="1"/>
  <c r="L131" i="100"/>
  <c r="K131" i="100"/>
  <c r="J131" i="100"/>
  <c r="N130" i="100"/>
  <c r="M130" i="100"/>
  <c r="L130" i="100"/>
  <c r="K130" i="100"/>
  <c r="J130" i="100"/>
  <c r="N129" i="100"/>
  <c r="M129" i="100"/>
  <c r="L129" i="100"/>
  <c r="K129" i="100"/>
  <c r="J129" i="100"/>
  <c r="N128" i="100"/>
  <c r="P128" i="100" s="1"/>
  <c r="M128" i="100"/>
  <c r="L128" i="100"/>
  <c r="K128" i="100"/>
  <c r="J128" i="100"/>
  <c r="N127" i="100"/>
  <c r="M127" i="100"/>
  <c r="O127" i="100" s="1"/>
  <c r="L127" i="100"/>
  <c r="K127" i="100"/>
  <c r="J127" i="100"/>
  <c r="N126" i="100"/>
  <c r="M126" i="100"/>
  <c r="L126" i="100"/>
  <c r="K126" i="100"/>
  <c r="J126" i="100"/>
  <c r="N125" i="100"/>
  <c r="M125" i="100"/>
  <c r="L125" i="100"/>
  <c r="K125" i="100"/>
  <c r="J125" i="100"/>
  <c r="N124" i="100"/>
  <c r="M124" i="100"/>
  <c r="L124" i="100"/>
  <c r="K124" i="100"/>
  <c r="J124" i="100"/>
  <c r="N123" i="100"/>
  <c r="M123" i="100"/>
  <c r="O123" i="100" s="1"/>
  <c r="L123" i="100"/>
  <c r="K123" i="100"/>
  <c r="J123" i="100"/>
  <c r="N122" i="100"/>
  <c r="M122" i="100"/>
  <c r="L122" i="100"/>
  <c r="K122" i="100"/>
  <c r="J122" i="100"/>
  <c r="N121" i="100"/>
  <c r="M121" i="100"/>
  <c r="L121" i="100"/>
  <c r="K121" i="100"/>
  <c r="J121" i="100"/>
  <c r="N120" i="100"/>
  <c r="M120" i="100"/>
  <c r="L120" i="100"/>
  <c r="K120" i="100"/>
  <c r="J120" i="100"/>
  <c r="N119" i="100"/>
  <c r="M119" i="100"/>
  <c r="O119" i="100" s="1"/>
  <c r="L119" i="100"/>
  <c r="K119" i="100"/>
  <c r="J119" i="100"/>
  <c r="N118" i="100"/>
  <c r="M118" i="100"/>
  <c r="L118" i="100"/>
  <c r="K118" i="100"/>
  <c r="J118" i="100"/>
  <c r="N117" i="100"/>
  <c r="M117" i="100"/>
  <c r="L117" i="100"/>
  <c r="K117" i="100"/>
  <c r="J117" i="100"/>
  <c r="N116" i="100"/>
  <c r="M116" i="100"/>
  <c r="L116" i="100"/>
  <c r="K116" i="100"/>
  <c r="J116" i="100"/>
  <c r="N115" i="100"/>
  <c r="M115" i="100"/>
  <c r="O115" i="100" s="1"/>
  <c r="L115" i="100"/>
  <c r="K115" i="100"/>
  <c r="J115" i="100"/>
  <c r="N114" i="100"/>
  <c r="P114" i="100" s="1"/>
  <c r="M114" i="100"/>
  <c r="L114" i="100"/>
  <c r="K114" i="100"/>
  <c r="J114" i="100"/>
  <c r="N113" i="100"/>
  <c r="M113" i="100"/>
  <c r="L113" i="100"/>
  <c r="K113" i="100"/>
  <c r="J113" i="100"/>
  <c r="N112" i="100"/>
  <c r="M112" i="100"/>
  <c r="L112" i="100"/>
  <c r="K112" i="100"/>
  <c r="J112" i="100"/>
  <c r="N111" i="100"/>
  <c r="P111" i="100" s="1"/>
  <c r="M111" i="100"/>
  <c r="O111" i="100" s="1"/>
  <c r="L111" i="100"/>
  <c r="K111" i="100"/>
  <c r="J111" i="100"/>
  <c r="N110" i="100"/>
  <c r="M110" i="100"/>
  <c r="L110" i="100"/>
  <c r="K110" i="100"/>
  <c r="J110" i="100"/>
  <c r="N109" i="100"/>
  <c r="M109" i="100"/>
  <c r="L109" i="100"/>
  <c r="K109" i="100"/>
  <c r="J109" i="100"/>
  <c r="N108" i="100"/>
  <c r="P108" i="100" s="1"/>
  <c r="M108" i="100"/>
  <c r="L108" i="100"/>
  <c r="K108" i="100"/>
  <c r="J108" i="100"/>
  <c r="N107" i="100"/>
  <c r="M107" i="100"/>
  <c r="O107" i="100" s="1"/>
  <c r="L107" i="100"/>
  <c r="K107" i="100"/>
  <c r="J107" i="100"/>
  <c r="N106" i="100"/>
  <c r="M106" i="100"/>
  <c r="L106" i="100"/>
  <c r="K106" i="100"/>
  <c r="J106" i="100"/>
  <c r="N105" i="100"/>
  <c r="M105" i="100"/>
  <c r="L105" i="100"/>
  <c r="K105" i="100"/>
  <c r="J105" i="100"/>
  <c r="N104" i="100"/>
  <c r="M104" i="100"/>
  <c r="L104" i="100"/>
  <c r="K104" i="100"/>
  <c r="J104" i="100"/>
  <c r="N103" i="100"/>
  <c r="M103" i="100"/>
  <c r="O103" i="100" s="1"/>
  <c r="L103" i="100"/>
  <c r="K103" i="100"/>
  <c r="J103" i="100"/>
  <c r="N102" i="100"/>
  <c r="M102" i="100"/>
  <c r="L102" i="100"/>
  <c r="K102" i="100"/>
  <c r="J102" i="100"/>
  <c r="N101" i="100"/>
  <c r="M101" i="100"/>
  <c r="L101" i="100"/>
  <c r="K101" i="100"/>
  <c r="J101" i="100"/>
  <c r="N100" i="100"/>
  <c r="M100" i="100"/>
  <c r="L100" i="100"/>
  <c r="K100" i="100"/>
  <c r="J100" i="100"/>
  <c r="N99" i="100"/>
  <c r="M99" i="100"/>
  <c r="O99" i="100" s="1"/>
  <c r="L99" i="100"/>
  <c r="K99" i="100"/>
  <c r="J99" i="100"/>
  <c r="N98" i="100"/>
  <c r="M98" i="100"/>
  <c r="L98" i="100"/>
  <c r="K98" i="100"/>
  <c r="J98" i="100"/>
  <c r="N97" i="100"/>
  <c r="M97" i="100"/>
  <c r="L97" i="100"/>
  <c r="K97" i="100"/>
  <c r="J97" i="100"/>
  <c r="N96" i="100"/>
  <c r="M96" i="100"/>
  <c r="L96" i="100"/>
  <c r="K96" i="100"/>
  <c r="J96" i="100"/>
  <c r="N95" i="100"/>
  <c r="M95" i="100"/>
  <c r="O95" i="100" s="1"/>
  <c r="L95" i="100"/>
  <c r="K95" i="100"/>
  <c r="J95" i="100"/>
  <c r="N94" i="100"/>
  <c r="M94" i="100"/>
  <c r="L94" i="100"/>
  <c r="K94" i="100"/>
  <c r="J94" i="100"/>
  <c r="N93" i="100"/>
  <c r="M93" i="100"/>
  <c r="L93" i="100"/>
  <c r="K93" i="100"/>
  <c r="J93" i="100"/>
  <c r="N92" i="100"/>
  <c r="M92" i="100"/>
  <c r="L92" i="100"/>
  <c r="K92" i="100"/>
  <c r="J92" i="100"/>
  <c r="N91" i="100"/>
  <c r="P91" i="100" s="1"/>
  <c r="M91" i="100"/>
  <c r="O91" i="100" s="1"/>
  <c r="L91" i="100"/>
  <c r="K91" i="100"/>
  <c r="J91" i="100"/>
  <c r="N90" i="100"/>
  <c r="M90" i="100"/>
  <c r="L90" i="100"/>
  <c r="K90" i="100"/>
  <c r="J90" i="100"/>
  <c r="N89" i="100"/>
  <c r="M89" i="100"/>
  <c r="L89" i="100"/>
  <c r="K89" i="100"/>
  <c r="J89" i="100"/>
  <c r="N88" i="100"/>
  <c r="M88" i="100"/>
  <c r="L88" i="100"/>
  <c r="K88" i="100"/>
  <c r="J88" i="100"/>
  <c r="N87" i="100"/>
  <c r="P87" i="100" s="1"/>
  <c r="M87" i="100"/>
  <c r="O87" i="100" s="1"/>
  <c r="L87" i="100"/>
  <c r="K87" i="100"/>
  <c r="J87" i="100"/>
  <c r="N86" i="100"/>
  <c r="P86" i="100" s="1"/>
  <c r="M86" i="100"/>
  <c r="L86" i="100"/>
  <c r="K86" i="100"/>
  <c r="J86" i="100"/>
  <c r="N85" i="100"/>
  <c r="M85" i="100"/>
  <c r="L85" i="100"/>
  <c r="K85" i="100"/>
  <c r="J85" i="100"/>
  <c r="N84" i="100"/>
  <c r="P84" i="100" s="1"/>
  <c r="M84" i="100"/>
  <c r="L84" i="100"/>
  <c r="K84" i="100"/>
  <c r="J84" i="100"/>
  <c r="N83" i="100"/>
  <c r="P83" i="100" s="1"/>
  <c r="M83" i="100"/>
  <c r="O83" i="100" s="1"/>
  <c r="L83" i="100"/>
  <c r="Q83" i="100" s="1"/>
  <c r="K83" i="100"/>
  <c r="J83" i="100"/>
  <c r="N82" i="100"/>
  <c r="M82" i="100"/>
  <c r="L82" i="100"/>
  <c r="K82" i="100"/>
  <c r="J82" i="100"/>
  <c r="N81" i="100"/>
  <c r="M81" i="100"/>
  <c r="L81" i="100"/>
  <c r="K81" i="100"/>
  <c r="J81" i="100"/>
  <c r="N80" i="100"/>
  <c r="M80" i="100"/>
  <c r="L80" i="100"/>
  <c r="K80" i="100"/>
  <c r="J80" i="100"/>
  <c r="N79" i="100"/>
  <c r="M79" i="100"/>
  <c r="O79" i="100" s="1"/>
  <c r="L79" i="100"/>
  <c r="K79" i="100"/>
  <c r="J79" i="100"/>
  <c r="N78" i="100"/>
  <c r="M78" i="100"/>
  <c r="L78" i="100"/>
  <c r="K78" i="100"/>
  <c r="J78" i="100"/>
  <c r="N77" i="100"/>
  <c r="M77" i="100"/>
  <c r="L77" i="100"/>
  <c r="K77" i="100"/>
  <c r="J77" i="100"/>
  <c r="N76" i="100"/>
  <c r="M76" i="100"/>
  <c r="L76" i="100"/>
  <c r="K76" i="100"/>
  <c r="J76" i="100"/>
  <c r="N75" i="100"/>
  <c r="M75" i="100"/>
  <c r="L75" i="100"/>
  <c r="K75" i="100"/>
  <c r="J75" i="100"/>
  <c r="N74" i="100"/>
  <c r="M74" i="100"/>
  <c r="L74" i="100"/>
  <c r="K74" i="100"/>
  <c r="J74" i="100"/>
  <c r="N73" i="100"/>
  <c r="P73" i="100" s="1"/>
  <c r="M73" i="100"/>
  <c r="L73" i="100"/>
  <c r="K73" i="100"/>
  <c r="J73" i="100"/>
  <c r="N72" i="100"/>
  <c r="P72" i="100" s="1"/>
  <c r="M72" i="100"/>
  <c r="L72" i="100"/>
  <c r="K72" i="100"/>
  <c r="J72" i="100"/>
  <c r="N71" i="100"/>
  <c r="P71" i="100" s="1"/>
  <c r="M71" i="100"/>
  <c r="L71" i="100"/>
  <c r="K71" i="100"/>
  <c r="J71" i="100"/>
  <c r="N70" i="100"/>
  <c r="M70" i="100"/>
  <c r="L70" i="100"/>
  <c r="K70" i="100"/>
  <c r="J70" i="100"/>
  <c r="N69" i="100"/>
  <c r="M69" i="100"/>
  <c r="L69" i="100"/>
  <c r="K69" i="100"/>
  <c r="J69" i="100"/>
  <c r="N68" i="100"/>
  <c r="M68" i="100"/>
  <c r="L68" i="100"/>
  <c r="K68" i="100"/>
  <c r="J68" i="100"/>
  <c r="N67" i="100"/>
  <c r="M67" i="100"/>
  <c r="L67" i="100"/>
  <c r="K67" i="100"/>
  <c r="J67" i="100"/>
  <c r="N66" i="100"/>
  <c r="M66" i="100"/>
  <c r="L66" i="100"/>
  <c r="K66" i="100"/>
  <c r="J66" i="100"/>
  <c r="N65" i="100"/>
  <c r="P65" i="100" s="1"/>
  <c r="M65" i="100"/>
  <c r="L65" i="100"/>
  <c r="K65" i="100"/>
  <c r="J65" i="100"/>
  <c r="N64" i="100"/>
  <c r="M64" i="100"/>
  <c r="L64" i="100"/>
  <c r="K64" i="100"/>
  <c r="J64" i="100"/>
  <c r="N63" i="100"/>
  <c r="M63" i="100"/>
  <c r="O63" i="100" s="1"/>
  <c r="L63" i="100"/>
  <c r="K63" i="100"/>
  <c r="J63" i="100"/>
  <c r="N62" i="100"/>
  <c r="M62" i="100"/>
  <c r="L62" i="100"/>
  <c r="K62" i="100"/>
  <c r="J62" i="100"/>
  <c r="N61" i="100"/>
  <c r="M61" i="100"/>
  <c r="L61" i="100"/>
  <c r="K61" i="100"/>
  <c r="J61" i="100"/>
  <c r="N60" i="100"/>
  <c r="M60" i="100"/>
  <c r="L60" i="100"/>
  <c r="K60" i="100"/>
  <c r="J60" i="100"/>
  <c r="N59" i="100"/>
  <c r="M59" i="100"/>
  <c r="L59" i="100"/>
  <c r="K59" i="100"/>
  <c r="J59" i="100"/>
  <c r="N58" i="100"/>
  <c r="M58" i="100"/>
  <c r="L58" i="100"/>
  <c r="K58" i="100"/>
  <c r="J58" i="100"/>
  <c r="N57" i="100"/>
  <c r="M57" i="100"/>
  <c r="L57" i="100"/>
  <c r="K57" i="100"/>
  <c r="J57" i="100"/>
  <c r="N56" i="100"/>
  <c r="M56" i="100"/>
  <c r="L56" i="100"/>
  <c r="K56" i="100"/>
  <c r="J56" i="100"/>
  <c r="N55" i="100"/>
  <c r="M55" i="100"/>
  <c r="O55" i="100" s="1"/>
  <c r="L55" i="100"/>
  <c r="K55" i="100"/>
  <c r="J55" i="100"/>
  <c r="N54" i="100"/>
  <c r="M54" i="100"/>
  <c r="L54" i="100"/>
  <c r="K54" i="100"/>
  <c r="J54" i="100"/>
  <c r="N53" i="100"/>
  <c r="M53" i="100"/>
  <c r="L53" i="100"/>
  <c r="K53" i="100"/>
  <c r="J53" i="100"/>
  <c r="N52" i="100"/>
  <c r="M52" i="100"/>
  <c r="O52" i="100" s="1"/>
  <c r="L52" i="100"/>
  <c r="K52" i="100"/>
  <c r="J52" i="100"/>
  <c r="N51" i="100"/>
  <c r="M51" i="100"/>
  <c r="O51" i="100" s="1"/>
  <c r="L51" i="100"/>
  <c r="K51" i="100"/>
  <c r="J51" i="100"/>
  <c r="N50" i="100"/>
  <c r="M50" i="100"/>
  <c r="L50" i="100"/>
  <c r="K50" i="100"/>
  <c r="J50" i="100"/>
  <c r="N49" i="100"/>
  <c r="M49" i="100"/>
  <c r="L49" i="100"/>
  <c r="K49" i="100"/>
  <c r="J49" i="100"/>
  <c r="N48" i="100"/>
  <c r="M48" i="100"/>
  <c r="O48" i="100" s="1"/>
  <c r="L48" i="100"/>
  <c r="K48" i="100"/>
  <c r="J48" i="100"/>
  <c r="N47" i="100"/>
  <c r="P47" i="100" s="1"/>
  <c r="M47" i="100"/>
  <c r="L47" i="100"/>
  <c r="K47" i="100"/>
  <c r="J47" i="100"/>
  <c r="N46" i="100"/>
  <c r="M46" i="100"/>
  <c r="L46" i="100"/>
  <c r="K46" i="100"/>
  <c r="J46" i="100"/>
  <c r="N45" i="100"/>
  <c r="M45" i="100"/>
  <c r="L45" i="100"/>
  <c r="K45" i="100"/>
  <c r="J45" i="100"/>
  <c r="N44" i="100"/>
  <c r="M44" i="100"/>
  <c r="O44" i="100" s="1"/>
  <c r="L44" i="100"/>
  <c r="K44" i="100"/>
  <c r="J44" i="100"/>
  <c r="N43" i="100"/>
  <c r="M43" i="100"/>
  <c r="L43" i="100"/>
  <c r="K43" i="100"/>
  <c r="J43" i="100"/>
  <c r="N42" i="100"/>
  <c r="M42" i="100"/>
  <c r="L42" i="100"/>
  <c r="K42" i="100"/>
  <c r="J42" i="100"/>
  <c r="P41" i="100"/>
  <c r="N41" i="100"/>
  <c r="M41" i="100"/>
  <c r="O41" i="100" s="1"/>
  <c r="Q41" i="100" s="1"/>
  <c r="L41" i="100"/>
  <c r="K41" i="100"/>
  <c r="J41" i="100"/>
  <c r="N40" i="100"/>
  <c r="M40" i="100"/>
  <c r="O40" i="100" s="1"/>
  <c r="L40" i="100"/>
  <c r="K40" i="100"/>
  <c r="J40" i="100"/>
  <c r="N39" i="100"/>
  <c r="M39" i="100"/>
  <c r="O39" i="100" s="1"/>
  <c r="L39" i="100"/>
  <c r="K39" i="100"/>
  <c r="J39" i="100"/>
  <c r="N38" i="100"/>
  <c r="M38" i="100"/>
  <c r="O38" i="100" s="1"/>
  <c r="L38" i="100"/>
  <c r="K38" i="100"/>
  <c r="J38" i="100"/>
  <c r="N37" i="100"/>
  <c r="M37" i="100"/>
  <c r="L37" i="100"/>
  <c r="K37" i="100"/>
  <c r="J37" i="100"/>
  <c r="N36" i="100"/>
  <c r="M36" i="100"/>
  <c r="L36" i="100"/>
  <c r="K36" i="100"/>
  <c r="J36" i="100"/>
  <c r="N35" i="100"/>
  <c r="M35" i="100"/>
  <c r="O35" i="100" s="1"/>
  <c r="L35" i="100"/>
  <c r="K35" i="100"/>
  <c r="J35" i="100"/>
  <c r="N34" i="100"/>
  <c r="M34" i="100"/>
  <c r="L34" i="100"/>
  <c r="K34" i="100"/>
  <c r="J34" i="100"/>
  <c r="N33" i="100"/>
  <c r="M33" i="100"/>
  <c r="O33" i="100" s="1"/>
  <c r="L33" i="100"/>
  <c r="K33" i="100"/>
  <c r="J33" i="100"/>
  <c r="N32" i="100"/>
  <c r="M32" i="100"/>
  <c r="O32" i="100" s="1"/>
  <c r="L32" i="100"/>
  <c r="K32" i="100"/>
  <c r="J32" i="100"/>
  <c r="N31" i="100"/>
  <c r="M31" i="100"/>
  <c r="L31" i="100"/>
  <c r="K31" i="100"/>
  <c r="J31" i="100"/>
  <c r="N30" i="100"/>
  <c r="M30" i="100"/>
  <c r="O30" i="100" s="1"/>
  <c r="L30" i="100"/>
  <c r="K30" i="100"/>
  <c r="J30" i="100"/>
  <c r="N29" i="100"/>
  <c r="M29" i="100"/>
  <c r="L29" i="100"/>
  <c r="K29" i="100"/>
  <c r="J29" i="100"/>
  <c r="N28" i="100"/>
  <c r="M28" i="100"/>
  <c r="L28" i="100"/>
  <c r="K28" i="100"/>
  <c r="J28" i="100"/>
  <c r="N27" i="100"/>
  <c r="M27" i="100"/>
  <c r="O27" i="100" s="1"/>
  <c r="L27" i="100"/>
  <c r="K27" i="100"/>
  <c r="J27" i="100"/>
  <c r="N26" i="100"/>
  <c r="M26" i="100"/>
  <c r="L26" i="100"/>
  <c r="K26" i="100"/>
  <c r="J26" i="100"/>
  <c r="N25" i="100"/>
  <c r="M25" i="100"/>
  <c r="O25" i="100" s="1"/>
  <c r="L25" i="100"/>
  <c r="K25" i="100"/>
  <c r="J25" i="100"/>
  <c r="N24" i="100"/>
  <c r="M24" i="100"/>
  <c r="L24" i="100"/>
  <c r="K24" i="100"/>
  <c r="J24" i="100"/>
  <c r="N23" i="100"/>
  <c r="M23" i="100"/>
  <c r="O23" i="100" s="1"/>
  <c r="L23" i="100"/>
  <c r="K23" i="100"/>
  <c r="J23" i="100"/>
  <c r="N22" i="100"/>
  <c r="M22" i="100"/>
  <c r="O22" i="100" s="1"/>
  <c r="L22" i="100"/>
  <c r="K22" i="100"/>
  <c r="J22" i="100"/>
  <c r="N21" i="100"/>
  <c r="M21" i="100"/>
  <c r="L21" i="100"/>
  <c r="K21" i="100"/>
  <c r="J21" i="100"/>
  <c r="N20" i="100"/>
  <c r="P20" i="100" s="1"/>
  <c r="M20" i="100"/>
  <c r="L20" i="100"/>
  <c r="K20" i="100"/>
  <c r="J20" i="100"/>
  <c r="N19" i="100"/>
  <c r="P19" i="100" s="1"/>
  <c r="M19" i="100"/>
  <c r="O19" i="100" s="1"/>
  <c r="L19" i="100"/>
  <c r="Q19" i="100" s="1"/>
  <c r="K19" i="100"/>
  <c r="J19" i="100"/>
  <c r="N18" i="100"/>
  <c r="M18" i="100"/>
  <c r="O18" i="100" s="1"/>
  <c r="L18" i="100"/>
  <c r="K18" i="100"/>
  <c r="J18" i="100"/>
  <c r="N17" i="100"/>
  <c r="M17" i="100"/>
  <c r="L17" i="100"/>
  <c r="K17" i="100"/>
  <c r="J17" i="100"/>
  <c r="N16" i="100"/>
  <c r="M16" i="100"/>
  <c r="O16" i="100" s="1"/>
  <c r="L16" i="100"/>
  <c r="K16" i="100"/>
  <c r="J16" i="100"/>
  <c r="N15" i="100"/>
  <c r="M15" i="100"/>
  <c r="O15" i="100" s="1"/>
  <c r="L15" i="100"/>
  <c r="K15" i="100"/>
  <c r="J15" i="100"/>
  <c r="N14" i="100"/>
  <c r="M14" i="100"/>
  <c r="O14" i="100" s="1"/>
  <c r="L14" i="100"/>
  <c r="K14" i="100"/>
  <c r="J14" i="100"/>
  <c r="N13" i="100"/>
  <c r="M13" i="100"/>
  <c r="L13" i="100"/>
  <c r="K13" i="100"/>
  <c r="J13" i="100"/>
  <c r="N12" i="100"/>
  <c r="M12" i="100"/>
  <c r="O12" i="100" s="1"/>
  <c r="L12" i="100"/>
  <c r="K12" i="100"/>
  <c r="J12" i="100"/>
  <c r="N11" i="100"/>
  <c r="M11" i="100"/>
  <c r="L11" i="100"/>
  <c r="K11" i="100"/>
  <c r="J11" i="100"/>
  <c r="N10" i="100"/>
  <c r="M10" i="100"/>
  <c r="L10" i="100"/>
  <c r="K10" i="100"/>
  <c r="J10" i="100"/>
  <c r="N9" i="100"/>
  <c r="M9" i="100"/>
  <c r="O9" i="100" s="1"/>
  <c r="L9" i="100"/>
  <c r="K9" i="100"/>
  <c r="J9" i="100"/>
  <c r="N8" i="100"/>
  <c r="M8" i="100"/>
  <c r="O8" i="100" s="1"/>
  <c r="L8" i="100"/>
  <c r="K8" i="100"/>
  <c r="J8" i="100"/>
  <c r="N7" i="100"/>
  <c r="M7" i="100"/>
  <c r="O7" i="100" s="1"/>
  <c r="L7" i="100"/>
  <c r="K7" i="100"/>
  <c r="J7" i="100"/>
  <c r="N6" i="100"/>
  <c r="M6" i="100"/>
  <c r="O6" i="100" s="1"/>
  <c r="L6" i="100"/>
  <c r="K6" i="100"/>
  <c r="J6" i="100"/>
  <c r="N5" i="100"/>
  <c r="M5" i="100"/>
  <c r="L5" i="100"/>
  <c r="K5" i="100"/>
  <c r="J5" i="100"/>
  <c r="N4" i="100"/>
  <c r="P4" i="100" s="1"/>
  <c r="M4" i="100"/>
  <c r="L4" i="100"/>
  <c r="K4" i="100"/>
  <c r="J4" i="100"/>
  <c r="N3" i="100"/>
  <c r="M3" i="100"/>
  <c r="O3" i="100" s="1"/>
  <c r="L3" i="100"/>
  <c r="K3" i="100"/>
  <c r="J3" i="100"/>
  <c r="G19" i="7"/>
  <c r="G18" i="7"/>
  <c r="G17" i="7"/>
  <c r="G16" i="7"/>
  <c r="G15" i="7"/>
  <c r="G14" i="7"/>
  <c r="G13" i="7"/>
  <c r="G12" i="7"/>
  <c r="G11" i="7"/>
  <c r="G10" i="7"/>
  <c r="G9" i="7"/>
  <c r="G8" i="7"/>
  <c r="G7" i="7"/>
  <c r="C65" i="97"/>
  <c r="D65" i="97"/>
  <c r="E65" i="97"/>
  <c r="F65" i="97"/>
  <c r="G65" i="97"/>
  <c r="H65" i="97"/>
  <c r="I65" i="97"/>
  <c r="J65" i="97"/>
  <c r="K65" i="97"/>
  <c r="L65" i="97"/>
  <c r="M65" i="97"/>
  <c r="N65" i="97"/>
  <c r="O65" i="97"/>
  <c r="P65" i="97"/>
  <c r="Q65" i="97"/>
  <c r="R65" i="97"/>
  <c r="S65" i="97"/>
  <c r="T65" i="97"/>
  <c r="U65" i="97"/>
  <c r="V65" i="97"/>
  <c r="W65" i="97"/>
  <c r="X65" i="97"/>
  <c r="Y65" i="97"/>
  <c r="Z65" i="97"/>
  <c r="AA65" i="97"/>
  <c r="AB65" i="97"/>
  <c r="AC65" i="97"/>
  <c r="AD65" i="97"/>
  <c r="AE65" i="97"/>
  <c r="AF65" i="97"/>
  <c r="AG65" i="97"/>
  <c r="AH65" i="97"/>
  <c r="AI65" i="97"/>
  <c r="AJ65" i="97"/>
  <c r="AK65" i="97"/>
  <c r="AL65" i="97"/>
  <c r="AM65" i="97"/>
  <c r="AN65" i="97"/>
  <c r="H3" i="97"/>
  <c r="P33" i="39" l="1"/>
  <c r="P25" i="39"/>
  <c r="P17" i="39"/>
  <c r="P39" i="39"/>
  <c r="P23" i="39"/>
  <c r="P46" i="39"/>
  <c r="P38" i="39"/>
  <c r="P24" i="39"/>
  <c r="P16" i="39"/>
  <c r="P47" i="39"/>
  <c r="P15" i="39"/>
  <c r="G167" i="152"/>
  <c r="H167" i="152" s="1"/>
  <c r="G89" i="152"/>
  <c r="H89" i="152" s="1"/>
  <c r="G238" i="152"/>
  <c r="H238" i="152" s="1"/>
  <c r="G37" i="152"/>
  <c r="H37" i="152" s="1"/>
  <c r="G196" i="152"/>
  <c r="H196" i="152" s="1"/>
  <c r="G6" i="152"/>
  <c r="H6" i="152" s="1"/>
  <c r="G75" i="152"/>
  <c r="H75" i="152" s="1"/>
  <c r="G265" i="152"/>
  <c r="H265" i="152" s="1"/>
  <c r="G65" i="152"/>
  <c r="H65" i="152" s="1"/>
  <c r="G180" i="152"/>
  <c r="H180" i="152" s="1"/>
  <c r="G148" i="152"/>
  <c r="H148" i="152" s="1"/>
  <c r="G322" i="152"/>
  <c r="H322" i="152" s="1"/>
  <c r="G141" i="152"/>
  <c r="H141" i="152" s="1"/>
  <c r="G14" i="152"/>
  <c r="H14" i="152" s="1"/>
  <c r="G78" i="152"/>
  <c r="H78" i="152" s="1"/>
  <c r="G29" i="152"/>
  <c r="H29" i="152" s="1"/>
  <c r="G158" i="152"/>
  <c r="H158" i="152" s="1"/>
  <c r="G150" i="152"/>
  <c r="H150" i="152" s="1"/>
  <c r="G182" i="152"/>
  <c r="H182" i="152" s="1"/>
  <c r="G468" i="152"/>
  <c r="H468" i="152" s="1"/>
  <c r="G200" i="152"/>
  <c r="H200" i="152" s="1"/>
  <c r="G142" i="152"/>
  <c r="H142" i="152" s="1"/>
  <c r="G226" i="152"/>
  <c r="H226" i="152" s="1"/>
  <c r="G290" i="152"/>
  <c r="H290" i="152" s="1"/>
  <c r="G194" i="152"/>
  <c r="H194" i="152" s="1"/>
  <c r="G458" i="152"/>
  <c r="H458" i="152" s="1"/>
  <c r="G134" i="152"/>
  <c r="H134" i="152" s="1"/>
  <c r="G432" i="152"/>
  <c r="H432" i="152" s="1"/>
  <c r="G452" i="152"/>
  <c r="H452" i="152" s="1"/>
  <c r="C504" i="152"/>
  <c r="G63" i="152" s="1"/>
  <c r="H63" i="152" s="1"/>
  <c r="G266" i="152"/>
  <c r="H266" i="152" s="1"/>
  <c r="G368" i="152"/>
  <c r="H368" i="152" s="1"/>
  <c r="G240" i="152"/>
  <c r="H240" i="152" s="1"/>
  <c r="G256" i="152"/>
  <c r="H256" i="152" s="1"/>
  <c r="G378" i="152"/>
  <c r="H378" i="152" s="1"/>
  <c r="G464" i="152"/>
  <c r="H464" i="152" s="1"/>
  <c r="G412" i="152"/>
  <c r="H412" i="152" s="1"/>
  <c r="G428" i="152"/>
  <c r="H428" i="152" s="1"/>
  <c r="G402" i="152"/>
  <c r="H402" i="152" s="1"/>
  <c r="G418" i="152"/>
  <c r="H418" i="152" s="1"/>
  <c r="G455" i="152"/>
  <c r="H455" i="152" s="1"/>
  <c r="G466" i="152"/>
  <c r="H466" i="152" s="1"/>
  <c r="G312" i="152"/>
  <c r="H312" i="152" s="1"/>
  <c r="G328" i="152"/>
  <c r="H328" i="152" s="1"/>
  <c r="G498" i="152"/>
  <c r="H498" i="152" s="1"/>
  <c r="G503" i="152"/>
  <c r="H503" i="152" s="1"/>
  <c r="O11" i="100"/>
  <c r="O17" i="100"/>
  <c r="O24" i="100"/>
  <c r="O31" i="100"/>
  <c r="O43" i="100"/>
  <c r="O71" i="100"/>
  <c r="Q91" i="100"/>
  <c r="O4" i="100"/>
  <c r="Q4" i="100" s="1"/>
  <c r="O10" i="100"/>
  <c r="O36" i="100"/>
  <c r="O42" i="100"/>
  <c r="O47" i="100"/>
  <c r="Q47" i="100" s="1"/>
  <c r="O59" i="100"/>
  <c r="Q111" i="100"/>
  <c r="Q114" i="100"/>
  <c r="Q175" i="100"/>
  <c r="O28" i="100"/>
  <c r="O34" i="100"/>
  <c r="O67" i="100"/>
  <c r="Q87" i="100"/>
  <c r="O228" i="100"/>
  <c r="Q71" i="100"/>
  <c r="O20" i="100"/>
  <c r="Q20" i="100" s="1"/>
  <c r="O26" i="100"/>
  <c r="O75" i="100"/>
  <c r="O260" i="100"/>
  <c r="O236" i="100"/>
  <c r="O268" i="100"/>
  <c r="O329" i="100"/>
  <c r="O46" i="100"/>
  <c r="O50" i="100"/>
  <c r="O54" i="100"/>
  <c r="O58" i="100"/>
  <c r="O62" i="100"/>
  <c r="O66" i="100"/>
  <c r="O70" i="100"/>
  <c r="O74" i="100"/>
  <c r="O78" i="100"/>
  <c r="O82" i="100"/>
  <c r="O86" i="100"/>
  <c r="Q86" i="100" s="1"/>
  <c r="O90" i="100"/>
  <c r="O94" i="100"/>
  <c r="O98" i="100"/>
  <c r="O102" i="100"/>
  <c r="O106" i="100"/>
  <c r="O110" i="100"/>
  <c r="O114" i="100"/>
  <c r="O118" i="100"/>
  <c r="O122" i="100"/>
  <c r="O126" i="100"/>
  <c r="O130" i="100"/>
  <c r="O134" i="100"/>
  <c r="O138" i="100"/>
  <c r="O142" i="100"/>
  <c r="O146" i="100"/>
  <c r="O150" i="100"/>
  <c r="O154" i="100"/>
  <c r="O158" i="100"/>
  <c r="O256" i="100"/>
  <c r="O5" i="100"/>
  <c r="O13" i="100"/>
  <c r="O21" i="100"/>
  <c r="O29" i="100"/>
  <c r="O37" i="100"/>
  <c r="O45" i="100"/>
  <c r="O49" i="100"/>
  <c r="O53" i="100"/>
  <c r="O57" i="100"/>
  <c r="O61" i="100"/>
  <c r="O65" i="100"/>
  <c r="Q65" i="100" s="1"/>
  <c r="O69" i="100"/>
  <c r="O73" i="100"/>
  <c r="Q73" i="100" s="1"/>
  <c r="O77" i="100"/>
  <c r="O81" i="100"/>
  <c r="O85" i="100"/>
  <c r="O89" i="100"/>
  <c r="O93" i="100"/>
  <c r="O97" i="100"/>
  <c r="O101" i="100"/>
  <c r="O105" i="100"/>
  <c r="O109" i="100"/>
  <c r="O113" i="100"/>
  <c r="O117" i="100"/>
  <c r="O121" i="100"/>
  <c r="O125" i="100"/>
  <c r="O129" i="100"/>
  <c r="O133" i="100"/>
  <c r="O137" i="100"/>
  <c r="O141" i="100"/>
  <c r="O145" i="100"/>
  <c r="O149" i="100"/>
  <c r="O153" i="100"/>
  <c r="O157" i="100"/>
  <c r="O191" i="100"/>
  <c r="O207" i="100"/>
  <c r="O223" i="100"/>
  <c r="O232" i="100"/>
  <c r="O264" i="100"/>
  <c r="Q316" i="100"/>
  <c r="O56" i="100"/>
  <c r="O60" i="100"/>
  <c r="O64" i="100"/>
  <c r="O68" i="100"/>
  <c r="O72" i="100"/>
  <c r="Q72" i="100" s="1"/>
  <c r="O76" i="100"/>
  <c r="O80" i="100"/>
  <c r="O84" i="100"/>
  <c r="Q84" i="100" s="1"/>
  <c r="O88" i="100"/>
  <c r="O92" i="100"/>
  <c r="O96" i="100"/>
  <c r="O100" i="100"/>
  <c r="O104" i="100"/>
  <c r="O108" i="100"/>
  <c r="Q108" i="100" s="1"/>
  <c r="O112" i="100"/>
  <c r="O116" i="100"/>
  <c r="O120" i="100"/>
  <c r="O124" i="100"/>
  <c r="O128" i="100"/>
  <c r="Q128" i="100" s="1"/>
  <c r="O132" i="100"/>
  <c r="O136" i="100"/>
  <c r="O140" i="100"/>
  <c r="O144" i="100"/>
  <c r="O148" i="100"/>
  <c r="O152" i="100"/>
  <c r="O156" i="100"/>
  <c r="O183" i="100"/>
  <c r="Q228" i="100"/>
  <c r="O240" i="100"/>
  <c r="O165" i="100"/>
  <c r="O173" i="100"/>
  <c r="O181" i="100"/>
  <c r="Q181" i="100" s="1"/>
  <c r="O189" i="100"/>
  <c r="O197" i="100"/>
  <c r="O205" i="100"/>
  <c r="O213" i="100"/>
  <c r="O221" i="100"/>
  <c r="O227" i="100"/>
  <c r="O231" i="100"/>
  <c r="O235" i="100"/>
  <c r="O239" i="100"/>
  <c r="O243" i="100"/>
  <c r="O247" i="100"/>
  <c r="O251" i="100"/>
  <c r="O255" i="100"/>
  <c r="O259" i="100"/>
  <c r="O263" i="100"/>
  <c r="O267" i="100"/>
  <c r="O325" i="100"/>
  <c r="O341" i="100"/>
  <c r="O365" i="100"/>
  <c r="O164" i="100"/>
  <c r="O172" i="100"/>
  <c r="O180" i="100"/>
  <c r="O188" i="100"/>
  <c r="O196" i="100"/>
  <c r="O204" i="100"/>
  <c r="O212" i="100"/>
  <c r="O220" i="100"/>
  <c r="O353" i="100"/>
  <c r="O226" i="100"/>
  <c r="O230" i="100"/>
  <c r="O234" i="100"/>
  <c r="O238" i="100"/>
  <c r="O242" i="100"/>
  <c r="O246" i="100"/>
  <c r="O250" i="100"/>
  <c r="O254" i="100"/>
  <c r="O258" i="100"/>
  <c r="O262" i="100"/>
  <c r="O266" i="100"/>
  <c r="O270" i="100"/>
  <c r="Q270" i="100" s="1"/>
  <c r="O321" i="100"/>
  <c r="O337" i="100"/>
  <c r="O402" i="100"/>
  <c r="O161" i="100"/>
  <c r="O169" i="100"/>
  <c r="O177" i="100"/>
  <c r="O185" i="100"/>
  <c r="O193" i="100"/>
  <c r="O201" i="100"/>
  <c r="O209" i="100"/>
  <c r="O217" i="100"/>
  <c r="O225" i="100"/>
  <c r="O229" i="100"/>
  <c r="O233" i="100"/>
  <c r="O237" i="100"/>
  <c r="Q237" i="100" s="1"/>
  <c r="O241" i="100"/>
  <c r="O245" i="100"/>
  <c r="Q245" i="100" s="1"/>
  <c r="O249" i="100"/>
  <c r="O253" i="100"/>
  <c r="O257" i="100"/>
  <c r="O261" i="100"/>
  <c r="O265" i="100"/>
  <c r="O269" i="100"/>
  <c r="O278" i="100"/>
  <c r="O286" i="100"/>
  <c r="O294" i="100"/>
  <c r="O302" i="100"/>
  <c r="O310" i="100"/>
  <c r="O317" i="100"/>
  <c r="O333" i="100"/>
  <c r="O349" i="100"/>
  <c r="O160" i="100"/>
  <c r="O168" i="100"/>
  <c r="O176" i="100"/>
  <c r="O184" i="100"/>
  <c r="O192" i="100"/>
  <c r="O200" i="100"/>
  <c r="Q200" i="100" s="1"/>
  <c r="O208" i="100"/>
  <c r="O216" i="100"/>
  <c r="O224" i="100"/>
  <c r="O272" i="100"/>
  <c r="O369" i="100"/>
  <c r="O276" i="100"/>
  <c r="O284" i="100"/>
  <c r="O292" i="100"/>
  <c r="O300" i="100"/>
  <c r="O308" i="100"/>
  <c r="O316" i="100"/>
  <c r="O320" i="100"/>
  <c r="Q320" i="100" s="1"/>
  <c r="O324" i="100"/>
  <c r="O328" i="100"/>
  <c r="O332" i="100"/>
  <c r="O336" i="100"/>
  <c r="O340" i="100"/>
  <c r="O344" i="100"/>
  <c r="O348" i="100"/>
  <c r="O352" i="100"/>
  <c r="O356" i="100"/>
  <c r="O360" i="100"/>
  <c r="O364" i="100"/>
  <c r="O368" i="100"/>
  <c r="O394" i="100"/>
  <c r="O418" i="100"/>
  <c r="Q418" i="100" s="1"/>
  <c r="O275" i="100"/>
  <c r="O283" i="100"/>
  <c r="O291" i="100"/>
  <c r="O299" i="100"/>
  <c r="O307" i="100"/>
  <c r="O315" i="100"/>
  <c r="O371" i="100"/>
  <c r="O434" i="100"/>
  <c r="O273" i="100"/>
  <c r="O281" i="100"/>
  <c r="O289" i="100"/>
  <c r="O297" i="100"/>
  <c r="O305" i="100"/>
  <c r="O313" i="100"/>
  <c r="Q370" i="100"/>
  <c r="Q378" i="100"/>
  <c r="O410" i="100"/>
  <c r="O279" i="100"/>
  <c r="O287" i="100"/>
  <c r="O295" i="100"/>
  <c r="O303" i="100"/>
  <c r="O311" i="100"/>
  <c r="O376" i="100"/>
  <c r="O384" i="100"/>
  <c r="Q384" i="100" s="1"/>
  <c r="O392" i="100"/>
  <c r="O400" i="100"/>
  <c r="O408" i="100"/>
  <c r="O416" i="100"/>
  <c r="Q497" i="100"/>
  <c r="O375" i="100"/>
  <c r="O383" i="100"/>
  <c r="O391" i="100"/>
  <c r="O399" i="100"/>
  <c r="O407" i="100"/>
  <c r="O415" i="100"/>
  <c r="Q420" i="100"/>
  <c r="O454" i="100"/>
  <c r="O470" i="100"/>
  <c r="O494" i="100"/>
  <c r="O373" i="100"/>
  <c r="O381" i="100"/>
  <c r="O389" i="100"/>
  <c r="O397" i="100"/>
  <c r="O405" i="100"/>
  <c r="O413" i="100"/>
  <c r="O447" i="100"/>
  <c r="O450" i="100"/>
  <c r="O466" i="100"/>
  <c r="O439" i="100"/>
  <c r="O379" i="100"/>
  <c r="O387" i="100"/>
  <c r="O395" i="100"/>
  <c r="O403" i="100"/>
  <c r="O411" i="100"/>
  <c r="O435" i="100"/>
  <c r="O442" i="100"/>
  <c r="O462" i="100"/>
  <c r="O478" i="100"/>
  <c r="O453" i="100"/>
  <c r="O457" i="100"/>
  <c r="O461" i="100"/>
  <c r="O465" i="100"/>
  <c r="O469" i="100"/>
  <c r="O473" i="100"/>
  <c r="O477" i="100"/>
  <c r="O481" i="100"/>
  <c r="O485" i="100"/>
  <c r="O489" i="100"/>
  <c r="O493" i="100"/>
  <c r="O497" i="100"/>
  <c r="Q496" i="100"/>
  <c r="Q500" i="100"/>
  <c r="Q419" i="100"/>
  <c r="Q426" i="100"/>
  <c r="Q434" i="100"/>
  <c r="G19" i="152" l="1"/>
  <c r="H19" i="152" s="1"/>
  <c r="G108" i="152"/>
  <c r="H108" i="152" s="1"/>
  <c r="G125" i="152"/>
  <c r="H125" i="152" s="1"/>
  <c r="G10" i="152"/>
  <c r="H10" i="152" s="1"/>
  <c r="G59" i="152"/>
  <c r="H59" i="152" s="1"/>
  <c r="G191" i="152"/>
  <c r="H191" i="152" s="1"/>
  <c r="G95" i="152"/>
  <c r="H95" i="152" s="1"/>
  <c r="G487" i="152"/>
  <c r="H487" i="152" s="1"/>
  <c r="G296" i="152"/>
  <c r="H296" i="152" s="1"/>
  <c r="G440" i="152"/>
  <c r="H440" i="152" s="1"/>
  <c r="G388" i="152"/>
  <c r="H388" i="152" s="1"/>
  <c r="G396" i="152"/>
  <c r="H396" i="152" s="1"/>
  <c r="G364" i="152"/>
  <c r="H364" i="152" s="1"/>
  <c r="G224" i="152"/>
  <c r="H224" i="152" s="1"/>
  <c r="G250" i="152"/>
  <c r="H250" i="152" s="1"/>
  <c r="G404" i="152"/>
  <c r="H404" i="152" s="1"/>
  <c r="G410" i="152"/>
  <c r="H410" i="152" s="1"/>
  <c r="G500" i="152"/>
  <c r="H500" i="152" s="1"/>
  <c r="G110" i="152"/>
  <c r="H110" i="152" s="1"/>
  <c r="G436" i="152"/>
  <c r="H436" i="152" s="1"/>
  <c r="G118" i="152"/>
  <c r="H118" i="152" s="1"/>
  <c r="G119" i="152"/>
  <c r="H119" i="152" s="1"/>
  <c r="G13" i="152"/>
  <c r="H13" i="152" s="1"/>
  <c r="G294" i="152"/>
  <c r="H294" i="152" s="1"/>
  <c r="G254" i="152"/>
  <c r="H254" i="152" s="1"/>
  <c r="G102" i="152"/>
  <c r="H102" i="152" s="1"/>
  <c r="G159" i="152"/>
  <c r="H159" i="152" s="1"/>
  <c r="G67" i="152"/>
  <c r="H67" i="152" s="1"/>
  <c r="G151" i="152"/>
  <c r="H151" i="152" s="1"/>
  <c r="G62" i="152"/>
  <c r="H62" i="152" s="1"/>
  <c r="G128" i="152"/>
  <c r="H128" i="152" s="1"/>
  <c r="G54" i="152"/>
  <c r="H54" i="152" s="1"/>
  <c r="G484" i="152"/>
  <c r="H484" i="152" s="1"/>
  <c r="G139" i="152"/>
  <c r="H139" i="152" s="1"/>
  <c r="G21" i="152"/>
  <c r="H21" i="152" s="1"/>
  <c r="G154" i="152"/>
  <c r="H154" i="152" s="1"/>
  <c r="G26" i="152"/>
  <c r="H26" i="152" s="1"/>
  <c r="G132" i="152"/>
  <c r="H132" i="152" s="1"/>
  <c r="G482" i="152"/>
  <c r="H482" i="152" s="1"/>
  <c r="G280" i="152"/>
  <c r="H280" i="152" s="1"/>
  <c r="G424" i="152"/>
  <c r="H424" i="152" s="1"/>
  <c r="G384" i="152"/>
  <c r="H384" i="152" s="1"/>
  <c r="G392" i="152"/>
  <c r="H392" i="152" s="1"/>
  <c r="G336" i="152"/>
  <c r="H336" i="152" s="1"/>
  <c r="G208" i="152"/>
  <c r="H208" i="152" s="1"/>
  <c r="G216" i="152"/>
  <c r="H216" i="152" s="1"/>
  <c r="G346" i="152"/>
  <c r="H346" i="152" s="1"/>
  <c r="G372" i="152"/>
  <c r="H372" i="152" s="1"/>
  <c r="G488" i="152"/>
  <c r="H488" i="152" s="1"/>
  <c r="G340" i="152"/>
  <c r="H340" i="152" s="1"/>
  <c r="G400" i="152"/>
  <c r="H400" i="152" s="1"/>
  <c r="G448" i="152"/>
  <c r="H448" i="152" s="1"/>
  <c r="G82" i="152"/>
  <c r="H82" i="152" s="1"/>
  <c r="G442" i="152"/>
  <c r="H442" i="152" s="1"/>
  <c r="G255" i="152"/>
  <c r="H255" i="152" s="1"/>
  <c r="G222" i="152"/>
  <c r="H222" i="152" s="1"/>
  <c r="G97" i="152"/>
  <c r="H97" i="152" s="1"/>
  <c r="G99" i="152"/>
  <c r="H99" i="152" s="1"/>
  <c r="G46" i="152"/>
  <c r="H46" i="152" s="1"/>
  <c r="G107" i="152"/>
  <c r="H107" i="152" s="1"/>
  <c r="G249" i="152"/>
  <c r="H249" i="152" s="1"/>
  <c r="G122" i="152"/>
  <c r="H122" i="152" s="1"/>
  <c r="G49" i="152"/>
  <c r="H49" i="152" s="1"/>
  <c r="G390" i="152"/>
  <c r="H390" i="152" s="1"/>
  <c r="G127" i="152"/>
  <c r="H127" i="152" s="1"/>
  <c r="G11" i="152"/>
  <c r="H11" i="152" s="1"/>
  <c r="G144" i="152"/>
  <c r="H144" i="152" s="1"/>
  <c r="G115" i="152"/>
  <c r="H115" i="152" s="1"/>
  <c r="G155" i="152"/>
  <c r="H155" i="152" s="1"/>
  <c r="G320" i="152"/>
  <c r="H320" i="152" s="1"/>
  <c r="G278" i="152"/>
  <c r="H278" i="152" s="1"/>
  <c r="G66" i="152"/>
  <c r="H66" i="152" s="1"/>
  <c r="G143" i="152"/>
  <c r="H143" i="152" s="1"/>
  <c r="G193" i="152"/>
  <c r="H193" i="152" s="1"/>
  <c r="G50" i="152"/>
  <c r="H50" i="152" s="1"/>
  <c r="G342" i="152"/>
  <c r="H342" i="152" s="1"/>
  <c r="G101" i="152"/>
  <c r="H101" i="152" s="1"/>
  <c r="G109" i="152"/>
  <c r="H109" i="152" s="1"/>
  <c r="G112" i="152"/>
  <c r="H112" i="152" s="1"/>
  <c r="G38" i="152"/>
  <c r="H38" i="152" s="1"/>
  <c r="G303" i="152"/>
  <c r="H303" i="152" s="1"/>
  <c r="G74" i="152"/>
  <c r="H74" i="152" s="1"/>
  <c r="G420" i="152"/>
  <c r="H420" i="152" s="1"/>
  <c r="G138" i="152"/>
  <c r="H138" i="152" s="1"/>
  <c r="G489" i="152"/>
  <c r="H489" i="152" s="1"/>
  <c r="G79" i="152"/>
  <c r="H79" i="152" s="1"/>
  <c r="G319" i="152"/>
  <c r="H319" i="152" s="1"/>
  <c r="G160" i="152"/>
  <c r="H160" i="152" s="1"/>
  <c r="G472" i="152"/>
  <c r="H472" i="152" s="1"/>
  <c r="G408" i="152"/>
  <c r="H408" i="152" s="1"/>
  <c r="G370" i="152"/>
  <c r="H370" i="152" s="1"/>
  <c r="G192" i="152"/>
  <c r="H192" i="152" s="1"/>
  <c r="G306" i="152"/>
  <c r="H306" i="152" s="1"/>
  <c r="G463" i="152"/>
  <c r="H463" i="152" s="1"/>
  <c r="G394" i="152"/>
  <c r="H394" i="152" s="1"/>
  <c r="G223" i="152"/>
  <c r="H223" i="152" s="1"/>
  <c r="G30" i="152"/>
  <c r="H30" i="152" s="1"/>
  <c r="G380" i="152"/>
  <c r="H380" i="152" s="1"/>
  <c r="G492" i="152"/>
  <c r="H492" i="152" s="1"/>
  <c r="G460" i="152"/>
  <c r="H460" i="152" s="1"/>
  <c r="G356" i="152"/>
  <c r="H356" i="152" s="1"/>
  <c r="G495" i="152"/>
  <c r="H495" i="152" s="1"/>
  <c r="G304" i="152"/>
  <c r="H304" i="152" s="1"/>
  <c r="G176" i="152"/>
  <c r="H176" i="152" s="1"/>
  <c r="G198" i="152"/>
  <c r="H198" i="152" s="1"/>
  <c r="G184" i="152"/>
  <c r="H184" i="152" s="1"/>
  <c r="G270" i="152"/>
  <c r="H270" i="152" s="1"/>
  <c r="G416" i="152"/>
  <c r="H416" i="152" s="1"/>
  <c r="G248" i="152"/>
  <c r="H248" i="152" s="1"/>
  <c r="G282" i="152"/>
  <c r="H282" i="152" s="1"/>
  <c r="G217" i="152"/>
  <c r="H217" i="152" s="1"/>
  <c r="G51" i="152"/>
  <c r="H51" i="152" s="1"/>
  <c r="G183" i="152"/>
  <c r="H183" i="152" s="1"/>
  <c r="G83" i="152"/>
  <c r="H83" i="152" s="1"/>
  <c r="G169" i="152"/>
  <c r="H169" i="152" s="1"/>
  <c r="G34" i="152"/>
  <c r="H34" i="152" s="1"/>
  <c r="G268" i="152"/>
  <c r="H268" i="152" s="1"/>
  <c r="G9" i="152"/>
  <c r="H9" i="152" s="1"/>
  <c r="G91" i="152"/>
  <c r="H91" i="152" s="1"/>
  <c r="G77" i="152"/>
  <c r="H77" i="152" s="1"/>
  <c r="G106" i="152"/>
  <c r="H106" i="152" s="1"/>
  <c r="G33" i="152"/>
  <c r="H33" i="152" s="1"/>
  <c r="G297" i="152"/>
  <c r="H297" i="152" s="1"/>
  <c r="G58" i="152"/>
  <c r="H58" i="152" s="1"/>
  <c r="G382" i="152"/>
  <c r="H382" i="152" s="1"/>
  <c r="G116" i="152"/>
  <c r="H116" i="152" s="1"/>
  <c r="G98" i="152"/>
  <c r="H98" i="152" s="1"/>
  <c r="G501" i="152"/>
  <c r="H501" i="152" s="1"/>
  <c r="G493" i="152"/>
  <c r="H493" i="152" s="1"/>
  <c r="G485" i="152"/>
  <c r="H485" i="152" s="1"/>
  <c r="G477" i="152"/>
  <c r="H477" i="152" s="1"/>
  <c r="G469" i="152"/>
  <c r="H469" i="152" s="1"/>
  <c r="G461" i="152"/>
  <c r="H461" i="152" s="1"/>
  <c r="G453" i="152"/>
  <c r="H453" i="152" s="1"/>
  <c r="G445" i="152"/>
  <c r="H445" i="152" s="1"/>
  <c r="G437" i="152"/>
  <c r="H437" i="152" s="1"/>
  <c r="G429" i="152"/>
  <c r="H429" i="152" s="1"/>
  <c r="G421" i="152"/>
  <c r="H421" i="152" s="1"/>
  <c r="G413" i="152"/>
  <c r="H413" i="152" s="1"/>
  <c r="G405" i="152"/>
  <c r="H405" i="152" s="1"/>
  <c r="G397" i="152"/>
  <c r="H397" i="152" s="1"/>
  <c r="G381" i="152"/>
  <c r="H381" i="152" s="1"/>
  <c r="G373" i="152"/>
  <c r="H373" i="152" s="1"/>
  <c r="G365" i="152"/>
  <c r="H365" i="152" s="1"/>
  <c r="G357" i="152"/>
  <c r="H357" i="152" s="1"/>
  <c r="G349" i="152"/>
  <c r="H349" i="152" s="1"/>
  <c r="G341" i="152"/>
  <c r="H341" i="152" s="1"/>
  <c r="G447" i="152"/>
  <c r="H447" i="152" s="1"/>
  <c r="G439" i="152"/>
  <c r="H439" i="152" s="1"/>
  <c r="G431" i="152"/>
  <c r="H431" i="152" s="1"/>
  <c r="G423" i="152"/>
  <c r="H423" i="152" s="1"/>
  <c r="G415" i="152"/>
  <c r="H415" i="152" s="1"/>
  <c r="G407" i="152"/>
  <c r="H407" i="152" s="1"/>
  <c r="G399" i="152"/>
  <c r="H399" i="152" s="1"/>
  <c r="G391" i="152"/>
  <c r="H391" i="152" s="1"/>
  <c r="G383" i="152"/>
  <c r="H383" i="152" s="1"/>
  <c r="G375" i="152"/>
  <c r="H375" i="152" s="1"/>
  <c r="G367" i="152"/>
  <c r="H367" i="152" s="1"/>
  <c r="G359" i="152"/>
  <c r="H359" i="152" s="1"/>
  <c r="G499" i="152"/>
  <c r="H499" i="152" s="1"/>
  <c r="G491" i="152"/>
  <c r="H491" i="152" s="1"/>
  <c r="G483" i="152"/>
  <c r="H483" i="152" s="1"/>
  <c r="G467" i="152"/>
  <c r="H467" i="152" s="1"/>
  <c r="G459" i="152"/>
  <c r="H459" i="152" s="1"/>
  <c r="G443" i="152"/>
  <c r="H443" i="152" s="1"/>
  <c r="G435" i="152"/>
  <c r="H435" i="152" s="1"/>
  <c r="G427" i="152"/>
  <c r="H427" i="152" s="1"/>
  <c r="G419" i="152"/>
  <c r="H419" i="152" s="1"/>
  <c r="G411" i="152"/>
  <c r="H411" i="152" s="1"/>
  <c r="G403" i="152"/>
  <c r="H403" i="152" s="1"/>
  <c r="G446" i="152"/>
  <c r="H446" i="152" s="1"/>
  <c r="G430" i="152"/>
  <c r="H430" i="152" s="1"/>
  <c r="G414" i="152"/>
  <c r="H414" i="152" s="1"/>
  <c r="G398" i="152"/>
  <c r="H398" i="152" s="1"/>
  <c r="G393" i="152"/>
  <c r="H393" i="152" s="1"/>
  <c r="G371" i="152"/>
  <c r="H371" i="152" s="1"/>
  <c r="G334" i="152"/>
  <c r="H334" i="152" s="1"/>
  <c r="G331" i="152"/>
  <c r="H331" i="152" s="1"/>
  <c r="G318" i="152"/>
  <c r="H318" i="152" s="1"/>
  <c r="G315" i="152"/>
  <c r="H315" i="152" s="1"/>
  <c r="G299" i="152"/>
  <c r="H299" i="152" s="1"/>
  <c r="G283" i="152"/>
  <c r="H283" i="152" s="1"/>
  <c r="G267" i="152"/>
  <c r="H267" i="152" s="1"/>
  <c r="G497" i="152"/>
  <c r="H497" i="152" s="1"/>
  <c r="G481" i="152"/>
  <c r="H481" i="152" s="1"/>
  <c r="G366" i="152"/>
  <c r="H366" i="152" s="1"/>
  <c r="G361" i="152"/>
  <c r="H361" i="152" s="1"/>
  <c r="G337" i="152"/>
  <c r="H337" i="152" s="1"/>
  <c r="G327" i="152"/>
  <c r="H327" i="152" s="1"/>
  <c r="G324" i="152"/>
  <c r="H324" i="152" s="1"/>
  <c r="G321" i="152"/>
  <c r="H321" i="152" s="1"/>
  <c r="G311" i="152"/>
  <c r="H311" i="152" s="1"/>
  <c r="G308" i="152"/>
  <c r="H308" i="152" s="1"/>
  <c r="G305" i="152"/>
  <c r="H305" i="152" s="1"/>
  <c r="G295" i="152"/>
  <c r="H295" i="152" s="1"/>
  <c r="G292" i="152"/>
  <c r="H292" i="152" s="1"/>
  <c r="G279" i="152"/>
  <c r="H279" i="152" s="1"/>
  <c r="G276" i="152"/>
  <c r="H276" i="152" s="1"/>
  <c r="G273" i="152"/>
  <c r="H273" i="152" s="1"/>
  <c r="G263" i="152"/>
  <c r="H263" i="152" s="1"/>
  <c r="G260" i="152"/>
  <c r="H260" i="152" s="1"/>
  <c r="G502" i="152"/>
  <c r="H502" i="152" s="1"/>
  <c r="G486" i="152"/>
  <c r="H486" i="152" s="1"/>
  <c r="G379" i="152"/>
  <c r="H379" i="152" s="1"/>
  <c r="G333" i="152"/>
  <c r="H333" i="152" s="1"/>
  <c r="G317" i="152"/>
  <c r="H317" i="152" s="1"/>
  <c r="G301" i="152"/>
  <c r="H301" i="152" s="1"/>
  <c r="G269" i="152"/>
  <c r="H269" i="152" s="1"/>
  <c r="G253" i="152"/>
  <c r="H253" i="152" s="1"/>
  <c r="G237" i="152"/>
  <c r="H237" i="152" s="1"/>
  <c r="G221" i="152"/>
  <c r="H221" i="152" s="1"/>
  <c r="G470" i="152"/>
  <c r="H470" i="152" s="1"/>
  <c r="G454" i="152"/>
  <c r="H454" i="152" s="1"/>
  <c r="G449" i="152"/>
  <c r="H449" i="152" s="1"/>
  <c r="G433" i="152"/>
  <c r="H433" i="152" s="1"/>
  <c r="G417" i="152"/>
  <c r="H417" i="152" s="1"/>
  <c r="G401" i="152"/>
  <c r="H401" i="152" s="1"/>
  <c r="G374" i="152"/>
  <c r="H374" i="152" s="1"/>
  <c r="G369" i="152"/>
  <c r="H369" i="152" s="1"/>
  <c r="G351" i="152"/>
  <c r="H351" i="152" s="1"/>
  <c r="G438" i="152"/>
  <c r="H438" i="152" s="1"/>
  <c r="G422" i="152"/>
  <c r="H422" i="152" s="1"/>
  <c r="G406" i="152"/>
  <c r="H406" i="152" s="1"/>
  <c r="G387" i="152"/>
  <c r="H387" i="152" s="1"/>
  <c r="G347" i="152"/>
  <c r="H347" i="152" s="1"/>
  <c r="G323" i="152"/>
  <c r="H323" i="152" s="1"/>
  <c r="G307" i="152"/>
  <c r="H307" i="152" s="1"/>
  <c r="G291" i="152"/>
  <c r="H291" i="152" s="1"/>
  <c r="G275" i="152"/>
  <c r="H275" i="152" s="1"/>
  <c r="G259" i="152"/>
  <c r="H259" i="152" s="1"/>
  <c r="G243" i="152"/>
  <c r="H243" i="152" s="1"/>
  <c r="G227" i="152"/>
  <c r="H227" i="152" s="1"/>
  <c r="G211" i="152"/>
  <c r="H211" i="152" s="1"/>
  <c r="G179" i="152"/>
  <c r="H179" i="152" s="1"/>
  <c r="G261" i="152"/>
  <c r="H261" i="152" s="1"/>
  <c r="G235" i="152"/>
  <c r="H235" i="152" s="1"/>
  <c r="G212" i="152"/>
  <c r="H212" i="152" s="1"/>
  <c r="G205" i="152"/>
  <c r="H205" i="152" s="1"/>
  <c r="G137" i="152"/>
  <c r="H137" i="152" s="1"/>
  <c r="G425" i="152"/>
  <c r="H425" i="152" s="1"/>
  <c r="G385" i="152"/>
  <c r="H385" i="152" s="1"/>
  <c r="G257" i="152"/>
  <c r="H257" i="152" s="1"/>
  <c r="G245" i="152"/>
  <c r="H245" i="152" s="1"/>
  <c r="G215" i="152"/>
  <c r="H215" i="152" s="1"/>
  <c r="G197" i="152"/>
  <c r="H197" i="152" s="1"/>
  <c r="G173" i="152"/>
  <c r="H173" i="152" s="1"/>
  <c r="G345" i="152"/>
  <c r="H345" i="152" s="1"/>
  <c r="G325" i="152"/>
  <c r="H325" i="152" s="1"/>
  <c r="G187" i="152"/>
  <c r="H187" i="152" s="1"/>
  <c r="G145" i="152"/>
  <c r="H145" i="152" s="1"/>
  <c r="G113" i="152"/>
  <c r="H113" i="152" s="1"/>
  <c r="G40" i="152"/>
  <c r="H40" i="152" s="1"/>
  <c r="G457" i="152"/>
  <c r="H457" i="152" s="1"/>
  <c r="G409" i="152"/>
  <c r="H409" i="152" s="1"/>
  <c r="G395" i="152"/>
  <c r="H395" i="152" s="1"/>
  <c r="G377" i="152"/>
  <c r="H377" i="152" s="1"/>
  <c r="G350" i="152"/>
  <c r="H350" i="152" s="1"/>
  <c r="G309" i="152"/>
  <c r="H309" i="152" s="1"/>
  <c r="G300" i="152"/>
  <c r="H300" i="152" s="1"/>
  <c r="G287" i="152"/>
  <c r="H287" i="152" s="1"/>
  <c r="G252" i="152"/>
  <c r="H252" i="152" s="1"/>
  <c r="G241" i="152"/>
  <c r="H241" i="152" s="1"/>
  <c r="G233" i="152"/>
  <c r="H233" i="152" s="1"/>
  <c r="G229" i="152"/>
  <c r="H229" i="152" s="1"/>
  <c r="G207" i="152"/>
  <c r="H207" i="152" s="1"/>
  <c r="G190" i="152"/>
  <c r="H190" i="152" s="1"/>
  <c r="G172" i="152"/>
  <c r="H172" i="152" s="1"/>
  <c r="G165" i="152"/>
  <c r="H165" i="152" s="1"/>
  <c r="G162" i="152"/>
  <c r="H162" i="152" s="1"/>
  <c r="G136" i="152"/>
  <c r="H136" i="152" s="1"/>
  <c r="G133" i="152"/>
  <c r="H133" i="152" s="1"/>
  <c r="G130" i="152"/>
  <c r="H130" i="152" s="1"/>
  <c r="G104" i="152"/>
  <c r="H104" i="152" s="1"/>
  <c r="G96" i="152"/>
  <c r="H96" i="152" s="1"/>
  <c r="G80" i="152"/>
  <c r="H80" i="152" s="1"/>
  <c r="G72" i="152"/>
  <c r="H72" i="152" s="1"/>
  <c r="G64" i="152"/>
  <c r="H64" i="152" s="1"/>
  <c r="G48" i="152"/>
  <c r="H48" i="152" s="1"/>
  <c r="G32" i="152"/>
  <c r="H32" i="152" s="1"/>
  <c r="G24" i="152"/>
  <c r="H24" i="152" s="1"/>
  <c r="G16" i="152"/>
  <c r="H16" i="152" s="1"/>
  <c r="G8" i="152"/>
  <c r="H8" i="152" s="1"/>
  <c r="G244" i="152"/>
  <c r="H244" i="152" s="1"/>
  <c r="G153" i="152"/>
  <c r="H153" i="152" s="1"/>
  <c r="G121" i="152"/>
  <c r="H121" i="152" s="1"/>
  <c r="G462" i="152"/>
  <c r="H462" i="152" s="1"/>
  <c r="G339" i="152"/>
  <c r="H339" i="152" s="1"/>
  <c r="G277" i="152"/>
  <c r="H277" i="152" s="1"/>
  <c r="G247" i="152"/>
  <c r="H247" i="152" s="1"/>
  <c r="G225" i="152"/>
  <c r="H225" i="152" s="1"/>
  <c r="G213" i="152"/>
  <c r="H213" i="152" s="1"/>
  <c r="G203" i="152"/>
  <c r="H203" i="152" s="1"/>
  <c r="G189" i="152"/>
  <c r="H189" i="152" s="1"/>
  <c r="G358" i="152"/>
  <c r="H358" i="152" s="1"/>
  <c r="G353" i="152"/>
  <c r="H353" i="152" s="1"/>
  <c r="G293" i="152"/>
  <c r="H293" i="152" s="1"/>
  <c r="G281" i="152"/>
  <c r="H281" i="152" s="1"/>
  <c r="G152" i="152"/>
  <c r="H152" i="152" s="1"/>
  <c r="G114" i="152"/>
  <c r="H114" i="152" s="1"/>
  <c r="G71" i="152"/>
  <c r="H71" i="152" s="1"/>
  <c r="G206" i="152"/>
  <c r="H206" i="152" s="1"/>
  <c r="G164" i="152"/>
  <c r="H164" i="152" s="1"/>
  <c r="G363" i="152"/>
  <c r="H363" i="152" s="1"/>
  <c r="G332" i="152"/>
  <c r="H332" i="152" s="1"/>
  <c r="G228" i="152"/>
  <c r="H228" i="152" s="1"/>
  <c r="G135" i="152"/>
  <c r="H135" i="152" s="1"/>
  <c r="G123" i="152"/>
  <c r="H123" i="152" s="1"/>
  <c r="G76" i="152"/>
  <c r="H76" i="152" s="1"/>
  <c r="G60" i="152"/>
  <c r="H60" i="152" s="1"/>
  <c r="G55" i="152"/>
  <c r="H55" i="152" s="1"/>
  <c r="G39" i="152"/>
  <c r="H39" i="152" s="1"/>
  <c r="G23" i="152"/>
  <c r="H23" i="152" s="1"/>
  <c r="G7" i="152"/>
  <c r="H7" i="152" s="1"/>
  <c r="G52" i="152"/>
  <c r="H52" i="152" s="1"/>
  <c r="G4" i="152"/>
  <c r="H4" i="152" s="1"/>
  <c r="G441" i="152"/>
  <c r="H441" i="152" s="1"/>
  <c r="G188" i="152"/>
  <c r="H188" i="152" s="1"/>
  <c r="G103" i="152"/>
  <c r="H103" i="152" s="1"/>
  <c r="G174" i="152"/>
  <c r="H174" i="152" s="1"/>
  <c r="G146" i="152"/>
  <c r="H146" i="152" s="1"/>
  <c r="G44" i="152"/>
  <c r="H44" i="152" s="1"/>
  <c r="G12" i="152"/>
  <c r="H12" i="152" s="1"/>
  <c r="G84" i="152"/>
  <c r="H84" i="152" s="1"/>
  <c r="G171" i="152"/>
  <c r="H171" i="152" s="1"/>
  <c r="G120" i="152"/>
  <c r="H120" i="152" s="1"/>
  <c r="G36" i="152"/>
  <c r="H36" i="152" s="1"/>
  <c r="G478" i="152"/>
  <c r="H478" i="152" s="1"/>
  <c r="G473" i="152"/>
  <c r="H473" i="152" s="1"/>
  <c r="G271" i="152"/>
  <c r="H271" i="152" s="1"/>
  <c r="G239" i="152"/>
  <c r="H239" i="152" s="1"/>
  <c r="G220" i="152"/>
  <c r="H220" i="152" s="1"/>
  <c r="G209" i="152"/>
  <c r="H209" i="152" s="1"/>
  <c r="G185" i="152"/>
  <c r="H185" i="152" s="1"/>
  <c r="G161" i="152"/>
  <c r="H161" i="152" s="1"/>
  <c r="G117" i="152"/>
  <c r="H117" i="152" s="1"/>
  <c r="G316" i="152"/>
  <c r="H316" i="152" s="1"/>
  <c r="G251" i="152"/>
  <c r="H251" i="152" s="1"/>
  <c r="G100" i="152"/>
  <c r="H100" i="152" s="1"/>
  <c r="G231" i="152"/>
  <c r="H231" i="152" s="1"/>
  <c r="G149" i="152"/>
  <c r="H149" i="152" s="1"/>
  <c r="G68" i="152"/>
  <c r="H68" i="152" s="1"/>
  <c r="G170" i="152"/>
  <c r="H170" i="152" s="1"/>
  <c r="G234" i="152"/>
  <c r="H234" i="152" s="1"/>
  <c r="G314" i="152"/>
  <c r="H314" i="152" s="1"/>
  <c r="G218" i="152"/>
  <c r="H218" i="152" s="1"/>
  <c r="G210" i="152"/>
  <c r="H210" i="152" s="1"/>
  <c r="G199" i="152"/>
  <c r="H199" i="152" s="1"/>
  <c r="G45" i="152"/>
  <c r="H45" i="152" s="1"/>
  <c r="G126" i="152"/>
  <c r="H126" i="152" s="1"/>
  <c r="G61" i="152"/>
  <c r="H61" i="152" s="1"/>
  <c r="G163" i="152"/>
  <c r="H163" i="152" s="1"/>
  <c r="G18" i="152"/>
  <c r="H18" i="152" s="1"/>
  <c r="G262" i="152"/>
  <c r="H262" i="152" s="1"/>
  <c r="G474" i="152"/>
  <c r="H474" i="152" s="1"/>
  <c r="G86" i="152"/>
  <c r="H86" i="152" s="1"/>
  <c r="G338" i="152"/>
  <c r="H338" i="152" s="1"/>
  <c r="G90" i="152"/>
  <c r="H90" i="152" s="1"/>
  <c r="G22" i="152"/>
  <c r="H22" i="152" s="1"/>
  <c r="G258" i="152"/>
  <c r="H258" i="152" s="1"/>
  <c r="G53" i="152"/>
  <c r="H53" i="152" s="1"/>
  <c r="G329" i="152"/>
  <c r="H329" i="152" s="1"/>
  <c r="G105" i="152"/>
  <c r="H105" i="152" s="1"/>
  <c r="G25" i="152"/>
  <c r="H25" i="152" s="1"/>
  <c r="G47" i="152"/>
  <c r="H47" i="152" s="1"/>
  <c r="G147" i="152"/>
  <c r="H147" i="152" s="1"/>
  <c r="G57" i="152"/>
  <c r="H57" i="152" s="1"/>
  <c r="G177" i="152"/>
  <c r="H177" i="152" s="1"/>
  <c r="G156" i="152"/>
  <c r="H156" i="152" s="1"/>
  <c r="G140" i="152"/>
  <c r="H140" i="152" s="1"/>
  <c r="G111" i="152"/>
  <c r="H111" i="152" s="1"/>
  <c r="G27" i="152"/>
  <c r="H27" i="152" s="1"/>
  <c r="G42" i="152"/>
  <c r="H42" i="152" s="1"/>
  <c r="G264" i="152"/>
  <c r="H264" i="152" s="1"/>
  <c r="G330" i="152"/>
  <c r="H330" i="152" s="1"/>
  <c r="G202" i="152"/>
  <c r="H202" i="152" s="1"/>
  <c r="G310" i="152"/>
  <c r="H310" i="152" s="1"/>
  <c r="G201" i="152"/>
  <c r="H201" i="152" s="1"/>
  <c r="G376" i="152"/>
  <c r="H376" i="152" s="1"/>
  <c r="G476" i="152"/>
  <c r="H476" i="152" s="1"/>
  <c r="G450" i="152"/>
  <c r="H450" i="152" s="1"/>
  <c r="G352" i="152"/>
  <c r="H352" i="152" s="1"/>
  <c r="G490" i="152"/>
  <c r="H490" i="152" s="1"/>
  <c r="G288" i="152"/>
  <c r="H288" i="152" s="1"/>
  <c r="G426" i="152"/>
  <c r="H426" i="152" s="1"/>
  <c r="G362" i="152"/>
  <c r="H362" i="152" s="1"/>
  <c r="G471" i="152"/>
  <c r="H471" i="152" s="1"/>
  <c r="G434" i="152"/>
  <c r="H434" i="152" s="1"/>
  <c r="G496" i="152"/>
  <c r="H496" i="152" s="1"/>
  <c r="G479" i="152"/>
  <c r="H479" i="152" s="1"/>
  <c r="G272" i="152"/>
  <c r="H272" i="152" s="1"/>
  <c r="G386" i="152"/>
  <c r="H386" i="152" s="1"/>
  <c r="G465" i="152"/>
  <c r="H465" i="152" s="1"/>
  <c r="G166" i="152"/>
  <c r="H166" i="152" s="1"/>
  <c r="G230" i="152"/>
  <c r="H230" i="152" s="1"/>
  <c r="G274" i="152"/>
  <c r="H274" i="152" s="1"/>
  <c r="G214" i="152"/>
  <c r="H214" i="152" s="1"/>
  <c r="G186" i="152"/>
  <c r="H186" i="152" s="1"/>
  <c r="G175" i="152"/>
  <c r="H175" i="152" s="1"/>
  <c r="G35" i="152"/>
  <c r="H35" i="152" s="1"/>
  <c r="G93" i="152"/>
  <c r="H93" i="152" s="1"/>
  <c r="G41" i="152"/>
  <c r="H41" i="152" s="1"/>
  <c r="G157" i="152"/>
  <c r="H157" i="152" s="1"/>
  <c r="G335" i="152"/>
  <c r="H335" i="152" s="1"/>
  <c r="G236" i="152"/>
  <c r="H236" i="152" s="1"/>
  <c r="G204" i="152"/>
  <c r="H204" i="152" s="1"/>
  <c r="G70" i="152"/>
  <c r="H70" i="152" s="1"/>
  <c r="G298" i="152"/>
  <c r="H298" i="152" s="1"/>
  <c r="G85" i="152"/>
  <c r="H85" i="152" s="1"/>
  <c r="G17" i="152"/>
  <c r="H17" i="152" s="1"/>
  <c r="G232" i="152"/>
  <c r="H232" i="152" s="1"/>
  <c r="G43" i="152"/>
  <c r="H43" i="152" s="1"/>
  <c r="G284" i="152"/>
  <c r="H284" i="152" s="1"/>
  <c r="G94" i="152"/>
  <c r="H94" i="152" s="1"/>
  <c r="G15" i="152"/>
  <c r="H15" i="152" s="1"/>
  <c r="G31" i="152"/>
  <c r="H31" i="152" s="1"/>
  <c r="H504" i="152" l="1"/>
  <c r="P469" i="100"/>
  <c r="Q469" i="100" s="1"/>
  <c r="P453" i="100"/>
  <c r="Q453" i="100" s="1"/>
  <c r="P428" i="100"/>
  <c r="Q428" i="100" s="1"/>
  <c r="P424" i="100"/>
  <c r="Q424" i="100" s="1"/>
  <c r="P463" i="100"/>
  <c r="Q463" i="100" s="1"/>
  <c r="P436" i="100"/>
  <c r="Q436" i="100" s="1"/>
  <c r="P414" i="100"/>
  <c r="Q414" i="100" s="1"/>
  <c r="P406" i="100"/>
  <c r="Q406" i="100" s="1"/>
  <c r="P398" i="100"/>
  <c r="Q398" i="100" s="1"/>
  <c r="P390" i="100"/>
  <c r="Q390" i="100" s="1"/>
  <c r="P382" i="100"/>
  <c r="Q382" i="100" s="1"/>
  <c r="P491" i="100"/>
  <c r="Q491" i="100" s="1"/>
  <c r="P444" i="100"/>
  <c r="Q444" i="100" s="1"/>
  <c r="P467" i="100"/>
  <c r="Q467" i="100" s="1"/>
  <c r="P451" i="100"/>
  <c r="Q451" i="100" s="1"/>
  <c r="P416" i="100"/>
  <c r="Q416" i="100" s="1"/>
  <c r="P483" i="100"/>
  <c r="Q483" i="100" s="1"/>
  <c r="P409" i="100"/>
  <c r="Q409" i="100" s="1"/>
  <c r="P401" i="100"/>
  <c r="Q401" i="100" s="1"/>
  <c r="P393" i="100"/>
  <c r="Q393" i="100" s="1"/>
  <c r="P385" i="100"/>
  <c r="Q385" i="100" s="1"/>
  <c r="P495" i="100"/>
  <c r="Q495" i="100" s="1"/>
  <c r="P471" i="100"/>
  <c r="Q471" i="100" s="1"/>
  <c r="P403" i="100"/>
  <c r="Q403" i="100" s="1"/>
  <c r="P396" i="100"/>
  <c r="Q396" i="100" s="1"/>
  <c r="P449" i="100"/>
  <c r="Q449" i="100" s="1"/>
  <c r="P400" i="100"/>
  <c r="Q400" i="100" s="1"/>
  <c r="P314" i="100"/>
  <c r="Q314" i="100" s="1"/>
  <c r="P404" i="100"/>
  <c r="Q404" i="100" s="1"/>
  <c r="P475" i="100"/>
  <c r="Q475" i="100" s="1"/>
  <c r="P411" i="100"/>
  <c r="Q411" i="100" s="1"/>
  <c r="P408" i="100"/>
  <c r="Q408" i="100" s="1"/>
  <c r="P387" i="100"/>
  <c r="Q387" i="100" s="1"/>
  <c r="P380" i="100"/>
  <c r="Q380" i="100" s="1"/>
  <c r="P372" i="100"/>
  <c r="Q372" i="100" s="1"/>
  <c r="P487" i="100"/>
  <c r="Q487" i="100" s="1"/>
  <c r="P459" i="100"/>
  <c r="Q459" i="100" s="1"/>
  <c r="P412" i="100"/>
  <c r="Q412" i="100" s="1"/>
  <c r="P274" i="100"/>
  <c r="Q274" i="100" s="1"/>
  <c r="P311" i="100"/>
  <c r="Q311" i="100" s="1"/>
  <c r="P303" i="100"/>
  <c r="Q303" i="100" s="1"/>
  <c r="P295" i="100"/>
  <c r="Q295" i="100" s="1"/>
  <c r="P287" i="100"/>
  <c r="Q287" i="100" s="1"/>
  <c r="P279" i="100"/>
  <c r="Q279" i="100" s="1"/>
  <c r="P465" i="100"/>
  <c r="Q465" i="100" s="1"/>
  <c r="P388" i="100"/>
  <c r="Q388" i="100" s="1"/>
  <c r="P312" i="100"/>
  <c r="Q312" i="100" s="1"/>
  <c r="P280" i="100"/>
  <c r="Q280" i="100" s="1"/>
  <c r="P374" i="100"/>
  <c r="Q374" i="100" s="1"/>
  <c r="P282" i="100"/>
  <c r="Q282" i="100" s="1"/>
  <c r="P273" i="100"/>
  <c r="Q273" i="100" s="1"/>
  <c r="P217" i="100"/>
  <c r="Q217" i="100" s="1"/>
  <c r="P201" i="100"/>
  <c r="Q201" i="100" s="1"/>
  <c r="P184" i="100"/>
  <c r="Q184" i="100" s="1"/>
  <c r="P177" i="100"/>
  <c r="Q177" i="100" s="1"/>
  <c r="P173" i="100"/>
  <c r="Q173" i="100" s="1"/>
  <c r="P169" i="100"/>
  <c r="Q169" i="100" s="1"/>
  <c r="P165" i="100"/>
  <c r="Q165" i="100" s="1"/>
  <c r="P161" i="100"/>
  <c r="Q161" i="100" s="1"/>
  <c r="P306" i="100"/>
  <c r="Q306" i="100" s="1"/>
  <c r="P395" i="100"/>
  <c r="Q395" i="100" s="1"/>
  <c r="P392" i="100"/>
  <c r="Q392" i="100" s="1"/>
  <c r="P224" i="100"/>
  <c r="Q224" i="100" s="1"/>
  <c r="P208" i="100"/>
  <c r="Q208" i="100" s="1"/>
  <c r="P192" i="100"/>
  <c r="Q192" i="100" s="1"/>
  <c r="P298" i="100"/>
  <c r="Q298" i="100" s="1"/>
  <c r="P209" i="100"/>
  <c r="Q209" i="100" s="1"/>
  <c r="P193" i="100"/>
  <c r="Q193" i="100" s="1"/>
  <c r="P160" i="100"/>
  <c r="Q160" i="100" s="1"/>
  <c r="P272" i="100"/>
  <c r="Q272" i="100" s="1"/>
  <c r="P172" i="100"/>
  <c r="Q172" i="100" s="1"/>
  <c r="P35" i="100"/>
  <c r="Q35" i="100" s="1"/>
  <c r="P29" i="100"/>
  <c r="Q29" i="100" s="1"/>
  <c r="P16" i="100"/>
  <c r="Q16" i="100" s="1"/>
  <c r="P9" i="100"/>
  <c r="Q9" i="100" s="1"/>
  <c r="P3" i="100"/>
  <c r="Q3" i="100" s="1"/>
  <c r="P40" i="100"/>
  <c r="Q40" i="100" s="1"/>
  <c r="P30" i="100"/>
  <c r="Q30" i="100" s="1"/>
  <c r="P33" i="100"/>
  <c r="Q33" i="100" s="1"/>
  <c r="P164" i="100"/>
  <c r="Q164" i="100" s="1"/>
  <c r="P176" i="100"/>
  <c r="Q176" i="100" s="1"/>
  <c r="P44" i="100"/>
  <c r="Q44" i="100" s="1"/>
  <c r="P12" i="100"/>
  <c r="Q12" i="100" s="1"/>
  <c r="P168" i="100"/>
  <c r="Q168" i="100" s="1"/>
  <c r="P14" i="100"/>
  <c r="Q14" i="100" s="1"/>
  <c r="P8" i="100"/>
  <c r="Q8" i="100" s="1"/>
  <c r="P216" i="100"/>
  <c r="Q216" i="100" s="1"/>
  <c r="P185" i="100"/>
  <c r="Q185" i="100" s="1"/>
  <c r="P499" i="100"/>
  <c r="Q499" i="100" s="1"/>
  <c r="P27" i="100"/>
  <c r="Q27" i="100" s="1"/>
  <c r="P21" i="100"/>
  <c r="Q21" i="100" s="1"/>
  <c r="P34" i="100"/>
  <c r="Q34" i="100" s="1"/>
  <c r="P132" i="100"/>
  <c r="Q132" i="100" s="1"/>
  <c r="P240" i="100"/>
  <c r="Q240" i="100" s="1"/>
  <c r="P59" i="100"/>
  <c r="Q59" i="100" s="1"/>
  <c r="P158" i="100"/>
  <c r="Q158" i="100" s="1"/>
  <c r="P101" i="100"/>
  <c r="Q101" i="100" s="1"/>
  <c r="P134" i="100"/>
  <c r="Q134" i="100" s="1"/>
  <c r="P49" i="100"/>
  <c r="Q49" i="100" s="1"/>
  <c r="P127" i="100"/>
  <c r="Q127" i="100" s="1"/>
  <c r="P159" i="100"/>
  <c r="Q159" i="100" s="1"/>
  <c r="P178" i="100"/>
  <c r="Q178" i="100" s="1"/>
  <c r="P218" i="100"/>
  <c r="Q218" i="100" s="1"/>
  <c r="P196" i="100"/>
  <c r="Q196" i="100" s="1"/>
  <c r="P117" i="100"/>
  <c r="Q117" i="100" s="1"/>
  <c r="P149" i="100"/>
  <c r="Q149" i="100" s="1"/>
  <c r="P232" i="100"/>
  <c r="Q232" i="100" s="1"/>
  <c r="P180" i="100"/>
  <c r="Q180" i="100" s="1"/>
  <c r="P222" i="100"/>
  <c r="Q222" i="100" s="1"/>
  <c r="P376" i="100"/>
  <c r="Q376" i="100" s="1"/>
  <c r="P251" i="100"/>
  <c r="Q251" i="100" s="1"/>
  <c r="P462" i="100"/>
  <c r="Q462" i="100" s="1"/>
  <c r="P353" i="100"/>
  <c r="Q353" i="100" s="1"/>
  <c r="P226" i="100"/>
  <c r="Q226" i="100" s="1"/>
  <c r="P258" i="100"/>
  <c r="Q258" i="100" s="1"/>
  <c r="P402" i="100"/>
  <c r="Q402" i="100" s="1"/>
  <c r="P225" i="100"/>
  <c r="Q225" i="100" s="1"/>
  <c r="P265" i="100"/>
  <c r="Q265" i="100" s="1"/>
  <c r="P294" i="100"/>
  <c r="Q294" i="100" s="1"/>
  <c r="P333" i="100"/>
  <c r="Q333" i="100" s="1"/>
  <c r="P336" i="100"/>
  <c r="Q336" i="100" s="1"/>
  <c r="P368" i="100"/>
  <c r="Q368" i="100" s="1"/>
  <c r="P347" i="100"/>
  <c r="Q347" i="100" s="1"/>
  <c r="P445" i="100"/>
  <c r="Q445" i="100" s="1"/>
  <c r="P330" i="100"/>
  <c r="Q330" i="100" s="1"/>
  <c r="P362" i="100"/>
  <c r="Q362" i="100" s="1"/>
  <c r="P485" i="100"/>
  <c r="Q485" i="100" s="1"/>
  <c r="P443" i="100"/>
  <c r="Q443" i="100" s="1"/>
  <c r="P476" i="100"/>
  <c r="Q476" i="100" s="1"/>
  <c r="P456" i="100"/>
  <c r="Q456" i="100" s="1"/>
  <c r="P22" i="100"/>
  <c r="Q22" i="100" s="1"/>
  <c r="P5" i="100"/>
  <c r="Q5" i="100" s="1"/>
  <c r="P112" i="100"/>
  <c r="Q112" i="100" s="1"/>
  <c r="P48" i="100"/>
  <c r="Q48" i="100" s="1"/>
  <c r="P6" i="100"/>
  <c r="Q6" i="100" s="1"/>
  <c r="P138" i="100"/>
  <c r="Q138" i="100" s="1"/>
  <c r="P62" i="100"/>
  <c r="Q62" i="100" s="1"/>
  <c r="P187" i="100"/>
  <c r="Q187" i="100" s="1"/>
  <c r="P104" i="100"/>
  <c r="Q104" i="100" s="1"/>
  <c r="P23" i="100"/>
  <c r="Q23" i="100" s="1"/>
  <c r="P39" i="100"/>
  <c r="Q39" i="100" s="1"/>
  <c r="P52" i="100"/>
  <c r="Q52" i="100" s="1"/>
  <c r="P90" i="100"/>
  <c r="Q90" i="100" s="1"/>
  <c r="P95" i="100"/>
  <c r="Q95" i="100" s="1"/>
  <c r="P131" i="100"/>
  <c r="Q131" i="100" s="1"/>
  <c r="P162" i="100"/>
  <c r="Q162" i="100" s="1"/>
  <c r="P179" i="100"/>
  <c r="Q179" i="100" s="1"/>
  <c r="P219" i="100"/>
  <c r="Q219" i="100" s="1"/>
  <c r="P300" i="100"/>
  <c r="Q300" i="100" s="1"/>
  <c r="P256" i="100"/>
  <c r="Q256" i="100" s="1"/>
  <c r="P188" i="100"/>
  <c r="Q188" i="100" s="1"/>
  <c r="P121" i="100"/>
  <c r="Q121" i="100" s="1"/>
  <c r="P153" i="100"/>
  <c r="Q153" i="100" s="1"/>
  <c r="P197" i="100"/>
  <c r="Q197" i="100" s="1"/>
  <c r="P468" i="100"/>
  <c r="Q468" i="100" s="1"/>
  <c r="P255" i="100"/>
  <c r="Q255" i="100" s="1"/>
  <c r="P230" i="100"/>
  <c r="Q230" i="100" s="1"/>
  <c r="P262" i="100"/>
  <c r="Q262" i="100" s="1"/>
  <c r="P299" i="100"/>
  <c r="Q299" i="100" s="1"/>
  <c r="P337" i="100"/>
  <c r="Q337" i="100" s="1"/>
  <c r="P438" i="100"/>
  <c r="Q438" i="100" s="1"/>
  <c r="P229" i="100"/>
  <c r="Q229" i="100" s="1"/>
  <c r="P269" i="100"/>
  <c r="Q269" i="100" s="1"/>
  <c r="P301" i="100"/>
  <c r="Q301" i="100" s="1"/>
  <c r="P437" i="100"/>
  <c r="Q437" i="100" s="1"/>
  <c r="P340" i="100"/>
  <c r="Q340" i="100" s="1"/>
  <c r="P351" i="100"/>
  <c r="Q351" i="100" s="1"/>
  <c r="P386" i="100"/>
  <c r="Q386" i="100" s="1"/>
  <c r="P448" i="100"/>
  <c r="Q448" i="100" s="1"/>
  <c r="P334" i="100"/>
  <c r="Q334" i="100" s="1"/>
  <c r="P366" i="100"/>
  <c r="Q366" i="100" s="1"/>
  <c r="P458" i="100"/>
  <c r="Q458" i="100" s="1"/>
  <c r="P447" i="100"/>
  <c r="Q447" i="100" s="1"/>
  <c r="P28" i="100"/>
  <c r="Q28" i="100" s="1"/>
  <c r="P17" i="100"/>
  <c r="Q17" i="100" s="1"/>
  <c r="P260" i="100"/>
  <c r="Q260" i="100" s="1"/>
  <c r="P118" i="100"/>
  <c r="Q118" i="100" s="1"/>
  <c r="P60" i="100"/>
  <c r="Q60" i="100" s="1"/>
  <c r="P142" i="100"/>
  <c r="Q142" i="100" s="1"/>
  <c r="P37" i="100"/>
  <c r="Q37" i="100" s="1"/>
  <c r="P186" i="100"/>
  <c r="Q186" i="100" s="1"/>
  <c r="P63" i="100"/>
  <c r="Q63" i="100" s="1"/>
  <c r="P55" i="100"/>
  <c r="Q55" i="100" s="1"/>
  <c r="P93" i="100"/>
  <c r="Q93" i="100" s="1"/>
  <c r="P99" i="100"/>
  <c r="Q99" i="100" s="1"/>
  <c r="P135" i="100"/>
  <c r="Q135" i="100" s="1"/>
  <c r="P163" i="100"/>
  <c r="Q163" i="100" s="1"/>
  <c r="P198" i="100"/>
  <c r="Q198" i="100" s="1"/>
  <c r="P329" i="100"/>
  <c r="Q329" i="100" s="1"/>
  <c r="P244" i="100"/>
  <c r="Q244" i="100" s="1"/>
  <c r="P308" i="100"/>
  <c r="Q308" i="100" s="1"/>
  <c r="P125" i="100"/>
  <c r="Q125" i="100" s="1"/>
  <c r="P157" i="100"/>
  <c r="Q157" i="100" s="1"/>
  <c r="P207" i="100"/>
  <c r="Q207" i="100" s="1"/>
  <c r="P227" i="100"/>
  <c r="Q227" i="100" s="1"/>
  <c r="P259" i="100"/>
  <c r="Q259" i="100" s="1"/>
  <c r="P341" i="100"/>
  <c r="Q341" i="100" s="1"/>
  <c r="P234" i="100"/>
  <c r="Q234" i="100" s="1"/>
  <c r="P266" i="100"/>
  <c r="Q266" i="100" s="1"/>
  <c r="P233" i="100"/>
  <c r="Q233" i="100" s="1"/>
  <c r="P302" i="100"/>
  <c r="Q302" i="100" s="1"/>
  <c r="P349" i="100"/>
  <c r="Q349" i="100" s="1"/>
  <c r="P344" i="100"/>
  <c r="Q344" i="100" s="1"/>
  <c r="P394" i="100"/>
  <c r="Q394" i="100" s="1"/>
  <c r="P319" i="100"/>
  <c r="Q319" i="100" s="1"/>
  <c r="P355" i="100"/>
  <c r="Q355" i="100" s="1"/>
  <c r="P397" i="100"/>
  <c r="Q397" i="100" s="1"/>
  <c r="P452" i="100"/>
  <c r="Q452" i="100" s="1"/>
  <c r="P338" i="100"/>
  <c r="Q338" i="100" s="1"/>
  <c r="P377" i="100"/>
  <c r="Q377" i="100" s="1"/>
  <c r="P432" i="100"/>
  <c r="Q432" i="100" s="1"/>
  <c r="P488" i="100"/>
  <c r="Q488" i="100" s="1"/>
  <c r="P472" i="100"/>
  <c r="Q472" i="100" s="1"/>
  <c r="P361" i="100"/>
  <c r="Q361" i="100" s="1"/>
  <c r="P241" i="100"/>
  <c r="Q241" i="100" s="1"/>
  <c r="P309" i="100"/>
  <c r="Q309" i="100" s="1"/>
  <c r="P36" i="100"/>
  <c r="Q36" i="100" s="1"/>
  <c r="P75" i="100"/>
  <c r="Q75" i="100" s="1"/>
  <c r="P7" i="100"/>
  <c r="Q7" i="100" s="1"/>
  <c r="P69" i="100"/>
  <c r="Q69" i="100" s="1"/>
  <c r="P100" i="100"/>
  <c r="Q100" i="100" s="1"/>
  <c r="P97" i="100"/>
  <c r="Q97" i="100" s="1"/>
  <c r="P189" i="100"/>
  <c r="Q189" i="100" s="1"/>
  <c r="P313" i="100"/>
  <c r="Q313" i="100" s="1"/>
  <c r="P56" i="100"/>
  <c r="Q56" i="100" s="1"/>
  <c r="P126" i="100"/>
  <c r="Q126" i="100" s="1"/>
  <c r="P96" i="100"/>
  <c r="Q96" i="100" s="1"/>
  <c r="P78" i="100"/>
  <c r="Q78" i="100" s="1"/>
  <c r="P15" i="100"/>
  <c r="Q15" i="100" s="1"/>
  <c r="P58" i="100"/>
  <c r="Q58" i="100" s="1"/>
  <c r="P148" i="100"/>
  <c r="Q148" i="100" s="1"/>
  <c r="P103" i="100"/>
  <c r="Q103" i="100" s="1"/>
  <c r="P139" i="100"/>
  <c r="Q139" i="100" s="1"/>
  <c r="P166" i="100"/>
  <c r="Q166" i="100" s="1"/>
  <c r="P199" i="100"/>
  <c r="Q199" i="100" s="1"/>
  <c r="P221" i="100"/>
  <c r="Q221" i="100" s="1"/>
  <c r="P212" i="100"/>
  <c r="Q212" i="100" s="1"/>
  <c r="P268" i="100"/>
  <c r="Q268" i="100" s="1"/>
  <c r="P129" i="100"/>
  <c r="Q129" i="100" s="1"/>
  <c r="P210" i="100"/>
  <c r="Q210" i="100" s="1"/>
  <c r="P204" i="100"/>
  <c r="Q204" i="100" s="1"/>
  <c r="P284" i="100"/>
  <c r="Q284" i="100" s="1"/>
  <c r="P231" i="100"/>
  <c r="Q231" i="100" s="1"/>
  <c r="P263" i="100"/>
  <c r="Q263" i="100" s="1"/>
  <c r="P373" i="100"/>
  <c r="Q373" i="100" s="1"/>
  <c r="P238" i="100"/>
  <c r="Q238" i="100" s="1"/>
  <c r="P275" i="100"/>
  <c r="Q275" i="100" s="1"/>
  <c r="P307" i="100"/>
  <c r="Q307" i="100" s="1"/>
  <c r="P277" i="100"/>
  <c r="Q277" i="100" s="1"/>
  <c r="P81" i="100"/>
  <c r="Q81" i="100" s="1"/>
  <c r="P66" i="100"/>
  <c r="Q66" i="100" s="1"/>
  <c r="P80" i="100"/>
  <c r="Q80" i="100" s="1"/>
  <c r="P18" i="100"/>
  <c r="Q18" i="100" s="1"/>
  <c r="P106" i="100"/>
  <c r="Q106" i="100" s="1"/>
  <c r="P292" i="100"/>
  <c r="Q292" i="100" s="1"/>
  <c r="P120" i="100"/>
  <c r="Q120" i="100" s="1"/>
  <c r="P76" i="100"/>
  <c r="Q76" i="100" s="1"/>
  <c r="P98" i="100"/>
  <c r="Q98" i="100" s="1"/>
  <c r="P102" i="100"/>
  <c r="Q102" i="100" s="1"/>
  <c r="P110" i="100"/>
  <c r="Q110" i="100" s="1"/>
  <c r="P61" i="100"/>
  <c r="Q61" i="100" s="1"/>
  <c r="P154" i="100"/>
  <c r="Q154" i="100" s="1"/>
  <c r="P107" i="100"/>
  <c r="Q107" i="100" s="1"/>
  <c r="P143" i="100"/>
  <c r="Q143" i="100" s="1"/>
  <c r="P167" i="100"/>
  <c r="Q167" i="100" s="1"/>
  <c r="P202" i="100"/>
  <c r="Q202" i="100" s="1"/>
  <c r="P345" i="100"/>
  <c r="Q345" i="100" s="1"/>
  <c r="P133" i="100"/>
  <c r="Q133" i="100" s="1"/>
  <c r="P190" i="100"/>
  <c r="Q190" i="100" s="1"/>
  <c r="P211" i="100"/>
  <c r="Q211" i="100" s="1"/>
  <c r="P264" i="100"/>
  <c r="Q264" i="100" s="1"/>
  <c r="P305" i="100"/>
  <c r="Q305" i="100" s="1"/>
  <c r="P235" i="100"/>
  <c r="Q235" i="100" s="1"/>
  <c r="P267" i="100"/>
  <c r="Q267" i="100" s="1"/>
  <c r="P242" i="100"/>
  <c r="Q242" i="100" s="1"/>
  <c r="P249" i="100"/>
  <c r="Q249" i="100" s="1"/>
  <c r="P278" i="100"/>
  <c r="Q278" i="100" s="1"/>
  <c r="P310" i="100"/>
  <c r="Q310" i="100" s="1"/>
  <c r="P391" i="100"/>
  <c r="Q391" i="100" s="1"/>
  <c r="P484" i="100"/>
  <c r="Q484" i="100" s="1"/>
  <c r="P352" i="100"/>
  <c r="Q352" i="100" s="1"/>
  <c r="P415" i="100"/>
  <c r="Q415" i="100" s="1"/>
  <c r="P327" i="100"/>
  <c r="Q327" i="100" s="1"/>
  <c r="P363" i="100"/>
  <c r="Q363" i="100" s="1"/>
  <c r="P346" i="100"/>
  <c r="Q346" i="100" s="1"/>
  <c r="P442" i="100"/>
  <c r="Q442" i="100" s="1"/>
  <c r="P422" i="100"/>
  <c r="Q422" i="100" s="1"/>
  <c r="P486" i="100"/>
  <c r="Q486" i="100" s="1"/>
  <c r="P464" i="100"/>
  <c r="Q464" i="100" s="1"/>
  <c r="P457" i="100"/>
  <c r="Q457" i="100" s="1"/>
  <c r="P493" i="100"/>
  <c r="Q493" i="100" s="1"/>
  <c r="P427" i="100"/>
  <c r="Q427" i="100" s="1"/>
  <c r="P490" i="100"/>
  <c r="Q490" i="100" s="1"/>
  <c r="P11" i="100"/>
  <c r="Q11" i="100" s="1"/>
  <c r="P32" i="100"/>
  <c r="Q32" i="100" s="1"/>
  <c r="P10" i="100"/>
  <c r="Q10" i="100" s="1"/>
  <c r="P51" i="100"/>
  <c r="Q51" i="100" s="1"/>
  <c r="P89" i="100"/>
  <c r="Q89" i="100" s="1"/>
  <c r="P124" i="100"/>
  <c r="Q124" i="100" s="1"/>
  <c r="P31" i="100"/>
  <c r="Q31" i="100" s="1"/>
  <c r="P68" i="100"/>
  <c r="Q68" i="100" s="1"/>
  <c r="P501" i="100"/>
  <c r="Q501" i="100" s="1"/>
  <c r="P79" i="100"/>
  <c r="Q79" i="100" s="1"/>
  <c r="P357" i="100"/>
  <c r="Q357" i="100" s="1"/>
  <c r="P64" i="100"/>
  <c r="Q64" i="100" s="1"/>
  <c r="P115" i="100"/>
  <c r="Q115" i="100" s="1"/>
  <c r="P147" i="100"/>
  <c r="Q147" i="100" s="1"/>
  <c r="P170" i="100"/>
  <c r="Q170" i="100" s="1"/>
  <c r="P214" i="100"/>
  <c r="Q214" i="100" s="1"/>
  <c r="P105" i="100"/>
  <c r="Q105" i="100" s="1"/>
  <c r="P137" i="100"/>
  <c r="Q137" i="100" s="1"/>
  <c r="P191" i="100"/>
  <c r="Q191" i="100" s="1"/>
  <c r="P369" i="100"/>
  <c r="Q369" i="100" s="1"/>
  <c r="P206" i="100"/>
  <c r="Q206" i="100" s="1"/>
  <c r="P252" i="100"/>
  <c r="Q252" i="100" s="1"/>
  <c r="P371" i="100"/>
  <c r="Q371" i="100" s="1"/>
  <c r="P239" i="100"/>
  <c r="Q239" i="100" s="1"/>
  <c r="P315" i="100"/>
  <c r="Q315" i="100" s="1"/>
  <c r="P413" i="100"/>
  <c r="Q413" i="100" s="1"/>
  <c r="P246" i="100"/>
  <c r="Q246" i="100" s="1"/>
  <c r="P283" i="100"/>
  <c r="Q283" i="100" s="1"/>
  <c r="P253" i="100"/>
  <c r="Q253" i="100" s="1"/>
  <c r="P285" i="100"/>
  <c r="Q285" i="100" s="1"/>
  <c r="P317" i="100"/>
  <c r="Q317" i="100" s="1"/>
  <c r="P324" i="100"/>
  <c r="Q324" i="100" s="1"/>
  <c r="P356" i="100"/>
  <c r="Q356" i="100" s="1"/>
  <c r="P331" i="100"/>
  <c r="Q331" i="100" s="1"/>
  <c r="P367" i="100"/>
  <c r="Q367" i="100" s="1"/>
  <c r="P407" i="100"/>
  <c r="Q407" i="100" s="1"/>
  <c r="P350" i="100"/>
  <c r="Q350" i="100" s="1"/>
  <c r="P492" i="100"/>
  <c r="Q492" i="100" s="1"/>
  <c r="P470" i="100"/>
  <c r="Q470" i="100" s="1"/>
  <c r="P421" i="100"/>
  <c r="Q421" i="100" s="1"/>
  <c r="P460" i="100"/>
  <c r="Q460" i="100" s="1"/>
  <c r="P435" i="100"/>
  <c r="Q435" i="100" s="1"/>
  <c r="P481" i="100"/>
  <c r="Q481" i="100" s="1"/>
  <c r="P431" i="100"/>
  <c r="Q431" i="100" s="1"/>
  <c r="P25" i="100"/>
  <c r="Q25" i="100" s="1"/>
  <c r="P38" i="100"/>
  <c r="Q38" i="100" s="1"/>
  <c r="P281" i="100"/>
  <c r="Q281" i="100" s="1"/>
  <c r="P146" i="100"/>
  <c r="Q146" i="100" s="1"/>
  <c r="P46" i="100"/>
  <c r="Q46" i="100" s="1"/>
  <c r="P215" i="100"/>
  <c r="Q215" i="100" s="1"/>
  <c r="P109" i="100"/>
  <c r="Q109" i="100" s="1"/>
  <c r="P276" i="100"/>
  <c r="Q276" i="100" s="1"/>
  <c r="P247" i="100"/>
  <c r="Q247" i="100" s="1"/>
  <c r="P254" i="100"/>
  <c r="Q254" i="100" s="1"/>
  <c r="P261" i="100"/>
  <c r="Q261" i="100" s="1"/>
  <c r="P461" i="100"/>
  <c r="Q461" i="100" s="1"/>
  <c r="P328" i="100"/>
  <c r="Q328" i="100" s="1"/>
  <c r="P478" i="100"/>
  <c r="Q478" i="100" s="1"/>
  <c r="P389" i="100"/>
  <c r="Q389" i="100" s="1"/>
  <c r="P482" i="100"/>
  <c r="Q482" i="100" s="1"/>
  <c r="P375" i="100"/>
  <c r="Q375" i="100" s="1"/>
  <c r="P289" i="100"/>
  <c r="Q289" i="100" s="1"/>
  <c r="P243" i="100"/>
  <c r="Q243" i="100" s="1"/>
  <c r="P24" i="100"/>
  <c r="Q24" i="100" s="1"/>
  <c r="P26" i="100"/>
  <c r="Q26" i="100" s="1"/>
  <c r="P144" i="100"/>
  <c r="Q144" i="100" s="1"/>
  <c r="P45" i="100"/>
  <c r="Q45" i="100" s="1"/>
  <c r="P50" i="100"/>
  <c r="Q50" i="100" s="1"/>
  <c r="P271" i="100"/>
  <c r="Q271" i="100" s="1"/>
  <c r="P119" i="100"/>
  <c r="Q119" i="100" s="1"/>
  <c r="P113" i="100"/>
  <c r="Q113" i="100" s="1"/>
  <c r="P489" i="100"/>
  <c r="Q489" i="100" s="1"/>
  <c r="P332" i="100"/>
  <c r="Q332" i="100" s="1"/>
  <c r="P383" i="100"/>
  <c r="Q383" i="100" s="1"/>
  <c r="P323" i="100"/>
  <c r="Q323" i="100" s="1"/>
  <c r="P433" i="100"/>
  <c r="Q433" i="100" s="1"/>
  <c r="P430" i="100"/>
  <c r="Q430" i="100" s="1"/>
  <c r="P494" i="100"/>
  <c r="Q494" i="100" s="1"/>
  <c r="P223" i="100"/>
  <c r="Q223" i="100" s="1"/>
  <c r="P250" i="100"/>
  <c r="Q250" i="100" s="1"/>
  <c r="P150" i="100"/>
  <c r="Q150" i="100" s="1"/>
  <c r="P92" i="100"/>
  <c r="Q92" i="100" s="1"/>
  <c r="P53" i="100"/>
  <c r="Q53" i="100" s="1"/>
  <c r="P123" i="100"/>
  <c r="Q123" i="100" s="1"/>
  <c r="P248" i="100"/>
  <c r="Q248" i="100" s="1"/>
  <c r="P141" i="100"/>
  <c r="Q141" i="100" s="1"/>
  <c r="P325" i="100"/>
  <c r="Q325" i="100" s="1"/>
  <c r="P291" i="100"/>
  <c r="Q291" i="100" s="1"/>
  <c r="P286" i="100"/>
  <c r="Q286" i="100" s="1"/>
  <c r="P348" i="100"/>
  <c r="Q348" i="100" s="1"/>
  <c r="P477" i="100"/>
  <c r="Q477" i="100" s="1"/>
  <c r="P335" i="100"/>
  <c r="Q335" i="100" s="1"/>
  <c r="P446" i="100"/>
  <c r="Q446" i="100" s="1"/>
  <c r="P474" i="100"/>
  <c r="Q474" i="100" s="1"/>
  <c r="P454" i="100"/>
  <c r="Q454" i="100" s="1"/>
  <c r="P425" i="100"/>
  <c r="Q425" i="100" s="1"/>
  <c r="P439" i="100"/>
  <c r="Q439" i="100" s="1"/>
  <c r="P293" i="100"/>
  <c r="Q293" i="100" s="1"/>
  <c r="P360" i="100"/>
  <c r="Q360" i="100" s="1"/>
  <c r="P343" i="100"/>
  <c r="Q343" i="100" s="1"/>
  <c r="P322" i="100"/>
  <c r="Q322" i="100" s="1"/>
  <c r="P423" i="100"/>
  <c r="Q423" i="100" s="1"/>
  <c r="P140" i="100"/>
  <c r="Q140" i="100" s="1"/>
  <c r="P205" i="100"/>
  <c r="Q205" i="100" s="1"/>
  <c r="P130" i="100"/>
  <c r="Q130" i="100" s="1"/>
  <c r="P88" i="100"/>
  <c r="Q88" i="100" s="1"/>
  <c r="P136" i="100"/>
  <c r="Q136" i="100" s="1"/>
  <c r="P151" i="100"/>
  <c r="Q151" i="100" s="1"/>
  <c r="P145" i="100"/>
  <c r="Q145" i="100" s="1"/>
  <c r="P321" i="100"/>
  <c r="Q321" i="100" s="1"/>
  <c r="P429" i="100"/>
  <c r="Q429" i="100" s="1"/>
  <c r="P405" i="100"/>
  <c r="Q405" i="100" s="1"/>
  <c r="P54" i="100"/>
  <c r="Q54" i="100" s="1"/>
  <c r="P156" i="100"/>
  <c r="Q156" i="100" s="1"/>
  <c r="P74" i="100"/>
  <c r="Q74" i="100" s="1"/>
  <c r="P43" i="100"/>
  <c r="Q43" i="100" s="1"/>
  <c r="P94" i="100"/>
  <c r="Q94" i="100" s="1"/>
  <c r="P82" i="100"/>
  <c r="Q82" i="100" s="1"/>
  <c r="P182" i="100"/>
  <c r="Q182" i="100" s="1"/>
  <c r="P116" i="100"/>
  <c r="Q116" i="100" s="1"/>
  <c r="P155" i="100"/>
  <c r="Q155" i="100" s="1"/>
  <c r="P236" i="100"/>
  <c r="Q236" i="100" s="1"/>
  <c r="P194" i="100"/>
  <c r="Q194" i="100" s="1"/>
  <c r="P365" i="100"/>
  <c r="Q365" i="100" s="1"/>
  <c r="P364" i="100"/>
  <c r="Q364" i="100" s="1"/>
  <c r="P359" i="100"/>
  <c r="Q359" i="100" s="1"/>
  <c r="P410" i="100"/>
  <c r="Q410" i="100" s="1"/>
  <c r="P326" i="100"/>
  <c r="Q326" i="100" s="1"/>
  <c r="P498" i="100"/>
  <c r="Q498" i="100" s="1"/>
  <c r="P450" i="100"/>
  <c r="Q450" i="100" s="1"/>
  <c r="P354" i="100"/>
  <c r="Q354" i="100" s="1"/>
  <c r="P502" i="100"/>
  <c r="Q502" i="100" s="1"/>
  <c r="P473" i="100"/>
  <c r="Q473" i="100" s="1"/>
  <c r="P42" i="100"/>
  <c r="Q42" i="100" s="1"/>
  <c r="P57" i="100"/>
  <c r="Q57" i="100" s="1"/>
  <c r="P77" i="100"/>
  <c r="Q77" i="100" s="1"/>
  <c r="P85" i="100"/>
  <c r="Q85" i="100" s="1"/>
  <c r="P67" i="100"/>
  <c r="Q67" i="100" s="1"/>
  <c r="P122" i="100"/>
  <c r="Q122" i="100" s="1"/>
  <c r="P171" i="100"/>
  <c r="Q171" i="100" s="1"/>
  <c r="P195" i="100"/>
  <c r="Q195" i="100" s="1"/>
  <c r="P220" i="100"/>
  <c r="Q220" i="100" s="1"/>
  <c r="P379" i="100"/>
  <c r="Q379" i="100" s="1"/>
  <c r="P381" i="100"/>
  <c r="Q381" i="100" s="1"/>
  <c r="P399" i="100"/>
  <c r="Q399" i="100" s="1"/>
  <c r="P342" i="100"/>
  <c r="Q342" i="100" s="1"/>
  <c r="P466" i="100"/>
  <c r="Q466" i="100" s="1"/>
  <c r="P152" i="100"/>
  <c r="Q152" i="100" s="1"/>
  <c r="P70" i="100"/>
  <c r="Q70" i="100" s="1"/>
  <c r="P174" i="100"/>
  <c r="Q174" i="100" s="1"/>
  <c r="P297" i="100"/>
  <c r="Q297" i="100" s="1"/>
  <c r="P213" i="100"/>
  <c r="Q213" i="100" s="1"/>
  <c r="P441" i="100"/>
  <c r="Q441" i="100" s="1"/>
  <c r="P13" i="100"/>
  <c r="Q13" i="100" s="1"/>
  <c r="P183" i="100"/>
  <c r="Q183" i="100" s="1"/>
  <c r="P257" i="100"/>
  <c r="Q257" i="100" s="1"/>
  <c r="P358" i="100"/>
  <c r="Q358" i="100" s="1"/>
  <c r="P480" i="100"/>
  <c r="Q480" i="100" s="1"/>
  <c r="Q504" i="100" l="1"/>
  <c r="N38" i="150" s="1"/>
  <c r="A5" i="120" l="1"/>
  <c r="A6" i="120"/>
  <c r="A7" i="120"/>
  <c r="A8" i="120"/>
  <c r="A9" i="120"/>
  <c r="A10" i="120"/>
  <c r="A11" i="120"/>
  <c r="A12" i="120"/>
  <c r="A13" i="120"/>
  <c r="A14" i="120"/>
  <c r="A15" i="120"/>
  <c r="A16" i="120"/>
  <c r="A17" i="120"/>
  <c r="A18" i="120"/>
  <c r="A19" i="120"/>
  <c r="A20" i="120"/>
  <c r="A21" i="120"/>
  <c r="A22" i="120"/>
  <c r="A23" i="120"/>
  <c r="A24" i="120"/>
  <c r="A25" i="120"/>
  <c r="A26" i="120"/>
  <c r="A27" i="120"/>
  <c r="A28" i="120"/>
  <c r="A29" i="120"/>
  <c r="A30" i="120"/>
  <c r="A31" i="120"/>
  <c r="A32" i="120"/>
  <c r="A33" i="120"/>
  <c r="A34" i="120"/>
  <c r="A35" i="120"/>
  <c r="A36" i="120"/>
  <c r="A37" i="120"/>
  <c r="A38" i="120"/>
  <c r="A39" i="120"/>
  <c r="A40" i="120"/>
  <c r="A41" i="120"/>
  <c r="A42" i="120"/>
  <c r="A4" i="120"/>
  <c r="C67" i="61"/>
  <c r="D67" i="61"/>
  <c r="E67" i="61"/>
  <c r="F67" i="61"/>
  <c r="G67" i="61"/>
  <c r="Q67" i="97" l="1"/>
  <c r="Q69" i="97" s="1"/>
  <c r="D24" i="39" s="1"/>
  <c r="S24" i="39" s="1"/>
  <c r="V24" i="39" s="1"/>
  <c r="Y67" i="97"/>
  <c r="Y69" i="97" s="1"/>
  <c r="D32" i="39" s="1"/>
  <c r="S32" i="39" s="1"/>
  <c r="V32" i="39" s="1"/>
  <c r="AG67" i="97"/>
  <c r="AG69" i="97" s="1"/>
  <c r="D40" i="39" s="1"/>
  <c r="S40" i="39" s="1"/>
  <c r="V40" i="39" s="1"/>
  <c r="C67" i="97"/>
  <c r="C69" i="97" s="1"/>
  <c r="D10" i="39" s="1"/>
  <c r="S10" i="39" s="1"/>
  <c r="V10" i="39" s="1"/>
  <c r="K67" i="97"/>
  <c r="K69" i="97" s="1"/>
  <c r="D18" i="39" s="1"/>
  <c r="S18" i="39" s="1"/>
  <c r="V18" i="39" s="1"/>
  <c r="AE67" i="97"/>
  <c r="AE69" i="97" s="1"/>
  <c r="D38" i="39" s="1"/>
  <c r="S38" i="39" s="1"/>
  <c r="V38" i="39" s="1"/>
  <c r="R67" i="97"/>
  <c r="R69" i="97" s="1"/>
  <c r="D25" i="39" s="1"/>
  <c r="S25" i="39" s="1"/>
  <c r="V25" i="39" s="1"/>
  <c r="Z67" i="97"/>
  <c r="Z69" i="97" s="1"/>
  <c r="D33" i="39" s="1"/>
  <c r="S33" i="39" s="1"/>
  <c r="V33" i="39" s="1"/>
  <c r="AH67" i="97"/>
  <c r="AH69" i="97" s="1"/>
  <c r="D41" i="39" s="1"/>
  <c r="S41" i="39" s="1"/>
  <c r="V41" i="39" s="1"/>
  <c r="D67" i="97"/>
  <c r="D69" i="97" s="1"/>
  <c r="D11" i="39" s="1"/>
  <c r="S11" i="39" s="1"/>
  <c r="V11" i="39" s="1"/>
  <c r="S67" i="97"/>
  <c r="S69" i="97" s="1"/>
  <c r="D26" i="39" s="1"/>
  <c r="S26" i="39" s="1"/>
  <c r="V26" i="39" s="1"/>
  <c r="AA67" i="97"/>
  <c r="AA69" i="97" s="1"/>
  <c r="D34" i="39" s="1"/>
  <c r="S34" i="39" s="1"/>
  <c r="V34" i="39" s="1"/>
  <c r="AI67" i="97"/>
  <c r="AI69" i="97" s="1"/>
  <c r="D42" i="39" s="1"/>
  <c r="S42" i="39" s="1"/>
  <c r="V42" i="39" s="1"/>
  <c r="E67" i="97"/>
  <c r="E69" i="97" s="1"/>
  <c r="D12" i="39" s="1"/>
  <c r="S12" i="39" s="1"/>
  <c r="V12" i="39" s="1"/>
  <c r="O67" i="97"/>
  <c r="O69" i="97" s="1"/>
  <c r="D22" i="39" s="1"/>
  <c r="S22" i="39" s="1"/>
  <c r="V22" i="39" s="1"/>
  <c r="I67" i="97"/>
  <c r="I69" i="97" s="1"/>
  <c r="D16" i="39" s="1"/>
  <c r="S16" i="39" s="1"/>
  <c r="V16" i="39" s="1"/>
  <c r="X67" i="97"/>
  <c r="X69" i="97" s="1"/>
  <c r="D31" i="39" s="1"/>
  <c r="S31" i="39" s="1"/>
  <c r="V31" i="39" s="1"/>
  <c r="AN67" i="97"/>
  <c r="AN69" i="97" s="1"/>
  <c r="D47" i="39" s="1"/>
  <c r="S47" i="39" s="1"/>
  <c r="V47" i="39" s="1"/>
  <c r="J67" i="97"/>
  <c r="J69" i="97" s="1"/>
  <c r="D17" i="39" s="1"/>
  <c r="S17" i="39" s="1"/>
  <c r="V17" i="39" s="1"/>
  <c r="L67" i="97"/>
  <c r="L69" i="97" s="1"/>
  <c r="D19" i="39" s="1"/>
  <c r="S19" i="39" s="1"/>
  <c r="V19" i="39" s="1"/>
  <c r="T67" i="97"/>
  <c r="T69" i="97" s="1"/>
  <c r="D27" i="39" s="1"/>
  <c r="S27" i="39" s="1"/>
  <c r="V27" i="39" s="1"/>
  <c r="AB67" i="97"/>
  <c r="AB69" i="97" s="1"/>
  <c r="D35" i="39" s="1"/>
  <c r="S35" i="39" s="1"/>
  <c r="V35" i="39" s="1"/>
  <c r="AJ67" i="97"/>
  <c r="AJ69" i="97" s="1"/>
  <c r="D43" i="39" s="1"/>
  <c r="S43" i="39" s="1"/>
  <c r="V43" i="39" s="1"/>
  <c r="F67" i="97"/>
  <c r="F69" i="97" s="1"/>
  <c r="D13" i="39" s="1"/>
  <c r="S13" i="39" s="1"/>
  <c r="V13" i="39" s="1"/>
  <c r="AM67" i="97"/>
  <c r="AM69" i="97" s="1"/>
  <c r="D46" i="39" s="1"/>
  <c r="S46" i="39" s="1"/>
  <c r="V46" i="39" s="1"/>
  <c r="M67" i="97"/>
  <c r="M69" i="97" s="1"/>
  <c r="D20" i="39" s="1"/>
  <c r="S20" i="39" s="1"/>
  <c r="V20" i="39" s="1"/>
  <c r="U67" i="97"/>
  <c r="U69" i="97" s="1"/>
  <c r="D28" i="39" s="1"/>
  <c r="S28" i="39" s="1"/>
  <c r="V28" i="39" s="1"/>
  <c r="AC67" i="97"/>
  <c r="AC69" i="97" s="1"/>
  <c r="D36" i="39" s="1"/>
  <c r="S36" i="39" s="1"/>
  <c r="V36" i="39" s="1"/>
  <c r="AK67" i="97"/>
  <c r="AK69" i="97" s="1"/>
  <c r="D44" i="39" s="1"/>
  <c r="S44" i="39" s="1"/>
  <c r="V44" i="39" s="1"/>
  <c r="G67" i="97"/>
  <c r="G69" i="97" s="1"/>
  <c r="D14" i="39" s="1"/>
  <c r="S14" i="39" s="1"/>
  <c r="V14" i="39" s="1"/>
  <c r="N67" i="97"/>
  <c r="N69" i="97" s="1"/>
  <c r="D21" i="39" s="1"/>
  <c r="S21" i="39" s="1"/>
  <c r="V21" i="39" s="1"/>
  <c r="V67" i="97"/>
  <c r="V69" i="97" s="1"/>
  <c r="D29" i="39" s="1"/>
  <c r="S29" i="39" s="1"/>
  <c r="V29" i="39" s="1"/>
  <c r="AD67" i="97"/>
  <c r="AD69" i="97" s="1"/>
  <c r="D37" i="39" s="1"/>
  <c r="S37" i="39" s="1"/>
  <c r="V37" i="39" s="1"/>
  <c r="AL67" i="97"/>
  <c r="AL69" i="97" s="1"/>
  <c r="D45" i="39" s="1"/>
  <c r="S45" i="39" s="1"/>
  <c r="V45" i="39" s="1"/>
  <c r="H67" i="97"/>
  <c r="H69" i="97" s="1"/>
  <c r="D15" i="39" s="1"/>
  <c r="S15" i="39" s="1"/>
  <c r="V15" i="39" s="1"/>
  <c r="W67" i="97"/>
  <c r="W69" i="97" s="1"/>
  <c r="D30" i="39" s="1"/>
  <c r="S30" i="39" s="1"/>
  <c r="V30" i="39" s="1"/>
  <c r="P67" i="97"/>
  <c r="P69" i="97" s="1"/>
  <c r="D23" i="39" s="1"/>
  <c r="S23" i="39" s="1"/>
  <c r="V23" i="39" s="1"/>
  <c r="AF67" i="97"/>
  <c r="AF69" i="97" s="1"/>
  <c r="D39" i="39" s="1"/>
  <c r="S39" i="39" s="1"/>
  <c r="V39" i="39" s="1"/>
  <c r="A1" i="413" l="1"/>
  <c r="I26" i="482"/>
  <c r="H26" i="482"/>
  <c r="G26" i="482"/>
  <c r="F26" i="482"/>
  <c r="E26" i="482"/>
  <c r="D26" i="482"/>
  <c r="K23" i="482"/>
  <c r="O10" i="482" s="1"/>
  <c r="K19" i="482"/>
  <c r="G14" i="482"/>
  <c r="I13" i="482"/>
  <c r="I14" i="482" s="1"/>
  <c r="H13" i="482"/>
  <c r="H14" i="482" s="1"/>
  <c r="G13" i="482"/>
  <c r="F13" i="482"/>
  <c r="F14" i="482" s="1"/>
  <c r="E13" i="482"/>
  <c r="E14" i="482" s="1"/>
  <c r="D13" i="482"/>
  <c r="D14" i="482" s="1"/>
  <c r="I6" i="482"/>
  <c r="I7" i="482" s="1"/>
  <c r="H6" i="482"/>
  <c r="H7" i="482" s="1"/>
  <c r="G6" i="482"/>
  <c r="G7" i="482" s="1"/>
  <c r="G16" i="482" s="1"/>
  <c r="F6" i="482"/>
  <c r="F7" i="482" s="1"/>
  <c r="F16" i="482" s="1"/>
  <c r="E6" i="482"/>
  <c r="E7" i="482" s="1"/>
  <c r="D6" i="482"/>
  <c r="D7" i="482" s="1"/>
  <c r="D9" i="482" s="1"/>
  <c r="B25" i="420"/>
  <c r="B26" i="420" s="1"/>
  <c r="B27" i="420" s="1"/>
  <c r="B28" i="420" s="1"/>
  <c r="B29" i="420" s="1"/>
  <c r="B30" i="420" s="1"/>
  <c r="B31" i="420" s="1"/>
  <c r="B32" i="420" s="1"/>
  <c r="B33" i="420" s="1"/>
  <c r="B34" i="420" s="1"/>
  <c r="S13" i="420"/>
  <c r="U12" i="420"/>
  <c r="S12" i="420"/>
  <c r="M13" i="420"/>
  <c r="O13" i="420" s="1"/>
  <c r="E14" i="420"/>
  <c r="S14" i="420" s="1"/>
  <c r="E13" i="420"/>
  <c r="E12" i="420"/>
  <c r="I9" i="482" l="1"/>
  <c r="I16" i="482"/>
  <c r="I23" i="482" s="1"/>
  <c r="O6" i="482" s="1"/>
  <c r="H9" i="482"/>
  <c r="H16" i="482"/>
  <c r="E9" i="482"/>
  <c r="E16" i="482"/>
  <c r="F9" i="482"/>
  <c r="F23" i="482" s="1"/>
  <c r="O8" i="482" s="1"/>
  <c r="G9" i="482"/>
  <c r="G23" i="482" s="1"/>
  <c r="O5" i="482" s="1"/>
  <c r="D16" i="482"/>
  <c r="D23" i="482" s="1"/>
  <c r="O9" i="482" s="1"/>
  <c r="U13" i="420"/>
  <c r="Q13" i="420"/>
  <c r="W13" i="420" s="1"/>
  <c r="M14" i="420"/>
  <c r="O14" i="420" s="1"/>
  <c r="Q14" i="420" s="1"/>
  <c r="W14" i="420" s="1"/>
  <c r="S15" i="420"/>
  <c r="Q12" i="420"/>
  <c r="Q15" i="420" s="1"/>
  <c r="H23" i="482" l="1"/>
  <c r="O4" i="482" s="1"/>
  <c r="E23" i="482"/>
  <c r="O7" i="482" s="1"/>
  <c r="U14" i="420"/>
  <c r="U15" i="420" s="1"/>
  <c r="W12" i="420"/>
  <c r="W15" i="420"/>
  <c r="O12" i="482" l="1"/>
  <c r="O14" i="482" s="1"/>
  <c r="O16" i="482" s="1"/>
  <c r="C60" i="39"/>
  <c r="C59" i="39"/>
  <c r="E31" i="36"/>
  <c r="E30" i="36"/>
  <c r="A41" i="118" l="1"/>
  <c r="C26" i="153"/>
  <c r="D26" i="153"/>
  <c r="E26" i="153"/>
  <c r="D25" i="101"/>
  <c r="J25" i="101" s="1"/>
  <c r="E25" i="101"/>
  <c r="K25" i="101" s="1"/>
  <c r="F25" i="101"/>
  <c r="L25" i="101" s="1"/>
  <c r="G25" i="101"/>
  <c r="H25" i="101"/>
  <c r="F26" i="153" l="1"/>
  <c r="G26" i="153" s="1"/>
  <c r="H26" i="153" s="1"/>
  <c r="M25" i="101"/>
  <c r="A3" i="480" l="1"/>
  <c r="A1" i="480"/>
  <c r="C32" i="10" l="1"/>
  <c r="H23" i="417"/>
  <c r="H22" i="417"/>
  <c r="H21" i="417"/>
  <c r="A3" i="31"/>
  <c r="C1" i="416"/>
  <c r="E11" i="10" l="1"/>
  <c r="F9" i="23" s="1"/>
  <c r="E7" i="10"/>
  <c r="O10" i="478"/>
  <c r="O11" i="478"/>
  <c r="O5" i="478"/>
  <c r="C41" i="363" l="1"/>
  <c r="C42" i="363" l="1"/>
  <c r="C42" i="358" l="1"/>
  <c r="C41" i="358"/>
  <c r="C41" i="361"/>
  <c r="C42" i="361"/>
  <c r="E60" i="358"/>
  <c r="C60" i="358" l="1"/>
  <c r="L47" i="417" l="1"/>
  <c r="L46" i="417"/>
  <c r="L45" i="417"/>
  <c r="J47" i="417"/>
  <c r="J46" i="417"/>
  <c r="J45" i="417"/>
  <c r="H47" i="417"/>
  <c r="H46" i="417"/>
  <c r="H45" i="417"/>
  <c r="F47" i="417"/>
  <c r="F46" i="417"/>
  <c r="F45" i="417"/>
  <c r="Q41" i="148"/>
  <c r="Q42" i="148"/>
  <c r="Q43" i="148"/>
  <c r="Q44" i="148"/>
  <c r="Q45" i="148"/>
  <c r="Q46" i="148"/>
  <c r="Q47" i="148"/>
  <c r="Q48" i="148"/>
  <c r="Q49" i="148"/>
  <c r="Q50" i="148"/>
  <c r="Q51" i="148"/>
  <c r="Q52" i="148"/>
  <c r="Q53" i="148"/>
  <c r="Q54" i="148"/>
  <c r="Q55" i="148"/>
  <c r="Q56" i="148"/>
  <c r="Q57" i="148"/>
  <c r="Q58" i="148"/>
  <c r="Q59" i="148"/>
  <c r="Q60" i="148"/>
  <c r="Q61" i="148"/>
  <c r="Q62" i="148"/>
  <c r="Q63" i="148"/>
  <c r="Q64" i="148"/>
  <c r="Q65" i="148"/>
  <c r="Q66" i="148"/>
  <c r="Q67" i="148"/>
  <c r="Q68" i="148"/>
  <c r="Q69" i="148"/>
  <c r="Q70" i="148"/>
  <c r="Q71" i="148"/>
  <c r="Q72" i="148"/>
  <c r="Q73" i="148"/>
  <c r="Q74" i="148"/>
  <c r="Q75" i="148"/>
  <c r="Q76" i="148"/>
  <c r="Q77" i="148"/>
  <c r="Q78" i="148"/>
  <c r="Q79" i="148"/>
  <c r="Q80" i="148"/>
  <c r="Q81" i="148"/>
  <c r="Q82" i="148"/>
  <c r="Q83" i="148"/>
  <c r="Q84" i="148"/>
  <c r="Q85" i="148"/>
  <c r="Q86" i="148"/>
  <c r="Q87" i="148"/>
  <c r="Q88" i="148"/>
  <c r="Q89" i="148"/>
  <c r="Q90" i="148"/>
  <c r="Q91" i="148"/>
  <c r="Q92" i="148"/>
  <c r="Q93" i="148"/>
  <c r="Q94" i="148"/>
  <c r="Q95" i="148"/>
  <c r="Q96" i="148"/>
  <c r="Q97" i="148"/>
  <c r="Q98" i="148"/>
  <c r="Q99" i="148"/>
  <c r="Q100" i="148"/>
  <c r="Q101" i="148"/>
  <c r="Q102" i="148"/>
  <c r="Q103" i="148"/>
  <c r="Q104" i="148"/>
  <c r="Q105" i="148"/>
  <c r="Q106" i="148"/>
  <c r="Q107" i="148"/>
  <c r="Q108" i="148"/>
  <c r="Q109" i="148"/>
  <c r="Q110" i="148"/>
  <c r="Q111" i="148"/>
  <c r="Q112" i="148"/>
  <c r="Q113" i="148"/>
  <c r="Q114" i="148"/>
  <c r="Q115" i="148"/>
  <c r="Q116" i="148"/>
  <c r="Q117" i="148"/>
  <c r="Q118" i="148"/>
  <c r="Q119" i="148"/>
  <c r="Q120" i="148"/>
  <c r="Q121" i="148"/>
  <c r="Q122" i="148"/>
  <c r="Q123" i="148"/>
  <c r="Q124" i="148"/>
  <c r="Q125" i="148"/>
  <c r="Q126" i="148"/>
  <c r="Q127" i="148"/>
  <c r="Q128" i="148"/>
  <c r="Q129" i="148"/>
  <c r="Q130" i="148"/>
  <c r="Q131" i="148"/>
  <c r="Q132" i="148"/>
  <c r="Q133" i="148"/>
  <c r="Q134" i="148"/>
  <c r="Q135" i="148"/>
  <c r="Q136" i="148"/>
  <c r="Q137" i="148"/>
  <c r="Q138" i="148"/>
  <c r="Q139" i="148"/>
  <c r="Q140" i="148"/>
  <c r="Q141" i="148"/>
  <c r="Q142" i="148"/>
  <c r="Q143" i="148"/>
  <c r="Q144" i="148"/>
  <c r="Q145" i="148"/>
  <c r="Q146" i="148"/>
  <c r="Q147" i="148"/>
  <c r="Q148" i="148"/>
  <c r="Q149" i="148"/>
  <c r="Q150" i="148"/>
  <c r="Q151" i="148"/>
  <c r="Q152" i="148"/>
  <c r="Q153" i="148"/>
  <c r="Q154" i="148"/>
  <c r="Q155" i="148"/>
  <c r="Q156" i="148"/>
  <c r="Q157" i="148"/>
  <c r="Q158" i="148"/>
  <c r="Q159" i="148"/>
  <c r="Q160" i="148"/>
  <c r="Q161" i="148"/>
  <c r="Q162" i="148"/>
  <c r="Q163" i="148"/>
  <c r="Q164" i="148"/>
  <c r="Q165" i="148"/>
  <c r="Q166" i="148"/>
  <c r="Q167" i="148"/>
  <c r="Q168" i="148"/>
  <c r="Q169" i="148"/>
  <c r="Q170" i="148"/>
  <c r="Q171" i="148"/>
  <c r="Q172" i="148"/>
  <c r="Q173" i="148"/>
  <c r="Q174" i="148"/>
  <c r="Q175" i="148"/>
  <c r="Q176" i="148"/>
  <c r="Q177" i="148"/>
  <c r="Q178" i="148"/>
  <c r="Q179" i="148"/>
  <c r="Q180" i="148"/>
  <c r="Q181" i="148"/>
  <c r="Q182" i="148"/>
  <c r="Q183" i="148"/>
  <c r="Q184" i="148"/>
  <c r="Q185" i="148"/>
  <c r="Q186" i="148"/>
  <c r="Q187" i="148"/>
  <c r="Q188" i="148"/>
  <c r="Q189" i="148"/>
  <c r="Q190" i="148"/>
  <c r="Q191" i="148"/>
  <c r="Q192" i="148"/>
  <c r="Q193" i="148"/>
  <c r="Q194" i="148"/>
  <c r="Q195" i="148"/>
  <c r="Q196" i="148"/>
  <c r="Q197" i="148"/>
  <c r="Q198" i="148"/>
  <c r="Q199" i="148"/>
  <c r="Q200" i="148"/>
  <c r="Q201" i="148"/>
  <c r="Q202" i="148"/>
  <c r="Q203" i="148"/>
  <c r="Q204" i="148"/>
  <c r="Q205" i="148"/>
  <c r="Q206" i="148"/>
  <c r="Q207" i="148"/>
  <c r="Q208" i="148"/>
  <c r="Q209" i="148"/>
  <c r="Q210" i="148"/>
  <c r="Q211" i="148"/>
  <c r="Q212" i="148"/>
  <c r="Q213" i="148"/>
  <c r="Q214" i="148"/>
  <c r="Q215" i="148"/>
  <c r="Q216" i="148"/>
  <c r="Q217" i="148"/>
  <c r="Q218" i="148"/>
  <c r="Q219" i="148"/>
  <c r="Q220" i="148"/>
  <c r="Q221" i="148"/>
  <c r="Q222" i="148"/>
  <c r="Q223" i="148"/>
  <c r="Q224" i="148"/>
  <c r="Q225" i="148"/>
  <c r="Q226" i="148"/>
  <c r="Q227" i="148"/>
  <c r="Q228" i="148"/>
  <c r="Q229" i="148"/>
  <c r="Q230" i="148"/>
  <c r="Q231" i="148"/>
  <c r="Q232" i="148"/>
  <c r="Q233" i="148"/>
  <c r="Q234" i="148"/>
  <c r="Q235" i="148"/>
  <c r="Q236" i="148"/>
  <c r="Q237" i="148"/>
  <c r="Q238" i="148"/>
  <c r="Q239" i="148"/>
  <c r="Q240" i="148"/>
  <c r="Q241" i="148"/>
  <c r="Q242" i="148"/>
  <c r="Q243" i="148"/>
  <c r="Q244" i="148"/>
  <c r="Q245" i="148"/>
  <c r="Q246" i="148"/>
  <c r="Q247" i="148"/>
  <c r="Q248" i="148"/>
  <c r="Q249" i="148"/>
  <c r="Q250" i="148"/>
  <c r="Q251" i="148"/>
  <c r="Q252" i="148"/>
  <c r="Q253" i="148"/>
  <c r="Q254" i="148"/>
  <c r="Q255" i="148"/>
  <c r="Q256" i="148"/>
  <c r="Q257" i="148"/>
  <c r="Q258" i="148"/>
  <c r="Q259" i="148"/>
  <c r="Q260" i="148"/>
  <c r="Q261" i="148"/>
  <c r="Q262" i="148"/>
  <c r="Q263" i="148"/>
  <c r="Q264" i="148"/>
  <c r="Q265" i="148"/>
  <c r="Q266" i="148"/>
  <c r="Q267" i="148"/>
  <c r="Q268" i="148"/>
  <c r="Q269" i="148"/>
  <c r="Q270" i="148"/>
  <c r="Q271" i="148"/>
  <c r="Q272" i="148"/>
  <c r="Q273" i="148"/>
  <c r="Q274" i="148"/>
  <c r="Q275" i="148"/>
  <c r="Q276" i="148"/>
  <c r="Q277" i="148"/>
  <c r="Q278" i="148"/>
  <c r="Q279" i="148"/>
  <c r="Q280" i="148"/>
  <c r="Q281" i="148"/>
  <c r="Q282" i="148"/>
  <c r="Q283" i="148"/>
  <c r="Q284" i="148"/>
  <c r="Q285" i="148"/>
  <c r="Q286" i="148"/>
  <c r="Q287" i="148"/>
  <c r="Q288" i="148"/>
  <c r="Q289" i="148"/>
  <c r="Q290" i="148"/>
  <c r="Q291" i="148"/>
  <c r="Q292" i="148"/>
  <c r="Q293" i="148"/>
  <c r="Q294" i="148"/>
  <c r="Q295" i="148"/>
  <c r="Q296" i="148"/>
  <c r="Q297" i="148"/>
  <c r="Q298" i="148"/>
  <c r="Q299" i="148"/>
  <c r="Q300" i="148"/>
  <c r="Q301" i="148"/>
  <c r="Q302" i="148"/>
  <c r="Q303" i="148"/>
  <c r="Q304" i="148"/>
  <c r="Q305" i="148"/>
  <c r="Q306" i="148"/>
  <c r="Q307" i="148"/>
  <c r="Q308" i="148"/>
  <c r="Q309" i="148"/>
  <c r="Q310" i="148"/>
  <c r="Q311" i="148"/>
  <c r="Q312" i="148"/>
  <c r="Q313" i="148"/>
  <c r="Q314" i="148"/>
  <c r="Q315" i="148"/>
  <c r="Q316" i="148"/>
  <c r="Q317" i="148"/>
  <c r="Q318" i="148"/>
  <c r="Q319" i="148"/>
  <c r="Q320" i="148"/>
  <c r="Q321" i="148"/>
  <c r="Q322" i="148"/>
  <c r="Q323" i="148"/>
  <c r="Q324" i="148"/>
  <c r="Q325" i="148"/>
  <c r="Q326" i="148"/>
  <c r="Q327" i="148"/>
  <c r="Q328" i="148"/>
  <c r="Q329" i="148"/>
  <c r="Q330" i="148"/>
  <c r="Q331" i="148"/>
  <c r="Q332" i="148"/>
  <c r="Q333" i="148"/>
  <c r="Q334" i="148"/>
  <c r="Q335" i="148"/>
  <c r="Q336" i="148"/>
  <c r="Q337" i="148"/>
  <c r="Q338" i="148"/>
  <c r="Q339" i="148"/>
  <c r="Q340" i="148"/>
  <c r="Q341" i="148"/>
  <c r="Q342" i="148"/>
  <c r="Q343" i="148"/>
  <c r="Q344" i="148"/>
  <c r="Q345" i="148"/>
  <c r="Q346" i="148"/>
  <c r="Q347" i="148"/>
  <c r="Q348" i="148"/>
  <c r="Q349" i="148"/>
  <c r="Q350" i="148"/>
  <c r="Q351" i="148"/>
  <c r="Q352" i="148"/>
  <c r="Q353" i="148"/>
  <c r="Q354" i="148"/>
  <c r="Q355" i="148"/>
  <c r="Q356" i="148"/>
  <c r="Q357" i="148"/>
  <c r="Q358" i="148"/>
  <c r="Q359" i="148"/>
  <c r="Q360" i="148"/>
  <c r="Q361" i="148"/>
  <c r="Q362" i="148"/>
  <c r="Q363" i="148"/>
  <c r="Q364" i="148"/>
  <c r="Q365" i="148"/>
  <c r="Q366" i="148"/>
  <c r="Q367" i="148"/>
  <c r="Q368" i="148"/>
  <c r="Q369" i="148"/>
  <c r="Q370" i="148"/>
  <c r="Q371" i="148"/>
  <c r="Q372" i="148"/>
  <c r="Q373" i="148"/>
  <c r="Q374" i="148"/>
  <c r="Q375" i="148"/>
  <c r="Q376" i="148"/>
  <c r="Q377" i="148"/>
  <c r="Q378" i="148"/>
  <c r="Q379" i="148"/>
  <c r="Q380" i="148"/>
  <c r="Q381" i="148"/>
  <c r="Q382" i="148"/>
  <c r="Q383" i="148"/>
  <c r="Q384" i="148"/>
  <c r="Q385" i="148"/>
  <c r="Q386" i="148"/>
  <c r="Q387" i="148"/>
  <c r="Q388" i="148"/>
  <c r="Q389" i="148"/>
  <c r="Q390" i="148"/>
  <c r="Q391" i="148"/>
  <c r="Q392" i="148"/>
  <c r="Q393" i="148"/>
  <c r="Q394" i="148"/>
  <c r="Q395" i="148"/>
  <c r="Q396" i="148"/>
  <c r="Q397" i="148"/>
  <c r="Q398" i="148"/>
  <c r="Q399" i="148"/>
  <c r="Q400" i="148"/>
  <c r="Q401" i="148"/>
  <c r="Q402" i="148"/>
  <c r="Q403" i="148"/>
  <c r="Q404" i="148"/>
  <c r="Q405" i="148"/>
  <c r="Q406" i="148"/>
  <c r="Q407" i="148"/>
  <c r="Q408" i="148"/>
  <c r="Q409" i="148"/>
  <c r="Q410" i="148"/>
  <c r="Q411" i="148"/>
  <c r="Q412" i="148"/>
  <c r="Q413" i="148"/>
  <c r="Q414" i="148"/>
  <c r="Q415" i="148"/>
  <c r="Q416" i="148"/>
  <c r="Q417" i="148"/>
  <c r="Q418" i="148"/>
  <c r="Q419" i="148"/>
  <c r="Q420" i="148"/>
  <c r="Q421" i="148"/>
  <c r="Q422" i="148"/>
  <c r="Q423" i="148"/>
  <c r="Q424" i="148"/>
  <c r="Q425" i="148"/>
  <c r="Q426" i="148"/>
  <c r="Q427" i="148"/>
  <c r="Q428" i="148"/>
  <c r="Q429" i="148"/>
  <c r="Q430" i="148"/>
  <c r="Q431" i="148"/>
  <c r="Q432" i="148"/>
  <c r="Q433" i="148"/>
  <c r="Q434" i="148"/>
  <c r="Q435" i="148"/>
  <c r="Q436" i="148"/>
  <c r="Q437" i="148"/>
  <c r="Q438" i="148"/>
  <c r="Q439" i="148"/>
  <c r="Q440" i="148"/>
  <c r="Q441" i="148"/>
  <c r="Q442" i="148"/>
  <c r="Q443" i="148"/>
  <c r="Q444" i="148"/>
  <c r="Q445" i="148"/>
  <c r="Q446" i="148"/>
  <c r="Q447" i="148"/>
  <c r="Q448" i="148"/>
  <c r="Q449" i="148"/>
  <c r="Q450" i="148"/>
  <c r="Q451" i="148"/>
  <c r="Q452" i="148"/>
  <c r="Q453" i="148"/>
  <c r="Q454" i="148"/>
  <c r="Q455" i="148"/>
  <c r="Q456" i="148"/>
  <c r="Q457" i="148"/>
  <c r="Q458" i="148"/>
  <c r="Q459" i="148"/>
  <c r="Q460" i="148"/>
  <c r="Q461" i="148"/>
  <c r="Q462" i="148"/>
  <c r="Q463" i="148"/>
  <c r="Q464" i="148"/>
  <c r="Q465" i="148"/>
  <c r="Q466" i="148"/>
  <c r="Q467" i="148"/>
  <c r="Q468" i="148"/>
  <c r="Q469" i="148"/>
  <c r="Q470" i="148"/>
  <c r="Q471" i="148"/>
  <c r="Q472" i="148"/>
  <c r="Q473" i="148"/>
  <c r="Q474" i="148"/>
  <c r="Q475" i="148"/>
  <c r="Q476" i="148"/>
  <c r="Q477" i="148"/>
  <c r="Q478" i="148"/>
  <c r="Q479" i="148"/>
  <c r="Q480" i="148"/>
  <c r="Q481" i="148"/>
  <c r="Q482" i="148"/>
  <c r="Q483" i="148"/>
  <c r="Q484" i="148"/>
  <c r="Q485" i="148"/>
  <c r="Q486" i="148"/>
  <c r="Q487" i="148"/>
  <c r="Q488" i="148"/>
  <c r="Q489" i="148"/>
  <c r="Q490" i="148"/>
  <c r="Q491" i="148"/>
  <c r="Q492" i="148"/>
  <c r="Q493" i="148"/>
  <c r="Q494" i="148"/>
  <c r="Q495" i="148"/>
  <c r="Q496" i="148"/>
  <c r="Q497" i="148"/>
  <c r="Q498" i="148"/>
  <c r="Q499" i="148"/>
  <c r="Q500" i="148"/>
  <c r="Q501" i="148"/>
  <c r="Q502" i="148"/>
  <c r="Q503" i="148"/>
  <c r="Q504" i="148"/>
  <c r="Q505" i="148"/>
  <c r="Q506" i="148"/>
  <c r="Q507" i="148"/>
  <c r="Q508" i="148"/>
  <c r="Q509" i="148"/>
  <c r="Q510" i="148"/>
  <c r="Q511" i="148"/>
  <c r="Q512" i="148"/>
  <c r="Q513" i="148"/>
  <c r="Q514" i="148"/>
  <c r="Q515" i="148"/>
  <c r="Q516" i="148"/>
  <c r="Q517" i="148"/>
  <c r="Q518" i="148"/>
  <c r="Q519" i="148"/>
  <c r="Q520" i="148"/>
  <c r="Q521" i="148"/>
  <c r="Q522" i="148"/>
  <c r="Q523" i="148"/>
  <c r="Q524" i="148"/>
  <c r="Q525" i="148"/>
  <c r="Q526" i="148"/>
  <c r="Q527" i="148"/>
  <c r="Q528" i="148"/>
  <c r="Q529" i="148"/>
  <c r="Q530" i="148"/>
  <c r="Q531" i="148"/>
  <c r="Q532" i="148"/>
  <c r="Q533" i="148"/>
  <c r="Q534" i="148"/>
  <c r="Q535" i="148"/>
  <c r="Q536" i="148"/>
  <c r="Q537" i="148"/>
  <c r="Q538" i="148"/>
  <c r="Q539" i="148"/>
  <c r="Q540" i="148"/>
  <c r="Q541" i="148"/>
  <c r="Q542" i="148"/>
  <c r="Q543" i="148"/>
  <c r="Q544" i="148"/>
  <c r="Q545" i="148"/>
  <c r="Q546" i="148"/>
  <c r="Q547" i="148"/>
  <c r="Q548" i="148"/>
  <c r="Q549" i="148"/>
  <c r="Q550" i="148"/>
  <c r="Q551" i="148"/>
  <c r="Q552" i="148"/>
  <c r="Q553" i="148"/>
  <c r="Q554" i="148"/>
  <c r="Q555" i="148"/>
  <c r="Q556" i="148"/>
  <c r="Q557" i="148"/>
  <c r="Q558" i="148"/>
  <c r="Q559" i="148"/>
  <c r="Q560" i="148"/>
  <c r="Q561" i="148"/>
  <c r="Q562" i="148"/>
  <c r="Q563" i="148"/>
  <c r="Q564" i="148"/>
  <c r="Q565" i="148"/>
  <c r="Q566" i="148"/>
  <c r="Q567" i="148"/>
  <c r="Q568" i="148"/>
  <c r="Q569" i="148"/>
  <c r="Q570" i="148"/>
  <c r="Q571" i="148"/>
  <c r="Q572" i="148"/>
  <c r="Q573" i="148"/>
  <c r="Q574" i="148"/>
  <c r="Q575" i="148"/>
  <c r="Q576" i="148"/>
  <c r="Q577" i="148"/>
  <c r="Q578" i="148"/>
  <c r="Q579" i="148"/>
  <c r="Q580" i="148"/>
  <c r="Q581" i="148"/>
  <c r="Q582" i="148"/>
  <c r="Q583" i="148"/>
  <c r="Q584" i="148"/>
  <c r="Q585" i="148"/>
  <c r="Q586" i="148"/>
  <c r="Q587" i="148"/>
  <c r="Q588" i="148"/>
  <c r="Q589" i="148"/>
  <c r="Q590" i="148"/>
  <c r="Q591" i="148"/>
  <c r="Q592" i="148"/>
  <c r="Q593" i="148"/>
  <c r="Q594" i="148"/>
  <c r="Q595" i="148"/>
  <c r="Q596" i="148"/>
  <c r="Q597" i="148"/>
  <c r="Q598" i="148"/>
  <c r="Q599" i="148"/>
  <c r="Q600" i="148"/>
  <c r="Q601" i="148"/>
  <c r="Q602" i="148"/>
  <c r="Q603" i="148"/>
  <c r="Q604" i="148"/>
  <c r="Q605" i="148"/>
  <c r="Q606" i="148"/>
  <c r="Q607" i="148"/>
  <c r="Q608" i="148"/>
  <c r="Q609" i="148"/>
  <c r="Q610" i="148"/>
  <c r="Q611" i="148"/>
  <c r="Q612" i="148"/>
  <c r="Q613" i="148"/>
  <c r="Q614" i="148"/>
  <c r="Q615" i="148"/>
  <c r="Q616" i="148"/>
  <c r="Q617" i="148"/>
  <c r="Q618" i="148"/>
  <c r="Q619" i="148"/>
  <c r="Q620" i="148"/>
  <c r="Q621" i="148"/>
  <c r="Q622" i="148"/>
  <c r="Q623" i="148"/>
  <c r="Q624" i="148"/>
  <c r="Q625" i="148"/>
  <c r="Q626" i="148"/>
  <c r="Q627" i="148"/>
  <c r="Q628" i="148"/>
  <c r="Q629" i="148"/>
  <c r="Q630" i="148"/>
  <c r="Q631" i="148"/>
  <c r="Q632" i="148"/>
  <c r="Q633" i="148"/>
  <c r="Q634" i="148"/>
  <c r="Q635" i="148"/>
  <c r="Q636" i="148"/>
  <c r="Q637" i="148"/>
  <c r="Q638" i="148"/>
  <c r="Q639" i="148"/>
  <c r="Q640" i="148"/>
  <c r="Q641" i="148"/>
  <c r="Q642" i="148"/>
  <c r="Q643" i="148"/>
  <c r="Q644" i="148"/>
  <c r="Q645" i="148"/>
  <c r="Q646" i="148"/>
  <c r="Q647" i="148"/>
  <c r="Q648" i="148"/>
  <c r="Q649" i="148"/>
  <c r="Q650" i="148"/>
  <c r="Q651" i="148"/>
  <c r="Q652" i="148"/>
  <c r="Q653" i="148"/>
  <c r="Q654" i="148"/>
  <c r="Q655" i="148"/>
  <c r="Q656" i="148"/>
  <c r="Q657" i="148"/>
  <c r="Q658" i="148"/>
  <c r="Q659" i="148"/>
  <c r="Q660" i="148"/>
  <c r="Q661" i="148"/>
  <c r="Q662" i="148"/>
  <c r="Q663" i="148"/>
  <c r="Q664" i="148"/>
  <c r="Q665" i="148"/>
  <c r="Q666" i="148"/>
  <c r="Q667" i="148"/>
  <c r="Q668" i="148"/>
  <c r="Q669" i="148"/>
  <c r="Q670" i="148"/>
  <c r="Q671" i="148"/>
  <c r="Q672" i="148"/>
  <c r="Q673" i="148"/>
  <c r="Q674" i="148"/>
  <c r="Q675" i="148"/>
  <c r="Q676" i="148"/>
  <c r="Q677" i="148"/>
  <c r="Q678" i="148"/>
  <c r="Q679" i="148"/>
  <c r="Q680" i="148"/>
  <c r="Q681" i="148"/>
  <c r="Q682" i="148"/>
  <c r="Q683" i="148"/>
  <c r="Q684" i="148"/>
  <c r="Q685" i="148"/>
  <c r="Q686" i="148"/>
  <c r="Q687" i="148"/>
  <c r="Q688" i="148"/>
  <c r="Q689" i="148"/>
  <c r="Q690" i="148"/>
  <c r="Q691" i="148"/>
  <c r="Q692" i="148"/>
  <c r="Q693" i="148"/>
  <c r="Q694" i="148"/>
  <c r="Q695" i="148"/>
  <c r="Q696" i="148"/>
  <c r="Q697" i="148"/>
  <c r="Q698" i="148"/>
  <c r="Q699" i="148"/>
  <c r="Q700" i="148"/>
  <c r="Q701" i="148"/>
  <c r="Q702" i="148"/>
  <c r="Q703" i="148"/>
  <c r="Q704" i="148"/>
  <c r="Q705" i="148"/>
  <c r="Q706" i="148"/>
  <c r="Q707" i="148"/>
  <c r="Q708" i="148"/>
  <c r="Q709" i="148"/>
  <c r="Q710" i="148"/>
  <c r="Q711" i="148"/>
  <c r="Q712" i="148"/>
  <c r="Q713" i="148"/>
  <c r="Q714" i="148"/>
  <c r="Q715" i="148"/>
  <c r="Q716" i="148"/>
  <c r="Q717" i="148"/>
  <c r="Q718" i="148"/>
  <c r="Q719" i="148"/>
  <c r="Q720" i="148"/>
  <c r="Q721" i="148"/>
  <c r="Q722" i="148"/>
  <c r="Q723" i="148"/>
  <c r="Q724" i="148"/>
  <c r="Q725" i="148"/>
  <c r="Q726" i="148"/>
  <c r="Q727" i="148"/>
  <c r="Q728" i="148"/>
  <c r="Q729" i="148"/>
  <c r="Q730" i="148"/>
  <c r="Q731" i="148"/>
  <c r="Q732" i="148"/>
  <c r="Q733" i="148"/>
  <c r="Q734" i="148"/>
  <c r="Q735" i="148"/>
  <c r="Q736" i="148"/>
  <c r="Q737" i="148"/>
  <c r="Q738" i="148"/>
  <c r="Q739" i="148"/>
  <c r="Q740" i="148"/>
  <c r="Q741" i="148"/>
  <c r="Q742" i="148"/>
  <c r="Q743" i="148"/>
  <c r="Q744" i="148"/>
  <c r="Q745" i="148"/>
  <c r="Q746" i="148"/>
  <c r="Q747" i="148"/>
  <c r="Q748" i="148"/>
  <c r="Q749" i="148"/>
  <c r="Q750" i="148"/>
  <c r="Q751" i="148"/>
  <c r="Q752" i="148"/>
  <c r="Q753" i="148"/>
  <c r="Q754" i="148"/>
  <c r="Q755" i="148"/>
  <c r="Q756" i="148"/>
  <c r="Q757" i="148"/>
  <c r="Q758" i="148"/>
  <c r="Q759" i="148"/>
  <c r="Q760" i="148"/>
  <c r="Q761" i="148"/>
  <c r="Q762" i="148"/>
  <c r="Q763" i="148"/>
  <c r="Q764" i="148"/>
  <c r="Q765" i="148"/>
  <c r="Q766" i="148"/>
  <c r="Q767" i="148"/>
  <c r="Q768" i="148"/>
  <c r="Q769" i="148"/>
  <c r="Q770" i="148"/>
  <c r="Q771" i="148"/>
  <c r="Q772" i="148"/>
  <c r="Q773" i="148"/>
  <c r="Q774" i="148"/>
  <c r="Q775" i="148"/>
  <c r="Q776" i="148"/>
  <c r="Q777" i="148"/>
  <c r="Q778" i="148"/>
  <c r="Q779" i="148"/>
  <c r="Q780" i="148"/>
  <c r="Q781" i="148"/>
  <c r="Q782" i="148"/>
  <c r="Q783" i="148"/>
  <c r="Q784" i="148"/>
  <c r="Q785" i="148"/>
  <c r="Q786" i="148"/>
  <c r="Q787" i="148"/>
  <c r="Q788" i="148"/>
  <c r="Q789" i="148"/>
  <c r="Q790" i="148"/>
  <c r="Q791" i="148"/>
  <c r="Q792" i="148"/>
  <c r="Q793" i="148"/>
  <c r="Q794" i="148"/>
  <c r="Q795" i="148"/>
  <c r="Q796" i="148"/>
  <c r="Q797" i="148"/>
  <c r="Q798" i="148"/>
  <c r="Q799" i="148"/>
  <c r="Q800" i="148"/>
  <c r="Q801" i="148"/>
  <c r="Q802" i="148"/>
  <c r="Q803" i="148"/>
  <c r="Q804" i="148"/>
  <c r="Q805" i="148"/>
  <c r="Q806" i="148"/>
  <c r="Q807" i="148"/>
  <c r="Q808" i="148"/>
  <c r="Q809" i="148"/>
  <c r="Q810" i="148"/>
  <c r="Q811" i="148"/>
  <c r="Q812" i="148"/>
  <c r="Q813" i="148"/>
  <c r="Q814" i="148"/>
  <c r="Q815" i="148"/>
  <c r="Q816" i="148"/>
  <c r="Q817" i="148"/>
  <c r="Q818" i="148"/>
  <c r="Q819" i="148"/>
  <c r="Q820" i="148"/>
  <c r="Q821" i="148"/>
  <c r="Q822" i="148"/>
  <c r="Q823" i="148"/>
  <c r="Q824" i="148"/>
  <c r="Q825" i="148"/>
  <c r="Q826" i="148"/>
  <c r="Q827" i="148"/>
  <c r="Q828" i="148"/>
  <c r="Q829" i="148"/>
  <c r="Q830" i="148"/>
  <c r="Q831" i="148"/>
  <c r="Q832" i="148"/>
  <c r="Q833" i="148"/>
  <c r="Q834" i="148"/>
  <c r="Q835" i="148"/>
  <c r="Q836" i="148"/>
  <c r="Q837" i="148"/>
  <c r="Q838" i="148"/>
  <c r="Q839" i="148"/>
  <c r="Q840" i="148"/>
  <c r="Q841" i="148"/>
  <c r="Q842" i="148"/>
  <c r="Q843" i="148"/>
  <c r="Q844" i="148"/>
  <c r="Q845" i="148"/>
  <c r="Q846" i="148"/>
  <c r="Q847" i="148"/>
  <c r="Q848" i="148"/>
  <c r="Q849" i="148"/>
  <c r="Q850" i="148"/>
  <c r="Q851" i="148"/>
  <c r="Q852" i="148"/>
  <c r="Q853" i="148"/>
  <c r="Q854" i="148"/>
  <c r="Q855" i="148"/>
  <c r="Q856" i="148"/>
  <c r="Q857" i="148"/>
  <c r="Q858" i="148"/>
  <c r="Q859" i="148"/>
  <c r="Q860" i="148"/>
  <c r="Q861" i="148"/>
  <c r="Q862" i="148"/>
  <c r="Q863" i="148"/>
  <c r="Q864" i="148"/>
  <c r="Q865" i="148"/>
  <c r="Q866" i="148"/>
  <c r="Q867" i="148"/>
  <c r="Q868" i="148"/>
  <c r="Q869" i="148"/>
  <c r="Q870" i="148"/>
  <c r="Q871" i="148"/>
  <c r="Q872" i="148"/>
  <c r="Q873" i="148"/>
  <c r="Q874" i="148"/>
  <c r="Q875" i="148"/>
  <c r="Q876" i="148"/>
  <c r="Q877" i="148"/>
  <c r="Q878" i="148"/>
  <c r="Q879" i="148"/>
  <c r="Q880" i="148"/>
  <c r="Q881" i="148"/>
  <c r="Q882" i="148"/>
  <c r="Q883" i="148"/>
  <c r="Q884" i="148"/>
  <c r="Q885" i="148"/>
  <c r="Q886" i="148"/>
  <c r="Q887" i="148"/>
  <c r="Q888" i="148"/>
  <c r="Q889" i="148"/>
  <c r="Q890" i="148"/>
  <c r="Q891" i="148"/>
  <c r="Q892" i="148"/>
  <c r="Q893" i="148"/>
  <c r="Q894" i="148"/>
  <c r="Q895" i="148"/>
  <c r="Q896" i="148"/>
  <c r="Q897" i="148"/>
  <c r="Q898" i="148"/>
  <c r="Q899" i="148"/>
  <c r="Q900" i="148"/>
  <c r="Q901" i="148"/>
  <c r="Q902" i="148"/>
  <c r="Q903" i="148"/>
  <c r="Q904" i="148"/>
  <c r="Q905" i="148"/>
  <c r="Q906" i="148"/>
  <c r="Q907" i="148"/>
  <c r="Q908" i="148"/>
  <c r="Q909" i="148"/>
  <c r="Q910" i="148"/>
  <c r="Q911" i="148"/>
  <c r="Q912" i="148"/>
  <c r="Q913" i="148"/>
  <c r="Q914" i="148"/>
  <c r="Q915" i="148"/>
  <c r="Q916" i="148"/>
  <c r="Q917" i="148"/>
  <c r="Q918" i="148"/>
  <c r="Q919" i="148"/>
  <c r="Q920" i="148"/>
  <c r="Q921" i="148"/>
  <c r="Q922" i="148"/>
  <c r="Q923" i="148"/>
  <c r="Q924" i="148"/>
  <c r="Q925" i="148"/>
  <c r="Q926" i="148"/>
  <c r="Q927" i="148"/>
  <c r="Q928" i="148"/>
  <c r="Q929" i="148"/>
  <c r="Q930" i="148"/>
  <c r="Q931" i="148"/>
  <c r="Q932" i="148"/>
  <c r="Q933" i="148"/>
  <c r="Q934" i="148"/>
  <c r="Q935" i="148"/>
  <c r="Q936" i="148"/>
  <c r="Q937" i="148"/>
  <c r="Q938" i="148"/>
  <c r="Q939" i="148"/>
  <c r="Q940" i="148"/>
  <c r="Q941" i="148"/>
  <c r="Q942" i="148"/>
  <c r="Q943" i="148"/>
  <c r="Q944" i="148"/>
  <c r="Q945" i="148"/>
  <c r="Q946" i="148"/>
  <c r="Q947" i="148"/>
  <c r="Q948" i="148"/>
  <c r="Q949" i="148"/>
  <c r="Q950" i="148"/>
  <c r="Q951" i="148"/>
  <c r="Q952" i="148"/>
  <c r="Q953" i="148"/>
  <c r="Q954" i="148"/>
  <c r="Q955" i="148"/>
  <c r="Q956" i="148"/>
  <c r="Q957" i="148"/>
  <c r="Q958" i="148"/>
  <c r="Q959" i="148"/>
  <c r="Q960" i="148"/>
  <c r="Q961" i="148"/>
  <c r="Q962" i="148"/>
  <c r="Q963" i="148"/>
  <c r="Q964" i="148"/>
  <c r="Q965" i="148"/>
  <c r="Q966" i="148"/>
  <c r="Q967" i="148"/>
  <c r="Q968" i="148"/>
  <c r="Q969" i="148"/>
  <c r="Q970" i="148"/>
  <c r="Q971" i="148"/>
  <c r="Q972" i="148"/>
  <c r="Q973" i="148"/>
  <c r="Q974" i="148"/>
  <c r="Q975" i="148"/>
  <c r="Q976" i="148"/>
  <c r="Q977" i="148"/>
  <c r="Q978" i="148"/>
  <c r="Q979" i="148"/>
  <c r="Q980" i="148"/>
  <c r="Q981" i="148"/>
  <c r="Q982" i="148"/>
  <c r="Q983" i="148"/>
  <c r="Q984" i="148"/>
  <c r="Q985" i="148"/>
  <c r="Q986" i="148"/>
  <c r="Q987" i="148"/>
  <c r="Q988" i="148"/>
  <c r="Q989" i="148"/>
  <c r="Q990" i="148"/>
  <c r="Q991" i="148"/>
  <c r="Q992" i="148"/>
  <c r="Q993" i="148"/>
  <c r="Q994" i="148"/>
  <c r="Q995" i="148"/>
  <c r="Q996" i="148"/>
  <c r="Q997" i="148"/>
  <c r="Q998" i="148"/>
  <c r="Q999" i="148"/>
  <c r="Q1000" i="148"/>
  <c r="Q1001" i="148"/>
  <c r="Q1002" i="148"/>
  <c r="Q1003" i="148"/>
  <c r="Q1004" i="148"/>
  <c r="Q1005" i="148"/>
  <c r="Q1006" i="148"/>
  <c r="Q1007" i="148"/>
  <c r="Q1008" i="148"/>
  <c r="Q1009" i="148"/>
  <c r="Q1010" i="148"/>
  <c r="Q1011" i="148"/>
  <c r="Q1012" i="148"/>
  <c r="Q1013" i="148"/>
  <c r="Q1014" i="148"/>
  <c r="Q1015" i="148"/>
  <c r="Q1016" i="148"/>
  <c r="Q1017" i="148"/>
  <c r="Q1018" i="148"/>
  <c r="Q1019" i="148"/>
  <c r="Q1020" i="148"/>
  <c r="Q1021" i="148"/>
  <c r="Q1022" i="148"/>
  <c r="Q1023" i="148"/>
  <c r="Q1024" i="148"/>
  <c r="Q1025" i="148"/>
  <c r="Q1026" i="148"/>
  <c r="Q1027" i="148"/>
  <c r="Q1028" i="148"/>
  <c r="Q1029" i="148"/>
  <c r="Q1030" i="148"/>
  <c r="Q1031" i="148"/>
  <c r="Q1032" i="148"/>
  <c r="Q1033" i="148"/>
  <c r="Q1034" i="148"/>
  <c r="Q1035" i="148"/>
  <c r="Q1036" i="148"/>
  <c r="Q1037" i="148"/>
  <c r="Q1038" i="148"/>
  <c r="Q1039" i="148"/>
  <c r="Q1040" i="148"/>
  <c r="Q1041" i="148"/>
  <c r="Q1042" i="148"/>
  <c r="Q1043" i="148"/>
  <c r="Q1044" i="148"/>
  <c r="Q1045" i="148"/>
  <c r="Q1046" i="148"/>
  <c r="Q1047" i="148"/>
  <c r="Q1048" i="148"/>
  <c r="Q1049" i="148"/>
  <c r="Q1050" i="148"/>
  <c r="Q1051" i="148"/>
  <c r="Q1052" i="148"/>
  <c r="Q1053" i="148"/>
  <c r="Q1054" i="148"/>
  <c r="Q1055" i="148"/>
  <c r="Q1056" i="148"/>
  <c r="Q1057" i="148"/>
  <c r="Q1058" i="148"/>
  <c r="Q1059" i="148"/>
  <c r="Q1060" i="148"/>
  <c r="Q1061" i="148"/>
  <c r="Q1062" i="148"/>
  <c r="Q1063" i="148"/>
  <c r="Q1064" i="148"/>
  <c r="Q1065" i="148"/>
  <c r="Q1066" i="148"/>
  <c r="Q1067" i="148"/>
  <c r="Q1068" i="148"/>
  <c r="Q1069" i="148"/>
  <c r="Q1070" i="148"/>
  <c r="Q1071" i="148"/>
  <c r="Q1072" i="148"/>
  <c r="Q1073" i="148"/>
  <c r="Q1074" i="148"/>
  <c r="Q1075" i="148"/>
  <c r="Q1076" i="148"/>
  <c r="Q1077" i="148"/>
  <c r="Q1078" i="148"/>
  <c r="Q1079" i="148"/>
  <c r="Q1080" i="148"/>
  <c r="Q1081" i="148"/>
  <c r="Q1082" i="148"/>
  <c r="Q1083" i="148"/>
  <c r="Q1084" i="148"/>
  <c r="Q1085" i="148"/>
  <c r="Q1086" i="148"/>
  <c r="Q1087" i="148"/>
  <c r="Q1088" i="148"/>
  <c r="Q1089" i="148"/>
  <c r="Q1090" i="148"/>
  <c r="Q1091" i="148"/>
  <c r="Q1092" i="148"/>
  <c r="Q1093" i="148"/>
  <c r="Q1094" i="148"/>
  <c r="Q1095" i="148"/>
  <c r="Q1096" i="148"/>
  <c r="Q1097" i="148"/>
  <c r="Q1098" i="148"/>
  <c r="Q1099" i="148"/>
  <c r="Q1100" i="148"/>
  <c r="Q1101" i="148"/>
  <c r="Q1102" i="148"/>
  <c r="Q1103" i="148"/>
  <c r="Q1104" i="148"/>
  <c r="Q1105" i="148"/>
  <c r="Q1106" i="148"/>
  <c r="Q1107" i="148"/>
  <c r="Q1108" i="148"/>
  <c r="Q1109" i="148"/>
  <c r="Q1110" i="148"/>
  <c r="Q1111" i="148"/>
  <c r="Q1112" i="148"/>
  <c r="Q1113" i="148"/>
  <c r="Q1114" i="148"/>
  <c r="Q1115" i="148"/>
  <c r="Q1116" i="148"/>
  <c r="Q1117" i="148"/>
  <c r="Q1118" i="148"/>
  <c r="Q1119" i="148"/>
  <c r="Q1120" i="148"/>
  <c r="Q1121" i="148"/>
  <c r="Q1122" i="148"/>
  <c r="Q1123" i="148"/>
  <c r="Q1124" i="148"/>
  <c r="Q1125" i="148"/>
  <c r="Q1126" i="148"/>
  <c r="Q1127" i="148"/>
  <c r="Q1128" i="148"/>
  <c r="Q1129" i="148"/>
  <c r="Q1130" i="148"/>
  <c r="Q1131" i="148"/>
  <c r="Q1132" i="148"/>
  <c r="Q1133" i="148"/>
  <c r="Q1134" i="148"/>
  <c r="Q1135" i="148"/>
  <c r="Q1136" i="148"/>
  <c r="Q1137" i="148"/>
  <c r="Q1138" i="148"/>
  <c r="Q1139" i="148"/>
  <c r="Q1140" i="148"/>
  <c r="Q1141" i="148"/>
  <c r="Q1142" i="148"/>
  <c r="Q1143" i="148"/>
  <c r="Q1144" i="148"/>
  <c r="Q1145" i="148"/>
  <c r="Q1146" i="148"/>
  <c r="Q1147" i="148"/>
  <c r="Q1148" i="148"/>
  <c r="Q1149" i="148"/>
  <c r="Q1150" i="148"/>
  <c r="Q1151" i="148"/>
  <c r="Q1152" i="148"/>
  <c r="Q1153" i="148"/>
  <c r="Q1154" i="148"/>
  <c r="Q1155" i="148"/>
  <c r="Q1156" i="148"/>
  <c r="L73" i="148"/>
  <c r="L74" i="148"/>
  <c r="L75" i="148"/>
  <c r="L76" i="148"/>
  <c r="L77" i="148"/>
  <c r="L78" i="148"/>
  <c r="L79" i="148"/>
  <c r="L80" i="148"/>
  <c r="L81" i="148"/>
  <c r="L82" i="148"/>
  <c r="L83" i="148"/>
  <c r="L55" i="148"/>
  <c r="L56" i="148"/>
  <c r="L57" i="148"/>
  <c r="L58" i="148"/>
  <c r="L59" i="148"/>
  <c r="L60" i="148"/>
  <c r="L61" i="148"/>
  <c r="L62" i="148"/>
  <c r="L63" i="148"/>
  <c r="L64" i="148"/>
  <c r="L65" i="148"/>
  <c r="L66" i="148"/>
  <c r="L67" i="148"/>
  <c r="L68" i="148"/>
  <c r="L69" i="148"/>
  <c r="L70" i="148"/>
  <c r="L71" i="148"/>
  <c r="L72" i="148"/>
  <c r="L52" i="148"/>
  <c r="L53" i="148"/>
  <c r="L54" i="148"/>
  <c r="L48" i="148"/>
  <c r="L49" i="148"/>
  <c r="L50" i="148"/>
  <c r="L51" i="148"/>
  <c r="L47" i="148"/>
  <c r="R46" i="148"/>
  <c r="N46" i="148"/>
  <c r="M46" i="148"/>
  <c r="L46" i="148"/>
  <c r="P46" i="148" s="1"/>
  <c r="K46" i="148"/>
  <c r="J46" i="148"/>
  <c r="I46" i="148"/>
  <c r="R45" i="148"/>
  <c r="N45" i="148"/>
  <c r="M45" i="148"/>
  <c r="L45" i="148"/>
  <c r="K45" i="148"/>
  <c r="J45" i="148"/>
  <c r="I45" i="148"/>
  <c r="R44" i="148"/>
  <c r="N44" i="148"/>
  <c r="M44" i="148"/>
  <c r="L44" i="148"/>
  <c r="K44" i="148"/>
  <c r="J44" i="148"/>
  <c r="I44" i="148"/>
  <c r="O45" i="148" l="1"/>
  <c r="S44" i="148"/>
  <c r="O44" i="148"/>
  <c r="P44" i="148"/>
  <c r="P45" i="148"/>
  <c r="S45" i="148"/>
  <c r="S46" i="148"/>
  <c r="O46" i="148"/>
  <c r="M62" i="363" l="1"/>
  <c r="K62" i="363"/>
  <c r="E62" i="363"/>
  <c r="M60" i="363"/>
  <c r="K60" i="363"/>
  <c r="M58" i="363"/>
  <c r="K58" i="363"/>
  <c r="I58" i="363"/>
  <c r="G58" i="363"/>
  <c r="E58" i="363"/>
  <c r="C58" i="363"/>
  <c r="M54" i="363"/>
  <c r="K54" i="363"/>
  <c r="M52" i="363"/>
  <c r="K52" i="363"/>
  <c r="I52" i="363"/>
  <c r="G52" i="363"/>
  <c r="E52" i="363"/>
  <c r="C52" i="363"/>
  <c r="M50" i="363"/>
  <c r="M56" i="363" s="1"/>
  <c r="K50" i="363"/>
  <c r="K56" i="363" s="1"/>
  <c r="G50" i="363"/>
  <c r="G56" i="363" s="1"/>
  <c r="M48" i="363"/>
  <c r="K48" i="363"/>
  <c r="I48" i="363"/>
  <c r="G48" i="363"/>
  <c r="C48" i="363"/>
  <c r="I42" i="363"/>
  <c r="I60" i="363" s="1"/>
  <c r="G42" i="363"/>
  <c r="G60" i="363" s="1"/>
  <c r="E42" i="363"/>
  <c r="E60" i="363" s="1"/>
  <c r="C60" i="363"/>
  <c r="I40" i="363"/>
  <c r="I62" i="363" s="1"/>
  <c r="G40" i="363"/>
  <c r="G62" i="363" s="1"/>
  <c r="E40" i="363"/>
  <c r="C40" i="363"/>
  <c r="C62" i="363" s="1"/>
  <c r="E38" i="363"/>
  <c r="C38" i="363"/>
  <c r="G16" i="363"/>
  <c r="E16" i="363"/>
  <c r="E48" i="363" s="1"/>
  <c r="C16" i="363"/>
  <c r="C50" i="363" s="1"/>
  <c r="C56" i="363" s="1"/>
  <c r="I12" i="363"/>
  <c r="I54" i="363" s="1"/>
  <c r="G12" i="363"/>
  <c r="G54" i="363" s="1"/>
  <c r="E12" i="363"/>
  <c r="E50" i="363" s="1"/>
  <c r="E56" i="363" s="1"/>
  <c r="C12" i="363"/>
  <c r="C54" i="363" s="1"/>
  <c r="M62" i="361"/>
  <c r="K62" i="361"/>
  <c r="E62" i="361"/>
  <c r="M60" i="361"/>
  <c r="K60" i="361"/>
  <c r="M58" i="361"/>
  <c r="K58" i="361"/>
  <c r="I58" i="361"/>
  <c r="G58" i="361"/>
  <c r="E58" i="361"/>
  <c r="C58" i="361"/>
  <c r="I56" i="361"/>
  <c r="E56" i="361"/>
  <c r="M54" i="361"/>
  <c r="K54" i="361"/>
  <c r="I54" i="361"/>
  <c r="G54" i="361"/>
  <c r="E54" i="361"/>
  <c r="C54" i="361"/>
  <c r="M52" i="361"/>
  <c r="K52" i="361"/>
  <c r="I52" i="361"/>
  <c r="G52" i="361"/>
  <c r="E52" i="361"/>
  <c r="C52" i="361"/>
  <c r="M50" i="361"/>
  <c r="M56" i="361" s="1"/>
  <c r="K50" i="361"/>
  <c r="K56" i="361" s="1"/>
  <c r="I50" i="361"/>
  <c r="G50" i="361"/>
  <c r="G56" i="361" s="1"/>
  <c r="E50" i="361"/>
  <c r="C50" i="361"/>
  <c r="C56" i="361" s="1"/>
  <c r="M48" i="361"/>
  <c r="K48" i="361"/>
  <c r="E48" i="361"/>
  <c r="C48" i="361"/>
  <c r="I42" i="361"/>
  <c r="I60" i="361" s="1"/>
  <c r="G42" i="361"/>
  <c r="G60" i="361" s="1"/>
  <c r="E42" i="361"/>
  <c r="E60" i="361" s="1"/>
  <c r="C60" i="361"/>
  <c r="I40" i="361"/>
  <c r="I62" i="361" s="1"/>
  <c r="G40" i="361"/>
  <c r="G62" i="361" s="1"/>
  <c r="E40" i="361"/>
  <c r="C40" i="361"/>
  <c r="C62" i="361" s="1"/>
  <c r="I34" i="361"/>
  <c r="G34" i="361"/>
  <c r="E34" i="361"/>
  <c r="C34" i="361"/>
  <c r="I15" i="361"/>
  <c r="I48" i="361" s="1"/>
  <c r="G15" i="361"/>
  <c r="G48" i="361" s="1"/>
  <c r="M62" i="360"/>
  <c r="K62" i="360"/>
  <c r="M60" i="360"/>
  <c r="K60" i="360"/>
  <c r="M58" i="360"/>
  <c r="K58" i="360"/>
  <c r="I58" i="360"/>
  <c r="G58" i="360"/>
  <c r="E58" i="360"/>
  <c r="C58" i="360"/>
  <c r="M54" i="360"/>
  <c r="K54" i="360"/>
  <c r="M52" i="360"/>
  <c r="K52" i="360"/>
  <c r="I52" i="360"/>
  <c r="G52" i="360"/>
  <c r="E52" i="360"/>
  <c r="C52" i="360"/>
  <c r="M50" i="360"/>
  <c r="M56" i="360" s="1"/>
  <c r="K50" i="360"/>
  <c r="K56" i="360" s="1"/>
  <c r="M48" i="360"/>
  <c r="K48" i="360"/>
  <c r="I48" i="360"/>
  <c r="G48" i="360"/>
  <c r="E48" i="360"/>
  <c r="C48" i="360"/>
  <c r="I42" i="360"/>
  <c r="I60" i="360" s="1"/>
  <c r="G42" i="360"/>
  <c r="G60" i="360" s="1"/>
  <c r="E42" i="360"/>
  <c r="E60" i="360" s="1"/>
  <c r="C42" i="360"/>
  <c r="C60" i="360" s="1"/>
  <c r="E40" i="360"/>
  <c r="E62" i="360" s="1"/>
  <c r="I34" i="360"/>
  <c r="I40" i="360" s="1"/>
  <c r="I62" i="360" s="1"/>
  <c r="G34" i="360"/>
  <c r="G40" i="360" s="1"/>
  <c r="G62" i="360" s="1"/>
  <c r="E34" i="360"/>
  <c r="C34" i="360"/>
  <c r="C40" i="360" s="1"/>
  <c r="C62" i="360" s="1"/>
  <c r="I28" i="360"/>
  <c r="G28" i="360"/>
  <c r="I12" i="360"/>
  <c r="I50" i="360" s="1"/>
  <c r="I56" i="360" s="1"/>
  <c r="G12" i="360"/>
  <c r="G54" i="360" s="1"/>
  <c r="E12" i="360"/>
  <c r="E50" i="360" s="1"/>
  <c r="E56" i="360" s="1"/>
  <c r="C50" i="360"/>
  <c r="C56" i="360" s="1"/>
  <c r="M62" i="359"/>
  <c r="K62" i="359"/>
  <c r="G62" i="359"/>
  <c r="E62" i="359"/>
  <c r="M60" i="359"/>
  <c r="K60" i="359"/>
  <c r="I60" i="359"/>
  <c r="G60" i="359"/>
  <c r="E60" i="359"/>
  <c r="C60" i="359"/>
  <c r="M58" i="359"/>
  <c r="K58" i="359"/>
  <c r="I58" i="359"/>
  <c r="G58" i="359"/>
  <c r="E58" i="359"/>
  <c r="C58" i="359"/>
  <c r="C56" i="359"/>
  <c r="M54" i="359"/>
  <c r="K54" i="359"/>
  <c r="C54" i="359"/>
  <c r="M52" i="359"/>
  <c r="K52" i="359"/>
  <c r="I52" i="359"/>
  <c r="G52" i="359"/>
  <c r="E52" i="359"/>
  <c r="C52" i="359"/>
  <c r="M50" i="359"/>
  <c r="M56" i="359" s="1"/>
  <c r="K50" i="359"/>
  <c r="K56" i="359" s="1"/>
  <c r="G50" i="359"/>
  <c r="G56" i="359" s="1"/>
  <c r="C50" i="359"/>
  <c r="M48" i="359"/>
  <c r="K48" i="359"/>
  <c r="G48" i="359"/>
  <c r="E48" i="359"/>
  <c r="C48" i="359"/>
  <c r="I40" i="359"/>
  <c r="I62" i="359" s="1"/>
  <c r="C40" i="359"/>
  <c r="C62" i="359" s="1"/>
  <c r="I34" i="359"/>
  <c r="I15" i="359"/>
  <c r="I48" i="359" s="1"/>
  <c r="G15" i="359"/>
  <c r="I12" i="359"/>
  <c r="I54" i="359" s="1"/>
  <c r="G12" i="359"/>
  <c r="G54" i="359" s="1"/>
  <c r="E12" i="359"/>
  <c r="E50" i="359" s="1"/>
  <c r="E56" i="359" s="1"/>
  <c r="C12" i="359"/>
  <c r="M62" i="358"/>
  <c r="K62" i="358"/>
  <c r="C62" i="358"/>
  <c r="M60" i="358"/>
  <c r="K60" i="358"/>
  <c r="M58" i="358"/>
  <c r="K58" i="358"/>
  <c r="I58" i="358"/>
  <c r="G58" i="358"/>
  <c r="E58" i="358"/>
  <c r="C58" i="358"/>
  <c r="G56" i="358"/>
  <c r="M54" i="358"/>
  <c r="K54" i="358"/>
  <c r="G54" i="358"/>
  <c r="M52" i="358"/>
  <c r="K52" i="358"/>
  <c r="I52" i="358"/>
  <c r="G52" i="358"/>
  <c r="E52" i="358"/>
  <c r="C52" i="358"/>
  <c r="M50" i="358"/>
  <c r="M56" i="358" s="1"/>
  <c r="K50" i="358"/>
  <c r="K56" i="358" s="1"/>
  <c r="I50" i="358"/>
  <c r="I56" i="358" s="1"/>
  <c r="G50" i="358"/>
  <c r="M48" i="358"/>
  <c r="K48" i="358"/>
  <c r="I48" i="358"/>
  <c r="G48" i="358"/>
  <c r="E48" i="358"/>
  <c r="C48" i="358"/>
  <c r="I42" i="358"/>
  <c r="I60" i="358" s="1"/>
  <c r="G42" i="358"/>
  <c r="G60" i="358" s="1"/>
  <c r="E42" i="358"/>
  <c r="I40" i="358"/>
  <c r="I62" i="358" s="1"/>
  <c r="G40" i="358"/>
  <c r="G62" i="358" s="1"/>
  <c r="E40" i="358"/>
  <c r="E62" i="358" s="1"/>
  <c r="C40" i="358"/>
  <c r="I34" i="358"/>
  <c r="G34" i="358"/>
  <c r="E34" i="358"/>
  <c r="C34" i="358"/>
  <c r="I12" i="358"/>
  <c r="I54" i="358" s="1"/>
  <c r="E12" i="358"/>
  <c r="E50" i="358" s="1"/>
  <c r="E56" i="358" s="1"/>
  <c r="C50" i="358"/>
  <c r="C56" i="358" s="1"/>
  <c r="I50" i="363" l="1"/>
  <c r="I56" i="363" s="1"/>
  <c r="E54" i="363"/>
  <c r="G50" i="360"/>
  <c r="G56" i="360" s="1"/>
  <c r="C54" i="360"/>
  <c r="E54" i="360"/>
  <c r="I54" i="360"/>
  <c r="I50" i="359"/>
  <c r="I56" i="359" s="1"/>
  <c r="E54" i="359"/>
  <c r="C54" i="358"/>
  <c r="Q52" i="358" s="1"/>
  <c r="E54" i="358"/>
  <c r="G13" i="480" l="1"/>
  <c r="E13" i="480"/>
  <c r="K11" i="478"/>
  <c r="I11" i="478"/>
  <c r="K10" i="478"/>
  <c r="G12" i="480" s="1"/>
  <c r="I10" i="478"/>
  <c r="E12" i="480" s="1"/>
  <c r="K9" i="478"/>
  <c r="G11" i="480" s="1"/>
  <c r="I9" i="478"/>
  <c r="O9" i="478" s="1"/>
  <c r="K8" i="478"/>
  <c r="G10" i="480" s="1"/>
  <c r="I8" i="478"/>
  <c r="K7" i="478"/>
  <c r="G9" i="480" s="1"/>
  <c r="I7" i="478"/>
  <c r="O7" i="478" s="1"/>
  <c r="K6" i="478"/>
  <c r="G8" i="480" s="1"/>
  <c r="I6" i="478"/>
  <c r="O6" i="478" s="1"/>
  <c r="K5" i="478"/>
  <c r="G7" i="480" s="1"/>
  <c r="I5" i="478"/>
  <c r="E11" i="480" l="1"/>
  <c r="E10" i="480"/>
  <c r="I10" i="480" s="1"/>
  <c r="O8" i="478"/>
  <c r="G17" i="480"/>
  <c r="G15" i="480"/>
  <c r="E8" i="480"/>
  <c r="I8" i="480" s="1"/>
  <c r="I13" i="480"/>
  <c r="I12" i="480"/>
  <c r="I11" i="480"/>
  <c r="E7" i="480"/>
  <c r="E9" i="480"/>
  <c r="I9" i="480" s="1"/>
  <c r="E15" i="480" l="1"/>
  <c r="E17" i="480"/>
  <c r="K7" i="480"/>
  <c r="I7" i="480"/>
  <c r="K8" i="480"/>
  <c r="D29" i="53" l="1"/>
  <c r="B16" i="254" l="1"/>
  <c r="D10" i="53"/>
  <c r="D11" i="53"/>
  <c r="D12" i="53"/>
  <c r="D13" i="53"/>
  <c r="D14" i="53"/>
  <c r="D15" i="53"/>
  <c r="D16" i="53"/>
  <c r="D17" i="53"/>
  <c r="D18" i="53"/>
  <c r="D19" i="53"/>
  <c r="D20" i="53"/>
  <c r="D21" i="53"/>
  <c r="D22" i="53"/>
  <c r="D23" i="53"/>
  <c r="D24" i="53"/>
  <c r="D25" i="53"/>
  <c r="D26" i="53"/>
  <c r="D27" i="53"/>
  <c r="D28" i="53"/>
  <c r="D30" i="53"/>
  <c r="D31" i="53"/>
  <c r="D32" i="53"/>
  <c r="D33" i="53"/>
  <c r="D34" i="53"/>
  <c r="D35" i="53"/>
  <c r="D36" i="53"/>
  <c r="D37" i="53"/>
  <c r="D38" i="53"/>
  <c r="D39" i="53"/>
  <c r="D40" i="53"/>
  <c r="D41" i="53"/>
  <c r="D42" i="53"/>
  <c r="D43" i="53"/>
  <c r="D44" i="53"/>
  <c r="D45" i="53"/>
  <c r="D46" i="53"/>
  <c r="D47" i="53"/>
  <c r="C10" i="34"/>
  <c r="C11" i="34"/>
  <c r="C12" i="34"/>
  <c r="C13" i="34"/>
  <c r="C14" i="34"/>
  <c r="C9" i="34"/>
  <c r="B10" i="36"/>
  <c r="B11" i="36"/>
  <c r="B12" i="36"/>
  <c r="B13" i="36"/>
  <c r="B14" i="36"/>
  <c r="B9" i="36"/>
  <c r="B11" i="55"/>
  <c r="B12" i="55"/>
  <c r="B13" i="55"/>
  <c r="B14" i="55"/>
  <c r="B15" i="55"/>
  <c r="B10" i="55"/>
  <c r="B14" i="18"/>
  <c r="B15" i="18"/>
  <c r="B16" i="18"/>
  <c r="B17" i="18"/>
  <c r="B18" i="18"/>
  <c r="B13" i="18"/>
  <c r="B10" i="37"/>
  <c r="B11" i="37"/>
  <c r="B12" i="37"/>
  <c r="B13" i="37"/>
  <c r="B14" i="37"/>
  <c r="B9" i="37"/>
  <c r="B18" i="254"/>
  <c r="B19" i="254"/>
  <c r="B20" i="254"/>
  <c r="B21" i="254"/>
  <c r="B22" i="254"/>
  <c r="B17" i="254"/>
  <c r="F1464" i="316" l="1"/>
  <c r="B2" i="417"/>
  <c r="L23" i="417"/>
  <c r="L22" i="417"/>
  <c r="L21" i="417"/>
  <c r="J23" i="417"/>
  <c r="J22" i="417"/>
  <c r="J21" i="417"/>
  <c r="F23" i="417"/>
  <c r="F24" i="417" s="1"/>
  <c r="F22" i="417"/>
  <c r="F21" i="417"/>
  <c r="D23" i="417"/>
  <c r="D22" i="417"/>
  <c r="D21" i="417"/>
  <c r="A38" i="417"/>
  <c r="A14" i="417"/>
  <c r="A8" i="417"/>
  <c r="E14" i="18"/>
  <c r="E15" i="18"/>
  <c r="E16" i="18"/>
  <c r="E17" i="18"/>
  <c r="E18" i="18"/>
  <c r="M9" i="39"/>
  <c r="J9" i="39"/>
  <c r="G9" i="39"/>
  <c r="A10" i="39"/>
  <c r="B10" i="39" s="1"/>
  <c r="A11" i="39"/>
  <c r="B11" i="39" s="1"/>
  <c r="A12" i="39"/>
  <c r="B12" i="39" s="1"/>
  <c r="A13" i="39"/>
  <c r="B13" i="39" s="1"/>
  <c r="A14" i="39"/>
  <c r="B14" i="39" s="1"/>
  <c r="A15" i="39"/>
  <c r="B15" i="39" s="1"/>
  <c r="A16" i="39"/>
  <c r="B16" i="39" s="1"/>
  <c r="A17" i="39"/>
  <c r="B17" i="39" s="1"/>
  <c r="A18" i="39"/>
  <c r="B18" i="39" s="1"/>
  <c r="A19" i="39"/>
  <c r="B19" i="39" s="1"/>
  <c r="A20" i="39"/>
  <c r="B20" i="39" s="1"/>
  <c r="A21" i="39"/>
  <c r="B21" i="39" s="1"/>
  <c r="A22" i="39"/>
  <c r="B22" i="39" s="1"/>
  <c r="A23" i="39"/>
  <c r="B23" i="39" s="1"/>
  <c r="A24" i="39"/>
  <c r="B24" i="39" s="1"/>
  <c r="A25" i="39"/>
  <c r="B25" i="39" s="1"/>
  <c r="A26" i="39"/>
  <c r="B26" i="39" s="1"/>
  <c r="A27" i="39"/>
  <c r="B27" i="39" s="1"/>
  <c r="A28" i="39"/>
  <c r="B28" i="39" s="1"/>
  <c r="A29" i="39"/>
  <c r="A30" i="39"/>
  <c r="B30" i="39" s="1"/>
  <c r="A31" i="39"/>
  <c r="B31" i="39" s="1"/>
  <c r="A32" i="39"/>
  <c r="A33" i="39"/>
  <c r="B33" i="39" s="1"/>
  <c r="A34" i="39"/>
  <c r="B34" i="39" s="1"/>
  <c r="A35" i="39"/>
  <c r="B35" i="39" s="1"/>
  <c r="A36" i="39"/>
  <c r="B36" i="39" s="1"/>
  <c r="A37" i="39"/>
  <c r="B37" i="39" s="1"/>
  <c r="A38" i="39"/>
  <c r="B38" i="39" s="1"/>
  <c r="A39" i="39"/>
  <c r="B39" i="39" s="1"/>
  <c r="A40" i="39"/>
  <c r="B40" i="39" s="1"/>
  <c r="A41" i="39"/>
  <c r="B41" i="39" s="1"/>
  <c r="A42" i="39"/>
  <c r="B42" i="39" s="1"/>
  <c r="A43" i="39"/>
  <c r="B43" i="39" s="1"/>
  <c r="A44" i="39"/>
  <c r="B44" i="39" s="1"/>
  <c r="A45" i="39"/>
  <c r="B45" i="39" s="1"/>
  <c r="A46" i="39"/>
  <c r="B46" i="39" s="1"/>
  <c r="A47" i="39"/>
  <c r="B47" i="39" s="1"/>
  <c r="B29" i="39"/>
  <c r="B32" i="39"/>
  <c r="F40" i="25"/>
  <c r="F39" i="25"/>
  <c r="F38" i="25"/>
  <c r="D40" i="25"/>
  <c r="D39" i="25"/>
  <c r="D38" i="25"/>
  <c r="C38" i="25"/>
  <c r="C34" i="25" s="1"/>
  <c r="D48" i="38"/>
  <c r="F48" i="38" s="1"/>
  <c r="H48" i="38"/>
  <c r="J48" i="38" s="1"/>
  <c r="D11" i="38"/>
  <c r="F11" i="38" s="1"/>
  <c r="H11" i="38"/>
  <c r="J11" i="38" s="1"/>
  <c r="D12" i="38"/>
  <c r="F12" i="38" s="1"/>
  <c r="H12" i="38"/>
  <c r="J12" i="38" s="1"/>
  <c r="D13" i="38"/>
  <c r="F13" i="38" s="1"/>
  <c r="H13" i="38"/>
  <c r="J13" i="38" s="1"/>
  <c r="D14" i="38"/>
  <c r="F14" i="38" s="1"/>
  <c r="H14" i="38"/>
  <c r="J14" i="38" s="1"/>
  <c r="D15" i="38"/>
  <c r="F15" i="38" s="1"/>
  <c r="H15" i="38"/>
  <c r="J15" i="38" s="1"/>
  <c r="D16" i="38"/>
  <c r="F16" i="38" s="1"/>
  <c r="H16" i="38"/>
  <c r="J16" i="38" s="1"/>
  <c r="D17" i="38"/>
  <c r="F17" i="38" s="1"/>
  <c r="H17" i="38"/>
  <c r="J17" i="38" s="1"/>
  <c r="D18" i="38"/>
  <c r="F18" i="38" s="1"/>
  <c r="H18" i="38"/>
  <c r="J18" i="38" s="1"/>
  <c r="D19" i="38"/>
  <c r="F19" i="38" s="1"/>
  <c r="H19" i="38"/>
  <c r="J19" i="38" s="1"/>
  <c r="D20" i="38"/>
  <c r="F20" i="38" s="1"/>
  <c r="H20" i="38"/>
  <c r="J20" i="38" s="1"/>
  <c r="D21" i="38"/>
  <c r="F21" i="38" s="1"/>
  <c r="H21" i="38"/>
  <c r="J21" i="38" s="1"/>
  <c r="D22" i="38"/>
  <c r="F22" i="38" s="1"/>
  <c r="H22" i="38"/>
  <c r="J22" i="38" s="1"/>
  <c r="D23" i="38"/>
  <c r="F23" i="38" s="1"/>
  <c r="H23" i="38"/>
  <c r="J23" i="38" s="1"/>
  <c r="D24" i="38"/>
  <c r="F24" i="38" s="1"/>
  <c r="H24" i="38"/>
  <c r="J24" i="38" s="1"/>
  <c r="D25" i="38"/>
  <c r="F25" i="38" s="1"/>
  <c r="H25" i="38"/>
  <c r="J25" i="38" s="1"/>
  <c r="D26" i="38"/>
  <c r="F26" i="38" s="1"/>
  <c r="H26" i="38"/>
  <c r="J26" i="38" s="1"/>
  <c r="D27" i="38"/>
  <c r="F27" i="38" s="1"/>
  <c r="H27" i="38"/>
  <c r="J27" i="38" s="1"/>
  <c r="D28" i="38"/>
  <c r="F28" i="38" s="1"/>
  <c r="H28" i="38"/>
  <c r="J28" i="38" s="1"/>
  <c r="D29" i="38"/>
  <c r="F29" i="38" s="1"/>
  <c r="H29" i="38"/>
  <c r="J29" i="38" s="1"/>
  <c r="D30" i="38"/>
  <c r="F30" i="38" s="1"/>
  <c r="H30" i="38"/>
  <c r="J30" i="38" s="1"/>
  <c r="D31" i="38"/>
  <c r="F31" i="38" s="1"/>
  <c r="H31" i="38"/>
  <c r="J31" i="38" s="1"/>
  <c r="D32" i="38"/>
  <c r="F32" i="38" s="1"/>
  <c r="H32" i="38"/>
  <c r="J32" i="38" s="1"/>
  <c r="D33" i="38"/>
  <c r="F33" i="38" s="1"/>
  <c r="H33" i="38"/>
  <c r="J33" i="38" s="1"/>
  <c r="D34" i="38"/>
  <c r="F34" i="38" s="1"/>
  <c r="H34" i="38"/>
  <c r="J34" i="38" s="1"/>
  <c r="D35" i="38"/>
  <c r="F35" i="38" s="1"/>
  <c r="H35" i="38"/>
  <c r="J35" i="38" s="1"/>
  <c r="D36" i="38"/>
  <c r="F36" i="38" s="1"/>
  <c r="H36" i="38"/>
  <c r="J36" i="38" s="1"/>
  <c r="D37" i="38"/>
  <c r="F37" i="38" s="1"/>
  <c r="H37" i="38"/>
  <c r="J37" i="38" s="1"/>
  <c r="D38" i="38"/>
  <c r="F38" i="38" s="1"/>
  <c r="H38" i="38"/>
  <c r="J38" i="38" s="1"/>
  <c r="D39" i="38"/>
  <c r="F39" i="38" s="1"/>
  <c r="H39" i="38"/>
  <c r="J39" i="38" s="1"/>
  <c r="D40" i="38"/>
  <c r="F40" i="38" s="1"/>
  <c r="H40" i="38"/>
  <c r="J40" i="38" s="1"/>
  <c r="D41" i="38"/>
  <c r="F41" i="38" s="1"/>
  <c r="H41" i="38"/>
  <c r="J41" i="38" s="1"/>
  <c r="D42" i="38"/>
  <c r="F42" i="38" s="1"/>
  <c r="H42" i="38"/>
  <c r="J42" i="38" s="1"/>
  <c r="D43" i="38"/>
  <c r="F43" i="38" s="1"/>
  <c r="H43" i="38"/>
  <c r="J43" i="38" s="1"/>
  <c r="D44" i="38"/>
  <c r="F44" i="38" s="1"/>
  <c r="H44" i="38"/>
  <c r="J44" i="38" s="1"/>
  <c r="D45" i="38"/>
  <c r="F45" i="38" s="1"/>
  <c r="H45" i="38"/>
  <c r="J45" i="38" s="1"/>
  <c r="D46" i="38"/>
  <c r="F46" i="38" s="1"/>
  <c r="H46" i="38"/>
  <c r="J46" i="38" s="1"/>
  <c r="D47" i="38"/>
  <c r="F47" i="38" s="1"/>
  <c r="H47" i="38"/>
  <c r="J47" i="38" s="1"/>
  <c r="H10" i="38"/>
  <c r="D10" i="38"/>
  <c r="V5" i="119"/>
  <c r="U5" i="119"/>
  <c r="L24" i="417" l="1"/>
  <c r="N23" i="417"/>
  <c r="J24" i="417"/>
  <c r="H24" i="417"/>
  <c r="N21" i="417"/>
  <c r="N22" i="417"/>
  <c r="P9" i="39"/>
  <c r="H40" i="25"/>
  <c r="H39" i="25"/>
  <c r="H38" i="25"/>
  <c r="D9" i="53"/>
  <c r="A10" i="53"/>
  <c r="B10" i="53" s="1"/>
  <c r="A11" i="53"/>
  <c r="B11" i="53" s="1"/>
  <c r="A12" i="53"/>
  <c r="B12" i="53" s="1"/>
  <c r="A13" i="53"/>
  <c r="B13" i="53" s="1"/>
  <c r="A14" i="53"/>
  <c r="B14" i="53" s="1"/>
  <c r="A15" i="53"/>
  <c r="B15" i="53" s="1"/>
  <c r="A16" i="53"/>
  <c r="B16" i="53" s="1"/>
  <c r="A17" i="53"/>
  <c r="B17" i="53" s="1"/>
  <c r="A18" i="53"/>
  <c r="B18" i="53" s="1"/>
  <c r="A19" i="53"/>
  <c r="B19" i="53" s="1"/>
  <c r="A20" i="53"/>
  <c r="B20" i="53" s="1"/>
  <c r="A21" i="53"/>
  <c r="B21" i="53" s="1"/>
  <c r="A22" i="53"/>
  <c r="B22" i="53" s="1"/>
  <c r="A23" i="53"/>
  <c r="B23" i="53" s="1"/>
  <c r="A24" i="53"/>
  <c r="B24" i="53" s="1"/>
  <c r="A25" i="53"/>
  <c r="B25" i="53" s="1"/>
  <c r="A26" i="53"/>
  <c r="B26" i="53" s="1"/>
  <c r="A27" i="53"/>
  <c r="B27" i="53" s="1"/>
  <c r="A28" i="53"/>
  <c r="B28" i="53" s="1"/>
  <c r="A29" i="53"/>
  <c r="B29" i="53" s="1"/>
  <c r="A30" i="53"/>
  <c r="B30" i="53" s="1"/>
  <c r="A31" i="53"/>
  <c r="B31" i="53" s="1"/>
  <c r="A32" i="53"/>
  <c r="B32" i="53" s="1"/>
  <c r="A33" i="53"/>
  <c r="B33" i="53" s="1"/>
  <c r="A34" i="53"/>
  <c r="B34" i="53" s="1"/>
  <c r="A35" i="53"/>
  <c r="B35" i="53" s="1"/>
  <c r="A36" i="53"/>
  <c r="B36" i="53" s="1"/>
  <c r="A37" i="53"/>
  <c r="B37" i="53" s="1"/>
  <c r="A38" i="53"/>
  <c r="B38" i="53" s="1"/>
  <c r="A39" i="53"/>
  <c r="B39" i="53" s="1"/>
  <c r="A40" i="53"/>
  <c r="B40" i="53" s="1"/>
  <c r="A41" i="53"/>
  <c r="B41" i="53" s="1"/>
  <c r="A42" i="53"/>
  <c r="B42" i="53" s="1"/>
  <c r="A43" i="53"/>
  <c r="B43" i="53" s="1"/>
  <c r="A44" i="53"/>
  <c r="B44" i="53" s="1"/>
  <c r="A45" i="53"/>
  <c r="B45" i="53" s="1"/>
  <c r="A46" i="53"/>
  <c r="B46" i="53" s="1"/>
  <c r="A47" i="53"/>
  <c r="B47" i="53" s="1"/>
  <c r="K16" i="253"/>
  <c r="K14" i="253"/>
  <c r="H41" i="25" l="1"/>
  <c r="H42" i="25" s="1"/>
  <c r="H12" i="25" s="1"/>
  <c r="N24" i="417"/>
  <c r="M62" i="473" l="1"/>
  <c r="K62" i="473"/>
  <c r="E62" i="473"/>
  <c r="M60" i="473"/>
  <c r="K60" i="473"/>
  <c r="Y52" i="473" s="1"/>
  <c r="M58" i="473"/>
  <c r="K58" i="473"/>
  <c r="I58" i="473"/>
  <c r="G58" i="473"/>
  <c r="S23" i="473" s="1"/>
  <c r="E58" i="473"/>
  <c r="C58" i="473"/>
  <c r="M54" i="473"/>
  <c r="K54" i="473"/>
  <c r="Y50" i="473" s="1"/>
  <c r="I54" i="473"/>
  <c r="M52" i="473"/>
  <c r="K52" i="473"/>
  <c r="I52" i="473"/>
  <c r="W45" i="473" s="1"/>
  <c r="G52" i="473"/>
  <c r="E52" i="473"/>
  <c r="C52" i="473"/>
  <c r="M50" i="473"/>
  <c r="M56" i="473" s="1"/>
  <c r="K50" i="473"/>
  <c r="K56" i="473" s="1"/>
  <c r="Y48" i="473"/>
  <c r="U48" i="473"/>
  <c r="M48" i="473"/>
  <c r="K48" i="473"/>
  <c r="C48" i="473"/>
  <c r="Y46" i="473"/>
  <c r="U46" i="473"/>
  <c r="Q46" i="473"/>
  <c r="AA46" i="473" s="1"/>
  <c r="Y45" i="473"/>
  <c r="U45" i="473"/>
  <c r="Y44" i="473"/>
  <c r="Y43" i="473"/>
  <c r="W43" i="473"/>
  <c r="U43" i="473"/>
  <c r="S43" i="473"/>
  <c r="Q43" i="473"/>
  <c r="AA43" i="473" s="1"/>
  <c r="I42" i="473"/>
  <c r="I60" i="473" s="1"/>
  <c r="W52" i="473" s="1"/>
  <c r="G42" i="473"/>
  <c r="G60" i="473" s="1"/>
  <c r="E42" i="473"/>
  <c r="E60" i="473" s="1"/>
  <c r="C42" i="473"/>
  <c r="C60" i="473" s="1"/>
  <c r="I40" i="473"/>
  <c r="I62" i="473" s="1"/>
  <c r="W50" i="473" s="1"/>
  <c r="G40" i="473"/>
  <c r="G62" i="473" s="1"/>
  <c r="C40" i="473"/>
  <c r="C62" i="473" s="1"/>
  <c r="I28" i="473"/>
  <c r="G28" i="473"/>
  <c r="E28" i="473"/>
  <c r="C28" i="473"/>
  <c r="Q23" i="473"/>
  <c r="Y18" i="473"/>
  <c r="W18" i="473"/>
  <c r="U18" i="473"/>
  <c r="S18" i="473"/>
  <c r="Q18" i="473"/>
  <c r="I16" i="473"/>
  <c r="I50" i="473" s="1"/>
  <c r="G16" i="473"/>
  <c r="E16" i="473"/>
  <c r="S48" i="473" s="1"/>
  <c r="C16" i="473"/>
  <c r="Q48" i="473" s="1"/>
  <c r="Y12" i="473"/>
  <c r="W12" i="473"/>
  <c r="U12" i="473"/>
  <c r="S12" i="473"/>
  <c r="Q12" i="473"/>
  <c r="G12" i="473"/>
  <c r="E12" i="473"/>
  <c r="E54" i="473" s="1"/>
  <c r="C12" i="473"/>
  <c r="O7" i="473"/>
  <c r="O6" i="473"/>
  <c r="A18" i="254"/>
  <c r="A19" i="254"/>
  <c r="A20" i="254"/>
  <c r="A21" i="254"/>
  <c r="A22" i="254"/>
  <c r="A17" i="254"/>
  <c r="D18" i="254"/>
  <c r="D19" i="254"/>
  <c r="D20" i="254"/>
  <c r="D21" i="254"/>
  <c r="D22" i="254"/>
  <c r="D17" i="254"/>
  <c r="F18" i="254" a="1"/>
  <c r="J20" i="254" a="1"/>
  <c r="F22" i="254" a="1"/>
  <c r="J17" i="254" a="1"/>
  <c r="F17" i="254" a="1"/>
  <c r="J22" i="254" a="1"/>
  <c r="F20" i="254" a="1"/>
  <c r="F19" i="254" a="1"/>
  <c r="J18" i="254" a="1"/>
  <c r="F21" i="254" a="1"/>
  <c r="J21" i="254" a="1"/>
  <c r="J19" i="254" a="1"/>
  <c r="J19" i="254" l="1"/>
  <c r="J18" i="254"/>
  <c r="J20" i="254"/>
  <c r="J17" i="254"/>
  <c r="J22" i="254"/>
  <c r="J21" i="254"/>
  <c r="Y33" i="473"/>
  <c r="Y34" i="473"/>
  <c r="Y35" i="473"/>
  <c r="S50" i="473"/>
  <c r="U27" i="473"/>
  <c r="S52" i="473"/>
  <c r="I56" i="473"/>
  <c r="W28" i="473"/>
  <c r="W17" i="473"/>
  <c r="W19" i="473" s="1"/>
  <c r="W29" i="473"/>
  <c r="W27" i="473"/>
  <c r="W30" i="473" s="1"/>
  <c r="W22" i="473"/>
  <c r="Y27" i="473"/>
  <c r="Y30" i="473" s="1"/>
  <c r="Y29" i="473"/>
  <c r="E48" i="473"/>
  <c r="S44" i="473" s="1"/>
  <c r="W48" i="473"/>
  <c r="AA48" i="473" s="1"/>
  <c r="Y22" i="473"/>
  <c r="G48" i="473"/>
  <c r="Y17" i="473"/>
  <c r="Y19" i="473" s="1"/>
  <c r="Y28" i="473"/>
  <c r="I48" i="473"/>
  <c r="W44" i="473" s="1"/>
  <c r="Q45" i="473"/>
  <c r="AA45" i="473" s="1"/>
  <c r="C50" i="473"/>
  <c r="Q29" i="473" s="1"/>
  <c r="C54" i="473"/>
  <c r="Q52" i="473" s="1"/>
  <c r="S45" i="473"/>
  <c r="E50" i="473"/>
  <c r="G50" i="473"/>
  <c r="G54" i="473"/>
  <c r="S22" i="473" s="1"/>
  <c r="U29" i="473"/>
  <c r="F21" i="254"/>
  <c r="F20" i="254"/>
  <c r="F19" i="254"/>
  <c r="F22" i="254"/>
  <c r="F18" i="254"/>
  <c r="F17" i="254"/>
  <c r="Q44" i="473" l="1"/>
  <c r="G56" i="473"/>
  <c r="U28" i="473"/>
  <c r="U17" i="473"/>
  <c r="U19" i="473" s="1"/>
  <c r="S29" i="473"/>
  <c r="AA29" i="473" s="1"/>
  <c r="S27" i="473"/>
  <c r="S30" i="473" s="1"/>
  <c r="S28" i="473"/>
  <c r="S17" i="473"/>
  <c r="S19" i="473" s="1"/>
  <c r="E56" i="473"/>
  <c r="W33" i="473"/>
  <c r="W34" i="473"/>
  <c r="W35" i="473"/>
  <c r="U44" i="473"/>
  <c r="Q27" i="473"/>
  <c r="U50" i="473"/>
  <c r="U22" i="473"/>
  <c r="U52" i="473"/>
  <c r="AA52" i="473" s="1"/>
  <c r="Q22" i="473"/>
  <c r="Q50" i="473"/>
  <c r="AA50" i="473" s="1"/>
  <c r="U30" i="473"/>
  <c r="Q28" i="473"/>
  <c r="AA28" i="473" s="1"/>
  <c r="Q17" i="473"/>
  <c r="Q19" i="473" s="1"/>
  <c r="C56" i="473"/>
  <c r="Y36" i="473"/>
  <c r="Y54" i="473"/>
  <c r="Q30" i="473" l="1"/>
  <c r="AA27" i="473"/>
  <c r="AA30" i="473" s="1"/>
  <c r="W36" i="473"/>
  <c r="W54" i="473"/>
  <c r="S35" i="473"/>
  <c r="S34" i="473"/>
  <c r="S33" i="473"/>
  <c r="AA44" i="473"/>
  <c r="U33" i="473"/>
  <c r="U34" i="473"/>
  <c r="U35" i="473"/>
  <c r="Q34" i="473"/>
  <c r="Q33" i="473"/>
  <c r="Q35" i="473"/>
  <c r="AA35" i="473" s="1"/>
  <c r="AA33" i="473" l="1"/>
  <c r="Q36" i="473"/>
  <c r="Q54" i="473"/>
  <c r="S36" i="473"/>
  <c r="S54" i="473"/>
  <c r="AA34" i="473"/>
  <c r="U36" i="473"/>
  <c r="U54" i="473"/>
  <c r="AA54" i="473" l="1"/>
  <c r="AA36" i="473"/>
  <c r="L1145" i="148" l="1"/>
  <c r="M1145" i="148"/>
  <c r="R1145" i="148"/>
  <c r="S1145" i="148"/>
  <c r="L1146" i="148"/>
  <c r="M1146" i="148"/>
  <c r="R1146" i="148"/>
  <c r="L1147" i="148"/>
  <c r="M1147" i="148"/>
  <c r="R1147" i="148"/>
  <c r="S1147" i="148"/>
  <c r="L1148" i="148"/>
  <c r="M1148" i="148"/>
  <c r="R1148" i="148"/>
  <c r="S1148" i="148"/>
  <c r="L1149" i="148"/>
  <c r="M1149" i="148"/>
  <c r="R1149" i="148"/>
  <c r="L1150" i="148"/>
  <c r="M1150" i="148"/>
  <c r="R1150" i="148"/>
  <c r="L1151" i="148"/>
  <c r="M1151" i="148"/>
  <c r="R1151" i="148"/>
  <c r="L1152" i="148"/>
  <c r="M1152" i="148"/>
  <c r="R1152" i="148"/>
  <c r="S1152" i="148"/>
  <c r="L1153" i="148"/>
  <c r="M1153" i="148"/>
  <c r="R1153" i="148"/>
  <c r="L1154" i="148"/>
  <c r="M1154" i="148"/>
  <c r="R1154" i="148"/>
  <c r="S1154" i="148" s="1"/>
  <c r="L1155" i="148"/>
  <c r="M1155" i="148"/>
  <c r="S1155" i="148"/>
  <c r="R1155" i="148"/>
  <c r="L1156" i="148"/>
  <c r="M1156" i="148"/>
  <c r="R1156" i="148"/>
  <c r="K1145" i="148"/>
  <c r="K1146" i="148"/>
  <c r="K1147" i="148"/>
  <c r="K1148" i="148"/>
  <c r="K1149" i="148"/>
  <c r="K1150" i="148"/>
  <c r="K1151" i="148"/>
  <c r="K1152" i="148"/>
  <c r="K1153" i="148"/>
  <c r="K1154" i="148"/>
  <c r="K1155" i="148"/>
  <c r="K1156" i="148"/>
  <c r="I1145" i="148"/>
  <c r="I1146" i="148"/>
  <c r="I1147" i="148"/>
  <c r="I1148" i="148"/>
  <c r="I1149" i="148"/>
  <c r="I1150" i="148"/>
  <c r="I1151" i="148"/>
  <c r="I1152" i="148"/>
  <c r="I1153" i="148"/>
  <c r="I1154" i="148"/>
  <c r="I1155" i="148"/>
  <c r="J1155" i="148"/>
  <c r="I1156" i="148"/>
  <c r="G1145" i="148"/>
  <c r="J1145" i="148" s="1"/>
  <c r="G1146" i="148"/>
  <c r="N1146" i="148" s="1"/>
  <c r="G1147" i="148"/>
  <c r="N1147" i="148" s="1"/>
  <c r="G1148" i="148"/>
  <c r="N1148" i="148" s="1"/>
  <c r="G1149" i="148"/>
  <c r="J1149" i="148" s="1"/>
  <c r="G1150" i="148"/>
  <c r="J1150" i="148" s="1"/>
  <c r="G1151" i="148"/>
  <c r="N1151" i="148" s="1"/>
  <c r="P1151" i="148" s="1"/>
  <c r="G1152" i="148"/>
  <c r="J1152" i="148" s="1"/>
  <c r="G1153" i="148"/>
  <c r="J1153" i="148" s="1"/>
  <c r="G1154" i="148"/>
  <c r="N1154" i="148" s="1"/>
  <c r="G1155" i="148"/>
  <c r="N1155" i="148" s="1"/>
  <c r="G1156" i="148"/>
  <c r="J1156" i="148" s="1"/>
  <c r="D8" i="101"/>
  <c r="J8" i="101" s="1"/>
  <c r="E8" i="101"/>
  <c r="K8" i="101" s="1"/>
  <c r="F8" i="101"/>
  <c r="L8" i="101" s="1"/>
  <c r="G8" i="101"/>
  <c r="H8" i="101"/>
  <c r="D9" i="153"/>
  <c r="C9" i="153"/>
  <c r="M8" i="101" l="1"/>
  <c r="J1146" i="148"/>
  <c r="S1151" i="148"/>
  <c r="S1149" i="148"/>
  <c r="S1156" i="148"/>
  <c r="N1156" i="148"/>
  <c r="O1146" i="148"/>
  <c r="O1149" i="148"/>
  <c r="J1148" i="148"/>
  <c r="S1150" i="148"/>
  <c r="J1154" i="148"/>
  <c r="O1154" i="148"/>
  <c r="J1147" i="148"/>
  <c r="S1153" i="148"/>
  <c r="S1146" i="148"/>
  <c r="O1155" i="148"/>
  <c r="N1149" i="148"/>
  <c r="P1149" i="148" s="1"/>
  <c r="O1147" i="148"/>
  <c r="J1151" i="148"/>
  <c r="O1156" i="148"/>
  <c r="N1150" i="148"/>
  <c r="P1150" i="148" s="1"/>
  <c r="O1148" i="148"/>
  <c r="N1152" i="148"/>
  <c r="P1152" i="148" s="1"/>
  <c r="O1150" i="148"/>
  <c r="P1154" i="148"/>
  <c r="N1153" i="148"/>
  <c r="P1153" i="148" s="1"/>
  <c r="O1151" i="148"/>
  <c r="P1146" i="148"/>
  <c r="N1145" i="148"/>
  <c r="P1145" i="148" s="1"/>
  <c r="P1155" i="148"/>
  <c r="O1152" i="148"/>
  <c r="P1147" i="148"/>
  <c r="P1156" i="148"/>
  <c r="O1153" i="148"/>
  <c r="P1148" i="148"/>
  <c r="O1145" i="148"/>
  <c r="E9" i="153"/>
  <c r="F9" i="153" s="1"/>
  <c r="G9" i="153" s="1"/>
  <c r="H9" i="153" s="1"/>
  <c r="B2" i="97" l="1"/>
  <c r="B67" i="97" s="1"/>
  <c r="C2" i="97"/>
  <c r="D2" i="97"/>
  <c r="E2" i="97"/>
  <c r="F2" i="97"/>
  <c r="G2" i="97"/>
  <c r="H2" i="97"/>
  <c r="I2" i="97"/>
  <c r="J2" i="97"/>
  <c r="K2" i="97"/>
  <c r="L2" i="97"/>
  <c r="M2" i="97"/>
  <c r="N2" i="97"/>
  <c r="O2" i="97"/>
  <c r="P2" i="97"/>
  <c r="Q2" i="97"/>
  <c r="R2" i="97"/>
  <c r="S2" i="97"/>
  <c r="T2" i="97"/>
  <c r="U2" i="97"/>
  <c r="V2" i="97"/>
  <c r="W2" i="97"/>
  <c r="X2" i="97"/>
  <c r="Y2" i="97"/>
  <c r="Z2" i="97"/>
  <c r="AA2" i="97"/>
  <c r="AB2" i="97"/>
  <c r="AC2" i="97"/>
  <c r="AD2" i="97"/>
  <c r="AE2" i="97"/>
  <c r="AF2" i="97"/>
  <c r="AG2" i="97"/>
  <c r="AH2" i="97"/>
  <c r="AI2" i="97"/>
  <c r="AJ2" i="97"/>
  <c r="AK2" i="97"/>
  <c r="AL2" i="97"/>
  <c r="AM2" i="97"/>
  <c r="AN2" i="97"/>
  <c r="B4" i="61" l="1"/>
  <c r="C4" i="61"/>
  <c r="D4" i="61"/>
  <c r="E4" i="61"/>
  <c r="F4" i="61"/>
  <c r="G4" i="61"/>
  <c r="D2" i="122"/>
  <c r="E2" i="122"/>
  <c r="F2" i="122"/>
  <c r="G2" i="122"/>
  <c r="H2" i="122"/>
  <c r="I2" i="122"/>
  <c r="V7" i="119"/>
  <c r="U7" i="119"/>
  <c r="V3" i="119"/>
  <c r="U3" i="119"/>
  <c r="F5" i="61" l="1"/>
  <c r="L21" i="254"/>
  <c r="P21" i="254" s="1"/>
  <c r="B5" i="61"/>
  <c r="L17" i="254"/>
  <c r="P17" i="254" s="1"/>
  <c r="G5" i="61"/>
  <c r="L22" i="254"/>
  <c r="P22" i="254" s="1"/>
  <c r="E5" i="61"/>
  <c r="L20" i="254"/>
  <c r="P20" i="254" s="1"/>
  <c r="D5" i="61"/>
  <c r="L19" i="254"/>
  <c r="P19" i="254" s="1"/>
  <c r="C5" i="61"/>
  <c r="L18" i="254"/>
  <c r="P18" i="254" s="1"/>
  <c r="V10" i="119"/>
  <c r="U10" i="119"/>
  <c r="V9" i="119"/>
  <c r="U9" i="119"/>
  <c r="A4" i="119" l="1"/>
  <c r="A5" i="119"/>
  <c r="A6" i="119"/>
  <c r="A7" i="119"/>
  <c r="A8" i="119"/>
  <c r="A3" i="119"/>
  <c r="C1" i="121"/>
  <c r="B20" i="417" l="1"/>
  <c r="B8" i="417"/>
  <c r="B26" i="417"/>
  <c r="B32" i="417"/>
  <c r="B38" i="417"/>
  <c r="B14" i="417"/>
  <c r="D1" i="121"/>
  <c r="C40" i="25" s="1"/>
  <c r="C39" i="25"/>
  <c r="C69" i="61"/>
  <c r="D69" i="61"/>
  <c r="F69" i="61"/>
  <c r="G69" i="61"/>
  <c r="B69" i="61"/>
  <c r="E69" i="61"/>
  <c r="B7" i="39"/>
  <c r="B7" i="53"/>
  <c r="B3" i="18"/>
  <c r="C38" i="254" l="1"/>
  <c r="C52" i="52" l="1"/>
  <c r="B8" i="55"/>
  <c r="D5" i="31"/>
  <c r="A4" i="10" l="1"/>
  <c r="A3" i="11"/>
  <c r="C4" i="52"/>
  <c r="B3" i="36" l="1"/>
  <c r="A1" i="466"/>
  <c r="E7" i="58"/>
  <c r="A5" i="58"/>
  <c r="B3" i="39"/>
  <c r="B3" i="38"/>
  <c r="A5" i="23"/>
  <c r="A3" i="254"/>
  <c r="F23" i="36" l="1"/>
  <c r="G41" i="466"/>
  <c r="E40" i="466"/>
  <c r="G37" i="466"/>
  <c r="E36" i="466"/>
  <c r="G33" i="466"/>
  <c r="E32" i="466"/>
  <c r="G29" i="466"/>
  <c r="I29" i="466" s="1"/>
  <c r="E28" i="466"/>
  <c r="G25" i="466"/>
  <c r="E24" i="466"/>
  <c r="E22" i="466"/>
  <c r="G21" i="466"/>
  <c r="E20" i="466"/>
  <c r="E18" i="466"/>
  <c r="G17" i="466"/>
  <c r="I17" i="466" s="1"/>
  <c r="E16" i="466"/>
  <c r="E14" i="466"/>
  <c r="G13" i="466"/>
  <c r="E12" i="466"/>
  <c r="G9" i="466"/>
  <c r="G43" i="466"/>
  <c r="E43" i="466"/>
  <c r="I43" i="466" s="1"/>
  <c r="G42" i="466"/>
  <c r="E42" i="466"/>
  <c r="E41" i="466"/>
  <c r="G40" i="466"/>
  <c r="G39" i="466"/>
  <c r="E39" i="466"/>
  <c r="I39" i="466" s="1"/>
  <c r="G38" i="466"/>
  <c r="E38" i="466"/>
  <c r="E37" i="466"/>
  <c r="G36" i="466"/>
  <c r="G35" i="466"/>
  <c r="E35" i="466"/>
  <c r="G34" i="466"/>
  <c r="E34" i="466"/>
  <c r="E33" i="466"/>
  <c r="G32" i="466"/>
  <c r="G31" i="466"/>
  <c r="E31" i="466"/>
  <c r="G30" i="466"/>
  <c r="E30" i="466"/>
  <c r="E29" i="466"/>
  <c r="G28" i="466"/>
  <c r="G27" i="466"/>
  <c r="E27" i="466"/>
  <c r="I27" i="466" s="1"/>
  <c r="G26" i="466"/>
  <c r="E26" i="466"/>
  <c r="E25" i="466"/>
  <c r="G24" i="466"/>
  <c r="G23" i="466"/>
  <c r="E23" i="466"/>
  <c r="I23" i="466" s="1"/>
  <c r="G22" i="466"/>
  <c r="E21" i="466"/>
  <c r="G20" i="466"/>
  <c r="E19" i="466"/>
  <c r="G18" i="466"/>
  <c r="E17" i="466"/>
  <c r="G16" i="466"/>
  <c r="E15" i="466"/>
  <c r="G14" i="466"/>
  <c r="E13" i="466"/>
  <c r="G12" i="466"/>
  <c r="E11" i="466"/>
  <c r="G10" i="466"/>
  <c r="E10" i="466"/>
  <c r="E9" i="466"/>
  <c r="G8" i="466"/>
  <c r="G7" i="466"/>
  <c r="E7" i="466"/>
  <c r="I7" i="466" s="1"/>
  <c r="I10" i="466" l="1"/>
  <c r="I30" i="466"/>
  <c r="I14" i="466"/>
  <c r="I25" i="466"/>
  <c r="I41" i="466"/>
  <c r="I31" i="466"/>
  <c r="I16" i="466"/>
  <c r="I28" i="466"/>
  <c r="I18" i="466"/>
  <c r="I32" i="466"/>
  <c r="I26" i="466"/>
  <c r="I33" i="466"/>
  <c r="I21" i="466"/>
  <c r="I34" i="466"/>
  <c r="I12" i="466"/>
  <c r="I22" i="466"/>
  <c r="I37" i="466"/>
  <c r="I42" i="466"/>
  <c r="I38" i="466"/>
  <c r="I20" i="466"/>
  <c r="I36" i="466"/>
  <c r="I35" i="466"/>
  <c r="I13" i="466"/>
  <c r="I24" i="466"/>
  <c r="I40" i="466"/>
  <c r="I9" i="466"/>
  <c r="K7" i="466"/>
  <c r="G11" i="466"/>
  <c r="I11" i="466" s="1"/>
  <c r="G15" i="466"/>
  <c r="I15" i="466" s="1"/>
  <c r="G19" i="466"/>
  <c r="I19" i="466" s="1"/>
  <c r="E8" i="466"/>
  <c r="I8" i="466" s="1"/>
  <c r="E49" i="466"/>
  <c r="G45" i="466" l="1"/>
  <c r="G49" i="466"/>
  <c r="I49" i="466" s="1"/>
  <c r="E45" i="466"/>
  <c r="K8" i="466"/>
  <c r="I45" i="466" l="1"/>
  <c r="L41" i="417" l="1"/>
  <c r="J41" i="417"/>
  <c r="H41" i="417"/>
  <c r="F41" i="417"/>
  <c r="D41" i="417"/>
  <c r="L40" i="417"/>
  <c r="J40" i="417"/>
  <c r="H40" i="417"/>
  <c r="F40" i="417"/>
  <c r="D40" i="417"/>
  <c r="L39" i="417"/>
  <c r="J39" i="417"/>
  <c r="H39" i="417"/>
  <c r="F39" i="417"/>
  <c r="D39" i="417"/>
  <c r="L35" i="417"/>
  <c r="J35" i="417"/>
  <c r="H35" i="417"/>
  <c r="F35" i="417"/>
  <c r="D35" i="417"/>
  <c r="L34" i="417"/>
  <c r="J34" i="417"/>
  <c r="H34" i="417"/>
  <c r="F34" i="417"/>
  <c r="D34" i="417"/>
  <c r="L33" i="417"/>
  <c r="J33" i="417"/>
  <c r="H33" i="417"/>
  <c r="F33" i="417"/>
  <c r="D33" i="417"/>
  <c r="L29" i="417"/>
  <c r="J29" i="417"/>
  <c r="H29" i="417"/>
  <c r="F29" i="417"/>
  <c r="D29" i="417"/>
  <c r="L28" i="417"/>
  <c r="J28" i="417"/>
  <c r="H28" i="417"/>
  <c r="F28" i="417"/>
  <c r="D28" i="417"/>
  <c r="L27" i="417"/>
  <c r="J27" i="417"/>
  <c r="H27" i="417"/>
  <c r="F27" i="417"/>
  <c r="D27" i="417"/>
  <c r="L17" i="417"/>
  <c r="J17" i="417"/>
  <c r="H17" i="417"/>
  <c r="F17" i="417"/>
  <c r="D17" i="417"/>
  <c r="L16" i="417"/>
  <c r="J16" i="417"/>
  <c r="H16" i="417"/>
  <c r="F16" i="417"/>
  <c r="D16" i="417"/>
  <c r="L15" i="417"/>
  <c r="J15" i="417"/>
  <c r="H15" i="417"/>
  <c r="F15" i="417"/>
  <c r="D15" i="417"/>
  <c r="L11" i="417"/>
  <c r="L10" i="417"/>
  <c r="L9" i="417"/>
  <c r="J11" i="417"/>
  <c r="J10" i="417"/>
  <c r="J9" i="417"/>
  <c r="H11" i="417"/>
  <c r="H10" i="417"/>
  <c r="H9" i="417"/>
  <c r="F11" i="417"/>
  <c r="F10" i="417"/>
  <c r="F9" i="417"/>
  <c r="D11" i="417"/>
  <c r="D47" i="417" s="1"/>
  <c r="D10" i="417"/>
  <c r="D9" i="417"/>
  <c r="A21" i="420"/>
  <c r="M16" i="253"/>
  <c r="E37" i="253" s="1"/>
  <c r="E5" i="13"/>
  <c r="M9" i="36"/>
  <c r="J9" i="36"/>
  <c r="G9" i="36"/>
  <c r="I14" i="18"/>
  <c r="I15" i="18"/>
  <c r="I16" i="18"/>
  <c r="I17" i="18"/>
  <c r="I18" i="18"/>
  <c r="I13" i="18"/>
  <c r="K13" i="18" s="1"/>
  <c r="E13" i="18"/>
  <c r="G13" i="18" s="1"/>
  <c r="I11" i="18"/>
  <c r="F10" i="37"/>
  <c r="F11" i="37"/>
  <c r="F12" i="37"/>
  <c r="F13" i="37"/>
  <c r="F14" i="37"/>
  <c r="F9" i="37"/>
  <c r="D10" i="37"/>
  <c r="D11" i="37"/>
  <c r="D12" i="37"/>
  <c r="D13" i="37"/>
  <c r="D14" i="37"/>
  <c r="D9" i="37"/>
  <c r="G9" i="34"/>
  <c r="G10" i="34"/>
  <c r="G11" i="34"/>
  <c r="G12" i="34"/>
  <c r="G13" i="34"/>
  <c r="G14" i="34"/>
  <c r="E10" i="34"/>
  <c r="E11" i="34"/>
  <c r="E12" i="34"/>
  <c r="E13" i="34"/>
  <c r="E14" i="34"/>
  <c r="E9" i="34"/>
  <c r="C7" i="34"/>
  <c r="A10" i="34"/>
  <c r="A10" i="37" s="1"/>
  <c r="A14" i="18" s="1"/>
  <c r="A11" i="34"/>
  <c r="A11" i="37" s="1"/>
  <c r="A15" i="18" s="1"/>
  <c r="A12" i="34"/>
  <c r="A12" i="37" s="1"/>
  <c r="A16" i="18" s="1"/>
  <c r="A13" i="34"/>
  <c r="A13" i="37" s="1"/>
  <c r="A17" i="18" s="1"/>
  <c r="A14" i="34"/>
  <c r="A14" i="37" s="1"/>
  <c r="A18" i="18" s="1"/>
  <c r="A9" i="34"/>
  <c r="A9" i="37" s="1"/>
  <c r="A13" i="18" s="1"/>
  <c r="A10" i="55" s="1"/>
  <c r="H23" i="25"/>
  <c r="A15" i="52"/>
  <c r="C26" i="52"/>
  <c r="C34" i="52"/>
  <c r="C38" i="52"/>
  <c r="C41" i="52"/>
  <c r="C42" i="52"/>
  <c r="A9" i="39"/>
  <c r="B9" i="39" s="1"/>
  <c r="J10" i="38"/>
  <c r="F10" i="38"/>
  <c r="D7" i="38"/>
  <c r="B8" i="38"/>
  <c r="C8" i="52" s="1"/>
  <c r="A11" i="38"/>
  <c r="B11" i="38" s="1"/>
  <c r="A12" i="38"/>
  <c r="B12" i="38" s="1"/>
  <c r="A13" i="38"/>
  <c r="B13" i="38" s="1"/>
  <c r="A14" i="38"/>
  <c r="B14" i="38" s="1"/>
  <c r="A15" i="38"/>
  <c r="B15" i="38" s="1"/>
  <c r="A16" i="38"/>
  <c r="B16" i="38" s="1"/>
  <c r="A17" i="38"/>
  <c r="B17" i="38" s="1"/>
  <c r="A18" i="38"/>
  <c r="B18" i="38" s="1"/>
  <c r="A19" i="38"/>
  <c r="B19" i="38" s="1"/>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A34" i="38"/>
  <c r="B34" i="38" s="1"/>
  <c r="A35" i="38"/>
  <c r="B35" i="38" s="1"/>
  <c r="A36" i="38"/>
  <c r="B36" i="38" s="1"/>
  <c r="A37" i="38"/>
  <c r="B37" i="38" s="1"/>
  <c r="A38" i="38"/>
  <c r="B38" i="38" s="1"/>
  <c r="A39" i="38"/>
  <c r="B39" i="38" s="1"/>
  <c r="A40" i="38"/>
  <c r="B40" i="38" s="1"/>
  <c r="A41" i="38"/>
  <c r="B41" i="38" s="1"/>
  <c r="A42" i="38"/>
  <c r="B42" i="38" s="1"/>
  <c r="A43" i="38"/>
  <c r="B43" i="38" s="1"/>
  <c r="A44" i="38"/>
  <c r="B44" i="38" s="1"/>
  <c r="A45" i="38"/>
  <c r="B45" i="38" s="1"/>
  <c r="A46" i="38"/>
  <c r="B46" i="38" s="1"/>
  <c r="A47" i="38"/>
  <c r="B47" i="38" s="1"/>
  <c r="A48" i="38"/>
  <c r="B48" i="38" s="1"/>
  <c r="A10" i="38"/>
  <c r="B10" i="38" s="1"/>
  <c r="H8" i="38"/>
  <c r="F7" i="23"/>
  <c r="A9" i="53"/>
  <c r="B13" i="254"/>
  <c r="P24" i="254"/>
  <c r="E16" i="253" s="1"/>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F5" i="97"/>
  <c r="G5" i="97"/>
  <c r="H5" i="97"/>
  <c r="I5" i="97"/>
  <c r="J5" i="97"/>
  <c r="K5" i="97"/>
  <c r="L5" i="97"/>
  <c r="M5" i="97"/>
  <c r="N5" i="97"/>
  <c r="O5" i="97"/>
  <c r="P5" i="97"/>
  <c r="Q5" i="97"/>
  <c r="R5" i="97"/>
  <c r="S5" i="97"/>
  <c r="T5" i="97"/>
  <c r="U5" i="97"/>
  <c r="V5" i="97"/>
  <c r="W5" i="97"/>
  <c r="X5" i="97"/>
  <c r="Y5" i="97"/>
  <c r="Z5" i="97"/>
  <c r="AA5" i="97"/>
  <c r="AB5" i="97"/>
  <c r="AC5" i="97"/>
  <c r="AD5" i="97"/>
  <c r="AE5" i="97"/>
  <c r="AF5" i="97"/>
  <c r="AG5" i="97"/>
  <c r="AH5" i="97"/>
  <c r="AI5" i="97"/>
  <c r="AJ5" i="97"/>
  <c r="AK5" i="97"/>
  <c r="AL5" i="97"/>
  <c r="AM5" i="97"/>
  <c r="AN5"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F7" i="97"/>
  <c r="G7" i="97"/>
  <c r="H7" i="97"/>
  <c r="I7" i="97"/>
  <c r="J7" i="97"/>
  <c r="K7" i="97"/>
  <c r="L7" i="97"/>
  <c r="M7" i="97"/>
  <c r="N7" i="97"/>
  <c r="O7" i="97"/>
  <c r="P7" i="97"/>
  <c r="Q7" i="97"/>
  <c r="R7" i="97"/>
  <c r="S7" i="97"/>
  <c r="T7" i="97"/>
  <c r="U7" i="97"/>
  <c r="V7" i="97"/>
  <c r="W7" i="97"/>
  <c r="X7" i="97"/>
  <c r="Y7" i="97"/>
  <c r="Z7" i="97"/>
  <c r="AA7" i="97"/>
  <c r="AB7" i="97"/>
  <c r="AC7" i="97"/>
  <c r="AD7" i="97"/>
  <c r="AE7" i="97"/>
  <c r="AF7" i="97"/>
  <c r="AG7" i="97"/>
  <c r="AH7" i="97"/>
  <c r="AI7" i="97"/>
  <c r="AJ7" i="97"/>
  <c r="AK7" i="97"/>
  <c r="AL7" i="97"/>
  <c r="AM7" i="97"/>
  <c r="AN7" i="97"/>
  <c r="F8" i="97"/>
  <c r="G8" i="97"/>
  <c r="H8" i="97"/>
  <c r="I8" i="97"/>
  <c r="J8" i="97"/>
  <c r="K8" i="97"/>
  <c r="L8" i="97"/>
  <c r="M8" i="97"/>
  <c r="N8" i="97"/>
  <c r="O8" i="97"/>
  <c r="P8" i="97"/>
  <c r="Q8" i="97"/>
  <c r="R8" i="97"/>
  <c r="S8" i="97"/>
  <c r="T8" i="97"/>
  <c r="U8" i="97"/>
  <c r="V8" i="97"/>
  <c r="W8" i="97"/>
  <c r="X8" i="97"/>
  <c r="Y8" i="97"/>
  <c r="Z8" i="97"/>
  <c r="AA8" i="97"/>
  <c r="AB8" i="97"/>
  <c r="AC8" i="97"/>
  <c r="AD8" i="97"/>
  <c r="AE8" i="97"/>
  <c r="AF8" i="97"/>
  <c r="AG8" i="97"/>
  <c r="AH8" i="97"/>
  <c r="AI8" i="97"/>
  <c r="AJ8" i="97"/>
  <c r="AK8" i="97"/>
  <c r="AL8" i="97"/>
  <c r="AM8" i="97"/>
  <c r="AN8" i="97"/>
  <c r="F9" i="97"/>
  <c r="G9" i="97"/>
  <c r="H9" i="97"/>
  <c r="I9" i="97"/>
  <c r="J9" i="97"/>
  <c r="K9" i="97"/>
  <c r="L9" i="97"/>
  <c r="M9" i="97"/>
  <c r="N9" i="97"/>
  <c r="O9" i="97"/>
  <c r="P9" i="97"/>
  <c r="Q9" i="97"/>
  <c r="R9" i="97"/>
  <c r="S9" i="97"/>
  <c r="T9" i="97"/>
  <c r="U9" i="97"/>
  <c r="V9" i="97"/>
  <c r="W9" i="97"/>
  <c r="X9" i="97"/>
  <c r="Y9" i="97"/>
  <c r="Z9" i="97"/>
  <c r="AA9" i="97"/>
  <c r="AB9" i="97"/>
  <c r="AC9" i="97"/>
  <c r="AD9" i="97"/>
  <c r="AE9" i="97"/>
  <c r="AF9" i="97"/>
  <c r="AG9" i="97"/>
  <c r="AH9" i="97"/>
  <c r="AI9" i="97"/>
  <c r="AJ9" i="97"/>
  <c r="AK9" i="97"/>
  <c r="AL9" i="97"/>
  <c r="AM9" i="97"/>
  <c r="AN9" i="97"/>
  <c r="F10" i="97"/>
  <c r="G10" i="97"/>
  <c r="H10" i="97"/>
  <c r="I10" i="97"/>
  <c r="J10" i="97"/>
  <c r="K10" i="97"/>
  <c r="L10" i="97"/>
  <c r="M10" i="97"/>
  <c r="N10" i="97"/>
  <c r="O10" i="97"/>
  <c r="P10" i="97"/>
  <c r="Q10" i="97"/>
  <c r="R10" i="97"/>
  <c r="S10" i="97"/>
  <c r="T10" i="97"/>
  <c r="U10" i="97"/>
  <c r="V10" i="97"/>
  <c r="W10" i="97"/>
  <c r="X10" i="97"/>
  <c r="Y10" i="97"/>
  <c r="Z10" i="97"/>
  <c r="AA10" i="97"/>
  <c r="AB10" i="97"/>
  <c r="AC10" i="97"/>
  <c r="AD10" i="97"/>
  <c r="AE10" i="97"/>
  <c r="AF10" i="97"/>
  <c r="AG10" i="97"/>
  <c r="AH10" i="97"/>
  <c r="AI10" i="97"/>
  <c r="AJ10" i="97"/>
  <c r="AK10" i="97"/>
  <c r="AL10" i="97"/>
  <c r="AM10" i="97"/>
  <c r="AN10" i="97"/>
  <c r="F11" i="97"/>
  <c r="G11" i="97"/>
  <c r="H11" i="97"/>
  <c r="I11" i="97"/>
  <c r="J11" i="97"/>
  <c r="K11" i="97"/>
  <c r="L11" i="97"/>
  <c r="M11" i="97"/>
  <c r="N11" i="97"/>
  <c r="O11" i="97"/>
  <c r="P11" i="97"/>
  <c r="Q11" i="97"/>
  <c r="R11" i="97"/>
  <c r="S11" i="97"/>
  <c r="T11" i="97"/>
  <c r="U11" i="97"/>
  <c r="V11" i="97"/>
  <c r="W11" i="97"/>
  <c r="X11" i="97"/>
  <c r="Y11" i="97"/>
  <c r="Z11" i="97"/>
  <c r="AA11" i="97"/>
  <c r="AB11" i="97"/>
  <c r="AC11" i="97"/>
  <c r="AD11" i="97"/>
  <c r="AE11" i="97"/>
  <c r="AF11" i="97"/>
  <c r="AG11" i="97"/>
  <c r="AH11" i="97"/>
  <c r="AI11" i="97"/>
  <c r="AJ11" i="97"/>
  <c r="AK11" i="97"/>
  <c r="AL11" i="97"/>
  <c r="AM11" i="97"/>
  <c r="AN11" i="97"/>
  <c r="F12" i="97"/>
  <c r="G12" i="97"/>
  <c r="H12" i="97"/>
  <c r="I12" i="97"/>
  <c r="J12" i="97"/>
  <c r="K12" i="97"/>
  <c r="L12" i="97"/>
  <c r="M12" i="97"/>
  <c r="N12" i="97"/>
  <c r="O12" i="97"/>
  <c r="P12" i="97"/>
  <c r="Q12" i="97"/>
  <c r="R12" i="97"/>
  <c r="S12" i="97"/>
  <c r="T12" i="97"/>
  <c r="U12" i="97"/>
  <c r="V12" i="97"/>
  <c r="W12" i="97"/>
  <c r="X12" i="97"/>
  <c r="Y12" i="97"/>
  <c r="Z12" i="97"/>
  <c r="AA12" i="97"/>
  <c r="AB12" i="97"/>
  <c r="AC12" i="97"/>
  <c r="AD12" i="97"/>
  <c r="AE12" i="97"/>
  <c r="AF12" i="97"/>
  <c r="AG12" i="97"/>
  <c r="AH12" i="97"/>
  <c r="AI12" i="97"/>
  <c r="AJ12" i="97"/>
  <c r="AK12" i="97"/>
  <c r="AL12" i="97"/>
  <c r="AM12" i="97"/>
  <c r="AN12" i="97"/>
  <c r="F13" i="97"/>
  <c r="G13" i="97"/>
  <c r="H13" i="97"/>
  <c r="I13" i="97"/>
  <c r="J13" i="97"/>
  <c r="K13" i="97"/>
  <c r="L13" i="97"/>
  <c r="M13" i="97"/>
  <c r="N13" i="97"/>
  <c r="O13" i="97"/>
  <c r="P13" i="97"/>
  <c r="Q13" i="97"/>
  <c r="R13" i="97"/>
  <c r="S13" i="97"/>
  <c r="T13" i="97"/>
  <c r="U13" i="97"/>
  <c r="V13" i="97"/>
  <c r="W13" i="97"/>
  <c r="X13" i="97"/>
  <c r="Y13" i="97"/>
  <c r="Z13" i="97"/>
  <c r="AA13" i="97"/>
  <c r="AB13" i="97"/>
  <c r="AC13" i="97"/>
  <c r="AD13" i="97"/>
  <c r="AE13" i="97"/>
  <c r="AF13" i="97"/>
  <c r="AG13" i="97"/>
  <c r="AH13" i="97"/>
  <c r="AI13" i="97"/>
  <c r="AJ13" i="97"/>
  <c r="AK13" i="97"/>
  <c r="AL13" i="97"/>
  <c r="AM13" i="97"/>
  <c r="AN13" i="97"/>
  <c r="F14" i="97"/>
  <c r="G14" i="97"/>
  <c r="H14" i="97"/>
  <c r="I14" i="97"/>
  <c r="J14" i="97"/>
  <c r="K14" i="97"/>
  <c r="L14" i="97"/>
  <c r="M14" i="97"/>
  <c r="N14" i="97"/>
  <c r="O14" i="97"/>
  <c r="P14" i="97"/>
  <c r="Q14" i="97"/>
  <c r="R14" i="97"/>
  <c r="S14" i="97"/>
  <c r="T14" i="97"/>
  <c r="U14" i="97"/>
  <c r="V14" i="97"/>
  <c r="W14" i="97"/>
  <c r="X14" i="97"/>
  <c r="Y14" i="97"/>
  <c r="Z14" i="97"/>
  <c r="AA14" i="97"/>
  <c r="AB14" i="97"/>
  <c r="AC14" i="97"/>
  <c r="AD14" i="97"/>
  <c r="AE14" i="97"/>
  <c r="AF14" i="97"/>
  <c r="AG14" i="97"/>
  <c r="AH14" i="97"/>
  <c r="AI14" i="97"/>
  <c r="AJ14" i="97"/>
  <c r="AK14" i="97"/>
  <c r="AL14" i="97"/>
  <c r="AM14" i="97"/>
  <c r="AN14" i="97"/>
  <c r="F15" i="97"/>
  <c r="G15" i="97"/>
  <c r="H15" i="97"/>
  <c r="I15" i="97"/>
  <c r="J15" i="97"/>
  <c r="K15" i="97"/>
  <c r="L15" i="97"/>
  <c r="M15" i="97"/>
  <c r="N15" i="97"/>
  <c r="O15" i="97"/>
  <c r="P15" i="97"/>
  <c r="Q15" i="97"/>
  <c r="R15" i="97"/>
  <c r="S15" i="97"/>
  <c r="T15" i="97"/>
  <c r="U15" i="97"/>
  <c r="V15" i="97"/>
  <c r="W15" i="97"/>
  <c r="X15" i="97"/>
  <c r="Y15" i="97"/>
  <c r="Z15" i="97"/>
  <c r="AA15" i="97"/>
  <c r="AB15" i="97"/>
  <c r="AC15" i="97"/>
  <c r="AD15" i="97"/>
  <c r="AE15" i="97"/>
  <c r="AF15" i="97"/>
  <c r="AG15" i="97"/>
  <c r="AH15" i="97"/>
  <c r="AI15" i="97"/>
  <c r="AJ15" i="97"/>
  <c r="AK15" i="97"/>
  <c r="AL15" i="97"/>
  <c r="AM15" i="97"/>
  <c r="AN15" i="97"/>
  <c r="F16" i="97"/>
  <c r="G16" i="97"/>
  <c r="H16" i="97"/>
  <c r="I16" i="97"/>
  <c r="J16" i="97"/>
  <c r="K16" i="97"/>
  <c r="L16" i="97"/>
  <c r="M16" i="97"/>
  <c r="N16" i="97"/>
  <c r="O16" i="97"/>
  <c r="P16" i="97"/>
  <c r="Q16" i="97"/>
  <c r="R16" i="97"/>
  <c r="S16" i="97"/>
  <c r="T16" i="97"/>
  <c r="U16" i="97"/>
  <c r="V16" i="97"/>
  <c r="W16" i="97"/>
  <c r="X16" i="97"/>
  <c r="Y16" i="97"/>
  <c r="Z16" i="97"/>
  <c r="AA16" i="97"/>
  <c r="AB16" i="97"/>
  <c r="AC16" i="97"/>
  <c r="AD16" i="97"/>
  <c r="AE16" i="97"/>
  <c r="AF16" i="97"/>
  <c r="AG16" i="97"/>
  <c r="AH16" i="97"/>
  <c r="AI16" i="97"/>
  <c r="AJ16" i="97"/>
  <c r="AK16" i="97"/>
  <c r="AL16" i="97"/>
  <c r="AM16" i="97"/>
  <c r="AN16" i="97"/>
  <c r="F17" i="97"/>
  <c r="G17" i="97"/>
  <c r="H17" i="97"/>
  <c r="I17" i="97"/>
  <c r="J17" i="97"/>
  <c r="K17" i="97"/>
  <c r="L17" i="97"/>
  <c r="M17" i="97"/>
  <c r="N17" i="97"/>
  <c r="O17" i="97"/>
  <c r="P17" i="97"/>
  <c r="Q17" i="97"/>
  <c r="R17" i="97"/>
  <c r="S17" i="97"/>
  <c r="T17" i="97"/>
  <c r="U17" i="97"/>
  <c r="V17" i="97"/>
  <c r="W17" i="97"/>
  <c r="X17" i="97"/>
  <c r="Y17" i="97"/>
  <c r="Z17" i="97"/>
  <c r="AA17" i="97"/>
  <c r="AB17" i="97"/>
  <c r="AC17" i="97"/>
  <c r="AD17" i="97"/>
  <c r="AE17" i="97"/>
  <c r="AF17" i="97"/>
  <c r="AG17" i="97"/>
  <c r="AH17" i="97"/>
  <c r="AI17" i="97"/>
  <c r="AJ17" i="97"/>
  <c r="AK17" i="97"/>
  <c r="AL17" i="97"/>
  <c r="AM17" i="97"/>
  <c r="AN17" i="97"/>
  <c r="F18" i="97"/>
  <c r="G18" i="97"/>
  <c r="H18" i="97"/>
  <c r="I18" i="97"/>
  <c r="J18" i="97"/>
  <c r="K18" i="97"/>
  <c r="L18" i="97"/>
  <c r="M18" i="97"/>
  <c r="N18" i="97"/>
  <c r="O18" i="97"/>
  <c r="P18" i="97"/>
  <c r="Q18" i="97"/>
  <c r="R18" i="97"/>
  <c r="S18" i="97"/>
  <c r="T18" i="97"/>
  <c r="U18" i="97"/>
  <c r="V18" i="97"/>
  <c r="W18" i="97"/>
  <c r="X18" i="97"/>
  <c r="Y18" i="97"/>
  <c r="Z18" i="97"/>
  <c r="AA18" i="97"/>
  <c r="AB18" i="97"/>
  <c r="AC18" i="97"/>
  <c r="AD18" i="97"/>
  <c r="AE18" i="97"/>
  <c r="AF18" i="97"/>
  <c r="AG18" i="97"/>
  <c r="AH18" i="97"/>
  <c r="AI18" i="97"/>
  <c r="AJ18" i="97"/>
  <c r="AK18" i="97"/>
  <c r="AL18" i="97"/>
  <c r="AM18" i="97"/>
  <c r="AN18" i="97"/>
  <c r="F19" i="97"/>
  <c r="G19" i="97"/>
  <c r="H19" i="97"/>
  <c r="I19" i="97"/>
  <c r="J19" i="97"/>
  <c r="K19" i="97"/>
  <c r="L19" i="97"/>
  <c r="M19" i="97"/>
  <c r="N19" i="97"/>
  <c r="O19" i="97"/>
  <c r="P19" i="97"/>
  <c r="Q19" i="97"/>
  <c r="R19" i="97"/>
  <c r="S19" i="97"/>
  <c r="T19" i="97"/>
  <c r="U19" i="97"/>
  <c r="V19" i="97"/>
  <c r="W19" i="97"/>
  <c r="X19" i="97"/>
  <c r="Y19" i="97"/>
  <c r="Z19" i="97"/>
  <c r="AA19" i="97"/>
  <c r="AB19" i="97"/>
  <c r="AC19" i="97"/>
  <c r="AD19" i="97"/>
  <c r="AE19" i="97"/>
  <c r="AF19" i="97"/>
  <c r="AG19" i="97"/>
  <c r="AH19" i="97"/>
  <c r="AI19" i="97"/>
  <c r="AJ19" i="97"/>
  <c r="AK19" i="97"/>
  <c r="AL19" i="97"/>
  <c r="AM19" i="97"/>
  <c r="AN19" i="97"/>
  <c r="F20" i="97"/>
  <c r="G20" i="97"/>
  <c r="H20" i="97"/>
  <c r="I20" i="97"/>
  <c r="J20" i="97"/>
  <c r="K20" i="97"/>
  <c r="L20" i="97"/>
  <c r="M20" i="97"/>
  <c r="N20" i="97"/>
  <c r="O20" i="97"/>
  <c r="P20" i="97"/>
  <c r="Q20" i="97"/>
  <c r="R20" i="97"/>
  <c r="S20" i="97"/>
  <c r="T20" i="97"/>
  <c r="U20" i="97"/>
  <c r="V20" i="97"/>
  <c r="W20" i="97"/>
  <c r="X20" i="97"/>
  <c r="Y20" i="97"/>
  <c r="Z20" i="97"/>
  <c r="AA20" i="97"/>
  <c r="AB20" i="97"/>
  <c r="AC20" i="97"/>
  <c r="AD20" i="97"/>
  <c r="AE20" i="97"/>
  <c r="AF20" i="97"/>
  <c r="AG20" i="97"/>
  <c r="AH20" i="97"/>
  <c r="AI20" i="97"/>
  <c r="AJ20" i="97"/>
  <c r="AK20" i="97"/>
  <c r="AL20" i="97"/>
  <c r="AM20" i="97"/>
  <c r="AN20" i="97"/>
  <c r="F21" i="97"/>
  <c r="G21" i="97"/>
  <c r="H21" i="97"/>
  <c r="I21" i="97"/>
  <c r="J21" i="97"/>
  <c r="K21" i="97"/>
  <c r="L21" i="97"/>
  <c r="M21" i="97"/>
  <c r="N21" i="97"/>
  <c r="O21" i="97"/>
  <c r="P21" i="97"/>
  <c r="Q21" i="97"/>
  <c r="R21" i="97"/>
  <c r="S21" i="97"/>
  <c r="T21" i="97"/>
  <c r="U21" i="97"/>
  <c r="V21" i="97"/>
  <c r="W21" i="97"/>
  <c r="X21" i="97"/>
  <c r="Y21" i="97"/>
  <c r="Z21" i="97"/>
  <c r="AA21" i="97"/>
  <c r="AB21" i="97"/>
  <c r="AC21" i="97"/>
  <c r="AD21" i="97"/>
  <c r="AE21" i="97"/>
  <c r="AF21" i="97"/>
  <c r="AG21" i="97"/>
  <c r="AH21" i="97"/>
  <c r="AI21" i="97"/>
  <c r="AJ21" i="97"/>
  <c r="AK21" i="97"/>
  <c r="AL21" i="97"/>
  <c r="AM21" i="97"/>
  <c r="AN21" i="97"/>
  <c r="F22" i="97"/>
  <c r="G22" i="97"/>
  <c r="H22" i="97"/>
  <c r="I22" i="97"/>
  <c r="J22" i="97"/>
  <c r="K22" i="97"/>
  <c r="L22" i="97"/>
  <c r="M22" i="97"/>
  <c r="N22" i="97"/>
  <c r="O22" i="97"/>
  <c r="P22" i="97"/>
  <c r="Q22" i="97"/>
  <c r="R22" i="97"/>
  <c r="S22" i="97"/>
  <c r="T22" i="97"/>
  <c r="U22" i="97"/>
  <c r="V22" i="97"/>
  <c r="W22" i="97"/>
  <c r="X22" i="97"/>
  <c r="Y22" i="97"/>
  <c r="Z22" i="97"/>
  <c r="AA22" i="97"/>
  <c r="AB22" i="97"/>
  <c r="AC22" i="97"/>
  <c r="AD22" i="97"/>
  <c r="AE22" i="97"/>
  <c r="AF22" i="97"/>
  <c r="AG22" i="97"/>
  <c r="AH22" i="97"/>
  <c r="AI22" i="97"/>
  <c r="AJ22" i="97"/>
  <c r="AK22" i="97"/>
  <c r="AL22" i="97"/>
  <c r="AM22" i="97"/>
  <c r="AN22" i="97"/>
  <c r="F23" i="97"/>
  <c r="G23" i="97"/>
  <c r="H23" i="97"/>
  <c r="I23" i="97"/>
  <c r="J23" i="97"/>
  <c r="K23" i="97"/>
  <c r="L23" i="97"/>
  <c r="M23" i="97"/>
  <c r="N23" i="97"/>
  <c r="O23" i="97"/>
  <c r="P23" i="97"/>
  <c r="Q23" i="97"/>
  <c r="R23" i="97"/>
  <c r="S23" i="97"/>
  <c r="T23" i="97"/>
  <c r="U23" i="97"/>
  <c r="V23" i="97"/>
  <c r="W23" i="97"/>
  <c r="X23" i="97"/>
  <c r="Y23" i="97"/>
  <c r="Z23" i="97"/>
  <c r="AA23" i="97"/>
  <c r="AB23" i="97"/>
  <c r="AC23" i="97"/>
  <c r="AD23" i="97"/>
  <c r="AE23" i="97"/>
  <c r="AF23" i="97"/>
  <c r="AG23" i="97"/>
  <c r="AH23" i="97"/>
  <c r="AI23" i="97"/>
  <c r="AJ23" i="97"/>
  <c r="AK23" i="97"/>
  <c r="AL23" i="97"/>
  <c r="AM23" i="97"/>
  <c r="AN23" i="97"/>
  <c r="F24" i="97"/>
  <c r="G24" i="97"/>
  <c r="H24" i="97"/>
  <c r="I24" i="97"/>
  <c r="J24" i="97"/>
  <c r="K24" i="97"/>
  <c r="L24" i="97"/>
  <c r="M24" i="97"/>
  <c r="N24" i="97"/>
  <c r="O24" i="97"/>
  <c r="P24" i="97"/>
  <c r="Q24" i="97"/>
  <c r="R24" i="97"/>
  <c r="S24" i="97"/>
  <c r="T24" i="97"/>
  <c r="U24" i="97"/>
  <c r="V24" i="97"/>
  <c r="W24" i="97"/>
  <c r="X24" i="97"/>
  <c r="Y24" i="97"/>
  <c r="Z24" i="97"/>
  <c r="AA24" i="97"/>
  <c r="AB24" i="97"/>
  <c r="AC24" i="97"/>
  <c r="AD24" i="97"/>
  <c r="AE24" i="97"/>
  <c r="AF24" i="97"/>
  <c r="AG24" i="97"/>
  <c r="AH24" i="97"/>
  <c r="AI24" i="97"/>
  <c r="AJ24" i="97"/>
  <c r="AK24" i="97"/>
  <c r="AL24" i="97"/>
  <c r="AM24" i="97"/>
  <c r="AN24" i="97"/>
  <c r="F25" i="97"/>
  <c r="G25" i="97"/>
  <c r="H25" i="97"/>
  <c r="I25" i="97"/>
  <c r="J25" i="97"/>
  <c r="K25" i="97"/>
  <c r="L25" i="97"/>
  <c r="M25" i="97"/>
  <c r="N25" i="97"/>
  <c r="O25" i="97"/>
  <c r="P25" i="97"/>
  <c r="Q25" i="97"/>
  <c r="R25" i="97"/>
  <c r="S25" i="97"/>
  <c r="T25" i="97"/>
  <c r="U25" i="97"/>
  <c r="V25" i="97"/>
  <c r="W25" i="97"/>
  <c r="X25" i="97"/>
  <c r="Y25" i="97"/>
  <c r="Z25" i="97"/>
  <c r="AA25" i="97"/>
  <c r="AB25" i="97"/>
  <c r="AC25" i="97"/>
  <c r="AD25" i="97"/>
  <c r="AE25" i="97"/>
  <c r="AF25" i="97"/>
  <c r="AG25" i="97"/>
  <c r="AH25" i="97"/>
  <c r="AI25" i="97"/>
  <c r="AJ25" i="97"/>
  <c r="AK25" i="97"/>
  <c r="AL25" i="97"/>
  <c r="AM25" i="97"/>
  <c r="AN25" i="97"/>
  <c r="F26" i="97"/>
  <c r="G26" i="97"/>
  <c r="H26" i="97"/>
  <c r="I26" i="97"/>
  <c r="J26" i="97"/>
  <c r="K26" i="97"/>
  <c r="L26" i="97"/>
  <c r="M26" i="97"/>
  <c r="N26" i="97"/>
  <c r="O26" i="97"/>
  <c r="P26" i="97"/>
  <c r="Q26" i="97"/>
  <c r="R26" i="97"/>
  <c r="S26" i="97"/>
  <c r="T26" i="97"/>
  <c r="U26" i="97"/>
  <c r="V26" i="97"/>
  <c r="W26" i="97"/>
  <c r="X26" i="97"/>
  <c r="Y26" i="97"/>
  <c r="Z26" i="97"/>
  <c r="AA26" i="97"/>
  <c r="AB26" i="97"/>
  <c r="AC26" i="97"/>
  <c r="AD26" i="97"/>
  <c r="AE26" i="97"/>
  <c r="AF26" i="97"/>
  <c r="AG26" i="97"/>
  <c r="AH26" i="97"/>
  <c r="AI26" i="97"/>
  <c r="AJ26" i="97"/>
  <c r="AK26" i="97"/>
  <c r="AL26" i="97"/>
  <c r="AM26" i="97"/>
  <c r="AN26" i="97"/>
  <c r="F27" i="97"/>
  <c r="G27" i="97"/>
  <c r="H27" i="97"/>
  <c r="I27" i="97"/>
  <c r="J27" i="97"/>
  <c r="K27" i="97"/>
  <c r="L27" i="97"/>
  <c r="M27" i="97"/>
  <c r="N27" i="97"/>
  <c r="O27" i="97"/>
  <c r="P27" i="97"/>
  <c r="Q27" i="97"/>
  <c r="R27" i="97"/>
  <c r="S27" i="97"/>
  <c r="T27" i="97"/>
  <c r="U27" i="97"/>
  <c r="V27" i="97"/>
  <c r="W27" i="97"/>
  <c r="X27" i="97"/>
  <c r="Y27" i="97"/>
  <c r="Z27" i="97"/>
  <c r="AA27" i="97"/>
  <c r="AB27" i="97"/>
  <c r="AC27" i="97"/>
  <c r="AD27" i="97"/>
  <c r="AE27" i="97"/>
  <c r="AF27" i="97"/>
  <c r="AG27" i="97"/>
  <c r="AH27" i="97"/>
  <c r="AI27" i="97"/>
  <c r="AJ27" i="97"/>
  <c r="AK27" i="97"/>
  <c r="AL27" i="97"/>
  <c r="AM27" i="97"/>
  <c r="AN27" i="97"/>
  <c r="F28" i="97"/>
  <c r="G28" i="97"/>
  <c r="H28" i="97"/>
  <c r="I28" i="97"/>
  <c r="J28" i="97"/>
  <c r="K28" i="97"/>
  <c r="L28" i="97"/>
  <c r="M28" i="97"/>
  <c r="N28" i="97"/>
  <c r="O28" i="97"/>
  <c r="P28" i="97"/>
  <c r="Q28" i="97"/>
  <c r="R28" i="97"/>
  <c r="S28" i="97"/>
  <c r="T28" i="97"/>
  <c r="U28" i="97"/>
  <c r="V28" i="97"/>
  <c r="W28" i="97"/>
  <c r="X28" i="97"/>
  <c r="Y28" i="97"/>
  <c r="Z28" i="97"/>
  <c r="AA28" i="97"/>
  <c r="AB28" i="97"/>
  <c r="AC28" i="97"/>
  <c r="AD28" i="97"/>
  <c r="AE28" i="97"/>
  <c r="AF28" i="97"/>
  <c r="AG28" i="97"/>
  <c r="AH28" i="97"/>
  <c r="AI28" i="97"/>
  <c r="AJ28" i="97"/>
  <c r="AK28" i="97"/>
  <c r="AL28" i="97"/>
  <c r="AM28" i="97"/>
  <c r="AN28" i="97"/>
  <c r="F29" i="97"/>
  <c r="G29" i="97"/>
  <c r="H29" i="97"/>
  <c r="I29" i="97"/>
  <c r="J29" i="97"/>
  <c r="K29" i="97"/>
  <c r="L29" i="97"/>
  <c r="M29" i="97"/>
  <c r="N29" i="97"/>
  <c r="O29" i="97"/>
  <c r="P29" i="97"/>
  <c r="Q29" i="97"/>
  <c r="R29" i="97"/>
  <c r="S29" i="97"/>
  <c r="T29" i="97"/>
  <c r="U29" i="97"/>
  <c r="V29" i="97"/>
  <c r="W29" i="97"/>
  <c r="X29" i="97"/>
  <c r="Y29" i="97"/>
  <c r="Z29" i="97"/>
  <c r="AA29" i="97"/>
  <c r="AB29" i="97"/>
  <c r="AC29" i="97"/>
  <c r="AD29" i="97"/>
  <c r="AE29" i="97"/>
  <c r="AF29" i="97"/>
  <c r="AG29" i="97"/>
  <c r="AH29" i="97"/>
  <c r="AI29" i="97"/>
  <c r="AJ29" i="97"/>
  <c r="AK29" i="97"/>
  <c r="AL29" i="97"/>
  <c r="AM29" i="97"/>
  <c r="AN29" i="97"/>
  <c r="F30" i="97"/>
  <c r="G30" i="97"/>
  <c r="H30" i="97"/>
  <c r="I30" i="97"/>
  <c r="J30" i="97"/>
  <c r="K30" i="97"/>
  <c r="L30" i="97"/>
  <c r="M30" i="97"/>
  <c r="N30" i="97"/>
  <c r="O30" i="97"/>
  <c r="P30" i="97"/>
  <c r="Q30" i="97"/>
  <c r="R30" i="97"/>
  <c r="S30" i="97"/>
  <c r="T30" i="97"/>
  <c r="U30" i="97"/>
  <c r="V30" i="97"/>
  <c r="W30" i="97"/>
  <c r="X30" i="97"/>
  <c r="Y30" i="97"/>
  <c r="Z30" i="97"/>
  <c r="AA30" i="97"/>
  <c r="AB30" i="97"/>
  <c r="AC30" i="97"/>
  <c r="AD30" i="97"/>
  <c r="AE30" i="97"/>
  <c r="AF30" i="97"/>
  <c r="AG30" i="97"/>
  <c r="AH30" i="97"/>
  <c r="AI30" i="97"/>
  <c r="AJ30" i="97"/>
  <c r="AK30" i="97"/>
  <c r="AL30" i="97"/>
  <c r="AM30" i="97"/>
  <c r="AN30" i="97"/>
  <c r="F31" i="97"/>
  <c r="G31" i="97"/>
  <c r="H31" i="97"/>
  <c r="I31" i="97"/>
  <c r="J31" i="97"/>
  <c r="K31" i="97"/>
  <c r="L31" i="97"/>
  <c r="M31" i="97"/>
  <c r="N31" i="97"/>
  <c r="O31" i="97"/>
  <c r="P31" i="97"/>
  <c r="Q31" i="97"/>
  <c r="R31" i="97"/>
  <c r="S31" i="97"/>
  <c r="T31" i="97"/>
  <c r="U31" i="97"/>
  <c r="V31" i="97"/>
  <c r="W31" i="97"/>
  <c r="X31" i="97"/>
  <c r="Y31" i="97"/>
  <c r="Z31" i="97"/>
  <c r="AA31" i="97"/>
  <c r="AB31" i="97"/>
  <c r="AC31" i="97"/>
  <c r="AD31" i="97"/>
  <c r="AE31" i="97"/>
  <c r="AF31" i="97"/>
  <c r="AG31" i="97"/>
  <c r="AH31" i="97"/>
  <c r="AI31" i="97"/>
  <c r="AJ31" i="97"/>
  <c r="AK31" i="97"/>
  <c r="AL31" i="97"/>
  <c r="AM31" i="97"/>
  <c r="AN31" i="97"/>
  <c r="F32" i="97"/>
  <c r="G32" i="97"/>
  <c r="H32" i="97"/>
  <c r="I32" i="97"/>
  <c r="J32" i="97"/>
  <c r="K32" i="97"/>
  <c r="L32" i="97"/>
  <c r="M32" i="97"/>
  <c r="N32" i="97"/>
  <c r="O32" i="97"/>
  <c r="P32" i="97"/>
  <c r="Q32" i="97"/>
  <c r="R32" i="97"/>
  <c r="S32" i="97"/>
  <c r="T32" i="97"/>
  <c r="U32" i="97"/>
  <c r="V32" i="97"/>
  <c r="W32" i="97"/>
  <c r="X32" i="97"/>
  <c r="Y32" i="97"/>
  <c r="Z32" i="97"/>
  <c r="AA32" i="97"/>
  <c r="AB32" i="97"/>
  <c r="AC32" i="97"/>
  <c r="AD32" i="97"/>
  <c r="AE32" i="97"/>
  <c r="AF32" i="97"/>
  <c r="AG32" i="97"/>
  <c r="AH32" i="97"/>
  <c r="AI32" i="97"/>
  <c r="AJ32" i="97"/>
  <c r="AK32" i="97"/>
  <c r="AL32" i="97"/>
  <c r="AM32" i="97"/>
  <c r="AN32" i="97"/>
  <c r="F33" i="97"/>
  <c r="G33" i="97"/>
  <c r="H33" i="97"/>
  <c r="I33" i="97"/>
  <c r="J33" i="97"/>
  <c r="K33" i="97"/>
  <c r="L33" i="97"/>
  <c r="M33" i="97"/>
  <c r="N33" i="97"/>
  <c r="O33" i="97"/>
  <c r="P33" i="97"/>
  <c r="Q33" i="97"/>
  <c r="R33" i="97"/>
  <c r="S33" i="97"/>
  <c r="T33" i="97"/>
  <c r="U33" i="97"/>
  <c r="V33" i="97"/>
  <c r="W33" i="97"/>
  <c r="X33" i="97"/>
  <c r="Y33" i="97"/>
  <c r="Z33" i="97"/>
  <c r="AA33" i="97"/>
  <c r="AB33" i="97"/>
  <c r="AC33" i="97"/>
  <c r="AD33" i="97"/>
  <c r="AE33" i="97"/>
  <c r="AF33" i="97"/>
  <c r="AG33" i="97"/>
  <c r="AH33" i="97"/>
  <c r="AI33" i="97"/>
  <c r="AJ33" i="97"/>
  <c r="AK33" i="97"/>
  <c r="AL33" i="97"/>
  <c r="AM33" i="97"/>
  <c r="AN33" i="97"/>
  <c r="F34" i="97"/>
  <c r="G34" i="97"/>
  <c r="H34" i="97"/>
  <c r="I34" i="97"/>
  <c r="J34" i="97"/>
  <c r="K34" i="97"/>
  <c r="L34" i="97"/>
  <c r="M34" i="97"/>
  <c r="N34" i="97"/>
  <c r="O34" i="97"/>
  <c r="P34" i="97"/>
  <c r="Q34" i="97"/>
  <c r="R34" i="97"/>
  <c r="S34" i="97"/>
  <c r="T34" i="97"/>
  <c r="U34" i="97"/>
  <c r="V34" i="97"/>
  <c r="W34" i="97"/>
  <c r="X34" i="97"/>
  <c r="Y34" i="97"/>
  <c r="Z34" i="97"/>
  <c r="AA34" i="97"/>
  <c r="AB34" i="97"/>
  <c r="AC34" i="97"/>
  <c r="AD34" i="97"/>
  <c r="AE34" i="97"/>
  <c r="AF34" i="97"/>
  <c r="AG34" i="97"/>
  <c r="AH34" i="97"/>
  <c r="AI34" i="97"/>
  <c r="AJ34" i="97"/>
  <c r="AK34" i="97"/>
  <c r="AL34" i="97"/>
  <c r="AM34" i="97"/>
  <c r="AN34" i="97"/>
  <c r="F35" i="97"/>
  <c r="G35" i="97"/>
  <c r="H35" i="97"/>
  <c r="I35" i="97"/>
  <c r="J35" i="97"/>
  <c r="K35" i="97"/>
  <c r="L35" i="97"/>
  <c r="M35" i="97"/>
  <c r="N35" i="97"/>
  <c r="O35" i="97"/>
  <c r="P35" i="97"/>
  <c r="Q35" i="97"/>
  <c r="R35" i="97"/>
  <c r="S35" i="97"/>
  <c r="T35" i="97"/>
  <c r="U35" i="97"/>
  <c r="V35" i="97"/>
  <c r="W35" i="97"/>
  <c r="X35" i="97"/>
  <c r="Y35" i="97"/>
  <c r="Z35" i="97"/>
  <c r="AA35" i="97"/>
  <c r="AB35" i="97"/>
  <c r="AC35" i="97"/>
  <c r="AD35" i="97"/>
  <c r="AE35" i="97"/>
  <c r="AF35" i="97"/>
  <c r="AG35" i="97"/>
  <c r="AH35" i="97"/>
  <c r="AI35" i="97"/>
  <c r="AJ35" i="97"/>
  <c r="AK35" i="97"/>
  <c r="AL35" i="97"/>
  <c r="AM35" i="97"/>
  <c r="AN35" i="97"/>
  <c r="F36" i="97"/>
  <c r="G36" i="97"/>
  <c r="H36" i="97"/>
  <c r="I36" i="97"/>
  <c r="J36" i="97"/>
  <c r="K36" i="97"/>
  <c r="L36" i="97"/>
  <c r="M36" i="97"/>
  <c r="N36" i="97"/>
  <c r="O36" i="97"/>
  <c r="P36" i="97"/>
  <c r="Q36" i="97"/>
  <c r="R36" i="97"/>
  <c r="S36" i="97"/>
  <c r="T36" i="97"/>
  <c r="U36" i="97"/>
  <c r="V36" i="97"/>
  <c r="W36" i="97"/>
  <c r="X36" i="97"/>
  <c r="Y36" i="97"/>
  <c r="Z36" i="97"/>
  <c r="AA36" i="97"/>
  <c r="AB36" i="97"/>
  <c r="AC36" i="97"/>
  <c r="AD36" i="97"/>
  <c r="AE36" i="97"/>
  <c r="AF36" i="97"/>
  <c r="AG36" i="97"/>
  <c r="AH36" i="97"/>
  <c r="AI36" i="97"/>
  <c r="AJ36" i="97"/>
  <c r="AK36" i="97"/>
  <c r="AL36" i="97"/>
  <c r="AM36" i="97"/>
  <c r="AN36" i="97"/>
  <c r="F37" i="97"/>
  <c r="G37" i="97"/>
  <c r="H37" i="97"/>
  <c r="I37" i="97"/>
  <c r="J37" i="97"/>
  <c r="K37" i="97"/>
  <c r="L37" i="97"/>
  <c r="M37" i="97"/>
  <c r="N37" i="97"/>
  <c r="O37" i="97"/>
  <c r="P37" i="97"/>
  <c r="Q37" i="97"/>
  <c r="R37" i="97"/>
  <c r="S37" i="97"/>
  <c r="T37" i="97"/>
  <c r="U37" i="97"/>
  <c r="V37" i="97"/>
  <c r="W37" i="97"/>
  <c r="X37" i="97"/>
  <c r="Y37" i="97"/>
  <c r="Z37" i="97"/>
  <c r="AA37" i="97"/>
  <c r="AB37" i="97"/>
  <c r="AC37" i="97"/>
  <c r="AD37" i="97"/>
  <c r="AE37" i="97"/>
  <c r="AF37" i="97"/>
  <c r="AG37" i="97"/>
  <c r="AH37" i="97"/>
  <c r="AI37" i="97"/>
  <c r="AJ37" i="97"/>
  <c r="AK37" i="97"/>
  <c r="AL37" i="97"/>
  <c r="AM37" i="97"/>
  <c r="AN37" i="97"/>
  <c r="F38" i="97"/>
  <c r="G38" i="97"/>
  <c r="H38" i="97"/>
  <c r="I38" i="97"/>
  <c r="J38" i="97"/>
  <c r="K38" i="97"/>
  <c r="L38" i="97"/>
  <c r="M38" i="97"/>
  <c r="N38" i="97"/>
  <c r="O38" i="97"/>
  <c r="P38" i="97"/>
  <c r="Q38" i="97"/>
  <c r="R38" i="97"/>
  <c r="S38" i="97"/>
  <c r="T38" i="97"/>
  <c r="U38" i="97"/>
  <c r="V38" i="97"/>
  <c r="W38" i="97"/>
  <c r="X38" i="97"/>
  <c r="Y38" i="97"/>
  <c r="Z38" i="97"/>
  <c r="AA38" i="97"/>
  <c r="AB38" i="97"/>
  <c r="AC38" i="97"/>
  <c r="AD38" i="97"/>
  <c r="AE38" i="97"/>
  <c r="AF38" i="97"/>
  <c r="AG38" i="97"/>
  <c r="AH38" i="97"/>
  <c r="AI38" i="97"/>
  <c r="AJ38" i="97"/>
  <c r="AK38" i="97"/>
  <c r="AL38" i="97"/>
  <c r="AM38" i="97"/>
  <c r="AN38" i="97"/>
  <c r="F39" i="97"/>
  <c r="G39" i="97"/>
  <c r="H39" i="97"/>
  <c r="I39" i="97"/>
  <c r="J39" i="97"/>
  <c r="K39" i="97"/>
  <c r="L39" i="97"/>
  <c r="M39" i="97"/>
  <c r="N39" i="97"/>
  <c r="O39" i="97"/>
  <c r="P39" i="97"/>
  <c r="Q39" i="97"/>
  <c r="R39" i="97"/>
  <c r="S39" i="97"/>
  <c r="T39" i="97"/>
  <c r="U39" i="97"/>
  <c r="V39" i="97"/>
  <c r="W39" i="97"/>
  <c r="X39" i="97"/>
  <c r="Y39" i="97"/>
  <c r="Z39" i="97"/>
  <c r="AA39" i="97"/>
  <c r="AB39" i="97"/>
  <c r="AC39" i="97"/>
  <c r="AD39" i="97"/>
  <c r="AE39" i="97"/>
  <c r="AF39" i="97"/>
  <c r="AG39" i="97"/>
  <c r="AH39" i="97"/>
  <c r="AI39" i="97"/>
  <c r="AJ39" i="97"/>
  <c r="AK39" i="97"/>
  <c r="AL39" i="97"/>
  <c r="AM39" i="97"/>
  <c r="AN39" i="97"/>
  <c r="F40" i="97"/>
  <c r="G40" i="97"/>
  <c r="H40" i="97"/>
  <c r="I40" i="97"/>
  <c r="J40" i="97"/>
  <c r="K40" i="97"/>
  <c r="L40" i="97"/>
  <c r="M40" i="97"/>
  <c r="N40" i="97"/>
  <c r="O40" i="97"/>
  <c r="P40" i="97"/>
  <c r="Q40" i="97"/>
  <c r="R40" i="97"/>
  <c r="S40" i="97"/>
  <c r="T40" i="97"/>
  <c r="U40" i="97"/>
  <c r="V40" i="97"/>
  <c r="W40" i="97"/>
  <c r="X40" i="97"/>
  <c r="Y40" i="97"/>
  <c r="Z40" i="97"/>
  <c r="AA40" i="97"/>
  <c r="AB40" i="97"/>
  <c r="AC40" i="97"/>
  <c r="AD40" i="97"/>
  <c r="AE40" i="97"/>
  <c r="AF40" i="97"/>
  <c r="AG40" i="97"/>
  <c r="AH40" i="97"/>
  <c r="AI40" i="97"/>
  <c r="AJ40" i="97"/>
  <c r="AK40" i="97"/>
  <c r="AL40" i="97"/>
  <c r="AM40" i="97"/>
  <c r="AN40" i="97"/>
  <c r="F41" i="97"/>
  <c r="G41" i="97"/>
  <c r="H41" i="97"/>
  <c r="I41" i="97"/>
  <c r="J41" i="97"/>
  <c r="K41" i="97"/>
  <c r="L41" i="97"/>
  <c r="M41" i="97"/>
  <c r="N41" i="97"/>
  <c r="O41" i="97"/>
  <c r="P41" i="97"/>
  <c r="Q41" i="97"/>
  <c r="R41" i="97"/>
  <c r="S41" i="97"/>
  <c r="T41" i="97"/>
  <c r="U41" i="97"/>
  <c r="V41" i="97"/>
  <c r="W41" i="97"/>
  <c r="X41" i="97"/>
  <c r="Y41" i="97"/>
  <c r="Z41" i="97"/>
  <c r="AA41" i="97"/>
  <c r="AB41" i="97"/>
  <c r="AC41" i="97"/>
  <c r="AD41" i="97"/>
  <c r="AE41" i="97"/>
  <c r="AF41" i="97"/>
  <c r="AG41" i="97"/>
  <c r="AH41" i="97"/>
  <c r="AI41" i="97"/>
  <c r="AJ41" i="97"/>
  <c r="AK41" i="97"/>
  <c r="AL41" i="97"/>
  <c r="AM41" i="97"/>
  <c r="AN41" i="97"/>
  <c r="F42" i="97"/>
  <c r="G42" i="97"/>
  <c r="H42" i="97"/>
  <c r="I42" i="97"/>
  <c r="J42" i="97"/>
  <c r="K42" i="97"/>
  <c r="L42" i="97"/>
  <c r="M42" i="97"/>
  <c r="N42" i="97"/>
  <c r="O42" i="97"/>
  <c r="P42" i="97"/>
  <c r="Q42" i="97"/>
  <c r="R42" i="97"/>
  <c r="S42" i="97"/>
  <c r="T42" i="97"/>
  <c r="U42" i="97"/>
  <c r="V42" i="97"/>
  <c r="W42" i="97"/>
  <c r="X42" i="97"/>
  <c r="Y42" i="97"/>
  <c r="Z42" i="97"/>
  <c r="AA42" i="97"/>
  <c r="AB42" i="97"/>
  <c r="AC42" i="97"/>
  <c r="AD42" i="97"/>
  <c r="AE42" i="97"/>
  <c r="AF42" i="97"/>
  <c r="AG42" i="97"/>
  <c r="AH42" i="97"/>
  <c r="AI42" i="97"/>
  <c r="AJ42" i="97"/>
  <c r="AK42" i="97"/>
  <c r="AL42" i="97"/>
  <c r="AM42" i="97"/>
  <c r="AN42" i="97"/>
  <c r="F43" i="97"/>
  <c r="G43" i="97"/>
  <c r="H43" i="97"/>
  <c r="I43" i="97"/>
  <c r="J43" i="97"/>
  <c r="K43" i="97"/>
  <c r="L43" i="97"/>
  <c r="M43" i="97"/>
  <c r="N43" i="97"/>
  <c r="O43" i="97"/>
  <c r="P43" i="97"/>
  <c r="Q43" i="97"/>
  <c r="R43" i="97"/>
  <c r="S43" i="97"/>
  <c r="T43" i="97"/>
  <c r="U43" i="97"/>
  <c r="V43" i="97"/>
  <c r="W43" i="97"/>
  <c r="X43" i="97"/>
  <c r="Y43" i="97"/>
  <c r="Z43" i="97"/>
  <c r="AA43" i="97"/>
  <c r="AB43" i="97"/>
  <c r="AC43" i="97"/>
  <c r="AD43" i="97"/>
  <c r="AE43" i="97"/>
  <c r="AF43" i="97"/>
  <c r="AG43" i="97"/>
  <c r="AH43" i="97"/>
  <c r="AI43" i="97"/>
  <c r="AJ43" i="97"/>
  <c r="AK43" i="97"/>
  <c r="AL43" i="97"/>
  <c r="AM43" i="97"/>
  <c r="AN43" i="97"/>
  <c r="F44" i="97"/>
  <c r="G44" i="97"/>
  <c r="H44" i="97"/>
  <c r="I44" i="97"/>
  <c r="J44" i="97"/>
  <c r="K44" i="97"/>
  <c r="L44" i="97"/>
  <c r="M44" i="97"/>
  <c r="N44" i="97"/>
  <c r="O44" i="97"/>
  <c r="P44" i="97"/>
  <c r="Q44" i="97"/>
  <c r="R44" i="97"/>
  <c r="S44" i="97"/>
  <c r="T44" i="97"/>
  <c r="U44" i="97"/>
  <c r="V44" i="97"/>
  <c r="W44" i="97"/>
  <c r="X44" i="97"/>
  <c r="Y44" i="97"/>
  <c r="Z44" i="97"/>
  <c r="AA44" i="97"/>
  <c r="AB44" i="97"/>
  <c r="AC44" i="97"/>
  <c r="AD44" i="97"/>
  <c r="AE44" i="97"/>
  <c r="AF44" i="97"/>
  <c r="AG44" i="97"/>
  <c r="AH44" i="97"/>
  <c r="AI44" i="97"/>
  <c r="AJ44" i="97"/>
  <c r="AK44" i="97"/>
  <c r="AL44" i="97"/>
  <c r="AM44" i="97"/>
  <c r="AN44" i="97"/>
  <c r="F45" i="97"/>
  <c r="G45" i="97"/>
  <c r="H45" i="97"/>
  <c r="I45" i="97"/>
  <c r="J45" i="97"/>
  <c r="K45" i="97"/>
  <c r="L45" i="97"/>
  <c r="M45" i="97"/>
  <c r="N45" i="97"/>
  <c r="O45" i="97"/>
  <c r="P45" i="97"/>
  <c r="Q45" i="97"/>
  <c r="R45" i="97"/>
  <c r="S45" i="97"/>
  <c r="T45" i="97"/>
  <c r="U45" i="97"/>
  <c r="V45" i="97"/>
  <c r="W45" i="97"/>
  <c r="X45" i="97"/>
  <c r="Y45" i="97"/>
  <c r="Z45" i="97"/>
  <c r="AA45" i="97"/>
  <c r="AB45" i="97"/>
  <c r="AC45" i="97"/>
  <c r="AD45" i="97"/>
  <c r="AE45" i="97"/>
  <c r="AF45" i="97"/>
  <c r="AG45" i="97"/>
  <c r="AH45" i="97"/>
  <c r="AI45" i="97"/>
  <c r="AJ45" i="97"/>
  <c r="AK45" i="97"/>
  <c r="AL45" i="97"/>
  <c r="AM45" i="97"/>
  <c r="AN45" i="97"/>
  <c r="F46" i="97"/>
  <c r="G46" i="97"/>
  <c r="H46" i="97"/>
  <c r="I46" i="97"/>
  <c r="J46" i="97"/>
  <c r="K46" i="97"/>
  <c r="L46" i="97"/>
  <c r="M46" i="97"/>
  <c r="N46" i="97"/>
  <c r="O46" i="97"/>
  <c r="P46" i="97"/>
  <c r="Q46" i="97"/>
  <c r="R46" i="97"/>
  <c r="S46" i="97"/>
  <c r="T46" i="97"/>
  <c r="U46" i="97"/>
  <c r="V46" i="97"/>
  <c r="W46" i="97"/>
  <c r="X46" i="97"/>
  <c r="Y46" i="97"/>
  <c r="Z46" i="97"/>
  <c r="AA46" i="97"/>
  <c r="AB46" i="97"/>
  <c r="AC46" i="97"/>
  <c r="AD46" i="97"/>
  <c r="AE46" i="97"/>
  <c r="AF46" i="97"/>
  <c r="AG46" i="97"/>
  <c r="AH46" i="97"/>
  <c r="AI46" i="97"/>
  <c r="AJ46" i="97"/>
  <c r="AK46" i="97"/>
  <c r="AL46" i="97"/>
  <c r="AM46" i="97"/>
  <c r="AN46" i="97"/>
  <c r="F47" i="97"/>
  <c r="G47" i="97"/>
  <c r="H47" i="97"/>
  <c r="I47" i="97"/>
  <c r="J47" i="97"/>
  <c r="K47" i="97"/>
  <c r="L47" i="97"/>
  <c r="M47" i="97"/>
  <c r="N47" i="97"/>
  <c r="O47" i="97"/>
  <c r="P47" i="97"/>
  <c r="Q47" i="97"/>
  <c r="R47" i="97"/>
  <c r="S47" i="97"/>
  <c r="T47" i="97"/>
  <c r="U47" i="97"/>
  <c r="V47" i="97"/>
  <c r="W47" i="97"/>
  <c r="X47" i="97"/>
  <c r="Y47" i="97"/>
  <c r="Z47" i="97"/>
  <c r="AA47" i="97"/>
  <c r="AB47" i="97"/>
  <c r="AC47" i="97"/>
  <c r="AD47" i="97"/>
  <c r="AE47" i="97"/>
  <c r="AF47" i="97"/>
  <c r="AG47" i="97"/>
  <c r="AH47" i="97"/>
  <c r="AI47" i="97"/>
  <c r="AJ47" i="97"/>
  <c r="AK47" i="97"/>
  <c r="AL47" i="97"/>
  <c r="AM47" i="97"/>
  <c r="AN47" i="97"/>
  <c r="F48" i="97"/>
  <c r="G48" i="97"/>
  <c r="H48" i="97"/>
  <c r="I48" i="97"/>
  <c r="J48" i="97"/>
  <c r="K48" i="97"/>
  <c r="L48" i="97"/>
  <c r="M48" i="97"/>
  <c r="N48" i="97"/>
  <c r="O48" i="97"/>
  <c r="P48" i="97"/>
  <c r="Q48" i="97"/>
  <c r="R48" i="97"/>
  <c r="S48" i="97"/>
  <c r="T48" i="97"/>
  <c r="U48" i="97"/>
  <c r="V48" i="97"/>
  <c r="W48" i="97"/>
  <c r="X48" i="97"/>
  <c r="Y48" i="97"/>
  <c r="Z48" i="97"/>
  <c r="AA48" i="97"/>
  <c r="AB48" i="97"/>
  <c r="AC48" i="97"/>
  <c r="AD48" i="97"/>
  <c r="AE48" i="97"/>
  <c r="AF48" i="97"/>
  <c r="AG48" i="97"/>
  <c r="AH48" i="97"/>
  <c r="AI48" i="97"/>
  <c r="AJ48" i="97"/>
  <c r="AK48" i="97"/>
  <c r="AL48" i="97"/>
  <c r="AM48" i="97"/>
  <c r="AN48" i="97"/>
  <c r="F49" i="97"/>
  <c r="G49" i="97"/>
  <c r="H49" i="97"/>
  <c r="I49" i="97"/>
  <c r="J49" i="97"/>
  <c r="K49" i="97"/>
  <c r="L49" i="97"/>
  <c r="M49" i="97"/>
  <c r="N49" i="97"/>
  <c r="O49" i="97"/>
  <c r="P49" i="97"/>
  <c r="Q49" i="97"/>
  <c r="R49" i="97"/>
  <c r="S49" i="97"/>
  <c r="T49" i="97"/>
  <c r="U49" i="97"/>
  <c r="V49" i="97"/>
  <c r="W49" i="97"/>
  <c r="X49" i="97"/>
  <c r="Y49" i="97"/>
  <c r="Z49" i="97"/>
  <c r="AA49" i="97"/>
  <c r="AB49" i="97"/>
  <c r="AC49" i="97"/>
  <c r="AD49" i="97"/>
  <c r="AE49" i="97"/>
  <c r="AF49" i="97"/>
  <c r="AG49" i="97"/>
  <c r="AH49" i="97"/>
  <c r="AI49" i="97"/>
  <c r="AJ49" i="97"/>
  <c r="AK49" i="97"/>
  <c r="AL49" i="97"/>
  <c r="AM49" i="97"/>
  <c r="AN49" i="97"/>
  <c r="F50" i="97"/>
  <c r="G50" i="97"/>
  <c r="H50" i="97"/>
  <c r="I50" i="97"/>
  <c r="J50" i="97"/>
  <c r="K50" i="97"/>
  <c r="L50" i="97"/>
  <c r="M50" i="97"/>
  <c r="N50" i="97"/>
  <c r="O50" i="97"/>
  <c r="P50" i="97"/>
  <c r="Q50" i="97"/>
  <c r="R50" i="97"/>
  <c r="S50" i="97"/>
  <c r="T50" i="97"/>
  <c r="U50" i="97"/>
  <c r="V50" i="97"/>
  <c r="W50" i="97"/>
  <c r="X50" i="97"/>
  <c r="Y50" i="97"/>
  <c r="Z50" i="97"/>
  <c r="AA50" i="97"/>
  <c r="AB50" i="97"/>
  <c r="AC50" i="97"/>
  <c r="AD50" i="97"/>
  <c r="AE50" i="97"/>
  <c r="AF50" i="97"/>
  <c r="AG50" i="97"/>
  <c r="AH50" i="97"/>
  <c r="AI50" i="97"/>
  <c r="AJ50" i="97"/>
  <c r="AK50" i="97"/>
  <c r="AL50" i="97"/>
  <c r="AM50" i="97"/>
  <c r="AN50" i="97"/>
  <c r="F51" i="97"/>
  <c r="G51" i="97"/>
  <c r="H51" i="97"/>
  <c r="I51" i="97"/>
  <c r="J51" i="97"/>
  <c r="K51" i="97"/>
  <c r="L51" i="97"/>
  <c r="M51" i="97"/>
  <c r="N51" i="97"/>
  <c r="O51" i="97"/>
  <c r="P51" i="97"/>
  <c r="Q51" i="97"/>
  <c r="R51" i="97"/>
  <c r="S51" i="97"/>
  <c r="T51" i="97"/>
  <c r="U51" i="97"/>
  <c r="V51" i="97"/>
  <c r="W51" i="97"/>
  <c r="X51" i="97"/>
  <c r="Y51" i="97"/>
  <c r="Z51" i="97"/>
  <c r="AA51" i="97"/>
  <c r="AB51" i="97"/>
  <c r="AC51" i="97"/>
  <c r="AD51" i="97"/>
  <c r="AE51" i="97"/>
  <c r="AF51" i="97"/>
  <c r="AG51" i="97"/>
  <c r="AH51" i="97"/>
  <c r="AI51" i="97"/>
  <c r="AJ51" i="97"/>
  <c r="AK51" i="97"/>
  <c r="AL51" i="97"/>
  <c r="AM51" i="97"/>
  <c r="AN51" i="97"/>
  <c r="F52" i="97"/>
  <c r="G52" i="97"/>
  <c r="H52" i="97"/>
  <c r="I52" i="97"/>
  <c r="J52" i="97"/>
  <c r="K52" i="97"/>
  <c r="L52" i="97"/>
  <c r="M52" i="97"/>
  <c r="N52" i="97"/>
  <c r="O52" i="97"/>
  <c r="P52" i="97"/>
  <c r="Q52" i="97"/>
  <c r="R52" i="97"/>
  <c r="S52" i="97"/>
  <c r="T52" i="97"/>
  <c r="U52" i="97"/>
  <c r="V52" i="97"/>
  <c r="W52" i="97"/>
  <c r="X52" i="97"/>
  <c r="Y52" i="97"/>
  <c r="Z52" i="97"/>
  <c r="AA52" i="97"/>
  <c r="AB52" i="97"/>
  <c r="AC52" i="97"/>
  <c r="AD52" i="97"/>
  <c r="AE52" i="97"/>
  <c r="AF52" i="97"/>
  <c r="AG52" i="97"/>
  <c r="AH52" i="97"/>
  <c r="AI52" i="97"/>
  <c r="AJ52" i="97"/>
  <c r="AK52" i="97"/>
  <c r="AL52" i="97"/>
  <c r="AM52" i="97"/>
  <c r="AN52" i="97"/>
  <c r="F53" i="97"/>
  <c r="G53" i="97"/>
  <c r="H53" i="97"/>
  <c r="I53" i="97"/>
  <c r="J53" i="97"/>
  <c r="K53" i="97"/>
  <c r="L53" i="97"/>
  <c r="M53" i="97"/>
  <c r="N53" i="97"/>
  <c r="O53" i="97"/>
  <c r="P53" i="97"/>
  <c r="Q53" i="97"/>
  <c r="R53" i="97"/>
  <c r="S53" i="97"/>
  <c r="T53" i="97"/>
  <c r="U53" i="97"/>
  <c r="V53" i="97"/>
  <c r="W53" i="97"/>
  <c r="X53" i="97"/>
  <c r="Y53" i="97"/>
  <c r="Z53" i="97"/>
  <c r="AA53" i="97"/>
  <c r="AB53" i="97"/>
  <c r="AC53" i="97"/>
  <c r="AD53" i="97"/>
  <c r="AE53" i="97"/>
  <c r="AF53" i="97"/>
  <c r="AG53" i="97"/>
  <c r="AH53" i="97"/>
  <c r="AI53" i="97"/>
  <c r="AJ53" i="97"/>
  <c r="AK53" i="97"/>
  <c r="AL53" i="97"/>
  <c r="AM53" i="97"/>
  <c r="AN53" i="97"/>
  <c r="F54" i="97"/>
  <c r="G54" i="97"/>
  <c r="H54" i="97"/>
  <c r="I54" i="97"/>
  <c r="J54" i="97"/>
  <c r="K54" i="97"/>
  <c r="L54" i="97"/>
  <c r="M54" i="97"/>
  <c r="N54" i="97"/>
  <c r="O54" i="97"/>
  <c r="P54" i="97"/>
  <c r="Q54" i="97"/>
  <c r="R54" i="97"/>
  <c r="S54" i="97"/>
  <c r="T54" i="97"/>
  <c r="U54" i="97"/>
  <c r="V54" i="97"/>
  <c r="W54" i="97"/>
  <c r="X54" i="97"/>
  <c r="Y54" i="97"/>
  <c r="Z54" i="97"/>
  <c r="AA54" i="97"/>
  <c r="AB54" i="97"/>
  <c r="AC54" i="97"/>
  <c r="AD54" i="97"/>
  <c r="AE54" i="97"/>
  <c r="AF54" i="97"/>
  <c r="AG54" i="97"/>
  <c r="AH54" i="97"/>
  <c r="AI54" i="97"/>
  <c r="AJ54" i="97"/>
  <c r="AK54" i="97"/>
  <c r="AL54" i="97"/>
  <c r="AM54" i="97"/>
  <c r="AN54" i="97"/>
  <c r="F55" i="97"/>
  <c r="G55" i="97"/>
  <c r="H55" i="97"/>
  <c r="I55" i="97"/>
  <c r="J55" i="97"/>
  <c r="K55" i="97"/>
  <c r="L55" i="97"/>
  <c r="M55" i="97"/>
  <c r="N55" i="97"/>
  <c r="O55" i="97"/>
  <c r="P55" i="97"/>
  <c r="Q55" i="97"/>
  <c r="R55" i="97"/>
  <c r="S55" i="97"/>
  <c r="T55" i="97"/>
  <c r="U55" i="97"/>
  <c r="V55" i="97"/>
  <c r="W55" i="97"/>
  <c r="X55" i="97"/>
  <c r="Y55" i="97"/>
  <c r="Z55" i="97"/>
  <c r="AA55" i="97"/>
  <c r="AB55" i="97"/>
  <c r="AC55" i="97"/>
  <c r="AD55" i="97"/>
  <c r="AE55" i="97"/>
  <c r="AF55" i="97"/>
  <c r="AG55" i="97"/>
  <c r="AH55" i="97"/>
  <c r="AI55" i="97"/>
  <c r="AJ55" i="97"/>
  <c r="AK55" i="97"/>
  <c r="AL55" i="97"/>
  <c r="AM55" i="97"/>
  <c r="AN55" i="97"/>
  <c r="F56" i="97"/>
  <c r="G56" i="97"/>
  <c r="H56" i="97"/>
  <c r="I56" i="97"/>
  <c r="J56" i="97"/>
  <c r="K56" i="97"/>
  <c r="L56" i="97"/>
  <c r="M56" i="97"/>
  <c r="N56" i="97"/>
  <c r="O56" i="97"/>
  <c r="P56" i="97"/>
  <c r="Q56" i="97"/>
  <c r="R56" i="97"/>
  <c r="S56" i="97"/>
  <c r="T56" i="97"/>
  <c r="U56" i="97"/>
  <c r="V56" i="97"/>
  <c r="W56" i="97"/>
  <c r="X56" i="97"/>
  <c r="Y56" i="97"/>
  <c r="Z56" i="97"/>
  <c r="AA56" i="97"/>
  <c r="AB56" i="97"/>
  <c r="AC56" i="97"/>
  <c r="AD56" i="97"/>
  <c r="AE56" i="97"/>
  <c r="AF56" i="97"/>
  <c r="AG56" i="97"/>
  <c r="AH56" i="97"/>
  <c r="AI56" i="97"/>
  <c r="AJ56" i="97"/>
  <c r="AK56" i="97"/>
  <c r="AL56" i="97"/>
  <c r="AM56" i="97"/>
  <c r="AN56" i="97"/>
  <c r="F57" i="97"/>
  <c r="G57" i="97"/>
  <c r="H57" i="97"/>
  <c r="I57" i="97"/>
  <c r="J57" i="97"/>
  <c r="K57" i="97"/>
  <c r="L57" i="97"/>
  <c r="M57" i="97"/>
  <c r="N57" i="97"/>
  <c r="O57" i="97"/>
  <c r="P57" i="97"/>
  <c r="Q57" i="97"/>
  <c r="R57" i="97"/>
  <c r="S57" i="97"/>
  <c r="T57" i="97"/>
  <c r="U57" i="97"/>
  <c r="V57" i="97"/>
  <c r="W57" i="97"/>
  <c r="X57" i="97"/>
  <c r="Y57" i="97"/>
  <c r="Z57" i="97"/>
  <c r="AA57" i="97"/>
  <c r="AB57" i="97"/>
  <c r="AC57" i="97"/>
  <c r="AD57" i="97"/>
  <c r="AE57" i="97"/>
  <c r="AF57" i="97"/>
  <c r="AG57" i="97"/>
  <c r="AH57" i="97"/>
  <c r="AI57" i="97"/>
  <c r="AJ57" i="97"/>
  <c r="AK57" i="97"/>
  <c r="AL57" i="97"/>
  <c r="AM57" i="97"/>
  <c r="AN57" i="97"/>
  <c r="F58" i="97"/>
  <c r="G58" i="97"/>
  <c r="H58" i="97"/>
  <c r="I58" i="97"/>
  <c r="J58" i="97"/>
  <c r="K58" i="97"/>
  <c r="L58" i="97"/>
  <c r="M58" i="97"/>
  <c r="N58" i="97"/>
  <c r="O58" i="97"/>
  <c r="P58" i="97"/>
  <c r="Q58" i="97"/>
  <c r="R58" i="97"/>
  <c r="S58" i="97"/>
  <c r="T58" i="97"/>
  <c r="U58" i="97"/>
  <c r="V58" i="97"/>
  <c r="W58" i="97"/>
  <c r="X58" i="97"/>
  <c r="Y58" i="97"/>
  <c r="Z58" i="97"/>
  <c r="AA58" i="97"/>
  <c r="AB58" i="97"/>
  <c r="AC58" i="97"/>
  <c r="AD58" i="97"/>
  <c r="AE58" i="97"/>
  <c r="AF58" i="97"/>
  <c r="AG58" i="97"/>
  <c r="AH58" i="97"/>
  <c r="AI58" i="97"/>
  <c r="AJ58" i="97"/>
  <c r="AK58" i="97"/>
  <c r="AL58" i="97"/>
  <c r="AM58" i="97"/>
  <c r="AN58" i="97"/>
  <c r="F59" i="97"/>
  <c r="G59" i="97"/>
  <c r="H59" i="97"/>
  <c r="I59" i="97"/>
  <c r="J59" i="97"/>
  <c r="K59" i="97"/>
  <c r="L59" i="97"/>
  <c r="M59" i="97"/>
  <c r="N59" i="97"/>
  <c r="O59" i="97"/>
  <c r="P59" i="97"/>
  <c r="Q59" i="97"/>
  <c r="R59" i="97"/>
  <c r="S59" i="97"/>
  <c r="T59" i="97"/>
  <c r="U59" i="97"/>
  <c r="V59" i="97"/>
  <c r="W59" i="97"/>
  <c r="X59" i="97"/>
  <c r="Y59" i="97"/>
  <c r="Z59" i="97"/>
  <c r="AA59" i="97"/>
  <c r="AB59" i="97"/>
  <c r="AC59" i="97"/>
  <c r="AD59" i="97"/>
  <c r="AE59" i="97"/>
  <c r="AF59" i="97"/>
  <c r="AG59" i="97"/>
  <c r="AH59" i="97"/>
  <c r="AI59" i="97"/>
  <c r="AJ59" i="97"/>
  <c r="AK59" i="97"/>
  <c r="AL59" i="97"/>
  <c r="AM59" i="97"/>
  <c r="AN59" i="97"/>
  <c r="F60" i="97"/>
  <c r="G60" i="97"/>
  <c r="H60" i="97"/>
  <c r="I60" i="97"/>
  <c r="J60" i="97"/>
  <c r="K60" i="97"/>
  <c r="L60" i="97"/>
  <c r="M60" i="97"/>
  <c r="N60" i="97"/>
  <c r="O60" i="97"/>
  <c r="P60" i="97"/>
  <c r="Q60" i="97"/>
  <c r="R60" i="97"/>
  <c r="S60" i="97"/>
  <c r="T60" i="97"/>
  <c r="U60" i="97"/>
  <c r="V60" i="97"/>
  <c r="W60" i="97"/>
  <c r="X60" i="97"/>
  <c r="Y60" i="97"/>
  <c r="Z60" i="97"/>
  <c r="AA60" i="97"/>
  <c r="AB60" i="97"/>
  <c r="AC60" i="97"/>
  <c r="AD60" i="97"/>
  <c r="AE60" i="97"/>
  <c r="AF60" i="97"/>
  <c r="AG60" i="97"/>
  <c r="AH60" i="97"/>
  <c r="AI60" i="97"/>
  <c r="AJ60" i="97"/>
  <c r="AK60" i="97"/>
  <c r="AL60" i="97"/>
  <c r="AM60" i="97"/>
  <c r="AN60" i="97"/>
  <c r="F61" i="97"/>
  <c r="G61" i="97"/>
  <c r="H61" i="97"/>
  <c r="I61" i="97"/>
  <c r="J61" i="97"/>
  <c r="K61" i="97"/>
  <c r="L61" i="97"/>
  <c r="M61" i="97"/>
  <c r="N61" i="97"/>
  <c r="O61" i="97"/>
  <c r="P61" i="97"/>
  <c r="Q61" i="97"/>
  <c r="R61" i="97"/>
  <c r="S61" i="97"/>
  <c r="T61" i="97"/>
  <c r="U61" i="97"/>
  <c r="V61" i="97"/>
  <c r="W61" i="97"/>
  <c r="X61" i="97"/>
  <c r="Y61" i="97"/>
  <c r="Z61" i="97"/>
  <c r="AA61" i="97"/>
  <c r="AB61" i="97"/>
  <c r="AC61" i="97"/>
  <c r="AD61" i="97"/>
  <c r="AE61" i="97"/>
  <c r="AF61" i="97"/>
  <c r="AG61" i="97"/>
  <c r="AH61" i="97"/>
  <c r="AI61" i="97"/>
  <c r="AJ61" i="97"/>
  <c r="AK61" i="97"/>
  <c r="AL61" i="97"/>
  <c r="AM61" i="97"/>
  <c r="AN61" i="97"/>
  <c r="F62" i="97"/>
  <c r="G62" i="97"/>
  <c r="H62" i="97"/>
  <c r="I62" i="97"/>
  <c r="J62" i="97"/>
  <c r="K62" i="97"/>
  <c r="L62" i="97"/>
  <c r="M62" i="97"/>
  <c r="N62" i="97"/>
  <c r="O62" i="97"/>
  <c r="P62" i="97"/>
  <c r="Q62" i="97"/>
  <c r="R62" i="97"/>
  <c r="S62" i="97"/>
  <c r="T62" i="97"/>
  <c r="U62" i="97"/>
  <c r="V62" i="97"/>
  <c r="W62" i="97"/>
  <c r="X62" i="97"/>
  <c r="Y62" i="97"/>
  <c r="Z62" i="97"/>
  <c r="AA62" i="97"/>
  <c r="AB62" i="97"/>
  <c r="AC62" i="97"/>
  <c r="AD62" i="97"/>
  <c r="AE62" i="97"/>
  <c r="AF62" i="97"/>
  <c r="AG62" i="97"/>
  <c r="AH62" i="97"/>
  <c r="AI62" i="97"/>
  <c r="AJ62" i="97"/>
  <c r="AK62" i="97"/>
  <c r="AL62" i="97"/>
  <c r="AM62" i="97"/>
  <c r="AN62" i="97"/>
  <c r="F63" i="97"/>
  <c r="G63" i="97"/>
  <c r="H63" i="97"/>
  <c r="I63" i="97"/>
  <c r="J63" i="97"/>
  <c r="K63" i="97"/>
  <c r="L63" i="97"/>
  <c r="M63" i="97"/>
  <c r="N63" i="97"/>
  <c r="O63" i="97"/>
  <c r="P63" i="97"/>
  <c r="Q63" i="97"/>
  <c r="R63" i="97"/>
  <c r="S63" i="97"/>
  <c r="T63" i="97"/>
  <c r="U63" i="97"/>
  <c r="V63" i="97"/>
  <c r="W63" i="97"/>
  <c r="X63" i="97"/>
  <c r="Y63" i="97"/>
  <c r="Z63" i="97"/>
  <c r="AA63" i="97"/>
  <c r="AB63" i="97"/>
  <c r="AC63" i="97"/>
  <c r="AD63" i="97"/>
  <c r="AE63" i="97"/>
  <c r="AF63" i="97"/>
  <c r="AG63" i="97"/>
  <c r="AH63" i="97"/>
  <c r="AI63" i="97"/>
  <c r="AJ63" i="97"/>
  <c r="AK63" i="97"/>
  <c r="AL63" i="97"/>
  <c r="AM63" i="97"/>
  <c r="AN63" i="97"/>
  <c r="G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B6" i="61"/>
  <c r="C6" i="61"/>
  <c r="D6" i="61"/>
  <c r="E6" i="61"/>
  <c r="F6" i="61"/>
  <c r="G6" i="61"/>
  <c r="B7" i="61"/>
  <c r="C7" i="61"/>
  <c r="D7" i="61"/>
  <c r="E7" i="61"/>
  <c r="F7" i="61"/>
  <c r="G7" i="61"/>
  <c r="B8" i="61"/>
  <c r="C8" i="61"/>
  <c r="D8" i="61"/>
  <c r="E8" i="61"/>
  <c r="F8" i="61"/>
  <c r="G8" i="61"/>
  <c r="B9" i="61"/>
  <c r="C9" i="61"/>
  <c r="D9" i="61"/>
  <c r="E9" i="61"/>
  <c r="F9" i="61"/>
  <c r="G9" i="61"/>
  <c r="B10" i="61"/>
  <c r="C10" i="61"/>
  <c r="D10" i="61"/>
  <c r="E10" i="61"/>
  <c r="F10" i="61"/>
  <c r="G10" i="61"/>
  <c r="B11" i="61"/>
  <c r="C11" i="61"/>
  <c r="D11" i="61"/>
  <c r="E11" i="61"/>
  <c r="F11" i="61"/>
  <c r="G11" i="61"/>
  <c r="B12" i="61"/>
  <c r="C12" i="61"/>
  <c r="D12" i="61"/>
  <c r="E12" i="61"/>
  <c r="F12" i="61"/>
  <c r="G12" i="61"/>
  <c r="B13" i="61"/>
  <c r="C13" i="61"/>
  <c r="D13" i="61"/>
  <c r="E13" i="61"/>
  <c r="F13" i="61"/>
  <c r="G13" i="61"/>
  <c r="B14" i="61"/>
  <c r="C14" i="61"/>
  <c r="D14" i="61"/>
  <c r="E14" i="61"/>
  <c r="F14" i="61"/>
  <c r="G14" i="61"/>
  <c r="B15" i="61"/>
  <c r="C15" i="61"/>
  <c r="D15" i="61"/>
  <c r="E15" i="61"/>
  <c r="F15" i="61"/>
  <c r="G15" i="61"/>
  <c r="B16" i="61"/>
  <c r="C16" i="61"/>
  <c r="D16" i="61"/>
  <c r="E16" i="61"/>
  <c r="F16" i="61"/>
  <c r="G16" i="61"/>
  <c r="B17" i="61"/>
  <c r="C17" i="61"/>
  <c r="D17" i="61"/>
  <c r="E17" i="61"/>
  <c r="F17" i="61"/>
  <c r="G17" i="61"/>
  <c r="B18" i="61"/>
  <c r="C18" i="61"/>
  <c r="D18" i="61"/>
  <c r="E18" i="61"/>
  <c r="F18" i="61"/>
  <c r="G18" i="61"/>
  <c r="B19" i="61"/>
  <c r="C19" i="61"/>
  <c r="D19" i="61"/>
  <c r="E19" i="61"/>
  <c r="F19" i="61"/>
  <c r="G19" i="61"/>
  <c r="B20" i="61"/>
  <c r="C20" i="61"/>
  <c r="D20" i="61"/>
  <c r="E20" i="61"/>
  <c r="F20" i="61"/>
  <c r="G20" i="61"/>
  <c r="B21" i="61"/>
  <c r="C21" i="61"/>
  <c r="D21" i="61"/>
  <c r="E21" i="61"/>
  <c r="F21" i="61"/>
  <c r="G21" i="61"/>
  <c r="B22" i="61"/>
  <c r="C22" i="61"/>
  <c r="D22" i="61"/>
  <c r="E22" i="61"/>
  <c r="F22" i="61"/>
  <c r="G22" i="61"/>
  <c r="B23" i="61"/>
  <c r="C23" i="61"/>
  <c r="D23" i="61"/>
  <c r="E23" i="61"/>
  <c r="F23" i="61"/>
  <c r="G23" i="61"/>
  <c r="B24" i="61"/>
  <c r="C24" i="61"/>
  <c r="D24" i="61"/>
  <c r="E24" i="61"/>
  <c r="F24" i="61"/>
  <c r="G24" i="61"/>
  <c r="B25" i="61"/>
  <c r="C25" i="61"/>
  <c r="D25" i="61"/>
  <c r="E25" i="61"/>
  <c r="F25" i="61"/>
  <c r="G25" i="61"/>
  <c r="B26" i="61"/>
  <c r="C26" i="61"/>
  <c r="D26" i="61"/>
  <c r="E26" i="61"/>
  <c r="F26" i="61"/>
  <c r="G26" i="61"/>
  <c r="B27" i="61"/>
  <c r="C27" i="61"/>
  <c r="D27" i="61"/>
  <c r="E27" i="61"/>
  <c r="F27" i="61"/>
  <c r="G27" i="61"/>
  <c r="B28" i="61"/>
  <c r="C28" i="61"/>
  <c r="D28" i="61"/>
  <c r="E28" i="61"/>
  <c r="F28" i="61"/>
  <c r="G28" i="61"/>
  <c r="B29" i="61"/>
  <c r="C29" i="61"/>
  <c r="D29" i="61"/>
  <c r="E29" i="61"/>
  <c r="F29" i="61"/>
  <c r="G29" i="61"/>
  <c r="B30" i="61"/>
  <c r="C30" i="61"/>
  <c r="D30" i="61"/>
  <c r="E30" i="61"/>
  <c r="F30" i="61"/>
  <c r="G30" i="61"/>
  <c r="B31" i="61"/>
  <c r="C31" i="61"/>
  <c r="D31" i="61"/>
  <c r="E31" i="61"/>
  <c r="F31" i="61"/>
  <c r="G31" i="61"/>
  <c r="B32" i="61"/>
  <c r="C32" i="61"/>
  <c r="D32" i="61"/>
  <c r="E32" i="61"/>
  <c r="F32" i="61"/>
  <c r="G32" i="61"/>
  <c r="B33" i="61"/>
  <c r="C33" i="61"/>
  <c r="D33" i="61"/>
  <c r="E33" i="61"/>
  <c r="F33" i="61"/>
  <c r="G33" i="61"/>
  <c r="B34" i="61"/>
  <c r="C34" i="61"/>
  <c r="D34" i="61"/>
  <c r="E34" i="61"/>
  <c r="F34" i="61"/>
  <c r="G34" i="61"/>
  <c r="B35" i="61"/>
  <c r="C35" i="61"/>
  <c r="D35" i="61"/>
  <c r="E35" i="61"/>
  <c r="F35" i="61"/>
  <c r="G35" i="61"/>
  <c r="B36" i="61"/>
  <c r="C36" i="61"/>
  <c r="D36" i="61"/>
  <c r="E36" i="61"/>
  <c r="F36" i="61"/>
  <c r="G36" i="61"/>
  <c r="B37" i="61"/>
  <c r="C37" i="61"/>
  <c r="D37" i="61"/>
  <c r="E37" i="61"/>
  <c r="F37" i="61"/>
  <c r="G37" i="61"/>
  <c r="B38" i="61"/>
  <c r="C38" i="61"/>
  <c r="D38" i="61"/>
  <c r="E38" i="61"/>
  <c r="F38" i="61"/>
  <c r="G38" i="61"/>
  <c r="B39" i="61"/>
  <c r="C39" i="61"/>
  <c r="D39" i="61"/>
  <c r="E39" i="61"/>
  <c r="F39" i="61"/>
  <c r="G39" i="61"/>
  <c r="B40" i="61"/>
  <c r="C40" i="61"/>
  <c r="D40" i="61"/>
  <c r="E40" i="61"/>
  <c r="F40" i="61"/>
  <c r="G40" i="61"/>
  <c r="B41" i="61"/>
  <c r="C41" i="61"/>
  <c r="D41" i="61"/>
  <c r="E41" i="61"/>
  <c r="F41" i="61"/>
  <c r="G41" i="61"/>
  <c r="B42" i="61"/>
  <c r="C42" i="61"/>
  <c r="D42" i="61"/>
  <c r="E42" i="61"/>
  <c r="F42" i="61"/>
  <c r="G42" i="61"/>
  <c r="B43" i="61"/>
  <c r="C43" i="61"/>
  <c r="D43" i="61"/>
  <c r="E43" i="61"/>
  <c r="F43" i="61"/>
  <c r="G43" i="61"/>
  <c r="B44" i="61"/>
  <c r="C44" i="61"/>
  <c r="D44" i="61"/>
  <c r="E44" i="61"/>
  <c r="F44" i="61"/>
  <c r="G44" i="61"/>
  <c r="B45" i="61"/>
  <c r="C45" i="61"/>
  <c r="D45" i="61"/>
  <c r="E45" i="61"/>
  <c r="F45" i="61"/>
  <c r="G45" i="61"/>
  <c r="B46" i="61"/>
  <c r="C46" i="61"/>
  <c r="D46" i="61"/>
  <c r="E46" i="61"/>
  <c r="F46" i="61"/>
  <c r="G46" i="61"/>
  <c r="B47" i="61"/>
  <c r="C47" i="61"/>
  <c r="D47" i="61"/>
  <c r="E47" i="61"/>
  <c r="F47" i="61"/>
  <c r="G47" i="61"/>
  <c r="B48" i="61"/>
  <c r="C48" i="61"/>
  <c r="D48" i="61"/>
  <c r="E48" i="61"/>
  <c r="F48" i="61"/>
  <c r="G48" i="61"/>
  <c r="B49" i="61"/>
  <c r="C49" i="61"/>
  <c r="D49" i="61"/>
  <c r="E49" i="61"/>
  <c r="F49" i="61"/>
  <c r="G49" i="61"/>
  <c r="B50" i="61"/>
  <c r="C50" i="61"/>
  <c r="D50" i="61"/>
  <c r="E50" i="61"/>
  <c r="F50" i="61"/>
  <c r="G50" i="61"/>
  <c r="B51" i="61"/>
  <c r="C51" i="61"/>
  <c r="D51" i="61"/>
  <c r="E51" i="61"/>
  <c r="F51" i="61"/>
  <c r="G51" i="61"/>
  <c r="B52" i="61"/>
  <c r="C52" i="61"/>
  <c r="D52" i="61"/>
  <c r="E52" i="61"/>
  <c r="F52" i="61"/>
  <c r="G52" i="61"/>
  <c r="B53" i="61"/>
  <c r="C53" i="61"/>
  <c r="D53" i="61"/>
  <c r="E53" i="61"/>
  <c r="F53" i="61"/>
  <c r="G53" i="61"/>
  <c r="B54" i="61"/>
  <c r="C54" i="61"/>
  <c r="D54" i="61"/>
  <c r="E54" i="61"/>
  <c r="F54" i="61"/>
  <c r="G54" i="61"/>
  <c r="B55" i="61"/>
  <c r="C55" i="61"/>
  <c r="D55" i="61"/>
  <c r="E55" i="61"/>
  <c r="F55" i="61"/>
  <c r="G55" i="61"/>
  <c r="B56" i="61"/>
  <c r="C56" i="61"/>
  <c r="D56" i="61"/>
  <c r="E56" i="61"/>
  <c r="F56" i="61"/>
  <c r="G56" i="61"/>
  <c r="B57" i="61"/>
  <c r="C57" i="61"/>
  <c r="D57" i="61"/>
  <c r="E57" i="61"/>
  <c r="F57" i="61"/>
  <c r="G57" i="61"/>
  <c r="B58" i="61"/>
  <c r="C58" i="61"/>
  <c r="D58" i="61"/>
  <c r="E58" i="61"/>
  <c r="F58" i="61"/>
  <c r="G58" i="61"/>
  <c r="B59" i="61"/>
  <c r="C59" i="61"/>
  <c r="D59" i="61"/>
  <c r="E59" i="61"/>
  <c r="F59" i="61"/>
  <c r="G59" i="61"/>
  <c r="B60" i="61"/>
  <c r="C60" i="61"/>
  <c r="D60" i="61"/>
  <c r="E60" i="61"/>
  <c r="F60" i="61"/>
  <c r="G60" i="61"/>
  <c r="B61" i="61"/>
  <c r="C61" i="61"/>
  <c r="D61" i="61"/>
  <c r="E61" i="61"/>
  <c r="F61" i="61"/>
  <c r="G61" i="61"/>
  <c r="B62" i="61"/>
  <c r="C62" i="61"/>
  <c r="D62" i="61"/>
  <c r="E62" i="61"/>
  <c r="F62" i="61"/>
  <c r="G62" i="61"/>
  <c r="B63" i="61"/>
  <c r="C63" i="61"/>
  <c r="D63" i="61"/>
  <c r="E63" i="61"/>
  <c r="F63" i="61"/>
  <c r="G63" i="61"/>
  <c r="B64" i="61"/>
  <c r="C64" i="61"/>
  <c r="D64" i="61"/>
  <c r="E64" i="61"/>
  <c r="F64" i="61"/>
  <c r="G64" i="61"/>
  <c r="B65" i="61"/>
  <c r="C65" i="61"/>
  <c r="D65" i="61"/>
  <c r="E65" i="61"/>
  <c r="F65" i="61"/>
  <c r="G65" i="61"/>
  <c r="C41" i="118"/>
  <c r="D46" i="417" l="1"/>
  <c r="D45" i="417"/>
  <c r="D48" i="417" s="1"/>
  <c r="C71" i="61"/>
  <c r="G71" i="61"/>
  <c r="F71" i="61"/>
  <c r="E71" i="61"/>
  <c r="D71" i="61"/>
  <c r="B67" i="61"/>
  <c r="B71" i="61" s="1"/>
  <c r="E15" i="52"/>
  <c r="G15" i="52"/>
  <c r="I15" i="52"/>
  <c r="K15" i="52"/>
  <c r="S10" i="417"/>
  <c r="S9" i="417"/>
  <c r="A9" i="36"/>
  <c r="A15" i="55"/>
  <c r="A12" i="55"/>
  <c r="A11" i="36" s="1"/>
  <c r="D11" i="36" s="1"/>
  <c r="A14" i="55"/>
  <c r="A13" i="36" s="1"/>
  <c r="D13" i="36" s="1"/>
  <c r="A11" i="55"/>
  <c r="A10" i="36" s="1"/>
  <c r="D10" i="36" s="1"/>
  <c r="A13" i="55"/>
  <c r="N9" i="417"/>
  <c r="N10" i="417"/>
  <c r="F21" i="53"/>
  <c r="H21" i="53" s="1"/>
  <c r="F44" i="53"/>
  <c r="H44" i="53" s="1"/>
  <c r="F36" i="53"/>
  <c r="H36" i="53" s="1"/>
  <c r="F12" i="53"/>
  <c r="H12" i="53" s="1"/>
  <c r="F25" i="53"/>
  <c r="H25" i="53" s="1"/>
  <c r="F32" i="53"/>
  <c r="H32" i="53" s="1"/>
  <c r="H9" i="37"/>
  <c r="P9" i="36"/>
  <c r="E16" i="34"/>
  <c r="E52" i="52" s="1"/>
  <c r="G16" i="34"/>
  <c r="C44" i="52"/>
  <c r="C36" i="52"/>
  <c r="C28" i="52"/>
  <c r="A20" i="52"/>
  <c r="C20" i="52"/>
  <c r="C43" i="52"/>
  <c r="A35" i="52"/>
  <c r="C35" i="52"/>
  <c r="C27" i="52"/>
  <c r="A19" i="52"/>
  <c r="C19" i="52"/>
  <c r="A11" i="52"/>
  <c r="C11" i="52"/>
  <c r="C18" i="52"/>
  <c r="A33" i="52"/>
  <c r="C33" i="52"/>
  <c r="A25" i="52"/>
  <c r="C25" i="52"/>
  <c r="A17" i="52"/>
  <c r="C17" i="52"/>
  <c r="A48" i="52"/>
  <c r="C48" i="52"/>
  <c r="A24" i="52"/>
  <c r="C24" i="52"/>
  <c r="A47" i="52"/>
  <c r="C47" i="52"/>
  <c r="A39" i="52"/>
  <c r="C39" i="52"/>
  <c r="A31" i="52"/>
  <c r="C31" i="52"/>
  <c r="A23" i="52"/>
  <c r="C23" i="52"/>
  <c r="C46" i="52"/>
  <c r="A30" i="52"/>
  <c r="C30" i="52"/>
  <c r="C22" i="52"/>
  <c r="C14" i="52"/>
  <c r="C45" i="52"/>
  <c r="A37" i="52"/>
  <c r="C37" i="52"/>
  <c r="A29" i="52"/>
  <c r="C29" i="52"/>
  <c r="A21" i="52"/>
  <c r="C21" i="52"/>
  <c r="A13" i="52"/>
  <c r="C13" i="52"/>
  <c r="F43" i="53"/>
  <c r="H43" i="53" s="1"/>
  <c r="F28" i="53"/>
  <c r="H28" i="53" s="1"/>
  <c r="F41" i="53"/>
  <c r="H41" i="53" s="1"/>
  <c r="F33" i="53"/>
  <c r="H33" i="53" s="1"/>
  <c r="F26" i="53"/>
  <c r="H26" i="53" s="1"/>
  <c r="F18" i="53"/>
  <c r="H18" i="53" s="1"/>
  <c r="F10" i="53"/>
  <c r="H10" i="53" s="1"/>
  <c r="F17" i="53"/>
  <c r="H17" i="53" s="1"/>
  <c r="F47" i="53"/>
  <c r="H47" i="53" s="1"/>
  <c r="F39" i="53"/>
  <c r="H39" i="53" s="1"/>
  <c r="F31" i="53"/>
  <c r="H31" i="53" s="1"/>
  <c r="F24" i="53"/>
  <c r="H24" i="53" s="1"/>
  <c r="F16" i="53"/>
  <c r="H16" i="53" s="1"/>
  <c r="F40" i="53"/>
  <c r="H40" i="53" s="1"/>
  <c r="F46" i="53"/>
  <c r="H46" i="53" s="1"/>
  <c r="F38" i="53"/>
  <c r="H38" i="53" s="1"/>
  <c r="F30" i="53"/>
  <c r="H30" i="53" s="1"/>
  <c r="F23" i="53"/>
  <c r="H23" i="53" s="1"/>
  <c r="F15" i="53"/>
  <c r="H15" i="53" s="1"/>
  <c r="F45" i="53"/>
  <c r="H45" i="53" s="1"/>
  <c r="F37" i="53"/>
  <c r="H37" i="53" s="1"/>
  <c r="F29" i="53"/>
  <c r="H29" i="53" s="1"/>
  <c r="F22" i="53"/>
  <c r="H22" i="53" s="1"/>
  <c r="F14" i="53"/>
  <c r="H14" i="53" s="1"/>
  <c r="F13" i="53"/>
  <c r="H13" i="53" s="1"/>
  <c r="B9" i="53"/>
  <c r="F9" i="53"/>
  <c r="H9" i="53" s="1"/>
  <c r="F35" i="53"/>
  <c r="H35" i="53" s="1"/>
  <c r="F20" i="53"/>
  <c r="H20" i="53" s="1"/>
  <c r="F42" i="53"/>
  <c r="H42" i="53" s="1"/>
  <c r="F34" i="53"/>
  <c r="H34" i="53" s="1"/>
  <c r="F27" i="53"/>
  <c r="H27" i="53" s="1"/>
  <c r="F19" i="53"/>
  <c r="H19" i="53" s="1"/>
  <c r="F11" i="53"/>
  <c r="H11" i="53" s="1"/>
  <c r="C40" i="52"/>
  <c r="C16" i="52"/>
  <c r="C32" i="52"/>
  <c r="A34" i="52"/>
  <c r="A32" i="52"/>
  <c r="A26" i="52"/>
  <c r="A18" i="52"/>
  <c r="A16" i="52"/>
  <c r="A42" i="52"/>
  <c r="A40" i="52"/>
  <c r="C10" i="52"/>
  <c r="A10" i="52"/>
  <c r="K10" i="52" s="1"/>
  <c r="A46" i="52"/>
  <c r="A38" i="52"/>
  <c r="A22" i="52"/>
  <c r="A14" i="52"/>
  <c r="A45" i="52"/>
  <c r="C12" i="52"/>
  <c r="A44" i="52"/>
  <c r="A36" i="52"/>
  <c r="A28" i="52"/>
  <c r="A12" i="52"/>
  <c r="A43" i="52"/>
  <c r="A27" i="52"/>
  <c r="A41" i="52"/>
  <c r="N11" i="417"/>
  <c r="J50" i="38"/>
  <c r="H6" i="25"/>
  <c r="B7" i="37"/>
  <c r="D12" i="417"/>
  <c r="C15" i="52"/>
  <c r="F50" i="38"/>
  <c r="F24" i="254"/>
  <c r="J24" i="254"/>
  <c r="H21" i="254"/>
  <c r="N21" i="254" s="1"/>
  <c r="H20" i="254"/>
  <c r="N20" i="254" s="1"/>
  <c r="H22" i="254"/>
  <c r="N22" i="254" s="1"/>
  <c r="H18" i="254"/>
  <c r="N18" i="254" s="1"/>
  <c r="H17" i="254"/>
  <c r="N17" i="254" s="1"/>
  <c r="H19" i="254"/>
  <c r="N19" i="254" s="1"/>
  <c r="A1" i="420"/>
  <c r="S11" i="36" l="1"/>
  <c r="V11" i="36" s="1"/>
  <c r="I10" i="52"/>
  <c r="A14" i="36"/>
  <c r="A12" i="36"/>
  <c r="E23" i="52"/>
  <c r="G23" i="52"/>
  <c r="I23" i="52"/>
  <c r="K23" i="52"/>
  <c r="E33" i="52"/>
  <c r="G33" i="52"/>
  <c r="I33" i="52"/>
  <c r="K33" i="52"/>
  <c r="I40" i="52"/>
  <c r="K40" i="52"/>
  <c r="G40" i="52"/>
  <c r="E40" i="52"/>
  <c r="I44" i="52"/>
  <c r="K44" i="52"/>
  <c r="G44" i="52"/>
  <c r="E44" i="52"/>
  <c r="E37" i="52"/>
  <c r="G37" i="52"/>
  <c r="I37" i="52"/>
  <c r="K37" i="52"/>
  <c r="I24" i="52"/>
  <c r="K24" i="52"/>
  <c r="G24" i="52"/>
  <c r="E24" i="52"/>
  <c r="E35" i="52"/>
  <c r="G35" i="52"/>
  <c r="I35" i="52"/>
  <c r="K35" i="52"/>
  <c r="E41" i="52"/>
  <c r="G41" i="52"/>
  <c r="I41" i="52"/>
  <c r="K41" i="52"/>
  <c r="E45" i="52"/>
  <c r="G45" i="52"/>
  <c r="I45" i="52"/>
  <c r="K45" i="52"/>
  <c r="I42" i="52"/>
  <c r="K42" i="52"/>
  <c r="E42" i="52"/>
  <c r="G42" i="52"/>
  <c r="E13" i="52"/>
  <c r="G13" i="52"/>
  <c r="I13" i="52"/>
  <c r="K13" i="52"/>
  <c r="E31" i="52"/>
  <c r="G31" i="52"/>
  <c r="I31" i="52"/>
  <c r="K31" i="52"/>
  <c r="I48" i="52"/>
  <c r="K48" i="52"/>
  <c r="G48" i="52"/>
  <c r="E48" i="52"/>
  <c r="I14" i="52"/>
  <c r="K14" i="52"/>
  <c r="E14" i="52"/>
  <c r="G14" i="52"/>
  <c r="I20" i="52"/>
  <c r="K20" i="52"/>
  <c r="G20" i="52"/>
  <c r="E20" i="52"/>
  <c r="E21" i="52"/>
  <c r="G21" i="52"/>
  <c r="I21" i="52"/>
  <c r="K21" i="52"/>
  <c r="I22" i="52"/>
  <c r="K22" i="52"/>
  <c r="E22" i="52"/>
  <c r="G22" i="52"/>
  <c r="E39" i="52"/>
  <c r="G39" i="52"/>
  <c r="I39" i="52"/>
  <c r="K39" i="52"/>
  <c r="E17" i="52"/>
  <c r="G17" i="52"/>
  <c r="I17" i="52"/>
  <c r="K17" i="52"/>
  <c r="I12" i="52"/>
  <c r="K12" i="52"/>
  <c r="G12" i="52"/>
  <c r="E12" i="52"/>
  <c r="I38" i="52"/>
  <c r="K38" i="52"/>
  <c r="E38" i="52"/>
  <c r="G38" i="52"/>
  <c r="E19" i="52"/>
  <c r="G19" i="52"/>
  <c r="I19" i="52"/>
  <c r="K19" i="52"/>
  <c r="I28" i="52"/>
  <c r="K28" i="52"/>
  <c r="G28" i="52"/>
  <c r="E28" i="52"/>
  <c r="I46" i="52"/>
  <c r="K46" i="52"/>
  <c r="E46" i="52"/>
  <c r="G46" i="52"/>
  <c r="I32" i="52"/>
  <c r="K32" i="52"/>
  <c r="G32" i="52"/>
  <c r="E32" i="52"/>
  <c r="E29" i="52"/>
  <c r="G29" i="52"/>
  <c r="I29" i="52"/>
  <c r="K29" i="52"/>
  <c r="E47" i="52"/>
  <c r="G47" i="52"/>
  <c r="I47" i="52"/>
  <c r="K47" i="52"/>
  <c r="E25" i="52"/>
  <c r="G25" i="52"/>
  <c r="I25" i="52"/>
  <c r="K25" i="52"/>
  <c r="E27" i="52"/>
  <c r="G27" i="52"/>
  <c r="I27" i="52"/>
  <c r="K27" i="52"/>
  <c r="I16" i="52"/>
  <c r="K16" i="52"/>
  <c r="G16" i="52"/>
  <c r="E16" i="52"/>
  <c r="E11" i="52"/>
  <c r="G11" i="52"/>
  <c r="I11" i="52"/>
  <c r="K11" i="52"/>
  <c r="E43" i="52"/>
  <c r="G43" i="52"/>
  <c r="I43" i="52"/>
  <c r="K43" i="52"/>
  <c r="I18" i="52"/>
  <c r="K18" i="52"/>
  <c r="E18" i="52"/>
  <c r="G18" i="52"/>
  <c r="I26" i="52"/>
  <c r="K26" i="52"/>
  <c r="E26" i="52"/>
  <c r="G26" i="52"/>
  <c r="I30" i="52"/>
  <c r="K30" i="52"/>
  <c r="E30" i="52"/>
  <c r="G30" i="52"/>
  <c r="I36" i="52"/>
  <c r="K36" i="52"/>
  <c r="G36" i="52"/>
  <c r="E36" i="52"/>
  <c r="I34" i="52"/>
  <c r="K34" i="52"/>
  <c r="E34" i="52"/>
  <c r="G34" i="52"/>
  <c r="H49" i="53"/>
  <c r="S10" i="36"/>
  <c r="S13" i="36"/>
  <c r="N24" i="254"/>
  <c r="N13" i="254" s="1"/>
  <c r="P13" i="254" s="1"/>
  <c r="H16" i="37"/>
  <c r="H18" i="37"/>
  <c r="G10" i="52"/>
  <c r="E10" i="52"/>
  <c r="A50" i="52"/>
  <c r="B11" i="18"/>
  <c r="E6" i="11"/>
  <c r="E21" i="420"/>
  <c r="H51" i="53"/>
  <c r="H24" i="254"/>
  <c r="D12" i="36" l="1"/>
  <c r="S12" i="36" s="1"/>
  <c r="D14" i="36"/>
  <c r="S14" i="36" s="1"/>
  <c r="K50" i="52"/>
  <c r="I50" i="52"/>
  <c r="H20" i="37"/>
  <c r="E25" i="10" s="1"/>
  <c r="G50" i="52"/>
  <c r="E50" i="52"/>
  <c r="G6" i="12"/>
  <c r="H53" i="53"/>
  <c r="F23" i="23" s="1"/>
  <c r="B7" i="36" l="1"/>
  <c r="E9" i="14" l="1"/>
  <c r="E14" i="253" l="1"/>
  <c r="G16" i="253" s="1"/>
  <c r="F10" i="413" l="1"/>
  <c r="H10" i="413" s="1"/>
  <c r="M16" i="418"/>
  <c r="K16" i="418"/>
  <c r="I16" i="418"/>
  <c r="O16" i="418" s="1"/>
  <c r="M13" i="418"/>
  <c r="K13" i="418"/>
  <c r="I13" i="418"/>
  <c r="M11" i="418"/>
  <c r="K11" i="418"/>
  <c r="I11" i="418"/>
  <c r="O11" i="418" s="1"/>
  <c r="M9" i="418"/>
  <c r="K9" i="418"/>
  <c r="I9" i="418"/>
  <c r="M8" i="418"/>
  <c r="K8" i="418"/>
  <c r="I8" i="418"/>
  <c r="O8" i="418" s="1"/>
  <c r="M7" i="418"/>
  <c r="K7" i="418"/>
  <c r="I7" i="418"/>
  <c r="M6" i="418"/>
  <c r="K6" i="418"/>
  <c r="I6" i="418"/>
  <c r="O6" i="418" s="1"/>
  <c r="I1" i="418"/>
  <c r="K1" i="418" s="1"/>
  <c r="C1" i="418"/>
  <c r="D1" i="418" s="1"/>
  <c r="E1" i="418" s="1"/>
  <c r="O7" i="418" l="1"/>
  <c r="O13" i="418"/>
  <c r="O9" i="418"/>
  <c r="Q1" i="416" l="1"/>
  <c r="F6" i="417"/>
  <c r="H6" i="417" s="1"/>
  <c r="J6" i="417" s="1"/>
  <c r="L6" i="417" s="1"/>
  <c r="B3" i="417"/>
  <c r="B44" i="417"/>
  <c r="S7" i="416"/>
  <c r="E5" i="416"/>
  <c r="U7" i="416" s="1"/>
  <c r="Q3" i="416"/>
  <c r="Q2" i="416"/>
  <c r="N33" i="417"/>
  <c r="N17" i="417"/>
  <c r="N15" i="417"/>
  <c r="G5" i="416" l="1"/>
  <c r="W7" i="416" s="1"/>
  <c r="F18" i="417"/>
  <c r="H18" i="417"/>
  <c r="F12" i="417"/>
  <c r="J18" i="417"/>
  <c r="H12" i="417"/>
  <c r="L18" i="417"/>
  <c r="N41" i="417"/>
  <c r="D18" i="417"/>
  <c r="J12" i="417"/>
  <c r="N16" i="417"/>
  <c r="N35" i="417"/>
  <c r="L12" i="417"/>
  <c r="D36" i="417"/>
  <c r="F42" i="417"/>
  <c r="H36" i="417"/>
  <c r="J42" i="417"/>
  <c r="L36" i="417"/>
  <c r="L42" i="417"/>
  <c r="I5" i="416"/>
  <c r="N29" i="417"/>
  <c r="N27" i="417"/>
  <c r="N45" i="417" s="1"/>
  <c r="N47" i="417" l="1"/>
  <c r="N34" i="417"/>
  <c r="N36" i="417" s="1"/>
  <c r="F36" i="417"/>
  <c r="D30" i="417"/>
  <c r="N28" i="417"/>
  <c r="N46" i="417" s="1"/>
  <c r="N40" i="417"/>
  <c r="H42" i="417"/>
  <c r="N39" i="417"/>
  <c r="D42" i="417"/>
  <c r="F30" i="417"/>
  <c r="L30" i="417"/>
  <c r="H30" i="417"/>
  <c r="J30" i="417"/>
  <c r="J36" i="417"/>
  <c r="N12" i="417"/>
  <c r="N18" i="417"/>
  <c r="N30" i="417"/>
  <c r="K5" i="416"/>
  <c r="Y7" i="416"/>
  <c r="H48" i="417" l="1"/>
  <c r="N42" i="417"/>
  <c r="L48" i="417"/>
  <c r="J48" i="417"/>
  <c r="F48" i="417"/>
  <c r="AA7" i="416"/>
  <c r="M5" i="416"/>
  <c r="N48" i="417" l="1"/>
  <c r="Z21" i="316"/>
  <c r="AB21" i="316"/>
  <c r="H24" i="25" l="1"/>
  <c r="H25" i="25"/>
  <c r="H26" i="25"/>
  <c r="H27" i="25"/>
  <c r="H28" i="25"/>
  <c r="H29" i="25"/>
  <c r="H30" i="25"/>
  <c r="F32" i="101"/>
  <c r="H32" i="25" l="1"/>
  <c r="M37" i="7"/>
  <c r="O37" i="7"/>
  <c r="M8" i="7"/>
  <c r="M9" i="7"/>
  <c r="M10" i="7"/>
  <c r="M11" i="7"/>
  <c r="M12" i="7"/>
  <c r="M13" i="7"/>
  <c r="M14" i="7"/>
  <c r="M15" i="7"/>
  <c r="M16" i="7"/>
  <c r="M17" i="7"/>
  <c r="M18" i="7"/>
  <c r="M19" i="7"/>
  <c r="M7" i="7"/>
  <c r="E21" i="10" l="1"/>
  <c r="C42" i="10" s="1"/>
  <c r="G10" i="12"/>
  <c r="E19" i="10"/>
  <c r="F19" i="23"/>
  <c r="H9" i="25"/>
  <c r="H15" i="25" s="1"/>
  <c r="F17" i="23" l="1"/>
  <c r="C40" i="10"/>
  <c r="F13" i="23"/>
  <c r="F37" i="7" l="1"/>
  <c r="H61" i="7" s="1"/>
  <c r="N12" i="55" l="1"/>
  <c r="N15" i="55"/>
  <c r="N13" i="55"/>
  <c r="N11" i="55"/>
  <c r="N10" i="55"/>
  <c r="N14" i="55"/>
  <c r="M10" i="37"/>
  <c r="M41" i="53"/>
  <c r="M33" i="53"/>
  <c r="M26" i="53"/>
  <c r="M18" i="53"/>
  <c r="M10" i="53"/>
  <c r="M11" i="37"/>
  <c r="M40" i="53"/>
  <c r="M32" i="53"/>
  <c r="M25" i="53"/>
  <c r="M17" i="53"/>
  <c r="M9" i="53"/>
  <c r="M12" i="37"/>
  <c r="M47" i="53"/>
  <c r="M39" i="53"/>
  <c r="M31" i="53"/>
  <c r="M24" i="53"/>
  <c r="M16" i="53"/>
  <c r="M13" i="37"/>
  <c r="M46" i="53"/>
  <c r="M38" i="53"/>
  <c r="M30" i="53"/>
  <c r="M23" i="53"/>
  <c r="M15" i="53"/>
  <c r="M14" i="37"/>
  <c r="M9" i="37"/>
  <c r="M45" i="53"/>
  <c r="M37" i="53"/>
  <c r="M29" i="53"/>
  <c r="M22" i="53"/>
  <c r="M14" i="53"/>
  <c r="M44" i="53"/>
  <c r="M36" i="53"/>
  <c r="M21" i="53"/>
  <c r="M13" i="53"/>
  <c r="M43" i="53"/>
  <c r="M35" i="53"/>
  <c r="M28" i="53"/>
  <c r="M20" i="53"/>
  <c r="M12" i="53"/>
  <c r="M42" i="53"/>
  <c r="M34" i="53"/>
  <c r="M27" i="53"/>
  <c r="M19" i="53"/>
  <c r="M11" i="53"/>
  <c r="C5" i="97"/>
  <c r="D5" i="97"/>
  <c r="E5" i="97"/>
  <c r="C6" i="97"/>
  <c r="D6" i="97"/>
  <c r="E6" i="97"/>
  <c r="C7" i="97"/>
  <c r="D7" i="97"/>
  <c r="E7" i="97"/>
  <c r="C8" i="97"/>
  <c r="D8" i="97"/>
  <c r="E8" i="97"/>
  <c r="C9" i="97"/>
  <c r="D9" i="97"/>
  <c r="E9" i="97"/>
  <c r="C10" i="97"/>
  <c r="D10" i="97"/>
  <c r="E10" i="97"/>
  <c r="C11" i="97"/>
  <c r="D11" i="97"/>
  <c r="E11" i="97"/>
  <c r="C12" i="97"/>
  <c r="D12" i="97"/>
  <c r="E12" i="97"/>
  <c r="C13" i="97"/>
  <c r="D13" i="97"/>
  <c r="E13" i="97"/>
  <c r="C14" i="97"/>
  <c r="D14" i="97"/>
  <c r="E14" i="97"/>
  <c r="C15" i="97"/>
  <c r="D15" i="97"/>
  <c r="E15" i="97"/>
  <c r="C16" i="97"/>
  <c r="D16" i="97"/>
  <c r="E16" i="97"/>
  <c r="C17" i="97"/>
  <c r="D17" i="97"/>
  <c r="E17" i="97"/>
  <c r="C18" i="97"/>
  <c r="D18" i="97"/>
  <c r="E18" i="97"/>
  <c r="C19" i="97"/>
  <c r="D19" i="97"/>
  <c r="E19" i="97"/>
  <c r="C20" i="97"/>
  <c r="D20" i="97"/>
  <c r="E20" i="97"/>
  <c r="C21" i="97"/>
  <c r="D21" i="97"/>
  <c r="E21" i="97"/>
  <c r="C22" i="97"/>
  <c r="D22" i="97"/>
  <c r="E22" i="97"/>
  <c r="C23" i="97"/>
  <c r="D23" i="97"/>
  <c r="E23" i="97"/>
  <c r="C24" i="97"/>
  <c r="D24" i="97"/>
  <c r="E24" i="97"/>
  <c r="C25" i="97"/>
  <c r="D25" i="97"/>
  <c r="E25" i="97"/>
  <c r="C26" i="97"/>
  <c r="D26" i="97"/>
  <c r="E26" i="97"/>
  <c r="C27" i="97"/>
  <c r="D27" i="97"/>
  <c r="E27" i="97"/>
  <c r="C28" i="97"/>
  <c r="D28" i="97"/>
  <c r="E28" i="97"/>
  <c r="C29" i="97"/>
  <c r="D29" i="97"/>
  <c r="E29" i="97"/>
  <c r="C30" i="97"/>
  <c r="D30" i="97"/>
  <c r="E30" i="97"/>
  <c r="C31" i="97"/>
  <c r="D31" i="97"/>
  <c r="E31" i="97"/>
  <c r="C32" i="97"/>
  <c r="D32" i="97"/>
  <c r="E32" i="97"/>
  <c r="C33" i="97"/>
  <c r="D33" i="97"/>
  <c r="E33" i="97"/>
  <c r="C34" i="97"/>
  <c r="D34" i="97"/>
  <c r="E34" i="97"/>
  <c r="C35" i="97"/>
  <c r="D35" i="97"/>
  <c r="E35" i="97"/>
  <c r="C36" i="97"/>
  <c r="D36" i="97"/>
  <c r="E36" i="97"/>
  <c r="C37" i="97"/>
  <c r="D37" i="97"/>
  <c r="E37" i="97"/>
  <c r="C38" i="97"/>
  <c r="D38" i="97"/>
  <c r="E38" i="97"/>
  <c r="C39" i="97"/>
  <c r="D39" i="97"/>
  <c r="E39" i="97"/>
  <c r="C40" i="97"/>
  <c r="D40" i="97"/>
  <c r="E40" i="97"/>
  <c r="C41" i="97"/>
  <c r="D41" i="97"/>
  <c r="E41" i="97"/>
  <c r="C42" i="97"/>
  <c r="D42" i="97"/>
  <c r="E42" i="97"/>
  <c r="C43" i="97"/>
  <c r="D43" i="97"/>
  <c r="E43" i="97"/>
  <c r="C44" i="97"/>
  <c r="D44" i="97"/>
  <c r="E44" i="97"/>
  <c r="C45" i="97"/>
  <c r="D45" i="97"/>
  <c r="E45" i="97"/>
  <c r="C46" i="97"/>
  <c r="D46" i="97"/>
  <c r="E46" i="97"/>
  <c r="C47" i="97"/>
  <c r="D47" i="97"/>
  <c r="E47" i="97"/>
  <c r="C48" i="97"/>
  <c r="D48" i="97"/>
  <c r="E48" i="97"/>
  <c r="C49" i="97"/>
  <c r="D49" i="97"/>
  <c r="E49" i="97"/>
  <c r="C50" i="97"/>
  <c r="D50" i="97"/>
  <c r="E50" i="97"/>
  <c r="C51" i="97"/>
  <c r="D51" i="97"/>
  <c r="E51" i="97"/>
  <c r="C52" i="97"/>
  <c r="D52" i="97"/>
  <c r="E52" i="97"/>
  <c r="C53" i="97"/>
  <c r="D53" i="97"/>
  <c r="E53" i="97"/>
  <c r="C54" i="97"/>
  <c r="D54" i="97"/>
  <c r="E54" i="97"/>
  <c r="C55" i="97"/>
  <c r="D55" i="97"/>
  <c r="E55" i="97"/>
  <c r="C56" i="97"/>
  <c r="D56" i="97"/>
  <c r="E56" i="97"/>
  <c r="C57" i="97"/>
  <c r="D57" i="97"/>
  <c r="E57" i="97"/>
  <c r="C58" i="97"/>
  <c r="D58" i="97"/>
  <c r="E58" i="97"/>
  <c r="C59" i="97"/>
  <c r="D59" i="97"/>
  <c r="E59" i="97"/>
  <c r="C60" i="97"/>
  <c r="D60" i="97"/>
  <c r="E60" i="97"/>
  <c r="C61" i="97"/>
  <c r="D61" i="97"/>
  <c r="E61" i="97"/>
  <c r="C62" i="97"/>
  <c r="D62" i="97"/>
  <c r="E62" i="97"/>
  <c r="C63" i="97"/>
  <c r="D63" i="97"/>
  <c r="E63" i="97"/>
  <c r="C4" i="97"/>
  <c r="D4" i="97"/>
  <c r="E4" i="97"/>
  <c r="C3" i="97"/>
  <c r="D3" i="97"/>
  <c r="E3" i="97"/>
  <c r="F3" i="97"/>
  <c r="P17" i="55" l="1"/>
  <c r="P19" i="55"/>
  <c r="P21" i="55" l="1"/>
  <c r="D6" i="31" s="1"/>
  <c r="C5" i="153" l="1"/>
  <c r="D5" i="153"/>
  <c r="E5" i="153"/>
  <c r="C6" i="153"/>
  <c r="D6" i="153"/>
  <c r="E6" i="153"/>
  <c r="C7" i="153"/>
  <c r="D7" i="153"/>
  <c r="E7" i="153"/>
  <c r="C8" i="153"/>
  <c r="D8" i="153"/>
  <c r="E8" i="153"/>
  <c r="C10" i="153"/>
  <c r="D10" i="153"/>
  <c r="E10" i="153"/>
  <c r="C11" i="153"/>
  <c r="D11" i="153"/>
  <c r="E11" i="153"/>
  <c r="C12" i="153"/>
  <c r="D12" i="153"/>
  <c r="E12" i="153"/>
  <c r="C13" i="153"/>
  <c r="D13" i="153"/>
  <c r="E13" i="153"/>
  <c r="C14" i="153"/>
  <c r="D14" i="153"/>
  <c r="E14" i="153"/>
  <c r="C15" i="153"/>
  <c r="D15" i="153"/>
  <c r="E15" i="153"/>
  <c r="C16" i="153"/>
  <c r="D16" i="153"/>
  <c r="E16" i="153"/>
  <c r="C17" i="153"/>
  <c r="D17" i="153"/>
  <c r="E17" i="153"/>
  <c r="C18" i="153"/>
  <c r="D18" i="153"/>
  <c r="E18" i="153"/>
  <c r="C19" i="153"/>
  <c r="D19" i="153"/>
  <c r="E19" i="153"/>
  <c r="C20" i="153"/>
  <c r="D20" i="153"/>
  <c r="E20" i="153"/>
  <c r="C21" i="153"/>
  <c r="D21" i="153"/>
  <c r="E21" i="153"/>
  <c r="C22" i="153"/>
  <c r="D22" i="153"/>
  <c r="E22" i="153"/>
  <c r="C23" i="153"/>
  <c r="D23" i="153"/>
  <c r="E23" i="153"/>
  <c r="C24" i="153"/>
  <c r="D24" i="153"/>
  <c r="E24" i="153"/>
  <c r="C25" i="153"/>
  <c r="D25" i="153"/>
  <c r="E25" i="153"/>
  <c r="C27" i="153"/>
  <c r="D27" i="153"/>
  <c r="E27" i="153"/>
  <c r="C28" i="153"/>
  <c r="D28" i="153"/>
  <c r="E28" i="153"/>
  <c r="C29" i="153"/>
  <c r="D29" i="153"/>
  <c r="E29" i="153"/>
  <c r="C30" i="153"/>
  <c r="D30" i="153"/>
  <c r="E30" i="153"/>
  <c r="C31" i="153"/>
  <c r="D31" i="153"/>
  <c r="E31" i="153"/>
  <c r="C32" i="153"/>
  <c r="D32" i="153"/>
  <c r="E32" i="153"/>
  <c r="C33" i="153"/>
  <c r="D33" i="153"/>
  <c r="E33" i="153"/>
  <c r="D4" i="101"/>
  <c r="J4" i="101" s="1"/>
  <c r="E4" i="101"/>
  <c r="K4" i="101" s="1"/>
  <c r="F4" i="101"/>
  <c r="L4" i="101" s="1"/>
  <c r="G4" i="101"/>
  <c r="H4" i="101"/>
  <c r="D5" i="101"/>
  <c r="J5" i="101" s="1"/>
  <c r="E5" i="101"/>
  <c r="K5" i="101" s="1"/>
  <c r="F5" i="101"/>
  <c r="L5" i="101" s="1"/>
  <c r="G5" i="101"/>
  <c r="H5" i="101"/>
  <c r="D6" i="101"/>
  <c r="J6" i="101" s="1"/>
  <c r="E6" i="101"/>
  <c r="K6" i="101" s="1"/>
  <c r="F6" i="101"/>
  <c r="L6" i="101" s="1"/>
  <c r="G6" i="101"/>
  <c r="H6" i="101"/>
  <c r="D7" i="101"/>
  <c r="J7" i="101" s="1"/>
  <c r="E7" i="101"/>
  <c r="K7" i="101" s="1"/>
  <c r="F7" i="101"/>
  <c r="L7" i="101" s="1"/>
  <c r="G7" i="101"/>
  <c r="H7" i="101"/>
  <c r="D9" i="101"/>
  <c r="J9" i="101" s="1"/>
  <c r="E9" i="101"/>
  <c r="K9" i="101" s="1"/>
  <c r="F9" i="101"/>
  <c r="L9" i="101" s="1"/>
  <c r="G9" i="101"/>
  <c r="H9" i="101"/>
  <c r="D10" i="101"/>
  <c r="J10" i="101" s="1"/>
  <c r="E10" i="101"/>
  <c r="K10" i="101" s="1"/>
  <c r="F10" i="101"/>
  <c r="L10" i="101" s="1"/>
  <c r="G10" i="101"/>
  <c r="H10" i="101"/>
  <c r="D11" i="101"/>
  <c r="J11" i="101" s="1"/>
  <c r="E11" i="101"/>
  <c r="K11" i="101" s="1"/>
  <c r="F11" i="101"/>
  <c r="L11" i="101" s="1"/>
  <c r="G11" i="101"/>
  <c r="H11" i="101"/>
  <c r="D12" i="101"/>
  <c r="J12" i="101" s="1"/>
  <c r="E12" i="101"/>
  <c r="K12" i="101" s="1"/>
  <c r="F12" i="101"/>
  <c r="L12" i="101" s="1"/>
  <c r="G12" i="101"/>
  <c r="H12" i="101"/>
  <c r="D13" i="101"/>
  <c r="J13" i="101" s="1"/>
  <c r="E13" i="101"/>
  <c r="K13" i="101" s="1"/>
  <c r="F13" i="101"/>
  <c r="L13" i="101" s="1"/>
  <c r="G13" i="101"/>
  <c r="H13" i="101"/>
  <c r="D14" i="101"/>
  <c r="J14" i="101" s="1"/>
  <c r="E14" i="101"/>
  <c r="K14" i="101" s="1"/>
  <c r="F14" i="101"/>
  <c r="L14" i="101" s="1"/>
  <c r="G14" i="101"/>
  <c r="H14" i="101"/>
  <c r="D15" i="101"/>
  <c r="J15" i="101" s="1"/>
  <c r="E15" i="101"/>
  <c r="K15" i="101" s="1"/>
  <c r="F15" i="101"/>
  <c r="L15" i="101" s="1"/>
  <c r="G15" i="101"/>
  <c r="H15" i="101"/>
  <c r="D16" i="101"/>
  <c r="J16" i="101" s="1"/>
  <c r="E16" i="101"/>
  <c r="K16" i="101" s="1"/>
  <c r="F16" i="101"/>
  <c r="L16" i="101" s="1"/>
  <c r="G16" i="101"/>
  <c r="H16" i="101"/>
  <c r="D17" i="101"/>
  <c r="J17" i="101" s="1"/>
  <c r="E17" i="101"/>
  <c r="K17" i="101" s="1"/>
  <c r="F17" i="101"/>
  <c r="L17" i="101" s="1"/>
  <c r="G17" i="101"/>
  <c r="H17" i="101"/>
  <c r="D18" i="101"/>
  <c r="J18" i="101" s="1"/>
  <c r="E18" i="101"/>
  <c r="K18" i="101" s="1"/>
  <c r="F18" i="101"/>
  <c r="L18" i="101" s="1"/>
  <c r="G18" i="101"/>
  <c r="H18" i="101"/>
  <c r="D19" i="101"/>
  <c r="J19" i="101" s="1"/>
  <c r="E19" i="101"/>
  <c r="K19" i="101" s="1"/>
  <c r="F19" i="101"/>
  <c r="L19" i="101" s="1"/>
  <c r="G19" i="101"/>
  <c r="H19" i="101"/>
  <c r="D20" i="101"/>
  <c r="J20" i="101" s="1"/>
  <c r="E20" i="101"/>
  <c r="K20" i="101" s="1"/>
  <c r="F20" i="101"/>
  <c r="L20" i="101" s="1"/>
  <c r="G20" i="101"/>
  <c r="H20" i="101"/>
  <c r="D21" i="101"/>
  <c r="J21" i="101" s="1"/>
  <c r="E21" i="101"/>
  <c r="K21" i="101" s="1"/>
  <c r="F21" i="101"/>
  <c r="L21" i="101" s="1"/>
  <c r="G21" i="101"/>
  <c r="H21" i="101"/>
  <c r="D22" i="101"/>
  <c r="J22" i="101" s="1"/>
  <c r="E22" i="101"/>
  <c r="K22" i="101" s="1"/>
  <c r="F22" i="101"/>
  <c r="L22" i="101" s="1"/>
  <c r="G22" i="101"/>
  <c r="H22" i="101"/>
  <c r="D23" i="101"/>
  <c r="J23" i="101" s="1"/>
  <c r="E23" i="101"/>
  <c r="K23" i="101" s="1"/>
  <c r="F23" i="101"/>
  <c r="L23" i="101" s="1"/>
  <c r="G23" i="101"/>
  <c r="H23" i="101"/>
  <c r="D24" i="101"/>
  <c r="J24" i="101" s="1"/>
  <c r="E24" i="101"/>
  <c r="K24" i="101" s="1"/>
  <c r="F24" i="101"/>
  <c r="L24" i="101" s="1"/>
  <c r="G24" i="101"/>
  <c r="H24" i="101"/>
  <c r="D26" i="101"/>
  <c r="J26" i="101" s="1"/>
  <c r="E26" i="101"/>
  <c r="K26" i="101" s="1"/>
  <c r="F26" i="101"/>
  <c r="L26" i="101" s="1"/>
  <c r="G26" i="101"/>
  <c r="H26" i="101"/>
  <c r="D27" i="101"/>
  <c r="J27" i="101" s="1"/>
  <c r="E27" i="101"/>
  <c r="K27" i="101" s="1"/>
  <c r="F27" i="101"/>
  <c r="L27" i="101" s="1"/>
  <c r="G27" i="101"/>
  <c r="H27" i="101"/>
  <c r="D28" i="101"/>
  <c r="J28" i="101" s="1"/>
  <c r="E28" i="101"/>
  <c r="K28" i="101" s="1"/>
  <c r="F28" i="101"/>
  <c r="L28" i="101" s="1"/>
  <c r="N28" i="101" s="1"/>
  <c r="G28" i="101"/>
  <c r="H28" i="101"/>
  <c r="D29" i="101"/>
  <c r="J29" i="101" s="1"/>
  <c r="E29" i="101"/>
  <c r="K29" i="101" s="1"/>
  <c r="F29" i="101"/>
  <c r="L29" i="101" s="1"/>
  <c r="G29" i="101"/>
  <c r="H29" i="101"/>
  <c r="D30" i="101"/>
  <c r="J30" i="101" s="1"/>
  <c r="E30" i="101"/>
  <c r="K30" i="101" s="1"/>
  <c r="F30" i="101"/>
  <c r="L30" i="101" s="1"/>
  <c r="G30" i="101"/>
  <c r="H30" i="101"/>
  <c r="D31" i="101"/>
  <c r="J31" i="101" s="1"/>
  <c r="E31" i="101"/>
  <c r="K31" i="101" s="1"/>
  <c r="F31" i="101"/>
  <c r="L31" i="101" s="1"/>
  <c r="G31" i="101"/>
  <c r="H31" i="101"/>
  <c r="D32" i="101"/>
  <c r="J32" i="101" s="1"/>
  <c r="E32" i="101"/>
  <c r="K32" i="101" s="1"/>
  <c r="L32" i="101"/>
  <c r="G32" i="101"/>
  <c r="H32" i="101"/>
  <c r="F16" i="153" l="1"/>
  <c r="F7" i="153"/>
  <c r="F33" i="153"/>
  <c r="F24" i="153"/>
  <c r="F29" i="153"/>
  <c r="F20" i="153"/>
  <c r="F30" i="153"/>
  <c r="F21" i="153"/>
  <c r="F13" i="153"/>
  <c r="F27" i="153"/>
  <c r="F18" i="153"/>
  <c r="F10" i="153"/>
  <c r="F23" i="153"/>
  <c r="F15" i="153"/>
  <c r="F6" i="153"/>
  <c r="F12" i="153"/>
  <c r="F25" i="153"/>
  <c r="F17" i="153"/>
  <c r="F8" i="153"/>
  <c r="F22" i="153"/>
  <c r="F14" i="153"/>
  <c r="F5" i="153"/>
  <c r="F19" i="153"/>
  <c r="F11" i="153"/>
  <c r="M29" i="101"/>
  <c r="F28" i="153"/>
  <c r="F31" i="153"/>
  <c r="F32" i="153"/>
  <c r="M24" i="101"/>
  <c r="M32" i="101"/>
  <c r="M20" i="101"/>
  <c r="M7" i="101"/>
  <c r="M26" i="101"/>
  <c r="M19" i="101"/>
  <c r="M6" i="101"/>
  <c r="M23" i="101"/>
  <c r="M11" i="101"/>
  <c r="M13" i="101"/>
  <c r="M30" i="101"/>
  <c r="M27" i="101"/>
  <c r="M14" i="101"/>
  <c r="M21" i="101"/>
  <c r="M9" i="101"/>
  <c r="M16" i="101"/>
  <c r="M31" i="101"/>
  <c r="M18" i="101"/>
  <c r="M5" i="101"/>
  <c r="M28" i="101"/>
  <c r="M15" i="101"/>
  <c r="M22" i="101"/>
  <c r="M10" i="101"/>
  <c r="M17" i="101"/>
  <c r="M4" i="101"/>
  <c r="M12" i="101"/>
  <c r="H12" i="413" l="1"/>
  <c r="D12" i="413"/>
  <c r="C26" i="14" l="1"/>
  <c r="J46" i="150" l="1"/>
  <c r="B60" i="150"/>
  <c r="C39" i="23" s="1"/>
  <c r="F8" i="254"/>
  <c r="O6" i="363" l="1"/>
  <c r="O7" i="363"/>
  <c r="O8" i="363"/>
  <c r="Q12" i="363"/>
  <c r="S12" i="363"/>
  <c r="U12" i="363"/>
  <c r="W12" i="363"/>
  <c r="Y12" i="363"/>
  <c r="Q18" i="363"/>
  <c r="S18" i="363"/>
  <c r="U18" i="363"/>
  <c r="W18" i="363"/>
  <c r="Y18" i="363"/>
  <c r="Q46" i="363"/>
  <c r="U44" i="363"/>
  <c r="S46" i="363"/>
  <c r="U46" i="363"/>
  <c r="W46" i="363"/>
  <c r="Y46" i="363"/>
  <c r="Q48" i="363"/>
  <c r="AA48" i="363" s="1"/>
  <c r="S48" i="363"/>
  <c r="U48" i="363"/>
  <c r="W48" i="363"/>
  <c r="Y48" i="363"/>
  <c r="S27" i="363"/>
  <c r="U27" i="363"/>
  <c r="W28" i="363"/>
  <c r="Y28" i="363"/>
  <c r="S43" i="363"/>
  <c r="U43" i="363"/>
  <c r="W43" i="363"/>
  <c r="Y43" i="363"/>
  <c r="Q22" i="363"/>
  <c r="W22" i="363"/>
  <c r="Y22" i="363"/>
  <c r="W34" i="363"/>
  <c r="Y34" i="363"/>
  <c r="Q23" i="363"/>
  <c r="S18" i="416" s="1"/>
  <c r="S23" i="363"/>
  <c r="U18" i="416" s="1"/>
  <c r="U52" i="363"/>
  <c r="W52" i="363"/>
  <c r="Y52" i="363"/>
  <c r="Q50" i="363"/>
  <c r="U50" i="363"/>
  <c r="O6" i="361"/>
  <c r="O7" i="361"/>
  <c r="O8" i="361"/>
  <c r="Q12" i="361"/>
  <c r="S12" i="361"/>
  <c r="U12" i="361"/>
  <c r="W12" i="361"/>
  <c r="Y12" i="361"/>
  <c r="U44" i="361"/>
  <c r="Q18" i="361"/>
  <c r="S18" i="361"/>
  <c r="U18" i="361"/>
  <c r="W18" i="361"/>
  <c r="Y18" i="361"/>
  <c r="Q46" i="361"/>
  <c r="S48" i="361"/>
  <c r="S46" i="361"/>
  <c r="U46" i="361"/>
  <c r="W46" i="361"/>
  <c r="Y46" i="361"/>
  <c r="Q48" i="361"/>
  <c r="U48" i="361"/>
  <c r="W48" i="361"/>
  <c r="Y48" i="361"/>
  <c r="Q28" i="361"/>
  <c r="S28" i="361"/>
  <c r="U17" i="361"/>
  <c r="W17" i="361"/>
  <c r="Y17" i="361"/>
  <c r="Q43" i="361"/>
  <c r="S43" i="361"/>
  <c r="U43" i="361"/>
  <c r="W44" i="361"/>
  <c r="Y44" i="361"/>
  <c r="Q22" i="361"/>
  <c r="S22" i="361"/>
  <c r="U22" i="361"/>
  <c r="W22" i="361"/>
  <c r="Q34" i="361"/>
  <c r="U34" i="361"/>
  <c r="W35" i="361"/>
  <c r="Y35" i="361"/>
  <c r="U52" i="361"/>
  <c r="W52" i="361"/>
  <c r="Y52" i="361"/>
  <c r="U50" i="361"/>
  <c r="W50" i="361"/>
  <c r="Y50" i="361"/>
  <c r="O6" i="360"/>
  <c r="O7" i="360"/>
  <c r="O8" i="360"/>
  <c r="Q12" i="360"/>
  <c r="S12" i="360"/>
  <c r="U12" i="360"/>
  <c r="W12" i="360"/>
  <c r="Y12" i="360"/>
  <c r="Q18" i="360"/>
  <c r="S18" i="360"/>
  <c r="U18" i="360"/>
  <c r="W18" i="360"/>
  <c r="Y18" i="360"/>
  <c r="U52" i="360"/>
  <c r="U48" i="360"/>
  <c r="U46" i="360"/>
  <c r="W46" i="360"/>
  <c r="Y46" i="360"/>
  <c r="Q48" i="360"/>
  <c r="S48" i="360"/>
  <c r="W48" i="360"/>
  <c r="Y48" i="360"/>
  <c r="U27" i="360"/>
  <c r="W27" i="360"/>
  <c r="Y27" i="360"/>
  <c r="Q44" i="360"/>
  <c r="S44" i="360"/>
  <c r="U43" i="360"/>
  <c r="W43" i="360"/>
  <c r="Y43" i="360"/>
  <c r="Y22" i="360"/>
  <c r="U33" i="360"/>
  <c r="W34" i="360"/>
  <c r="Y34" i="360"/>
  <c r="W52" i="360"/>
  <c r="Y52" i="360"/>
  <c r="W50" i="360"/>
  <c r="Y50" i="360"/>
  <c r="O6" i="359"/>
  <c r="O7" i="359"/>
  <c r="O8" i="359"/>
  <c r="Q12" i="359"/>
  <c r="S12" i="359"/>
  <c r="U12" i="359"/>
  <c r="W12" i="359"/>
  <c r="Y12" i="359"/>
  <c r="Q18" i="359"/>
  <c r="S18" i="359"/>
  <c r="U18" i="359"/>
  <c r="W18" i="359"/>
  <c r="Y18" i="359"/>
  <c r="Q46" i="359"/>
  <c r="S46" i="359"/>
  <c r="U46" i="359"/>
  <c r="W46" i="359"/>
  <c r="Y46" i="359"/>
  <c r="Q48" i="359"/>
  <c r="S48" i="359"/>
  <c r="U48" i="359"/>
  <c r="W48" i="359"/>
  <c r="Y48" i="359"/>
  <c r="Q28" i="359"/>
  <c r="U17" i="359"/>
  <c r="W17" i="359"/>
  <c r="W19" i="359" s="1"/>
  <c r="Y17" i="359"/>
  <c r="Y19" i="359" s="1"/>
  <c r="W45" i="359"/>
  <c r="Y43" i="359"/>
  <c r="U22" i="359"/>
  <c r="W22" i="359"/>
  <c r="Y22" i="359"/>
  <c r="Y34" i="359"/>
  <c r="Y52" i="359"/>
  <c r="Q50" i="359"/>
  <c r="U50" i="359"/>
  <c r="Y50" i="359"/>
  <c r="O6" i="358"/>
  <c r="O7" i="358"/>
  <c r="O8" i="358"/>
  <c r="S22" i="358"/>
  <c r="Q12" i="358"/>
  <c r="S12" i="358"/>
  <c r="U12" i="358"/>
  <c r="W12" i="358"/>
  <c r="Y12" i="358"/>
  <c r="Q18" i="358"/>
  <c r="S18" i="358"/>
  <c r="U13" i="416" s="1"/>
  <c r="U18" i="358"/>
  <c r="Y18" i="358"/>
  <c r="AA13" i="416" s="1"/>
  <c r="Y27" i="358"/>
  <c r="Y28" i="358"/>
  <c r="U50" i="358"/>
  <c r="Y44" i="358"/>
  <c r="Q46" i="358"/>
  <c r="S46" i="358"/>
  <c r="Y46" i="358"/>
  <c r="Y48" i="358"/>
  <c r="AA43" i="416" s="1"/>
  <c r="S28" i="358"/>
  <c r="U17" i="358"/>
  <c r="Y29" i="358"/>
  <c r="Q43" i="358"/>
  <c r="U43" i="358"/>
  <c r="W45" i="358"/>
  <c r="Y43" i="358"/>
  <c r="Y22" i="358"/>
  <c r="S33" i="358"/>
  <c r="U52" i="358"/>
  <c r="Y52" i="358"/>
  <c r="AA46" i="363" l="1"/>
  <c r="U19" i="361"/>
  <c r="S13" i="416"/>
  <c r="U19" i="359"/>
  <c r="AA46" i="359"/>
  <c r="AA47" i="416"/>
  <c r="Y30" i="358"/>
  <c r="Q29" i="360"/>
  <c r="Q33" i="360"/>
  <c r="Q54" i="360" s="1"/>
  <c r="S28" i="359"/>
  <c r="S34" i="359"/>
  <c r="AA34" i="359" s="1"/>
  <c r="S17" i="359"/>
  <c r="S19" i="359" s="1"/>
  <c r="S29" i="360"/>
  <c r="S33" i="360"/>
  <c r="S27" i="360"/>
  <c r="S50" i="363"/>
  <c r="AA41" i="416"/>
  <c r="S27" i="358"/>
  <c r="S50" i="359"/>
  <c r="S22" i="359"/>
  <c r="S46" i="360"/>
  <c r="U41" i="416" s="1"/>
  <c r="U35" i="361"/>
  <c r="U46" i="358"/>
  <c r="W41" i="416" s="1"/>
  <c r="S34" i="358"/>
  <c r="Q22" i="359"/>
  <c r="Q46" i="360"/>
  <c r="U19" i="358"/>
  <c r="AA48" i="360"/>
  <c r="AA46" i="361"/>
  <c r="U28" i="363"/>
  <c r="S41" i="416"/>
  <c r="Q52" i="360"/>
  <c r="AA48" i="361"/>
  <c r="W13" i="416"/>
  <c r="W52" i="359"/>
  <c r="W34" i="359"/>
  <c r="S52" i="361"/>
  <c r="S34" i="361"/>
  <c r="S52" i="363"/>
  <c r="AA52" i="363" s="1"/>
  <c r="S33" i="363"/>
  <c r="Q52" i="361"/>
  <c r="Q52" i="363"/>
  <c r="S48" i="358"/>
  <c r="U43" i="416" s="1"/>
  <c r="U44" i="359"/>
  <c r="S52" i="359"/>
  <c r="S44" i="359"/>
  <c r="AA48" i="359"/>
  <c r="W22" i="360"/>
  <c r="Q44" i="363"/>
  <c r="U52" i="359"/>
  <c r="W47" i="416" s="1"/>
  <c r="Y50" i="358"/>
  <c r="Q48" i="358"/>
  <c r="S43" i="416" s="1"/>
  <c r="Y17" i="358"/>
  <c r="Q52" i="359"/>
  <c r="AA52" i="359" s="1"/>
  <c r="Q34" i="359"/>
  <c r="Q44" i="359"/>
  <c r="Y35" i="359"/>
  <c r="U50" i="360"/>
  <c r="W45" i="416" s="1"/>
  <c r="Y22" i="361"/>
  <c r="AA17" i="416" s="1"/>
  <c r="S52" i="358"/>
  <c r="S17" i="358"/>
  <c r="S22" i="360"/>
  <c r="Y19" i="361"/>
  <c r="W50" i="363"/>
  <c r="U34" i="359"/>
  <c r="U34" i="358"/>
  <c r="S29" i="358"/>
  <c r="S30" i="358" s="1"/>
  <c r="W19" i="361"/>
  <c r="S17" i="361"/>
  <c r="S19" i="361" s="1"/>
  <c r="U22" i="363"/>
  <c r="S54" i="360"/>
  <c r="S54" i="363"/>
  <c r="S54" i="358"/>
  <c r="S43" i="358"/>
  <c r="S45" i="358"/>
  <c r="S44" i="358"/>
  <c r="U54" i="360"/>
  <c r="U34" i="360"/>
  <c r="S45" i="363"/>
  <c r="U45" i="359"/>
  <c r="U43" i="359"/>
  <c r="W38" i="416" s="1"/>
  <c r="W35" i="359"/>
  <c r="Y33" i="359"/>
  <c r="Y29" i="359"/>
  <c r="Y27" i="359"/>
  <c r="AA22" i="416" s="1"/>
  <c r="Q17" i="359"/>
  <c r="Q19" i="359" s="1"/>
  <c r="S45" i="360"/>
  <c r="S43" i="360"/>
  <c r="S34" i="360"/>
  <c r="Y28" i="360"/>
  <c r="Q27" i="360"/>
  <c r="S50" i="361"/>
  <c r="S44" i="361"/>
  <c r="S35" i="361"/>
  <c r="Y33" i="361"/>
  <c r="Y29" i="361"/>
  <c r="Y27" i="361"/>
  <c r="Q17" i="361"/>
  <c r="Q19" i="361" s="1"/>
  <c r="Q45" i="363"/>
  <c r="Q43" i="363"/>
  <c r="AA43" i="363" s="1"/>
  <c r="S34" i="363"/>
  <c r="S28" i="363"/>
  <c r="S45" i="359"/>
  <c r="S43" i="359"/>
  <c r="U35" i="359"/>
  <c r="W33" i="359"/>
  <c r="W29" i="359"/>
  <c r="W27" i="359"/>
  <c r="Q45" i="360"/>
  <c r="Q43" i="360"/>
  <c r="Q34" i="360"/>
  <c r="W28" i="360"/>
  <c r="Q50" i="361"/>
  <c r="Q44" i="361"/>
  <c r="Q35" i="361"/>
  <c r="W33" i="361"/>
  <c r="W29" i="361"/>
  <c r="W27" i="361"/>
  <c r="Q28" i="363"/>
  <c r="AA28" i="363" s="1"/>
  <c r="S22" i="363"/>
  <c r="Y17" i="363"/>
  <c r="Y19" i="363" s="1"/>
  <c r="Q45" i="359"/>
  <c r="Q43" i="359"/>
  <c r="S35" i="359"/>
  <c r="U33" i="359"/>
  <c r="U29" i="359"/>
  <c r="U27" i="359"/>
  <c r="U28" i="360"/>
  <c r="U33" i="361"/>
  <c r="U29" i="361"/>
  <c r="U27" i="361"/>
  <c r="Y50" i="363"/>
  <c r="Y44" i="363"/>
  <c r="W17" i="363"/>
  <c r="W19" i="363" s="1"/>
  <c r="U45" i="360"/>
  <c r="Q44" i="358"/>
  <c r="Q35" i="359"/>
  <c r="S33" i="359"/>
  <c r="S29" i="359"/>
  <c r="S27" i="359"/>
  <c r="Y44" i="360"/>
  <c r="Y35" i="360"/>
  <c r="S28" i="360"/>
  <c r="U22" i="360"/>
  <c r="Y45" i="361"/>
  <c r="Y43" i="361"/>
  <c r="AA38" i="416" s="1"/>
  <c r="Y34" i="361"/>
  <c r="S33" i="361"/>
  <c r="S29" i="361"/>
  <c r="S27" i="361"/>
  <c r="S30" i="361" s="1"/>
  <c r="W44" i="363"/>
  <c r="Y35" i="363"/>
  <c r="Y33" i="363"/>
  <c r="Y29" i="363"/>
  <c r="Y27" i="363"/>
  <c r="U17" i="363"/>
  <c r="U19" i="363" s="1"/>
  <c r="U35" i="358"/>
  <c r="U28" i="358"/>
  <c r="Y44" i="359"/>
  <c r="Q33" i="359"/>
  <c r="Q29" i="359"/>
  <c r="Q27" i="359"/>
  <c r="W44" i="360"/>
  <c r="W35" i="360"/>
  <c r="Q28" i="360"/>
  <c r="Y17" i="360"/>
  <c r="Y19" i="360" s="1"/>
  <c r="W45" i="361"/>
  <c r="W43" i="361"/>
  <c r="W34" i="361"/>
  <c r="Q33" i="361"/>
  <c r="Q29" i="361"/>
  <c r="Q27" i="361"/>
  <c r="W35" i="363"/>
  <c r="W33" i="363"/>
  <c r="W29" i="363"/>
  <c r="W27" i="363"/>
  <c r="S17" i="363"/>
  <c r="S19" i="363" s="1"/>
  <c r="W43" i="359"/>
  <c r="S50" i="358"/>
  <c r="Y45" i="358"/>
  <c r="S35" i="358"/>
  <c r="W50" i="359"/>
  <c r="W44" i="359"/>
  <c r="U44" i="360"/>
  <c r="U35" i="360"/>
  <c r="W17" i="360"/>
  <c r="W19" i="360" s="1"/>
  <c r="U45" i="361"/>
  <c r="S44" i="363"/>
  <c r="U35" i="363"/>
  <c r="U29" i="363"/>
  <c r="U30" i="363" s="1"/>
  <c r="Q17" i="363"/>
  <c r="Q19" i="363" s="1"/>
  <c r="Y28" i="359"/>
  <c r="S35" i="360"/>
  <c r="Y33" i="360"/>
  <c r="Y29" i="360"/>
  <c r="U17" i="360"/>
  <c r="U19" i="360" s="1"/>
  <c r="S45" i="361"/>
  <c r="Y28" i="361"/>
  <c r="S35" i="363"/>
  <c r="S29" i="363"/>
  <c r="U45" i="358"/>
  <c r="W28" i="359"/>
  <c r="Q35" i="360"/>
  <c r="W33" i="360"/>
  <c r="AA33" i="360" s="1"/>
  <c r="W29" i="360"/>
  <c r="S17" i="360"/>
  <c r="S19" i="360" s="1"/>
  <c r="Q45" i="361"/>
  <c r="W28" i="361"/>
  <c r="Q29" i="363"/>
  <c r="U28" i="359"/>
  <c r="U29" i="360"/>
  <c r="Q17" i="360"/>
  <c r="Q19" i="360" s="1"/>
  <c r="U28" i="361"/>
  <c r="Y45" i="363"/>
  <c r="Q27" i="358"/>
  <c r="Q45" i="358"/>
  <c r="Y45" i="360"/>
  <c r="W45" i="363"/>
  <c r="U29" i="358"/>
  <c r="U27" i="358"/>
  <c r="W22" i="416" s="1"/>
  <c r="Y45" i="359"/>
  <c r="W45" i="360"/>
  <c r="Y40" i="416" s="1"/>
  <c r="U45" i="363"/>
  <c r="AA52" i="361" l="1"/>
  <c r="AA44" i="363"/>
  <c r="AA24" i="416"/>
  <c r="S38" i="416"/>
  <c r="W24" i="416"/>
  <c r="U23" i="416"/>
  <c r="AA28" i="361"/>
  <c r="AA44" i="361"/>
  <c r="AA50" i="361"/>
  <c r="AA34" i="361"/>
  <c r="AA43" i="361"/>
  <c r="AA35" i="361"/>
  <c r="U28" i="416"/>
  <c r="AA45" i="361"/>
  <c r="AA44" i="360"/>
  <c r="W30" i="360"/>
  <c r="AA23" i="416"/>
  <c r="AA25" i="416" s="1"/>
  <c r="AA39" i="416"/>
  <c r="S30" i="360"/>
  <c r="Q36" i="360"/>
  <c r="U17" i="416"/>
  <c r="AA46" i="360"/>
  <c r="U38" i="416"/>
  <c r="AA44" i="359"/>
  <c r="AA50" i="359"/>
  <c r="W23" i="416"/>
  <c r="U40" i="416"/>
  <c r="S50" i="360"/>
  <c r="U45" i="416" s="1"/>
  <c r="S22" i="416"/>
  <c r="U29" i="416"/>
  <c r="AA45" i="358"/>
  <c r="S40" i="416"/>
  <c r="S39" i="416"/>
  <c r="Q27" i="363"/>
  <c r="Q30" i="363" s="1"/>
  <c r="U33" i="358"/>
  <c r="S30" i="363"/>
  <c r="S36" i="363"/>
  <c r="U30" i="360"/>
  <c r="Q22" i="360"/>
  <c r="S19" i="358"/>
  <c r="U12" i="416"/>
  <c r="U14" i="416" s="1"/>
  <c r="Y19" i="358"/>
  <c r="AA12" i="416"/>
  <c r="AA14" i="416" s="1"/>
  <c r="S52" i="360"/>
  <c r="AA52" i="360" s="1"/>
  <c r="U36" i="358"/>
  <c r="W30" i="416"/>
  <c r="AA50" i="363"/>
  <c r="U30" i="359"/>
  <c r="Y30" i="360"/>
  <c r="U36" i="360"/>
  <c r="U24" i="416"/>
  <c r="W12" i="416"/>
  <c r="W14" i="416" s="1"/>
  <c r="AA29" i="360"/>
  <c r="S36" i="360"/>
  <c r="Y33" i="358"/>
  <c r="Y35" i="358"/>
  <c r="AA30" i="416" s="1"/>
  <c r="Y34" i="358"/>
  <c r="AA29" i="416" s="1"/>
  <c r="AA45" i="416"/>
  <c r="Q50" i="360"/>
  <c r="AA50" i="360" s="1"/>
  <c r="AA28" i="359"/>
  <c r="W40" i="416"/>
  <c r="S36" i="358"/>
  <c r="U30" i="416"/>
  <c r="W29" i="416"/>
  <c r="AA40" i="416"/>
  <c r="U39" i="416"/>
  <c r="U33" i="363"/>
  <c r="U34" i="363"/>
  <c r="U22" i="416"/>
  <c r="AA33" i="361"/>
  <c r="Q36" i="361"/>
  <c r="Q54" i="361"/>
  <c r="U30" i="361"/>
  <c r="AA27" i="360"/>
  <c r="Q30" i="360"/>
  <c r="W30" i="361"/>
  <c r="W36" i="359"/>
  <c r="W54" i="359"/>
  <c r="AA45" i="363"/>
  <c r="U36" i="361"/>
  <c r="U54" i="361"/>
  <c r="U30" i="358"/>
  <c r="W30" i="363"/>
  <c r="S30" i="359"/>
  <c r="W54" i="361"/>
  <c r="W36" i="361"/>
  <c r="W36" i="363"/>
  <c r="W54" i="363"/>
  <c r="AA28" i="360"/>
  <c r="S36" i="359"/>
  <c r="S54" i="359"/>
  <c r="U49" i="416" s="1"/>
  <c r="W36" i="360"/>
  <c r="W54" i="360"/>
  <c r="Y30" i="363"/>
  <c r="AA35" i="359"/>
  <c r="U36" i="359"/>
  <c r="U54" i="359"/>
  <c r="Y30" i="361"/>
  <c r="Y30" i="359"/>
  <c r="AA35" i="360"/>
  <c r="S36" i="361"/>
  <c r="S54" i="361"/>
  <c r="Q30" i="359"/>
  <c r="AA27" i="359"/>
  <c r="Y36" i="363"/>
  <c r="Y54" i="363"/>
  <c r="AA43" i="359"/>
  <c r="AA34" i="360"/>
  <c r="AA36" i="360" s="1"/>
  <c r="Y54" i="361"/>
  <c r="Y36" i="361"/>
  <c r="Y36" i="359"/>
  <c r="Y54" i="359"/>
  <c r="Y36" i="360"/>
  <c r="Y54" i="360"/>
  <c r="AA29" i="359"/>
  <c r="AA45" i="359"/>
  <c r="AA43" i="360"/>
  <c r="AA27" i="363"/>
  <c r="AA30" i="363" s="1"/>
  <c r="Q28" i="358"/>
  <c r="S23" i="416" s="1"/>
  <c r="Q17" i="358"/>
  <c r="Q29" i="358"/>
  <c r="S24" i="416" s="1"/>
  <c r="AA29" i="363"/>
  <c r="Q30" i="361"/>
  <c r="AA27" i="361"/>
  <c r="Q36" i="359"/>
  <c r="Q54" i="359"/>
  <c r="AA33" i="359"/>
  <c r="AA36" i="359" s="1"/>
  <c r="AA45" i="360"/>
  <c r="Q22" i="358"/>
  <c r="S17" i="416" s="1"/>
  <c r="Q50" i="358"/>
  <c r="AA29" i="361"/>
  <c r="W30" i="359"/>
  <c r="S45" i="416" l="1"/>
  <c r="W25" i="416"/>
  <c r="AA36" i="361"/>
  <c r="AA30" i="361"/>
  <c r="U25" i="416"/>
  <c r="U31" i="416"/>
  <c r="W28" i="416"/>
  <c r="W31" i="416" s="1"/>
  <c r="U54" i="358"/>
  <c r="W49" i="416" s="1"/>
  <c r="S25" i="416"/>
  <c r="AA54" i="359"/>
  <c r="AA28" i="416"/>
  <c r="AA31" i="416" s="1"/>
  <c r="Y54" i="358"/>
  <c r="AA49" i="416" s="1"/>
  <c r="Y36" i="358"/>
  <c r="Q33" i="363"/>
  <c r="Q34" i="363"/>
  <c r="AA34" i="363" s="1"/>
  <c r="Q35" i="363"/>
  <c r="AA35" i="363" s="1"/>
  <c r="AA54" i="361"/>
  <c r="U47" i="416"/>
  <c r="U36" i="363"/>
  <c r="U54" i="363"/>
  <c r="AC40" i="416"/>
  <c r="AA30" i="359"/>
  <c r="AA54" i="360"/>
  <c r="S47" i="416"/>
  <c r="Q19" i="358"/>
  <c r="S12" i="416"/>
  <c r="S14" i="416" s="1"/>
  <c r="AA30" i="360"/>
  <c r="Q30" i="358"/>
  <c r="Q35" i="358"/>
  <c r="Q34" i="358"/>
  <c r="Q33" i="358"/>
  <c r="S28" i="416" s="1"/>
  <c r="S30" i="416" l="1"/>
  <c r="S29" i="416"/>
  <c r="Q54" i="363"/>
  <c r="AA54" i="363" s="1"/>
  <c r="AA33" i="363"/>
  <c r="AA36" i="363" s="1"/>
  <c r="Q36" i="363"/>
  <c r="Q54" i="358"/>
  <c r="S49" i="416" s="1"/>
  <c r="Q36" i="358"/>
  <c r="S31" i="416" l="1"/>
  <c r="W43" i="358"/>
  <c r="AA43" i="358" l="1"/>
  <c r="Y38" i="416"/>
  <c r="AC38" i="416" s="1"/>
  <c r="U48" i="358"/>
  <c r="W48" i="358"/>
  <c r="Y43" i="416" s="1"/>
  <c r="W18" i="358"/>
  <c r="Y13" i="416" s="1"/>
  <c r="W52" i="358"/>
  <c r="W22" i="358"/>
  <c r="Y17" i="416" s="1"/>
  <c r="W46" i="358"/>
  <c r="AA46" i="358" l="1"/>
  <c r="Y41" i="416"/>
  <c r="AC41" i="416" s="1"/>
  <c r="AA52" i="358"/>
  <c r="Y47" i="416"/>
  <c r="AC47" i="416" s="1"/>
  <c r="AA48" i="358"/>
  <c r="W43" i="416"/>
  <c r="AC43" i="416" s="1"/>
  <c r="W50" i="358"/>
  <c r="U22" i="358"/>
  <c r="W17" i="416" s="1"/>
  <c r="W17" i="358"/>
  <c r="W28" i="358"/>
  <c r="W27" i="358"/>
  <c r="Y22" i="416" s="1"/>
  <c r="U44" i="358"/>
  <c r="W44" i="358"/>
  <c r="Y39" i="416" s="1"/>
  <c r="W29" i="358"/>
  <c r="AA28" i="358" l="1"/>
  <c r="Y23" i="416"/>
  <c r="AC23" i="416" s="1"/>
  <c r="W19" i="358"/>
  <c r="Y12" i="416"/>
  <c r="Y14" i="416" s="1"/>
  <c r="AA29" i="358"/>
  <c r="Y24" i="416"/>
  <c r="AC24" i="416" s="1"/>
  <c r="AA44" i="358"/>
  <c r="W39" i="416"/>
  <c r="AC39" i="416" s="1"/>
  <c r="AA50" i="358"/>
  <c r="Y45" i="416"/>
  <c r="AC45" i="416" s="1"/>
  <c r="AC22" i="416"/>
  <c r="W30" i="358"/>
  <c r="AA27" i="358"/>
  <c r="W34" i="358"/>
  <c r="W35" i="358"/>
  <c r="W33" i="358"/>
  <c r="Y28" i="416" s="1"/>
  <c r="AC25" i="416" l="1"/>
  <c r="Y25" i="416"/>
  <c r="AC28" i="416"/>
  <c r="AA35" i="358"/>
  <c r="Y30" i="416"/>
  <c r="AC30" i="416" s="1"/>
  <c r="AA34" i="358"/>
  <c r="Y29" i="416"/>
  <c r="AC29" i="416" s="1"/>
  <c r="AA30" i="358"/>
  <c r="W36" i="358"/>
  <c r="W54" i="358"/>
  <c r="AA33" i="358"/>
  <c r="AA36" i="358" l="1"/>
  <c r="AA54" i="358"/>
  <c r="Y49" i="416"/>
  <c r="AC49" i="416" s="1"/>
  <c r="AC31" i="416"/>
  <c r="Y31" i="416"/>
  <c r="R1144" i="148"/>
  <c r="S1144" i="148"/>
  <c r="M1144" i="148"/>
  <c r="L1144" i="148"/>
  <c r="K1144" i="148"/>
  <c r="I1144" i="148"/>
  <c r="G1144" i="148"/>
  <c r="N1144" i="148" s="1"/>
  <c r="R1143" i="148"/>
  <c r="M1143" i="148"/>
  <c r="L1143" i="148"/>
  <c r="K1143" i="148"/>
  <c r="I1143" i="148"/>
  <c r="G1143" i="148"/>
  <c r="N1143" i="148" s="1"/>
  <c r="R1142" i="148"/>
  <c r="S1142" i="148"/>
  <c r="M1142" i="148"/>
  <c r="L1142" i="148"/>
  <c r="K1142" i="148"/>
  <c r="I1142" i="148"/>
  <c r="G1142" i="148"/>
  <c r="N1142" i="148" s="1"/>
  <c r="R1141" i="148"/>
  <c r="S1141" i="148"/>
  <c r="M1141" i="148"/>
  <c r="L1141" i="148"/>
  <c r="K1141" i="148"/>
  <c r="I1141" i="148"/>
  <c r="G1141" i="148"/>
  <c r="N1141" i="148" s="1"/>
  <c r="R1140" i="148"/>
  <c r="M1140" i="148"/>
  <c r="L1140" i="148"/>
  <c r="K1140" i="148"/>
  <c r="I1140" i="148"/>
  <c r="G1140" i="148"/>
  <c r="N1140" i="148" s="1"/>
  <c r="R1139" i="148"/>
  <c r="M1139" i="148"/>
  <c r="L1139" i="148"/>
  <c r="K1139" i="148"/>
  <c r="I1139" i="148"/>
  <c r="G1139" i="148"/>
  <c r="N1139" i="148" s="1"/>
  <c r="R1138" i="148"/>
  <c r="M1138" i="148"/>
  <c r="L1138" i="148"/>
  <c r="K1138" i="148"/>
  <c r="I1138" i="148"/>
  <c r="G1138" i="148"/>
  <c r="N1138" i="148" s="1"/>
  <c r="R1137" i="148"/>
  <c r="M1137" i="148"/>
  <c r="L1137" i="148"/>
  <c r="K1137" i="148"/>
  <c r="I1137" i="148"/>
  <c r="G1137" i="148"/>
  <c r="N1137" i="148" s="1"/>
  <c r="R1136" i="148"/>
  <c r="M1136" i="148"/>
  <c r="L1136" i="148"/>
  <c r="K1136" i="148"/>
  <c r="I1136" i="148"/>
  <c r="G1136" i="148"/>
  <c r="J1136" i="148" s="1"/>
  <c r="R1135" i="148"/>
  <c r="S1135" i="148"/>
  <c r="M1135" i="148"/>
  <c r="L1135" i="148"/>
  <c r="K1135" i="148"/>
  <c r="I1135" i="148"/>
  <c r="G1135" i="148"/>
  <c r="N1135" i="148" s="1"/>
  <c r="R1134" i="148"/>
  <c r="M1134" i="148"/>
  <c r="L1134" i="148"/>
  <c r="K1134" i="148"/>
  <c r="I1134" i="148"/>
  <c r="G1134" i="148"/>
  <c r="N1134" i="148" s="1"/>
  <c r="R1133" i="148"/>
  <c r="S1133" i="148"/>
  <c r="M1133" i="148"/>
  <c r="L1133" i="148"/>
  <c r="K1133" i="148"/>
  <c r="I1133" i="148"/>
  <c r="G1133" i="148"/>
  <c r="N1133" i="148" s="1"/>
  <c r="G1132" i="148"/>
  <c r="J1132" i="148" s="1"/>
  <c r="I1132" i="148"/>
  <c r="K1132" i="148"/>
  <c r="L1132" i="148"/>
  <c r="M1132" i="148"/>
  <c r="R1132" i="148"/>
  <c r="O1132" i="148" l="1"/>
  <c r="S1132" i="148"/>
  <c r="S1143" i="148"/>
  <c r="S1134" i="148"/>
  <c r="P1143" i="148"/>
  <c r="S1136" i="148"/>
  <c r="P1138" i="148"/>
  <c r="S1138" i="148"/>
  <c r="S1140" i="148"/>
  <c r="S1137" i="148"/>
  <c r="S1139" i="148"/>
  <c r="P1140" i="148"/>
  <c r="P1137" i="148"/>
  <c r="P1142" i="148"/>
  <c r="P1144" i="148"/>
  <c r="P1139" i="148"/>
  <c r="P1135" i="148"/>
  <c r="P1134" i="148"/>
  <c r="P1133" i="148"/>
  <c r="P1141" i="148"/>
  <c r="J1134" i="148"/>
  <c r="J1137" i="148"/>
  <c r="J1139" i="148"/>
  <c r="J1141" i="148"/>
  <c r="J1142" i="148"/>
  <c r="J1144" i="148"/>
  <c r="J1133" i="148"/>
  <c r="J1135" i="148"/>
  <c r="J1138" i="148"/>
  <c r="J1140" i="148"/>
  <c r="J1143" i="148"/>
  <c r="N1136" i="148"/>
  <c r="P1136" i="148" s="1"/>
  <c r="O1133" i="148"/>
  <c r="O1134" i="148"/>
  <c r="O1135" i="148"/>
  <c r="O1136" i="148"/>
  <c r="O1137" i="148"/>
  <c r="O1138" i="148"/>
  <c r="O1139" i="148"/>
  <c r="O1140" i="148"/>
  <c r="O1141" i="148"/>
  <c r="O1142" i="148"/>
  <c r="O1143" i="148"/>
  <c r="O1144" i="148"/>
  <c r="N1132" i="148"/>
  <c r="P1132" i="148" s="1"/>
  <c r="B5" i="97" l="1"/>
  <c r="B6" i="97"/>
  <c r="B7" i="97"/>
  <c r="B8" i="97"/>
  <c r="B9" i="97"/>
  <c r="B10" i="97"/>
  <c r="B11" i="97"/>
  <c r="B12" i="97"/>
  <c r="B13" i="97"/>
  <c r="B14" i="97"/>
  <c r="B15" i="97"/>
  <c r="B16" i="97"/>
  <c r="B17" i="97"/>
  <c r="B18" i="97"/>
  <c r="B19" i="97"/>
  <c r="B20" i="97"/>
  <c r="B21" i="97"/>
  <c r="B22" i="97"/>
  <c r="B23" i="97"/>
  <c r="B24" i="97"/>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4" i="97"/>
  <c r="B3" i="97"/>
  <c r="B65" i="97" l="1"/>
  <c r="B69" i="97" s="1"/>
  <c r="I14" i="15" l="1"/>
  <c r="F14" i="15"/>
  <c r="C14" i="15"/>
  <c r="A14" i="15"/>
  <c r="I13" i="15"/>
  <c r="F13" i="15"/>
  <c r="C13" i="15"/>
  <c r="I12" i="15"/>
  <c r="F12" i="15"/>
  <c r="C12" i="15"/>
  <c r="A13" i="15"/>
  <c r="A12" i="15"/>
  <c r="H41" i="7" l="1"/>
  <c r="C27" i="12" l="1"/>
  <c r="G15" i="12"/>
  <c r="H50" i="7"/>
  <c r="G18" i="12" l="1"/>
  <c r="B23" i="150"/>
  <c r="AD21" i="316" l="1"/>
  <c r="AS42" i="148"/>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V10" i="36" l="1"/>
  <c r="B1" i="101" l="1"/>
  <c r="A63" i="97" l="1"/>
  <c r="A62" i="97"/>
  <c r="A61" i="97"/>
  <c r="A60" i="97"/>
  <c r="A59" i="97"/>
  <c r="A58" i="97"/>
  <c r="A57" i="97"/>
  <c r="A56" i="97"/>
  <c r="A55" i="97"/>
  <c r="A54" i="97"/>
  <c r="A53" i="97"/>
  <c r="A52" i="97"/>
  <c r="A51" i="97"/>
  <c r="A50" i="97"/>
  <c r="A49" i="97"/>
  <c r="A48" i="97"/>
  <c r="A47" i="97"/>
  <c r="A46" i="97"/>
  <c r="A45" i="97"/>
  <c r="A44" i="97"/>
  <c r="A43" i="97"/>
  <c r="A42" i="97"/>
  <c r="A41" i="97"/>
  <c r="A40" i="97"/>
  <c r="A39" i="97"/>
  <c r="A38" i="97"/>
  <c r="A37" i="97"/>
  <c r="A36" i="97"/>
  <c r="A35" i="97"/>
  <c r="A34" i="97"/>
  <c r="A33" i="97"/>
  <c r="A32" i="97"/>
  <c r="A31" i="97"/>
  <c r="A30" i="97"/>
  <c r="A29" i="97"/>
  <c r="A28" i="97"/>
  <c r="A27" i="97"/>
  <c r="A26" i="97"/>
  <c r="A25" i="97"/>
  <c r="A24" i="97"/>
  <c r="A23" i="97"/>
  <c r="A22" i="97"/>
  <c r="A21" i="97"/>
  <c r="A20" i="97"/>
  <c r="A19" i="97"/>
  <c r="A18" i="97"/>
  <c r="A17" i="97"/>
  <c r="A16" i="97"/>
  <c r="A15" i="97"/>
  <c r="A14" i="97"/>
  <c r="A13" i="97"/>
  <c r="A12" i="97"/>
  <c r="A11" i="97"/>
  <c r="A10" i="97"/>
  <c r="A9" i="97"/>
  <c r="A8" i="97"/>
  <c r="A7" i="97"/>
  <c r="A6" i="97"/>
  <c r="A5" i="97"/>
  <c r="A4" i="97"/>
  <c r="D9" i="39" l="1"/>
  <c r="S9" i="39" s="1"/>
  <c r="V9" i="39" s="1"/>
  <c r="Z1" i="316" l="1"/>
  <c r="V11" i="119" l="1"/>
  <c r="B1" i="36" l="1"/>
  <c r="C1" i="153" l="1"/>
  <c r="F3" i="101"/>
  <c r="E3" i="101"/>
  <c r="D3" i="101"/>
  <c r="A3" i="97" l="1"/>
  <c r="V12" i="36" l="1"/>
  <c r="L24" i="254" l="1"/>
  <c r="D9" i="36"/>
  <c r="V14" i="36"/>
  <c r="V13" i="36"/>
  <c r="C21" i="420" l="1"/>
  <c r="G21" i="420" s="1"/>
  <c r="K21" i="420" s="1"/>
  <c r="V51" i="39"/>
  <c r="V49" i="39"/>
  <c r="S9" i="36"/>
  <c r="V9" i="36" s="1"/>
  <c r="F26" i="36" l="1"/>
  <c r="Z10" i="36"/>
  <c r="Z9" i="36"/>
  <c r="V18" i="36"/>
  <c r="V16" i="36"/>
  <c r="I21" i="420"/>
  <c r="V53" i="39"/>
  <c r="E9" i="58" s="1"/>
  <c r="V20" i="36" l="1"/>
  <c r="E7" i="13" s="1"/>
  <c r="Z11" i="36"/>
  <c r="Z12" i="36"/>
  <c r="H52" i="7"/>
  <c r="K7" i="13" l="1"/>
  <c r="H54" i="7"/>
  <c r="Y42" i="148"/>
  <c r="AA42" i="148" s="1"/>
  <c r="N32" i="150"/>
  <c r="D4" i="153"/>
  <c r="H3" i="101"/>
  <c r="G3" i="101"/>
  <c r="J3" i="101"/>
  <c r="H56" i="7" l="1"/>
  <c r="N16" i="150"/>
  <c r="C38" i="10" l="1"/>
  <c r="E17" i="10" l="1"/>
  <c r="H37" i="7"/>
  <c r="F15" i="23"/>
  <c r="AF21" i="316"/>
  <c r="E23" i="11" s="1"/>
  <c r="N25" i="150"/>
  <c r="H43" i="7" l="1"/>
  <c r="H65" i="7"/>
  <c r="J13" i="37" l="1"/>
  <c r="J12" i="53"/>
  <c r="J16" i="53"/>
  <c r="J20" i="53"/>
  <c r="J24" i="53"/>
  <c r="J28" i="53"/>
  <c r="J31" i="53"/>
  <c r="J35" i="53"/>
  <c r="J39" i="53"/>
  <c r="J43" i="53"/>
  <c r="J47" i="53"/>
  <c r="J11" i="53"/>
  <c r="J27" i="53"/>
  <c r="J38" i="53"/>
  <c r="J42" i="53"/>
  <c r="J10" i="37"/>
  <c r="J14" i="37"/>
  <c r="J9" i="37"/>
  <c r="J13" i="53"/>
  <c r="J17" i="53"/>
  <c r="J21" i="53"/>
  <c r="J25" i="53"/>
  <c r="J32" i="53"/>
  <c r="J36" i="53"/>
  <c r="J40" i="53"/>
  <c r="J44" i="53"/>
  <c r="J9" i="53"/>
  <c r="J12" i="37"/>
  <c r="J19" i="53"/>
  <c r="J30" i="53"/>
  <c r="J46" i="53"/>
  <c r="J11" i="37"/>
  <c r="J10" i="53"/>
  <c r="J14" i="53"/>
  <c r="J18" i="53"/>
  <c r="J22" i="53"/>
  <c r="J26" i="53"/>
  <c r="J29" i="53"/>
  <c r="J33" i="53"/>
  <c r="J37" i="53"/>
  <c r="J41" i="53"/>
  <c r="J45" i="53"/>
  <c r="J15" i="53"/>
  <c r="J23" i="53"/>
  <c r="J34" i="53"/>
  <c r="E4" i="153"/>
  <c r="F4" i="153" s="1"/>
  <c r="C4" i="153"/>
  <c r="P14" i="53" l="1"/>
  <c r="S14" i="53"/>
  <c r="P44" i="53"/>
  <c r="S44" i="53"/>
  <c r="S43" i="53"/>
  <c r="P43" i="53"/>
  <c r="P12" i="53"/>
  <c r="S12" i="53"/>
  <c r="S10" i="53"/>
  <c r="P10" i="53"/>
  <c r="P36" i="53"/>
  <c r="S36" i="53"/>
  <c r="S35" i="53"/>
  <c r="P35" i="53"/>
  <c r="P28" i="53"/>
  <c r="S28" i="53"/>
  <c r="P46" i="53"/>
  <c r="S46" i="53"/>
  <c r="P31" i="53"/>
  <c r="S31" i="53"/>
  <c r="P30" i="53"/>
  <c r="S30" i="53"/>
  <c r="S26" i="53"/>
  <c r="P26" i="53"/>
  <c r="P24" i="53"/>
  <c r="S24" i="53"/>
  <c r="P40" i="53"/>
  <c r="S40" i="53"/>
  <c r="P37" i="53"/>
  <c r="S37" i="53"/>
  <c r="P25" i="53"/>
  <c r="S25" i="53"/>
  <c r="S19" i="53"/>
  <c r="P19" i="53"/>
  <c r="S27" i="53"/>
  <c r="P27" i="53"/>
  <c r="P23" i="53"/>
  <c r="S23" i="53"/>
  <c r="P22" i="53"/>
  <c r="S22" i="53"/>
  <c r="P17" i="53"/>
  <c r="S17" i="53"/>
  <c r="S11" i="53"/>
  <c r="P11" i="53"/>
  <c r="P20" i="53"/>
  <c r="S20" i="53"/>
  <c r="P45" i="53"/>
  <c r="S45" i="53"/>
  <c r="P41" i="53"/>
  <c r="S41" i="53"/>
  <c r="P39" i="53"/>
  <c r="S39" i="53"/>
  <c r="P33" i="53"/>
  <c r="S33" i="53"/>
  <c r="P32" i="53"/>
  <c r="S32" i="53"/>
  <c r="S42" i="53"/>
  <c r="P42" i="53"/>
  <c r="P29" i="53"/>
  <c r="S29" i="53"/>
  <c r="P38" i="53"/>
  <c r="S38" i="53"/>
  <c r="S34" i="53"/>
  <c r="P34" i="53"/>
  <c r="P21" i="53"/>
  <c r="S21" i="53"/>
  <c r="P15" i="53"/>
  <c r="S15" i="53"/>
  <c r="S18" i="53"/>
  <c r="P18" i="53"/>
  <c r="P13" i="53"/>
  <c r="S13" i="53"/>
  <c r="P47" i="53"/>
  <c r="S47" i="53"/>
  <c r="P16" i="53"/>
  <c r="S16" i="53"/>
  <c r="S9" i="53"/>
  <c r="P9" i="53"/>
  <c r="S10" i="37"/>
  <c r="P10" i="37"/>
  <c r="S9" i="37"/>
  <c r="P9" i="37"/>
  <c r="S13" i="37"/>
  <c r="P13" i="37"/>
  <c r="S11" i="37"/>
  <c r="P11" i="37"/>
  <c r="S12" i="37"/>
  <c r="P12" i="37"/>
  <c r="P14" i="37"/>
  <c r="S14" i="37"/>
  <c r="C34" i="153"/>
  <c r="V11" i="53" l="1"/>
  <c r="V27" i="53"/>
  <c r="V26" i="53"/>
  <c r="V19" i="53"/>
  <c r="V25" i="53"/>
  <c r="V20" i="53"/>
  <c r="V31" i="53"/>
  <c r="V32" i="53"/>
  <c r="V23" i="53"/>
  <c r="V15" i="53"/>
  <c r="V12" i="53"/>
  <c r="V16" i="53"/>
  <c r="V24" i="53"/>
  <c r="V43" i="53"/>
  <c r="V42" i="53"/>
  <c r="V10" i="53"/>
  <c r="V34" i="53"/>
  <c r="V45" i="53"/>
  <c r="V37" i="53"/>
  <c r="V46" i="53"/>
  <c r="V36" i="53"/>
  <c r="V29" i="53"/>
  <c r="V17" i="53"/>
  <c r="V40" i="53"/>
  <c r="V30" i="53"/>
  <c r="V28" i="53"/>
  <c r="V44" i="53"/>
  <c r="V38" i="53"/>
  <c r="V21" i="53"/>
  <c r="V18" i="53"/>
  <c r="V47" i="53"/>
  <c r="V33" i="53"/>
  <c r="V13" i="53"/>
  <c r="V41" i="53"/>
  <c r="V22" i="53"/>
  <c r="V14" i="53"/>
  <c r="V39" i="53"/>
  <c r="V35" i="53"/>
  <c r="S51" i="53"/>
  <c r="P51" i="53"/>
  <c r="P49" i="53"/>
  <c r="S49" i="53"/>
  <c r="V14" i="37"/>
  <c r="V12" i="37"/>
  <c r="V13" i="37"/>
  <c r="P18" i="37"/>
  <c r="P16" i="37"/>
  <c r="S18" i="37"/>
  <c r="S16" i="37"/>
  <c r="V10" i="37"/>
  <c r="V9" i="37"/>
  <c r="V9" i="53"/>
  <c r="V11" i="37"/>
  <c r="G22" i="153"/>
  <c r="H22" i="153" s="1"/>
  <c r="G5" i="153"/>
  <c r="H5" i="153" s="1"/>
  <c r="G14" i="153"/>
  <c r="H14" i="153" s="1"/>
  <c r="G31" i="153"/>
  <c r="H31" i="153" s="1"/>
  <c r="G16" i="153"/>
  <c r="H16" i="153" s="1"/>
  <c r="G33" i="153"/>
  <c r="H33" i="153" s="1"/>
  <c r="G23" i="153"/>
  <c r="H23" i="153" s="1"/>
  <c r="G32" i="153"/>
  <c r="H32" i="153" s="1"/>
  <c r="G7" i="153"/>
  <c r="H7" i="153" s="1"/>
  <c r="G24" i="153"/>
  <c r="H24" i="153" s="1"/>
  <c r="G6" i="153"/>
  <c r="H6" i="153" s="1"/>
  <c r="G28" i="153"/>
  <c r="H28" i="153" s="1"/>
  <c r="G10" i="153"/>
  <c r="H10" i="153" s="1"/>
  <c r="G13" i="153"/>
  <c r="H13" i="153" s="1"/>
  <c r="G19" i="153"/>
  <c r="H19" i="153" s="1"/>
  <c r="G30" i="153"/>
  <c r="H30" i="153" s="1"/>
  <c r="G18" i="153"/>
  <c r="H18" i="153" s="1"/>
  <c r="G29" i="153"/>
  <c r="H29" i="153" s="1"/>
  <c r="G11" i="153"/>
  <c r="H11" i="153" s="1"/>
  <c r="G8" i="153"/>
  <c r="H8" i="153" s="1"/>
  <c r="G20" i="153"/>
  <c r="H20" i="153" s="1"/>
  <c r="G25" i="153"/>
  <c r="H25" i="153" s="1"/>
  <c r="G12" i="153"/>
  <c r="H12" i="153" s="1"/>
  <c r="G17" i="153"/>
  <c r="H17" i="153" s="1"/>
  <c r="G27" i="153"/>
  <c r="H27" i="153" s="1"/>
  <c r="G15" i="153"/>
  <c r="H15" i="153" s="1"/>
  <c r="G21" i="153"/>
  <c r="H21" i="153" s="1"/>
  <c r="G4" i="153"/>
  <c r="H4" i="153" s="1"/>
  <c r="V51" i="53" l="1"/>
  <c r="V49" i="53"/>
  <c r="V18" i="37"/>
  <c r="V16" i="37"/>
  <c r="P20" i="37"/>
  <c r="S20" i="37"/>
  <c r="P53" i="53"/>
  <c r="S53" i="53"/>
  <c r="H34" i="153"/>
  <c r="E15" i="14" s="1"/>
  <c r="V53" i="53" l="1"/>
  <c r="E13" i="58" s="1"/>
  <c r="V20" i="37"/>
  <c r="E11" i="13" s="1"/>
  <c r="E15" i="13" s="1"/>
  <c r="L3" i="101"/>
  <c r="K3" i="101"/>
  <c r="R1131" i="148"/>
  <c r="S1131" i="148"/>
  <c r="M1131" i="148"/>
  <c r="L1131" i="148"/>
  <c r="K1131" i="148"/>
  <c r="I1131" i="148"/>
  <c r="G1131" i="148"/>
  <c r="R1130" i="148"/>
  <c r="S1130" i="148"/>
  <c r="M1130" i="148"/>
  <c r="L1130" i="148"/>
  <c r="K1130" i="148"/>
  <c r="I1130" i="148"/>
  <c r="G1130" i="148"/>
  <c r="R1129" i="148"/>
  <c r="M1129" i="148"/>
  <c r="L1129" i="148"/>
  <c r="K1129" i="148"/>
  <c r="I1129" i="148"/>
  <c r="G1129" i="148"/>
  <c r="R1128" i="148"/>
  <c r="M1128" i="148"/>
  <c r="L1128" i="148"/>
  <c r="O1128" i="148" s="1"/>
  <c r="K1128" i="148"/>
  <c r="I1128" i="148"/>
  <c r="G1128" i="148"/>
  <c r="R1127" i="148"/>
  <c r="S1127" i="148"/>
  <c r="M1127" i="148"/>
  <c r="L1127" i="148"/>
  <c r="K1127" i="148"/>
  <c r="I1127" i="148"/>
  <c r="G1127" i="148"/>
  <c r="R1126" i="148"/>
  <c r="M1126" i="148"/>
  <c r="L1126" i="148"/>
  <c r="K1126" i="148"/>
  <c r="I1126" i="148"/>
  <c r="G1126" i="148"/>
  <c r="R1125" i="148"/>
  <c r="M1125" i="148"/>
  <c r="L1125" i="148"/>
  <c r="K1125" i="148"/>
  <c r="I1125" i="148"/>
  <c r="G1125" i="148"/>
  <c r="R1124" i="148"/>
  <c r="S1124" i="148"/>
  <c r="M1124" i="148"/>
  <c r="L1124" i="148"/>
  <c r="K1124" i="148"/>
  <c r="I1124" i="148"/>
  <c r="G1124" i="148"/>
  <c r="R1123" i="148"/>
  <c r="M1123" i="148"/>
  <c r="L1123" i="148"/>
  <c r="K1123" i="148"/>
  <c r="I1123" i="148"/>
  <c r="G1123" i="148"/>
  <c r="R1122" i="148"/>
  <c r="M1122" i="148"/>
  <c r="L1122" i="148"/>
  <c r="K1122" i="148"/>
  <c r="I1122" i="148"/>
  <c r="G1122" i="148"/>
  <c r="R1121" i="148"/>
  <c r="S1121" i="148"/>
  <c r="M1121" i="148"/>
  <c r="L1121" i="148"/>
  <c r="K1121" i="148"/>
  <c r="I1121" i="148"/>
  <c r="G1121" i="148"/>
  <c r="R1120" i="148"/>
  <c r="M1120" i="148"/>
  <c r="L1120" i="148"/>
  <c r="K1120" i="148"/>
  <c r="I1120" i="148"/>
  <c r="G1120" i="148"/>
  <c r="R1119" i="148"/>
  <c r="M1119" i="148"/>
  <c r="L1119" i="148"/>
  <c r="O1119" i="148" s="1"/>
  <c r="K1119" i="148"/>
  <c r="I1119" i="148"/>
  <c r="G1119" i="148"/>
  <c r="R1118" i="148"/>
  <c r="M1118" i="148"/>
  <c r="L1118" i="148"/>
  <c r="K1118" i="148"/>
  <c r="I1118" i="148"/>
  <c r="G1118" i="148"/>
  <c r="R1117" i="148"/>
  <c r="M1117" i="148"/>
  <c r="L1117" i="148"/>
  <c r="K1117" i="148"/>
  <c r="I1117" i="148"/>
  <c r="G1117" i="148"/>
  <c r="R1116" i="148"/>
  <c r="M1116" i="148"/>
  <c r="L1116" i="148"/>
  <c r="K1116" i="148"/>
  <c r="I1116" i="148"/>
  <c r="G1116" i="148"/>
  <c r="R1115" i="148"/>
  <c r="M1115" i="148"/>
  <c r="L1115" i="148"/>
  <c r="K1115" i="148"/>
  <c r="I1115" i="148"/>
  <c r="G1115" i="148"/>
  <c r="R1114" i="148"/>
  <c r="M1114" i="148"/>
  <c r="L1114" i="148"/>
  <c r="O1114" i="148" s="1"/>
  <c r="K1114" i="148"/>
  <c r="I1114" i="148"/>
  <c r="G1114" i="148"/>
  <c r="R1113" i="148"/>
  <c r="M1113" i="148"/>
  <c r="L1113" i="148"/>
  <c r="K1113" i="148"/>
  <c r="I1113" i="148"/>
  <c r="G1113" i="148"/>
  <c r="R1112" i="148"/>
  <c r="M1112" i="148"/>
  <c r="L1112" i="148"/>
  <c r="K1112" i="148"/>
  <c r="I1112" i="148"/>
  <c r="G1112" i="148"/>
  <c r="R1111" i="148"/>
  <c r="M1111" i="148"/>
  <c r="L1111" i="148"/>
  <c r="K1111" i="148"/>
  <c r="I1111" i="148"/>
  <c r="G1111" i="148"/>
  <c r="R1110" i="148"/>
  <c r="M1110" i="148"/>
  <c r="L1110" i="148"/>
  <c r="K1110" i="148"/>
  <c r="I1110" i="148"/>
  <c r="G1110" i="148"/>
  <c r="R1109" i="148"/>
  <c r="S1109" i="148"/>
  <c r="M1109" i="148"/>
  <c r="L1109" i="148"/>
  <c r="K1109" i="148"/>
  <c r="I1109" i="148"/>
  <c r="G1109" i="148"/>
  <c r="R1108" i="148"/>
  <c r="M1108" i="148"/>
  <c r="L1108" i="148"/>
  <c r="K1108" i="148"/>
  <c r="I1108" i="148"/>
  <c r="G1108" i="148"/>
  <c r="R1107" i="148"/>
  <c r="M1107" i="148"/>
  <c r="L1107" i="148"/>
  <c r="K1107" i="148"/>
  <c r="I1107" i="148"/>
  <c r="G1107" i="148"/>
  <c r="R1106" i="148"/>
  <c r="M1106" i="148"/>
  <c r="L1106" i="148"/>
  <c r="K1106" i="148"/>
  <c r="I1106" i="148"/>
  <c r="G1106" i="148"/>
  <c r="R1105" i="148"/>
  <c r="M1105" i="148"/>
  <c r="L1105" i="148"/>
  <c r="K1105" i="148"/>
  <c r="I1105" i="148"/>
  <c r="G1105" i="148"/>
  <c r="R1104" i="148"/>
  <c r="M1104" i="148"/>
  <c r="L1104" i="148"/>
  <c r="K1104" i="148"/>
  <c r="I1104" i="148"/>
  <c r="G1104" i="148"/>
  <c r="R1103" i="148"/>
  <c r="S1103" i="148"/>
  <c r="M1103" i="148"/>
  <c r="L1103" i="148"/>
  <c r="K1103" i="148"/>
  <c r="I1103" i="148"/>
  <c r="G1103" i="148"/>
  <c r="R1102" i="148"/>
  <c r="M1102" i="148"/>
  <c r="L1102" i="148"/>
  <c r="K1102" i="148"/>
  <c r="I1102" i="148"/>
  <c r="G1102" i="148"/>
  <c r="R1101" i="148"/>
  <c r="S1101" i="148"/>
  <c r="M1101" i="148"/>
  <c r="L1101" i="148"/>
  <c r="K1101" i="148"/>
  <c r="I1101" i="148"/>
  <c r="G1101" i="148"/>
  <c r="R1100" i="148"/>
  <c r="M1100" i="148"/>
  <c r="L1100" i="148"/>
  <c r="K1100" i="148"/>
  <c r="I1100" i="148"/>
  <c r="G1100" i="148"/>
  <c r="R1099" i="148"/>
  <c r="M1099" i="148"/>
  <c r="L1099" i="148"/>
  <c r="K1099" i="148"/>
  <c r="I1099" i="148"/>
  <c r="G1099" i="148"/>
  <c r="R1098" i="148"/>
  <c r="M1098" i="148"/>
  <c r="L1098" i="148"/>
  <c r="K1098" i="148"/>
  <c r="I1098" i="148"/>
  <c r="G1098" i="148"/>
  <c r="R1097" i="148"/>
  <c r="M1097" i="148"/>
  <c r="L1097" i="148"/>
  <c r="K1097" i="148"/>
  <c r="I1097" i="148"/>
  <c r="G1097" i="148"/>
  <c r="R1096" i="148"/>
  <c r="M1096" i="148"/>
  <c r="L1096" i="148"/>
  <c r="K1096" i="148"/>
  <c r="I1096" i="148"/>
  <c r="G1096" i="148"/>
  <c r="R1095" i="148"/>
  <c r="S1095" i="148"/>
  <c r="M1095" i="148"/>
  <c r="L1095" i="148"/>
  <c r="K1095" i="148"/>
  <c r="I1095" i="148"/>
  <c r="G1095" i="148"/>
  <c r="R1094" i="148"/>
  <c r="M1094" i="148"/>
  <c r="L1094" i="148"/>
  <c r="K1094" i="148"/>
  <c r="I1094" i="148"/>
  <c r="G1094" i="148"/>
  <c r="R1093" i="148"/>
  <c r="S1093" i="148"/>
  <c r="M1093" i="148"/>
  <c r="L1093" i="148"/>
  <c r="K1093" i="148"/>
  <c r="I1093" i="148"/>
  <c r="G1093" i="148"/>
  <c r="R1092" i="148"/>
  <c r="M1092" i="148"/>
  <c r="L1092" i="148"/>
  <c r="K1092" i="148"/>
  <c r="I1092" i="148"/>
  <c r="G1092" i="148"/>
  <c r="R1091" i="148"/>
  <c r="M1091" i="148"/>
  <c r="L1091" i="148"/>
  <c r="K1091" i="148"/>
  <c r="I1091" i="148"/>
  <c r="G1091" i="148"/>
  <c r="R1090" i="148"/>
  <c r="M1090" i="148"/>
  <c r="L1090" i="148"/>
  <c r="K1090" i="148"/>
  <c r="I1090" i="148"/>
  <c r="G1090" i="148"/>
  <c r="N1090" i="148" s="1"/>
  <c r="R1089" i="148"/>
  <c r="S1089" i="148"/>
  <c r="M1089" i="148"/>
  <c r="L1089" i="148"/>
  <c r="K1089" i="148"/>
  <c r="I1089" i="148"/>
  <c r="G1089" i="148"/>
  <c r="N1089" i="148" s="1"/>
  <c r="R1088" i="148"/>
  <c r="M1088" i="148"/>
  <c r="L1088" i="148"/>
  <c r="K1088" i="148"/>
  <c r="I1088" i="148"/>
  <c r="G1088" i="148"/>
  <c r="N1088" i="148" s="1"/>
  <c r="R1087" i="148"/>
  <c r="M1087" i="148"/>
  <c r="L1087" i="148"/>
  <c r="K1087" i="148"/>
  <c r="I1087" i="148"/>
  <c r="G1087" i="148"/>
  <c r="N1087" i="148" s="1"/>
  <c r="R1086" i="148"/>
  <c r="M1086" i="148"/>
  <c r="L1086" i="148"/>
  <c r="K1086" i="148"/>
  <c r="I1086" i="148"/>
  <c r="G1086" i="148"/>
  <c r="N1086" i="148" s="1"/>
  <c r="R1085" i="148"/>
  <c r="S1085" i="148"/>
  <c r="M1085" i="148"/>
  <c r="L1085" i="148"/>
  <c r="K1085" i="148"/>
  <c r="I1085" i="148"/>
  <c r="G1085" i="148"/>
  <c r="N1085" i="148" s="1"/>
  <c r="R1084" i="148"/>
  <c r="M1084" i="148"/>
  <c r="L1084" i="148"/>
  <c r="K1084" i="148"/>
  <c r="I1084" i="148"/>
  <c r="G1084" i="148"/>
  <c r="N1084" i="148" s="1"/>
  <c r="R1083" i="148"/>
  <c r="M1083" i="148"/>
  <c r="L1083" i="148"/>
  <c r="K1083" i="148"/>
  <c r="I1083" i="148"/>
  <c r="G1083" i="148"/>
  <c r="N1083" i="148" s="1"/>
  <c r="R1082" i="148"/>
  <c r="M1082" i="148"/>
  <c r="L1082" i="148"/>
  <c r="K1082" i="148"/>
  <c r="I1082" i="148"/>
  <c r="G1082" i="148"/>
  <c r="N1082" i="148" s="1"/>
  <c r="R1081" i="148"/>
  <c r="S1081" i="148"/>
  <c r="M1081" i="148"/>
  <c r="L1081" i="148"/>
  <c r="K1081" i="148"/>
  <c r="I1081" i="148"/>
  <c r="G1081" i="148"/>
  <c r="N1081" i="148" s="1"/>
  <c r="R1080" i="148"/>
  <c r="M1080" i="148"/>
  <c r="L1080" i="148"/>
  <c r="K1080" i="148"/>
  <c r="I1080" i="148"/>
  <c r="G1080" i="148"/>
  <c r="N1080" i="148" s="1"/>
  <c r="R1079" i="148"/>
  <c r="S1079" i="148"/>
  <c r="M1079" i="148"/>
  <c r="L1079" i="148"/>
  <c r="K1079" i="148"/>
  <c r="I1079" i="148"/>
  <c r="G1079" i="148"/>
  <c r="N1079" i="148" s="1"/>
  <c r="R1078" i="148"/>
  <c r="M1078" i="148"/>
  <c r="L1078" i="148"/>
  <c r="K1078" i="148"/>
  <c r="I1078" i="148"/>
  <c r="G1078" i="148"/>
  <c r="N1078" i="148" s="1"/>
  <c r="R1077" i="148"/>
  <c r="S1077" i="148"/>
  <c r="N1077" i="148"/>
  <c r="M1077" i="148"/>
  <c r="L1077" i="148"/>
  <c r="K1077" i="148"/>
  <c r="J1077" i="148"/>
  <c r="I1077" i="148"/>
  <c r="R1076" i="148"/>
  <c r="N1076" i="148"/>
  <c r="M1076" i="148"/>
  <c r="L1076" i="148"/>
  <c r="P1076" i="148" s="1"/>
  <c r="K1076" i="148"/>
  <c r="J1076" i="148"/>
  <c r="I1076" i="148"/>
  <c r="R1075" i="148"/>
  <c r="N1075" i="148"/>
  <c r="M1075" i="148"/>
  <c r="L1075" i="148"/>
  <c r="K1075" i="148"/>
  <c r="J1075" i="148"/>
  <c r="I1075" i="148"/>
  <c r="R1074" i="148"/>
  <c r="S1074" i="148"/>
  <c r="N1074" i="148"/>
  <c r="M1074" i="148"/>
  <c r="L1074" i="148"/>
  <c r="K1074" i="148"/>
  <c r="J1074" i="148"/>
  <c r="I1074" i="148"/>
  <c r="R1073" i="148"/>
  <c r="S1073" i="148"/>
  <c r="N1073" i="148"/>
  <c r="M1073" i="148"/>
  <c r="L1073" i="148"/>
  <c r="K1073" i="148"/>
  <c r="J1073" i="148"/>
  <c r="I1073" i="148"/>
  <c r="R1072" i="148"/>
  <c r="N1072" i="148"/>
  <c r="M1072" i="148"/>
  <c r="L1072" i="148"/>
  <c r="P1072" i="148" s="1"/>
  <c r="K1072" i="148"/>
  <c r="J1072" i="148"/>
  <c r="I1072" i="148"/>
  <c r="R1071" i="148"/>
  <c r="N1071" i="148"/>
  <c r="M1071" i="148"/>
  <c r="L1071" i="148"/>
  <c r="K1071" i="148"/>
  <c r="J1071" i="148"/>
  <c r="I1071" i="148"/>
  <c r="R1070" i="148"/>
  <c r="N1070" i="148"/>
  <c r="M1070" i="148"/>
  <c r="L1070" i="148"/>
  <c r="K1070" i="148"/>
  <c r="J1070" i="148"/>
  <c r="I1070" i="148"/>
  <c r="R1069" i="148"/>
  <c r="N1069" i="148"/>
  <c r="M1069" i="148"/>
  <c r="L1069" i="148"/>
  <c r="P1069" i="148" s="1"/>
  <c r="K1069" i="148"/>
  <c r="J1069" i="148"/>
  <c r="I1069" i="148"/>
  <c r="R1068" i="148"/>
  <c r="N1068" i="148"/>
  <c r="M1068" i="148"/>
  <c r="L1068" i="148"/>
  <c r="K1068" i="148"/>
  <c r="J1068" i="148"/>
  <c r="I1068" i="148"/>
  <c r="R1067" i="148"/>
  <c r="N1067" i="148"/>
  <c r="M1067" i="148"/>
  <c r="L1067" i="148"/>
  <c r="K1067" i="148"/>
  <c r="J1067" i="148"/>
  <c r="I1067" i="148"/>
  <c r="R1066" i="148"/>
  <c r="N1066" i="148"/>
  <c r="M1066" i="148"/>
  <c r="L1066" i="148"/>
  <c r="K1066" i="148"/>
  <c r="J1066" i="148"/>
  <c r="I1066" i="148"/>
  <c r="R1065" i="148"/>
  <c r="N1065" i="148"/>
  <c r="M1065" i="148"/>
  <c r="L1065" i="148"/>
  <c r="K1065" i="148"/>
  <c r="J1065" i="148"/>
  <c r="I1065" i="148"/>
  <c r="R1064" i="148"/>
  <c r="N1064" i="148"/>
  <c r="M1064" i="148"/>
  <c r="L1064" i="148"/>
  <c r="P1064" i="148" s="1"/>
  <c r="K1064" i="148"/>
  <c r="J1064" i="148"/>
  <c r="I1064" i="148"/>
  <c r="R1063" i="148"/>
  <c r="N1063" i="148"/>
  <c r="M1063" i="148"/>
  <c r="L1063" i="148"/>
  <c r="K1063" i="148"/>
  <c r="J1063" i="148"/>
  <c r="I1063" i="148"/>
  <c r="R1062" i="148"/>
  <c r="N1062" i="148"/>
  <c r="M1062" i="148"/>
  <c r="L1062" i="148"/>
  <c r="K1062" i="148"/>
  <c r="J1062" i="148"/>
  <c r="I1062" i="148"/>
  <c r="R1061" i="148"/>
  <c r="N1061" i="148"/>
  <c r="M1061" i="148"/>
  <c r="L1061" i="148"/>
  <c r="P1061" i="148" s="1"/>
  <c r="K1061" i="148"/>
  <c r="J1061" i="148"/>
  <c r="I1061" i="148"/>
  <c r="R1060" i="148"/>
  <c r="N1060" i="148"/>
  <c r="M1060" i="148"/>
  <c r="L1060" i="148"/>
  <c r="K1060" i="148"/>
  <c r="J1060" i="148"/>
  <c r="I1060" i="148"/>
  <c r="R1059" i="148"/>
  <c r="N1059" i="148"/>
  <c r="M1059" i="148"/>
  <c r="L1059" i="148"/>
  <c r="K1059" i="148"/>
  <c r="J1059" i="148"/>
  <c r="I1059" i="148"/>
  <c r="R1058" i="148"/>
  <c r="N1058" i="148"/>
  <c r="M1058" i="148"/>
  <c r="L1058" i="148"/>
  <c r="K1058" i="148"/>
  <c r="J1058" i="148"/>
  <c r="I1058" i="148"/>
  <c r="R1057" i="148"/>
  <c r="N1057" i="148"/>
  <c r="M1057" i="148"/>
  <c r="L1057" i="148"/>
  <c r="K1057" i="148"/>
  <c r="J1057" i="148"/>
  <c r="I1057" i="148"/>
  <c r="R1056" i="148"/>
  <c r="N1056" i="148"/>
  <c r="M1056" i="148"/>
  <c r="L1056" i="148"/>
  <c r="K1056" i="148"/>
  <c r="J1056" i="148"/>
  <c r="I1056" i="148"/>
  <c r="R1055" i="148"/>
  <c r="N1055" i="148"/>
  <c r="M1055" i="148"/>
  <c r="L1055" i="148"/>
  <c r="P1055" i="148" s="1"/>
  <c r="K1055" i="148"/>
  <c r="J1055" i="148"/>
  <c r="I1055" i="148"/>
  <c r="R1054" i="148"/>
  <c r="N1054" i="148"/>
  <c r="M1054" i="148"/>
  <c r="L1054" i="148"/>
  <c r="K1054" i="148"/>
  <c r="J1054" i="148"/>
  <c r="I1054" i="148"/>
  <c r="R1053" i="148"/>
  <c r="N1053" i="148"/>
  <c r="M1053" i="148"/>
  <c r="L1053" i="148"/>
  <c r="K1053" i="148"/>
  <c r="J1053" i="148"/>
  <c r="I1053" i="148"/>
  <c r="R1052" i="148"/>
  <c r="N1052" i="148"/>
  <c r="M1052" i="148"/>
  <c r="L1052" i="148"/>
  <c r="P1052" i="148" s="1"/>
  <c r="K1052" i="148"/>
  <c r="J1052" i="148"/>
  <c r="I1052" i="148"/>
  <c r="R1051" i="148"/>
  <c r="S1051" i="148"/>
  <c r="N1051" i="148"/>
  <c r="M1051" i="148"/>
  <c r="L1051" i="148"/>
  <c r="P1051" i="148" s="1"/>
  <c r="K1051" i="148"/>
  <c r="J1051" i="148"/>
  <c r="I1051" i="148"/>
  <c r="R1050" i="148"/>
  <c r="N1050" i="148"/>
  <c r="M1050" i="148"/>
  <c r="L1050" i="148"/>
  <c r="K1050" i="148"/>
  <c r="J1050" i="148"/>
  <c r="I1050" i="148"/>
  <c r="R1049" i="148"/>
  <c r="N1049" i="148"/>
  <c r="M1049" i="148"/>
  <c r="L1049" i="148"/>
  <c r="P1049" i="148" s="1"/>
  <c r="K1049" i="148"/>
  <c r="J1049" i="148"/>
  <c r="I1049" i="148"/>
  <c r="R1048" i="148"/>
  <c r="N1048" i="148"/>
  <c r="M1048" i="148"/>
  <c r="L1048" i="148"/>
  <c r="K1048" i="148"/>
  <c r="J1048" i="148"/>
  <c r="I1048" i="148"/>
  <c r="R1047" i="148"/>
  <c r="N1047" i="148"/>
  <c r="M1047" i="148"/>
  <c r="L1047" i="148"/>
  <c r="K1047" i="148"/>
  <c r="J1047" i="148"/>
  <c r="I1047" i="148"/>
  <c r="R1046" i="148"/>
  <c r="N1046" i="148"/>
  <c r="M1046" i="148"/>
  <c r="L1046" i="148"/>
  <c r="K1046" i="148"/>
  <c r="J1046" i="148"/>
  <c r="I1046" i="148"/>
  <c r="R1045" i="148"/>
  <c r="N1045" i="148"/>
  <c r="M1045" i="148"/>
  <c r="L1045" i="148"/>
  <c r="K1045" i="148"/>
  <c r="J1045" i="148"/>
  <c r="I1045" i="148"/>
  <c r="R1044" i="148"/>
  <c r="N1044" i="148"/>
  <c r="M1044" i="148"/>
  <c r="L1044" i="148"/>
  <c r="K1044" i="148"/>
  <c r="J1044" i="148"/>
  <c r="I1044" i="148"/>
  <c r="R1043" i="148"/>
  <c r="N1043" i="148"/>
  <c r="M1043" i="148"/>
  <c r="L1043" i="148"/>
  <c r="K1043" i="148"/>
  <c r="J1043" i="148"/>
  <c r="I1043" i="148"/>
  <c r="R1042" i="148"/>
  <c r="S1042" i="148"/>
  <c r="N1042" i="148"/>
  <c r="M1042" i="148"/>
  <c r="L1042" i="148"/>
  <c r="K1042" i="148"/>
  <c r="J1042" i="148"/>
  <c r="I1042" i="148"/>
  <c r="R1041" i="148"/>
  <c r="N1041" i="148"/>
  <c r="M1041" i="148"/>
  <c r="L1041" i="148"/>
  <c r="K1041" i="148"/>
  <c r="J1041" i="148"/>
  <c r="I1041" i="148"/>
  <c r="R1040" i="148"/>
  <c r="N1040" i="148"/>
  <c r="M1040" i="148"/>
  <c r="L1040" i="148"/>
  <c r="P1040" i="148" s="1"/>
  <c r="K1040" i="148"/>
  <c r="J1040" i="148"/>
  <c r="I1040" i="148"/>
  <c r="R1039" i="148"/>
  <c r="N1039" i="148"/>
  <c r="M1039" i="148"/>
  <c r="L1039" i="148"/>
  <c r="P1039" i="148" s="1"/>
  <c r="K1039" i="148"/>
  <c r="J1039" i="148"/>
  <c r="I1039" i="148"/>
  <c r="R1038" i="148"/>
  <c r="N1038" i="148"/>
  <c r="M1038" i="148"/>
  <c r="L1038" i="148"/>
  <c r="K1038" i="148"/>
  <c r="J1038" i="148"/>
  <c r="I1038" i="148"/>
  <c r="R1037" i="148"/>
  <c r="N1037" i="148"/>
  <c r="M1037" i="148"/>
  <c r="L1037" i="148"/>
  <c r="K1037" i="148"/>
  <c r="J1037" i="148"/>
  <c r="I1037" i="148"/>
  <c r="R1036" i="148"/>
  <c r="N1036" i="148"/>
  <c r="M1036" i="148"/>
  <c r="L1036" i="148"/>
  <c r="K1036" i="148"/>
  <c r="J1036" i="148"/>
  <c r="I1036" i="148"/>
  <c r="R1035" i="148"/>
  <c r="N1035" i="148"/>
  <c r="M1035" i="148"/>
  <c r="L1035" i="148"/>
  <c r="K1035" i="148"/>
  <c r="J1035" i="148"/>
  <c r="I1035" i="148"/>
  <c r="R1034" i="148"/>
  <c r="N1034" i="148"/>
  <c r="M1034" i="148"/>
  <c r="L1034" i="148"/>
  <c r="K1034" i="148"/>
  <c r="J1034" i="148"/>
  <c r="I1034" i="148"/>
  <c r="R1033" i="148"/>
  <c r="N1033" i="148"/>
  <c r="M1033" i="148"/>
  <c r="L1033" i="148"/>
  <c r="K1033" i="148"/>
  <c r="J1033" i="148"/>
  <c r="I1033" i="148"/>
  <c r="R1032" i="148"/>
  <c r="N1032" i="148"/>
  <c r="M1032" i="148"/>
  <c r="L1032" i="148"/>
  <c r="K1032" i="148"/>
  <c r="J1032" i="148"/>
  <c r="I1032" i="148"/>
  <c r="R1031" i="148"/>
  <c r="N1031" i="148"/>
  <c r="M1031" i="148"/>
  <c r="L1031" i="148"/>
  <c r="K1031" i="148"/>
  <c r="J1031" i="148"/>
  <c r="I1031" i="148"/>
  <c r="R1030" i="148"/>
  <c r="S1030" i="148"/>
  <c r="N1030" i="148"/>
  <c r="M1030" i="148"/>
  <c r="L1030" i="148"/>
  <c r="K1030" i="148"/>
  <c r="J1030" i="148"/>
  <c r="I1030" i="148"/>
  <c r="R1029" i="148"/>
  <c r="N1029" i="148"/>
  <c r="M1029" i="148"/>
  <c r="L1029" i="148"/>
  <c r="K1029" i="148"/>
  <c r="J1029" i="148"/>
  <c r="I1029" i="148"/>
  <c r="R1028" i="148"/>
  <c r="N1028" i="148"/>
  <c r="M1028" i="148"/>
  <c r="L1028" i="148"/>
  <c r="P1028" i="148" s="1"/>
  <c r="K1028" i="148"/>
  <c r="J1028" i="148"/>
  <c r="I1028" i="148"/>
  <c r="R1027" i="148"/>
  <c r="N1027" i="148"/>
  <c r="M1027" i="148"/>
  <c r="L1027" i="148"/>
  <c r="K1027" i="148"/>
  <c r="J1027" i="148"/>
  <c r="I1027" i="148"/>
  <c r="R1026" i="148"/>
  <c r="N1026" i="148"/>
  <c r="M1026" i="148"/>
  <c r="L1026" i="148"/>
  <c r="K1026" i="148"/>
  <c r="J1026" i="148"/>
  <c r="I1026" i="148"/>
  <c r="R1025" i="148"/>
  <c r="N1025" i="148"/>
  <c r="M1025" i="148"/>
  <c r="L1025" i="148"/>
  <c r="K1025" i="148"/>
  <c r="J1025" i="148"/>
  <c r="I1025" i="148"/>
  <c r="R1024" i="148"/>
  <c r="S1024" i="148"/>
  <c r="N1024" i="148"/>
  <c r="M1024" i="148"/>
  <c r="L1024" i="148"/>
  <c r="K1024" i="148"/>
  <c r="J1024" i="148"/>
  <c r="I1024" i="148"/>
  <c r="R1023" i="148"/>
  <c r="N1023" i="148"/>
  <c r="M1023" i="148"/>
  <c r="L1023" i="148"/>
  <c r="K1023" i="148"/>
  <c r="J1023" i="148"/>
  <c r="I1023" i="148"/>
  <c r="R1022" i="148"/>
  <c r="N1022" i="148"/>
  <c r="M1022" i="148"/>
  <c r="L1022" i="148"/>
  <c r="K1022" i="148"/>
  <c r="J1022" i="148"/>
  <c r="I1022" i="148"/>
  <c r="R1021" i="148"/>
  <c r="N1021" i="148"/>
  <c r="M1021" i="148"/>
  <c r="L1021" i="148"/>
  <c r="K1021" i="148"/>
  <c r="J1021" i="148"/>
  <c r="I1021" i="148"/>
  <c r="R1020" i="148"/>
  <c r="N1020" i="148"/>
  <c r="M1020" i="148"/>
  <c r="L1020" i="148"/>
  <c r="K1020" i="148"/>
  <c r="J1020" i="148"/>
  <c r="I1020" i="148"/>
  <c r="R1019" i="148"/>
  <c r="N1019" i="148"/>
  <c r="M1019" i="148"/>
  <c r="L1019" i="148"/>
  <c r="K1019" i="148"/>
  <c r="J1019" i="148"/>
  <c r="I1019" i="148"/>
  <c r="R1018" i="148"/>
  <c r="N1018" i="148"/>
  <c r="M1018" i="148"/>
  <c r="L1018" i="148"/>
  <c r="P1018" i="148" s="1"/>
  <c r="K1018" i="148"/>
  <c r="J1018" i="148"/>
  <c r="I1018" i="148"/>
  <c r="R1017" i="148"/>
  <c r="N1017" i="148"/>
  <c r="M1017" i="148"/>
  <c r="L1017" i="148"/>
  <c r="K1017" i="148"/>
  <c r="J1017" i="148"/>
  <c r="I1017" i="148"/>
  <c r="R1016" i="148"/>
  <c r="N1016" i="148"/>
  <c r="M1016" i="148"/>
  <c r="L1016" i="148"/>
  <c r="P1016" i="148" s="1"/>
  <c r="K1016" i="148"/>
  <c r="J1016" i="148"/>
  <c r="I1016" i="148"/>
  <c r="R1015" i="148"/>
  <c r="N1015" i="148"/>
  <c r="M1015" i="148"/>
  <c r="L1015" i="148"/>
  <c r="O1015" i="148" s="1"/>
  <c r="K1015" i="148"/>
  <c r="J1015" i="148"/>
  <c r="I1015" i="148"/>
  <c r="R1014" i="148"/>
  <c r="N1014" i="148"/>
  <c r="M1014" i="148"/>
  <c r="L1014" i="148"/>
  <c r="K1014" i="148"/>
  <c r="J1014" i="148"/>
  <c r="I1014" i="148"/>
  <c r="R1013" i="148"/>
  <c r="N1013" i="148"/>
  <c r="M1013" i="148"/>
  <c r="L1013" i="148"/>
  <c r="K1013" i="148"/>
  <c r="J1013" i="148"/>
  <c r="I1013" i="148"/>
  <c r="R1012" i="148"/>
  <c r="N1012" i="148"/>
  <c r="M1012" i="148"/>
  <c r="L1012" i="148"/>
  <c r="K1012" i="148"/>
  <c r="J1012" i="148"/>
  <c r="I1012" i="148"/>
  <c r="R1011" i="148"/>
  <c r="N1011" i="148"/>
  <c r="M1011" i="148"/>
  <c r="L1011" i="148"/>
  <c r="K1011" i="148"/>
  <c r="J1011" i="148"/>
  <c r="I1011" i="148"/>
  <c r="R1010" i="148"/>
  <c r="N1010" i="148"/>
  <c r="M1010" i="148"/>
  <c r="L1010" i="148"/>
  <c r="P1010" i="148" s="1"/>
  <c r="K1010" i="148"/>
  <c r="J1010" i="148"/>
  <c r="I1010" i="148"/>
  <c r="R1009" i="148"/>
  <c r="N1009" i="148"/>
  <c r="M1009" i="148"/>
  <c r="L1009" i="148"/>
  <c r="K1009" i="148"/>
  <c r="J1009" i="148"/>
  <c r="I1009" i="148"/>
  <c r="R1008" i="148"/>
  <c r="N1008" i="148"/>
  <c r="M1008" i="148"/>
  <c r="L1008" i="148"/>
  <c r="K1008" i="148"/>
  <c r="J1008" i="148"/>
  <c r="I1008" i="148"/>
  <c r="R1007" i="148"/>
  <c r="N1007" i="148"/>
  <c r="M1007" i="148"/>
  <c r="L1007" i="148"/>
  <c r="K1007" i="148"/>
  <c r="J1007" i="148"/>
  <c r="I1007" i="148"/>
  <c r="R1006" i="148"/>
  <c r="N1006" i="148"/>
  <c r="M1006" i="148"/>
  <c r="L1006" i="148"/>
  <c r="K1006" i="148"/>
  <c r="J1006" i="148"/>
  <c r="I1006" i="148"/>
  <c r="R1005" i="148"/>
  <c r="N1005" i="148"/>
  <c r="M1005" i="148"/>
  <c r="L1005" i="148"/>
  <c r="K1005" i="148"/>
  <c r="J1005" i="148"/>
  <c r="I1005" i="148"/>
  <c r="R1004" i="148"/>
  <c r="N1004" i="148"/>
  <c r="M1004" i="148"/>
  <c r="L1004" i="148"/>
  <c r="P1004" i="148" s="1"/>
  <c r="K1004" i="148"/>
  <c r="J1004" i="148"/>
  <c r="I1004" i="148"/>
  <c r="R1003" i="148"/>
  <c r="N1003" i="148"/>
  <c r="M1003" i="148"/>
  <c r="L1003" i="148"/>
  <c r="K1003" i="148"/>
  <c r="J1003" i="148"/>
  <c r="I1003" i="148"/>
  <c r="R1002" i="148"/>
  <c r="N1002" i="148"/>
  <c r="M1002" i="148"/>
  <c r="L1002" i="148"/>
  <c r="K1002" i="148"/>
  <c r="J1002" i="148"/>
  <c r="I1002" i="148"/>
  <c r="R1001" i="148"/>
  <c r="N1001" i="148"/>
  <c r="M1001" i="148"/>
  <c r="L1001" i="148"/>
  <c r="K1001" i="148"/>
  <c r="J1001" i="148"/>
  <c r="I1001" i="148"/>
  <c r="R1000" i="148"/>
  <c r="N1000" i="148"/>
  <c r="M1000" i="148"/>
  <c r="L1000" i="148"/>
  <c r="K1000" i="148"/>
  <c r="J1000" i="148"/>
  <c r="I1000" i="148"/>
  <c r="R999" i="148"/>
  <c r="N999" i="148"/>
  <c r="M999" i="148"/>
  <c r="L999" i="148"/>
  <c r="K999" i="148"/>
  <c r="J999" i="148"/>
  <c r="I999" i="148"/>
  <c r="R998" i="148"/>
  <c r="N998" i="148"/>
  <c r="M998" i="148"/>
  <c r="L998" i="148"/>
  <c r="K998" i="148"/>
  <c r="J998" i="148"/>
  <c r="I998" i="148"/>
  <c r="R997" i="148"/>
  <c r="N997" i="148"/>
  <c r="M997" i="148"/>
  <c r="L997" i="148"/>
  <c r="K997" i="148"/>
  <c r="J997" i="148"/>
  <c r="I997" i="148"/>
  <c r="R996" i="148"/>
  <c r="N996" i="148"/>
  <c r="M996" i="148"/>
  <c r="L996" i="148"/>
  <c r="K996" i="148"/>
  <c r="J996" i="148"/>
  <c r="I996" i="148"/>
  <c r="R995" i="148"/>
  <c r="N995" i="148"/>
  <c r="M995" i="148"/>
  <c r="L995" i="148"/>
  <c r="K995" i="148"/>
  <c r="J995" i="148"/>
  <c r="I995" i="148"/>
  <c r="R994" i="148"/>
  <c r="N994" i="148"/>
  <c r="M994" i="148"/>
  <c r="L994" i="148"/>
  <c r="K994" i="148"/>
  <c r="J994" i="148"/>
  <c r="I994" i="148"/>
  <c r="R993" i="148"/>
  <c r="N993" i="148"/>
  <c r="M993" i="148"/>
  <c r="L993" i="148"/>
  <c r="K993" i="148"/>
  <c r="J993" i="148"/>
  <c r="I993" i="148"/>
  <c r="R992" i="148"/>
  <c r="N992" i="148"/>
  <c r="M992" i="148"/>
  <c r="L992" i="148"/>
  <c r="K992" i="148"/>
  <c r="J992" i="148"/>
  <c r="I992" i="148"/>
  <c r="R991" i="148"/>
  <c r="N991" i="148"/>
  <c r="M991" i="148"/>
  <c r="L991" i="148"/>
  <c r="K991" i="148"/>
  <c r="J991" i="148"/>
  <c r="I991" i="148"/>
  <c r="R990" i="148"/>
  <c r="N990" i="148"/>
  <c r="M990" i="148"/>
  <c r="L990" i="148"/>
  <c r="K990" i="148"/>
  <c r="J990" i="148"/>
  <c r="I990" i="148"/>
  <c r="R989" i="148"/>
  <c r="N989" i="148"/>
  <c r="M989" i="148"/>
  <c r="L989" i="148"/>
  <c r="K989" i="148"/>
  <c r="J989" i="148"/>
  <c r="I989" i="148"/>
  <c r="R988" i="148"/>
  <c r="S988" i="148"/>
  <c r="N988" i="148"/>
  <c r="M988" i="148"/>
  <c r="L988" i="148"/>
  <c r="K988" i="148"/>
  <c r="J988" i="148"/>
  <c r="I988" i="148"/>
  <c r="R987" i="148"/>
  <c r="N987" i="148"/>
  <c r="M987" i="148"/>
  <c r="L987" i="148"/>
  <c r="K987" i="148"/>
  <c r="J987" i="148"/>
  <c r="I987" i="148"/>
  <c r="R986" i="148"/>
  <c r="N986" i="148"/>
  <c r="M986" i="148"/>
  <c r="L986" i="148"/>
  <c r="K986" i="148"/>
  <c r="J986" i="148"/>
  <c r="I986" i="148"/>
  <c r="R985" i="148"/>
  <c r="N985" i="148"/>
  <c r="M985" i="148"/>
  <c r="L985" i="148"/>
  <c r="K985" i="148"/>
  <c r="J985" i="148"/>
  <c r="I985" i="148"/>
  <c r="R984" i="148"/>
  <c r="N984" i="148"/>
  <c r="M984" i="148"/>
  <c r="L984" i="148"/>
  <c r="K984" i="148"/>
  <c r="J984" i="148"/>
  <c r="I984" i="148"/>
  <c r="R983" i="148"/>
  <c r="N983" i="148"/>
  <c r="M983" i="148"/>
  <c r="L983" i="148"/>
  <c r="K983" i="148"/>
  <c r="J983" i="148"/>
  <c r="I983" i="148"/>
  <c r="R982" i="148"/>
  <c r="S982" i="148"/>
  <c r="N982" i="148"/>
  <c r="M982" i="148"/>
  <c r="L982" i="148"/>
  <c r="K982" i="148"/>
  <c r="J982" i="148"/>
  <c r="I982" i="148"/>
  <c r="R981" i="148"/>
  <c r="N981" i="148"/>
  <c r="M981" i="148"/>
  <c r="L981" i="148"/>
  <c r="K981" i="148"/>
  <c r="J981" i="148"/>
  <c r="I981" i="148"/>
  <c r="R980" i="148"/>
  <c r="N980" i="148"/>
  <c r="M980" i="148"/>
  <c r="L980" i="148"/>
  <c r="K980" i="148"/>
  <c r="J980" i="148"/>
  <c r="I980" i="148"/>
  <c r="R979" i="148"/>
  <c r="N979" i="148"/>
  <c r="M979" i="148"/>
  <c r="L979" i="148"/>
  <c r="P979" i="148" s="1"/>
  <c r="K979" i="148"/>
  <c r="J979" i="148"/>
  <c r="I979" i="148"/>
  <c r="R978" i="148"/>
  <c r="N978" i="148"/>
  <c r="M978" i="148"/>
  <c r="L978" i="148"/>
  <c r="K978" i="148"/>
  <c r="J978" i="148"/>
  <c r="I978" i="148"/>
  <c r="R977" i="148"/>
  <c r="N977" i="148"/>
  <c r="M977" i="148"/>
  <c r="L977" i="148"/>
  <c r="K977" i="148"/>
  <c r="J977" i="148"/>
  <c r="I977" i="148"/>
  <c r="R976" i="148"/>
  <c r="S976" i="148"/>
  <c r="N976" i="148"/>
  <c r="M976" i="148"/>
  <c r="L976" i="148"/>
  <c r="K976" i="148"/>
  <c r="J976" i="148"/>
  <c r="I976" i="148"/>
  <c r="R975" i="148"/>
  <c r="N975" i="148"/>
  <c r="M975" i="148"/>
  <c r="L975" i="148"/>
  <c r="K975" i="148"/>
  <c r="J975" i="148"/>
  <c r="I975" i="148"/>
  <c r="R974" i="148"/>
  <c r="N974" i="148"/>
  <c r="M974" i="148"/>
  <c r="L974" i="148"/>
  <c r="K974" i="148"/>
  <c r="J974" i="148"/>
  <c r="I974" i="148"/>
  <c r="R973" i="148"/>
  <c r="N973" i="148"/>
  <c r="M973" i="148"/>
  <c r="L973" i="148"/>
  <c r="K973" i="148"/>
  <c r="J973" i="148"/>
  <c r="I973" i="148"/>
  <c r="R972" i="148"/>
  <c r="N972" i="148"/>
  <c r="M972" i="148"/>
  <c r="L972" i="148"/>
  <c r="K972" i="148"/>
  <c r="J972" i="148"/>
  <c r="I972" i="148"/>
  <c r="R971" i="148"/>
  <c r="N971" i="148"/>
  <c r="M971" i="148"/>
  <c r="L971" i="148"/>
  <c r="K971" i="148"/>
  <c r="J971" i="148"/>
  <c r="I971" i="148"/>
  <c r="R970" i="148"/>
  <c r="S970" i="148"/>
  <c r="N970" i="148"/>
  <c r="M970" i="148"/>
  <c r="L970" i="148"/>
  <c r="O970" i="148" s="1"/>
  <c r="K970" i="148"/>
  <c r="J970" i="148"/>
  <c r="I970" i="148"/>
  <c r="R969" i="148"/>
  <c r="N969" i="148"/>
  <c r="M969" i="148"/>
  <c r="L969" i="148"/>
  <c r="K969" i="148"/>
  <c r="J969" i="148"/>
  <c r="I969" i="148"/>
  <c r="R968" i="148"/>
  <c r="N968" i="148"/>
  <c r="M968" i="148"/>
  <c r="L968" i="148"/>
  <c r="K968" i="148"/>
  <c r="J968" i="148"/>
  <c r="I968" i="148"/>
  <c r="R967" i="148"/>
  <c r="N967" i="148"/>
  <c r="M967" i="148"/>
  <c r="L967" i="148"/>
  <c r="O967" i="148" s="1"/>
  <c r="K967" i="148"/>
  <c r="J967" i="148"/>
  <c r="I967" i="148"/>
  <c r="R966" i="148"/>
  <c r="N966" i="148"/>
  <c r="M966" i="148"/>
  <c r="L966" i="148"/>
  <c r="K966" i="148"/>
  <c r="J966" i="148"/>
  <c r="I966" i="148"/>
  <c r="R965" i="148"/>
  <c r="N965" i="148"/>
  <c r="M965" i="148"/>
  <c r="L965" i="148"/>
  <c r="K965" i="148"/>
  <c r="J965" i="148"/>
  <c r="I965" i="148"/>
  <c r="R964" i="148"/>
  <c r="N964" i="148"/>
  <c r="M964" i="148"/>
  <c r="L964" i="148"/>
  <c r="P964" i="148" s="1"/>
  <c r="K964" i="148"/>
  <c r="J964" i="148"/>
  <c r="I964" i="148"/>
  <c r="R963" i="148"/>
  <c r="N963" i="148"/>
  <c r="M963" i="148"/>
  <c r="L963" i="148"/>
  <c r="K963" i="148"/>
  <c r="J963" i="148"/>
  <c r="I963" i="148"/>
  <c r="R962" i="148"/>
  <c r="N962" i="148"/>
  <c r="M962" i="148"/>
  <c r="L962" i="148"/>
  <c r="K962" i="148"/>
  <c r="J962" i="148"/>
  <c r="I962" i="148"/>
  <c r="R961" i="148"/>
  <c r="N961" i="148"/>
  <c r="M961" i="148"/>
  <c r="L961" i="148"/>
  <c r="K961" i="148"/>
  <c r="J961" i="148"/>
  <c r="I961" i="148"/>
  <c r="R960" i="148"/>
  <c r="N960" i="148"/>
  <c r="M960" i="148"/>
  <c r="L960" i="148"/>
  <c r="K960" i="148"/>
  <c r="J960" i="148"/>
  <c r="I960" i="148"/>
  <c r="R959" i="148"/>
  <c r="N959" i="148"/>
  <c r="M959" i="148"/>
  <c r="L959" i="148"/>
  <c r="K959" i="148"/>
  <c r="J959" i="148"/>
  <c r="I959" i="148"/>
  <c r="R958" i="148"/>
  <c r="N958" i="148"/>
  <c r="M958" i="148"/>
  <c r="L958" i="148"/>
  <c r="O958" i="148" s="1"/>
  <c r="K958" i="148"/>
  <c r="J958" i="148"/>
  <c r="I958" i="148"/>
  <c r="R957" i="148"/>
  <c r="N957" i="148"/>
  <c r="M957" i="148"/>
  <c r="L957" i="148"/>
  <c r="K957" i="148"/>
  <c r="J957" i="148"/>
  <c r="I957" i="148"/>
  <c r="R956" i="148"/>
  <c r="N956" i="148"/>
  <c r="M956" i="148"/>
  <c r="L956" i="148"/>
  <c r="K956" i="148"/>
  <c r="J956" i="148"/>
  <c r="I956" i="148"/>
  <c r="R955" i="148"/>
  <c r="N955" i="148"/>
  <c r="M955" i="148"/>
  <c r="L955" i="148"/>
  <c r="K955" i="148"/>
  <c r="J955" i="148"/>
  <c r="I955" i="148"/>
  <c r="R954" i="148"/>
  <c r="N954" i="148"/>
  <c r="M954" i="148"/>
  <c r="L954" i="148"/>
  <c r="K954" i="148"/>
  <c r="J954" i="148"/>
  <c r="I954" i="148"/>
  <c r="R953" i="148"/>
  <c r="N953" i="148"/>
  <c r="M953" i="148"/>
  <c r="L953" i="148"/>
  <c r="O953" i="148" s="1"/>
  <c r="K953" i="148"/>
  <c r="J953" i="148"/>
  <c r="I953" i="148"/>
  <c r="R952" i="148"/>
  <c r="N952" i="148"/>
  <c r="M952" i="148"/>
  <c r="L952" i="148"/>
  <c r="K952" i="148"/>
  <c r="J952" i="148"/>
  <c r="I952" i="148"/>
  <c r="R951" i="148"/>
  <c r="N951" i="148"/>
  <c r="M951" i="148"/>
  <c r="L951" i="148"/>
  <c r="O951" i="148" s="1"/>
  <c r="K951" i="148"/>
  <c r="J951" i="148"/>
  <c r="I951" i="148"/>
  <c r="R950" i="148"/>
  <c r="N950" i="148"/>
  <c r="M950" i="148"/>
  <c r="L950" i="148"/>
  <c r="P950" i="148" s="1"/>
  <c r="K950" i="148"/>
  <c r="J950" i="148"/>
  <c r="I950" i="148"/>
  <c r="R949" i="148"/>
  <c r="N949" i="148"/>
  <c r="M949" i="148"/>
  <c r="L949" i="148"/>
  <c r="K949" i="148"/>
  <c r="J949" i="148"/>
  <c r="I949" i="148"/>
  <c r="R948" i="148"/>
  <c r="N948" i="148"/>
  <c r="M948" i="148"/>
  <c r="L948" i="148"/>
  <c r="K948" i="148"/>
  <c r="J948" i="148"/>
  <c r="I948" i="148"/>
  <c r="R947" i="148"/>
  <c r="N947" i="148"/>
  <c r="M947" i="148"/>
  <c r="L947" i="148"/>
  <c r="K947" i="148"/>
  <c r="J947" i="148"/>
  <c r="I947" i="148"/>
  <c r="R946" i="148"/>
  <c r="N946" i="148"/>
  <c r="M946" i="148"/>
  <c r="L946" i="148"/>
  <c r="P946" i="148" s="1"/>
  <c r="K946" i="148"/>
  <c r="J946" i="148"/>
  <c r="I946" i="148"/>
  <c r="R945" i="148"/>
  <c r="N945" i="148"/>
  <c r="M945" i="148"/>
  <c r="L945" i="148"/>
  <c r="K945" i="148"/>
  <c r="J945" i="148"/>
  <c r="I945" i="148"/>
  <c r="R944" i="148"/>
  <c r="N944" i="148"/>
  <c r="M944" i="148"/>
  <c r="L944" i="148"/>
  <c r="K944" i="148"/>
  <c r="J944" i="148"/>
  <c r="I944" i="148"/>
  <c r="R943" i="148"/>
  <c r="N943" i="148"/>
  <c r="M943" i="148"/>
  <c r="L943" i="148"/>
  <c r="K943" i="148"/>
  <c r="J943" i="148"/>
  <c r="I943" i="148"/>
  <c r="R942" i="148"/>
  <c r="N942" i="148"/>
  <c r="M942" i="148"/>
  <c r="L942" i="148"/>
  <c r="K942" i="148"/>
  <c r="J942" i="148"/>
  <c r="I942" i="148"/>
  <c r="R941" i="148"/>
  <c r="N941" i="148"/>
  <c r="M941" i="148"/>
  <c r="L941" i="148"/>
  <c r="K941" i="148"/>
  <c r="J941" i="148"/>
  <c r="I941" i="148"/>
  <c r="R940" i="148"/>
  <c r="N940" i="148"/>
  <c r="M940" i="148"/>
  <c r="L940" i="148"/>
  <c r="K940" i="148"/>
  <c r="J940" i="148"/>
  <c r="I940" i="148"/>
  <c r="R939" i="148"/>
  <c r="N939" i="148"/>
  <c r="M939" i="148"/>
  <c r="L939" i="148"/>
  <c r="K939" i="148"/>
  <c r="J939" i="148"/>
  <c r="I939" i="148"/>
  <c r="R938" i="148"/>
  <c r="N938" i="148"/>
  <c r="M938" i="148"/>
  <c r="L938" i="148"/>
  <c r="K938" i="148"/>
  <c r="J938" i="148"/>
  <c r="I938" i="148"/>
  <c r="R937" i="148"/>
  <c r="N937" i="148"/>
  <c r="M937" i="148"/>
  <c r="L937" i="148"/>
  <c r="K937" i="148"/>
  <c r="J937" i="148"/>
  <c r="I937" i="148"/>
  <c r="R936" i="148"/>
  <c r="N936" i="148"/>
  <c r="M936" i="148"/>
  <c r="L936" i="148"/>
  <c r="K936" i="148"/>
  <c r="J936" i="148"/>
  <c r="I936" i="148"/>
  <c r="R935" i="148"/>
  <c r="N935" i="148"/>
  <c r="M935" i="148"/>
  <c r="L935" i="148"/>
  <c r="K935" i="148"/>
  <c r="J935" i="148"/>
  <c r="I935" i="148"/>
  <c r="R934" i="148"/>
  <c r="N934" i="148"/>
  <c r="M934" i="148"/>
  <c r="L934" i="148"/>
  <c r="K934" i="148"/>
  <c r="J934" i="148"/>
  <c r="I934" i="148"/>
  <c r="R933" i="148"/>
  <c r="N933" i="148"/>
  <c r="M933" i="148"/>
  <c r="L933" i="148"/>
  <c r="K933" i="148"/>
  <c r="J933" i="148"/>
  <c r="I933" i="148"/>
  <c r="R932" i="148"/>
  <c r="N932" i="148"/>
  <c r="M932" i="148"/>
  <c r="L932" i="148"/>
  <c r="K932" i="148"/>
  <c r="J932" i="148"/>
  <c r="I932" i="148"/>
  <c r="R931" i="148"/>
  <c r="N931" i="148"/>
  <c r="M931" i="148"/>
  <c r="L931" i="148"/>
  <c r="K931" i="148"/>
  <c r="J931" i="148"/>
  <c r="I931" i="148"/>
  <c r="R930" i="148"/>
  <c r="N930" i="148"/>
  <c r="M930" i="148"/>
  <c r="L930" i="148"/>
  <c r="K930" i="148"/>
  <c r="J930" i="148"/>
  <c r="I930" i="148"/>
  <c r="R929" i="148"/>
  <c r="N929" i="148"/>
  <c r="M929" i="148"/>
  <c r="L929" i="148"/>
  <c r="P929" i="148" s="1"/>
  <c r="K929" i="148"/>
  <c r="J929" i="148"/>
  <c r="I929" i="148"/>
  <c r="R928" i="148"/>
  <c r="N928" i="148"/>
  <c r="M928" i="148"/>
  <c r="L928" i="148"/>
  <c r="K928" i="148"/>
  <c r="J928" i="148"/>
  <c r="I928" i="148"/>
  <c r="R927" i="148"/>
  <c r="N927" i="148"/>
  <c r="M927" i="148"/>
  <c r="L927" i="148"/>
  <c r="K927" i="148"/>
  <c r="J927" i="148"/>
  <c r="I927" i="148"/>
  <c r="R926" i="148"/>
  <c r="N926" i="148"/>
  <c r="M926" i="148"/>
  <c r="L926" i="148"/>
  <c r="K926" i="148"/>
  <c r="J926" i="148"/>
  <c r="I926" i="148"/>
  <c r="R925" i="148"/>
  <c r="N925" i="148"/>
  <c r="M925" i="148"/>
  <c r="L925" i="148"/>
  <c r="K925" i="148"/>
  <c r="J925" i="148"/>
  <c r="I925" i="148"/>
  <c r="R924" i="148"/>
  <c r="N924" i="148"/>
  <c r="M924" i="148"/>
  <c r="L924" i="148"/>
  <c r="K924" i="148"/>
  <c r="J924" i="148"/>
  <c r="I924" i="148"/>
  <c r="R923" i="148"/>
  <c r="N923" i="148"/>
  <c r="M923" i="148"/>
  <c r="L923" i="148"/>
  <c r="K923" i="148"/>
  <c r="J923" i="148"/>
  <c r="I923" i="148"/>
  <c r="R922" i="148"/>
  <c r="N922" i="148"/>
  <c r="M922" i="148"/>
  <c r="L922" i="148"/>
  <c r="K922" i="148"/>
  <c r="J922" i="148"/>
  <c r="I922" i="148"/>
  <c r="R921" i="148"/>
  <c r="N921" i="148"/>
  <c r="M921" i="148"/>
  <c r="L921" i="148"/>
  <c r="K921" i="148"/>
  <c r="J921" i="148"/>
  <c r="I921" i="148"/>
  <c r="R920" i="148"/>
  <c r="N920" i="148"/>
  <c r="M920" i="148"/>
  <c r="L920" i="148"/>
  <c r="K920" i="148"/>
  <c r="J920" i="148"/>
  <c r="I920" i="148"/>
  <c r="R919" i="148"/>
  <c r="N919" i="148"/>
  <c r="M919" i="148"/>
  <c r="L919" i="148"/>
  <c r="K919" i="148"/>
  <c r="J919" i="148"/>
  <c r="I919" i="148"/>
  <c r="R918" i="148"/>
  <c r="N918" i="148"/>
  <c r="M918" i="148"/>
  <c r="L918" i="148"/>
  <c r="K918" i="148"/>
  <c r="J918" i="148"/>
  <c r="I918" i="148"/>
  <c r="R917" i="148"/>
  <c r="N917" i="148"/>
  <c r="M917" i="148"/>
  <c r="L917" i="148"/>
  <c r="K917" i="148"/>
  <c r="J917" i="148"/>
  <c r="I917" i="148"/>
  <c r="R916" i="148"/>
  <c r="N916" i="148"/>
  <c r="M916" i="148"/>
  <c r="L916" i="148"/>
  <c r="K916" i="148"/>
  <c r="J916" i="148"/>
  <c r="I916" i="148"/>
  <c r="R915" i="148"/>
  <c r="N915" i="148"/>
  <c r="M915" i="148"/>
  <c r="L915" i="148"/>
  <c r="K915" i="148"/>
  <c r="J915" i="148"/>
  <c r="I915" i="148"/>
  <c r="R914" i="148"/>
  <c r="N914" i="148"/>
  <c r="M914" i="148"/>
  <c r="L914" i="148"/>
  <c r="K914" i="148"/>
  <c r="J914" i="148"/>
  <c r="I914" i="148"/>
  <c r="R913" i="148"/>
  <c r="N913" i="148"/>
  <c r="M913" i="148"/>
  <c r="L913" i="148"/>
  <c r="P913" i="148" s="1"/>
  <c r="K913" i="148"/>
  <c r="J913" i="148"/>
  <c r="I913" i="148"/>
  <c r="R912" i="148"/>
  <c r="N912" i="148"/>
  <c r="M912" i="148"/>
  <c r="L912" i="148"/>
  <c r="K912" i="148"/>
  <c r="J912" i="148"/>
  <c r="I912" i="148"/>
  <c r="R911" i="148"/>
  <c r="N911" i="148"/>
  <c r="M911" i="148"/>
  <c r="L911" i="148"/>
  <c r="K911" i="148"/>
  <c r="J911" i="148"/>
  <c r="I911" i="148"/>
  <c r="R910" i="148"/>
  <c r="N910" i="148"/>
  <c r="M910" i="148"/>
  <c r="L910" i="148"/>
  <c r="K910" i="148"/>
  <c r="J910" i="148"/>
  <c r="I910" i="148"/>
  <c r="R909" i="148"/>
  <c r="N909" i="148"/>
  <c r="M909" i="148"/>
  <c r="L909" i="148"/>
  <c r="K909" i="148"/>
  <c r="J909" i="148"/>
  <c r="I909" i="148"/>
  <c r="R908" i="148"/>
  <c r="N908" i="148"/>
  <c r="M908" i="148"/>
  <c r="L908" i="148"/>
  <c r="K908" i="148"/>
  <c r="J908" i="148"/>
  <c r="I908" i="148"/>
  <c r="R907" i="148"/>
  <c r="N907" i="148"/>
  <c r="M907" i="148"/>
  <c r="L907" i="148"/>
  <c r="K907" i="148"/>
  <c r="J907" i="148"/>
  <c r="I907" i="148"/>
  <c r="R906" i="148"/>
  <c r="N906" i="148"/>
  <c r="M906" i="148"/>
  <c r="L906" i="148"/>
  <c r="K906" i="148"/>
  <c r="J906" i="148"/>
  <c r="I906" i="148"/>
  <c r="R905" i="148"/>
  <c r="N905" i="148"/>
  <c r="M905" i="148"/>
  <c r="L905" i="148"/>
  <c r="K905" i="148"/>
  <c r="J905" i="148"/>
  <c r="I905" i="148"/>
  <c r="R904" i="148"/>
  <c r="N904" i="148"/>
  <c r="M904" i="148"/>
  <c r="L904" i="148"/>
  <c r="K904" i="148"/>
  <c r="J904" i="148"/>
  <c r="I904" i="148"/>
  <c r="R903" i="148"/>
  <c r="N903" i="148"/>
  <c r="M903" i="148"/>
  <c r="L903" i="148"/>
  <c r="K903" i="148"/>
  <c r="J903" i="148"/>
  <c r="I903" i="148"/>
  <c r="R902" i="148"/>
  <c r="N902" i="148"/>
  <c r="M902" i="148"/>
  <c r="L902" i="148"/>
  <c r="K902" i="148"/>
  <c r="J902" i="148"/>
  <c r="I902" i="148"/>
  <c r="R901" i="148"/>
  <c r="N901" i="148"/>
  <c r="M901" i="148"/>
  <c r="L901" i="148"/>
  <c r="P901" i="148" s="1"/>
  <c r="K901" i="148"/>
  <c r="J901" i="148"/>
  <c r="I901" i="148"/>
  <c r="R900" i="148"/>
  <c r="N900" i="148"/>
  <c r="M900" i="148"/>
  <c r="L900" i="148"/>
  <c r="K900" i="148"/>
  <c r="J900" i="148"/>
  <c r="I900" i="148"/>
  <c r="R899" i="148"/>
  <c r="N899" i="148"/>
  <c r="M899" i="148"/>
  <c r="L899" i="148"/>
  <c r="K899" i="148"/>
  <c r="J899" i="148"/>
  <c r="I899" i="148"/>
  <c r="R898" i="148"/>
  <c r="N898" i="148"/>
  <c r="M898" i="148"/>
  <c r="L898" i="148"/>
  <c r="K898" i="148"/>
  <c r="J898" i="148"/>
  <c r="I898" i="148"/>
  <c r="R897" i="148"/>
  <c r="N897" i="148"/>
  <c r="M897" i="148"/>
  <c r="L897" i="148"/>
  <c r="K897" i="148"/>
  <c r="J897" i="148"/>
  <c r="I897" i="148"/>
  <c r="R896" i="148"/>
  <c r="N896" i="148"/>
  <c r="M896" i="148"/>
  <c r="L896" i="148"/>
  <c r="P896" i="148" s="1"/>
  <c r="K896" i="148"/>
  <c r="J896" i="148"/>
  <c r="I896" i="148"/>
  <c r="R895" i="148"/>
  <c r="N895" i="148"/>
  <c r="M895" i="148"/>
  <c r="L895" i="148"/>
  <c r="K895" i="148"/>
  <c r="J895" i="148"/>
  <c r="I895" i="148"/>
  <c r="R894" i="148"/>
  <c r="N894" i="148"/>
  <c r="M894" i="148"/>
  <c r="L894" i="148"/>
  <c r="K894" i="148"/>
  <c r="J894" i="148"/>
  <c r="I894" i="148"/>
  <c r="R893" i="148"/>
  <c r="N893" i="148"/>
  <c r="M893" i="148"/>
  <c r="L893" i="148"/>
  <c r="P893" i="148" s="1"/>
  <c r="K893" i="148"/>
  <c r="J893" i="148"/>
  <c r="I893" i="148"/>
  <c r="R892" i="148"/>
  <c r="N892" i="148"/>
  <c r="M892" i="148"/>
  <c r="L892" i="148"/>
  <c r="K892" i="148"/>
  <c r="J892" i="148"/>
  <c r="I892" i="148"/>
  <c r="R891" i="148"/>
  <c r="N891" i="148"/>
  <c r="M891" i="148"/>
  <c r="L891" i="148"/>
  <c r="O891" i="148" s="1"/>
  <c r="K891" i="148"/>
  <c r="J891" i="148"/>
  <c r="I891" i="148"/>
  <c r="R890" i="148"/>
  <c r="N890" i="148"/>
  <c r="M890" i="148"/>
  <c r="L890" i="148"/>
  <c r="K890" i="148"/>
  <c r="J890" i="148"/>
  <c r="I890" i="148"/>
  <c r="R889" i="148"/>
  <c r="N889" i="148"/>
  <c r="M889" i="148"/>
  <c r="L889" i="148"/>
  <c r="K889" i="148"/>
  <c r="J889" i="148"/>
  <c r="I889" i="148"/>
  <c r="R888" i="148"/>
  <c r="N888" i="148"/>
  <c r="M888" i="148"/>
  <c r="L888" i="148"/>
  <c r="K888" i="148"/>
  <c r="J888" i="148"/>
  <c r="I888" i="148"/>
  <c r="R887" i="148"/>
  <c r="N887" i="148"/>
  <c r="M887" i="148"/>
  <c r="L887" i="148"/>
  <c r="K887" i="148"/>
  <c r="J887" i="148"/>
  <c r="I887" i="148"/>
  <c r="R886" i="148"/>
  <c r="N886" i="148"/>
  <c r="M886" i="148"/>
  <c r="L886" i="148"/>
  <c r="K886" i="148"/>
  <c r="J886" i="148"/>
  <c r="I886" i="148"/>
  <c r="R885" i="148"/>
  <c r="N885" i="148"/>
  <c r="M885" i="148"/>
  <c r="L885" i="148"/>
  <c r="K885" i="148"/>
  <c r="J885" i="148"/>
  <c r="I885" i="148"/>
  <c r="R884" i="148"/>
  <c r="N884" i="148"/>
  <c r="M884" i="148"/>
  <c r="L884" i="148"/>
  <c r="K884" i="148"/>
  <c r="J884" i="148"/>
  <c r="I884" i="148"/>
  <c r="R883" i="148"/>
  <c r="N883" i="148"/>
  <c r="M883" i="148"/>
  <c r="L883" i="148"/>
  <c r="K883" i="148"/>
  <c r="J883" i="148"/>
  <c r="I883" i="148"/>
  <c r="R882" i="148"/>
  <c r="N882" i="148"/>
  <c r="M882" i="148"/>
  <c r="L882" i="148"/>
  <c r="K882" i="148"/>
  <c r="J882" i="148"/>
  <c r="I882" i="148"/>
  <c r="R881" i="148"/>
  <c r="N881" i="148"/>
  <c r="M881" i="148"/>
  <c r="L881" i="148"/>
  <c r="K881" i="148"/>
  <c r="J881" i="148"/>
  <c r="I881" i="148"/>
  <c r="R880" i="148"/>
  <c r="N880" i="148"/>
  <c r="M880" i="148"/>
  <c r="L880" i="148"/>
  <c r="K880" i="148"/>
  <c r="J880" i="148"/>
  <c r="I880" i="148"/>
  <c r="R879" i="148"/>
  <c r="N879" i="148"/>
  <c r="M879" i="148"/>
  <c r="L879" i="148"/>
  <c r="K879" i="148"/>
  <c r="J879" i="148"/>
  <c r="I879" i="148"/>
  <c r="R878" i="148"/>
  <c r="N878" i="148"/>
  <c r="M878" i="148"/>
  <c r="L878" i="148"/>
  <c r="K878" i="148"/>
  <c r="J878" i="148"/>
  <c r="I878" i="148"/>
  <c r="R877" i="148"/>
  <c r="N877" i="148"/>
  <c r="M877" i="148"/>
  <c r="L877" i="148"/>
  <c r="K877" i="148"/>
  <c r="J877" i="148"/>
  <c r="I877" i="148"/>
  <c r="R876" i="148"/>
  <c r="N876" i="148"/>
  <c r="M876" i="148"/>
  <c r="L876" i="148"/>
  <c r="K876" i="148"/>
  <c r="J876" i="148"/>
  <c r="I876" i="148"/>
  <c r="R875" i="148"/>
  <c r="N875" i="148"/>
  <c r="M875" i="148"/>
  <c r="L875" i="148"/>
  <c r="K875" i="148"/>
  <c r="J875" i="148"/>
  <c r="I875" i="148"/>
  <c r="R874" i="148"/>
  <c r="N874" i="148"/>
  <c r="M874" i="148"/>
  <c r="L874" i="148"/>
  <c r="K874" i="148"/>
  <c r="J874" i="148"/>
  <c r="I874" i="148"/>
  <c r="R873" i="148"/>
  <c r="N873" i="148"/>
  <c r="M873" i="148"/>
  <c r="L873" i="148"/>
  <c r="K873" i="148"/>
  <c r="J873" i="148"/>
  <c r="I873" i="148"/>
  <c r="R872" i="148"/>
  <c r="N872" i="148"/>
  <c r="M872" i="148"/>
  <c r="L872" i="148"/>
  <c r="K872" i="148"/>
  <c r="J872" i="148"/>
  <c r="I872" i="148"/>
  <c r="R871" i="148"/>
  <c r="N871" i="148"/>
  <c r="M871" i="148"/>
  <c r="L871" i="148"/>
  <c r="K871" i="148"/>
  <c r="J871" i="148"/>
  <c r="I871" i="148"/>
  <c r="R870" i="148"/>
  <c r="N870" i="148"/>
  <c r="M870" i="148"/>
  <c r="L870" i="148"/>
  <c r="K870" i="148"/>
  <c r="J870" i="148"/>
  <c r="I870" i="148"/>
  <c r="R869" i="148"/>
  <c r="N869" i="148"/>
  <c r="M869" i="148"/>
  <c r="L869" i="148"/>
  <c r="K869" i="148"/>
  <c r="J869" i="148"/>
  <c r="I869" i="148"/>
  <c r="R868" i="148"/>
  <c r="N868" i="148"/>
  <c r="M868" i="148"/>
  <c r="L868" i="148"/>
  <c r="K868" i="148"/>
  <c r="J868" i="148"/>
  <c r="I868" i="148"/>
  <c r="R867" i="148"/>
  <c r="N867" i="148"/>
  <c r="M867" i="148"/>
  <c r="L867" i="148"/>
  <c r="K867" i="148"/>
  <c r="J867" i="148"/>
  <c r="I867" i="148"/>
  <c r="R866" i="148"/>
  <c r="N866" i="148"/>
  <c r="M866" i="148"/>
  <c r="L866" i="148"/>
  <c r="K866" i="148"/>
  <c r="J866" i="148"/>
  <c r="I866" i="148"/>
  <c r="R865" i="148"/>
  <c r="N865" i="148"/>
  <c r="M865" i="148"/>
  <c r="L865" i="148"/>
  <c r="K865" i="148"/>
  <c r="J865" i="148"/>
  <c r="I865" i="148"/>
  <c r="R864" i="148"/>
  <c r="N864" i="148"/>
  <c r="M864" i="148"/>
  <c r="L864" i="148"/>
  <c r="K864" i="148"/>
  <c r="J864" i="148"/>
  <c r="I864" i="148"/>
  <c r="R863" i="148"/>
  <c r="N863" i="148"/>
  <c r="M863" i="148"/>
  <c r="L863" i="148"/>
  <c r="K863" i="148"/>
  <c r="J863" i="148"/>
  <c r="I863" i="148"/>
  <c r="R862" i="148"/>
  <c r="N862" i="148"/>
  <c r="M862" i="148"/>
  <c r="L862" i="148"/>
  <c r="K862" i="148"/>
  <c r="J862" i="148"/>
  <c r="I862" i="148"/>
  <c r="R861" i="148"/>
  <c r="N861" i="148"/>
  <c r="M861" i="148"/>
  <c r="L861" i="148"/>
  <c r="K861" i="148"/>
  <c r="J861" i="148"/>
  <c r="I861" i="148"/>
  <c r="R860" i="148"/>
  <c r="N860" i="148"/>
  <c r="M860" i="148"/>
  <c r="L860" i="148"/>
  <c r="K860" i="148"/>
  <c r="J860" i="148"/>
  <c r="I860" i="148"/>
  <c r="R859" i="148"/>
  <c r="N859" i="148"/>
  <c r="M859" i="148"/>
  <c r="L859" i="148"/>
  <c r="K859" i="148"/>
  <c r="J859" i="148"/>
  <c r="I859" i="148"/>
  <c r="R858" i="148"/>
  <c r="N858" i="148"/>
  <c r="M858" i="148"/>
  <c r="L858" i="148"/>
  <c r="K858" i="148"/>
  <c r="J858" i="148"/>
  <c r="I858" i="148"/>
  <c r="R857" i="148"/>
  <c r="N857" i="148"/>
  <c r="M857" i="148"/>
  <c r="L857" i="148"/>
  <c r="K857" i="148"/>
  <c r="J857" i="148"/>
  <c r="I857" i="148"/>
  <c r="R856" i="148"/>
  <c r="N856" i="148"/>
  <c r="M856" i="148"/>
  <c r="L856" i="148"/>
  <c r="K856" i="148"/>
  <c r="J856" i="148"/>
  <c r="I856" i="148"/>
  <c r="R855" i="148"/>
  <c r="N855" i="148"/>
  <c r="M855" i="148"/>
  <c r="L855" i="148"/>
  <c r="K855" i="148"/>
  <c r="J855" i="148"/>
  <c r="I855" i="148"/>
  <c r="R854" i="148"/>
  <c r="N854" i="148"/>
  <c r="M854" i="148"/>
  <c r="L854" i="148"/>
  <c r="K854" i="148"/>
  <c r="J854" i="148"/>
  <c r="I854" i="148"/>
  <c r="R853" i="148"/>
  <c r="N853" i="148"/>
  <c r="M853" i="148"/>
  <c r="L853" i="148"/>
  <c r="K853" i="148"/>
  <c r="J853" i="148"/>
  <c r="I853" i="148"/>
  <c r="R852" i="148"/>
  <c r="N852" i="148"/>
  <c r="M852" i="148"/>
  <c r="L852" i="148"/>
  <c r="K852" i="148"/>
  <c r="J852" i="148"/>
  <c r="I852" i="148"/>
  <c r="R851" i="148"/>
  <c r="N851" i="148"/>
  <c r="M851" i="148"/>
  <c r="L851" i="148"/>
  <c r="K851" i="148"/>
  <c r="J851" i="148"/>
  <c r="I851" i="148"/>
  <c r="R850" i="148"/>
  <c r="N850" i="148"/>
  <c r="M850" i="148"/>
  <c r="L850" i="148"/>
  <c r="K850" i="148"/>
  <c r="J850" i="148"/>
  <c r="I850" i="148"/>
  <c r="R849" i="148"/>
  <c r="N849" i="148"/>
  <c r="M849" i="148"/>
  <c r="L849" i="148"/>
  <c r="K849" i="148"/>
  <c r="J849" i="148"/>
  <c r="I849" i="148"/>
  <c r="R848" i="148"/>
  <c r="N848" i="148"/>
  <c r="M848" i="148"/>
  <c r="L848" i="148"/>
  <c r="K848" i="148"/>
  <c r="J848" i="148"/>
  <c r="I848" i="148"/>
  <c r="R847" i="148"/>
  <c r="N847" i="148"/>
  <c r="M847" i="148"/>
  <c r="L847" i="148"/>
  <c r="K847" i="148"/>
  <c r="J847" i="148"/>
  <c r="I847" i="148"/>
  <c r="R846" i="148"/>
  <c r="N846" i="148"/>
  <c r="M846" i="148"/>
  <c r="L846" i="148"/>
  <c r="K846" i="148"/>
  <c r="J846" i="148"/>
  <c r="I846" i="148"/>
  <c r="R845" i="148"/>
  <c r="N845" i="148"/>
  <c r="M845" i="148"/>
  <c r="L845" i="148"/>
  <c r="K845" i="148"/>
  <c r="J845" i="148"/>
  <c r="I845" i="148"/>
  <c r="R844" i="148"/>
  <c r="N844" i="148"/>
  <c r="M844" i="148"/>
  <c r="L844" i="148"/>
  <c r="P844" i="148" s="1"/>
  <c r="K844" i="148"/>
  <c r="J844" i="148"/>
  <c r="I844" i="148"/>
  <c r="R843" i="148"/>
  <c r="N843" i="148"/>
  <c r="M843" i="148"/>
  <c r="L843" i="148"/>
  <c r="K843" i="148"/>
  <c r="J843" i="148"/>
  <c r="I843" i="148"/>
  <c r="R842" i="148"/>
  <c r="N842" i="148"/>
  <c r="M842" i="148"/>
  <c r="L842" i="148"/>
  <c r="K842" i="148"/>
  <c r="J842" i="148"/>
  <c r="I842" i="148"/>
  <c r="R841" i="148"/>
  <c r="N841" i="148"/>
  <c r="M841" i="148"/>
  <c r="L841" i="148"/>
  <c r="K841" i="148"/>
  <c r="J841" i="148"/>
  <c r="I841" i="148"/>
  <c r="R840" i="148"/>
  <c r="N840" i="148"/>
  <c r="M840" i="148"/>
  <c r="L840" i="148"/>
  <c r="K840" i="148"/>
  <c r="J840" i="148"/>
  <c r="I840" i="148"/>
  <c r="R839" i="148"/>
  <c r="N839" i="148"/>
  <c r="M839" i="148"/>
  <c r="L839" i="148"/>
  <c r="K839" i="148"/>
  <c r="J839" i="148"/>
  <c r="I839" i="148"/>
  <c r="R838" i="148"/>
  <c r="N838" i="148"/>
  <c r="M838" i="148"/>
  <c r="L838" i="148"/>
  <c r="K838" i="148"/>
  <c r="J838" i="148"/>
  <c r="I838" i="148"/>
  <c r="R837" i="148"/>
  <c r="N837" i="148"/>
  <c r="M837" i="148"/>
  <c r="L837" i="148"/>
  <c r="K837" i="148"/>
  <c r="J837" i="148"/>
  <c r="I837" i="148"/>
  <c r="R836" i="148"/>
  <c r="N836" i="148"/>
  <c r="M836" i="148"/>
  <c r="L836" i="148"/>
  <c r="K836" i="148"/>
  <c r="J836" i="148"/>
  <c r="I836" i="148"/>
  <c r="R835" i="148"/>
  <c r="N835" i="148"/>
  <c r="M835" i="148"/>
  <c r="L835" i="148"/>
  <c r="K835" i="148"/>
  <c r="J835" i="148"/>
  <c r="I835" i="148"/>
  <c r="R834" i="148"/>
  <c r="N834" i="148"/>
  <c r="M834" i="148"/>
  <c r="L834" i="148"/>
  <c r="K834" i="148"/>
  <c r="J834" i="148"/>
  <c r="I834" i="148"/>
  <c r="R833" i="148"/>
  <c r="N833" i="148"/>
  <c r="M833" i="148"/>
  <c r="L833" i="148"/>
  <c r="K833" i="148"/>
  <c r="J833" i="148"/>
  <c r="I833" i="148"/>
  <c r="R832" i="148"/>
  <c r="N832" i="148"/>
  <c r="M832" i="148"/>
  <c r="L832" i="148"/>
  <c r="K832" i="148"/>
  <c r="J832" i="148"/>
  <c r="I832" i="148"/>
  <c r="R831" i="148"/>
  <c r="N831" i="148"/>
  <c r="M831" i="148"/>
  <c r="L831" i="148"/>
  <c r="K831" i="148"/>
  <c r="J831" i="148"/>
  <c r="I831" i="148"/>
  <c r="R830" i="148"/>
  <c r="N830" i="148"/>
  <c r="M830" i="148"/>
  <c r="L830" i="148"/>
  <c r="K830" i="148"/>
  <c r="J830" i="148"/>
  <c r="I830" i="148"/>
  <c r="R829" i="148"/>
  <c r="N829" i="148"/>
  <c r="M829" i="148"/>
  <c r="L829" i="148"/>
  <c r="K829" i="148"/>
  <c r="J829" i="148"/>
  <c r="I829" i="148"/>
  <c r="R828" i="148"/>
  <c r="N828" i="148"/>
  <c r="M828" i="148"/>
  <c r="L828" i="148"/>
  <c r="K828" i="148"/>
  <c r="J828" i="148"/>
  <c r="I828" i="148"/>
  <c r="R827" i="148"/>
  <c r="N827" i="148"/>
  <c r="M827" i="148"/>
  <c r="L827" i="148"/>
  <c r="K827" i="148"/>
  <c r="J827" i="148"/>
  <c r="I827" i="148"/>
  <c r="R826" i="148"/>
  <c r="N826" i="148"/>
  <c r="M826" i="148"/>
  <c r="L826" i="148"/>
  <c r="K826" i="148"/>
  <c r="J826" i="148"/>
  <c r="I826" i="148"/>
  <c r="R825" i="148"/>
  <c r="N825" i="148"/>
  <c r="M825" i="148"/>
  <c r="L825" i="148"/>
  <c r="K825" i="148"/>
  <c r="J825" i="148"/>
  <c r="I825" i="148"/>
  <c r="R824" i="148"/>
  <c r="N824" i="148"/>
  <c r="M824" i="148"/>
  <c r="L824" i="148"/>
  <c r="K824" i="148"/>
  <c r="J824" i="148"/>
  <c r="I824" i="148"/>
  <c r="R823" i="148"/>
  <c r="N823" i="148"/>
  <c r="M823" i="148"/>
  <c r="L823" i="148"/>
  <c r="K823" i="148"/>
  <c r="J823" i="148"/>
  <c r="I823" i="148"/>
  <c r="R822" i="148"/>
  <c r="N822" i="148"/>
  <c r="M822" i="148"/>
  <c r="L822" i="148"/>
  <c r="K822" i="148"/>
  <c r="J822" i="148"/>
  <c r="I822" i="148"/>
  <c r="R821" i="148"/>
  <c r="N821" i="148"/>
  <c r="M821" i="148"/>
  <c r="L821" i="148"/>
  <c r="K821" i="148"/>
  <c r="J821" i="148"/>
  <c r="I821" i="148"/>
  <c r="R820" i="148"/>
  <c r="N820" i="148"/>
  <c r="M820" i="148"/>
  <c r="L820" i="148"/>
  <c r="K820" i="148"/>
  <c r="J820" i="148"/>
  <c r="I820" i="148"/>
  <c r="R819" i="148"/>
  <c r="N819" i="148"/>
  <c r="M819" i="148"/>
  <c r="L819" i="148"/>
  <c r="K819" i="148"/>
  <c r="J819" i="148"/>
  <c r="I819" i="148"/>
  <c r="R818" i="148"/>
  <c r="N818" i="148"/>
  <c r="M818" i="148"/>
  <c r="L818" i="148"/>
  <c r="K818" i="148"/>
  <c r="J818" i="148"/>
  <c r="I818" i="148"/>
  <c r="R817" i="148"/>
  <c r="N817" i="148"/>
  <c r="M817" i="148"/>
  <c r="L817" i="148"/>
  <c r="K817" i="148"/>
  <c r="J817" i="148"/>
  <c r="I817" i="148"/>
  <c r="R816" i="148"/>
  <c r="N816" i="148"/>
  <c r="M816" i="148"/>
  <c r="L816" i="148"/>
  <c r="K816" i="148"/>
  <c r="J816" i="148"/>
  <c r="I816" i="148"/>
  <c r="R815" i="148"/>
  <c r="N815" i="148"/>
  <c r="M815" i="148"/>
  <c r="L815" i="148"/>
  <c r="K815" i="148"/>
  <c r="J815" i="148"/>
  <c r="I815" i="148"/>
  <c r="R814" i="148"/>
  <c r="N814" i="148"/>
  <c r="M814" i="148"/>
  <c r="L814" i="148"/>
  <c r="K814" i="148"/>
  <c r="J814" i="148"/>
  <c r="I814" i="148"/>
  <c r="R813" i="148"/>
  <c r="N813" i="148"/>
  <c r="M813" i="148"/>
  <c r="L813" i="148"/>
  <c r="K813" i="148"/>
  <c r="J813" i="148"/>
  <c r="I813" i="148"/>
  <c r="R812" i="148"/>
  <c r="N812" i="148"/>
  <c r="M812" i="148"/>
  <c r="L812" i="148"/>
  <c r="K812" i="148"/>
  <c r="J812" i="148"/>
  <c r="I812" i="148"/>
  <c r="R811" i="148"/>
  <c r="N811" i="148"/>
  <c r="M811" i="148"/>
  <c r="L811" i="148"/>
  <c r="K811" i="148"/>
  <c r="J811" i="148"/>
  <c r="I811" i="148"/>
  <c r="R810" i="148"/>
  <c r="N810" i="148"/>
  <c r="M810" i="148"/>
  <c r="L810" i="148"/>
  <c r="O810" i="148" s="1"/>
  <c r="K810" i="148"/>
  <c r="J810" i="148"/>
  <c r="I810" i="148"/>
  <c r="R809" i="148"/>
  <c r="N809" i="148"/>
  <c r="M809" i="148"/>
  <c r="L809" i="148"/>
  <c r="K809" i="148"/>
  <c r="J809" i="148"/>
  <c r="I809" i="148"/>
  <c r="R808" i="148"/>
  <c r="N808" i="148"/>
  <c r="M808" i="148"/>
  <c r="L808" i="148"/>
  <c r="K808" i="148"/>
  <c r="J808" i="148"/>
  <c r="I808" i="148"/>
  <c r="R807" i="148"/>
  <c r="N807" i="148"/>
  <c r="M807" i="148"/>
  <c r="L807" i="148"/>
  <c r="K807" i="148"/>
  <c r="J807" i="148"/>
  <c r="I807" i="148"/>
  <c r="R806" i="148"/>
  <c r="N806" i="148"/>
  <c r="M806" i="148"/>
  <c r="L806" i="148"/>
  <c r="K806" i="148"/>
  <c r="J806" i="148"/>
  <c r="I806" i="148"/>
  <c r="R805" i="148"/>
  <c r="N805" i="148"/>
  <c r="M805" i="148"/>
  <c r="L805" i="148"/>
  <c r="P805" i="148" s="1"/>
  <c r="K805" i="148"/>
  <c r="J805" i="148"/>
  <c r="I805" i="148"/>
  <c r="R804" i="148"/>
  <c r="N804" i="148"/>
  <c r="M804" i="148"/>
  <c r="L804" i="148"/>
  <c r="K804" i="148"/>
  <c r="J804" i="148"/>
  <c r="I804" i="148"/>
  <c r="R803" i="148"/>
  <c r="N803" i="148"/>
  <c r="M803" i="148"/>
  <c r="L803" i="148"/>
  <c r="K803" i="148"/>
  <c r="J803" i="148"/>
  <c r="I803" i="148"/>
  <c r="R802" i="148"/>
  <c r="N802" i="148"/>
  <c r="M802" i="148"/>
  <c r="L802" i="148"/>
  <c r="K802" i="148"/>
  <c r="J802" i="148"/>
  <c r="I802" i="148"/>
  <c r="R801" i="148"/>
  <c r="S801" i="148"/>
  <c r="N801" i="148"/>
  <c r="M801" i="148"/>
  <c r="L801" i="148"/>
  <c r="K801" i="148"/>
  <c r="J801" i="148"/>
  <c r="I801" i="148"/>
  <c r="R800" i="148"/>
  <c r="N800" i="148"/>
  <c r="M800" i="148"/>
  <c r="L800" i="148"/>
  <c r="K800" i="148"/>
  <c r="J800" i="148"/>
  <c r="I800" i="148"/>
  <c r="R799" i="148"/>
  <c r="N799" i="148"/>
  <c r="M799" i="148"/>
  <c r="L799" i="148"/>
  <c r="K799" i="148"/>
  <c r="J799" i="148"/>
  <c r="I799" i="148"/>
  <c r="R798" i="148"/>
  <c r="N798" i="148"/>
  <c r="M798" i="148"/>
  <c r="L798" i="148"/>
  <c r="K798" i="148"/>
  <c r="J798" i="148"/>
  <c r="I798" i="148"/>
  <c r="R797" i="148"/>
  <c r="N797" i="148"/>
  <c r="M797" i="148"/>
  <c r="L797" i="148"/>
  <c r="K797" i="148"/>
  <c r="J797" i="148"/>
  <c r="I797" i="148"/>
  <c r="R796" i="148"/>
  <c r="N796" i="148"/>
  <c r="M796" i="148"/>
  <c r="L796" i="148"/>
  <c r="K796" i="148"/>
  <c r="J796" i="148"/>
  <c r="I796" i="148"/>
  <c r="R795" i="148"/>
  <c r="N795" i="148"/>
  <c r="M795" i="148"/>
  <c r="L795" i="148"/>
  <c r="K795" i="148"/>
  <c r="J795" i="148"/>
  <c r="I795" i="148"/>
  <c r="R794" i="148"/>
  <c r="N794" i="148"/>
  <c r="M794" i="148"/>
  <c r="L794" i="148"/>
  <c r="K794" i="148"/>
  <c r="J794" i="148"/>
  <c r="I794" i="148"/>
  <c r="R793" i="148"/>
  <c r="N793" i="148"/>
  <c r="M793" i="148"/>
  <c r="L793" i="148"/>
  <c r="K793" i="148"/>
  <c r="J793" i="148"/>
  <c r="I793" i="148"/>
  <c r="R792" i="148"/>
  <c r="N792" i="148"/>
  <c r="M792" i="148"/>
  <c r="L792" i="148"/>
  <c r="K792" i="148"/>
  <c r="J792" i="148"/>
  <c r="I792" i="148"/>
  <c r="R791" i="148"/>
  <c r="N791" i="148"/>
  <c r="M791" i="148"/>
  <c r="L791" i="148"/>
  <c r="P791" i="148" s="1"/>
  <c r="K791" i="148"/>
  <c r="J791" i="148"/>
  <c r="I791" i="148"/>
  <c r="R790" i="148"/>
  <c r="N790" i="148"/>
  <c r="M790" i="148"/>
  <c r="L790" i="148"/>
  <c r="K790" i="148"/>
  <c r="J790" i="148"/>
  <c r="I790" i="148"/>
  <c r="R789" i="148"/>
  <c r="S789" i="148"/>
  <c r="N789" i="148"/>
  <c r="M789" i="148"/>
  <c r="L789" i="148"/>
  <c r="K789" i="148"/>
  <c r="J789" i="148"/>
  <c r="I789" i="148"/>
  <c r="R788" i="148"/>
  <c r="N788" i="148"/>
  <c r="M788" i="148"/>
  <c r="L788" i="148"/>
  <c r="K788" i="148"/>
  <c r="J788" i="148"/>
  <c r="I788" i="148"/>
  <c r="R787" i="148"/>
  <c r="N787" i="148"/>
  <c r="M787" i="148"/>
  <c r="L787" i="148"/>
  <c r="K787" i="148"/>
  <c r="J787" i="148"/>
  <c r="I787" i="148"/>
  <c r="R786" i="148"/>
  <c r="N786" i="148"/>
  <c r="M786" i="148"/>
  <c r="L786" i="148"/>
  <c r="K786" i="148"/>
  <c r="J786" i="148"/>
  <c r="I786" i="148"/>
  <c r="R785" i="148"/>
  <c r="N785" i="148"/>
  <c r="M785" i="148"/>
  <c r="L785" i="148"/>
  <c r="K785" i="148"/>
  <c r="J785" i="148"/>
  <c r="I785" i="148"/>
  <c r="R784" i="148"/>
  <c r="N784" i="148"/>
  <c r="M784" i="148"/>
  <c r="L784" i="148"/>
  <c r="K784" i="148"/>
  <c r="J784" i="148"/>
  <c r="I784" i="148"/>
  <c r="R783" i="148"/>
  <c r="S783" i="148"/>
  <c r="N783" i="148"/>
  <c r="M783" i="148"/>
  <c r="L783" i="148"/>
  <c r="K783" i="148"/>
  <c r="J783" i="148"/>
  <c r="I783" i="148"/>
  <c r="R782" i="148"/>
  <c r="N782" i="148"/>
  <c r="M782" i="148"/>
  <c r="L782" i="148"/>
  <c r="P782" i="148" s="1"/>
  <c r="K782" i="148"/>
  <c r="J782" i="148"/>
  <c r="I782" i="148"/>
  <c r="R781" i="148"/>
  <c r="N781" i="148"/>
  <c r="M781" i="148"/>
  <c r="L781" i="148"/>
  <c r="K781" i="148"/>
  <c r="J781" i="148"/>
  <c r="I781" i="148"/>
  <c r="R780" i="148"/>
  <c r="N780" i="148"/>
  <c r="M780" i="148"/>
  <c r="L780" i="148"/>
  <c r="K780" i="148"/>
  <c r="J780" i="148"/>
  <c r="I780" i="148"/>
  <c r="R779" i="148"/>
  <c r="N779" i="148"/>
  <c r="M779" i="148"/>
  <c r="L779" i="148"/>
  <c r="K779" i="148"/>
  <c r="J779" i="148"/>
  <c r="I779" i="148"/>
  <c r="R778" i="148"/>
  <c r="N778" i="148"/>
  <c r="M778" i="148"/>
  <c r="L778" i="148"/>
  <c r="O778" i="148" s="1"/>
  <c r="K778" i="148"/>
  <c r="J778" i="148"/>
  <c r="I778" i="148"/>
  <c r="R777" i="148"/>
  <c r="N777" i="148"/>
  <c r="M777" i="148"/>
  <c r="L777" i="148"/>
  <c r="K777" i="148"/>
  <c r="J777" i="148"/>
  <c r="I777" i="148"/>
  <c r="R776" i="148"/>
  <c r="N776" i="148"/>
  <c r="M776" i="148"/>
  <c r="L776" i="148"/>
  <c r="K776" i="148"/>
  <c r="J776" i="148"/>
  <c r="I776" i="148"/>
  <c r="R775" i="148"/>
  <c r="N775" i="148"/>
  <c r="M775" i="148"/>
  <c r="L775" i="148"/>
  <c r="K775" i="148"/>
  <c r="J775" i="148"/>
  <c r="I775" i="148"/>
  <c r="R774" i="148"/>
  <c r="N774" i="148"/>
  <c r="M774" i="148"/>
  <c r="L774" i="148"/>
  <c r="K774" i="148"/>
  <c r="J774" i="148"/>
  <c r="I774" i="148"/>
  <c r="R773" i="148"/>
  <c r="N773" i="148"/>
  <c r="M773" i="148"/>
  <c r="L773" i="148"/>
  <c r="K773" i="148"/>
  <c r="J773" i="148"/>
  <c r="I773" i="148"/>
  <c r="R772" i="148"/>
  <c r="N772" i="148"/>
  <c r="M772" i="148"/>
  <c r="L772" i="148"/>
  <c r="K772" i="148"/>
  <c r="J772" i="148"/>
  <c r="I772" i="148"/>
  <c r="R771" i="148"/>
  <c r="S771" i="148"/>
  <c r="N771" i="148"/>
  <c r="M771" i="148"/>
  <c r="L771" i="148"/>
  <c r="K771" i="148"/>
  <c r="J771" i="148"/>
  <c r="I771" i="148"/>
  <c r="R770" i="148"/>
  <c r="N770" i="148"/>
  <c r="M770" i="148"/>
  <c r="L770" i="148"/>
  <c r="K770" i="148"/>
  <c r="J770" i="148"/>
  <c r="I770" i="148"/>
  <c r="R769" i="148"/>
  <c r="N769" i="148"/>
  <c r="M769" i="148"/>
  <c r="L769" i="148"/>
  <c r="K769" i="148"/>
  <c r="J769" i="148"/>
  <c r="I769" i="148"/>
  <c r="R768" i="148"/>
  <c r="N768" i="148"/>
  <c r="M768" i="148"/>
  <c r="L768" i="148"/>
  <c r="K768" i="148"/>
  <c r="J768" i="148"/>
  <c r="I768" i="148"/>
  <c r="R767" i="148"/>
  <c r="N767" i="148"/>
  <c r="M767" i="148"/>
  <c r="L767" i="148"/>
  <c r="O767" i="148" s="1"/>
  <c r="K767" i="148"/>
  <c r="J767" i="148"/>
  <c r="I767" i="148"/>
  <c r="R766" i="148"/>
  <c r="N766" i="148"/>
  <c r="M766" i="148"/>
  <c r="L766" i="148"/>
  <c r="P766" i="148" s="1"/>
  <c r="K766" i="148"/>
  <c r="J766" i="148"/>
  <c r="I766" i="148"/>
  <c r="R765" i="148"/>
  <c r="N765" i="148"/>
  <c r="M765" i="148"/>
  <c r="L765" i="148"/>
  <c r="P765" i="148" s="1"/>
  <c r="K765" i="148"/>
  <c r="J765" i="148"/>
  <c r="I765" i="148"/>
  <c r="R764" i="148"/>
  <c r="N764" i="148"/>
  <c r="M764" i="148"/>
  <c r="L764" i="148"/>
  <c r="K764" i="148"/>
  <c r="J764" i="148"/>
  <c r="I764" i="148"/>
  <c r="R763" i="148"/>
  <c r="N763" i="148"/>
  <c r="M763" i="148"/>
  <c r="L763" i="148"/>
  <c r="P763" i="148" s="1"/>
  <c r="K763" i="148"/>
  <c r="J763" i="148"/>
  <c r="I763" i="148"/>
  <c r="R762" i="148"/>
  <c r="N762" i="148"/>
  <c r="M762" i="148"/>
  <c r="L762" i="148"/>
  <c r="K762" i="148"/>
  <c r="J762" i="148"/>
  <c r="I762" i="148"/>
  <c r="R761" i="148"/>
  <c r="N761" i="148"/>
  <c r="M761" i="148"/>
  <c r="L761" i="148"/>
  <c r="K761" i="148"/>
  <c r="J761" i="148"/>
  <c r="I761" i="148"/>
  <c r="R760" i="148"/>
  <c r="N760" i="148"/>
  <c r="M760" i="148"/>
  <c r="L760" i="148"/>
  <c r="K760" i="148"/>
  <c r="J760" i="148"/>
  <c r="I760" i="148"/>
  <c r="R759" i="148"/>
  <c r="S759" i="148"/>
  <c r="N759" i="148"/>
  <c r="M759" i="148"/>
  <c r="L759" i="148"/>
  <c r="P759" i="148" s="1"/>
  <c r="K759" i="148"/>
  <c r="J759" i="148"/>
  <c r="I759" i="148"/>
  <c r="R758" i="148"/>
  <c r="N758" i="148"/>
  <c r="M758" i="148"/>
  <c r="L758" i="148"/>
  <c r="K758" i="148"/>
  <c r="J758" i="148"/>
  <c r="I758" i="148"/>
  <c r="R757" i="148"/>
  <c r="N757" i="148"/>
  <c r="M757" i="148"/>
  <c r="L757" i="148"/>
  <c r="K757" i="148"/>
  <c r="J757" i="148"/>
  <c r="I757" i="148"/>
  <c r="R756" i="148"/>
  <c r="S756" i="148"/>
  <c r="N756" i="148"/>
  <c r="M756" i="148"/>
  <c r="L756" i="148"/>
  <c r="K756" i="148"/>
  <c r="J756" i="148"/>
  <c r="I756" i="148"/>
  <c r="R755" i="148"/>
  <c r="N755" i="148"/>
  <c r="M755" i="148"/>
  <c r="L755" i="148"/>
  <c r="K755" i="148"/>
  <c r="J755" i="148"/>
  <c r="I755" i="148"/>
  <c r="R754" i="148"/>
  <c r="N754" i="148"/>
  <c r="M754" i="148"/>
  <c r="L754" i="148"/>
  <c r="K754" i="148"/>
  <c r="J754" i="148"/>
  <c r="I754" i="148"/>
  <c r="R753" i="148"/>
  <c r="S753" i="148"/>
  <c r="N753" i="148"/>
  <c r="M753" i="148"/>
  <c r="L753" i="148"/>
  <c r="K753" i="148"/>
  <c r="J753" i="148"/>
  <c r="I753" i="148"/>
  <c r="R752" i="148"/>
  <c r="N752" i="148"/>
  <c r="M752" i="148"/>
  <c r="L752" i="148"/>
  <c r="K752" i="148"/>
  <c r="J752" i="148"/>
  <c r="I752" i="148"/>
  <c r="R751" i="148"/>
  <c r="N751" i="148"/>
  <c r="M751" i="148"/>
  <c r="L751" i="148"/>
  <c r="K751" i="148"/>
  <c r="J751" i="148"/>
  <c r="I751" i="148"/>
  <c r="R750" i="148"/>
  <c r="N750" i="148"/>
  <c r="M750" i="148"/>
  <c r="L750" i="148"/>
  <c r="P750" i="148" s="1"/>
  <c r="K750" i="148"/>
  <c r="J750" i="148"/>
  <c r="I750" i="148"/>
  <c r="R749" i="148"/>
  <c r="N749" i="148"/>
  <c r="M749" i="148"/>
  <c r="L749" i="148"/>
  <c r="K749" i="148"/>
  <c r="J749" i="148"/>
  <c r="I749" i="148"/>
  <c r="R748" i="148"/>
  <c r="N748" i="148"/>
  <c r="M748" i="148"/>
  <c r="L748" i="148"/>
  <c r="K748" i="148"/>
  <c r="J748" i="148"/>
  <c r="I748" i="148"/>
  <c r="R747" i="148"/>
  <c r="N747" i="148"/>
  <c r="M747" i="148"/>
  <c r="L747" i="148"/>
  <c r="K747" i="148"/>
  <c r="J747" i="148"/>
  <c r="I747" i="148"/>
  <c r="R746" i="148"/>
  <c r="N746" i="148"/>
  <c r="M746" i="148"/>
  <c r="L746" i="148"/>
  <c r="O746" i="148" s="1"/>
  <c r="K746" i="148"/>
  <c r="J746" i="148"/>
  <c r="I746" i="148"/>
  <c r="R745" i="148"/>
  <c r="N745" i="148"/>
  <c r="M745" i="148"/>
  <c r="L745" i="148"/>
  <c r="K745" i="148"/>
  <c r="J745" i="148"/>
  <c r="I745" i="148"/>
  <c r="R744" i="148"/>
  <c r="N744" i="148"/>
  <c r="M744" i="148"/>
  <c r="L744" i="148"/>
  <c r="K744" i="148"/>
  <c r="J744" i="148"/>
  <c r="I744" i="148"/>
  <c r="R743" i="148"/>
  <c r="N743" i="148"/>
  <c r="M743" i="148"/>
  <c r="L743" i="148"/>
  <c r="K743" i="148"/>
  <c r="J743" i="148"/>
  <c r="I743" i="148"/>
  <c r="R742" i="148"/>
  <c r="N742" i="148"/>
  <c r="M742" i="148"/>
  <c r="L742" i="148"/>
  <c r="K742" i="148"/>
  <c r="J742" i="148"/>
  <c r="I742" i="148"/>
  <c r="R741" i="148"/>
  <c r="N741" i="148"/>
  <c r="M741" i="148"/>
  <c r="L741" i="148"/>
  <c r="P741" i="148" s="1"/>
  <c r="K741" i="148"/>
  <c r="J741" i="148"/>
  <c r="I741" i="148"/>
  <c r="R740" i="148"/>
  <c r="N740" i="148"/>
  <c r="M740" i="148"/>
  <c r="L740" i="148"/>
  <c r="K740" i="148"/>
  <c r="J740" i="148"/>
  <c r="I740" i="148"/>
  <c r="R739" i="148"/>
  <c r="N739" i="148"/>
  <c r="M739" i="148"/>
  <c r="L739" i="148"/>
  <c r="K739" i="148"/>
  <c r="J739" i="148"/>
  <c r="I739" i="148"/>
  <c r="R738" i="148"/>
  <c r="N738" i="148"/>
  <c r="M738" i="148"/>
  <c r="L738" i="148"/>
  <c r="K738" i="148"/>
  <c r="J738" i="148"/>
  <c r="I738" i="148"/>
  <c r="R737" i="148"/>
  <c r="N737" i="148"/>
  <c r="M737" i="148"/>
  <c r="L737" i="148"/>
  <c r="K737" i="148"/>
  <c r="J737" i="148"/>
  <c r="I737" i="148"/>
  <c r="R736" i="148"/>
  <c r="N736" i="148"/>
  <c r="M736" i="148"/>
  <c r="L736" i="148"/>
  <c r="K736" i="148"/>
  <c r="J736" i="148"/>
  <c r="I736" i="148"/>
  <c r="R735" i="148"/>
  <c r="N735" i="148"/>
  <c r="M735" i="148"/>
  <c r="L735" i="148"/>
  <c r="K735" i="148"/>
  <c r="J735" i="148"/>
  <c r="I735" i="148"/>
  <c r="R734" i="148"/>
  <c r="N734" i="148"/>
  <c r="M734" i="148"/>
  <c r="L734" i="148"/>
  <c r="K734" i="148"/>
  <c r="J734" i="148"/>
  <c r="I734" i="148"/>
  <c r="R733" i="148"/>
  <c r="N733" i="148"/>
  <c r="M733" i="148"/>
  <c r="L733" i="148"/>
  <c r="K733" i="148"/>
  <c r="J733" i="148"/>
  <c r="I733" i="148"/>
  <c r="R732" i="148"/>
  <c r="N732" i="148"/>
  <c r="M732" i="148"/>
  <c r="L732" i="148"/>
  <c r="K732" i="148"/>
  <c r="J732" i="148"/>
  <c r="I732" i="148"/>
  <c r="R731" i="148"/>
  <c r="N731" i="148"/>
  <c r="M731" i="148"/>
  <c r="L731" i="148"/>
  <c r="P731" i="148" s="1"/>
  <c r="K731" i="148"/>
  <c r="J731" i="148"/>
  <c r="I731" i="148"/>
  <c r="R730" i="148"/>
  <c r="N730" i="148"/>
  <c r="M730" i="148"/>
  <c r="L730" i="148"/>
  <c r="K730" i="148"/>
  <c r="J730" i="148"/>
  <c r="I730" i="148"/>
  <c r="R729" i="148"/>
  <c r="N729" i="148"/>
  <c r="M729" i="148"/>
  <c r="L729" i="148"/>
  <c r="K729" i="148"/>
  <c r="J729" i="148"/>
  <c r="I729" i="148"/>
  <c r="R728" i="148"/>
  <c r="N728" i="148"/>
  <c r="M728" i="148"/>
  <c r="L728" i="148"/>
  <c r="K728" i="148"/>
  <c r="J728" i="148"/>
  <c r="I728" i="148"/>
  <c r="R727" i="148"/>
  <c r="N727" i="148"/>
  <c r="M727" i="148"/>
  <c r="L727" i="148"/>
  <c r="K727" i="148"/>
  <c r="J727" i="148"/>
  <c r="I727" i="148"/>
  <c r="R726" i="148"/>
  <c r="N726" i="148"/>
  <c r="M726" i="148"/>
  <c r="L726" i="148"/>
  <c r="K726" i="148"/>
  <c r="J726" i="148"/>
  <c r="I726" i="148"/>
  <c r="R725" i="148"/>
  <c r="N725" i="148"/>
  <c r="M725" i="148"/>
  <c r="L725" i="148"/>
  <c r="K725" i="148"/>
  <c r="J725" i="148"/>
  <c r="I725" i="148"/>
  <c r="R724" i="148"/>
  <c r="N724" i="148"/>
  <c r="M724" i="148"/>
  <c r="L724" i="148"/>
  <c r="K724" i="148"/>
  <c r="J724" i="148"/>
  <c r="I724" i="148"/>
  <c r="R723" i="148"/>
  <c r="N723" i="148"/>
  <c r="M723" i="148"/>
  <c r="L723" i="148"/>
  <c r="K723" i="148"/>
  <c r="J723" i="148"/>
  <c r="I723" i="148"/>
  <c r="R722" i="148"/>
  <c r="N722" i="148"/>
  <c r="M722" i="148"/>
  <c r="L722" i="148"/>
  <c r="K722" i="148"/>
  <c r="J722" i="148"/>
  <c r="I722" i="148"/>
  <c r="R721" i="148"/>
  <c r="N721" i="148"/>
  <c r="M721" i="148"/>
  <c r="L721" i="148"/>
  <c r="K721" i="148"/>
  <c r="J721" i="148"/>
  <c r="I721" i="148"/>
  <c r="R720" i="148"/>
  <c r="N720" i="148"/>
  <c r="M720" i="148"/>
  <c r="L720" i="148"/>
  <c r="P720" i="148" s="1"/>
  <c r="K720" i="148"/>
  <c r="J720" i="148"/>
  <c r="I720" i="148"/>
  <c r="R719" i="148"/>
  <c r="N719" i="148"/>
  <c r="M719" i="148"/>
  <c r="L719" i="148"/>
  <c r="K719" i="148"/>
  <c r="J719" i="148"/>
  <c r="I719" i="148"/>
  <c r="R718" i="148"/>
  <c r="N718" i="148"/>
  <c r="M718" i="148"/>
  <c r="L718" i="148"/>
  <c r="K718" i="148"/>
  <c r="J718" i="148"/>
  <c r="I718" i="148"/>
  <c r="R717" i="148"/>
  <c r="N717" i="148"/>
  <c r="M717" i="148"/>
  <c r="L717" i="148"/>
  <c r="P717" i="148" s="1"/>
  <c r="K717" i="148"/>
  <c r="J717" i="148"/>
  <c r="I717" i="148"/>
  <c r="R716" i="148"/>
  <c r="N716" i="148"/>
  <c r="M716" i="148"/>
  <c r="L716" i="148"/>
  <c r="K716" i="148"/>
  <c r="J716" i="148"/>
  <c r="I716" i="148"/>
  <c r="R715" i="148"/>
  <c r="N715" i="148"/>
  <c r="M715" i="148"/>
  <c r="L715" i="148"/>
  <c r="K715" i="148"/>
  <c r="J715" i="148"/>
  <c r="I715" i="148"/>
  <c r="R714" i="148"/>
  <c r="N714" i="148"/>
  <c r="M714" i="148"/>
  <c r="L714" i="148"/>
  <c r="K714" i="148"/>
  <c r="J714" i="148"/>
  <c r="I714" i="148"/>
  <c r="R713" i="148"/>
  <c r="N713" i="148"/>
  <c r="M713" i="148"/>
  <c r="L713" i="148"/>
  <c r="K713" i="148"/>
  <c r="J713" i="148"/>
  <c r="I713" i="148"/>
  <c r="R712" i="148"/>
  <c r="N712" i="148"/>
  <c r="M712" i="148"/>
  <c r="L712" i="148"/>
  <c r="K712" i="148"/>
  <c r="J712" i="148"/>
  <c r="I712" i="148"/>
  <c r="R711" i="148"/>
  <c r="N711" i="148"/>
  <c r="M711" i="148"/>
  <c r="L711" i="148"/>
  <c r="K711" i="148"/>
  <c r="J711" i="148"/>
  <c r="I711" i="148"/>
  <c r="R710" i="148"/>
  <c r="N710" i="148"/>
  <c r="M710" i="148"/>
  <c r="L710" i="148"/>
  <c r="K710" i="148"/>
  <c r="J710" i="148"/>
  <c r="I710" i="148"/>
  <c r="R709" i="148"/>
  <c r="N709" i="148"/>
  <c r="M709" i="148"/>
  <c r="L709" i="148"/>
  <c r="K709" i="148"/>
  <c r="J709" i="148"/>
  <c r="I709" i="148"/>
  <c r="R708" i="148"/>
  <c r="N708" i="148"/>
  <c r="M708" i="148"/>
  <c r="L708" i="148"/>
  <c r="K708" i="148"/>
  <c r="J708" i="148"/>
  <c r="I708" i="148"/>
  <c r="R707" i="148"/>
  <c r="N707" i="148"/>
  <c r="M707" i="148"/>
  <c r="L707" i="148"/>
  <c r="K707" i="148"/>
  <c r="J707" i="148"/>
  <c r="I707" i="148"/>
  <c r="R706" i="148"/>
  <c r="N706" i="148"/>
  <c r="M706" i="148"/>
  <c r="L706" i="148"/>
  <c r="K706" i="148"/>
  <c r="J706" i="148"/>
  <c r="I706" i="148"/>
  <c r="R705" i="148"/>
  <c r="N705" i="148"/>
  <c r="M705" i="148"/>
  <c r="L705" i="148"/>
  <c r="K705" i="148"/>
  <c r="J705" i="148"/>
  <c r="I705" i="148"/>
  <c r="R704" i="148"/>
  <c r="N704" i="148"/>
  <c r="M704" i="148"/>
  <c r="L704" i="148"/>
  <c r="O704" i="148" s="1"/>
  <c r="K704" i="148"/>
  <c r="J704" i="148"/>
  <c r="I704" i="148"/>
  <c r="R703" i="148"/>
  <c r="N703" i="148"/>
  <c r="M703" i="148"/>
  <c r="L703" i="148"/>
  <c r="K703" i="148"/>
  <c r="J703" i="148"/>
  <c r="I703" i="148"/>
  <c r="R702" i="148"/>
  <c r="N702" i="148"/>
  <c r="M702" i="148"/>
  <c r="L702" i="148"/>
  <c r="P702" i="148" s="1"/>
  <c r="K702" i="148"/>
  <c r="J702" i="148"/>
  <c r="I702" i="148"/>
  <c r="R701" i="148"/>
  <c r="N701" i="148"/>
  <c r="M701" i="148"/>
  <c r="L701" i="148"/>
  <c r="K701" i="148"/>
  <c r="J701" i="148"/>
  <c r="I701" i="148"/>
  <c r="R700" i="148"/>
  <c r="N700" i="148"/>
  <c r="M700" i="148"/>
  <c r="L700" i="148"/>
  <c r="K700" i="148"/>
  <c r="J700" i="148"/>
  <c r="I700" i="148"/>
  <c r="R699" i="148"/>
  <c r="N699" i="148"/>
  <c r="M699" i="148"/>
  <c r="L699" i="148"/>
  <c r="K699" i="148"/>
  <c r="J699" i="148"/>
  <c r="I699" i="148"/>
  <c r="R698" i="148"/>
  <c r="N698" i="148"/>
  <c r="M698" i="148"/>
  <c r="L698" i="148"/>
  <c r="K698" i="148"/>
  <c r="J698" i="148"/>
  <c r="I698" i="148"/>
  <c r="R697" i="148"/>
  <c r="N697" i="148"/>
  <c r="M697" i="148"/>
  <c r="L697" i="148"/>
  <c r="K697" i="148"/>
  <c r="J697" i="148"/>
  <c r="I697" i="148"/>
  <c r="R696" i="148"/>
  <c r="N696" i="148"/>
  <c r="M696" i="148"/>
  <c r="L696" i="148"/>
  <c r="P696" i="148" s="1"/>
  <c r="K696" i="148"/>
  <c r="J696" i="148"/>
  <c r="I696" i="148"/>
  <c r="R695" i="148"/>
  <c r="N695" i="148"/>
  <c r="M695" i="148"/>
  <c r="L695" i="148"/>
  <c r="K695" i="148"/>
  <c r="J695" i="148"/>
  <c r="I695" i="148"/>
  <c r="R694" i="148"/>
  <c r="N694" i="148"/>
  <c r="M694" i="148"/>
  <c r="L694" i="148"/>
  <c r="K694" i="148"/>
  <c r="J694" i="148"/>
  <c r="I694" i="148"/>
  <c r="R693" i="148"/>
  <c r="N693" i="148"/>
  <c r="M693" i="148"/>
  <c r="L693" i="148"/>
  <c r="P693" i="148" s="1"/>
  <c r="K693" i="148"/>
  <c r="J693" i="148"/>
  <c r="I693" i="148"/>
  <c r="R692" i="148"/>
  <c r="N692" i="148"/>
  <c r="M692" i="148"/>
  <c r="L692" i="148"/>
  <c r="K692" i="148"/>
  <c r="J692" i="148"/>
  <c r="I692" i="148"/>
  <c r="R691" i="148"/>
  <c r="N691" i="148"/>
  <c r="M691" i="148"/>
  <c r="L691" i="148"/>
  <c r="K691" i="148"/>
  <c r="J691" i="148"/>
  <c r="I691" i="148"/>
  <c r="R690" i="148"/>
  <c r="N690" i="148"/>
  <c r="M690" i="148"/>
  <c r="L690" i="148"/>
  <c r="K690" i="148"/>
  <c r="J690" i="148"/>
  <c r="I690" i="148"/>
  <c r="R689" i="148"/>
  <c r="N689" i="148"/>
  <c r="M689" i="148"/>
  <c r="L689" i="148"/>
  <c r="K689" i="148"/>
  <c r="J689" i="148"/>
  <c r="I689" i="148"/>
  <c r="R688" i="148"/>
  <c r="N688" i="148"/>
  <c r="M688" i="148"/>
  <c r="L688" i="148"/>
  <c r="O688" i="148" s="1"/>
  <c r="K688" i="148"/>
  <c r="J688" i="148"/>
  <c r="I688" i="148"/>
  <c r="R687" i="148"/>
  <c r="N687" i="148"/>
  <c r="M687" i="148"/>
  <c r="L687" i="148"/>
  <c r="K687" i="148"/>
  <c r="J687" i="148"/>
  <c r="I687" i="148"/>
  <c r="R686" i="148"/>
  <c r="N686" i="148"/>
  <c r="M686" i="148"/>
  <c r="L686" i="148"/>
  <c r="P686" i="148" s="1"/>
  <c r="K686" i="148"/>
  <c r="J686" i="148"/>
  <c r="I686" i="148"/>
  <c r="R685" i="148"/>
  <c r="N685" i="148"/>
  <c r="M685" i="148"/>
  <c r="L685" i="148"/>
  <c r="K685" i="148"/>
  <c r="J685" i="148"/>
  <c r="I685" i="148"/>
  <c r="R684" i="148"/>
  <c r="N684" i="148"/>
  <c r="M684" i="148"/>
  <c r="L684" i="148"/>
  <c r="K684" i="148"/>
  <c r="J684" i="148"/>
  <c r="I684" i="148"/>
  <c r="R683" i="148"/>
  <c r="N683" i="148"/>
  <c r="M683" i="148"/>
  <c r="L683" i="148"/>
  <c r="K683" i="148"/>
  <c r="J683" i="148"/>
  <c r="I683" i="148"/>
  <c r="R682" i="148"/>
  <c r="N682" i="148"/>
  <c r="M682" i="148"/>
  <c r="L682" i="148"/>
  <c r="K682" i="148"/>
  <c r="J682" i="148"/>
  <c r="I682" i="148"/>
  <c r="R681" i="148"/>
  <c r="N681" i="148"/>
  <c r="M681" i="148"/>
  <c r="L681" i="148"/>
  <c r="K681" i="148"/>
  <c r="J681" i="148"/>
  <c r="I681" i="148"/>
  <c r="R680" i="148"/>
  <c r="N680" i="148"/>
  <c r="M680" i="148"/>
  <c r="L680" i="148"/>
  <c r="P680" i="148" s="1"/>
  <c r="K680" i="148"/>
  <c r="J680" i="148"/>
  <c r="I680" i="148"/>
  <c r="R679" i="148"/>
  <c r="N679" i="148"/>
  <c r="M679" i="148"/>
  <c r="L679" i="148"/>
  <c r="K679" i="148"/>
  <c r="J679" i="148"/>
  <c r="I679" i="148"/>
  <c r="R678" i="148"/>
  <c r="N678" i="148"/>
  <c r="M678" i="148"/>
  <c r="L678" i="148"/>
  <c r="P678" i="148" s="1"/>
  <c r="K678" i="148"/>
  <c r="J678" i="148"/>
  <c r="I678" i="148"/>
  <c r="R677" i="148"/>
  <c r="N677" i="148"/>
  <c r="M677" i="148"/>
  <c r="L677" i="148"/>
  <c r="P677" i="148" s="1"/>
  <c r="K677" i="148"/>
  <c r="J677" i="148"/>
  <c r="I677" i="148"/>
  <c r="R676" i="148"/>
  <c r="N676" i="148"/>
  <c r="M676" i="148"/>
  <c r="L676" i="148"/>
  <c r="K676" i="148"/>
  <c r="J676" i="148"/>
  <c r="I676" i="148"/>
  <c r="R675" i="148"/>
  <c r="N675" i="148"/>
  <c r="M675" i="148"/>
  <c r="L675" i="148"/>
  <c r="K675" i="148"/>
  <c r="J675" i="148"/>
  <c r="I675" i="148"/>
  <c r="R674" i="148"/>
  <c r="N674" i="148"/>
  <c r="M674" i="148"/>
  <c r="L674" i="148"/>
  <c r="K674" i="148"/>
  <c r="J674" i="148"/>
  <c r="I674" i="148"/>
  <c r="R673" i="148"/>
  <c r="N673" i="148"/>
  <c r="M673" i="148"/>
  <c r="L673" i="148"/>
  <c r="K673" i="148"/>
  <c r="J673" i="148"/>
  <c r="I673" i="148"/>
  <c r="R672" i="148"/>
  <c r="N672" i="148"/>
  <c r="M672" i="148"/>
  <c r="L672" i="148"/>
  <c r="K672" i="148"/>
  <c r="J672" i="148"/>
  <c r="I672" i="148"/>
  <c r="R671" i="148"/>
  <c r="N671" i="148"/>
  <c r="M671" i="148"/>
  <c r="L671" i="148"/>
  <c r="K671" i="148"/>
  <c r="J671" i="148"/>
  <c r="I671" i="148"/>
  <c r="R670" i="148"/>
  <c r="N670" i="148"/>
  <c r="M670" i="148"/>
  <c r="L670" i="148"/>
  <c r="P670" i="148" s="1"/>
  <c r="K670" i="148"/>
  <c r="J670" i="148"/>
  <c r="I670" i="148"/>
  <c r="R669" i="148"/>
  <c r="N669" i="148"/>
  <c r="M669" i="148"/>
  <c r="L669" i="148"/>
  <c r="K669" i="148"/>
  <c r="J669" i="148"/>
  <c r="I669" i="148"/>
  <c r="R668" i="148"/>
  <c r="N668" i="148"/>
  <c r="M668" i="148"/>
  <c r="L668" i="148"/>
  <c r="K668" i="148"/>
  <c r="J668" i="148"/>
  <c r="I668" i="148"/>
  <c r="R667" i="148"/>
  <c r="N667" i="148"/>
  <c r="M667" i="148"/>
  <c r="L667" i="148"/>
  <c r="K667" i="148"/>
  <c r="J667" i="148"/>
  <c r="I667" i="148"/>
  <c r="R666" i="148"/>
  <c r="N666" i="148"/>
  <c r="M666" i="148"/>
  <c r="L666" i="148"/>
  <c r="K666" i="148"/>
  <c r="J666" i="148"/>
  <c r="I666" i="148"/>
  <c r="R665" i="148"/>
  <c r="N665" i="148"/>
  <c r="M665" i="148"/>
  <c r="L665" i="148"/>
  <c r="K665" i="148"/>
  <c r="J665" i="148"/>
  <c r="I665" i="148"/>
  <c r="R664" i="148"/>
  <c r="N664" i="148"/>
  <c r="M664" i="148"/>
  <c r="L664" i="148"/>
  <c r="P664" i="148" s="1"/>
  <c r="K664" i="148"/>
  <c r="J664" i="148"/>
  <c r="I664" i="148"/>
  <c r="R663" i="148"/>
  <c r="N663" i="148"/>
  <c r="M663" i="148"/>
  <c r="L663" i="148"/>
  <c r="K663" i="148"/>
  <c r="J663" i="148"/>
  <c r="I663" i="148"/>
  <c r="R662" i="148"/>
  <c r="N662" i="148"/>
  <c r="M662" i="148"/>
  <c r="L662" i="148"/>
  <c r="P662" i="148" s="1"/>
  <c r="K662" i="148"/>
  <c r="J662" i="148"/>
  <c r="I662" i="148"/>
  <c r="R661" i="148"/>
  <c r="N661" i="148"/>
  <c r="M661" i="148"/>
  <c r="L661" i="148"/>
  <c r="P661" i="148" s="1"/>
  <c r="K661" i="148"/>
  <c r="J661" i="148"/>
  <c r="I661" i="148"/>
  <c r="R660" i="148"/>
  <c r="N660" i="148"/>
  <c r="M660" i="148"/>
  <c r="L660" i="148"/>
  <c r="K660" i="148"/>
  <c r="J660" i="148"/>
  <c r="I660" i="148"/>
  <c r="R659" i="148"/>
  <c r="N659" i="148"/>
  <c r="M659" i="148"/>
  <c r="L659" i="148"/>
  <c r="K659" i="148"/>
  <c r="J659" i="148"/>
  <c r="I659" i="148"/>
  <c r="R658" i="148"/>
  <c r="N658" i="148"/>
  <c r="M658" i="148"/>
  <c r="L658" i="148"/>
  <c r="K658" i="148"/>
  <c r="J658" i="148"/>
  <c r="I658" i="148"/>
  <c r="R657" i="148"/>
  <c r="N657" i="148"/>
  <c r="M657" i="148"/>
  <c r="L657" i="148"/>
  <c r="K657" i="148"/>
  <c r="J657" i="148"/>
  <c r="I657" i="148"/>
  <c r="R656" i="148"/>
  <c r="N656" i="148"/>
  <c r="M656" i="148"/>
  <c r="L656" i="148"/>
  <c r="P656" i="148" s="1"/>
  <c r="K656" i="148"/>
  <c r="J656" i="148"/>
  <c r="I656" i="148"/>
  <c r="R655" i="148"/>
  <c r="N655" i="148"/>
  <c r="M655" i="148"/>
  <c r="L655" i="148"/>
  <c r="K655" i="148"/>
  <c r="J655" i="148"/>
  <c r="I655" i="148"/>
  <c r="R654" i="148"/>
  <c r="N654" i="148"/>
  <c r="M654" i="148"/>
  <c r="L654" i="148"/>
  <c r="P654" i="148" s="1"/>
  <c r="K654" i="148"/>
  <c r="J654" i="148"/>
  <c r="I654" i="148"/>
  <c r="R653" i="148"/>
  <c r="N653" i="148"/>
  <c r="M653" i="148"/>
  <c r="L653" i="148"/>
  <c r="P653" i="148" s="1"/>
  <c r="K653" i="148"/>
  <c r="J653" i="148"/>
  <c r="I653" i="148"/>
  <c r="R652" i="148"/>
  <c r="N652" i="148"/>
  <c r="M652" i="148"/>
  <c r="L652" i="148"/>
  <c r="K652" i="148"/>
  <c r="J652" i="148"/>
  <c r="I652" i="148"/>
  <c r="R651" i="148"/>
  <c r="N651" i="148"/>
  <c r="M651" i="148"/>
  <c r="L651" i="148"/>
  <c r="K651" i="148"/>
  <c r="J651" i="148"/>
  <c r="I651" i="148"/>
  <c r="R650" i="148"/>
  <c r="N650" i="148"/>
  <c r="M650" i="148"/>
  <c r="L650" i="148"/>
  <c r="K650" i="148"/>
  <c r="J650" i="148"/>
  <c r="I650" i="148"/>
  <c r="R649" i="148"/>
  <c r="N649" i="148"/>
  <c r="M649" i="148"/>
  <c r="L649" i="148"/>
  <c r="K649" i="148"/>
  <c r="J649" i="148"/>
  <c r="I649" i="148"/>
  <c r="R648" i="148"/>
  <c r="N648" i="148"/>
  <c r="M648" i="148"/>
  <c r="L648" i="148"/>
  <c r="P648" i="148" s="1"/>
  <c r="K648" i="148"/>
  <c r="J648" i="148"/>
  <c r="I648" i="148"/>
  <c r="R647" i="148"/>
  <c r="N647" i="148"/>
  <c r="M647" i="148"/>
  <c r="L647" i="148"/>
  <c r="K647" i="148"/>
  <c r="J647" i="148"/>
  <c r="I647" i="148"/>
  <c r="R646" i="148"/>
  <c r="N646" i="148"/>
  <c r="M646" i="148"/>
  <c r="L646" i="148"/>
  <c r="K646" i="148"/>
  <c r="J646" i="148"/>
  <c r="I646" i="148"/>
  <c r="R645" i="148"/>
  <c r="N645" i="148"/>
  <c r="M645" i="148"/>
  <c r="L645" i="148"/>
  <c r="P645" i="148" s="1"/>
  <c r="K645" i="148"/>
  <c r="J645" i="148"/>
  <c r="I645" i="148"/>
  <c r="R644" i="148"/>
  <c r="N644" i="148"/>
  <c r="M644" i="148"/>
  <c r="L644" i="148"/>
  <c r="K644" i="148"/>
  <c r="J644" i="148"/>
  <c r="I644" i="148"/>
  <c r="R643" i="148"/>
  <c r="N643" i="148"/>
  <c r="M643" i="148"/>
  <c r="L643" i="148"/>
  <c r="K643" i="148"/>
  <c r="J643" i="148"/>
  <c r="I643" i="148"/>
  <c r="R642" i="148"/>
  <c r="N642" i="148"/>
  <c r="M642" i="148"/>
  <c r="L642" i="148"/>
  <c r="K642" i="148"/>
  <c r="J642" i="148"/>
  <c r="I642" i="148"/>
  <c r="R641" i="148"/>
  <c r="N641" i="148"/>
  <c r="M641" i="148"/>
  <c r="L641" i="148"/>
  <c r="K641" i="148"/>
  <c r="J641" i="148"/>
  <c r="I641" i="148"/>
  <c r="R640" i="148"/>
  <c r="N640" i="148"/>
  <c r="M640" i="148"/>
  <c r="L640" i="148"/>
  <c r="P640" i="148" s="1"/>
  <c r="K640" i="148"/>
  <c r="J640" i="148"/>
  <c r="I640" i="148"/>
  <c r="R639" i="148"/>
  <c r="N639" i="148"/>
  <c r="M639" i="148"/>
  <c r="L639" i="148"/>
  <c r="K639" i="148"/>
  <c r="J639" i="148"/>
  <c r="I639" i="148"/>
  <c r="R638" i="148"/>
  <c r="N638" i="148"/>
  <c r="M638" i="148"/>
  <c r="L638" i="148"/>
  <c r="K638" i="148"/>
  <c r="J638" i="148"/>
  <c r="I638" i="148"/>
  <c r="R637" i="148"/>
  <c r="N637" i="148"/>
  <c r="M637" i="148"/>
  <c r="L637" i="148"/>
  <c r="P637" i="148" s="1"/>
  <c r="K637" i="148"/>
  <c r="J637" i="148"/>
  <c r="I637" i="148"/>
  <c r="R636" i="148"/>
  <c r="N636" i="148"/>
  <c r="M636" i="148"/>
  <c r="L636" i="148"/>
  <c r="K636" i="148"/>
  <c r="J636" i="148"/>
  <c r="I636" i="148"/>
  <c r="R635" i="148"/>
  <c r="N635" i="148"/>
  <c r="M635" i="148"/>
  <c r="L635" i="148"/>
  <c r="K635" i="148"/>
  <c r="J635" i="148"/>
  <c r="I635" i="148"/>
  <c r="R634" i="148"/>
  <c r="N634" i="148"/>
  <c r="M634" i="148"/>
  <c r="L634" i="148"/>
  <c r="K634" i="148"/>
  <c r="J634" i="148"/>
  <c r="I634" i="148"/>
  <c r="R633" i="148"/>
  <c r="N633" i="148"/>
  <c r="M633" i="148"/>
  <c r="L633" i="148"/>
  <c r="K633" i="148"/>
  <c r="J633" i="148"/>
  <c r="I633" i="148"/>
  <c r="R632" i="148"/>
  <c r="N632" i="148"/>
  <c r="M632" i="148"/>
  <c r="L632" i="148"/>
  <c r="K632" i="148"/>
  <c r="J632" i="148"/>
  <c r="I632" i="148"/>
  <c r="R631" i="148"/>
  <c r="N631" i="148"/>
  <c r="M631" i="148"/>
  <c r="L631" i="148"/>
  <c r="K631" i="148"/>
  <c r="J631" i="148"/>
  <c r="I631" i="148"/>
  <c r="R630" i="148"/>
  <c r="N630" i="148"/>
  <c r="M630" i="148"/>
  <c r="L630" i="148"/>
  <c r="K630" i="148"/>
  <c r="J630" i="148"/>
  <c r="I630" i="148"/>
  <c r="R629" i="148"/>
  <c r="N629" i="148"/>
  <c r="M629" i="148"/>
  <c r="L629" i="148"/>
  <c r="K629" i="148"/>
  <c r="J629" i="148"/>
  <c r="I629" i="148"/>
  <c r="R628" i="148"/>
  <c r="N628" i="148"/>
  <c r="M628" i="148"/>
  <c r="L628" i="148"/>
  <c r="P628" i="148" s="1"/>
  <c r="K628" i="148"/>
  <c r="J628" i="148"/>
  <c r="I628" i="148"/>
  <c r="R627" i="148"/>
  <c r="N627" i="148"/>
  <c r="M627" i="148"/>
  <c r="L627" i="148"/>
  <c r="K627" i="148"/>
  <c r="J627" i="148"/>
  <c r="I627" i="148"/>
  <c r="R626" i="148"/>
  <c r="N626" i="148"/>
  <c r="M626" i="148"/>
  <c r="L626" i="148"/>
  <c r="K626" i="148"/>
  <c r="J626" i="148"/>
  <c r="I626" i="148"/>
  <c r="R625" i="148"/>
  <c r="N625" i="148"/>
  <c r="M625" i="148"/>
  <c r="L625" i="148"/>
  <c r="P625" i="148" s="1"/>
  <c r="K625" i="148"/>
  <c r="J625" i="148"/>
  <c r="I625" i="148"/>
  <c r="R624" i="148"/>
  <c r="N624" i="148"/>
  <c r="M624" i="148"/>
  <c r="L624" i="148"/>
  <c r="K624" i="148"/>
  <c r="J624" i="148"/>
  <c r="I624" i="148"/>
  <c r="R623" i="148"/>
  <c r="N623" i="148"/>
  <c r="M623" i="148"/>
  <c r="L623" i="148"/>
  <c r="K623" i="148"/>
  <c r="J623" i="148"/>
  <c r="I623" i="148"/>
  <c r="R622" i="148"/>
  <c r="N622" i="148"/>
  <c r="M622" i="148"/>
  <c r="L622" i="148"/>
  <c r="K622" i="148"/>
  <c r="J622" i="148"/>
  <c r="I622" i="148"/>
  <c r="R621" i="148"/>
  <c r="N621" i="148"/>
  <c r="M621" i="148"/>
  <c r="L621" i="148"/>
  <c r="K621" i="148"/>
  <c r="J621" i="148"/>
  <c r="I621" i="148"/>
  <c r="R620" i="148"/>
  <c r="N620" i="148"/>
  <c r="M620" i="148"/>
  <c r="L620" i="148"/>
  <c r="K620" i="148"/>
  <c r="J620" i="148"/>
  <c r="I620" i="148"/>
  <c r="R619" i="148"/>
  <c r="N619" i="148"/>
  <c r="M619" i="148"/>
  <c r="L619" i="148"/>
  <c r="O619" i="148" s="1"/>
  <c r="K619" i="148"/>
  <c r="J619" i="148"/>
  <c r="I619" i="148"/>
  <c r="R618" i="148"/>
  <c r="N618" i="148"/>
  <c r="M618" i="148"/>
  <c r="L618" i="148"/>
  <c r="K618" i="148"/>
  <c r="J618" i="148"/>
  <c r="I618" i="148"/>
  <c r="R617" i="148"/>
  <c r="N617" i="148"/>
  <c r="M617" i="148"/>
  <c r="L617" i="148"/>
  <c r="K617" i="148"/>
  <c r="J617" i="148"/>
  <c r="I617" i="148"/>
  <c r="R616" i="148"/>
  <c r="S616" i="148"/>
  <c r="N616" i="148"/>
  <c r="M616" i="148"/>
  <c r="L616" i="148"/>
  <c r="K616" i="148"/>
  <c r="J616" i="148"/>
  <c r="I616" i="148"/>
  <c r="R615" i="148"/>
  <c r="N615" i="148"/>
  <c r="M615" i="148"/>
  <c r="L615" i="148"/>
  <c r="K615" i="148"/>
  <c r="J615" i="148"/>
  <c r="I615" i="148"/>
  <c r="R614" i="148"/>
  <c r="N614" i="148"/>
  <c r="M614" i="148"/>
  <c r="L614" i="148"/>
  <c r="K614" i="148"/>
  <c r="J614" i="148"/>
  <c r="I614" i="148"/>
  <c r="R613" i="148"/>
  <c r="N613" i="148"/>
  <c r="M613" i="148"/>
  <c r="L613" i="148"/>
  <c r="K613" i="148"/>
  <c r="J613" i="148"/>
  <c r="I613" i="148"/>
  <c r="R612" i="148"/>
  <c r="N612" i="148"/>
  <c r="M612" i="148"/>
  <c r="L612" i="148"/>
  <c r="K612" i="148"/>
  <c r="J612" i="148"/>
  <c r="I612" i="148"/>
  <c r="R611" i="148"/>
  <c r="N611" i="148"/>
  <c r="M611" i="148"/>
  <c r="L611" i="148"/>
  <c r="K611" i="148"/>
  <c r="J611" i="148"/>
  <c r="I611" i="148"/>
  <c r="R610" i="148"/>
  <c r="N610" i="148"/>
  <c r="M610" i="148"/>
  <c r="L610" i="148"/>
  <c r="K610" i="148"/>
  <c r="J610" i="148"/>
  <c r="I610" i="148"/>
  <c r="R609" i="148"/>
  <c r="N609" i="148"/>
  <c r="M609" i="148"/>
  <c r="L609" i="148"/>
  <c r="K609" i="148"/>
  <c r="J609" i="148"/>
  <c r="I609" i="148"/>
  <c r="R608" i="148"/>
  <c r="N608" i="148"/>
  <c r="M608" i="148"/>
  <c r="L608" i="148"/>
  <c r="K608" i="148"/>
  <c r="J608" i="148"/>
  <c r="I608" i="148"/>
  <c r="R607" i="148"/>
  <c r="N607" i="148"/>
  <c r="M607" i="148"/>
  <c r="L607" i="148"/>
  <c r="K607" i="148"/>
  <c r="J607" i="148"/>
  <c r="I607" i="148"/>
  <c r="R606" i="148"/>
  <c r="N606" i="148"/>
  <c r="M606" i="148"/>
  <c r="L606" i="148"/>
  <c r="K606" i="148"/>
  <c r="J606" i="148"/>
  <c r="I606" i="148"/>
  <c r="R605" i="148"/>
  <c r="N605" i="148"/>
  <c r="M605" i="148"/>
  <c r="L605" i="148"/>
  <c r="K605" i="148"/>
  <c r="J605" i="148"/>
  <c r="I605" i="148"/>
  <c r="R604" i="148"/>
  <c r="N604" i="148"/>
  <c r="M604" i="148"/>
  <c r="L604" i="148"/>
  <c r="K604" i="148"/>
  <c r="J604" i="148"/>
  <c r="I604" i="148"/>
  <c r="R603" i="148"/>
  <c r="N603" i="148"/>
  <c r="M603" i="148"/>
  <c r="L603" i="148"/>
  <c r="K603" i="148"/>
  <c r="J603" i="148"/>
  <c r="I603" i="148"/>
  <c r="R602" i="148"/>
  <c r="N602" i="148"/>
  <c r="M602" i="148"/>
  <c r="L602" i="148"/>
  <c r="K602" i="148"/>
  <c r="J602" i="148"/>
  <c r="I602" i="148"/>
  <c r="R601" i="148"/>
  <c r="N601" i="148"/>
  <c r="M601" i="148"/>
  <c r="L601" i="148"/>
  <c r="K601" i="148"/>
  <c r="J601" i="148"/>
  <c r="I601" i="148"/>
  <c r="R600" i="148"/>
  <c r="N600" i="148"/>
  <c r="M600" i="148"/>
  <c r="L600" i="148"/>
  <c r="K600" i="148"/>
  <c r="J600" i="148"/>
  <c r="I600" i="148"/>
  <c r="R599" i="148"/>
  <c r="N599" i="148"/>
  <c r="M599" i="148"/>
  <c r="L599" i="148"/>
  <c r="K599" i="148"/>
  <c r="J599" i="148"/>
  <c r="I599" i="148"/>
  <c r="R598" i="148"/>
  <c r="N598" i="148"/>
  <c r="M598" i="148"/>
  <c r="L598" i="148"/>
  <c r="K598" i="148"/>
  <c r="J598" i="148"/>
  <c r="I598" i="148"/>
  <c r="R597" i="148"/>
  <c r="N597" i="148"/>
  <c r="M597" i="148"/>
  <c r="L597" i="148"/>
  <c r="K597" i="148"/>
  <c r="J597" i="148"/>
  <c r="I597" i="148"/>
  <c r="R596" i="148"/>
  <c r="N596" i="148"/>
  <c r="M596" i="148"/>
  <c r="L596" i="148"/>
  <c r="K596" i="148"/>
  <c r="J596" i="148"/>
  <c r="I596" i="148"/>
  <c r="R595" i="148"/>
  <c r="N595" i="148"/>
  <c r="M595" i="148"/>
  <c r="L595" i="148"/>
  <c r="K595" i="148"/>
  <c r="J595" i="148"/>
  <c r="I595" i="148"/>
  <c r="R594" i="148"/>
  <c r="N594" i="148"/>
  <c r="M594" i="148"/>
  <c r="L594" i="148"/>
  <c r="K594" i="148"/>
  <c r="J594" i="148"/>
  <c r="I594" i="148"/>
  <c r="R593" i="148"/>
  <c r="N593" i="148"/>
  <c r="M593" i="148"/>
  <c r="L593" i="148"/>
  <c r="K593" i="148"/>
  <c r="J593" i="148"/>
  <c r="I593" i="148"/>
  <c r="R592" i="148"/>
  <c r="N592" i="148"/>
  <c r="M592" i="148"/>
  <c r="L592" i="148"/>
  <c r="K592" i="148"/>
  <c r="J592" i="148"/>
  <c r="I592" i="148"/>
  <c r="R591" i="148"/>
  <c r="N591" i="148"/>
  <c r="M591" i="148"/>
  <c r="L591" i="148"/>
  <c r="K591" i="148"/>
  <c r="J591" i="148"/>
  <c r="I591" i="148"/>
  <c r="R590" i="148"/>
  <c r="N590" i="148"/>
  <c r="M590" i="148"/>
  <c r="L590" i="148"/>
  <c r="K590" i="148"/>
  <c r="J590" i="148"/>
  <c r="I590" i="148"/>
  <c r="R589" i="148"/>
  <c r="N589" i="148"/>
  <c r="M589" i="148"/>
  <c r="L589" i="148"/>
  <c r="K589" i="148"/>
  <c r="J589" i="148"/>
  <c r="I589" i="148"/>
  <c r="R588" i="148"/>
  <c r="N588" i="148"/>
  <c r="M588" i="148"/>
  <c r="L588" i="148"/>
  <c r="K588" i="148"/>
  <c r="J588" i="148"/>
  <c r="I588" i="148"/>
  <c r="R587" i="148"/>
  <c r="N587" i="148"/>
  <c r="M587" i="148"/>
  <c r="L587" i="148"/>
  <c r="K587" i="148"/>
  <c r="J587" i="148"/>
  <c r="I587" i="148"/>
  <c r="R586" i="148"/>
  <c r="N586" i="148"/>
  <c r="M586" i="148"/>
  <c r="L586" i="148"/>
  <c r="P586" i="148" s="1"/>
  <c r="K586" i="148"/>
  <c r="J586" i="148"/>
  <c r="I586" i="148"/>
  <c r="R585" i="148"/>
  <c r="N585" i="148"/>
  <c r="M585" i="148"/>
  <c r="L585" i="148"/>
  <c r="K585" i="148"/>
  <c r="J585" i="148"/>
  <c r="I585" i="148"/>
  <c r="R584" i="148"/>
  <c r="N584" i="148"/>
  <c r="M584" i="148"/>
  <c r="L584" i="148"/>
  <c r="K584" i="148"/>
  <c r="J584" i="148"/>
  <c r="I584" i="148"/>
  <c r="R583" i="148"/>
  <c r="N583" i="148"/>
  <c r="M583" i="148"/>
  <c r="L583" i="148"/>
  <c r="K583" i="148"/>
  <c r="J583" i="148"/>
  <c r="I583" i="148"/>
  <c r="R582" i="148"/>
  <c r="N582" i="148"/>
  <c r="M582" i="148"/>
  <c r="L582" i="148"/>
  <c r="K582" i="148"/>
  <c r="J582" i="148"/>
  <c r="I582" i="148"/>
  <c r="R581" i="148"/>
  <c r="N581" i="148"/>
  <c r="M581" i="148"/>
  <c r="L581" i="148"/>
  <c r="K581" i="148"/>
  <c r="J581" i="148"/>
  <c r="I581" i="148"/>
  <c r="R580" i="148"/>
  <c r="N580" i="148"/>
  <c r="M580" i="148"/>
  <c r="L580" i="148"/>
  <c r="K580" i="148"/>
  <c r="J580" i="148"/>
  <c r="I580" i="148"/>
  <c r="R579" i="148"/>
  <c r="N579" i="148"/>
  <c r="M579" i="148"/>
  <c r="L579" i="148"/>
  <c r="K579" i="148"/>
  <c r="J579" i="148"/>
  <c r="I579" i="148"/>
  <c r="R578" i="148"/>
  <c r="N578" i="148"/>
  <c r="M578" i="148"/>
  <c r="L578" i="148"/>
  <c r="P578" i="148" s="1"/>
  <c r="K578" i="148"/>
  <c r="J578" i="148"/>
  <c r="I578" i="148"/>
  <c r="R577" i="148"/>
  <c r="N577" i="148"/>
  <c r="M577" i="148"/>
  <c r="L577" i="148"/>
  <c r="K577" i="148"/>
  <c r="J577" i="148"/>
  <c r="I577" i="148"/>
  <c r="R576" i="148"/>
  <c r="N576" i="148"/>
  <c r="M576" i="148"/>
  <c r="L576" i="148"/>
  <c r="K576" i="148"/>
  <c r="J576" i="148"/>
  <c r="I576" i="148"/>
  <c r="R575" i="148"/>
  <c r="N575" i="148"/>
  <c r="M575" i="148"/>
  <c r="L575" i="148"/>
  <c r="K575" i="148"/>
  <c r="J575" i="148"/>
  <c r="I575" i="148"/>
  <c r="R574" i="148"/>
  <c r="N574" i="148"/>
  <c r="M574" i="148"/>
  <c r="L574" i="148"/>
  <c r="K574" i="148"/>
  <c r="J574" i="148"/>
  <c r="I574" i="148"/>
  <c r="R573" i="148"/>
  <c r="N573" i="148"/>
  <c r="M573" i="148"/>
  <c r="L573" i="148"/>
  <c r="K573" i="148"/>
  <c r="J573" i="148"/>
  <c r="I573" i="148"/>
  <c r="R572" i="148"/>
  <c r="N572" i="148"/>
  <c r="M572" i="148"/>
  <c r="L572" i="148"/>
  <c r="K572" i="148"/>
  <c r="J572" i="148"/>
  <c r="I572" i="148"/>
  <c r="R571" i="148"/>
  <c r="N571" i="148"/>
  <c r="M571" i="148"/>
  <c r="L571" i="148"/>
  <c r="K571" i="148"/>
  <c r="J571" i="148"/>
  <c r="I571" i="148"/>
  <c r="R570" i="148"/>
  <c r="N570" i="148"/>
  <c r="M570" i="148"/>
  <c r="L570" i="148"/>
  <c r="P570" i="148" s="1"/>
  <c r="K570" i="148"/>
  <c r="J570" i="148"/>
  <c r="I570" i="148"/>
  <c r="R569" i="148"/>
  <c r="N569" i="148"/>
  <c r="M569" i="148"/>
  <c r="L569" i="148"/>
  <c r="K569" i="148"/>
  <c r="J569" i="148"/>
  <c r="I569" i="148"/>
  <c r="R568" i="148"/>
  <c r="N568" i="148"/>
  <c r="M568" i="148"/>
  <c r="L568" i="148"/>
  <c r="K568" i="148"/>
  <c r="J568" i="148"/>
  <c r="I568" i="148"/>
  <c r="R567" i="148"/>
  <c r="N567" i="148"/>
  <c r="M567" i="148"/>
  <c r="L567" i="148"/>
  <c r="K567" i="148"/>
  <c r="J567" i="148"/>
  <c r="I567" i="148"/>
  <c r="R566" i="148"/>
  <c r="N566" i="148"/>
  <c r="M566" i="148"/>
  <c r="L566" i="148"/>
  <c r="K566" i="148"/>
  <c r="J566" i="148"/>
  <c r="I566" i="148"/>
  <c r="R565" i="148"/>
  <c r="N565" i="148"/>
  <c r="M565" i="148"/>
  <c r="L565" i="148"/>
  <c r="K565" i="148"/>
  <c r="J565" i="148"/>
  <c r="I565" i="148"/>
  <c r="R564" i="148"/>
  <c r="N564" i="148"/>
  <c r="M564" i="148"/>
  <c r="L564" i="148"/>
  <c r="K564" i="148"/>
  <c r="J564" i="148"/>
  <c r="I564" i="148"/>
  <c r="R563" i="148"/>
  <c r="N563" i="148"/>
  <c r="M563" i="148"/>
  <c r="L563" i="148"/>
  <c r="K563" i="148"/>
  <c r="J563" i="148"/>
  <c r="I563" i="148"/>
  <c r="R562" i="148"/>
  <c r="N562" i="148"/>
  <c r="M562" i="148"/>
  <c r="L562" i="148"/>
  <c r="K562" i="148"/>
  <c r="J562" i="148"/>
  <c r="I562" i="148"/>
  <c r="R561" i="148"/>
  <c r="N561" i="148"/>
  <c r="M561" i="148"/>
  <c r="L561" i="148"/>
  <c r="P561" i="148" s="1"/>
  <c r="K561" i="148"/>
  <c r="J561" i="148"/>
  <c r="I561" i="148"/>
  <c r="R560" i="148"/>
  <c r="N560" i="148"/>
  <c r="M560" i="148"/>
  <c r="L560" i="148"/>
  <c r="K560" i="148"/>
  <c r="J560" i="148"/>
  <c r="I560" i="148"/>
  <c r="R559" i="148"/>
  <c r="N559" i="148"/>
  <c r="M559" i="148"/>
  <c r="L559" i="148"/>
  <c r="K559" i="148"/>
  <c r="J559" i="148"/>
  <c r="I559" i="148"/>
  <c r="R558" i="148"/>
  <c r="N558" i="148"/>
  <c r="M558" i="148"/>
  <c r="L558" i="148"/>
  <c r="K558" i="148"/>
  <c r="J558" i="148"/>
  <c r="I558" i="148"/>
  <c r="R557" i="148"/>
  <c r="N557" i="148"/>
  <c r="M557" i="148"/>
  <c r="L557" i="148"/>
  <c r="K557" i="148"/>
  <c r="J557" i="148"/>
  <c r="I557" i="148"/>
  <c r="R556" i="148"/>
  <c r="N556" i="148"/>
  <c r="M556" i="148"/>
  <c r="L556" i="148"/>
  <c r="K556" i="148"/>
  <c r="J556" i="148"/>
  <c r="I556" i="148"/>
  <c r="R555" i="148"/>
  <c r="N555" i="148"/>
  <c r="M555" i="148"/>
  <c r="L555" i="148"/>
  <c r="K555" i="148"/>
  <c r="J555" i="148"/>
  <c r="I555" i="148"/>
  <c r="R554" i="148"/>
  <c r="N554" i="148"/>
  <c r="M554" i="148"/>
  <c r="L554" i="148"/>
  <c r="P554" i="148" s="1"/>
  <c r="K554" i="148"/>
  <c r="J554" i="148"/>
  <c r="I554" i="148"/>
  <c r="R553" i="148"/>
  <c r="N553" i="148"/>
  <c r="M553" i="148"/>
  <c r="L553" i="148"/>
  <c r="K553" i="148"/>
  <c r="J553" i="148"/>
  <c r="I553" i="148"/>
  <c r="R552" i="148"/>
  <c r="N552" i="148"/>
  <c r="M552" i="148"/>
  <c r="L552" i="148"/>
  <c r="K552" i="148"/>
  <c r="J552" i="148"/>
  <c r="I552" i="148"/>
  <c r="R551" i="148"/>
  <c r="N551" i="148"/>
  <c r="M551" i="148"/>
  <c r="L551" i="148"/>
  <c r="K551" i="148"/>
  <c r="J551" i="148"/>
  <c r="I551" i="148"/>
  <c r="R550" i="148"/>
  <c r="N550" i="148"/>
  <c r="M550" i="148"/>
  <c r="L550" i="148"/>
  <c r="K550" i="148"/>
  <c r="J550" i="148"/>
  <c r="I550" i="148"/>
  <c r="R549" i="148"/>
  <c r="N549" i="148"/>
  <c r="M549" i="148"/>
  <c r="L549" i="148"/>
  <c r="K549" i="148"/>
  <c r="J549" i="148"/>
  <c r="I549" i="148"/>
  <c r="R548" i="148"/>
  <c r="N548" i="148"/>
  <c r="M548" i="148"/>
  <c r="L548" i="148"/>
  <c r="K548" i="148"/>
  <c r="J548" i="148"/>
  <c r="I548" i="148"/>
  <c r="R547" i="148"/>
  <c r="N547" i="148"/>
  <c r="M547" i="148"/>
  <c r="L547" i="148"/>
  <c r="K547" i="148"/>
  <c r="J547" i="148"/>
  <c r="I547" i="148"/>
  <c r="R546" i="148"/>
  <c r="N546" i="148"/>
  <c r="M546" i="148"/>
  <c r="L546" i="148"/>
  <c r="K546" i="148"/>
  <c r="J546" i="148"/>
  <c r="I546" i="148"/>
  <c r="R545" i="148"/>
  <c r="N545" i="148"/>
  <c r="M545" i="148"/>
  <c r="L545" i="148"/>
  <c r="K545" i="148"/>
  <c r="J545" i="148"/>
  <c r="I545" i="148"/>
  <c r="R544" i="148"/>
  <c r="N544" i="148"/>
  <c r="M544" i="148"/>
  <c r="L544" i="148"/>
  <c r="K544" i="148"/>
  <c r="J544" i="148"/>
  <c r="I544" i="148"/>
  <c r="R543" i="148"/>
  <c r="N543" i="148"/>
  <c r="M543" i="148"/>
  <c r="L543" i="148"/>
  <c r="K543" i="148"/>
  <c r="J543" i="148"/>
  <c r="I543" i="148"/>
  <c r="R542" i="148"/>
  <c r="N542" i="148"/>
  <c r="M542" i="148"/>
  <c r="L542" i="148"/>
  <c r="K542" i="148"/>
  <c r="J542" i="148"/>
  <c r="I542" i="148"/>
  <c r="R541" i="148"/>
  <c r="N541" i="148"/>
  <c r="M541" i="148"/>
  <c r="L541" i="148"/>
  <c r="K541" i="148"/>
  <c r="J541" i="148"/>
  <c r="I541" i="148"/>
  <c r="R540" i="148"/>
  <c r="N540" i="148"/>
  <c r="M540" i="148"/>
  <c r="L540" i="148"/>
  <c r="K540" i="148"/>
  <c r="J540" i="148"/>
  <c r="I540" i="148"/>
  <c r="R539" i="148"/>
  <c r="N539" i="148"/>
  <c r="M539" i="148"/>
  <c r="L539" i="148"/>
  <c r="K539" i="148"/>
  <c r="J539" i="148"/>
  <c r="I539" i="148"/>
  <c r="R538" i="148"/>
  <c r="N538" i="148"/>
  <c r="M538" i="148"/>
  <c r="L538" i="148"/>
  <c r="K538" i="148"/>
  <c r="J538" i="148"/>
  <c r="I538" i="148"/>
  <c r="R537" i="148"/>
  <c r="N537" i="148"/>
  <c r="M537" i="148"/>
  <c r="L537" i="148"/>
  <c r="P537" i="148" s="1"/>
  <c r="K537" i="148"/>
  <c r="J537" i="148"/>
  <c r="I537" i="148"/>
  <c r="R536" i="148"/>
  <c r="N536" i="148"/>
  <c r="M536" i="148"/>
  <c r="L536" i="148"/>
  <c r="K536" i="148"/>
  <c r="J536" i="148"/>
  <c r="I536" i="148"/>
  <c r="R535" i="148"/>
  <c r="N535" i="148"/>
  <c r="M535" i="148"/>
  <c r="L535" i="148"/>
  <c r="K535" i="148"/>
  <c r="J535" i="148"/>
  <c r="I535" i="148"/>
  <c r="R534" i="148"/>
  <c r="N534" i="148"/>
  <c r="M534" i="148"/>
  <c r="L534" i="148"/>
  <c r="K534" i="148"/>
  <c r="J534" i="148"/>
  <c r="I534" i="148"/>
  <c r="R533" i="148"/>
  <c r="N533" i="148"/>
  <c r="M533" i="148"/>
  <c r="L533" i="148"/>
  <c r="K533" i="148"/>
  <c r="J533" i="148"/>
  <c r="I533" i="148"/>
  <c r="R532" i="148"/>
  <c r="N532" i="148"/>
  <c r="M532" i="148"/>
  <c r="L532" i="148"/>
  <c r="K532" i="148"/>
  <c r="J532" i="148"/>
  <c r="I532" i="148"/>
  <c r="R531" i="148"/>
  <c r="N531" i="148"/>
  <c r="M531" i="148"/>
  <c r="L531" i="148"/>
  <c r="K531" i="148"/>
  <c r="J531" i="148"/>
  <c r="I531" i="148"/>
  <c r="R530" i="148"/>
  <c r="N530" i="148"/>
  <c r="M530" i="148"/>
  <c r="L530" i="148"/>
  <c r="P530" i="148" s="1"/>
  <c r="K530" i="148"/>
  <c r="J530" i="148"/>
  <c r="I530" i="148"/>
  <c r="R529" i="148"/>
  <c r="N529" i="148"/>
  <c r="M529" i="148"/>
  <c r="L529" i="148"/>
  <c r="K529" i="148"/>
  <c r="J529" i="148"/>
  <c r="I529" i="148"/>
  <c r="R528" i="148"/>
  <c r="S528" i="148"/>
  <c r="N528" i="148"/>
  <c r="M528" i="148"/>
  <c r="L528" i="148"/>
  <c r="K528" i="148"/>
  <c r="J528" i="148"/>
  <c r="I528" i="148"/>
  <c r="R527" i="148"/>
  <c r="N527" i="148"/>
  <c r="M527" i="148"/>
  <c r="L527" i="148"/>
  <c r="K527" i="148"/>
  <c r="J527" i="148"/>
  <c r="I527" i="148"/>
  <c r="R526" i="148"/>
  <c r="N526" i="148"/>
  <c r="M526" i="148"/>
  <c r="L526" i="148"/>
  <c r="K526" i="148"/>
  <c r="J526" i="148"/>
  <c r="I526" i="148"/>
  <c r="R525" i="148"/>
  <c r="N525" i="148"/>
  <c r="M525" i="148"/>
  <c r="L525" i="148"/>
  <c r="K525" i="148"/>
  <c r="J525" i="148"/>
  <c r="I525" i="148"/>
  <c r="R524" i="148"/>
  <c r="N524" i="148"/>
  <c r="M524" i="148"/>
  <c r="L524" i="148"/>
  <c r="O524" i="148" s="1"/>
  <c r="K524" i="148"/>
  <c r="J524" i="148"/>
  <c r="I524" i="148"/>
  <c r="R523" i="148"/>
  <c r="N523" i="148"/>
  <c r="M523" i="148"/>
  <c r="L523" i="148"/>
  <c r="K523" i="148"/>
  <c r="J523" i="148"/>
  <c r="I523" i="148"/>
  <c r="R522" i="148"/>
  <c r="N522" i="148"/>
  <c r="M522" i="148"/>
  <c r="L522" i="148"/>
  <c r="K522" i="148"/>
  <c r="J522" i="148"/>
  <c r="I522" i="148"/>
  <c r="R521" i="148"/>
  <c r="N521" i="148"/>
  <c r="M521" i="148"/>
  <c r="L521" i="148"/>
  <c r="K521" i="148"/>
  <c r="J521" i="148"/>
  <c r="I521" i="148"/>
  <c r="R520" i="148"/>
  <c r="N520" i="148"/>
  <c r="M520" i="148"/>
  <c r="L520" i="148"/>
  <c r="K520" i="148"/>
  <c r="J520" i="148"/>
  <c r="I520" i="148"/>
  <c r="R519" i="148"/>
  <c r="N519" i="148"/>
  <c r="M519" i="148"/>
  <c r="L519" i="148"/>
  <c r="K519" i="148"/>
  <c r="J519" i="148"/>
  <c r="I519" i="148"/>
  <c r="R518" i="148"/>
  <c r="N518" i="148"/>
  <c r="M518" i="148"/>
  <c r="L518" i="148"/>
  <c r="K518" i="148"/>
  <c r="J518" i="148"/>
  <c r="I518" i="148"/>
  <c r="R517" i="148"/>
  <c r="N517" i="148"/>
  <c r="M517" i="148"/>
  <c r="L517" i="148"/>
  <c r="K517" i="148"/>
  <c r="J517" i="148"/>
  <c r="I517" i="148"/>
  <c r="R516" i="148"/>
  <c r="N516" i="148"/>
  <c r="M516" i="148"/>
  <c r="L516" i="148"/>
  <c r="K516" i="148"/>
  <c r="J516" i="148"/>
  <c r="I516" i="148"/>
  <c r="R515" i="148"/>
  <c r="N515" i="148"/>
  <c r="M515" i="148"/>
  <c r="L515" i="148"/>
  <c r="K515" i="148"/>
  <c r="J515" i="148"/>
  <c r="I515" i="148"/>
  <c r="R514" i="148"/>
  <c r="S514" i="148"/>
  <c r="N514" i="148"/>
  <c r="M514" i="148"/>
  <c r="L514" i="148"/>
  <c r="K514" i="148"/>
  <c r="J514" i="148"/>
  <c r="I514" i="148"/>
  <c r="R513" i="148"/>
  <c r="N513" i="148"/>
  <c r="M513" i="148"/>
  <c r="L513" i="148"/>
  <c r="K513" i="148"/>
  <c r="J513" i="148"/>
  <c r="I513" i="148"/>
  <c r="R512" i="148"/>
  <c r="S512" i="148"/>
  <c r="N512" i="148"/>
  <c r="M512" i="148"/>
  <c r="L512" i="148"/>
  <c r="K512" i="148"/>
  <c r="J512" i="148"/>
  <c r="I512" i="148"/>
  <c r="R511" i="148"/>
  <c r="N511" i="148"/>
  <c r="M511" i="148"/>
  <c r="L511" i="148"/>
  <c r="K511" i="148"/>
  <c r="J511" i="148"/>
  <c r="I511" i="148"/>
  <c r="R510" i="148"/>
  <c r="N510" i="148"/>
  <c r="M510" i="148"/>
  <c r="L510" i="148"/>
  <c r="K510" i="148"/>
  <c r="J510" i="148"/>
  <c r="I510" i="148"/>
  <c r="R509" i="148"/>
  <c r="S509" i="148"/>
  <c r="N509" i="148"/>
  <c r="M509" i="148"/>
  <c r="L509" i="148"/>
  <c r="K509" i="148"/>
  <c r="J509" i="148"/>
  <c r="I509" i="148"/>
  <c r="R508" i="148"/>
  <c r="N508" i="148"/>
  <c r="M508" i="148"/>
  <c r="L508" i="148"/>
  <c r="K508" i="148"/>
  <c r="J508" i="148"/>
  <c r="I508" i="148"/>
  <c r="R507" i="148"/>
  <c r="N507" i="148"/>
  <c r="M507" i="148"/>
  <c r="L507" i="148"/>
  <c r="K507" i="148"/>
  <c r="J507" i="148"/>
  <c r="I507" i="148"/>
  <c r="R506" i="148"/>
  <c r="S506" i="148"/>
  <c r="N506" i="148"/>
  <c r="M506" i="148"/>
  <c r="L506" i="148"/>
  <c r="K506" i="148"/>
  <c r="J506" i="148"/>
  <c r="I506" i="148"/>
  <c r="R505" i="148"/>
  <c r="S505" i="148"/>
  <c r="N505" i="148"/>
  <c r="M505" i="148"/>
  <c r="L505" i="148"/>
  <c r="K505" i="148"/>
  <c r="J505" i="148"/>
  <c r="I505" i="148"/>
  <c r="R504" i="148"/>
  <c r="N504" i="148"/>
  <c r="M504" i="148"/>
  <c r="L504" i="148"/>
  <c r="K504" i="148"/>
  <c r="J504" i="148"/>
  <c r="I504" i="148"/>
  <c r="R503" i="148"/>
  <c r="N503" i="148"/>
  <c r="M503" i="148"/>
  <c r="L503" i="148"/>
  <c r="K503" i="148"/>
  <c r="J503" i="148"/>
  <c r="I503" i="148"/>
  <c r="R502" i="148"/>
  <c r="N502" i="148"/>
  <c r="M502" i="148"/>
  <c r="L502" i="148"/>
  <c r="K502" i="148"/>
  <c r="J502" i="148"/>
  <c r="I502" i="148"/>
  <c r="R501" i="148"/>
  <c r="N501" i="148"/>
  <c r="M501" i="148"/>
  <c r="L501" i="148"/>
  <c r="K501" i="148"/>
  <c r="J501" i="148"/>
  <c r="I501" i="148"/>
  <c r="R500" i="148"/>
  <c r="S500" i="148"/>
  <c r="N500" i="148"/>
  <c r="M500" i="148"/>
  <c r="L500" i="148"/>
  <c r="K500" i="148"/>
  <c r="J500" i="148"/>
  <c r="I500" i="148"/>
  <c r="R499" i="148"/>
  <c r="N499" i="148"/>
  <c r="M499" i="148"/>
  <c r="L499" i="148"/>
  <c r="K499" i="148"/>
  <c r="J499" i="148"/>
  <c r="I499" i="148"/>
  <c r="R498" i="148"/>
  <c r="N498" i="148"/>
  <c r="M498" i="148"/>
  <c r="L498" i="148"/>
  <c r="K498" i="148"/>
  <c r="J498" i="148"/>
  <c r="I498" i="148"/>
  <c r="R497" i="148"/>
  <c r="N497" i="148"/>
  <c r="M497" i="148"/>
  <c r="L497" i="148"/>
  <c r="K497" i="148"/>
  <c r="J497" i="148"/>
  <c r="I497" i="148"/>
  <c r="R496" i="148"/>
  <c r="N496" i="148"/>
  <c r="M496" i="148"/>
  <c r="L496" i="148"/>
  <c r="K496" i="148"/>
  <c r="J496" i="148"/>
  <c r="I496" i="148"/>
  <c r="R495" i="148"/>
  <c r="N495" i="148"/>
  <c r="M495" i="148"/>
  <c r="L495" i="148"/>
  <c r="K495" i="148"/>
  <c r="J495" i="148"/>
  <c r="I495" i="148"/>
  <c r="R494" i="148"/>
  <c r="N494" i="148"/>
  <c r="M494" i="148"/>
  <c r="L494" i="148"/>
  <c r="K494" i="148"/>
  <c r="J494" i="148"/>
  <c r="I494" i="148"/>
  <c r="R493" i="148"/>
  <c r="N493" i="148"/>
  <c r="M493" i="148"/>
  <c r="L493" i="148"/>
  <c r="K493" i="148"/>
  <c r="J493" i="148"/>
  <c r="I493" i="148"/>
  <c r="R492" i="148"/>
  <c r="S492" i="148"/>
  <c r="N492" i="148"/>
  <c r="M492" i="148"/>
  <c r="L492" i="148"/>
  <c r="K492" i="148"/>
  <c r="J492" i="148"/>
  <c r="I492" i="148"/>
  <c r="R491" i="148"/>
  <c r="N491" i="148"/>
  <c r="M491" i="148"/>
  <c r="L491" i="148"/>
  <c r="K491" i="148"/>
  <c r="J491" i="148"/>
  <c r="I491" i="148"/>
  <c r="R490" i="148"/>
  <c r="N490" i="148"/>
  <c r="M490" i="148"/>
  <c r="L490" i="148"/>
  <c r="K490" i="148"/>
  <c r="J490" i="148"/>
  <c r="I490" i="148"/>
  <c r="R489" i="148"/>
  <c r="N489" i="148"/>
  <c r="M489" i="148"/>
  <c r="L489" i="148"/>
  <c r="K489" i="148"/>
  <c r="J489" i="148"/>
  <c r="I489" i="148"/>
  <c r="R488" i="148"/>
  <c r="S488" i="148"/>
  <c r="N488" i="148"/>
  <c r="M488" i="148"/>
  <c r="L488" i="148"/>
  <c r="K488" i="148"/>
  <c r="J488" i="148"/>
  <c r="I488" i="148"/>
  <c r="R487" i="148"/>
  <c r="N487" i="148"/>
  <c r="M487" i="148"/>
  <c r="L487" i="148"/>
  <c r="K487" i="148"/>
  <c r="J487" i="148"/>
  <c r="I487" i="148"/>
  <c r="R486" i="148"/>
  <c r="N486" i="148"/>
  <c r="M486" i="148"/>
  <c r="L486" i="148"/>
  <c r="K486" i="148"/>
  <c r="J486" i="148"/>
  <c r="I486" i="148"/>
  <c r="R485" i="148"/>
  <c r="N485" i="148"/>
  <c r="M485" i="148"/>
  <c r="L485" i="148"/>
  <c r="K485" i="148"/>
  <c r="J485" i="148"/>
  <c r="I485" i="148"/>
  <c r="R484" i="148"/>
  <c r="N484" i="148"/>
  <c r="M484" i="148"/>
  <c r="L484" i="148"/>
  <c r="K484" i="148"/>
  <c r="J484" i="148"/>
  <c r="I484" i="148"/>
  <c r="R483" i="148"/>
  <c r="N483" i="148"/>
  <c r="M483" i="148"/>
  <c r="L483" i="148"/>
  <c r="K483" i="148"/>
  <c r="J483" i="148"/>
  <c r="I483" i="148"/>
  <c r="R482" i="148"/>
  <c r="N482" i="148"/>
  <c r="M482" i="148"/>
  <c r="L482" i="148"/>
  <c r="K482" i="148"/>
  <c r="J482" i="148"/>
  <c r="I482" i="148"/>
  <c r="R481" i="148"/>
  <c r="N481" i="148"/>
  <c r="M481" i="148"/>
  <c r="L481" i="148"/>
  <c r="K481" i="148"/>
  <c r="J481" i="148"/>
  <c r="I481" i="148"/>
  <c r="R480" i="148"/>
  <c r="N480" i="148"/>
  <c r="M480" i="148"/>
  <c r="L480" i="148"/>
  <c r="K480" i="148"/>
  <c r="J480" i="148"/>
  <c r="I480" i="148"/>
  <c r="R479" i="148"/>
  <c r="N479" i="148"/>
  <c r="M479" i="148"/>
  <c r="L479" i="148"/>
  <c r="K479" i="148"/>
  <c r="J479" i="148"/>
  <c r="I479" i="148"/>
  <c r="R478" i="148"/>
  <c r="N478" i="148"/>
  <c r="M478" i="148"/>
  <c r="L478" i="148"/>
  <c r="K478" i="148"/>
  <c r="J478" i="148"/>
  <c r="I478" i="148"/>
  <c r="R477" i="148"/>
  <c r="N477" i="148"/>
  <c r="M477" i="148"/>
  <c r="L477" i="148"/>
  <c r="K477" i="148"/>
  <c r="J477" i="148"/>
  <c r="I477" i="148"/>
  <c r="R476" i="148"/>
  <c r="N476" i="148"/>
  <c r="M476" i="148"/>
  <c r="L476" i="148"/>
  <c r="K476" i="148"/>
  <c r="J476" i="148"/>
  <c r="I476" i="148"/>
  <c r="R475" i="148"/>
  <c r="N475" i="148"/>
  <c r="M475" i="148"/>
  <c r="L475" i="148"/>
  <c r="K475" i="148"/>
  <c r="J475" i="148"/>
  <c r="I475" i="148"/>
  <c r="R474" i="148"/>
  <c r="N474" i="148"/>
  <c r="M474" i="148"/>
  <c r="L474" i="148"/>
  <c r="K474" i="148"/>
  <c r="J474" i="148"/>
  <c r="I474" i="148"/>
  <c r="R473" i="148"/>
  <c r="N473" i="148"/>
  <c r="M473" i="148"/>
  <c r="L473" i="148"/>
  <c r="K473" i="148"/>
  <c r="J473" i="148"/>
  <c r="I473" i="148"/>
  <c r="R472" i="148"/>
  <c r="N472" i="148"/>
  <c r="M472" i="148"/>
  <c r="L472" i="148"/>
  <c r="K472" i="148"/>
  <c r="J472" i="148"/>
  <c r="I472" i="148"/>
  <c r="R471" i="148"/>
  <c r="N471" i="148"/>
  <c r="M471" i="148"/>
  <c r="L471" i="148"/>
  <c r="K471" i="148"/>
  <c r="J471" i="148"/>
  <c r="I471" i="148"/>
  <c r="R470" i="148"/>
  <c r="N470" i="148"/>
  <c r="M470" i="148"/>
  <c r="L470" i="148"/>
  <c r="K470" i="148"/>
  <c r="J470" i="148"/>
  <c r="I470" i="148"/>
  <c r="R469" i="148"/>
  <c r="N469" i="148"/>
  <c r="M469" i="148"/>
  <c r="L469" i="148"/>
  <c r="K469" i="148"/>
  <c r="J469" i="148"/>
  <c r="I469" i="148"/>
  <c r="R468" i="148"/>
  <c r="N468" i="148"/>
  <c r="M468" i="148"/>
  <c r="L468" i="148"/>
  <c r="K468" i="148"/>
  <c r="J468" i="148"/>
  <c r="I468" i="148"/>
  <c r="R467" i="148"/>
  <c r="N467" i="148"/>
  <c r="M467" i="148"/>
  <c r="L467" i="148"/>
  <c r="K467" i="148"/>
  <c r="J467" i="148"/>
  <c r="I467" i="148"/>
  <c r="R466" i="148"/>
  <c r="N466" i="148"/>
  <c r="M466" i="148"/>
  <c r="L466" i="148"/>
  <c r="K466" i="148"/>
  <c r="J466" i="148"/>
  <c r="I466" i="148"/>
  <c r="R465" i="148"/>
  <c r="N465" i="148"/>
  <c r="M465" i="148"/>
  <c r="L465" i="148"/>
  <c r="K465" i="148"/>
  <c r="J465" i="148"/>
  <c r="I465" i="148"/>
  <c r="R464" i="148"/>
  <c r="S464" i="148"/>
  <c r="N464" i="148"/>
  <c r="M464" i="148"/>
  <c r="L464" i="148"/>
  <c r="K464" i="148"/>
  <c r="J464" i="148"/>
  <c r="I464" i="148"/>
  <c r="R463" i="148"/>
  <c r="N463" i="148"/>
  <c r="M463" i="148"/>
  <c r="L463" i="148"/>
  <c r="K463" i="148"/>
  <c r="J463" i="148"/>
  <c r="I463" i="148"/>
  <c r="R462" i="148"/>
  <c r="N462" i="148"/>
  <c r="M462" i="148"/>
  <c r="L462" i="148"/>
  <c r="K462" i="148"/>
  <c r="J462" i="148"/>
  <c r="I462" i="148"/>
  <c r="R461" i="148"/>
  <c r="N461" i="148"/>
  <c r="M461" i="148"/>
  <c r="L461" i="148"/>
  <c r="K461" i="148"/>
  <c r="J461" i="148"/>
  <c r="I461" i="148"/>
  <c r="R460" i="148"/>
  <c r="N460" i="148"/>
  <c r="M460" i="148"/>
  <c r="L460" i="148"/>
  <c r="K460" i="148"/>
  <c r="J460" i="148"/>
  <c r="I460" i="148"/>
  <c r="R459" i="148"/>
  <c r="N459" i="148"/>
  <c r="M459" i="148"/>
  <c r="L459" i="148"/>
  <c r="K459" i="148"/>
  <c r="J459" i="148"/>
  <c r="I459" i="148"/>
  <c r="R458" i="148"/>
  <c r="N458" i="148"/>
  <c r="M458" i="148"/>
  <c r="L458" i="148"/>
  <c r="K458" i="148"/>
  <c r="J458" i="148"/>
  <c r="I458" i="148"/>
  <c r="R457" i="148"/>
  <c r="N457" i="148"/>
  <c r="M457" i="148"/>
  <c r="L457" i="148"/>
  <c r="K457" i="148"/>
  <c r="J457" i="148"/>
  <c r="I457" i="148"/>
  <c r="R456" i="148"/>
  <c r="N456" i="148"/>
  <c r="M456" i="148"/>
  <c r="L456" i="148"/>
  <c r="K456" i="148"/>
  <c r="J456" i="148"/>
  <c r="I456" i="148"/>
  <c r="R455" i="148"/>
  <c r="N455" i="148"/>
  <c r="M455" i="148"/>
  <c r="L455" i="148"/>
  <c r="K455" i="148"/>
  <c r="J455" i="148"/>
  <c r="I455" i="148"/>
  <c r="R454" i="148"/>
  <c r="N454" i="148"/>
  <c r="M454" i="148"/>
  <c r="L454" i="148"/>
  <c r="K454" i="148"/>
  <c r="J454" i="148"/>
  <c r="I454" i="148"/>
  <c r="R453" i="148"/>
  <c r="N453" i="148"/>
  <c r="M453" i="148"/>
  <c r="L453" i="148"/>
  <c r="K453" i="148"/>
  <c r="J453" i="148"/>
  <c r="I453" i="148"/>
  <c r="R452" i="148"/>
  <c r="S452" i="148"/>
  <c r="N452" i="148"/>
  <c r="M452" i="148"/>
  <c r="L452" i="148"/>
  <c r="K452" i="148"/>
  <c r="J452" i="148"/>
  <c r="I452" i="148"/>
  <c r="R451" i="148"/>
  <c r="N451" i="148"/>
  <c r="M451" i="148"/>
  <c r="L451" i="148"/>
  <c r="K451" i="148"/>
  <c r="J451" i="148"/>
  <c r="I451" i="148"/>
  <c r="R450" i="148"/>
  <c r="N450" i="148"/>
  <c r="M450" i="148"/>
  <c r="L450" i="148"/>
  <c r="K450" i="148"/>
  <c r="J450" i="148"/>
  <c r="I450" i="148"/>
  <c r="R449" i="148"/>
  <c r="N449" i="148"/>
  <c r="M449" i="148"/>
  <c r="L449" i="148"/>
  <c r="K449" i="148"/>
  <c r="J449" i="148"/>
  <c r="I449" i="148"/>
  <c r="R448" i="148"/>
  <c r="N448" i="148"/>
  <c r="M448" i="148"/>
  <c r="L448" i="148"/>
  <c r="K448" i="148"/>
  <c r="J448" i="148"/>
  <c r="I448" i="148"/>
  <c r="R447" i="148"/>
  <c r="N447" i="148"/>
  <c r="M447" i="148"/>
  <c r="L447" i="148"/>
  <c r="K447" i="148"/>
  <c r="J447" i="148"/>
  <c r="I447" i="148"/>
  <c r="R446" i="148"/>
  <c r="N446" i="148"/>
  <c r="M446" i="148"/>
  <c r="L446" i="148"/>
  <c r="K446" i="148"/>
  <c r="J446" i="148"/>
  <c r="I446" i="148"/>
  <c r="R445" i="148"/>
  <c r="N445" i="148"/>
  <c r="M445" i="148"/>
  <c r="L445" i="148"/>
  <c r="O445" i="148" s="1"/>
  <c r="K445" i="148"/>
  <c r="J445" i="148"/>
  <c r="I445" i="148"/>
  <c r="R444" i="148"/>
  <c r="N444" i="148"/>
  <c r="M444" i="148"/>
  <c r="L444" i="148"/>
  <c r="K444" i="148"/>
  <c r="J444" i="148"/>
  <c r="I444" i="148"/>
  <c r="R443" i="148"/>
  <c r="N443" i="148"/>
  <c r="M443" i="148"/>
  <c r="L443" i="148"/>
  <c r="K443" i="148"/>
  <c r="J443" i="148"/>
  <c r="I443" i="148"/>
  <c r="R442" i="148"/>
  <c r="N442" i="148"/>
  <c r="M442" i="148"/>
  <c r="L442" i="148"/>
  <c r="K442" i="148"/>
  <c r="J442" i="148"/>
  <c r="I442" i="148"/>
  <c r="R441" i="148"/>
  <c r="N441" i="148"/>
  <c r="M441" i="148"/>
  <c r="L441" i="148"/>
  <c r="O441" i="148" s="1"/>
  <c r="K441" i="148"/>
  <c r="J441" i="148"/>
  <c r="I441" i="148"/>
  <c r="R440" i="148"/>
  <c r="S440" i="148"/>
  <c r="N440" i="148"/>
  <c r="M440" i="148"/>
  <c r="L440" i="148"/>
  <c r="K440" i="148"/>
  <c r="J440" i="148"/>
  <c r="I440" i="148"/>
  <c r="R439" i="148"/>
  <c r="N439" i="148"/>
  <c r="M439" i="148"/>
  <c r="L439" i="148"/>
  <c r="K439" i="148"/>
  <c r="J439" i="148"/>
  <c r="I439" i="148"/>
  <c r="R438" i="148"/>
  <c r="N438" i="148"/>
  <c r="M438" i="148"/>
  <c r="L438" i="148"/>
  <c r="K438" i="148"/>
  <c r="J438" i="148"/>
  <c r="I438" i="148"/>
  <c r="R437" i="148"/>
  <c r="N437" i="148"/>
  <c r="M437" i="148"/>
  <c r="L437" i="148"/>
  <c r="O437" i="148" s="1"/>
  <c r="K437" i="148"/>
  <c r="J437" i="148"/>
  <c r="I437" i="148"/>
  <c r="R436" i="148"/>
  <c r="N436" i="148"/>
  <c r="M436" i="148"/>
  <c r="L436" i="148"/>
  <c r="K436" i="148"/>
  <c r="J436" i="148"/>
  <c r="I436" i="148"/>
  <c r="R435" i="148"/>
  <c r="N435" i="148"/>
  <c r="M435" i="148"/>
  <c r="L435" i="148"/>
  <c r="K435" i="148"/>
  <c r="J435" i="148"/>
  <c r="I435" i="148"/>
  <c r="R434" i="148"/>
  <c r="N434" i="148"/>
  <c r="M434" i="148"/>
  <c r="L434" i="148"/>
  <c r="K434" i="148"/>
  <c r="J434" i="148"/>
  <c r="I434" i="148"/>
  <c r="R433" i="148"/>
  <c r="N433" i="148"/>
  <c r="M433" i="148"/>
  <c r="L433" i="148"/>
  <c r="O433" i="148" s="1"/>
  <c r="K433" i="148"/>
  <c r="J433" i="148"/>
  <c r="I433" i="148"/>
  <c r="R432" i="148"/>
  <c r="S432" i="148"/>
  <c r="N432" i="148"/>
  <c r="M432" i="148"/>
  <c r="L432" i="148"/>
  <c r="K432" i="148"/>
  <c r="J432" i="148"/>
  <c r="I432" i="148"/>
  <c r="R431" i="148"/>
  <c r="N431" i="148"/>
  <c r="M431" i="148"/>
  <c r="L431" i="148"/>
  <c r="K431" i="148"/>
  <c r="J431" i="148"/>
  <c r="I431" i="148"/>
  <c r="R430" i="148"/>
  <c r="N430" i="148"/>
  <c r="M430" i="148"/>
  <c r="L430" i="148"/>
  <c r="K430" i="148"/>
  <c r="J430" i="148"/>
  <c r="I430" i="148"/>
  <c r="R429" i="148"/>
  <c r="N429" i="148"/>
  <c r="M429" i="148"/>
  <c r="L429" i="148"/>
  <c r="K429" i="148"/>
  <c r="J429" i="148"/>
  <c r="I429" i="148"/>
  <c r="R428" i="148"/>
  <c r="N428" i="148"/>
  <c r="M428" i="148"/>
  <c r="L428" i="148"/>
  <c r="K428" i="148"/>
  <c r="J428" i="148"/>
  <c r="I428" i="148"/>
  <c r="R427" i="148"/>
  <c r="N427" i="148"/>
  <c r="M427" i="148"/>
  <c r="L427" i="148"/>
  <c r="K427" i="148"/>
  <c r="J427" i="148"/>
  <c r="I427" i="148"/>
  <c r="R426" i="148"/>
  <c r="N426" i="148"/>
  <c r="M426" i="148"/>
  <c r="L426" i="148"/>
  <c r="K426" i="148"/>
  <c r="J426" i="148"/>
  <c r="I426" i="148"/>
  <c r="R425" i="148"/>
  <c r="N425" i="148"/>
  <c r="M425" i="148"/>
  <c r="L425" i="148"/>
  <c r="K425" i="148"/>
  <c r="J425" i="148"/>
  <c r="I425" i="148"/>
  <c r="R424" i="148"/>
  <c r="N424" i="148"/>
  <c r="M424" i="148"/>
  <c r="L424" i="148"/>
  <c r="K424" i="148"/>
  <c r="J424" i="148"/>
  <c r="I424" i="148"/>
  <c r="R423" i="148"/>
  <c r="N423" i="148"/>
  <c r="M423" i="148"/>
  <c r="L423" i="148"/>
  <c r="K423" i="148"/>
  <c r="J423" i="148"/>
  <c r="I423" i="148"/>
  <c r="R422" i="148"/>
  <c r="N422" i="148"/>
  <c r="M422" i="148"/>
  <c r="L422" i="148"/>
  <c r="K422" i="148"/>
  <c r="J422" i="148"/>
  <c r="I422" i="148"/>
  <c r="R421" i="148"/>
  <c r="N421" i="148"/>
  <c r="M421" i="148"/>
  <c r="L421" i="148"/>
  <c r="K421" i="148"/>
  <c r="J421" i="148"/>
  <c r="I421" i="148"/>
  <c r="R420" i="148"/>
  <c r="N420" i="148"/>
  <c r="M420" i="148"/>
  <c r="L420" i="148"/>
  <c r="K420" i="148"/>
  <c r="J420" i="148"/>
  <c r="I420" i="148"/>
  <c r="R419" i="148"/>
  <c r="N419" i="148"/>
  <c r="M419" i="148"/>
  <c r="L419" i="148"/>
  <c r="K419" i="148"/>
  <c r="J419" i="148"/>
  <c r="I419" i="148"/>
  <c r="R418" i="148"/>
  <c r="N418" i="148"/>
  <c r="M418" i="148"/>
  <c r="L418" i="148"/>
  <c r="K418" i="148"/>
  <c r="J418" i="148"/>
  <c r="I418" i="148"/>
  <c r="R417" i="148"/>
  <c r="N417" i="148"/>
  <c r="M417" i="148"/>
  <c r="L417" i="148"/>
  <c r="K417" i="148"/>
  <c r="J417" i="148"/>
  <c r="I417" i="148"/>
  <c r="R416" i="148"/>
  <c r="N416" i="148"/>
  <c r="M416" i="148"/>
  <c r="L416" i="148"/>
  <c r="K416" i="148"/>
  <c r="J416" i="148"/>
  <c r="I416" i="148"/>
  <c r="R415" i="148"/>
  <c r="N415" i="148"/>
  <c r="M415" i="148"/>
  <c r="L415" i="148"/>
  <c r="K415" i="148"/>
  <c r="J415" i="148"/>
  <c r="I415" i="148"/>
  <c r="R414" i="148"/>
  <c r="N414" i="148"/>
  <c r="M414" i="148"/>
  <c r="L414" i="148"/>
  <c r="K414" i="148"/>
  <c r="J414" i="148"/>
  <c r="I414" i="148"/>
  <c r="R413" i="148"/>
  <c r="N413" i="148"/>
  <c r="M413" i="148"/>
  <c r="L413" i="148"/>
  <c r="K413" i="148"/>
  <c r="J413" i="148"/>
  <c r="I413" i="148"/>
  <c r="R412" i="148"/>
  <c r="N412" i="148"/>
  <c r="M412" i="148"/>
  <c r="L412" i="148"/>
  <c r="K412" i="148"/>
  <c r="J412" i="148"/>
  <c r="I412" i="148"/>
  <c r="R411" i="148"/>
  <c r="N411" i="148"/>
  <c r="M411" i="148"/>
  <c r="L411" i="148"/>
  <c r="K411" i="148"/>
  <c r="J411" i="148"/>
  <c r="I411" i="148"/>
  <c r="R410" i="148"/>
  <c r="N410" i="148"/>
  <c r="M410" i="148"/>
  <c r="L410" i="148"/>
  <c r="K410" i="148"/>
  <c r="J410" i="148"/>
  <c r="I410" i="148"/>
  <c r="R409" i="148"/>
  <c r="N409" i="148"/>
  <c r="M409" i="148"/>
  <c r="L409" i="148"/>
  <c r="K409" i="148"/>
  <c r="J409" i="148"/>
  <c r="I409" i="148"/>
  <c r="R408" i="148"/>
  <c r="N408" i="148"/>
  <c r="M408" i="148"/>
  <c r="L408" i="148"/>
  <c r="K408" i="148"/>
  <c r="J408" i="148"/>
  <c r="I408" i="148"/>
  <c r="R407" i="148"/>
  <c r="N407" i="148"/>
  <c r="M407" i="148"/>
  <c r="L407" i="148"/>
  <c r="K407" i="148"/>
  <c r="J407" i="148"/>
  <c r="I407" i="148"/>
  <c r="R406" i="148"/>
  <c r="N406" i="148"/>
  <c r="M406" i="148"/>
  <c r="L406" i="148"/>
  <c r="K406" i="148"/>
  <c r="J406" i="148"/>
  <c r="I406" i="148"/>
  <c r="R405" i="148"/>
  <c r="N405" i="148"/>
  <c r="M405" i="148"/>
  <c r="L405" i="148"/>
  <c r="K405" i="148"/>
  <c r="J405" i="148"/>
  <c r="I405" i="148"/>
  <c r="R404" i="148"/>
  <c r="N404" i="148"/>
  <c r="M404" i="148"/>
  <c r="L404" i="148"/>
  <c r="K404" i="148"/>
  <c r="J404" i="148"/>
  <c r="I404" i="148"/>
  <c r="R403" i="148"/>
  <c r="N403" i="148"/>
  <c r="M403" i="148"/>
  <c r="L403" i="148"/>
  <c r="K403" i="148"/>
  <c r="J403" i="148"/>
  <c r="I403" i="148"/>
  <c r="R402" i="148"/>
  <c r="N402" i="148"/>
  <c r="M402" i="148"/>
  <c r="L402" i="148"/>
  <c r="K402" i="148"/>
  <c r="J402" i="148"/>
  <c r="I402" i="148"/>
  <c r="R401" i="148"/>
  <c r="N401" i="148"/>
  <c r="M401" i="148"/>
  <c r="L401" i="148"/>
  <c r="K401" i="148"/>
  <c r="J401" i="148"/>
  <c r="I401" i="148"/>
  <c r="R400" i="148"/>
  <c r="N400" i="148"/>
  <c r="M400" i="148"/>
  <c r="L400" i="148"/>
  <c r="K400" i="148"/>
  <c r="J400" i="148"/>
  <c r="I400" i="148"/>
  <c r="R399" i="148"/>
  <c r="N399" i="148"/>
  <c r="M399" i="148"/>
  <c r="L399" i="148"/>
  <c r="K399" i="148"/>
  <c r="J399" i="148"/>
  <c r="I399" i="148"/>
  <c r="R398" i="148"/>
  <c r="N398" i="148"/>
  <c r="M398" i="148"/>
  <c r="L398" i="148"/>
  <c r="K398" i="148"/>
  <c r="J398" i="148"/>
  <c r="I398" i="148"/>
  <c r="R397" i="148"/>
  <c r="N397" i="148"/>
  <c r="M397" i="148"/>
  <c r="L397" i="148"/>
  <c r="K397" i="148"/>
  <c r="J397" i="148"/>
  <c r="I397" i="148"/>
  <c r="R396" i="148"/>
  <c r="N396" i="148"/>
  <c r="M396" i="148"/>
  <c r="L396" i="148"/>
  <c r="K396" i="148"/>
  <c r="J396" i="148"/>
  <c r="I396" i="148"/>
  <c r="R395" i="148"/>
  <c r="N395" i="148"/>
  <c r="M395" i="148"/>
  <c r="L395" i="148"/>
  <c r="K395" i="148"/>
  <c r="J395" i="148"/>
  <c r="I395" i="148"/>
  <c r="R394" i="148"/>
  <c r="N394" i="148"/>
  <c r="M394" i="148"/>
  <c r="L394" i="148"/>
  <c r="K394" i="148"/>
  <c r="J394" i="148"/>
  <c r="I394" i="148"/>
  <c r="R393" i="148"/>
  <c r="N393" i="148"/>
  <c r="M393" i="148"/>
  <c r="L393" i="148"/>
  <c r="K393" i="148"/>
  <c r="J393" i="148"/>
  <c r="I393" i="148"/>
  <c r="R392" i="148"/>
  <c r="N392" i="148"/>
  <c r="M392" i="148"/>
  <c r="L392" i="148"/>
  <c r="K392" i="148"/>
  <c r="J392" i="148"/>
  <c r="I392" i="148"/>
  <c r="R391" i="148"/>
  <c r="N391" i="148"/>
  <c r="M391" i="148"/>
  <c r="L391" i="148"/>
  <c r="K391" i="148"/>
  <c r="J391" i="148"/>
  <c r="I391" i="148"/>
  <c r="R390" i="148"/>
  <c r="N390" i="148"/>
  <c r="M390" i="148"/>
  <c r="L390" i="148"/>
  <c r="K390" i="148"/>
  <c r="J390" i="148"/>
  <c r="I390" i="148"/>
  <c r="R389" i="148"/>
  <c r="N389" i="148"/>
  <c r="M389" i="148"/>
  <c r="L389" i="148"/>
  <c r="K389" i="148"/>
  <c r="J389" i="148"/>
  <c r="I389" i="148"/>
  <c r="R388" i="148"/>
  <c r="N388" i="148"/>
  <c r="M388" i="148"/>
  <c r="L388" i="148"/>
  <c r="K388" i="148"/>
  <c r="J388" i="148"/>
  <c r="I388" i="148"/>
  <c r="R387" i="148"/>
  <c r="N387" i="148"/>
  <c r="M387" i="148"/>
  <c r="L387" i="148"/>
  <c r="K387" i="148"/>
  <c r="J387" i="148"/>
  <c r="I387" i="148"/>
  <c r="R386" i="148"/>
  <c r="N386" i="148"/>
  <c r="M386" i="148"/>
  <c r="L386" i="148"/>
  <c r="K386" i="148"/>
  <c r="J386" i="148"/>
  <c r="I386" i="148"/>
  <c r="R385" i="148"/>
  <c r="N385" i="148"/>
  <c r="M385" i="148"/>
  <c r="L385" i="148"/>
  <c r="K385" i="148"/>
  <c r="J385" i="148"/>
  <c r="I385" i="148"/>
  <c r="R384" i="148"/>
  <c r="N384" i="148"/>
  <c r="M384" i="148"/>
  <c r="L384" i="148"/>
  <c r="K384" i="148"/>
  <c r="J384" i="148"/>
  <c r="I384" i="148"/>
  <c r="R383" i="148"/>
  <c r="N383" i="148"/>
  <c r="M383" i="148"/>
  <c r="L383" i="148"/>
  <c r="K383" i="148"/>
  <c r="J383" i="148"/>
  <c r="I383" i="148"/>
  <c r="R382" i="148"/>
  <c r="N382" i="148"/>
  <c r="M382" i="148"/>
  <c r="L382" i="148"/>
  <c r="K382" i="148"/>
  <c r="J382" i="148"/>
  <c r="I382" i="148"/>
  <c r="R381" i="148"/>
  <c r="N381" i="148"/>
  <c r="M381" i="148"/>
  <c r="L381" i="148"/>
  <c r="K381" i="148"/>
  <c r="J381" i="148"/>
  <c r="I381" i="148"/>
  <c r="R380" i="148"/>
  <c r="N380" i="148"/>
  <c r="M380" i="148"/>
  <c r="L380" i="148"/>
  <c r="K380" i="148"/>
  <c r="J380" i="148"/>
  <c r="I380" i="148"/>
  <c r="R379" i="148"/>
  <c r="N379" i="148"/>
  <c r="M379" i="148"/>
  <c r="L379" i="148"/>
  <c r="K379" i="148"/>
  <c r="J379" i="148"/>
  <c r="I379" i="148"/>
  <c r="R378" i="148"/>
  <c r="N378" i="148"/>
  <c r="M378" i="148"/>
  <c r="L378" i="148"/>
  <c r="K378" i="148"/>
  <c r="J378" i="148"/>
  <c r="I378" i="148"/>
  <c r="R377" i="148"/>
  <c r="N377" i="148"/>
  <c r="M377" i="148"/>
  <c r="L377" i="148"/>
  <c r="K377" i="148"/>
  <c r="J377" i="148"/>
  <c r="I377" i="148"/>
  <c r="R376" i="148"/>
  <c r="N376" i="148"/>
  <c r="M376" i="148"/>
  <c r="L376" i="148"/>
  <c r="K376" i="148"/>
  <c r="J376" i="148"/>
  <c r="I376" i="148"/>
  <c r="R375" i="148"/>
  <c r="N375" i="148"/>
  <c r="M375" i="148"/>
  <c r="L375" i="148"/>
  <c r="K375" i="148"/>
  <c r="J375" i="148"/>
  <c r="I375" i="148"/>
  <c r="R374" i="148"/>
  <c r="N374" i="148"/>
  <c r="M374" i="148"/>
  <c r="L374" i="148"/>
  <c r="K374" i="148"/>
  <c r="J374" i="148"/>
  <c r="I374" i="148"/>
  <c r="R373" i="148"/>
  <c r="N373" i="148"/>
  <c r="M373" i="148"/>
  <c r="L373" i="148"/>
  <c r="K373" i="148"/>
  <c r="J373" i="148"/>
  <c r="I373" i="148"/>
  <c r="R372" i="148"/>
  <c r="N372" i="148"/>
  <c r="M372" i="148"/>
  <c r="L372" i="148"/>
  <c r="K372" i="148"/>
  <c r="J372" i="148"/>
  <c r="I372" i="148"/>
  <c r="R371" i="148"/>
  <c r="N371" i="148"/>
  <c r="M371" i="148"/>
  <c r="L371" i="148"/>
  <c r="K371" i="148"/>
  <c r="J371" i="148"/>
  <c r="I371" i="148"/>
  <c r="R370" i="148"/>
  <c r="N370" i="148"/>
  <c r="M370" i="148"/>
  <c r="L370" i="148"/>
  <c r="K370" i="148"/>
  <c r="J370" i="148"/>
  <c r="I370" i="148"/>
  <c r="R369" i="148"/>
  <c r="N369" i="148"/>
  <c r="M369" i="148"/>
  <c r="L369" i="148"/>
  <c r="K369" i="148"/>
  <c r="J369" i="148"/>
  <c r="I369" i="148"/>
  <c r="R368" i="148"/>
  <c r="N368" i="148"/>
  <c r="M368" i="148"/>
  <c r="L368" i="148"/>
  <c r="K368" i="148"/>
  <c r="J368" i="148"/>
  <c r="I368" i="148"/>
  <c r="R367" i="148"/>
  <c r="N367" i="148"/>
  <c r="M367" i="148"/>
  <c r="L367" i="148"/>
  <c r="K367" i="148"/>
  <c r="J367" i="148"/>
  <c r="I367" i="148"/>
  <c r="R366" i="148"/>
  <c r="N366" i="148"/>
  <c r="M366" i="148"/>
  <c r="L366" i="148"/>
  <c r="K366" i="148"/>
  <c r="J366" i="148"/>
  <c r="I366" i="148"/>
  <c r="R365" i="148"/>
  <c r="N365" i="148"/>
  <c r="M365" i="148"/>
  <c r="L365" i="148"/>
  <c r="K365" i="148"/>
  <c r="J365" i="148"/>
  <c r="I365" i="148"/>
  <c r="R364" i="148"/>
  <c r="N364" i="148"/>
  <c r="M364" i="148"/>
  <c r="L364" i="148"/>
  <c r="K364" i="148"/>
  <c r="J364" i="148"/>
  <c r="I364" i="148"/>
  <c r="R363" i="148"/>
  <c r="N363" i="148"/>
  <c r="M363" i="148"/>
  <c r="L363" i="148"/>
  <c r="K363" i="148"/>
  <c r="J363" i="148"/>
  <c r="I363" i="148"/>
  <c r="R362" i="148"/>
  <c r="N362" i="148"/>
  <c r="M362" i="148"/>
  <c r="L362" i="148"/>
  <c r="K362" i="148"/>
  <c r="J362" i="148"/>
  <c r="I362" i="148"/>
  <c r="R361" i="148"/>
  <c r="N361" i="148"/>
  <c r="M361" i="148"/>
  <c r="L361" i="148"/>
  <c r="K361" i="148"/>
  <c r="J361" i="148"/>
  <c r="I361" i="148"/>
  <c r="R360" i="148"/>
  <c r="N360" i="148"/>
  <c r="M360" i="148"/>
  <c r="L360" i="148"/>
  <c r="K360" i="148"/>
  <c r="J360" i="148"/>
  <c r="I360" i="148"/>
  <c r="R359" i="148"/>
  <c r="N359" i="148"/>
  <c r="M359" i="148"/>
  <c r="L359" i="148"/>
  <c r="K359" i="148"/>
  <c r="J359" i="148"/>
  <c r="I359" i="148"/>
  <c r="R358" i="148"/>
  <c r="N358" i="148"/>
  <c r="M358" i="148"/>
  <c r="L358" i="148"/>
  <c r="K358" i="148"/>
  <c r="J358" i="148"/>
  <c r="I358" i="148"/>
  <c r="R357" i="148"/>
  <c r="N357" i="148"/>
  <c r="M357" i="148"/>
  <c r="L357" i="148"/>
  <c r="K357" i="148"/>
  <c r="J357" i="148"/>
  <c r="I357" i="148"/>
  <c r="R356" i="148"/>
  <c r="N356" i="148"/>
  <c r="M356" i="148"/>
  <c r="L356" i="148"/>
  <c r="K356" i="148"/>
  <c r="J356" i="148"/>
  <c r="I356" i="148"/>
  <c r="R355" i="148"/>
  <c r="N355" i="148"/>
  <c r="M355" i="148"/>
  <c r="L355" i="148"/>
  <c r="K355" i="148"/>
  <c r="J355" i="148"/>
  <c r="I355" i="148"/>
  <c r="R354" i="148"/>
  <c r="N354" i="148"/>
  <c r="M354" i="148"/>
  <c r="L354" i="148"/>
  <c r="K354" i="148"/>
  <c r="J354" i="148"/>
  <c r="I354" i="148"/>
  <c r="R353" i="148"/>
  <c r="N353" i="148"/>
  <c r="M353" i="148"/>
  <c r="L353" i="148"/>
  <c r="K353" i="148"/>
  <c r="J353" i="148"/>
  <c r="I353" i="148"/>
  <c r="R352" i="148"/>
  <c r="N352" i="148"/>
  <c r="M352" i="148"/>
  <c r="L352" i="148"/>
  <c r="K352" i="148"/>
  <c r="J352" i="148"/>
  <c r="I352" i="148"/>
  <c r="R351" i="148"/>
  <c r="N351" i="148"/>
  <c r="M351" i="148"/>
  <c r="L351" i="148"/>
  <c r="K351" i="148"/>
  <c r="J351" i="148"/>
  <c r="I351" i="148"/>
  <c r="R350" i="148"/>
  <c r="N350" i="148"/>
  <c r="M350" i="148"/>
  <c r="L350" i="148"/>
  <c r="K350" i="148"/>
  <c r="J350" i="148"/>
  <c r="I350" i="148"/>
  <c r="R349" i="148"/>
  <c r="N349" i="148"/>
  <c r="M349" i="148"/>
  <c r="L349" i="148"/>
  <c r="K349" i="148"/>
  <c r="J349" i="148"/>
  <c r="I349" i="148"/>
  <c r="R348" i="148"/>
  <c r="N348" i="148"/>
  <c r="M348" i="148"/>
  <c r="L348" i="148"/>
  <c r="K348" i="148"/>
  <c r="J348" i="148"/>
  <c r="I348" i="148"/>
  <c r="R347" i="148"/>
  <c r="N347" i="148"/>
  <c r="M347" i="148"/>
  <c r="L347" i="148"/>
  <c r="K347" i="148"/>
  <c r="J347" i="148"/>
  <c r="I347" i="148"/>
  <c r="R346" i="148"/>
  <c r="N346" i="148"/>
  <c r="M346" i="148"/>
  <c r="L346" i="148"/>
  <c r="K346" i="148"/>
  <c r="J346" i="148"/>
  <c r="I346" i="148"/>
  <c r="R345" i="148"/>
  <c r="N345" i="148"/>
  <c r="M345" i="148"/>
  <c r="L345" i="148"/>
  <c r="K345" i="148"/>
  <c r="J345" i="148"/>
  <c r="I345" i="148"/>
  <c r="R344" i="148"/>
  <c r="N344" i="148"/>
  <c r="M344" i="148"/>
  <c r="L344" i="148"/>
  <c r="K344" i="148"/>
  <c r="J344" i="148"/>
  <c r="I344" i="148"/>
  <c r="R343" i="148"/>
  <c r="N343" i="148"/>
  <c r="M343" i="148"/>
  <c r="L343" i="148"/>
  <c r="K343" i="148"/>
  <c r="J343" i="148"/>
  <c r="I343" i="148"/>
  <c r="R342" i="148"/>
  <c r="N342" i="148"/>
  <c r="M342" i="148"/>
  <c r="L342" i="148"/>
  <c r="K342" i="148"/>
  <c r="J342" i="148"/>
  <c r="I342" i="148"/>
  <c r="R341" i="148"/>
  <c r="N341" i="148"/>
  <c r="M341" i="148"/>
  <c r="L341" i="148"/>
  <c r="K341" i="148"/>
  <c r="J341" i="148"/>
  <c r="I341" i="148"/>
  <c r="R340" i="148"/>
  <c r="N340" i="148"/>
  <c r="M340" i="148"/>
  <c r="L340" i="148"/>
  <c r="K340" i="148"/>
  <c r="J340" i="148"/>
  <c r="I340" i="148"/>
  <c r="R339" i="148"/>
  <c r="N339" i="148"/>
  <c r="M339" i="148"/>
  <c r="L339" i="148"/>
  <c r="K339" i="148"/>
  <c r="J339" i="148"/>
  <c r="I339" i="148"/>
  <c r="R338" i="148"/>
  <c r="N338" i="148"/>
  <c r="M338" i="148"/>
  <c r="L338" i="148"/>
  <c r="K338" i="148"/>
  <c r="J338" i="148"/>
  <c r="I338" i="148"/>
  <c r="R337" i="148"/>
  <c r="N337" i="148"/>
  <c r="M337" i="148"/>
  <c r="L337" i="148"/>
  <c r="K337" i="148"/>
  <c r="J337" i="148"/>
  <c r="I337" i="148"/>
  <c r="R336" i="148"/>
  <c r="N336" i="148"/>
  <c r="M336" i="148"/>
  <c r="L336" i="148"/>
  <c r="K336" i="148"/>
  <c r="J336" i="148"/>
  <c r="I336" i="148"/>
  <c r="R335" i="148"/>
  <c r="N335" i="148"/>
  <c r="M335" i="148"/>
  <c r="L335" i="148"/>
  <c r="K335" i="148"/>
  <c r="J335" i="148"/>
  <c r="I335" i="148"/>
  <c r="R334" i="148"/>
  <c r="N334" i="148"/>
  <c r="M334" i="148"/>
  <c r="L334" i="148"/>
  <c r="K334" i="148"/>
  <c r="J334" i="148"/>
  <c r="I334" i="148"/>
  <c r="R333" i="148"/>
  <c r="N333" i="148"/>
  <c r="M333" i="148"/>
  <c r="L333" i="148"/>
  <c r="K333" i="148"/>
  <c r="J333" i="148"/>
  <c r="I333" i="148"/>
  <c r="R332" i="148"/>
  <c r="N332" i="148"/>
  <c r="M332" i="148"/>
  <c r="L332" i="148"/>
  <c r="K332" i="148"/>
  <c r="J332" i="148"/>
  <c r="I332" i="148"/>
  <c r="R331" i="148"/>
  <c r="N331" i="148"/>
  <c r="M331" i="148"/>
  <c r="L331" i="148"/>
  <c r="K331" i="148"/>
  <c r="J331" i="148"/>
  <c r="I331" i="148"/>
  <c r="R330" i="148"/>
  <c r="N330" i="148"/>
  <c r="M330" i="148"/>
  <c r="L330" i="148"/>
  <c r="K330" i="148"/>
  <c r="J330" i="148"/>
  <c r="I330" i="148"/>
  <c r="R329" i="148"/>
  <c r="N329" i="148"/>
  <c r="M329" i="148"/>
  <c r="L329" i="148"/>
  <c r="K329" i="148"/>
  <c r="J329" i="148"/>
  <c r="I329" i="148"/>
  <c r="R328" i="148"/>
  <c r="N328" i="148"/>
  <c r="M328" i="148"/>
  <c r="L328" i="148"/>
  <c r="K328" i="148"/>
  <c r="J328" i="148"/>
  <c r="I328" i="148"/>
  <c r="R327" i="148"/>
  <c r="N327" i="148"/>
  <c r="M327" i="148"/>
  <c r="L327" i="148"/>
  <c r="K327" i="148"/>
  <c r="J327" i="148"/>
  <c r="I327" i="148"/>
  <c r="R326" i="148"/>
  <c r="N326" i="148"/>
  <c r="M326" i="148"/>
  <c r="L326" i="148"/>
  <c r="K326" i="148"/>
  <c r="J326" i="148"/>
  <c r="I326" i="148"/>
  <c r="R325" i="148"/>
  <c r="N325" i="148"/>
  <c r="M325" i="148"/>
  <c r="L325" i="148"/>
  <c r="K325" i="148"/>
  <c r="J325" i="148"/>
  <c r="I325" i="148"/>
  <c r="R324" i="148"/>
  <c r="N324" i="148"/>
  <c r="M324" i="148"/>
  <c r="L324" i="148"/>
  <c r="K324" i="148"/>
  <c r="J324" i="148"/>
  <c r="I324" i="148"/>
  <c r="R323" i="148"/>
  <c r="N323" i="148"/>
  <c r="M323" i="148"/>
  <c r="L323" i="148"/>
  <c r="K323" i="148"/>
  <c r="J323" i="148"/>
  <c r="I323" i="148"/>
  <c r="R322" i="148"/>
  <c r="N322" i="148"/>
  <c r="M322" i="148"/>
  <c r="L322" i="148"/>
  <c r="K322" i="148"/>
  <c r="J322" i="148"/>
  <c r="I322" i="148"/>
  <c r="R321" i="148"/>
  <c r="N321" i="148"/>
  <c r="M321" i="148"/>
  <c r="L321" i="148"/>
  <c r="K321" i="148"/>
  <c r="J321" i="148"/>
  <c r="I321" i="148"/>
  <c r="R320" i="148"/>
  <c r="N320" i="148"/>
  <c r="M320" i="148"/>
  <c r="L320" i="148"/>
  <c r="K320" i="148"/>
  <c r="J320" i="148"/>
  <c r="I320" i="148"/>
  <c r="R319" i="148"/>
  <c r="N319" i="148"/>
  <c r="M319" i="148"/>
  <c r="L319" i="148"/>
  <c r="K319" i="148"/>
  <c r="J319" i="148"/>
  <c r="I319" i="148"/>
  <c r="R318" i="148"/>
  <c r="N318" i="148"/>
  <c r="M318" i="148"/>
  <c r="L318" i="148"/>
  <c r="K318" i="148"/>
  <c r="J318" i="148"/>
  <c r="I318" i="148"/>
  <c r="R317" i="148"/>
  <c r="N317" i="148"/>
  <c r="M317" i="148"/>
  <c r="L317" i="148"/>
  <c r="K317" i="148"/>
  <c r="J317" i="148"/>
  <c r="I317" i="148"/>
  <c r="R316" i="148"/>
  <c r="N316" i="148"/>
  <c r="M316" i="148"/>
  <c r="L316" i="148"/>
  <c r="K316" i="148"/>
  <c r="J316" i="148"/>
  <c r="I316" i="148"/>
  <c r="R315" i="148"/>
  <c r="N315" i="148"/>
  <c r="M315" i="148"/>
  <c r="L315" i="148"/>
  <c r="K315" i="148"/>
  <c r="J315" i="148"/>
  <c r="I315" i="148"/>
  <c r="R314" i="148"/>
  <c r="N314" i="148"/>
  <c r="M314" i="148"/>
  <c r="L314" i="148"/>
  <c r="K314" i="148"/>
  <c r="J314" i="148"/>
  <c r="I314" i="148"/>
  <c r="R313" i="148"/>
  <c r="N313" i="148"/>
  <c r="M313" i="148"/>
  <c r="L313" i="148"/>
  <c r="K313" i="148"/>
  <c r="J313" i="148"/>
  <c r="I313" i="148"/>
  <c r="R312" i="148"/>
  <c r="N312" i="148"/>
  <c r="M312" i="148"/>
  <c r="L312" i="148"/>
  <c r="K312" i="148"/>
  <c r="J312" i="148"/>
  <c r="I312" i="148"/>
  <c r="R311" i="148"/>
  <c r="N311" i="148"/>
  <c r="M311" i="148"/>
  <c r="L311" i="148"/>
  <c r="K311" i="148"/>
  <c r="J311" i="148"/>
  <c r="I311" i="148"/>
  <c r="R310" i="148"/>
  <c r="N310" i="148"/>
  <c r="M310" i="148"/>
  <c r="L310" i="148"/>
  <c r="K310" i="148"/>
  <c r="J310" i="148"/>
  <c r="I310" i="148"/>
  <c r="R309" i="148"/>
  <c r="N309" i="148"/>
  <c r="M309" i="148"/>
  <c r="L309" i="148"/>
  <c r="K309" i="148"/>
  <c r="J309" i="148"/>
  <c r="I309" i="148"/>
  <c r="R308" i="148"/>
  <c r="N308" i="148"/>
  <c r="M308" i="148"/>
  <c r="L308" i="148"/>
  <c r="K308" i="148"/>
  <c r="J308" i="148"/>
  <c r="I308" i="148"/>
  <c r="R307" i="148"/>
  <c r="N307" i="148"/>
  <c r="M307" i="148"/>
  <c r="L307" i="148"/>
  <c r="K307" i="148"/>
  <c r="J307" i="148"/>
  <c r="I307" i="148"/>
  <c r="R306" i="148"/>
  <c r="N306" i="148"/>
  <c r="M306" i="148"/>
  <c r="L306" i="148"/>
  <c r="K306" i="148"/>
  <c r="J306" i="148"/>
  <c r="I306" i="148"/>
  <c r="R305" i="148"/>
  <c r="N305" i="148"/>
  <c r="M305" i="148"/>
  <c r="L305" i="148"/>
  <c r="K305" i="148"/>
  <c r="J305" i="148"/>
  <c r="I305" i="148"/>
  <c r="R304" i="148"/>
  <c r="N304" i="148"/>
  <c r="M304" i="148"/>
  <c r="L304" i="148"/>
  <c r="K304" i="148"/>
  <c r="J304" i="148"/>
  <c r="I304" i="148"/>
  <c r="R303" i="148"/>
  <c r="N303" i="148"/>
  <c r="M303" i="148"/>
  <c r="L303" i="148"/>
  <c r="K303" i="148"/>
  <c r="J303" i="148"/>
  <c r="I303" i="148"/>
  <c r="R302" i="148"/>
  <c r="N302" i="148"/>
  <c r="M302" i="148"/>
  <c r="L302" i="148"/>
  <c r="K302" i="148"/>
  <c r="J302" i="148"/>
  <c r="I302" i="148"/>
  <c r="R301" i="148"/>
  <c r="N301" i="148"/>
  <c r="M301" i="148"/>
  <c r="L301" i="148"/>
  <c r="K301" i="148"/>
  <c r="J301" i="148"/>
  <c r="I301" i="148"/>
  <c r="R300" i="148"/>
  <c r="N300" i="148"/>
  <c r="M300" i="148"/>
  <c r="L300" i="148"/>
  <c r="K300" i="148"/>
  <c r="J300" i="148"/>
  <c r="I300" i="148"/>
  <c r="R299" i="148"/>
  <c r="N299" i="148"/>
  <c r="M299" i="148"/>
  <c r="L299" i="148"/>
  <c r="K299" i="148"/>
  <c r="J299" i="148"/>
  <c r="I299" i="148"/>
  <c r="R298" i="148"/>
  <c r="N298" i="148"/>
  <c r="M298" i="148"/>
  <c r="L298" i="148"/>
  <c r="K298" i="148"/>
  <c r="J298" i="148"/>
  <c r="I298" i="148"/>
  <c r="R297" i="148"/>
  <c r="N297" i="148"/>
  <c r="M297" i="148"/>
  <c r="L297" i="148"/>
  <c r="K297" i="148"/>
  <c r="J297" i="148"/>
  <c r="I297" i="148"/>
  <c r="R296" i="148"/>
  <c r="N296" i="148"/>
  <c r="M296" i="148"/>
  <c r="L296" i="148"/>
  <c r="K296" i="148"/>
  <c r="J296" i="148"/>
  <c r="I296" i="148"/>
  <c r="R295" i="148"/>
  <c r="N295" i="148"/>
  <c r="M295" i="148"/>
  <c r="L295" i="148"/>
  <c r="K295" i="148"/>
  <c r="J295" i="148"/>
  <c r="I295" i="148"/>
  <c r="R294" i="148"/>
  <c r="N294" i="148"/>
  <c r="M294" i="148"/>
  <c r="L294" i="148"/>
  <c r="K294" i="148"/>
  <c r="J294" i="148"/>
  <c r="I294" i="148"/>
  <c r="R293" i="148"/>
  <c r="N293" i="148"/>
  <c r="M293" i="148"/>
  <c r="L293" i="148"/>
  <c r="K293" i="148"/>
  <c r="J293" i="148"/>
  <c r="I293" i="148"/>
  <c r="R292" i="148"/>
  <c r="N292" i="148"/>
  <c r="M292" i="148"/>
  <c r="L292" i="148"/>
  <c r="K292" i="148"/>
  <c r="J292" i="148"/>
  <c r="I292" i="148"/>
  <c r="R291" i="148"/>
  <c r="N291" i="148"/>
  <c r="M291" i="148"/>
  <c r="L291" i="148"/>
  <c r="K291" i="148"/>
  <c r="J291" i="148"/>
  <c r="I291" i="148"/>
  <c r="R290" i="148"/>
  <c r="N290" i="148"/>
  <c r="M290" i="148"/>
  <c r="L290" i="148"/>
  <c r="K290" i="148"/>
  <c r="J290" i="148"/>
  <c r="I290" i="148"/>
  <c r="R289" i="148"/>
  <c r="N289" i="148"/>
  <c r="M289" i="148"/>
  <c r="L289" i="148"/>
  <c r="K289" i="148"/>
  <c r="J289" i="148"/>
  <c r="I289" i="148"/>
  <c r="R288" i="148"/>
  <c r="N288" i="148"/>
  <c r="M288" i="148"/>
  <c r="L288" i="148"/>
  <c r="K288" i="148"/>
  <c r="J288" i="148"/>
  <c r="I288" i="148"/>
  <c r="R287" i="148"/>
  <c r="N287" i="148"/>
  <c r="M287" i="148"/>
  <c r="L287" i="148"/>
  <c r="K287" i="148"/>
  <c r="J287" i="148"/>
  <c r="I287" i="148"/>
  <c r="R286" i="148"/>
  <c r="N286" i="148"/>
  <c r="M286" i="148"/>
  <c r="L286" i="148"/>
  <c r="K286" i="148"/>
  <c r="J286" i="148"/>
  <c r="I286" i="148"/>
  <c r="R285" i="148"/>
  <c r="N285" i="148"/>
  <c r="M285" i="148"/>
  <c r="L285" i="148"/>
  <c r="K285" i="148"/>
  <c r="J285" i="148"/>
  <c r="I285" i="148"/>
  <c r="R284" i="148"/>
  <c r="N284" i="148"/>
  <c r="M284" i="148"/>
  <c r="L284" i="148"/>
  <c r="K284" i="148"/>
  <c r="J284" i="148"/>
  <c r="I284" i="148"/>
  <c r="R283" i="148"/>
  <c r="N283" i="148"/>
  <c r="M283" i="148"/>
  <c r="L283" i="148"/>
  <c r="K283" i="148"/>
  <c r="J283" i="148"/>
  <c r="I283" i="148"/>
  <c r="R282" i="148"/>
  <c r="N282" i="148"/>
  <c r="M282" i="148"/>
  <c r="L282" i="148"/>
  <c r="K282" i="148"/>
  <c r="J282" i="148"/>
  <c r="I282" i="148"/>
  <c r="R281" i="148"/>
  <c r="N281" i="148"/>
  <c r="M281" i="148"/>
  <c r="L281" i="148"/>
  <c r="K281" i="148"/>
  <c r="J281" i="148"/>
  <c r="I281" i="148"/>
  <c r="R280" i="148"/>
  <c r="N280" i="148"/>
  <c r="M280" i="148"/>
  <c r="L280" i="148"/>
  <c r="K280" i="148"/>
  <c r="J280" i="148"/>
  <c r="I280" i="148"/>
  <c r="R279" i="148"/>
  <c r="N279" i="148"/>
  <c r="M279" i="148"/>
  <c r="L279" i="148"/>
  <c r="K279" i="148"/>
  <c r="J279" i="148"/>
  <c r="I279" i="148"/>
  <c r="R278" i="148"/>
  <c r="N278" i="148"/>
  <c r="M278" i="148"/>
  <c r="L278" i="148"/>
  <c r="K278" i="148"/>
  <c r="J278" i="148"/>
  <c r="I278" i="148"/>
  <c r="R277" i="148"/>
  <c r="N277" i="148"/>
  <c r="M277" i="148"/>
  <c r="L277" i="148"/>
  <c r="K277" i="148"/>
  <c r="J277" i="148"/>
  <c r="I277" i="148"/>
  <c r="R276" i="148"/>
  <c r="N276" i="148"/>
  <c r="M276" i="148"/>
  <c r="L276" i="148"/>
  <c r="K276" i="148"/>
  <c r="J276" i="148"/>
  <c r="I276" i="148"/>
  <c r="R275" i="148"/>
  <c r="N275" i="148"/>
  <c r="M275" i="148"/>
  <c r="L275" i="148"/>
  <c r="K275" i="148"/>
  <c r="J275" i="148"/>
  <c r="I275" i="148"/>
  <c r="R274" i="148"/>
  <c r="N274" i="148"/>
  <c r="M274" i="148"/>
  <c r="L274" i="148"/>
  <c r="K274" i="148"/>
  <c r="J274" i="148"/>
  <c r="I274" i="148"/>
  <c r="R273" i="148"/>
  <c r="N273" i="148"/>
  <c r="M273" i="148"/>
  <c r="L273" i="148"/>
  <c r="K273" i="148"/>
  <c r="J273" i="148"/>
  <c r="I273" i="148"/>
  <c r="R272" i="148"/>
  <c r="N272" i="148"/>
  <c r="M272" i="148"/>
  <c r="L272" i="148"/>
  <c r="K272" i="148"/>
  <c r="J272" i="148"/>
  <c r="I272" i="148"/>
  <c r="R271" i="148"/>
  <c r="N271" i="148"/>
  <c r="M271" i="148"/>
  <c r="L271" i="148"/>
  <c r="K271" i="148"/>
  <c r="J271" i="148"/>
  <c r="I271" i="148"/>
  <c r="R270" i="148"/>
  <c r="N270" i="148"/>
  <c r="M270" i="148"/>
  <c r="L270" i="148"/>
  <c r="K270" i="148"/>
  <c r="J270" i="148"/>
  <c r="I270" i="148"/>
  <c r="R269" i="148"/>
  <c r="N269" i="148"/>
  <c r="M269" i="148"/>
  <c r="L269" i="148"/>
  <c r="K269" i="148"/>
  <c r="J269" i="148"/>
  <c r="I269" i="148"/>
  <c r="R268" i="148"/>
  <c r="N268" i="148"/>
  <c r="M268" i="148"/>
  <c r="L268" i="148"/>
  <c r="K268" i="148"/>
  <c r="J268" i="148"/>
  <c r="I268" i="148"/>
  <c r="R267" i="148"/>
  <c r="N267" i="148"/>
  <c r="M267" i="148"/>
  <c r="L267" i="148"/>
  <c r="K267" i="148"/>
  <c r="J267" i="148"/>
  <c r="I267" i="148"/>
  <c r="R266" i="148"/>
  <c r="N266" i="148"/>
  <c r="M266" i="148"/>
  <c r="L266" i="148"/>
  <c r="K266" i="148"/>
  <c r="J266" i="148"/>
  <c r="I266" i="148"/>
  <c r="R265" i="148"/>
  <c r="N265" i="148"/>
  <c r="M265" i="148"/>
  <c r="L265" i="148"/>
  <c r="K265" i="148"/>
  <c r="J265" i="148"/>
  <c r="I265" i="148"/>
  <c r="R264" i="148"/>
  <c r="N264" i="148"/>
  <c r="M264" i="148"/>
  <c r="L264" i="148"/>
  <c r="K264" i="148"/>
  <c r="J264" i="148"/>
  <c r="I264" i="148"/>
  <c r="R263" i="148"/>
  <c r="N263" i="148"/>
  <c r="M263" i="148"/>
  <c r="L263" i="148"/>
  <c r="K263" i="148"/>
  <c r="J263" i="148"/>
  <c r="I263" i="148"/>
  <c r="R262" i="148"/>
  <c r="N262" i="148"/>
  <c r="M262" i="148"/>
  <c r="L262" i="148"/>
  <c r="K262" i="148"/>
  <c r="J262" i="148"/>
  <c r="I262" i="148"/>
  <c r="R261" i="148"/>
  <c r="N261" i="148"/>
  <c r="M261" i="148"/>
  <c r="L261" i="148"/>
  <c r="K261" i="148"/>
  <c r="J261" i="148"/>
  <c r="I261" i="148"/>
  <c r="R260" i="148"/>
  <c r="N260" i="148"/>
  <c r="M260" i="148"/>
  <c r="L260" i="148"/>
  <c r="K260" i="148"/>
  <c r="J260" i="148"/>
  <c r="I260" i="148"/>
  <c r="R259" i="148"/>
  <c r="N259" i="148"/>
  <c r="M259" i="148"/>
  <c r="L259" i="148"/>
  <c r="K259" i="148"/>
  <c r="J259" i="148"/>
  <c r="I259" i="148"/>
  <c r="R258" i="148"/>
  <c r="N258" i="148"/>
  <c r="M258" i="148"/>
  <c r="L258" i="148"/>
  <c r="K258" i="148"/>
  <c r="J258" i="148"/>
  <c r="I258" i="148"/>
  <c r="R257" i="148"/>
  <c r="N257" i="148"/>
  <c r="M257" i="148"/>
  <c r="L257" i="148"/>
  <c r="K257" i="148"/>
  <c r="J257" i="148"/>
  <c r="I257" i="148"/>
  <c r="R256" i="148"/>
  <c r="N256" i="148"/>
  <c r="M256" i="148"/>
  <c r="L256" i="148"/>
  <c r="K256" i="148"/>
  <c r="J256" i="148"/>
  <c r="I256" i="148"/>
  <c r="R255" i="148"/>
  <c r="N255" i="148"/>
  <c r="M255" i="148"/>
  <c r="L255" i="148"/>
  <c r="K255" i="148"/>
  <c r="J255" i="148"/>
  <c r="I255" i="148"/>
  <c r="R254" i="148"/>
  <c r="N254" i="148"/>
  <c r="M254" i="148"/>
  <c r="L254" i="148"/>
  <c r="K254" i="148"/>
  <c r="J254" i="148"/>
  <c r="I254" i="148"/>
  <c r="R253" i="148"/>
  <c r="N253" i="148"/>
  <c r="M253" i="148"/>
  <c r="L253" i="148"/>
  <c r="O253" i="148" s="1"/>
  <c r="K253" i="148"/>
  <c r="J253" i="148"/>
  <c r="I253" i="148"/>
  <c r="R252" i="148"/>
  <c r="N252" i="148"/>
  <c r="M252" i="148"/>
  <c r="L252" i="148"/>
  <c r="K252" i="148"/>
  <c r="J252" i="148"/>
  <c r="I252" i="148"/>
  <c r="R251" i="148"/>
  <c r="N251" i="148"/>
  <c r="M251" i="148"/>
  <c r="L251" i="148"/>
  <c r="K251" i="148"/>
  <c r="J251" i="148"/>
  <c r="I251" i="148"/>
  <c r="R250" i="148"/>
  <c r="N250" i="148"/>
  <c r="M250" i="148"/>
  <c r="L250" i="148"/>
  <c r="K250" i="148"/>
  <c r="J250" i="148"/>
  <c r="I250" i="148"/>
  <c r="R249" i="148"/>
  <c r="N249" i="148"/>
  <c r="M249" i="148"/>
  <c r="L249" i="148"/>
  <c r="K249" i="148"/>
  <c r="J249" i="148"/>
  <c r="I249" i="148"/>
  <c r="R248" i="148"/>
  <c r="N248" i="148"/>
  <c r="M248" i="148"/>
  <c r="L248" i="148"/>
  <c r="K248" i="148"/>
  <c r="J248" i="148"/>
  <c r="I248" i="148"/>
  <c r="R247" i="148"/>
  <c r="N247" i="148"/>
  <c r="M247" i="148"/>
  <c r="L247" i="148"/>
  <c r="K247" i="148"/>
  <c r="J247" i="148"/>
  <c r="I247" i="148"/>
  <c r="R246" i="148"/>
  <c r="N246" i="148"/>
  <c r="M246" i="148"/>
  <c r="L246" i="148"/>
  <c r="K246" i="148"/>
  <c r="J246" i="148"/>
  <c r="I246" i="148"/>
  <c r="R245" i="148"/>
  <c r="N245" i="148"/>
  <c r="M245" i="148"/>
  <c r="L245" i="148"/>
  <c r="K245" i="148"/>
  <c r="J245" i="148"/>
  <c r="I245" i="148"/>
  <c r="R244" i="148"/>
  <c r="N244" i="148"/>
  <c r="M244" i="148"/>
  <c r="L244" i="148"/>
  <c r="K244" i="148"/>
  <c r="J244" i="148"/>
  <c r="I244" i="148"/>
  <c r="R243" i="148"/>
  <c r="N243" i="148"/>
  <c r="M243" i="148"/>
  <c r="L243" i="148"/>
  <c r="K243" i="148"/>
  <c r="J243" i="148"/>
  <c r="I243" i="148"/>
  <c r="R242" i="148"/>
  <c r="N242" i="148"/>
  <c r="M242" i="148"/>
  <c r="L242" i="148"/>
  <c r="K242" i="148"/>
  <c r="J242" i="148"/>
  <c r="I242" i="148"/>
  <c r="R241" i="148"/>
  <c r="N241" i="148"/>
  <c r="M241" i="148"/>
  <c r="L241" i="148"/>
  <c r="K241" i="148"/>
  <c r="J241" i="148"/>
  <c r="I241" i="148"/>
  <c r="R240" i="148"/>
  <c r="N240" i="148"/>
  <c r="M240" i="148"/>
  <c r="L240" i="148"/>
  <c r="K240" i="148"/>
  <c r="J240" i="148"/>
  <c r="I240" i="148"/>
  <c r="R239" i="148"/>
  <c r="N239" i="148"/>
  <c r="M239" i="148"/>
  <c r="L239" i="148"/>
  <c r="K239" i="148"/>
  <c r="J239" i="148"/>
  <c r="I239" i="148"/>
  <c r="R238" i="148"/>
  <c r="N238" i="148"/>
  <c r="M238" i="148"/>
  <c r="L238" i="148"/>
  <c r="K238" i="148"/>
  <c r="J238" i="148"/>
  <c r="I238" i="148"/>
  <c r="R237" i="148"/>
  <c r="N237" i="148"/>
  <c r="M237" i="148"/>
  <c r="L237" i="148"/>
  <c r="K237" i="148"/>
  <c r="J237" i="148"/>
  <c r="I237" i="148"/>
  <c r="R236" i="148"/>
  <c r="N236" i="148"/>
  <c r="M236" i="148"/>
  <c r="L236" i="148"/>
  <c r="K236" i="148"/>
  <c r="J236" i="148"/>
  <c r="I236" i="148"/>
  <c r="R235" i="148"/>
  <c r="N235" i="148"/>
  <c r="M235" i="148"/>
  <c r="L235" i="148"/>
  <c r="K235" i="148"/>
  <c r="J235" i="148"/>
  <c r="I235" i="148"/>
  <c r="R234" i="148"/>
  <c r="N234" i="148"/>
  <c r="M234" i="148"/>
  <c r="L234" i="148"/>
  <c r="K234" i="148"/>
  <c r="J234" i="148"/>
  <c r="I234" i="148"/>
  <c r="R233" i="148"/>
  <c r="N233" i="148"/>
  <c r="M233" i="148"/>
  <c r="L233" i="148"/>
  <c r="K233" i="148"/>
  <c r="J233" i="148"/>
  <c r="I233" i="148"/>
  <c r="R232" i="148"/>
  <c r="N232" i="148"/>
  <c r="M232" i="148"/>
  <c r="L232" i="148"/>
  <c r="K232" i="148"/>
  <c r="J232" i="148"/>
  <c r="I232" i="148"/>
  <c r="R231" i="148"/>
  <c r="N231" i="148"/>
  <c r="M231" i="148"/>
  <c r="L231" i="148"/>
  <c r="K231" i="148"/>
  <c r="J231" i="148"/>
  <c r="I231" i="148"/>
  <c r="R230" i="148"/>
  <c r="N230" i="148"/>
  <c r="M230" i="148"/>
  <c r="L230" i="148"/>
  <c r="O230" i="148" s="1"/>
  <c r="K230" i="148"/>
  <c r="J230" i="148"/>
  <c r="I230" i="148"/>
  <c r="R229" i="148"/>
  <c r="N229" i="148"/>
  <c r="M229" i="148"/>
  <c r="L229" i="148"/>
  <c r="K229" i="148"/>
  <c r="J229" i="148"/>
  <c r="I229" i="148"/>
  <c r="R228" i="148"/>
  <c r="N228" i="148"/>
  <c r="M228" i="148"/>
  <c r="L228" i="148"/>
  <c r="K228" i="148"/>
  <c r="J228" i="148"/>
  <c r="I228" i="148"/>
  <c r="R227" i="148"/>
  <c r="N227" i="148"/>
  <c r="M227" i="148"/>
  <c r="L227" i="148"/>
  <c r="O227" i="148" s="1"/>
  <c r="K227" i="148"/>
  <c r="J227" i="148"/>
  <c r="I227" i="148"/>
  <c r="R226" i="148"/>
  <c r="N226" i="148"/>
  <c r="M226" i="148"/>
  <c r="L226" i="148"/>
  <c r="K226" i="148"/>
  <c r="J226" i="148"/>
  <c r="I226" i="148"/>
  <c r="R225" i="148"/>
  <c r="N225" i="148"/>
  <c r="M225" i="148"/>
  <c r="L225" i="148"/>
  <c r="K225" i="148"/>
  <c r="J225" i="148"/>
  <c r="I225" i="148"/>
  <c r="R224" i="148"/>
  <c r="N224" i="148"/>
  <c r="M224" i="148"/>
  <c r="L224" i="148"/>
  <c r="K224" i="148"/>
  <c r="J224" i="148"/>
  <c r="I224" i="148"/>
  <c r="R223" i="148"/>
  <c r="N223" i="148"/>
  <c r="M223" i="148"/>
  <c r="L223" i="148"/>
  <c r="K223" i="148"/>
  <c r="J223" i="148"/>
  <c r="I223" i="148"/>
  <c r="R222" i="148"/>
  <c r="N222" i="148"/>
  <c r="M222" i="148"/>
  <c r="L222" i="148"/>
  <c r="K222" i="148"/>
  <c r="J222" i="148"/>
  <c r="I222" i="148"/>
  <c r="R221" i="148"/>
  <c r="N221" i="148"/>
  <c r="M221" i="148"/>
  <c r="L221" i="148"/>
  <c r="K221" i="148"/>
  <c r="J221" i="148"/>
  <c r="I221" i="148"/>
  <c r="R220" i="148"/>
  <c r="N220" i="148"/>
  <c r="M220" i="148"/>
  <c r="L220" i="148"/>
  <c r="K220" i="148"/>
  <c r="J220" i="148"/>
  <c r="I220" i="148"/>
  <c r="R219" i="148"/>
  <c r="N219" i="148"/>
  <c r="M219" i="148"/>
  <c r="L219" i="148"/>
  <c r="K219" i="148"/>
  <c r="J219" i="148"/>
  <c r="I219" i="148"/>
  <c r="R218" i="148"/>
  <c r="N218" i="148"/>
  <c r="M218" i="148"/>
  <c r="L218" i="148"/>
  <c r="K218" i="148"/>
  <c r="J218" i="148"/>
  <c r="I218" i="148"/>
  <c r="R217" i="148"/>
  <c r="N217" i="148"/>
  <c r="M217" i="148"/>
  <c r="L217" i="148"/>
  <c r="K217" i="148"/>
  <c r="J217" i="148"/>
  <c r="I217" i="148"/>
  <c r="R216" i="148"/>
  <c r="N216" i="148"/>
  <c r="M216" i="148"/>
  <c r="L216" i="148"/>
  <c r="K216" i="148"/>
  <c r="J216" i="148"/>
  <c r="I216" i="148"/>
  <c r="R215" i="148"/>
  <c r="N215" i="148"/>
  <c r="M215" i="148"/>
  <c r="L215" i="148"/>
  <c r="K215" i="148"/>
  <c r="J215" i="148"/>
  <c r="I215" i="148"/>
  <c r="R214" i="148"/>
  <c r="N214" i="148"/>
  <c r="M214" i="148"/>
  <c r="L214" i="148"/>
  <c r="K214" i="148"/>
  <c r="J214" i="148"/>
  <c r="I214" i="148"/>
  <c r="R213" i="148"/>
  <c r="N213" i="148"/>
  <c r="M213" i="148"/>
  <c r="L213" i="148"/>
  <c r="K213" i="148"/>
  <c r="J213" i="148"/>
  <c r="I213" i="148"/>
  <c r="R212" i="148"/>
  <c r="N212" i="148"/>
  <c r="M212" i="148"/>
  <c r="L212" i="148"/>
  <c r="K212" i="148"/>
  <c r="J212" i="148"/>
  <c r="I212" i="148"/>
  <c r="R211" i="148"/>
  <c r="N211" i="148"/>
  <c r="M211" i="148"/>
  <c r="L211" i="148"/>
  <c r="K211" i="148"/>
  <c r="J211" i="148"/>
  <c r="I211" i="148"/>
  <c r="R210" i="148"/>
  <c r="N210" i="148"/>
  <c r="M210" i="148"/>
  <c r="L210" i="148"/>
  <c r="K210" i="148"/>
  <c r="J210" i="148"/>
  <c r="I210" i="148"/>
  <c r="R209" i="148"/>
  <c r="N209" i="148"/>
  <c r="M209" i="148"/>
  <c r="L209" i="148"/>
  <c r="K209" i="148"/>
  <c r="J209" i="148"/>
  <c r="I209" i="148"/>
  <c r="R208" i="148"/>
  <c r="N208" i="148"/>
  <c r="M208" i="148"/>
  <c r="L208" i="148"/>
  <c r="K208" i="148"/>
  <c r="J208" i="148"/>
  <c r="I208" i="148"/>
  <c r="R207" i="148"/>
  <c r="N207" i="148"/>
  <c r="M207" i="148"/>
  <c r="L207" i="148"/>
  <c r="K207" i="148"/>
  <c r="J207" i="148"/>
  <c r="I207" i="148"/>
  <c r="R206" i="148"/>
  <c r="N206" i="148"/>
  <c r="M206" i="148"/>
  <c r="L206" i="148"/>
  <c r="O206" i="148" s="1"/>
  <c r="K206" i="148"/>
  <c r="J206" i="148"/>
  <c r="I206" i="148"/>
  <c r="R205" i="148"/>
  <c r="N205" i="148"/>
  <c r="M205" i="148"/>
  <c r="L205" i="148"/>
  <c r="K205" i="148"/>
  <c r="J205" i="148"/>
  <c r="I205" i="148"/>
  <c r="R204" i="148"/>
  <c r="N204" i="148"/>
  <c r="M204" i="148"/>
  <c r="L204" i="148"/>
  <c r="K204" i="148"/>
  <c r="J204" i="148"/>
  <c r="I204" i="148"/>
  <c r="R203" i="148"/>
  <c r="N203" i="148"/>
  <c r="M203" i="148"/>
  <c r="L203" i="148"/>
  <c r="K203" i="148"/>
  <c r="J203" i="148"/>
  <c r="I203" i="148"/>
  <c r="R202" i="148"/>
  <c r="N202" i="148"/>
  <c r="M202" i="148"/>
  <c r="L202" i="148"/>
  <c r="K202" i="148"/>
  <c r="J202" i="148"/>
  <c r="I202" i="148"/>
  <c r="R201" i="148"/>
  <c r="N201" i="148"/>
  <c r="M201" i="148"/>
  <c r="L201" i="148"/>
  <c r="K201" i="148"/>
  <c r="J201" i="148"/>
  <c r="I201" i="148"/>
  <c r="R200" i="148"/>
  <c r="N200" i="148"/>
  <c r="M200" i="148"/>
  <c r="L200" i="148"/>
  <c r="K200" i="148"/>
  <c r="J200" i="148"/>
  <c r="I200" i="148"/>
  <c r="R199" i="148"/>
  <c r="N199" i="148"/>
  <c r="M199" i="148"/>
  <c r="L199" i="148"/>
  <c r="O199" i="148" s="1"/>
  <c r="K199" i="148"/>
  <c r="J199" i="148"/>
  <c r="I199" i="148"/>
  <c r="R198" i="148"/>
  <c r="N198" i="148"/>
  <c r="M198" i="148"/>
  <c r="L198" i="148"/>
  <c r="K198" i="148"/>
  <c r="J198" i="148"/>
  <c r="I198" i="148"/>
  <c r="R197" i="148"/>
  <c r="N197" i="148"/>
  <c r="M197" i="148"/>
  <c r="L197" i="148"/>
  <c r="K197" i="148"/>
  <c r="J197" i="148"/>
  <c r="I197" i="148"/>
  <c r="R196" i="148"/>
  <c r="N196" i="148"/>
  <c r="M196" i="148"/>
  <c r="L196" i="148"/>
  <c r="K196" i="148"/>
  <c r="J196" i="148"/>
  <c r="I196" i="148"/>
  <c r="R195" i="148"/>
  <c r="N195" i="148"/>
  <c r="M195" i="148"/>
  <c r="L195" i="148"/>
  <c r="K195" i="148"/>
  <c r="J195" i="148"/>
  <c r="I195" i="148"/>
  <c r="R194" i="148"/>
  <c r="N194" i="148"/>
  <c r="M194" i="148"/>
  <c r="L194" i="148"/>
  <c r="K194" i="148"/>
  <c r="J194" i="148"/>
  <c r="I194" i="148"/>
  <c r="R193" i="148"/>
  <c r="N193" i="148"/>
  <c r="M193" i="148"/>
  <c r="L193" i="148"/>
  <c r="K193" i="148"/>
  <c r="J193" i="148"/>
  <c r="I193" i="148"/>
  <c r="R192" i="148"/>
  <c r="N192" i="148"/>
  <c r="M192" i="148"/>
  <c r="L192" i="148"/>
  <c r="K192" i="148"/>
  <c r="J192" i="148"/>
  <c r="I192" i="148"/>
  <c r="R191" i="148"/>
  <c r="N191" i="148"/>
  <c r="M191" i="148"/>
  <c r="L191" i="148"/>
  <c r="K191" i="148"/>
  <c r="J191" i="148"/>
  <c r="I191" i="148"/>
  <c r="R190" i="148"/>
  <c r="N190" i="148"/>
  <c r="M190" i="148"/>
  <c r="L190" i="148"/>
  <c r="K190" i="148"/>
  <c r="J190" i="148"/>
  <c r="I190" i="148"/>
  <c r="R189" i="148"/>
  <c r="N189" i="148"/>
  <c r="M189" i="148"/>
  <c r="L189" i="148"/>
  <c r="O189" i="148" s="1"/>
  <c r="K189" i="148"/>
  <c r="J189" i="148"/>
  <c r="I189" i="148"/>
  <c r="R188" i="148"/>
  <c r="N188" i="148"/>
  <c r="M188" i="148"/>
  <c r="L188" i="148"/>
  <c r="K188" i="148"/>
  <c r="J188" i="148"/>
  <c r="I188" i="148"/>
  <c r="R187" i="148"/>
  <c r="N187" i="148"/>
  <c r="M187" i="148"/>
  <c r="L187" i="148"/>
  <c r="K187" i="148"/>
  <c r="J187" i="148"/>
  <c r="I187" i="148"/>
  <c r="R186" i="148"/>
  <c r="N186" i="148"/>
  <c r="M186" i="148"/>
  <c r="L186" i="148"/>
  <c r="K186" i="148"/>
  <c r="J186" i="148"/>
  <c r="I186" i="148"/>
  <c r="R185" i="148"/>
  <c r="N185" i="148"/>
  <c r="M185" i="148"/>
  <c r="L185" i="148"/>
  <c r="K185" i="148"/>
  <c r="J185" i="148"/>
  <c r="I185" i="148"/>
  <c r="R184" i="148"/>
  <c r="N184" i="148"/>
  <c r="M184" i="148"/>
  <c r="L184" i="148"/>
  <c r="K184" i="148"/>
  <c r="J184" i="148"/>
  <c r="I184" i="148"/>
  <c r="R183" i="148"/>
  <c r="N183" i="148"/>
  <c r="M183" i="148"/>
  <c r="L183" i="148"/>
  <c r="O183" i="148" s="1"/>
  <c r="K183" i="148"/>
  <c r="J183" i="148"/>
  <c r="I183" i="148"/>
  <c r="R182" i="148"/>
  <c r="N182" i="148"/>
  <c r="M182" i="148"/>
  <c r="L182" i="148"/>
  <c r="O182" i="148" s="1"/>
  <c r="K182" i="148"/>
  <c r="J182" i="148"/>
  <c r="I182" i="148"/>
  <c r="R181" i="148"/>
  <c r="N181" i="148"/>
  <c r="M181" i="148"/>
  <c r="L181" i="148"/>
  <c r="K181" i="148"/>
  <c r="J181" i="148"/>
  <c r="I181" i="148"/>
  <c r="R180" i="148"/>
  <c r="N180" i="148"/>
  <c r="M180" i="148"/>
  <c r="L180" i="148"/>
  <c r="K180" i="148"/>
  <c r="J180" i="148"/>
  <c r="I180" i="148"/>
  <c r="R179" i="148"/>
  <c r="N179" i="148"/>
  <c r="M179" i="148"/>
  <c r="L179" i="148"/>
  <c r="K179" i="148"/>
  <c r="J179" i="148"/>
  <c r="I179" i="148"/>
  <c r="R178" i="148"/>
  <c r="N178" i="148"/>
  <c r="M178" i="148"/>
  <c r="L178" i="148"/>
  <c r="K178" i="148"/>
  <c r="J178" i="148"/>
  <c r="I178" i="148"/>
  <c r="R177" i="148"/>
  <c r="N177" i="148"/>
  <c r="M177" i="148"/>
  <c r="L177" i="148"/>
  <c r="K177" i="148"/>
  <c r="J177" i="148"/>
  <c r="I177" i="148"/>
  <c r="R176" i="148"/>
  <c r="N176" i="148"/>
  <c r="M176" i="148"/>
  <c r="L176" i="148"/>
  <c r="K176" i="148"/>
  <c r="J176" i="148"/>
  <c r="I176" i="148"/>
  <c r="R175" i="148"/>
  <c r="N175" i="148"/>
  <c r="M175" i="148"/>
  <c r="L175" i="148"/>
  <c r="K175" i="148"/>
  <c r="J175" i="148"/>
  <c r="I175" i="148"/>
  <c r="R174" i="148"/>
  <c r="N174" i="148"/>
  <c r="M174" i="148"/>
  <c r="L174" i="148"/>
  <c r="K174" i="148"/>
  <c r="J174" i="148"/>
  <c r="I174" i="148"/>
  <c r="R173" i="148"/>
  <c r="N173" i="148"/>
  <c r="M173" i="148"/>
  <c r="L173" i="148"/>
  <c r="K173" i="148"/>
  <c r="J173" i="148"/>
  <c r="I173" i="148"/>
  <c r="R172" i="148"/>
  <c r="N172" i="148"/>
  <c r="M172" i="148"/>
  <c r="L172" i="148"/>
  <c r="K172" i="148"/>
  <c r="J172" i="148"/>
  <c r="I172" i="148"/>
  <c r="R171" i="148"/>
  <c r="N171" i="148"/>
  <c r="M171" i="148"/>
  <c r="L171" i="148"/>
  <c r="K171" i="148"/>
  <c r="J171" i="148"/>
  <c r="I171" i="148"/>
  <c r="R170" i="148"/>
  <c r="N170" i="148"/>
  <c r="M170" i="148"/>
  <c r="L170" i="148"/>
  <c r="K170" i="148"/>
  <c r="J170" i="148"/>
  <c r="I170" i="148"/>
  <c r="R169" i="148"/>
  <c r="N169" i="148"/>
  <c r="M169" i="148"/>
  <c r="L169" i="148"/>
  <c r="K169" i="148"/>
  <c r="J169" i="148"/>
  <c r="I169" i="148"/>
  <c r="R168" i="148"/>
  <c r="N168" i="148"/>
  <c r="M168" i="148"/>
  <c r="L168" i="148"/>
  <c r="K168" i="148"/>
  <c r="J168" i="148"/>
  <c r="I168" i="148"/>
  <c r="R167" i="148"/>
  <c r="N167" i="148"/>
  <c r="M167" i="148"/>
  <c r="L167" i="148"/>
  <c r="O167" i="148" s="1"/>
  <c r="K167" i="148"/>
  <c r="J167" i="148"/>
  <c r="I167" i="148"/>
  <c r="R166" i="148"/>
  <c r="N166" i="148"/>
  <c r="M166" i="148"/>
  <c r="L166" i="148"/>
  <c r="K166" i="148"/>
  <c r="J166" i="148"/>
  <c r="I166" i="148"/>
  <c r="R165" i="148"/>
  <c r="N165" i="148"/>
  <c r="M165" i="148"/>
  <c r="L165" i="148"/>
  <c r="K165" i="148"/>
  <c r="J165" i="148"/>
  <c r="I165" i="148"/>
  <c r="R164" i="148"/>
  <c r="N164" i="148"/>
  <c r="M164" i="148"/>
  <c r="L164" i="148"/>
  <c r="K164" i="148"/>
  <c r="J164" i="148"/>
  <c r="I164" i="148"/>
  <c r="R163" i="148"/>
  <c r="N163" i="148"/>
  <c r="M163" i="148"/>
  <c r="L163" i="148"/>
  <c r="K163" i="148"/>
  <c r="J163" i="148"/>
  <c r="I163" i="148"/>
  <c r="R162" i="148"/>
  <c r="N162" i="148"/>
  <c r="M162" i="148"/>
  <c r="L162" i="148"/>
  <c r="K162" i="148"/>
  <c r="J162" i="148"/>
  <c r="I162" i="148"/>
  <c r="R161" i="148"/>
  <c r="N161" i="148"/>
  <c r="M161" i="148"/>
  <c r="L161" i="148"/>
  <c r="K161" i="148"/>
  <c r="J161" i="148"/>
  <c r="I161" i="148"/>
  <c r="R160" i="148"/>
  <c r="N160" i="148"/>
  <c r="M160" i="148"/>
  <c r="L160" i="148"/>
  <c r="K160" i="148"/>
  <c r="J160" i="148"/>
  <c r="I160" i="148"/>
  <c r="R159" i="148"/>
  <c r="N159" i="148"/>
  <c r="M159" i="148"/>
  <c r="L159" i="148"/>
  <c r="K159" i="148"/>
  <c r="J159" i="148"/>
  <c r="I159" i="148"/>
  <c r="R158" i="148"/>
  <c r="N158" i="148"/>
  <c r="M158" i="148"/>
  <c r="L158" i="148"/>
  <c r="K158" i="148"/>
  <c r="J158" i="148"/>
  <c r="I158" i="148"/>
  <c r="R157" i="148"/>
  <c r="N157" i="148"/>
  <c r="M157" i="148"/>
  <c r="L157" i="148"/>
  <c r="K157" i="148"/>
  <c r="J157" i="148"/>
  <c r="I157" i="148"/>
  <c r="R156" i="148"/>
  <c r="N156" i="148"/>
  <c r="M156" i="148"/>
  <c r="L156" i="148"/>
  <c r="K156" i="148"/>
  <c r="J156" i="148"/>
  <c r="I156" i="148"/>
  <c r="R155" i="148"/>
  <c r="N155" i="148"/>
  <c r="M155" i="148"/>
  <c r="L155" i="148"/>
  <c r="K155" i="148"/>
  <c r="J155" i="148"/>
  <c r="I155" i="148"/>
  <c r="R154" i="148"/>
  <c r="N154" i="148"/>
  <c r="M154" i="148"/>
  <c r="L154" i="148"/>
  <c r="K154" i="148"/>
  <c r="J154" i="148"/>
  <c r="I154" i="148"/>
  <c r="R153" i="148"/>
  <c r="N153" i="148"/>
  <c r="M153" i="148"/>
  <c r="L153" i="148"/>
  <c r="K153" i="148"/>
  <c r="J153" i="148"/>
  <c r="I153" i="148"/>
  <c r="R152" i="148"/>
  <c r="N152" i="148"/>
  <c r="M152" i="148"/>
  <c r="L152" i="148"/>
  <c r="K152" i="148"/>
  <c r="J152" i="148"/>
  <c r="I152" i="148"/>
  <c r="R151" i="148"/>
  <c r="N151" i="148"/>
  <c r="M151" i="148"/>
  <c r="L151" i="148"/>
  <c r="K151" i="148"/>
  <c r="J151" i="148"/>
  <c r="I151" i="148"/>
  <c r="R150" i="148"/>
  <c r="N150" i="148"/>
  <c r="M150" i="148"/>
  <c r="L150" i="148"/>
  <c r="O150" i="148" s="1"/>
  <c r="K150" i="148"/>
  <c r="J150" i="148"/>
  <c r="I150" i="148"/>
  <c r="R149" i="148"/>
  <c r="N149" i="148"/>
  <c r="M149" i="148"/>
  <c r="L149" i="148"/>
  <c r="K149" i="148"/>
  <c r="J149" i="148"/>
  <c r="I149" i="148"/>
  <c r="R148" i="148"/>
  <c r="N148" i="148"/>
  <c r="M148" i="148"/>
  <c r="L148" i="148"/>
  <c r="K148" i="148"/>
  <c r="J148" i="148"/>
  <c r="I148" i="148"/>
  <c r="R147" i="148"/>
  <c r="N147" i="148"/>
  <c r="M147" i="148"/>
  <c r="L147" i="148"/>
  <c r="K147" i="148"/>
  <c r="J147" i="148"/>
  <c r="I147" i="148"/>
  <c r="R146" i="148"/>
  <c r="N146" i="148"/>
  <c r="M146" i="148"/>
  <c r="L146" i="148"/>
  <c r="K146" i="148"/>
  <c r="J146" i="148"/>
  <c r="I146" i="148"/>
  <c r="R145" i="148"/>
  <c r="N145" i="148"/>
  <c r="M145" i="148"/>
  <c r="L145" i="148"/>
  <c r="O145" i="148" s="1"/>
  <c r="K145" i="148"/>
  <c r="J145" i="148"/>
  <c r="I145" i="148"/>
  <c r="R144" i="148"/>
  <c r="N144" i="148"/>
  <c r="M144" i="148"/>
  <c r="L144" i="148"/>
  <c r="K144" i="148"/>
  <c r="J144" i="148"/>
  <c r="I144" i="148"/>
  <c r="R143" i="148"/>
  <c r="N143" i="148"/>
  <c r="M143" i="148"/>
  <c r="L143" i="148"/>
  <c r="K143" i="148"/>
  <c r="J143" i="148"/>
  <c r="I143" i="148"/>
  <c r="R142" i="148"/>
  <c r="N142" i="148"/>
  <c r="M142" i="148"/>
  <c r="L142" i="148"/>
  <c r="O142" i="148" s="1"/>
  <c r="K142" i="148"/>
  <c r="J142" i="148"/>
  <c r="I142" i="148"/>
  <c r="R141" i="148"/>
  <c r="N141" i="148"/>
  <c r="M141" i="148"/>
  <c r="L141" i="148"/>
  <c r="K141" i="148"/>
  <c r="J141" i="148"/>
  <c r="I141" i="148"/>
  <c r="R140" i="148"/>
  <c r="N140" i="148"/>
  <c r="M140" i="148"/>
  <c r="L140" i="148"/>
  <c r="K140" i="148"/>
  <c r="J140" i="148"/>
  <c r="I140" i="148"/>
  <c r="R139" i="148"/>
  <c r="N139" i="148"/>
  <c r="M139" i="148"/>
  <c r="L139" i="148"/>
  <c r="K139" i="148"/>
  <c r="J139" i="148"/>
  <c r="I139" i="148"/>
  <c r="R138" i="148"/>
  <c r="N138" i="148"/>
  <c r="M138" i="148"/>
  <c r="L138" i="148"/>
  <c r="K138" i="148"/>
  <c r="J138" i="148"/>
  <c r="I138" i="148"/>
  <c r="R137" i="148"/>
  <c r="N137" i="148"/>
  <c r="M137" i="148"/>
  <c r="L137" i="148"/>
  <c r="K137" i="148"/>
  <c r="J137" i="148"/>
  <c r="I137" i="148"/>
  <c r="R136" i="148"/>
  <c r="N136" i="148"/>
  <c r="M136" i="148"/>
  <c r="L136" i="148"/>
  <c r="O136" i="148" s="1"/>
  <c r="K136" i="148"/>
  <c r="J136" i="148"/>
  <c r="I136" i="148"/>
  <c r="R135" i="148"/>
  <c r="N135" i="148"/>
  <c r="M135" i="148"/>
  <c r="L135" i="148"/>
  <c r="O135" i="148" s="1"/>
  <c r="K135" i="148"/>
  <c r="J135" i="148"/>
  <c r="I135" i="148"/>
  <c r="R134" i="148"/>
  <c r="N134" i="148"/>
  <c r="M134" i="148"/>
  <c r="L134" i="148"/>
  <c r="K134" i="148"/>
  <c r="J134" i="148"/>
  <c r="I134" i="148"/>
  <c r="R133" i="148"/>
  <c r="N133" i="148"/>
  <c r="M133" i="148"/>
  <c r="L133" i="148"/>
  <c r="K133" i="148"/>
  <c r="J133" i="148"/>
  <c r="I133" i="148"/>
  <c r="R132" i="148"/>
  <c r="N132" i="148"/>
  <c r="M132" i="148"/>
  <c r="L132" i="148"/>
  <c r="K132" i="148"/>
  <c r="J132" i="148"/>
  <c r="I132" i="148"/>
  <c r="R131" i="148"/>
  <c r="N131" i="148"/>
  <c r="M131" i="148"/>
  <c r="L131" i="148"/>
  <c r="O131" i="148" s="1"/>
  <c r="K131" i="148"/>
  <c r="J131" i="148"/>
  <c r="I131" i="148"/>
  <c r="R130" i="148"/>
  <c r="N130" i="148"/>
  <c r="M130" i="148"/>
  <c r="L130" i="148"/>
  <c r="K130" i="148"/>
  <c r="J130" i="148"/>
  <c r="I130" i="148"/>
  <c r="R129" i="148"/>
  <c r="N129" i="148"/>
  <c r="M129" i="148"/>
  <c r="L129" i="148"/>
  <c r="K129" i="148"/>
  <c r="J129" i="148"/>
  <c r="I129" i="148"/>
  <c r="R128" i="148"/>
  <c r="N128" i="148"/>
  <c r="M128" i="148"/>
  <c r="L128" i="148"/>
  <c r="O128" i="148" s="1"/>
  <c r="K128" i="148"/>
  <c r="J128" i="148"/>
  <c r="I128" i="148"/>
  <c r="R127" i="148"/>
  <c r="N127" i="148"/>
  <c r="M127" i="148"/>
  <c r="L127" i="148"/>
  <c r="K127" i="148"/>
  <c r="J127" i="148"/>
  <c r="I127" i="148"/>
  <c r="R126" i="148"/>
  <c r="N126" i="148"/>
  <c r="M126" i="148"/>
  <c r="L126" i="148"/>
  <c r="K126" i="148"/>
  <c r="J126" i="148"/>
  <c r="I126" i="148"/>
  <c r="R125" i="148"/>
  <c r="N125" i="148"/>
  <c r="M125" i="148"/>
  <c r="L125" i="148"/>
  <c r="K125" i="148"/>
  <c r="J125" i="148"/>
  <c r="I125" i="148"/>
  <c r="R124" i="148"/>
  <c r="N124" i="148"/>
  <c r="M124" i="148"/>
  <c r="L124" i="148"/>
  <c r="K124" i="148"/>
  <c r="J124" i="148"/>
  <c r="I124" i="148"/>
  <c r="R123" i="148"/>
  <c r="N123" i="148"/>
  <c r="M123" i="148"/>
  <c r="L123" i="148"/>
  <c r="K123" i="148"/>
  <c r="J123" i="148"/>
  <c r="I123" i="148"/>
  <c r="R122" i="148"/>
  <c r="N122" i="148"/>
  <c r="M122" i="148"/>
  <c r="L122" i="148"/>
  <c r="K122" i="148"/>
  <c r="J122" i="148"/>
  <c r="I122" i="148"/>
  <c r="R121" i="148"/>
  <c r="N121" i="148"/>
  <c r="M121" i="148"/>
  <c r="L121" i="148"/>
  <c r="K121" i="148"/>
  <c r="J121" i="148"/>
  <c r="I121" i="148"/>
  <c r="R120" i="148"/>
  <c r="N120" i="148"/>
  <c r="M120" i="148"/>
  <c r="L120" i="148"/>
  <c r="K120" i="148"/>
  <c r="J120" i="148"/>
  <c r="I120" i="148"/>
  <c r="R119" i="148"/>
  <c r="N119" i="148"/>
  <c r="M119" i="148"/>
  <c r="L119" i="148"/>
  <c r="K119" i="148"/>
  <c r="J119" i="148"/>
  <c r="I119" i="148"/>
  <c r="R118" i="148"/>
  <c r="N118" i="148"/>
  <c r="M118" i="148"/>
  <c r="L118" i="148"/>
  <c r="K118" i="148"/>
  <c r="J118" i="148"/>
  <c r="I118" i="148"/>
  <c r="R117" i="148"/>
  <c r="N117" i="148"/>
  <c r="M117" i="148"/>
  <c r="L117" i="148"/>
  <c r="K117" i="148"/>
  <c r="J117" i="148"/>
  <c r="I117" i="148"/>
  <c r="R116" i="148"/>
  <c r="N116" i="148"/>
  <c r="M116" i="148"/>
  <c r="L116" i="148"/>
  <c r="K116" i="148"/>
  <c r="J116" i="148"/>
  <c r="I116" i="148"/>
  <c r="R115" i="148"/>
  <c r="N115" i="148"/>
  <c r="M115" i="148"/>
  <c r="L115" i="148"/>
  <c r="K115" i="148"/>
  <c r="J115" i="148"/>
  <c r="I115" i="148"/>
  <c r="R114" i="148"/>
  <c r="N114" i="148"/>
  <c r="M114" i="148"/>
  <c r="L114" i="148"/>
  <c r="K114" i="148"/>
  <c r="J114" i="148"/>
  <c r="I114" i="148"/>
  <c r="R113" i="148"/>
  <c r="N113" i="148"/>
  <c r="M113" i="148"/>
  <c r="L113" i="148"/>
  <c r="O113" i="148" s="1"/>
  <c r="K113" i="148"/>
  <c r="J113" i="148"/>
  <c r="I113" i="148"/>
  <c r="R112" i="148"/>
  <c r="N112" i="148"/>
  <c r="M112" i="148"/>
  <c r="L112" i="148"/>
  <c r="K112" i="148"/>
  <c r="J112" i="148"/>
  <c r="I112" i="148"/>
  <c r="R111" i="148"/>
  <c r="N111" i="148"/>
  <c r="M111" i="148"/>
  <c r="L111" i="148"/>
  <c r="K111" i="148"/>
  <c r="J111" i="148"/>
  <c r="I111" i="148"/>
  <c r="R110" i="148"/>
  <c r="N110" i="148"/>
  <c r="M110" i="148"/>
  <c r="L110" i="148"/>
  <c r="K110" i="148"/>
  <c r="J110" i="148"/>
  <c r="I110" i="148"/>
  <c r="R109" i="148"/>
  <c r="N109" i="148"/>
  <c r="M109" i="148"/>
  <c r="L109" i="148"/>
  <c r="K109" i="148"/>
  <c r="J109" i="148"/>
  <c r="I109" i="148"/>
  <c r="R108" i="148"/>
  <c r="N108" i="148"/>
  <c r="M108" i="148"/>
  <c r="L108" i="148"/>
  <c r="K108" i="148"/>
  <c r="J108" i="148"/>
  <c r="I108" i="148"/>
  <c r="R107" i="148"/>
  <c r="N107" i="148"/>
  <c r="M107" i="148"/>
  <c r="L107" i="148"/>
  <c r="K107" i="148"/>
  <c r="J107" i="148"/>
  <c r="I107" i="148"/>
  <c r="R106" i="148"/>
  <c r="N106" i="148"/>
  <c r="M106" i="148"/>
  <c r="L106" i="148"/>
  <c r="O106" i="148" s="1"/>
  <c r="K106" i="148"/>
  <c r="J106" i="148"/>
  <c r="I106" i="148"/>
  <c r="R105" i="148"/>
  <c r="N105" i="148"/>
  <c r="M105" i="148"/>
  <c r="L105" i="148"/>
  <c r="O105" i="148" s="1"/>
  <c r="K105" i="148"/>
  <c r="J105" i="148"/>
  <c r="I105" i="148"/>
  <c r="R104" i="148"/>
  <c r="N104" i="148"/>
  <c r="M104" i="148"/>
  <c r="L104" i="148"/>
  <c r="K104" i="148"/>
  <c r="J104" i="148"/>
  <c r="I104" i="148"/>
  <c r="R103" i="148"/>
  <c r="N103" i="148"/>
  <c r="M103" i="148"/>
  <c r="L103" i="148"/>
  <c r="K103" i="148"/>
  <c r="J103" i="148"/>
  <c r="I103" i="148"/>
  <c r="R102" i="148"/>
  <c r="N102" i="148"/>
  <c r="M102" i="148"/>
  <c r="L102" i="148"/>
  <c r="K102" i="148"/>
  <c r="J102" i="148"/>
  <c r="I102" i="148"/>
  <c r="R101" i="148"/>
  <c r="N101" i="148"/>
  <c r="M101" i="148"/>
  <c r="L101" i="148"/>
  <c r="K101" i="148"/>
  <c r="J101" i="148"/>
  <c r="I101" i="148"/>
  <c r="R100" i="148"/>
  <c r="N100" i="148"/>
  <c r="M100" i="148"/>
  <c r="L100" i="148"/>
  <c r="O100" i="148" s="1"/>
  <c r="K100" i="148"/>
  <c r="J100" i="148"/>
  <c r="I100" i="148"/>
  <c r="R99" i="148"/>
  <c r="N99" i="148"/>
  <c r="M99" i="148"/>
  <c r="L99" i="148"/>
  <c r="K99" i="148"/>
  <c r="J99" i="148"/>
  <c r="I99" i="148"/>
  <c r="R98" i="148"/>
  <c r="N98" i="148"/>
  <c r="M98" i="148"/>
  <c r="L98" i="148"/>
  <c r="K98" i="148"/>
  <c r="J98" i="148"/>
  <c r="I98" i="148"/>
  <c r="R97" i="148"/>
  <c r="N97" i="148"/>
  <c r="M97" i="148"/>
  <c r="L97" i="148"/>
  <c r="K97" i="148"/>
  <c r="J97" i="148"/>
  <c r="I97" i="148"/>
  <c r="R96" i="148"/>
  <c r="N96" i="148"/>
  <c r="M96" i="148"/>
  <c r="L96" i="148"/>
  <c r="K96" i="148"/>
  <c r="J96" i="148"/>
  <c r="I96" i="148"/>
  <c r="R95" i="148"/>
  <c r="N95" i="148"/>
  <c r="M95" i="148"/>
  <c r="L95" i="148"/>
  <c r="K95" i="148"/>
  <c r="J95" i="148"/>
  <c r="I95" i="148"/>
  <c r="R94" i="148"/>
  <c r="N94" i="148"/>
  <c r="M94" i="148"/>
  <c r="L94" i="148"/>
  <c r="K94" i="148"/>
  <c r="J94" i="148"/>
  <c r="I94" i="148"/>
  <c r="R93" i="148"/>
  <c r="N93" i="148"/>
  <c r="M93" i="148"/>
  <c r="L93" i="148"/>
  <c r="O93" i="148" s="1"/>
  <c r="K93" i="148"/>
  <c r="J93" i="148"/>
  <c r="I93" i="148"/>
  <c r="R92" i="148"/>
  <c r="N92" i="148"/>
  <c r="M92" i="148"/>
  <c r="L92" i="148"/>
  <c r="K92" i="148"/>
  <c r="J92" i="148"/>
  <c r="I92" i="148"/>
  <c r="R91" i="148"/>
  <c r="N91" i="148"/>
  <c r="M91" i="148"/>
  <c r="L91" i="148"/>
  <c r="K91" i="148"/>
  <c r="J91" i="148"/>
  <c r="I91" i="148"/>
  <c r="R90" i="148"/>
  <c r="N90" i="148"/>
  <c r="M90" i="148"/>
  <c r="L90" i="148"/>
  <c r="O90" i="148" s="1"/>
  <c r="K90" i="148"/>
  <c r="J90" i="148"/>
  <c r="I90" i="148"/>
  <c r="R89" i="148"/>
  <c r="N89" i="148"/>
  <c r="M89" i="148"/>
  <c r="L89" i="148"/>
  <c r="K89" i="148"/>
  <c r="J89" i="148"/>
  <c r="I89" i="148"/>
  <c r="R88" i="148"/>
  <c r="N88" i="148"/>
  <c r="M88" i="148"/>
  <c r="L88" i="148"/>
  <c r="K88" i="148"/>
  <c r="J88" i="148"/>
  <c r="I88" i="148"/>
  <c r="R87" i="148"/>
  <c r="N87" i="148"/>
  <c r="M87" i="148"/>
  <c r="L87" i="148"/>
  <c r="K87" i="148"/>
  <c r="J87" i="148"/>
  <c r="I87" i="148"/>
  <c r="R86" i="148"/>
  <c r="N86" i="148"/>
  <c r="M86" i="148"/>
  <c r="L86" i="148"/>
  <c r="K86" i="148"/>
  <c r="J86" i="148"/>
  <c r="I86" i="148"/>
  <c r="R85" i="148"/>
  <c r="N85" i="148"/>
  <c r="M85" i="148"/>
  <c r="L85" i="148"/>
  <c r="K85" i="148"/>
  <c r="J85" i="148"/>
  <c r="I85" i="148"/>
  <c r="R84" i="148"/>
  <c r="N84" i="148"/>
  <c r="M84" i="148"/>
  <c r="L84" i="148"/>
  <c r="K84" i="148"/>
  <c r="J84" i="148"/>
  <c r="I84" i="148"/>
  <c r="R83" i="148"/>
  <c r="N83" i="148"/>
  <c r="M83" i="148"/>
  <c r="K83" i="148"/>
  <c r="J83" i="148"/>
  <c r="I83" i="148"/>
  <c r="R82" i="148"/>
  <c r="N82" i="148"/>
  <c r="M82" i="148"/>
  <c r="K82" i="148"/>
  <c r="J82" i="148"/>
  <c r="I82" i="148"/>
  <c r="R81" i="148"/>
  <c r="N81" i="148"/>
  <c r="M81" i="148"/>
  <c r="K81" i="148"/>
  <c r="J81" i="148"/>
  <c r="I81" i="148"/>
  <c r="R80" i="148"/>
  <c r="N80" i="148"/>
  <c r="M80" i="148"/>
  <c r="K80" i="148"/>
  <c r="J80" i="148"/>
  <c r="I80" i="148"/>
  <c r="R79" i="148"/>
  <c r="N79" i="148"/>
  <c r="M79" i="148"/>
  <c r="K79" i="148"/>
  <c r="J79" i="148"/>
  <c r="I79" i="148"/>
  <c r="R78" i="148"/>
  <c r="N78" i="148"/>
  <c r="M78" i="148"/>
  <c r="K78" i="148"/>
  <c r="J78" i="148"/>
  <c r="I78" i="148"/>
  <c r="R77" i="148"/>
  <c r="N77" i="148"/>
  <c r="M77" i="148"/>
  <c r="K77" i="148"/>
  <c r="J77" i="148"/>
  <c r="I77" i="148"/>
  <c r="R76" i="148"/>
  <c r="N76" i="148"/>
  <c r="M76" i="148"/>
  <c r="K76" i="148"/>
  <c r="J76" i="148"/>
  <c r="I76" i="148"/>
  <c r="R75" i="148"/>
  <c r="N75" i="148"/>
  <c r="M75" i="148"/>
  <c r="K75" i="148"/>
  <c r="J75" i="148"/>
  <c r="I75" i="148"/>
  <c r="R74" i="148"/>
  <c r="N74" i="148"/>
  <c r="M74" i="148"/>
  <c r="K74" i="148"/>
  <c r="J74" i="148"/>
  <c r="I74" i="148"/>
  <c r="R73" i="148"/>
  <c r="N73" i="148"/>
  <c r="M73" i="148"/>
  <c r="K73" i="148"/>
  <c r="J73" i="148"/>
  <c r="I73" i="148"/>
  <c r="R72" i="148"/>
  <c r="N72" i="148"/>
  <c r="M72" i="148"/>
  <c r="K72" i="148"/>
  <c r="J72" i="148"/>
  <c r="I72" i="148"/>
  <c r="R71" i="148"/>
  <c r="N71" i="148"/>
  <c r="M71" i="148"/>
  <c r="K71" i="148"/>
  <c r="J71" i="148"/>
  <c r="I71" i="148"/>
  <c r="R70" i="148"/>
  <c r="N70" i="148"/>
  <c r="M70" i="148"/>
  <c r="K70" i="148"/>
  <c r="J70" i="148"/>
  <c r="I70" i="148"/>
  <c r="R69" i="148"/>
  <c r="N69" i="148"/>
  <c r="M69" i="148"/>
  <c r="K69" i="148"/>
  <c r="J69" i="148"/>
  <c r="I69" i="148"/>
  <c r="R68" i="148"/>
  <c r="N68" i="148"/>
  <c r="M68" i="148"/>
  <c r="O68" i="148" s="1"/>
  <c r="K68" i="148"/>
  <c r="J68" i="148"/>
  <c r="I68" i="148"/>
  <c r="R67" i="148"/>
  <c r="N67" i="148"/>
  <c r="M67" i="148"/>
  <c r="K67" i="148"/>
  <c r="J67" i="148"/>
  <c r="I67" i="148"/>
  <c r="R66" i="148"/>
  <c r="N66" i="148"/>
  <c r="M66" i="148"/>
  <c r="K66" i="148"/>
  <c r="J66" i="148"/>
  <c r="I66" i="148"/>
  <c r="R65" i="148"/>
  <c r="N65" i="148"/>
  <c r="M65" i="148"/>
  <c r="K65" i="148"/>
  <c r="J65" i="148"/>
  <c r="I65" i="148"/>
  <c r="R64" i="148"/>
  <c r="N64" i="148"/>
  <c r="M64" i="148"/>
  <c r="K64" i="148"/>
  <c r="J64" i="148"/>
  <c r="I64" i="148"/>
  <c r="R63" i="148"/>
  <c r="N63" i="148"/>
  <c r="M63" i="148"/>
  <c r="K63" i="148"/>
  <c r="J63" i="148"/>
  <c r="I63" i="148"/>
  <c r="R62" i="148"/>
  <c r="N62" i="148"/>
  <c r="M62" i="148"/>
  <c r="K62" i="148"/>
  <c r="J62" i="148"/>
  <c r="I62" i="148"/>
  <c r="R61" i="148"/>
  <c r="N61" i="148"/>
  <c r="M61" i="148"/>
  <c r="K61" i="148"/>
  <c r="J61" i="148"/>
  <c r="I61" i="148"/>
  <c r="R60" i="148"/>
  <c r="N60" i="148"/>
  <c r="M60" i="148"/>
  <c r="K60" i="148"/>
  <c r="J60" i="148"/>
  <c r="I60" i="148"/>
  <c r="R59" i="148"/>
  <c r="N59" i="148"/>
  <c r="M59" i="148"/>
  <c r="K59" i="148"/>
  <c r="J59" i="148"/>
  <c r="I59" i="148"/>
  <c r="R58" i="148"/>
  <c r="N58" i="148"/>
  <c r="M58" i="148"/>
  <c r="K58" i="148"/>
  <c r="J58" i="148"/>
  <c r="I58" i="148"/>
  <c r="R57" i="148"/>
  <c r="N57" i="148"/>
  <c r="M57" i="148"/>
  <c r="K57" i="148"/>
  <c r="J57" i="148"/>
  <c r="I57" i="148"/>
  <c r="R56" i="148"/>
  <c r="N56" i="148"/>
  <c r="M56" i="148"/>
  <c r="O56" i="148" s="1"/>
  <c r="K56" i="148"/>
  <c r="J56" i="148"/>
  <c r="I56" i="148"/>
  <c r="R55" i="148"/>
  <c r="N55" i="148"/>
  <c r="M55" i="148"/>
  <c r="K55" i="148"/>
  <c r="J55" i="148"/>
  <c r="I55" i="148"/>
  <c r="R54" i="148"/>
  <c r="N54" i="148"/>
  <c r="M54" i="148"/>
  <c r="K54" i="148"/>
  <c r="J54" i="148"/>
  <c r="I54" i="148"/>
  <c r="R53" i="148"/>
  <c r="N53" i="148"/>
  <c r="M53" i="148"/>
  <c r="K53" i="148"/>
  <c r="J53" i="148"/>
  <c r="I53" i="148"/>
  <c r="R52" i="148"/>
  <c r="N52" i="148"/>
  <c r="M52" i="148"/>
  <c r="K52" i="148"/>
  <c r="J52" i="148"/>
  <c r="I52" i="148"/>
  <c r="R51" i="148"/>
  <c r="N51" i="148"/>
  <c r="M51" i="148"/>
  <c r="K51" i="148"/>
  <c r="J51" i="148"/>
  <c r="I51" i="148"/>
  <c r="R50" i="148"/>
  <c r="N50" i="148"/>
  <c r="M50" i="148"/>
  <c r="K50" i="148"/>
  <c r="J50" i="148"/>
  <c r="I50" i="148"/>
  <c r="R49" i="148"/>
  <c r="N49" i="148"/>
  <c r="M49" i="148"/>
  <c r="K49" i="148"/>
  <c r="J49" i="148"/>
  <c r="I49" i="148"/>
  <c r="R48" i="148"/>
  <c r="N48" i="148"/>
  <c r="M48" i="148"/>
  <c r="K48" i="148"/>
  <c r="J48" i="148"/>
  <c r="I48" i="148"/>
  <c r="R47" i="148"/>
  <c r="N47" i="148"/>
  <c r="M47" i="148"/>
  <c r="O47" i="148" s="1"/>
  <c r="K47" i="148"/>
  <c r="J47" i="148"/>
  <c r="I47" i="148"/>
  <c r="R43" i="148"/>
  <c r="N43" i="148"/>
  <c r="M43" i="148"/>
  <c r="L43" i="148"/>
  <c r="K43" i="148"/>
  <c r="J43" i="148"/>
  <c r="I43" i="148"/>
  <c r="R42" i="148"/>
  <c r="N42" i="148"/>
  <c r="M42" i="148"/>
  <c r="L42" i="148"/>
  <c r="K42" i="148"/>
  <c r="J42" i="148"/>
  <c r="I42" i="148"/>
  <c r="R41" i="148"/>
  <c r="N41" i="148"/>
  <c r="M41" i="148"/>
  <c r="L41" i="148"/>
  <c r="K41" i="148"/>
  <c r="J41" i="148"/>
  <c r="I41" i="148"/>
  <c r="R40" i="148"/>
  <c r="Q40" i="148"/>
  <c r="N40" i="148"/>
  <c r="M40" i="148"/>
  <c r="L40" i="148"/>
  <c r="K40" i="148"/>
  <c r="J40" i="148"/>
  <c r="I40" i="148"/>
  <c r="M39" i="148"/>
  <c r="L39" i="148"/>
  <c r="K39" i="148"/>
  <c r="J39" i="148"/>
  <c r="I39" i="148"/>
  <c r="M38" i="148"/>
  <c r="L38" i="148"/>
  <c r="K38" i="148"/>
  <c r="J38" i="148"/>
  <c r="I38" i="148"/>
  <c r="M37" i="148"/>
  <c r="L37" i="148"/>
  <c r="K37" i="148"/>
  <c r="J37" i="148"/>
  <c r="I37" i="148"/>
  <c r="M36" i="148"/>
  <c r="L36" i="148"/>
  <c r="K36" i="148"/>
  <c r="J36" i="148"/>
  <c r="I36" i="148"/>
  <c r="M35" i="148"/>
  <c r="L35" i="148"/>
  <c r="K35" i="148"/>
  <c r="J35" i="148"/>
  <c r="I35" i="148"/>
  <c r="M34" i="148"/>
  <c r="L34" i="148"/>
  <c r="K34" i="148"/>
  <c r="J34" i="148"/>
  <c r="I34" i="148"/>
  <c r="M33" i="148"/>
  <c r="L33" i="148"/>
  <c r="K33" i="148"/>
  <c r="J33" i="148"/>
  <c r="I33" i="148"/>
  <c r="M32" i="148"/>
  <c r="L32" i="148"/>
  <c r="K32" i="148"/>
  <c r="J32" i="148"/>
  <c r="I32" i="148"/>
  <c r="M31" i="148"/>
  <c r="L31" i="148"/>
  <c r="K31" i="148"/>
  <c r="J31" i="148"/>
  <c r="I31" i="148"/>
  <c r="M30" i="148"/>
  <c r="L30" i="148"/>
  <c r="K30" i="148"/>
  <c r="J30" i="148"/>
  <c r="I30" i="148"/>
  <c r="M29" i="148"/>
  <c r="L29" i="148"/>
  <c r="K29" i="148"/>
  <c r="J29" i="148"/>
  <c r="I29" i="148"/>
  <c r="M28" i="148"/>
  <c r="L28" i="148"/>
  <c r="I28" i="148"/>
  <c r="M27" i="148"/>
  <c r="L27" i="148"/>
  <c r="I27" i="148"/>
  <c r="M26" i="148"/>
  <c r="L26" i="148"/>
  <c r="I26" i="148"/>
  <c r="M25" i="148"/>
  <c r="L25" i="148"/>
  <c r="I25" i="148"/>
  <c r="M24" i="148"/>
  <c r="L24" i="148"/>
  <c r="I24" i="148"/>
  <c r="M23" i="148"/>
  <c r="L23" i="148"/>
  <c r="I23" i="148"/>
  <c r="M22" i="148"/>
  <c r="L22" i="148"/>
  <c r="I22" i="148"/>
  <c r="M21" i="148"/>
  <c r="L21" i="148"/>
  <c r="I21" i="148"/>
  <c r="M20" i="148"/>
  <c r="L20" i="148"/>
  <c r="I20" i="148"/>
  <c r="M19" i="148"/>
  <c r="L19" i="148"/>
  <c r="I19" i="148"/>
  <c r="M18" i="148"/>
  <c r="L18" i="148"/>
  <c r="I18" i="148"/>
  <c r="M17" i="148"/>
  <c r="L17" i="148"/>
  <c r="I17" i="148"/>
  <c r="M16" i="148"/>
  <c r="L16" i="148"/>
  <c r="I16" i="148"/>
  <c r="I15" i="148"/>
  <c r="I14" i="148"/>
  <c r="I13" i="148"/>
  <c r="I12" i="148"/>
  <c r="I11" i="148"/>
  <c r="I10" i="148"/>
  <c r="I9" i="148"/>
  <c r="I8" i="148"/>
  <c r="I7" i="148"/>
  <c r="I6" i="148"/>
  <c r="S1117" i="148" l="1"/>
  <c r="O526" i="148"/>
  <c r="S533" i="148"/>
  <c r="S537" i="148"/>
  <c r="S544" i="148"/>
  <c r="S553" i="148"/>
  <c r="S557" i="148"/>
  <c r="S560" i="148"/>
  <c r="S568" i="148"/>
  <c r="S569" i="148"/>
  <c r="S585" i="148"/>
  <c r="S1083" i="148"/>
  <c r="S1091" i="148"/>
  <c r="S1107" i="148"/>
  <c r="P75" i="148"/>
  <c r="P88" i="148"/>
  <c r="P91" i="148"/>
  <c r="P108" i="148"/>
  <c r="P114" i="148"/>
  <c r="P126" i="148"/>
  <c r="P180" i="148"/>
  <c r="P224" i="148"/>
  <c r="P234" i="148"/>
  <c r="P244" i="148"/>
  <c r="P117" i="148"/>
  <c r="P138" i="148"/>
  <c r="P174" i="148"/>
  <c r="P268" i="148"/>
  <c r="O378" i="148"/>
  <c r="S1097" i="148"/>
  <c r="S522" i="148"/>
  <c r="S523" i="148"/>
  <c r="O550" i="148"/>
  <c r="O616" i="148"/>
  <c r="S219" i="148"/>
  <c r="S222" i="148"/>
  <c r="S223" i="148"/>
  <c r="S241" i="148"/>
  <c r="S245" i="148"/>
  <c r="S357" i="148"/>
  <c r="S385" i="148"/>
  <c r="S386" i="148"/>
  <c r="S403" i="148"/>
  <c r="S652" i="148"/>
  <c r="S676" i="148"/>
  <c r="S700" i="148"/>
  <c r="S716" i="148"/>
  <c r="S731" i="148"/>
  <c r="S746" i="148"/>
  <c r="S767" i="148"/>
  <c r="S799" i="148"/>
  <c r="S815" i="148"/>
  <c r="S891" i="148"/>
  <c r="O264" i="148"/>
  <c r="O282" i="148"/>
  <c r="O344" i="148"/>
  <c r="O360" i="148"/>
  <c r="P435" i="148"/>
  <c r="P439" i="148"/>
  <c r="S1123" i="148"/>
  <c r="O587" i="148"/>
  <c r="O1023" i="148"/>
  <c r="S436" i="148"/>
  <c r="O1116" i="148"/>
  <c r="S62" i="148"/>
  <c r="S65" i="148"/>
  <c r="S71" i="148"/>
  <c r="S134" i="148"/>
  <c r="S140" i="148"/>
  <c r="S170" i="148"/>
  <c r="S182" i="148"/>
  <c r="S242" i="148"/>
  <c r="S311" i="148"/>
  <c r="S525" i="148"/>
  <c r="O885" i="148"/>
  <c r="O1059" i="148"/>
  <c r="O1062" i="148"/>
  <c r="O376" i="148"/>
  <c r="S822" i="148"/>
  <c r="P181" i="148"/>
  <c r="P379" i="148"/>
  <c r="S1005" i="148"/>
  <c r="O1122" i="148"/>
  <c r="O34" i="148"/>
  <c r="S61" i="148"/>
  <c r="S70" i="148"/>
  <c r="S73" i="148"/>
  <c r="S118" i="148"/>
  <c r="S154" i="148"/>
  <c r="S157" i="148"/>
  <c r="S262" i="148"/>
  <c r="S274" i="148"/>
  <c r="S280" i="148"/>
  <c r="S286" i="148"/>
  <c r="S322" i="148"/>
  <c r="S334" i="148"/>
  <c r="O863" i="148"/>
  <c r="O893" i="148"/>
  <c r="S821" i="148"/>
  <c r="O19" i="148"/>
  <c r="O23" i="148"/>
  <c r="O27" i="148"/>
  <c r="O37" i="148"/>
  <c r="P438" i="148"/>
  <c r="S445" i="148"/>
  <c r="P1075" i="148"/>
  <c r="O1126" i="148"/>
  <c r="S186" i="148"/>
  <c r="S189" i="148"/>
  <c r="S204" i="148"/>
  <c r="S234" i="148"/>
  <c r="S258" i="148"/>
  <c r="S279" i="148"/>
  <c r="S306" i="148"/>
  <c r="O883" i="148"/>
  <c r="O287" i="148"/>
  <c r="O293" i="148"/>
  <c r="S841" i="148"/>
  <c r="P43" i="148"/>
  <c r="P299" i="148"/>
  <c r="P849" i="148"/>
  <c r="S922" i="148"/>
  <c r="P930" i="148"/>
  <c r="P933" i="148"/>
  <c r="S943" i="148"/>
  <c r="P1005" i="148"/>
  <c r="P1008" i="148"/>
  <c r="P1011" i="148"/>
  <c r="P1065" i="148"/>
  <c r="P1068" i="148"/>
  <c r="P95" i="148"/>
  <c r="P104" i="148"/>
  <c r="P107" i="148"/>
  <c r="P110" i="148"/>
  <c r="P116" i="148"/>
  <c r="S117" i="148"/>
  <c r="S129" i="148"/>
  <c r="S132" i="148"/>
  <c r="P146" i="148"/>
  <c r="S147" i="148"/>
  <c r="P149" i="148"/>
  <c r="P170" i="148"/>
  <c r="S180" i="148"/>
  <c r="P197" i="148"/>
  <c r="S301" i="148"/>
  <c r="O309" i="148"/>
  <c r="P315" i="148"/>
  <c r="O318" i="148"/>
  <c r="O321" i="148"/>
  <c r="O333" i="148"/>
  <c r="P363" i="148"/>
  <c r="O387" i="148"/>
  <c r="O399" i="148"/>
  <c r="O405" i="148"/>
  <c r="S596" i="148"/>
  <c r="S608" i="148"/>
  <c r="S614" i="148"/>
  <c r="S1087" i="148"/>
  <c r="S1099" i="148"/>
  <c r="S1111" i="148"/>
  <c r="S47" i="148"/>
  <c r="O77" i="148"/>
  <c r="O122" i="148"/>
  <c r="O188" i="148"/>
  <c r="S207" i="148"/>
  <c r="S216" i="148"/>
  <c r="O571" i="148"/>
  <c r="O592" i="148"/>
  <c r="O595" i="148"/>
  <c r="S656" i="148"/>
  <c r="S659" i="148"/>
  <c r="S662" i="148"/>
  <c r="S665" i="148"/>
  <c r="S689" i="148"/>
  <c r="S704" i="148"/>
  <c r="S707" i="148"/>
  <c r="S791" i="148"/>
  <c r="O920" i="148"/>
  <c r="O926" i="148"/>
  <c r="O935" i="148"/>
  <c r="O944" i="148"/>
  <c r="S975" i="148"/>
  <c r="S987" i="148"/>
  <c r="S996" i="148"/>
  <c r="S1014" i="148"/>
  <c r="S1029" i="148"/>
  <c r="S1032" i="148"/>
  <c r="S1041" i="148"/>
  <c r="O218" i="148"/>
  <c r="S420" i="148"/>
  <c r="S487" i="148"/>
  <c r="O489" i="148"/>
  <c r="O501" i="148"/>
  <c r="O706" i="148"/>
  <c r="O712" i="148"/>
  <c r="O730" i="148"/>
  <c r="O736" i="148"/>
  <c r="O757" i="148"/>
  <c r="O793" i="148"/>
  <c r="O805" i="148"/>
  <c r="P823" i="148"/>
  <c r="P829" i="148"/>
  <c r="P835" i="148"/>
  <c r="O838" i="148"/>
  <c r="S839" i="148"/>
  <c r="S851" i="148"/>
  <c r="S881" i="148"/>
  <c r="S887" i="148"/>
  <c r="O998" i="148"/>
  <c r="O1058" i="148"/>
  <c r="P124" i="148"/>
  <c r="P202" i="148"/>
  <c r="P251" i="148"/>
  <c r="S294" i="148"/>
  <c r="P296" i="148"/>
  <c r="P308" i="148"/>
  <c r="S309" i="148"/>
  <c r="O311" i="148"/>
  <c r="P332" i="148"/>
  <c r="S333" i="148"/>
  <c r="O353" i="148"/>
  <c r="O365" i="148"/>
  <c r="O371" i="148"/>
  <c r="P395" i="148"/>
  <c r="S580" i="148"/>
  <c r="S592" i="148"/>
  <c r="S905" i="148"/>
  <c r="S908" i="148"/>
  <c r="S935" i="148"/>
  <c r="S941" i="148"/>
  <c r="S947" i="148"/>
  <c r="O950" i="148"/>
  <c r="P953" i="148"/>
  <c r="P1081" i="148"/>
  <c r="S1120" i="148"/>
  <c r="S40" i="148"/>
  <c r="S49" i="148"/>
  <c r="S55" i="148"/>
  <c r="O160" i="148"/>
  <c r="O172" i="148"/>
  <c r="S215" i="148"/>
  <c r="S456" i="148"/>
  <c r="O555" i="148"/>
  <c r="O576" i="148"/>
  <c r="S769" i="148"/>
  <c r="S787" i="148"/>
  <c r="O916" i="148"/>
  <c r="O919" i="148"/>
  <c r="O928" i="148"/>
  <c r="O931" i="148"/>
  <c r="S995" i="148"/>
  <c r="S1058" i="148"/>
  <c r="S1061" i="148"/>
  <c r="P1083" i="148"/>
  <c r="S296" i="148"/>
  <c r="S326" i="148"/>
  <c r="S338" i="148"/>
  <c r="S344" i="148"/>
  <c r="S350" i="148"/>
  <c r="S374" i="148"/>
  <c r="S398" i="148"/>
  <c r="S416" i="148"/>
  <c r="S428" i="148"/>
  <c r="S480" i="148"/>
  <c r="O485" i="148"/>
  <c r="O488" i="148"/>
  <c r="O630" i="148"/>
  <c r="O636" i="148"/>
  <c r="O708" i="148"/>
  <c r="O723" i="148"/>
  <c r="O741" i="148"/>
  <c r="O789" i="148"/>
  <c r="O822" i="148"/>
  <c r="O825" i="148"/>
  <c r="P828" i="148"/>
  <c r="P831" i="148"/>
  <c r="O834" i="148"/>
  <c r="P837" i="148"/>
  <c r="P843" i="148"/>
  <c r="S853" i="148"/>
  <c r="S865" i="148"/>
  <c r="S871" i="148"/>
  <c r="S880" i="148"/>
  <c r="S883" i="148"/>
  <c r="S889" i="148"/>
  <c r="O1063" i="148"/>
  <c r="S1064" i="148"/>
  <c r="S1129" i="148"/>
  <c r="S190" i="148"/>
  <c r="O232" i="148"/>
  <c r="O271" i="148"/>
  <c r="O274" i="148"/>
  <c r="O277" i="148"/>
  <c r="O298" i="148"/>
  <c r="O301" i="148"/>
  <c r="S305" i="148"/>
  <c r="P331" i="148"/>
  <c r="O337" i="148"/>
  <c r="O394" i="148"/>
  <c r="P400" i="148"/>
  <c r="P403" i="148"/>
  <c r="P406" i="148"/>
  <c r="S600" i="148"/>
  <c r="S612" i="148"/>
  <c r="P798" i="148"/>
  <c r="P991" i="148"/>
  <c r="P1003" i="148"/>
  <c r="S1119" i="148"/>
  <c r="O69" i="148"/>
  <c r="S88" i="148"/>
  <c r="S54" i="148"/>
  <c r="S1057" i="148"/>
  <c r="P41" i="148"/>
  <c r="O50" i="148"/>
  <c r="P56" i="148"/>
  <c r="S57" i="148"/>
  <c r="P219" i="148"/>
  <c r="P283" i="148"/>
  <c r="O614" i="148"/>
  <c r="S624" i="148"/>
  <c r="S684" i="148"/>
  <c r="S738" i="148"/>
  <c r="O927" i="148"/>
  <c r="O942" i="148"/>
  <c r="S958" i="148"/>
  <c r="S1006" i="148"/>
  <c r="P1087" i="148"/>
  <c r="S1114" i="148"/>
  <c r="O1123" i="148"/>
  <c r="S343" i="148"/>
  <c r="S358" i="148"/>
  <c r="S376" i="148"/>
  <c r="P466" i="148"/>
  <c r="O493" i="148"/>
  <c r="O496" i="148"/>
  <c r="O632" i="148"/>
  <c r="O803" i="148"/>
  <c r="O821" i="148"/>
  <c r="S834" i="148"/>
  <c r="S861" i="148"/>
  <c r="S888" i="148"/>
  <c r="O978" i="148"/>
  <c r="O1008" i="148"/>
  <c r="P1071" i="148"/>
  <c r="P1077" i="148"/>
  <c r="O1118" i="148"/>
  <c r="S1128" i="148"/>
  <c r="O1130" i="148"/>
  <c r="N19" i="150"/>
  <c r="O82" i="148"/>
  <c r="S95" i="148"/>
  <c r="P131" i="148"/>
  <c r="O732" i="148"/>
  <c r="S751" i="148"/>
  <c r="S757" i="148"/>
  <c r="S760" i="148"/>
  <c r="O799" i="148"/>
  <c r="O817" i="148"/>
  <c r="S903" i="148"/>
  <c r="S909" i="148"/>
  <c r="S927" i="148"/>
  <c r="S936" i="148"/>
  <c r="O1002" i="148"/>
  <c r="P1048" i="148"/>
  <c r="S1105" i="148"/>
  <c r="S453" i="148"/>
  <c r="O743" i="148"/>
  <c r="S317" i="148"/>
  <c r="P490" i="148"/>
  <c r="S491" i="148"/>
  <c r="P499" i="148"/>
  <c r="P502" i="148"/>
  <c r="P593" i="148"/>
  <c r="O660" i="148"/>
  <c r="O666" i="148"/>
  <c r="O672" i="148"/>
  <c r="O31" i="148"/>
  <c r="P42" i="148"/>
  <c r="O112" i="148"/>
  <c r="P133" i="148"/>
  <c r="P148" i="148"/>
  <c r="O151" i="148"/>
  <c r="P154" i="148"/>
  <c r="O157" i="148"/>
  <c r="S158" i="148"/>
  <c r="P160" i="148"/>
  <c r="O163" i="148"/>
  <c r="S164" i="148"/>
  <c r="O243" i="148"/>
  <c r="S250" i="148"/>
  <c r="O255" i="148"/>
  <c r="O261" i="148"/>
  <c r="P267" i="148"/>
  <c r="O273" i="148"/>
  <c r="O328" i="148"/>
  <c r="O346" i="148"/>
  <c r="P352" i="148"/>
  <c r="O355" i="148"/>
  <c r="S362" i="148"/>
  <c r="P364" i="148"/>
  <c r="O367" i="148"/>
  <c r="O373" i="148"/>
  <c r="S405" i="148"/>
  <c r="P407" i="148"/>
  <c r="O413" i="148"/>
  <c r="S429" i="148"/>
  <c r="S457" i="148"/>
  <c r="P459" i="148"/>
  <c r="S472" i="148"/>
  <c r="S536" i="148"/>
  <c r="S548" i="148"/>
  <c r="P602" i="148"/>
  <c r="S630" i="148"/>
  <c r="S633" i="148"/>
  <c r="S639" i="148"/>
  <c r="S766" i="148"/>
  <c r="P771" i="148"/>
  <c r="S778" i="148"/>
  <c r="O780" i="148"/>
  <c r="O905" i="148"/>
  <c r="O911" i="148"/>
  <c r="O938" i="148"/>
  <c r="P1017" i="148"/>
  <c r="S1036" i="148"/>
  <c r="P1041" i="148"/>
  <c r="P1044" i="148"/>
  <c r="P1047" i="148"/>
  <c r="S1048" i="148"/>
  <c r="O1075" i="148"/>
  <c r="P1085" i="148"/>
  <c r="S1122" i="148"/>
  <c r="O1124" i="148"/>
  <c r="O662" i="148"/>
  <c r="O29" i="148"/>
  <c r="O66" i="148"/>
  <c r="S79" i="148"/>
  <c r="O193" i="148"/>
  <c r="S200" i="148"/>
  <c r="O221" i="148"/>
  <c r="S231" i="148"/>
  <c r="O234" i="148"/>
  <c r="P288" i="148"/>
  <c r="S298" i="148"/>
  <c r="O385" i="148"/>
  <c r="P388" i="148"/>
  <c r="P434" i="148"/>
  <c r="S444" i="148"/>
  <c r="O465" i="148"/>
  <c r="P529" i="148"/>
  <c r="O544" i="148"/>
  <c r="P562" i="148"/>
  <c r="S584" i="148"/>
  <c r="P617" i="148"/>
  <c r="P620" i="148"/>
  <c r="P626" i="148"/>
  <c r="P638" i="148"/>
  <c r="S657" i="148"/>
  <c r="S663" i="148"/>
  <c r="S666" i="148"/>
  <c r="S669" i="148"/>
  <c r="S690" i="148"/>
  <c r="S693" i="148"/>
  <c r="S705" i="148"/>
  <c r="S720" i="148"/>
  <c r="S729" i="148"/>
  <c r="S732" i="148"/>
  <c r="S741" i="148"/>
  <c r="S744" i="148"/>
  <c r="P756" i="148"/>
  <c r="O771" i="148"/>
  <c r="O777" i="148"/>
  <c r="S805" i="148"/>
  <c r="S808" i="148"/>
  <c r="O853" i="148"/>
  <c r="S854" i="148"/>
  <c r="S863" i="148"/>
  <c r="O871" i="148"/>
  <c r="P874" i="148"/>
  <c r="P962" i="148"/>
  <c r="O971" i="148"/>
  <c r="S978" i="148"/>
  <c r="P980" i="148"/>
  <c r="O983" i="148"/>
  <c r="P992" i="148"/>
  <c r="S993" i="148"/>
  <c r="P998" i="148"/>
  <c r="S1008" i="148"/>
  <c r="O1047" i="148"/>
  <c r="P1053" i="148"/>
  <c r="P1056" i="148"/>
  <c r="P1059" i="148"/>
  <c r="O1131" i="148"/>
  <c r="O722" i="148"/>
  <c r="O731" i="148"/>
  <c r="S899" i="148"/>
  <c r="O96" i="148"/>
  <c r="S133" i="148"/>
  <c r="S163" i="148"/>
  <c r="O168" i="148"/>
  <c r="S172" i="148"/>
  <c r="O177" i="148"/>
  <c r="O211" i="148"/>
  <c r="O245" i="148"/>
  <c r="O254" i="148"/>
  <c r="O266" i="148"/>
  <c r="O269" i="148"/>
  <c r="S285" i="148"/>
  <c r="O369" i="148"/>
  <c r="S391" i="148"/>
  <c r="S404" i="148"/>
  <c r="O409" i="148"/>
  <c r="P458" i="148"/>
  <c r="O461" i="148"/>
  <c r="O464" i="148"/>
  <c r="S468" i="148"/>
  <c r="O528" i="148"/>
  <c r="S532" i="148"/>
  <c r="O598" i="148"/>
  <c r="P601" i="148"/>
  <c r="P604" i="148"/>
  <c r="P610" i="148"/>
  <c r="S629" i="148"/>
  <c r="S635" i="148"/>
  <c r="S638" i="148"/>
  <c r="O755" i="148"/>
  <c r="O761" i="148"/>
  <c r="S792" i="148"/>
  <c r="O843" i="148"/>
  <c r="S847" i="148"/>
  <c r="O907" i="148"/>
  <c r="O937" i="148"/>
  <c r="S1020" i="148"/>
  <c r="S1062" i="148"/>
  <c r="O1074" i="148"/>
  <c r="P1089" i="148"/>
  <c r="S1116" i="148"/>
  <c r="O692" i="148"/>
  <c r="O710" i="148"/>
  <c r="O807" i="148"/>
  <c r="S69" i="148"/>
  <c r="S72" i="148"/>
  <c r="O144" i="148"/>
  <c r="O156" i="148"/>
  <c r="P186" i="148"/>
  <c r="P192" i="148"/>
  <c r="S710" i="148"/>
  <c r="S722" i="148"/>
  <c r="S740" i="148"/>
  <c r="O773" i="148"/>
  <c r="P867" i="148"/>
  <c r="P873" i="148"/>
  <c r="S874" i="148"/>
  <c r="S895" i="148"/>
  <c r="S965" i="148"/>
  <c r="S998" i="148"/>
  <c r="S1007" i="148"/>
  <c r="O1010" i="148"/>
  <c r="O1028" i="148"/>
  <c r="O1031" i="148"/>
  <c r="O1043" i="148"/>
  <c r="O1046" i="148"/>
  <c r="S1126" i="148"/>
  <c r="S349" i="148"/>
  <c r="O30" i="148"/>
  <c r="O89" i="148"/>
  <c r="S102" i="148"/>
  <c r="S105" i="148"/>
  <c r="S120" i="148"/>
  <c r="P165" i="148"/>
  <c r="P204" i="148"/>
  <c r="O223" i="148"/>
  <c r="S227" i="148"/>
  <c r="O229" i="148"/>
  <c r="S230" i="148"/>
  <c r="S318" i="148"/>
  <c r="S342" i="148"/>
  <c r="S483" i="148"/>
  <c r="O534" i="148"/>
  <c r="P585" i="148"/>
  <c r="S589" i="148"/>
  <c r="O634" i="148"/>
  <c r="S644" i="148"/>
  <c r="P685" i="148"/>
  <c r="P694" i="148"/>
  <c r="P718" i="148"/>
  <c r="P730" i="148"/>
  <c r="P736" i="148"/>
  <c r="P739" i="148"/>
  <c r="P745" i="148"/>
  <c r="S755" i="148"/>
  <c r="S798" i="148"/>
  <c r="O800" i="148"/>
  <c r="P803" i="148"/>
  <c r="P809" i="148"/>
  <c r="S810" i="148"/>
  <c r="O812" i="148"/>
  <c r="S843" i="148"/>
  <c r="O867" i="148"/>
  <c r="P894" i="148"/>
  <c r="S904" i="148"/>
  <c r="S919" i="148"/>
  <c r="S931" i="148"/>
  <c r="S937" i="148"/>
  <c r="S940" i="148"/>
  <c r="P955" i="148"/>
  <c r="O976" i="148"/>
  <c r="S1010" i="148"/>
  <c r="P1079" i="148"/>
  <c r="O1091" i="148"/>
  <c r="S1113" i="148"/>
  <c r="S496" i="148"/>
  <c r="O728" i="148"/>
  <c r="S138" i="148"/>
  <c r="S150" i="148"/>
  <c r="S156" i="148"/>
  <c r="S254" i="148"/>
  <c r="S278" i="148"/>
  <c r="O317" i="148"/>
  <c r="O335" i="148"/>
  <c r="O338" i="148"/>
  <c r="S366" i="148"/>
  <c r="S412" i="148"/>
  <c r="P491" i="148"/>
  <c r="O497" i="148"/>
  <c r="P503" i="148"/>
  <c r="P512" i="148"/>
  <c r="O518" i="148"/>
  <c r="O582" i="148"/>
  <c r="P594" i="148"/>
  <c r="O600" i="148"/>
  <c r="S613" i="148"/>
  <c r="O658" i="148"/>
  <c r="O664" i="148"/>
  <c r="O670" i="148"/>
  <c r="O694" i="148"/>
  <c r="O748" i="148"/>
  <c r="S773" i="148"/>
  <c r="S776" i="148"/>
  <c r="S785" i="148"/>
  <c r="O824" i="148"/>
  <c r="O836" i="148"/>
  <c r="O839" i="148"/>
  <c r="O900" i="148"/>
  <c r="O903" i="148"/>
  <c r="O924" i="148"/>
  <c r="P945" i="148"/>
  <c r="S952" i="148"/>
  <c r="S1046" i="148"/>
  <c r="S1068" i="148"/>
  <c r="O1115" i="148"/>
  <c r="S1118" i="148"/>
  <c r="O1120" i="148"/>
  <c r="S914" i="148"/>
  <c r="O101" i="148"/>
  <c r="P402" i="148"/>
  <c r="O429" i="148"/>
  <c r="S476" i="148"/>
  <c r="S552" i="148"/>
  <c r="O603" i="148"/>
  <c r="S628" i="148"/>
  <c r="S631" i="148"/>
  <c r="S634" i="148"/>
  <c r="O640" i="148"/>
  <c r="O668" i="148"/>
  <c r="S838" i="148"/>
  <c r="O33" i="148"/>
  <c r="S56" i="148"/>
  <c r="O58" i="148"/>
  <c r="P61" i="148"/>
  <c r="O73" i="148"/>
  <c r="S77" i="148"/>
  <c r="S86" i="148"/>
  <c r="S89" i="148"/>
  <c r="O140" i="148"/>
  <c r="O176" i="148"/>
  <c r="S198" i="148"/>
  <c r="O216" i="148"/>
  <c r="S232" i="148"/>
  <c r="P235" i="148"/>
  <c r="O250" i="148"/>
  <c r="O289" i="148"/>
  <c r="S293" i="148"/>
  <c r="P347" i="148"/>
  <c r="S381" i="148"/>
  <c r="O389" i="148"/>
  <c r="S390" i="148"/>
  <c r="S448" i="148"/>
  <c r="O469" i="148"/>
  <c r="O472" i="148"/>
  <c r="O539" i="148"/>
  <c r="O563" i="148"/>
  <c r="S576" i="148"/>
  <c r="S658" i="148"/>
  <c r="S667" i="148"/>
  <c r="S670" i="148"/>
  <c r="S688" i="148"/>
  <c r="S694" i="148"/>
  <c r="S706" i="148"/>
  <c r="S709" i="148"/>
  <c r="S721" i="148"/>
  <c r="S724" i="148"/>
  <c r="S730" i="148"/>
  <c r="O745" i="148"/>
  <c r="P748" i="148"/>
  <c r="P754" i="148"/>
  <c r="O775" i="148"/>
  <c r="O787" i="148"/>
  <c r="S803" i="148"/>
  <c r="O851" i="148"/>
  <c r="O854" i="148"/>
  <c r="O857" i="148"/>
  <c r="O872" i="148"/>
  <c r="P875" i="148"/>
  <c r="S879" i="148"/>
  <c r="P960" i="148"/>
  <c r="S961" i="148"/>
  <c r="P972" i="148"/>
  <c r="S973" i="148"/>
  <c r="O975" i="148"/>
  <c r="P984" i="148"/>
  <c r="O990" i="148"/>
  <c r="S994" i="148"/>
  <c r="P996" i="148"/>
  <c r="S1000" i="148"/>
  <c r="O1030" i="148"/>
  <c r="O1036" i="148"/>
  <c r="O1042" i="148"/>
  <c r="P1057" i="148"/>
  <c r="P1060" i="148"/>
  <c r="S1067" i="148"/>
  <c r="S1115" i="148"/>
  <c r="S1125" i="148"/>
  <c r="O1127" i="148"/>
  <c r="H58" i="7"/>
  <c r="O80" i="148"/>
  <c r="O124" i="148"/>
  <c r="O190" i="148"/>
  <c r="S197" i="148"/>
  <c r="O48" i="148"/>
  <c r="O57" i="148"/>
  <c r="O61" i="148"/>
  <c r="S93" i="148"/>
  <c r="S96" i="148"/>
  <c r="O98" i="148"/>
  <c r="S124" i="148"/>
  <c r="S127" i="148"/>
  <c r="O158" i="148"/>
  <c r="O161" i="148"/>
  <c r="S168" i="148"/>
  <c r="S184" i="148"/>
  <c r="O202" i="148"/>
  <c r="S80" i="148"/>
  <c r="O174" i="148"/>
  <c r="O42" i="148"/>
  <c r="S42" i="148"/>
  <c r="S64" i="148"/>
  <c r="P72" i="148"/>
  <c r="O85" i="148"/>
  <c r="S111" i="148"/>
  <c r="O126" i="148"/>
  <c r="O129" i="148"/>
  <c r="S136" i="148"/>
  <c r="S152" i="148"/>
  <c r="O170" i="148"/>
  <c r="S174" i="148"/>
  <c r="O186" i="148"/>
  <c r="O195" i="148"/>
  <c r="S196" i="148"/>
  <c r="O39" i="148"/>
  <c r="O41" i="148"/>
  <c r="S48" i="148"/>
  <c r="O104" i="148"/>
  <c r="O179" i="148"/>
  <c r="O53" i="148"/>
  <c r="O88" i="148"/>
  <c r="S101" i="148"/>
  <c r="P103" i="148"/>
  <c r="O138" i="148"/>
  <c r="O154" i="148"/>
  <c r="O192" i="148"/>
  <c r="P195" i="148"/>
  <c r="O64" i="148"/>
  <c r="S41" i="148"/>
  <c r="P59" i="148"/>
  <c r="S63" i="148"/>
  <c r="O72" i="148"/>
  <c r="O84" i="148"/>
  <c r="S85" i="148"/>
  <c r="P87" i="148"/>
  <c r="S104" i="148"/>
  <c r="O110" i="148"/>
  <c r="O119" i="148"/>
  <c r="P122" i="148"/>
  <c r="O125" i="148"/>
  <c r="S126" i="148"/>
  <c r="P128" i="148"/>
  <c r="S142" i="148"/>
  <c r="P144" i="148"/>
  <c r="O147" i="148"/>
  <c r="S148" i="148"/>
  <c r="S167" i="148"/>
  <c r="P172" i="148"/>
  <c r="S173" i="148"/>
  <c r="S183" i="148"/>
  <c r="P188" i="148"/>
  <c r="P71" i="148"/>
  <c r="P163" i="148"/>
  <c r="O17" i="148"/>
  <c r="O21" i="148"/>
  <c r="O25" i="148"/>
  <c r="O52" i="148"/>
  <c r="S53" i="148"/>
  <c r="P55" i="148"/>
  <c r="P93" i="148"/>
  <c r="S94" i="148"/>
  <c r="S97" i="148"/>
  <c r="S103" i="148"/>
  <c r="S110" i="148"/>
  <c r="P112" i="148"/>
  <c r="S113" i="148"/>
  <c r="O115" i="148"/>
  <c r="S116" i="148"/>
  <c r="P140" i="148"/>
  <c r="S141" i="148"/>
  <c r="S151" i="148"/>
  <c r="P156" i="148"/>
  <c r="P178" i="148"/>
  <c r="S179" i="148"/>
  <c r="O200" i="148"/>
  <c r="O225" i="148"/>
  <c r="O38" i="148"/>
  <c r="O74" i="148"/>
  <c r="P77" i="148"/>
  <c r="S78" i="148"/>
  <c r="S81" i="148"/>
  <c r="S87" i="148"/>
  <c r="O118" i="148"/>
  <c r="S122" i="148"/>
  <c r="S166" i="148"/>
  <c r="S188" i="148"/>
  <c r="S191" i="148"/>
  <c r="O247" i="148"/>
  <c r="S270" i="148"/>
  <c r="O291" i="148"/>
  <c r="O294" i="148"/>
  <c r="S295" i="148"/>
  <c r="O307" i="148"/>
  <c r="S314" i="148"/>
  <c r="O351" i="148"/>
  <c r="O357" i="148"/>
  <c r="S370" i="148"/>
  <c r="S389" i="148"/>
  <c r="S392" i="148"/>
  <c r="S399" i="148"/>
  <c r="O401" i="148"/>
  <c r="S408" i="148"/>
  <c r="S433" i="148"/>
  <c r="O457" i="148"/>
  <c r="S495" i="148"/>
  <c r="S504" i="148"/>
  <c r="S513" i="148"/>
  <c r="S516" i="148"/>
  <c r="S529" i="148"/>
  <c r="O531" i="148"/>
  <c r="O568" i="148"/>
  <c r="S572" i="148"/>
  <c r="O590" i="148"/>
  <c r="S597" i="148"/>
  <c r="S606" i="148"/>
  <c r="O624" i="148"/>
  <c r="O627" i="148"/>
  <c r="O639" i="148"/>
  <c r="S640" i="148"/>
  <c r="S643" i="148"/>
  <c r="S646" i="148"/>
  <c r="S655" i="148"/>
  <c r="O676" i="148"/>
  <c r="O682" i="148"/>
  <c r="S692" i="148"/>
  <c r="S698" i="148"/>
  <c r="S701" i="148"/>
  <c r="O716" i="148"/>
  <c r="S723" i="148"/>
  <c r="O725" i="148"/>
  <c r="O785" i="148"/>
  <c r="S855" i="148"/>
  <c r="S868" i="148"/>
  <c r="O877" i="148"/>
  <c r="O880" i="148"/>
  <c r="S894" i="148"/>
  <c r="O896" i="148"/>
  <c r="S897" i="148"/>
  <c r="S900" i="148"/>
  <c r="S925" i="148"/>
  <c r="O947" i="148"/>
  <c r="S948" i="148"/>
  <c r="S954" i="148"/>
  <c r="S986" i="148"/>
  <c r="S999" i="148"/>
  <c r="S1031" i="148"/>
  <c r="S1037" i="148"/>
  <c r="S1044" i="148"/>
  <c r="S1050" i="148"/>
  <c r="O1066" i="148"/>
  <c r="S1070" i="148"/>
  <c r="P912" i="148"/>
  <c r="P921" i="148"/>
  <c r="P963" i="148"/>
  <c r="P985" i="148"/>
  <c r="O209" i="148"/>
  <c r="P212" i="148"/>
  <c r="O215" i="148"/>
  <c r="S238" i="148"/>
  <c r="P256" i="148"/>
  <c r="S257" i="148"/>
  <c r="O259" i="148"/>
  <c r="O262" i="148"/>
  <c r="S263" i="148"/>
  <c r="O275" i="148"/>
  <c r="S282" i="148"/>
  <c r="O319" i="148"/>
  <c r="O325" i="148"/>
  <c r="O341" i="148"/>
  <c r="S382" i="148"/>
  <c r="P419" i="148"/>
  <c r="P450" i="148"/>
  <c r="P475" i="148"/>
  <c r="S479" i="148"/>
  <c r="O506" i="148"/>
  <c r="P521" i="148"/>
  <c r="P524" i="148"/>
  <c r="P546" i="148"/>
  <c r="O552" i="148"/>
  <c r="S556" i="148"/>
  <c r="O574" i="148"/>
  <c r="P577" i="148"/>
  <c r="S581" i="148"/>
  <c r="O608" i="148"/>
  <c r="O611" i="148"/>
  <c r="S621" i="148"/>
  <c r="O642" i="148"/>
  <c r="O648" i="148"/>
  <c r="O654" i="148"/>
  <c r="P669" i="148"/>
  <c r="P672" i="148"/>
  <c r="S673" i="148"/>
  <c r="S682" i="148"/>
  <c r="S685" i="148"/>
  <c r="O700" i="148"/>
  <c r="P709" i="148"/>
  <c r="P712" i="148"/>
  <c r="S713" i="148"/>
  <c r="O753" i="148"/>
  <c r="P788" i="148"/>
  <c r="O794" i="148"/>
  <c r="P797" i="148"/>
  <c r="S823" i="148"/>
  <c r="P841" i="148"/>
  <c r="S845" i="148"/>
  <c r="S858" i="148"/>
  <c r="S877" i="148"/>
  <c r="O899" i="148"/>
  <c r="O908" i="148"/>
  <c r="P911" i="148"/>
  <c r="S938" i="148"/>
  <c r="O940" i="148"/>
  <c r="S944" i="148"/>
  <c r="P947" i="148"/>
  <c r="S966" i="148"/>
  <c r="O988" i="148"/>
  <c r="S1002" i="148"/>
  <c r="S1021" i="148"/>
  <c r="O1039" i="148"/>
  <c r="S1040" i="148"/>
  <c r="S1043" i="148"/>
  <c r="S1053" i="148"/>
  <c r="S1060" i="148"/>
  <c r="S1066" i="148"/>
  <c r="O237" i="148"/>
  <c r="S247" i="148"/>
  <c r="S266" i="148"/>
  <c r="P300" i="148"/>
  <c r="O303" i="148"/>
  <c r="O306" i="148"/>
  <c r="S310" i="148"/>
  <c r="P328" i="148"/>
  <c r="O350" i="148"/>
  <c r="S354" i="148"/>
  <c r="S360" i="148"/>
  <c r="O381" i="148"/>
  <c r="O397" i="148"/>
  <c r="P422" i="148"/>
  <c r="O425" i="148"/>
  <c r="O453" i="148"/>
  <c r="O456" i="148"/>
  <c r="S460" i="148"/>
  <c r="O481" i="148"/>
  <c r="O536" i="148"/>
  <c r="S540" i="148"/>
  <c r="O558" i="148"/>
  <c r="S565" i="148"/>
  <c r="S593" i="148"/>
  <c r="S605" i="148"/>
  <c r="S636" i="148"/>
  <c r="S642" i="148"/>
  <c r="S651" i="148"/>
  <c r="S654" i="148"/>
  <c r="O678" i="148"/>
  <c r="O684" i="148"/>
  <c r="S697" i="148"/>
  <c r="S703" i="148"/>
  <c r="O718" i="148"/>
  <c r="O727" i="148"/>
  <c r="S728" i="148"/>
  <c r="O762" i="148"/>
  <c r="S782" i="148"/>
  <c r="O784" i="148"/>
  <c r="O791" i="148"/>
  <c r="O806" i="148"/>
  <c r="S807" i="148"/>
  <c r="S813" i="148"/>
  <c r="S829" i="148"/>
  <c r="O847" i="148"/>
  <c r="O850" i="148"/>
  <c r="O879" i="148"/>
  <c r="S896" i="148"/>
  <c r="S924" i="148"/>
  <c r="O943" i="148"/>
  <c r="O949" i="148"/>
  <c r="S950" i="148"/>
  <c r="S956" i="148"/>
  <c r="P975" i="148"/>
  <c r="O1020" i="148"/>
  <c r="P1045" i="148"/>
  <c r="S1049" i="148"/>
  <c r="O1055" i="148"/>
  <c r="S1056" i="148"/>
  <c r="S1059" i="148"/>
  <c r="S1069" i="148"/>
  <c r="S1076" i="148"/>
  <c r="O312" i="148"/>
  <c r="O362" i="148"/>
  <c r="S441" i="148"/>
  <c r="S469" i="148"/>
  <c r="S503" i="148"/>
  <c r="O690" i="148"/>
  <c r="S985" i="148"/>
  <c r="S206" i="148"/>
  <c r="P208" i="148"/>
  <c r="S209" i="148"/>
  <c r="S218" i="148"/>
  <c r="O296" i="148"/>
  <c r="S328" i="148"/>
  <c r="P340" i="148"/>
  <c r="S341" i="148"/>
  <c r="O343" i="148"/>
  <c r="S378" i="148"/>
  <c r="S394" i="148"/>
  <c r="P418" i="148"/>
  <c r="O449" i="148"/>
  <c r="P474" i="148"/>
  <c r="S475" i="148"/>
  <c r="O477" i="148"/>
  <c r="O480" i="148"/>
  <c r="S484" i="148"/>
  <c r="O508" i="148"/>
  <c r="O514" i="148"/>
  <c r="O520" i="148"/>
  <c r="O523" i="148"/>
  <c r="S524" i="148"/>
  <c r="O542" i="148"/>
  <c r="P545" i="148"/>
  <c r="S549" i="148"/>
  <c r="S577" i="148"/>
  <c r="O579" i="148"/>
  <c r="S611" i="148"/>
  <c r="S620" i="148"/>
  <c r="S623" i="148"/>
  <c r="O644" i="148"/>
  <c r="O650" i="148"/>
  <c r="S660" i="148"/>
  <c r="S672" i="148"/>
  <c r="S678" i="148"/>
  <c r="S681" i="148"/>
  <c r="O702" i="148"/>
  <c r="S712" i="148"/>
  <c r="S715" i="148"/>
  <c r="S718" i="148"/>
  <c r="O733" i="148"/>
  <c r="S737" i="148"/>
  <c r="S750" i="148"/>
  <c r="O752" i="148"/>
  <c r="O759" i="148"/>
  <c r="O768" i="148"/>
  <c r="O774" i="148"/>
  <c r="S775" i="148"/>
  <c r="P777" i="148"/>
  <c r="S781" i="148"/>
  <c r="S794" i="148"/>
  <c r="O796" i="148"/>
  <c r="S797" i="148"/>
  <c r="O815" i="148"/>
  <c r="O818" i="148"/>
  <c r="S825" i="148"/>
  <c r="O837" i="148"/>
  <c r="O840" i="148"/>
  <c r="O862" i="148"/>
  <c r="O869" i="148"/>
  <c r="S876" i="148"/>
  <c r="P885" i="148"/>
  <c r="S886" i="148"/>
  <c r="O888" i="148"/>
  <c r="P910" i="148"/>
  <c r="S911" i="148"/>
  <c r="S917" i="148"/>
  <c r="O933" i="148"/>
  <c r="O946" i="148"/>
  <c r="S962" i="148"/>
  <c r="S968" i="148"/>
  <c r="O1000" i="148"/>
  <c r="O1038" i="148"/>
  <c r="S1065" i="148"/>
  <c r="O1071" i="148"/>
  <c r="S1072" i="148"/>
  <c r="S1075" i="148"/>
  <c r="S202" i="148"/>
  <c r="O208" i="148"/>
  <c r="P236" i="148"/>
  <c r="O239" i="148"/>
  <c r="O242" i="148"/>
  <c r="S246" i="148"/>
  <c r="P264" i="148"/>
  <c r="O280" i="148"/>
  <c r="O286" i="148"/>
  <c r="S290" i="148"/>
  <c r="O305" i="148"/>
  <c r="S312" i="148"/>
  <c r="P330" i="148"/>
  <c r="O349" i="148"/>
  <c r="S359" i="148"/>
  <c r="O383" i="148"/>
  <c r="O421" i="148"/>
  <c r="P483" i="148"/>
  <c r="O560" i="148"/>
  <c r="S564" i="148"/>
  <c r="O696" i="148"/>
  <c r="P746" i="148"/>
  <c r="O809" i="148"/>
  <c r="P812" i="148"/>
  <c r="O831" i="148"/>
  <c r="S1045" i="148"/>
  <c r="S1052" i="148"/>
  <c r="P1067" i="148"/>
  <c r="S604" i="148"/>
  <c r="S607" i="148"/>
  <c r="O622" i="148"/>
  <c r="S647" i="148"/>
  <c r="S650" i="148"/>
  <c r="S653" i="148"/>
  <c r="O656" i="148"/>
  <c r="O674" i="148"/>
  <c r="O680" i="148"/>
  <c r="O686" i="148"/>
  <c r="S696" i="148"/>
  <c r="S699" i="148"/>
  <c r="S702" i="148"/>
  <c r="O714" i="148"/>
  <c r="O742" i="148"/>
  <c r="S743" i="148"/>
  <c r="S749" i="148"/>
  <c r="S762" i="148"/>
  <c r="O764" i="148"/>
  <c r="S765" i="148"/>
  <c r="O827" i="148"/>
  <c r="S831" i="148"/>
  <c r="S837" i="148"/>
  <c r="S850" i="148"/>
  <c r="S869" i="148"/>
  <c r="S901" i="148"/>
  <c r="S923" i="148"/>
  <c r="S981" i="148"/>
  <c r="O1022" i="148"/>
  <c r="S1023" i="148"/>
  <c r="S1038" i="148"/>
  <c r="O1051" i="148"/>
  <c r="O1054" i="148"/>
  <c r="O204" i="148"/>
  <c r="S214" i="148"/>
  <c r="P232" i="148"/>
  <c r="O248" i="148"/>
  <c r="P298" i="148"/>
  <c r="O314" i="148"/>
  <c r="S337" i="148"/>
  <c r="S365" i="148"/>
  <c r="S371" i="148"/>
  <c r="S437" i="148"/>
  <c r="S465" i="148"/>
  <c r="P467" i="148"/>
  <c r="P498" i="148"/>
  <c r="S499" i="148"/>
  <c r="P504" i="148"/>
  <c r="S508" i="148"/>
  <c r="P510" i="148"/>
  <c r="P538" i="148"/>
  <c r="O566" i="148"/>
  <c r="P569" i="148"/>
  <c r="S573" i="148"/>
  <c r="P646" i="148"/>
  <c r="P701" i="148"/>
  <c r="P704" i="148"/>
  <c r="P780" i="148"/>
  <c r="P817" i="148"/>
  <c r="P855" i="148"/>
  <c r="P903" i="148"/>
  <c r="P922" i="148"/>
  <c r="P935" i="148"/>
  <c r="O948" i="148"/>
  <c r="P973" i="148"/>
  <c r="S974" i="148"/>
  <c r="O996" i="148"/>
  <c r="P210" i="148"/>
  <c r="O213" i="148"/>
  <c r="O257" i="148"/>
  <c r="S264" i="148"/>
  <c r="P276" i="148"/>
  <c r="S277" i="148"/>
  <c r="O279" i="148"/>
  <c r="S302" i="148"/>
  <c r="P320" i="148"/>
  <c r="O323" i="148"/>
  <c r="O326" i="148"/>
  <c r="S327" i="148"/>
  <c r="O330" i="148"/>
  <c r="O339" i="148"/>
  <c r="S346" i="148"/>
  <c r="P376" i="148"/>
  <c r="O392" i="148"/>
  <c r="O417" i="148"/>
  <c r="S424" i="148"/>
  <c r="S449" i="148"/>
  <c r="P451" i="148"/>
  <c r="O473" i="148"/>
  <c r="O510" i="148"/>
  <c r="S520" i="148"/>
  <c r="P522" i="148"/>
  <c r="S545" i="148"/>
  <c r="O547" i="148"/>
  <c r="O584" i="148"/>
  <c r="S588" i="148"/>
  <c r="O606" i="148"/>
  <c r="P609" i="148"/>
  <c r="P612" i="148"/>
  <c r="S622" i="148"/>
  <c r="O646" i="148"/>
  <c r="O652" i="148"/>
  <c r="S668" i="148"/>
  <c r="S674" i="148"/>
  <c r="S677" i="148"/>
  <c r="S686" i="148"/>
  <c r="O698" i="148"/>
  <c r="S708" i="148"/>
  <c r="P710" i="148"/>
  <c r="S714" i="148"/>
  <c r="S717" i="148"/>
  <c r="O720" i="148"/>
  <c r="O735" i="148"/>
  <c r="P773" i="148"/>
  <c r="P795" i="148"/>
  <c r="S818" i="148"/>
  <c r="O820" i="148"/>
  <c r="S827" i="148"/>
  <c r="O833" i="148"/>
  <c r="O849" i="148"/>
  <c r="P852" i="148"/>
  <c r="O858" i="148"/>
  <c r="P861" i="148"/>
  <c r="S875" i="148"/>
  <c r="O897" i="148"/>
  <c r="S907" i="148"/>
  <c r="P909" i="148"/>
  <c r="S916" i="148"/>
  <c r="S945" i="148"/>
  <c r="S967" i="148"/>
  <c r="S990" i="148"/>
  <c r="S1013" i="148"/>
  <c r="S1022" i="148"/>
  <c r="P1043" i="148"/>
  <c r="O1050" i="148"/>
  <c r="S1054" i="148"/>
  <c r="P1063" i="148"/>
  <c r="O1067" i="148"/>
  <c r="O1070" i="148"/>
  <c r="P1073" i="148"/>
  <c r="O222" i="148"/>
  <c r="S226" i="148"/>
  <c r="O241" i="148"/>
  <c r="S248" i="148"/>
  <c r="P266" i="148"/>
  <c r="O285" i="148"/>
  <c r="S330" i="148"/>
  <c r="P423" i="148"/>
  <c r="P482" i="148"/>
  <c r="P553" i="148"/>
  <c r="P618" i="148"/>
  <c r="P688" i="148"/>
  <c r="P120" i="148"/>
  <c r="O120" i="148"/>
  <c r="P166" i="148"/>
  <c r="O166" i="148"/>
  <c r="P184" i="148"/>
  <c r="O184" i="148"/>
  <c r="P258" i="148"/>
  <c r="O258" i="148"/>
  <c r="P322" i="148"/>
  <c r="O322" i="148"/>
  <c r="P342" i="148"/>
  <c r="O342" i="148"/>
  <c r="P420" i="148"/>
  <c r="O420" i="148"/>
  <c r="P65" i="148"/>
  <c r="O65" i="148"/>
  <c r="P109" i="148"/>
  <c r="O109" i="148"/>
  <c r="O173" i="148"/>
  <c r="P173" i="148"/>
  <c r="P238" i="148"/>
  <c r="O238" i="148"/>
  <c r="O263" i="148"/>
  <c r="P263" i="148"/>
  <c r="P302" i="148"/>
  <c r="O302" i="148"/>
  <c r="O327" i="148"/>
  <c r="P327" i="148"/>
  <c r="P60" i="148"/>
  <c r="O60" i="148"/>
  <c r="P81" i="148"/>
  <c r="O81" i="148"/>
  <c r="P92" i="148"/>
  <c r="O92" i="148"/>
  <c r="P134" i="148"/>
  <c r="O134" i="148"/>
  <c r="P152" i="148"/>
  <c r="O152" i="148"/>
  <c r="P198" i="148"/>
  <c r="O198" i="148"/>
  <c r="P226" i="148"/>
  <c r="O226" i="148"/>
  <c r="P246" i="148"/>
  <c r="O246" i="148"/>
  <c r="P290" i="148"/>
  <c r="O290" i="148"/>
  <c r="P310" i="148"/>
  <c r="O310" i="148"/>
  <c r="P354" i="148"/>
  <c r="O354" i="148"/>
  <c r="P390" i="148"/>
  <c r="O390" i="148"/>
  <c r="P404" i="148"/>
  <c r="O404" i="148"/>
  <c r="P436" i="148"/>
  <c r="O436" i="148"/>
  <c r="P214" i="148"/>
  <c r="O214" i="148"/>
  <c r="P278" i="148"/>
  <c r="O278" i="148"/>
  <c r="O375" i="148"/>
  <c r="P375" i="148"/>
  <c r="P452" i="148"/>
  <c r="O452" i="148"/>
  <c r="P49" i="148"/>
  <c r="O49" i="148"/>
  <c r="O35" i="148"/>
  <c r="P76" i="148"/>
  <c r="O76" i="148"/>
  <c r="P97" i="148"/>
  <c r="O97" i="148"/>
  <c r="O141" i="148"/>
  <c r="P141" i="148"/>
  <c r="O205" i="148"/>
  <c r="P205" i="148"/>
  <c r="O231" i="148"/>
  <c r="P231" i="148"/>
  <c r="P270" i="148"/>
  <c r="O270" i="148"/>
  <c r="O295" i="148"/>
  <c r="P295" i="148"/>
  <c r="P334" i="148"/>
  <c r="O334" i="148"/>
  <c r="P476" i="148"/>
  <c r="O476" i="148"/>
  <c r="O16" i="148"/>
  <c r="O20" i="148"/>
  <c r="O24" i="148"/>
  <c r="O28" i="148"/>
  <c r="O36" i="148"/>
  <c r="S50" i="148"/>
  <c r="S51" i="148"/>
  <c r="O54" i="148"/>
  <c r="S60" i="148"/>
  <c r="S66" i="148"/>
  <c r="S67" i="148"/>
  <c r="O70" i="148"/>
  <c r="S76" i="148"/>
  <c r="S82" i="148"/>
  <c r="S83" i="148"/>
  <c r="O86" i="148"/>
  <c r="S92" i="148"/>
  <c r="S98" i="148"/>
  <c r="S99" i="148"/>
  <c r="O102" i="148"/>
  <c r="O108" i="148"/>
  <c r="S109" i="148"/>
  <c r="O114" i="148"/>
  <c r="O116" i="148"/>
  <c r="O117" i="148"/>
  <c r="O121" i="148"/>
  <c r="S121" i="148"/>
  <c r="O123" i="148"/>
  <c r="P125" i="148"/>
  <c r="O127" i="148"/>
  <c r="S128" i="148"/>
  <c r="S130" i="148"/>
  <c r="S135" i="148"/>
  <c r="P139" i="148"/>
  <c r="P142" i="148"/>
  <c r="O146" i="148"/>
  <c r="O148" i="148"/>
  <c r="O149" i="148"/>
  <c r="S149" i="148"/>
  <c r="O153" i="148"/>
  <c r="O155" i="148"/>
  <c r="S155" i="148"/>
  <c r="P157" i="148"/>
  <c r="O159" i="148"/>
  <c r="S159" i="148"/>
  <c r="S160" i="148"/>
  <c r="S162" i="148"/>
  <c r="P171" i="148"/>
  <c r="O178" i="148"/>
  <c r="O180" i="148"/>
  <c r="O181" i="148"/>
  <c r="S181" i="148"/>
  <c r="O185" i="148"/>
  <c r="O187" i="148"/>
  <c r="S187" i="148"/>
  <c r="P189" i="148"/>
  <c r="O191" i="148"/>
  <c r="S192" i="148"/>
  <c r="S194" i="148"/>
  <c r="S199" i="148"/>
  <c r="P203" i="148"/>
  <c r="S205" i="148"/>
  <c r="P206" i="148"/>
  <c r="O210" i="148"/>
  <c r="O212" i="148"/>
  <c r="P215" i="148"/>
  <c r="O219" i="148"/>
  <c r="S220" i="148"/>
  <c r="S221" i="148"/>
  <c r="O224" i="148"/>
  <c r="S228" i="148"/>
  <c r="O233" i="148"/>
  <c r="O236" i="148"/>
  <c r="S239" i="148"/>
  <c r="S240" i="148"/>
  <c r="O244" i="148"/>
  <c r="P247" i="148"/>
  <c r="O251" i="148"/>
  <c r="S251" i="148"/>
  <c r="S252" i="148"/>
  <c r="S253" i="148"/>
  <c r="O256" i="148"/>
  <c r="S259" i="148"/>
  <c r="S260" i="148"/>
  <c r="O265" i="148"/>
  <c r="S265" i="148"/>
  <c r="O268" i="148"/>
  <c r="S271" i="148"/>
  <c r="S272" i="148"/>
  <c r="S273" i="148"/>
  <c r="O276" i="148"/>
  <c r="P279" i="148"/>
  <c r="O283" i="148"/>
  <c r="S283" i="148"/>
  <c r="S284" i="148"/>
  <c r="O288" i="148"/>
  <c r="S291" i="148"/>
  <c r="S292" i="148"/>
  <c r="O297" i="148"/>
  <c r="S297" i="148"/>
  <c r="O300" i="148"/>
  <c r="S303" i="148"/>
  <c r="S304" i="148"/>
  <c r="O308" i="148"/>
  <c r="P311" i="148"/>
  <c r="O315" i="148"/>
  <c r="S315" i="148"/>
  <c r="S316" i="148"/>
  <c r="O320" i="148"/>
  <c r="S323" i="148"/>
  <c r="S324" i="148"/>
  <c r="O329" i="148"/>
  <c r="O332" i="148"/>
  <c r="S335" i="148"/>
  <c r="S336" i="148"/>
  <c r="O340" i="148"/>
  <c r="P343" i="148"/>
  <c r="O347" i="148"/>
  <c r="S347" i="148"/>
  <c r="S348" i="148"/>
  <c r="O352" i="148"/>
  <c r="S355" i="148"/>
  <c r="S356" i="148"/>
  <c r="P366" i="148"/>
  <c r="O366" i="148"/>
  <c r="O391" i="148"/>
  <c r="P391" i="148"/>
  <c r="P408" i="148"/>
  <c r="O408" i="148"/>
  <c r="P424" i="148"/>
  <c r="O424" i="148"/>
  <c r="P440" i="148"/>
  <c r="O440" i="148"/>
  <c r="P484" i="148"/>
  <c r="O484" i="148"/>
  <c r="P556" i="148"/>
  <c r="O556" i="148"/>
  <c r="P588" i="148"/>
  <c r="O588" i="148"/>
  <c r="P52" i="148"/>
  <c r="P57" i="148"/>
  <c r="P73" i="148"/>
  <c r="P84" i="148"/>
  <c r="P89" i="148"/>
  <c r="P130" i="148"/>
  <c r="P132" i="148"/>
  <c r="P136" i="148"/>
  <c r="P147" i="148"/>
  <c r="P150" i="148"/>
  <c r="P168" i="148"/>
  <c r="P179" i="148"/>
  <c r="P182" i="148"/>
  <c r="P194" i="148"/>
  <c r="P196" i="148"/>
  <c r="P200" i="148"/>
  <c r="P211" i="148"/>
  <c r="P220" i="148"/>
  <c r="P222" i="148"/>
  <c r="P228" i="148"/>
  <c r="P230" i="148"/>
  <c r="P240" i="148"/>
  <c r="P242" i="148"/>
  <c r="P252" i="148"/>
  <c r="P254" i="148"/>
  <c r="P260" i="148"/>
  <c r="P262" i="148"/>
  <c r="P272" i="148"/>
  <c r="P274" i="148"/>
  <c r="P284" i="148"/>
  <c r="P286" i="148"/>
  <c r="P292" i="148"/>
  <c r="P294" i="148"/>
  <c r="P304" i="148"/>
  <c r="P306" i="148"/>
  <c r="P316" i="148"/>
  <c r="P318" i="148"/>
  <c r="P324" i="148"/>
  <c r="P326" i="148"/>
  <c r="P336" i="148"/>
  <c r="P338" i="148"/>
  <c r="P348" i="148"/>
  <c r="P350" i="148"/>
  <c r="P356" i="148"/>
  <c r="P358" i="148"/>
  <c r="O358" i="148"/>
  <c r="P368" i="148"/>
  <c r="P370" i="148"/>
  <c r="O370" i="148"/>
  <c r="P380" i="148"/>
  <c r="P382" i="148"/>
  <c r="O382" i="148"/>
  <c r="P410" i="148"/>
  <c r="P411" i="148"/>
  <c r="P412" i="148"/>
  <c r="O412" i="148"/>
  <c r="P426" i="148"/>
  <c r="P427" i="148"/>
  <c r="P428" i="148"/>
  <c r="O428" i="148"/>
  <c r="P442" i="148"/>
  <c r="P443" i="148"/>
  <c r="P444" i="148"/>
  <c r="O444" i="148"/>
  <c r="P460" i="148"/>
  <c r="O460" i="148"/>
  <c r="P492" i="148"/>
  <c r="O492" i="148"/>
  <c r="P51" i="148"/>
  <c r="P67" i="148"/>
  <c r="P68" i="148"/>
  <c r="P83" i="148"/>
  <c r="P99" i="148"/>
  <c r="P100" i="148"/>
  <c r="P105" i="148"/>
  <c r="P115" i="148"/>
  <c r="P118" i="148"/>
  <c r="P162" i="148"/>
  <c r="P164" i="148"/>
  <c r="O18" i="148"/>
  <c r="O22" i="148"/>
  <c r="O26" i="148"/>
  <c r="O32" i="148"/>
  <c r="O40" i="148"/>
  <c r="S43" i="148"/>
  <c r="P47" i="148"/>
  <c r="P48" i="148"/>
  <c r="S52" i="148"/>
  <c r="P53" i="148"/>
  <c r="S58" i="148"/>
  <c r="S59" i="148"/>
  <c r="O62" i="148"/>
  <c r="P63" i="148"/>
  <c r="P64" i="148"/>
  <c r="S68" i="148"/>
  <c r="P69" i="148"/>
  <c r="S74" i="148"/>
  <c r="S75" i="148"/>
  <c r="O78" i="148"/>
  <c r="P79" i="148"/>
  <c r="P80" i="148"/>
  <c r="S84" i="148"/>
  <c r="P85" i="148"/>
  <c r="S90" i="148"/>
  <c r="S91" i="148"/>
  <c r="O94" i="148"/>
  <c r="P96" i="148"/>
  <c r="S100" i="148"/>
  <c r="P101" i="148"/>
  <c r="S106" i="148"/>
  <c r="S108" i="148"/>
  <c r="O111" i="148"/>
  <c r="S112" i="148"/>
  <c r="S114" i="148"/>
  <c r="S119" i="148"/>
  <c r="P123" i="148"/>
  <c r="S125" i="148"/>
  <c r="O130" i="148"/>
  <c r="O132" i="148"/>
  <c r="O133" i="148"/>
  <c r="O137" i="148"/>
  <c r="S137" i="148"/>
  <c r="O139" i="148"/>
  <c r="S139" i="148"/>
  <c r="O143" i="148"/>
  <c r="S143" i="148"/>
  <c r="S144" i="148"/>
  <c r="S146" i="148"/>
  <c r="P155" i="148"/>
  <c r="P158" i="148"/>
  <c r="O162" i="148"/>
  <c r="O164" i="148"/>
  <c r="O165" i="148"/>
  <c r="S165" i="148"/>
  <c r="O169" i="148"/>
  <c r="O171" i="148"/>
  <c r="S171" i="148"/>
  <c r="O175" i="148"/>
  <c r="S175" i="148"/>
  <c r="P176" i="148"/>
  <c r="S176" i="148"/>
  <c r="S178" i="148"/>
  <c r="P187" i="148"/>
  <c r="P190" i="148"/>
  <c r="O194" i="148"/>
  <c r="O196" i="148"/>
  <c r="O197" i="148"/>
  <c r="O201" i="148"/>
  <c r="S201" i="148"/>
  <c r="O203" i="148"/>
  <c r="O207" i="148"/>
  <c r="S208" i="148"/>
  <c r="S210" i="148"/>
  <c r="S212" i="148"/>
  <c r="P216" i="148"/>
  <c r="O217" i="148"/>
  <c r="P218" i="148"/>
  <c r="O220" i="148"/>
  <c r="S224" i="148"/>
  <c r="S225" i="148"/>
  <c r="O228" i="148"/>
  <c r="O235" i="148"/>
  <c r="S235" i="148"/>
  <c r="S236" i="148"/>
  <c r="S237" i="148"/>
  <c r="O240" i="148"/>
  <c r="S243" i="148"/>
  <c r="S244" i="148"/>
  <c r="P248" i="148"/>
  <c r="O249" i="148"/>
  <c r="S249" i="148"/>
  <c r="P250" i="148"/>
  <c r="O252" i="148"/>
  <c r="S255" i="148"/>
  <c r="S256" i="148"/>
  <c r="O260" i="148"/>
  <c r="O267" i="148"/>
  <c r="S267" i="148"/>
  <c r="S268" i="148"/>
  <c r="S269" i="148"/>
  <c r="O272" i="148"/>
  <c r="S275" i="148"/>
  <c r="S276" i="148"/>
  <c r="P280" i="148"/>
  <c r="O281" i="148"/>
  <c r="S281" i="148"/>
  <c r="P282" i="148"/>
  <c r="O284" i="148"/>
  <c r="S287" i="148"/>
  <c r="S288" i="148"/>
  <c r="S289" i="148"/>
  <c r="O292" i="148"/>
  <c r="O299" i="148"/>
  <c r="S299" i="148"/>
  <c r="S300" i="148"/>
  <c r="O304" i="148"/>
  <c r="S307" i="148"/>
  <c r="S308" i="148"/>
  <c r="P312" i="148"/>
  <c r="O313" i="148"/>
  <c r="S313" i="148"/>
  <c r="P314" i="148"/>
  <c r="O316" i="148"/>
  <c r="S319" i="148"/>
  <c r="S320" i="148"/>
  <c r="S321" i="148"/>
  <c r="O324" i="148"/>
  <c r="O331" i="148"/>
  <c r="S331" i="148"/>
  <c r="S332" i="148"/>
  <c r="O336" i="148"/>
  <c r="S339" i="148"/>
  <c r="S340" i="148"/>
  <c r="P344" i="148"/>
  <c r="O345" i="148"/>
  <c r="S345" i="148"/>
  <c r="P346" i="148"/>
  <c r="O348" i="148"/>
  <c r="S351" i="148"/>
  <c r="S352" i="148"/>
  <c r="S353" i="148"/>
  <c r="O356" i="148"/>
  <c r="O359" i="148"/>
  <c r="P359" i="148"/>
  <c r="P372" i="148"/>
  <c r="P374" i="148"/>
  <c r="O374" i="148"/>
  <c r="P384" i="148"/>
  <c r="P386" i="148"/>
  <c r="O386" i="148"/>
  <c r="P396" i="148"/>
  <c r="P398" i="148"/>
  <c r="O398" i="148"/>
  <c r="P414" i="148"/>
  <c r="P415" i="148"/>
  <c r="P416" i="148"/>
  <c r="O416" i="148"/>
  <c r="P430" i="148"/>
  <c r="P431" i="148"/>
  <c r="P432" i="148"/>
  <c r="O432" i="148"/>
  <c r="P446" i="148"/>
  <c r="P447" i="148"/>
  <c r="P448" i="148"/>
  <c r="O448" i="148"/>
  <c r="P468" i="148"/>
  <c r="O468" i="148"/>
  <c r="P500" i="148"/>
  <c r="O500" i="148"/>
  <c r="P360" i="148"/>
  <c r="O361" i="148"/>
  <c r="S361" i="148"/>
  <c r="P362" i="148"/>
  <c r="O364" i="148"/>
  <c r="S367" i="148"/>
  <c r="S368" i="148"/>
  <c r="S369" i="148"/>
  <c r="O372" i="148"/>
  <c r="O379" i="148"/>
  <c r="S379" i="148"/>
  <c r="S380" i="148"/>
  <c r="O384" i="148"/>
  <c r="S387" i="148"/>
  <c r="S388" i="148"/>
  <c r="P392" i="148"/>
  <c r="O393" i="148"/>
  <c r="S393" i="148"/>
  <c r="P394" i="148"/>
  <c r="O396" i="148"/>
  <c r="S400" i="148"/>
  <c r="S401" i="148"/>
  <c r="S402" i="148"/>
  <c r="O406" i="148"/>
  <c r="S409" i="148"/>
  <c r="S410" i="148"/>
  <c r="S411" i="148"/>
  <c r="O414" i="148"/>
  <c r="S417" i="148"/>
  <c r="S418" i="148"/>
  <c r="S419" i="148"/>
  <c r="O422" i="148"/>
  <c r="S425" i="148"/>
  <c r="S426" i="148"/>
  <c r="S427" i="148"/>
  <c r="O430" i="148"/>
  <c r="S434" i="148"/>
  <c r="S435" i="148"/>
  <c r="O438" i="148"/>
  <c r="S442" i="148"/>
  <c r="S443" i="148"/>
  <c r="O446" i="148"/>
  <c r="S450" i="148"/>
  <c r="S451" i="148"/>
  <c r="O454" i="148"/>
  <c r="S458" i="148"/>
  <c r="S459" i="148"/>
  <c r="O462" i="148"/>
  <c r="S466" i="148"/>
  <c r="S467" i="148"/>
  <c r="O470" i="148"/>
  <c r="S473" i="148"/>
  <c r="S474" i="148"/>
  <c r="O478" i="148"/>
  <c r="S481" i="148"/>
  <c r="S482" i="148"/>
  <c r="O486" i="148"/>
  <c r="S489" i="148"/>
  <c r="S490" i="148"/>
  <c r="O494" i="148"/>
  <c r="S497" i="148"/>
  <c r="S498" i="148"/>
  <c r="O502" i="148"/>
  <c r="S521" i="148"/>
  <c r="P548" i="148"/>
  <c r="O548" i="148"/>
  <c r="P580" i="148"/>
  <c r="O580" i="148"/>
  <c r="O363" i="148"/>
  <c r="S363" i="148"/>
  <c r="S364" i="148"/>
  <c r="O368" i="148"/>
  <c r="S372" i="148"/>
  <c r="S375" i="148"/>
  <c r="O377" i="148"/>
  <c r="P378" i="148"/>
  <c r="O380" i="148"/>
  <c r="S383" i="148"/>
  <c r="S384" i="148"/>
  <c r="O388" i="148"/>
  <c r="O395" i="148"/>
  <c r="S395" i="148"/>
  <c r="S396" i="148"/>
  <c r="S397" i="148"/>
  <c r="O400" i="148"/>
  <c r="O402" i="148"/>
  <c r="S406" i="148"/>
  <c r="S407" i="148"/>
  <c r="O410" i="148"/>
  <c r="S413" i="148"/>
  <c r="S414" i="148"/>
  <c r="S415" i="148"/>
  <c r="O418" i="148"/>
  <c r="S421" i="148"/>
  <c r="S422" i="148"/>
  <c r="S423" i="148"/>
  <c r="O426" i="148"/>
  <c r="S430" i="148"/>
  <c r="S431" i="148"/>
  <c r="O434" i="148"/>
  <c r="S438" i="148"/>
  <c r="S439" i="148"/>
  <c r="O442" i="148"/>
  <c r="S446" i="148"/>
  <c r="S447" i="148"/>
  <c r="O450" i="148"/>
  <c r="S454" i="148"/>
  <c r="S455" i="148"/>
  <c r="O458" i="148"/>
  <c r="S461" i="148"/>
  <c r="S462" i="148"/>
  <c r="S463" i="148"/>
  <c r="O466" i="148"/>
  <c r="S470" i="148"/>
  <c r="S471" i="148"/>
  <c r="O474" i="148"/>
  <c r="S477" i="148"/>
  <c r="S478" i="148"/>
  <c r="O482" i="148"/>
  <c r="S485" i="148"/>
  <c r="S486" i="148"/>
  <c r="O490" i="148"/>
  <c r="S493" i="148"/>
  <c r="S494" i="148"/>
  <c r="O498" i="148"/>
  <c r="S501" i="148"/>
  <c r="S502" i="148"/>
  <c r="O504" i="148"/>
  <c r="O509" i="148"/>
  <c r="O511" i="148"/>
  <c r="P511" i="148"/>
  <c r="P515" i="148"/>
  <c r="P516" i="148"/>
  <c r="O516" i="148"/>
  <c r="P532" i="148"/>
  <c r="O532" i="148"/>
  <c r="P564" i="148"/>
  <c r="O564" i="148"/>
  <c r="P596" i="148"/>
  <c r="O596" i="148"/>
  <c r="P454" i="148"/>
  <c r="P455" i="148"/>
  <c r="P456" i="148"/>
  <c r="P462" i="148"/>
  <c r="P463" i="148"/>
  <c r="P464" i="148"/>
  <c r="P470" i="148"/>
  <c r="P471" i="148"/>
  <c r="P472" i="148"/>
  <c r="P478" i="148"/>
  <c r="P479" i="148"/>
  <c r="P480" i="148"/>
  <c r="P486" i="148"/>
  <c r="P487" i="148"/>
  <c r="P488" i="148"/>
  <c r="P494" i="148"/>
  <c r="P495" i="148"/>
  <c r="P496" i="148"/>
  <c r="P540" i="148"/>
  <c r="O540" i="148"/>
  <c r="P572" i="148"/>
  <c r="O572" i="148"/>
  <c r="P751" i="148"/>
  <c r="O751" i="148"/>
  <c r="P769" i="148"/>
  <c r="O769" i="148"/>
  <c r="O505" i="148"/>
  <c r="P506" i="148"/>
  <c r="P507" i="148"/>
  <c r="S507" i="148"/>
  <c r="P508" i="148"/>
  <c r="O512" i="148"/>
  <c r="O513" i="148"/>
  <c r="P514" i="148"/>
  <c r="O517" i="148"/>
  <c r="S517" i="148"/>
  <c r="P518" i="148"/>
  <c r="S518" i="148"/>
  <c r="O522" i="148"/>
  <c r="S526" i="148"/>
  <c r="S527" i="148"/>
  <c r="O530" i="148"/>
  <c r="S534" i="148"/>
  <c r="S535" i="148"/>
  <c r="O538" i="148"/>
  <c r="S541" i="148"/>
  <c r="S542" i="148"/>
  <c r="S543" i="148"/>
  <c r="O546" i="148"/>
  <c r="S550" i="148"/>
  <c r="S551" i="148"/>
  <c r="O554" i="148"/>
  <c r="S558" i="148"/>
  <c r="S559" i="148"/>
  <c r="O562" i="148"/>
  <c r="S566" i="148"/>
  <c r="S567" i="148"/>
  <c r="O570" i="148"/>
  <c r="S574" i="148"/>
  <c r="S575" i="148"/>
  <c r="O578" i="148"/>
  <c r="S582" i="148"/>
  <c r="S583" i="148"/>
  <c r="O586" i="148"/>
  <c r="S590" i="148"/>
  <c r="S591" i="148"/>
  <c r="O594" i="148"/>
  <c r="S598" i="148"/>
  <c r="S599" i="148"/>
  <c r="O602" i="148"/>
  <c r="O610" i="148"/>
  <c r="O618" i="148"/>
  <c r="O626" i="148"/>
  <c r="S637" i="148"/>
  <c r="O758" i="148"/>
  <c r="P758" i="148"/>
  <c r="S510" i="148"/>
  <c r="O515" i="148"/>
  <c r="O519" i="148"/>
  <c r="P520" i="148"/>
  <c r="P525" i="148"/>
  <c r="P526" i="148"/>
  <c r="O527" i="148"/>
  <c r="P528" i="148"/>
  <c r="P533" i="148"/>
  <c r="P534" i="148"/>
  <c r="O535" i="148"/>
  <c r="P536" i="148"/>
  <c r="P541" i="148"/>
  <c r="P542" i="148"/>
  <c r="O543" i="148"/>
  <c r="P544" i="148"/>
  <c r="P549" i="148"/>
  <c r="P550" i="148"/>
  <c r="O551" i="148"/>
  <c r="P552" i="148"/>
  <c r="P557" i="148"/>
  <c r="P558" i="148"/>
  <c r="O559" i="148"/>
  <c r="P560" i="148"/>
  <c r="P565" i="148"/>
  <c r="P566" i="148"/>
  <c r="O567" i="148"/>
  <c r="P568" i="148"/>
  <c r="P573" i="148"/>
  <c r="P574" i="148"/>
  <c r="O575" i="148"/>
  <c r="P576" i="148"/>
  <c r="P581" i="148"/>
  <c r="P582" i="148"/>
  <c r="O583" i="148"/>
  <c r="P584" i="148"/>
  <c r="P589" i="148"/>
  <c r="P590" i="148"/>
  <c r="O591" i="148"/>
  <c r="P592" i="148"/>
  <c r="P597" i="148"/>
  <c r="P598" i="148"/>
  <c r="O599" i="148"/>
  <c r="P600" i="148"/>
  <c r="P605" i="148"/>
  <c r="P606" i="148"/>
  <c r="O607" i="148"/>
  <c r="P608" i="148"/>
  <c r="P613" i="148"/>
  <c r="P614" i="148"/>
  <c r="O615" i="148"/>
  <c r="S615" i="148"/>
  <c r="P616" i="148"/>
  <c r="P621" i="148"/>
  <c r="P622" i="148"/>
  <c r="O623" i="148"/>
  <c r="P624" i="148"/>
  <c r="P629" i="148"/>
  <c r="P630" i="148"/>
  <c r="O631" i="148"/>
  <c r="P632" i="148"/>
  <c r="S632" i="148"/>
  <c r="O638" i="148"/>
  <c r="P724" i="148"/>
  <c r="O724" i="148"/>
  <c r="O740" i="148"/>
  <c r="P740" i="148"/>
  <c r="P783" i="148"/>
  <c r="O783" i="148"/>
  <c r="P801" i="148"/>
  <c r="O801" i="148"/>
  <c r="S530" i="148"/>
  <c r="S531" i="148"/>
  <c r="S538" i="148"/>
  <c r="S539" i="148"/>
  <c r="S546" i="148"/>
  <c r="S547" i="148"/>
  <c r="S554" i="148"/>
  <c r="S555" i="148"/>
  <c r="S561" i="148"/>
  <c r="S562" i="148"/>
  <c r="S563" i="148"/>
  <c r="S570" i="148"/>
  <c r="S571" i="148"/>
  <c r="S578" i="148"/>
  <c r="S579" i="148"/>
  <c r="S586" i="148"/>
  <c r="S587" i="148"/>
  <c r="S594" i="148"/>
  <c r="S595" i="148"/>
  <c r="S601" i="148"/>
  <c r="S602" i="148"/>
  <c r="S603" i="148"/>
  <c r="O604" i="148"/>
  <c r="S609" i="148"/>
  <c r="S610" i="148"/>
  <c r="O612" i="148"/>
  <c r="S617" i="148"/>
  <c r="S618" i="148"/>
  <c r="S619" i="148"/>
  <c r="O620" i="148"/>
  <c r="S625" i="148"/>
  <c r="S626" i="148"/>
  <c r="S627" i="148"/>
  <c r="O628" i="148"/>
  <c r="S648" i="148"/>
  <c r="S664" i="148"/>
  <c r="S680" i="148"/>
  <c r="O790" i="148"/>
  <c r="P790" i="148"/>
  <c r="P915" i="148"/>
  <c r="O915" i="148"/>
  <c r="P939" i="148"/>
  <c r="O939" i="148"/>
  <c r="O959" i="148"/>
  <c r="P959" i="148"/>
  <c r="S645" i="148"/>
  <c r="O647" i="148"/>
  <c r="O655" i="148"/>
  <c r="S661" i="148"/>
  <c r="O663" i="148"/>
  <c r="O671" i="148"/>
  <c r="S671" i="148"/>
  <c r="O679" i="148"/>
  <c r="S679" i="148"/>
  <c r="O687" i="148"/>
  <c r="S687" i="148"/>
  <c r="O695" i="148"/>
  <c r="S695" i="148"/>
  <c r="O703" i="148"/>
  <c r="O711" i="148"/>
  <c r="S711" i="148"/>
  <c r="O719" i="148"/>
  <c r="S719" i="148"/>
  <c r="S725" i="148"/>
  <c r="S726" i="148"/>
  <c r="O729" i="148"/>
  <c r="O734" i="148"/>
  <c r="S735" i="148"/>
  <c r="S736" i="148"/>
  <c r="O739" i="148"/>
  <c r="P742" i="148"/>
  <c r="S745" i="148"/>
  <c r="S747" i="148"/>
  <c r="S748" i="148"/>
  <c r="S752" i="148"/>
  <c r="S758" i="148"/>
  <c r="O763" i="148"/>
  <c r="O765" i="148"/>
  <c r="O766" i="148"/>
  <c r="O770" i="148"/>
  <c r="S770" i="148"/>
  <c r="O772" i="148"/>
  <c r="P774" i="148"/>
  <c r="O776" i="148"/>
  <c r="S777" i="148"/>
  <c r="S779" i="148"/>
  <c r="S784" i="148"/>
  <c r="S790" i="148"/>
  <c r="O795" i="148"/>
  <c r="O797" i="148"/>
  <c r="O798" i="148"/>
  <c r="O802" i="148"/>
  <c r="S802" i="148"/>
  <c r="O804" i="148"/>
  <c r="P806" i="148"/>
  <c r="O808" i="148"/>
  <c r="S809" i="148"/>
  <c r="S811" i="148"/>
  <c r="O816" i="148"/>
  <c r="S817" i="148"/>
  <c r="S819" i="148"/>
  <c r="P820" i="148"/>
  <c r="O829" i="148"/>
  <c r="O830" i="148"/>
  <c r="S830" i="148"/>
  <c r="O835" i="148"/>
  <c r="O842" i="148"/>
  <c r="S842" i="148"/>
  <c r="O844" i="148"/>
  <c r="O848" i="148"/>
  <c r="S849" i="148"/>
  <c r="O864" i="148"/>
  <c r="P865" i="148"/>
  <c r="O865" i="148"/>
  <c r="S866" i="148"/>
  <c r="S867" i="148"/>
  <c r="O873" i="148"/>
  <c r="P880" i="148"/>
  <c r="O884" i="148"/>
  <c r="P887" i="148"/>
  <c r="O887" i="148"/>
  <c r="S902" i="148"/>
  <c r="O913" i="148"/>
  <c r="S949" i="148"/>
  <c r="P966" i="148"/>
  <c r="O966" i="148"/>
  <c r="P994" i="148"/>
  <c r="O994" i="148"/>
  <c r="P1006" i="148"/>
  <c r="O1006" i="148"/>
  <c r="P1019" i="148"/>
  <c r="O1019" i="148"/>
  <c r="P732" i="148"/>
  <c r="P747" i="148"/>
  <c r="P749" i="148"/>
  <c r="P753" i="148"/>
  <c r="P764" i="148"/>
  <c r="P767" i="148"/>
  <c r="P779" i="148"/>
  <c r="P781" i="148"/>
  <c r="P785" i="148"/>
  <c r="P796" i="148"/>
  <c r="P799" i="148"/>
  <c r="P811" i="148"/>
  <c r="P813" i="148"/>
  <c r="P819" i="148"/>
  <c r="P825" i="148"/>
  <c r="P839" i="148"/>
  <c r="P845" i="148"/>
  <c r="P859" i="148"/>
  <c r="O860" i="148"/>
  <c r="P860" i="148"/>
  <c r="P923" i="148"/>
  <c r="O923" i="148"/>
  <c r="P956" i="148"/>
  <c r="O956" i="148"/>
  <c r="P982" i="148"/>
  <c r="O982" i="148"/>
  <c r="P633" i="148"/>
  <c r="P634" i="148"/>
  <c r="O635" i="148"/>
  <c r="P636" i="148"/>
  <c r="P641" i="148"/>
  <c r="S641" i="148"/>
  <c r="P642" i="148"/>
  <c r="O643" i="148"/>
  <c r="P644" i="148"/>
  <c r="P649" i="148"/>
  <c r="S649" i="148"/>
  <c r="P650" i="148"/>
  <c r="O651" i="148"/>
  <c r="P652" i="148"/>
  <c r="P657" i="148"/>
  <c r="P658" i="148"/>
  <c r="O659" i="148"/>
  <c r="P660" i="148"/>
  <c r="P665" i="148"/>
  <c r="P666" i="148"/>
  <c r="O667" i="148"/>
  <c r="P668" i="148"/>
  <c r="P673" i="148"/>
  <c r="P674" i="148"/>
  <c r="O675" i="148"/>
  <c r="S675" i="148"/>
  <c r="P676" i="148"/>
  <c r="P681" i="148"/>
  <c r="P682" i="148"/>
  <c r="O683" i="148"/>
  <c r="S683" i="148"/>
  <c r="P684" i="148"/>
  <c r="P689" i="148"/>
  <c r="P690" i="148"/>
  <c r="O691" i="148"/>
  <c r="S691" i="148"/>
  <c r="P692" i="148"/>
  <c r="P697" i="148"/>
  <c r="P698" i="148"/>
  <c r="O699" i="148"/>
  <c r="P700" i="148"/>
  <c r="P705" i="148"/>
  <c r="P706" i="148"/>
  <c r="O707" i="148"/>
  <c r="P708" i="148"/>
  <c r="P713" i="148"/>
  <c r="P714" i="148"/>
  <c r="O715" i="148"/>
  <c r="P716" i="148"/>
  <c r="O721" i="148"/>
  <c r="P722" i="148"/>
  <c r="P723" i="148"/>
  <c r="O726" i="148"/>
  <c r="S727" i="148"/>
  <c r="P728" i="148"/>
  <c r="S733" i="148"/>
  <c r="S734" i="148"/>
  <c r="O737" i="148"/>
  <c r="P738" i="148"/>
  <c r="S739" i="148"/>
  <c r="S742" i="148"/>
  <c r="P743" i="148"/>
  <c r="O747" i="148"/>
  <c r="O749" i="148"/>
  <c r="O750" i="148"/>
  <c r="O754" i="148"/>
  <c r="S754" i="148"/>
  <c r="P755" i="148"/>
  <c r="O756" i="148"/>
  <c r="P757" i="148"/>
  <c r="O760" i="148"/>
  <c r="P761" i="148"/>
  <c r="S761" i="148"/>
  <c r="S763" i="148"/>
  <c r="S768" i="148"/>
  <c r="P772" i="148"/>
  <c r="S774" i="148"/>
  <c r="P775" i="148"/>
  <c r="O779" i="148"/>
  <c r="O781" i="148"/>
  <c r="O782" i="148"/>
  <c r="O786" i="148"/>
  <c r="S786" i="148"/>
  <c r="P787" i="148"/>
  <c r="O788" i="148"/>
  <c r="P789" i="148"/>
  <c r="O792" i="148"/>
  <c r="P793" i="148"/>
  <c r="S793" i="148"/>
  <c r="S795" i="148"/>
  <c r="S800" i="148"/>
  <c r="P804" i="148"/>
  <c r="S806" i="148"/>
  <c r="P807" i="148"/>
  <c r="O811" i="148"/>
  <c r="O813" i="148"/>
  <c r="O814" i="148"/>
  <c r="S814" i="148"/>
  <c r="P815" i="148"/>
  <c r="O819" i="148"/>
  <c r="P821" i="148"/>
  <c r="O823" i="148"/>
  <c r="O826" i="148"/>
  <c r="S826" i="148"/>
  <c r="P827" i="148"/>
  <c r="O828" i="148"/>
  <c r="O832" i="148"/>
  <c r="P833" i="148"/>
  <c r="S833" i="148"/>
  <c r="S835" i="148"/>
  <c r="P836" i="148"/>
  <c r="O841" i="148"/>
  <c r="O845" i="148"/>
  <c r="O846" i="148"/>
  <c r="S846" i="148"/>
  <c r="P847" i="148"/>
  <c r="P853" i="148"/>
  <c r="O855" i="148"/>
  <c r="O859" i="148"/>
  <c r="O861" i="148"/>
  <c r="S862" i="148"/>
  <c r="P863" i="148"/>
  <c r="S872" i="148"/>
  <c r="S873" i="148"/>
  <c r="O875" i="148"/>
  <c r="O892" i="148"/>
  <c r="P895" i="148"/>
  <c r="O895" i="148"/>
  <c r="S910" i="148"/>
  <c r="S915" i="148"/>
  <c r="O921" i="148"/>
  <c r="S928" i="148"/>
  <c r="S929" i="148"/>
  <c r="O930" i="148"/>
  <c r="O932" i="148"/>
  <c r="P934" i="148"/>
  <c r="O934" i="148"/>
  <c r="S934" i="148"/>
  <c r="S939" i="148"/>
  <c r="S959" i="148"/>
  <c r="S960" i="148"/>
  <c r="O962" i="148"/>
  <c r="P974" i="148"/>
  <c r="O974" i="148"/>
  <c r="P881" i="148"/>
  <c r="S882" i="148"/>
  <c r="P883" i="148"/>
  <c r="P889" i="148"/>
  <c r="P890" i="148"/>
  <c r="S890" i="148"/>
  <c r="P891" i="148"/>
  <c r="O901" i="148"/>
  <c r="O909" i="148"/>
  <c r="P917" i="148"/>
  <c r="S918" i="148"/>
  <c r="P919" i="148"/>
  <c r="P925" i="148"/>
  <c r="P926" i="148"/>
  <c r="O929" i="148"/>
  <c r="S930" i="148"/>
  <c r="P931" i="148"/>
  <c r="P941" i="148"/>
  <c r="P942" i="148"/>
  <c r="S946" i="148"/>
  <c r="P952" i="148"/>
  <c r="S953" i="148"/>
  <c r="P954" i="148"/>
  <c r="P957" i="148"/>
  <c r="S957" i="148"/>
  <c r="P958" i="148"/>
  <c r="O960" i="148"/>
  <c r="P968" i="148"/>
  <c r="P969" i="148"/>
  <c r="S969" i="148"/>
  <c r="P970" i="148"/>
  <c r="O987" i="148"/>
  <c r="P987" i="148"/>
  <c r="P1024" i="148"/>
  <c r="O1024" i="148"/>
  <c r="P1034" i="148"/>
  <c r="P1035" i="148"/>
  <c r="O1035" i="148"/>
  <c r="P851" i="148"/>
  <c r="O852" i="148"/>
  <c r="O856" i="148"/>
  <c r="P857" i="148"/>
  <c r="S857" i="148"/>
  <c r="S859" i="148"/>
  <c r="O868" i="148"/>
  <c r="P869" i="148"/>
  <c r="S870" i="148"/>
  <c r="P871" i="148"/>
  <c r="O876" i="148"/>
  <c r="P877" i="148"/>
  <c r="P878" i="148"/>
  <c r="S878" i="148"/>
  <c r="P879" i="148"/>
  <c r="O881" i="148"/>
  <c r="S884" i="148"/>
  <c r="S885" i="148"/>
  <c r="O889" i="148"/>
  <c r="S892" i="148"/>
  <c r="S893" i="148"/>
  <c r="P897" i="148"/>
  <c r="S898" i="148"/>
  <c r="P899" i="148"/>
  <c r="O904" i="148"/>
  <c r="P905" i="148"/>
  <c r="P906" i="148"/>
  <c r="S906" i="148"/>
  <c r="P907" i="148"/>
  <c r="O912" i="148"/>
  <c r="S912" i="148"/>
  <c r="S913" i="148"/>
  <c r="O917" i="148"/>
  <c r="S920" i="148"/>
  <c r="S921" i="148"/>
  <c r="O925" i="148"/>
  <c r="S926" i="148"/>
  <c r="P927" i="148"/>
  <c r="S932" i="148"/>
  <c r="S933" i="148"/>
  <c r="O936" i="148"/>
  <c r="P937" i="148"/>
  <c r="P938" i="148"/>
  <c r="O941" i="148"/>
  <c r="S942" i="148"/>
  <c r="P943" i="148"/>
  <c r="P948" i="148"/>
  <c r="O952" i="148"/>
  <c r="O954" i="148"/>
  <c r="O955" i="148"/>
  <c r="S955" i="148"/>
  <c r="O963" i="148"/>
  <c r="S963" i="148"/>
  <c r="S964" i="148"/>
  <c r="P1012" i="148"/>
  <c r="P1014" i="148"/>
  <c r="O1014" i="148"/>
  <c r="P1026" i="148"/>
  <c r="P1027" i="148"/>
  <c r="O1027" i="148"/>
  <c r="S1028" i="148"/>
  <c r="S1039" i="148"/>
  <c r="S1047" i="148"/>
  <c r="S1055" i="148"/>
  <c r="S1063" i="148"/>
  <c r="S1071" i="148"/>
  <c r="O964" i="148"/>
  <c r="O972" i="148"/>
  <c r="P986" i="148"/>
  <c r="O986" i="148"/>
  <c r="O995" i="148"/>
  <c r="P995" i="148"/>
  <c r="O1007" i="148"/>
  <c r="P1007" i="148"/>
  <c r="P1032" i="148"/>
  <c r="O1032" i="148"/>
  <c r="O979" i="148"/>
  <c r="S979" i="148"/>
  <c r="S980" i="148"/>
  <c r="O984" i="148"/>
  <c r="O991" i="148"/>
  <c r="S991" i="148"/>
  <c r="S992" i="148"/>
  <c r="S997" i="148"/>
  <c r="O1003" i="148"/>
  <c r="S1003" i="148"/>
  <c r="S1004" i="148"/>
  <c r="S1009" i="148"/>
  <c r="O1012" i="148"/>
  <c r="S1015" i="148"/>
  <c r="S1016" i="148"/>
  <c r="S1018" i="148"/>
  <c r="O1021" i="148"/>
  <c r="O1026" i="148"/>
  <c r="S1027" i="148"/>
  <c r="S1033" i="148"/>
  <c r="S1034" i="148"/>
  <c r="O1037" i="148"/>
  <c r="S1080" i="148"/>
  <c r="S1084" i="148"/>
  <c r="S1088" i="148"/>
  <c r="P1090" i="148"/>
  <c r="S1094" i="148"/>
  <c r="S1098" i="148"/>
  <c r="S1102" i="148"/>
  <c r="S1106" i="148"/>
  <c r="S1110" i="148"/>
  <c r="O968" i="148"/>
  <c r="S971" i="148"/>
  <c r="S972" i="148"/>
  <c r="P976" i="148"/>
  <c r="S977" i="148"/>
  <c r="P978" i="148"/>
  <c r="O980" i="148"/>
  <c r="S983" i="148"/>
  <c r="S984" i="148"/>
  <c r="P988" i="148"/>
  <c r="P989" i="148"/>
  <c r="S989" i="148"/>
  <c r="P990" i="148"/>
  <c r="O992" i="148"/>
  <c r="O999" i="148"/>
  <c r="P1000" i="148"/>
  <c r="P1001" i="148"/>
  <c r="S1001" i="148"/>
  <c r="P1002" i="148"/>
  <c r="O1004" i="148"/>
  <c r="O1011" i="148"/>
  <c r="S1011" i="148"/>
  <c r="S1012" i="148"/>
  <c r="O1016" i="148"/>
  <c r="O1018" i="148"/>
  <c r="S1019" i="148"/>
  <c r="P1020" i="148"/>
  <c r="S1025" i="148"/>
  <c r="S1026" i="148"/>
  <c r="O1029" i="148"/>
  <c r="O1034" i="148"/>
  <c r="S1035" i="148"/>
  <c r="P1036" i="148"/>
  <c r="O1040" i="148"/>
  <c r="O1044" i="148"/>
  <c r="O1048" i="148"/>
  <c r="O1052" i="148"/>
  <c r="O1056" i="148"/>
  <c r="O1060" i="148"/>
  <c r="O1064" i="148"/>
  <c r="O1068" i="148"/>
  <c r="O1072" i="148"/>
  <c r="O1076" i="148"/>
  <c r="S1078" i="148"/>
  <c r="S1082" i="148"/>
  <c r="S1086" i="148"/>
  <c r="S1090" i="148"/>
  <c r="S1092" i="148"/>
  <c r="S1096" i="148"/>
  <c r="S1100" i="148"/>
  <c r="S1104" i="148"/>
  <c r="S1108" i="148"/>
  <c r="S1112" i="148"/>
  <c r="M3" i="101"/>
  <c r="J33" i="101" s="1"/>
  <c r="P40" i="148"/>
  <c r="P58" i="148"/>
  <c r="P62" i="148"/>
  <c r="P66" i="148"/>
  <c r="P70" i="148"/>
  <c r="P74" i="148"/>
  <c r="P78" i="148"/>
  <c r="P82" i="148"/>
  <c r="P86" i="148"/>
  <c r="P90" i="148"/>
  <c r="P94" i="148"/>
  <c r="P98" i="148"/>
  <c r="P106" i="148"/>
  <c r="O43" i="148"/>
  <c r="O51" i="148"/>
  <c r="O55" i="148"/>
  <c r="O59" i="148"/>
  <c r="O63" i="148"/>
  <c r="O67" i="148"/>
  <c r="O71" i="148"/>
  <c r="O75" i="148"/>
  <c r="O79" i="148"/>
  <c r="O83" i="148"/>
  <c r="O87" i="148"/>
  <c r="O91" i="148"/>
  <c r="O95" i="148"/>
  <c r="O99" i="148"/>
  <c r="O103" i="148"/>
  <c r="P113" i="148"/>
  <c r="S115" i="148"/>
  <c r="P121" i="148"/>
  <c r="S123" i="148"/>
  <c r="P129" i="148"/>
  <c r="S131" i="148"/>
  <c r="P137" i="148"/>
  <c r="P145" i="148"/>
  <c r="P153" i="148"/>
  <c r="P161" i="148"/>
  <c r="P169" i="148"/>
  <c r="P177" i="148"/>
  <c r="P185" i="148"/>
  <c r="P193" i="148"/>
  <c r="S195" i="148"/>
  <c r="P201" i="148"/>
  <c r="S203" i="148"/>
  <c r="P209" i="148"/>
  <c r="S211" i="148"/>
  <c r="S217" i="148"/>
  <c r="P227" i="148"/>
  <c r="S233" i="148"/>
  <c r="P243" i="148"/>
  <c r="P259" i="148"/>
  <c r="P275" i="148"/>
  <c r="P291" i="148"/>
  <c r="P307" i="148"/>
  <c r="P323" i="148"/>
  <c r="S329" i="148"/>
  <c r="P339" i="148"/>
  <c r="P355" i="148"/>
  <c r="P371" i="148"/>
  <c r="S377" i="148"/>
  <c r="P387" i="148"/>
  <c r="P50" i="148"/>
  <c r="P54" i="148"/>
  <c r="P102" i="148"/>
  <c r="O107" i="148"/>
  <c r="S107" i="148"/>
  <c r="P111" i="148"/>
  <c r="P119" i="148"/>
  <c r="P127" i="148"/>
  <c r="P135" i="148"/>
  <c r="P143" i="148"/>
  <c r="S145" i="148"/>
  <c r="P151" i="148"/>
  <c r="S153" i="148"/>
  <c r="P159" i="148"/>
  <c r="S161" i="148"/>
  <c r="P167" i="148"/>
  <c r="S169" i="148"/>
  <c r="P175" i="148"/>
  <c r="S177" i="148"/>
  <c r="P183" i="148"/>
  <c r="S185" i="148"/>
  <c r="P191" i="148"/>
  <c r="S193" i="148"/>
  <c r="P199" i="148"/>
  <c r="P207" i="148"/>
  <c r="S213" i="148"/>
  <c r="P223" i="148"/>
  <c r="S229" i="148"/>
  <c r="P239" i="148"/>
  <c r="P255" i="148"/>
  <c r="S261" i="148"/>
  <c r="P271" i="148"/>
  <c r="P287" i="148"/>
  <c r="P303" i="148"/>
  <c r="P319" i="148"/>
  <c r="S325" i="148"/>
  <c r="P335" i="148"/>
  <c r="P351" i="148"/>
  <c r="P367" i="148"/>
  <c r="S373" i="148"/>
  <c r="P383" i="148"/>
  <c r="P399" i="148"/>
  <c r="P213" i="148"/>
  <c r="P217" i="148"/>
  <c r="P221" i="148"/>
  <c r="P225" i="148"/>
  <c r="P229" i="148"/>
  <c r="P233" i="148"/>
  <c r="P237" i="148"/>
  <c r="P241" i="148"/>
  <c r="P245" i="148"/>
  <c r="P249" i="148"/>
  <c r="P253" i="148"/>
  <c r="P257" i="148"/>
  <c r="P261" i="148"/>
  <c r="P265" i="148"/>
  <c r="P269" i="148"/>
  <c r="P273" i="148"/>
  <c r="P277" i="148"/>
  <c r="P281" i="148"/>
  <c r="P285" i="148"/>
  <c r="P289" i="148"/>
  <c r="P293" i="148"/>
  <c r="P297" i="148"/>
  <c r="P301" i="148"/>
  <c r="P305" i="148"/>
  <c r="P309" i="148"/>
  <c r="P313" i="148"/>
  <c r="P317" i="148"/>
  <c r="P321" i="148"/>
  <c r="P325" i="148"/>
  <c r="P329" i="148"/>
  <c r="P333" i="148"/>
  <c r="P337" i="148"/>
  <c r="P341" i="148"/>
  <c r="P345" i="148"/>
  <c r="P349" i="148"/>
  <c r="P353" i="148"/>
  <c r="P357" i="148"/>
  <c r="P361" i="148"/>
  <c r="P365" i="148"/>
  <c r="P369" i="148"/>
  <c r="P373" i="148"/>
  <c r="P377" i="148"/>
  <c r="P381" i="148"/>
  <c r="P385" i="148"/>
  <c r="P389" i="148"/>
  <c r="P393" i="148"/>
  <c r="P397" i="148"/>
  <c r="P401" i="148"/>
  <c r="P405" i="148"/>
  <c r="P409" i="148"/>
  <c r="P413" i="148"/>
  <c r="P417" i="148"/>
  <c r="P421" i="148"/>
  <c r="P425" i="148"/>
  <c r="P429" i="148"/>
  <c r="P433" i="148"/>
  <c r="P437" i="148"/>
  <c r="P441" i="148"/>
  <c r="P445" i="148"/>
  <c r="P449" i="148"/>
  <c r="P453" i="148"/>
  <c r="P457" i="148"/>
  <c r="P461" i="148"/>
  <c r="P465" i="148"/>
  <c r="P469" i="148"/>
  <c r="P473" i="148"/>
  <c r="P477" i="148"/>
  <c r="P481" i="148"/>
  <c r="P485" i="148"/>
  <c r="P489" i="148"/>
  <c r="P493" i="148"/>
  <c r="P497" i="148"/>
  <c r="P501" i="148"/>
  <c r="P505" i="148"/>
  <c r="O403" i="148"/>
  <c r="O407" i="148"/>
  <c r="O411" i="148"/>
  <c r="O415" i="148"/>
  <c r="O419" i="148"/>
  <c r="O423" i="148"/>
  <c r="O427" i="148"/>
  <c r="O431" i="148"/>
  <c r="O435" i="148"/>
  <c r="O439" i="148"/>
  <c r="O443" i="148"/>
  <c r="O447" i="148"/>
  <c r="O451" i="148"/>
  <c r="O455" i="148"/>
  <c r="O459" i="148"/>
  <c r="O463" i="148"/>
  <c r="O467" i="148"/>
  <c r="O471" i="148"/>
  <c r="O475" i="148"/>
  <c r="O479" i="148"/>
  <c r="O483" i="148"/>
  <c r="O487" i="148"/>
  <c r="O491" i="148"/>
  <c r="O495" i="148"/>
  <c r="O499" i="148"/>
  <c r="O503" i="148"/>
  <c r="O507" i="148"/>
  <c r="P513" i="148"/>
  <c r="S515" i="148"/>
  <c r="S519" i="148"/>
  <c r="P509" i="148"/>
  <c r="S511" i="148"/>
  <c r="P517" i="148"/>
  <c r="P519" i="148"/>
  <c r="P523" i="148"/>
  <c r="P527" i="148"/>
  <c r="P531" i="148"/>
  <c r="P535" i="148"/>
  <c r="P539" i="148"/>
  <c r="P543" i="148"/>
  <c r="P547" i="148"/>
  <c r="P551" i="148"/>
  <c r="P555" i="148"/>
  <c r="P559" i="148"/>
  <c r="P563" i="148"/>
  <c r="P567" i="148"/>
  <c r="P571" i="148"/>
  <c r="P575" i="148"/>
  <c r="P579" i="148"/>
  <c r="P583" i="148"/>
  <c r="P587" i="148"/>
  <c r="P591" i="148"/>
  <c r="P595" i="148"/>
  <c r="P599" i="148"/>
  <c r="P603" i="148"/>
  <c r="P607" i="148"/>
  <c r="P611" i="148"/>
  <c r="P615" i="148"/>
  <c r="P619" i="148"/>
  <c r="P623" i="148"/>
  <c r="P627" i="148"/>
  <c r="P631" i="148"/>
  <c r="P635" i="148"/>
  <c r="P639" i="148"/>
  <c r="P643" i="148"/>
  <c r="P647" i="148"/>
  <c r="P651" i="148"/>
  <c r="P655" i="148"/>
  <c r="P659" i="148"/>
  <c r="P663" i="148"/>
  <c r="P667" i="148"/>
  <c r="P671" i="148"/>
  <c r="P675" i="148"/>
  <c r="P679" i="148"/>
  <c r="P683" i="148"/>
  <c r="P687" i="148"/>
  <c r="P691" i="148"/>
  <c r="P695" i="148"/>
  <c r="P699" i="148"/>
  <c r="P703" i="148"/>
  <c r="P707" i="148"/>
  <c r="P711" i="148"/>
  <c r="P715" i="148"/>
  <c r="P719" i="148"/>
  <c r="O521" i="148"/>
  <c r="O525" i="148"/>
  <c r="O529" i="148"/>
  <c r="O533" i="148"/>
  <c r="O537" i="148"/>
  <c r="O541" i="148"/>
  <c r="O545" i="148"/>
  <c r="O549" i="148"/>
  <c r="O553" i="148"/>
  <c r="O557" i="148"/>
  <c r="O561" i="148"/>
  <c r="O565" i="148"/>
  <c r="O569" i="148"/>
  <c r="O573" i="148"/>
  <c r="O577" i="148"/>
  <c r="O581" i="148"/>
  <c r="O585" i="148"/>
  <c r="O589" i="148"/>
  <c r="O593" i="148"/>
  <c r="O597" i="148"/>
  <c r="O601" i="148"/>
  <c r="O605" i="148"/>
  <c r="O609" i="148"/>
  <c r="O613" i="148"/>
  <c r="O617" i="148"/>
  <c r="O621" i="148"/>
  <c r="O625" i="148"/>
  <c r="O629" i="148"/>
  <c r="O633" i="148"/>
  <c r="O637" i="148"/>
  <c r="O641" i="148"/>
  <c r="O645" i="148"/>
  <c r="O649" i="148"/>
  <c r="O653" i="148"/>
  <c r="O657" i="148"/>
  <c r="O661" i="148"/>
  <c r="O665" i="148"/>
  <c r="O669" i="148"/>
  <c r="O673" i="148"/>
  <c r="O677" i="148"/>
  <c r="O681" i="148"/>
  <c r="O685" i="148"/>
  <c r="O689" i="148"/>
  <c r="O693" i="148"/>
  <c r="O697" i="148"/>
  <c r="O701" i="148"/>
  <c r="O705" i="148"/>
  <c r="O709" i="148"/>
  <c r="O713" i="148"/>
  <c r="O717" i="148"/>
  <c r="P721" i="148"/>
  <c r="P726" i="148"/>
  <c r="P727" i="148"/>
  <c r="P729" i="148"/>
  <c r="P734" i="148"/>
  <c r="P735" i="148"/>
  <c r="O738" i="148"/>
  <c r="O744" i="148"/>
  <c r="P744" i="148"/>
  <c r="P725" i="148"/>
  <c r="P733" i="148"/>
  <c r="P762" i="148"/>
  <c r="S764" i="148"/>
  <c r="P770" i="148"/>
  <c r="S772" i="148"/>
  <c r="P778" i="148"/>
  <c r="S780" i="148"/>
  <c r="P786" i="148"/>
  <c r="S788" i="148"/>
  <c r="P794" i="148"/>
  <c r="S796" i="148"/>
  <c r="P802" i="148"/>
  <c r="S804" i="148"/>
  <c r="P810" i="148"/>
  <c r="S812" i="148"/>
  <c r="P818" i="148"/>
  <c r="S820" i="148"/>
  <c r="P826" i="148"/>
  <c r="S828" i="148"/>
  <c r="P834" i="148"/>
  <c r="S836" i="148"/>
  <c r="P842" i="148"/>
  <c r="S844" i="148"/>
  <c r="P850" i="148"/>
  <c r="S852" i="148"/>
  <c r="P858" i="148"/>
  <c r="S860" i="148"/>
  <c r="P870" i="148"/>
  <c r="P876" i="148"/>
  <c r="P886" i="148"/>
  <c r="P892" i="148"/>
  <c r="P902" i="148"/>
  <c r="P908" i="148"/>
  <c r="P918" i="148"/>
  <c r="P924" i="148"/>
  <c r="P928" i="148"/>
  <c r="P932" i="148"/>
  <c r="P936" i="148"/>
  <c r="P940" i="148"/>
  <c r="P737" i="148"/>
  <c r="P752" i="148"/>
  <c r="P760" i="148"/>
  <c r="P768" i="148"/>
  <c r="P776" i="148"/>
  <c r="P784" i="148"/>
  <c r="P792" i="148"/>
  <c r="P800" i="148"/>
  <c r="P808" i="148"/>
  <c r="P816" i="148"/>
  <c r="P824" i="148"/>
  <c r="P832" i="148"/>
  <c r="P840" i="148"/>
  <c r="P848" i="148"/>
  <c r="P856" i="148"/>
  <c r="P864" i="148"/>
  <c r="P866" i="148"/>
  <c r="P872" i="148"/>
  <c r="P882" i="148"/>
  <c r="P888" i="148"/>
  <c r="P898" i="148"/>
  <c r="P904" i="148"/>
  <c r="P914" i="148"/>
  <c r="P920" i="148"/>
  <c r="P814" i="148"/>
  <c r="S816" i="148"/>
  <c r="P822" i="148"/>
  <c r="S824" i="148"/>
  <c r="P830" i="148"/>
  <c r="S832" i="148"/>
  <c r="P838" i="148"/>
  <c r="S840" i="148"/>
  <c r="P846" i="148"/>
  <c r="S848" i="148"/>
  <c r="P854" i="148"/>
  <c r="S856" i="148"/>
  <c r="P862" i="148"/>
  <c r="S864" i="148"/>
  <c r="P868" i="148"/>
  <c r="P884" i="148"/>
  <c r="P900" i="148"/>
  <c r="P916" i="148"/>
  <c r="P944" i="148"/>
  <c r="O1096" i="148"/>
  <c r="O1100" i="148"/>
  <c r="O1104" i="148"/>
  <c r="O1108" i="148"/>
  <c r="O1112" i="148"/>
  <c r="O866" i="148"/>
  <c r="O870" i="148"/>
  <c r="O874" i="148"/>
  <c r="O878" i="148"/>
  <c r="O882" i="148"/>
  <c r="O886" i="148"/>
  <c r="O890" i="148"/>
  <c r="O894" i="148"/>
  <c r="O898" i="148"/>
  <c r="O902" i="148"/>
  <c r="O906" i="148"/>
  <c r="O910" i="148"/>
  <c r="O914" i="148"/>
  <c r="O918" i="148"/>
  <c r="O922" i="148"/>
  <c r="O1033" i="148"/>
  <c r="P1033" i="148"/>
  <c r="N1128" i="148"/>
  <c r="P1128" i="148" s="1"/>
  <c r="J1128" i="148"/>
  <c r="O945" i="148"/>
  <c r="P951" i="148"/>
  <c r="P965" i="148"/>
  <c r="P971" i="148"/>
  <c r="P981" i="148"/>
  <c r="P997" i="148"/>
  <c r="P1013" i="148"/>
  <c r="P949" i="148"/>
  <c r="S951" i="148"/>
  <c r="P961" i="148"/>
  <c r="P967" i="148"/>
  <c r="P977" i="148"/>
  <c r="P983" i="148"/>
  <c r="P993" i="148"/>
  <c r="P999" i="148"/>
  <c r="P1009" i="148"/>
  <c r="P1015" i="148"/>
  <c r="O1025" i="148"/>
  <c r="P1025" i="148"/>
  <c r="O1117" i="148"/>
  <c r="O957" i="148"/>
  <c r="O961" i="148"/>
  <c r="O965" i="148"/>
  <c r="O969" i="148"/>
  <c r="O973" i="148"/>
  <c r="O977" i="148"/>
  <c r="O981" i="148"/>
  <c r="O985" i="148"/>
  <c r="O989" i="148"/>
  <c r="O993" i="148"/>
  <c r="O997" i="148"/>
  <c r="O1001" i="148"/>
  <c r="O1005" i="148"/>
  <c r="O1009" i="148"/>
  <c r="O1013" i="148"/>
  <c r="O1017" i="148"/>
  <c r="P1021" i="148"/>
  <c r="P1029" i="148"/>
  <c r="P1037" i="148"/>
  <c r="P1080" i="148"/>
  <c r="P1084" i="148"/>
  <c r="P1088" i="148"/>
  <c r="N1092" i="148"/>
  <c r="P1092" i="148" s="1"/>
  <c r="J1092" i="148"/>
  <c r="O1095" i="148"/>
  <c r="O1099" i="148"/>
  <c r="O1103" i="148"/>
  <c r="O1107" i="148"/>
  <c r="O1111" i="148"/>
  <c r="N1116" i="148"/>
  <c r="P1116" i="148" s="1"/>
  <c r="J1116" i="148"/>
  <c r="O1121" i="148"/>
  <c r="O1094" i="148"/>
  <c r="O1098" i="148"/>
  <c r="O1102" i="148"/>
  <c r="O1106" i="148"/>
  <c r="O1110" i="148"/>
  <c r="N1120" i="148"/>
  <c r="P1120" i="148" s="1"/>
  <c r="J1120" i="148"/>
  <c r="O1125" i="148"/>
  <c r="S1017" i="148"/>
  <c r="P1022" i="148"/>
  <c r="P1023" i="148"/>
  <c r="P1030" i="148"/>
  <c r="P1031" i="148"/>
  <c r="P1038" i="148"/>
  <c r="P1042" i="148"/>
  <c r="P1046" i="148"/>
  <c r="P1050" i="148"/>
  <c r="P1054" i="148"/>
  <c r="P1058" i="148"/>
  <c r="P1062" i="148"/>
  <c r="P1066" i="148"/>
  <c r="P1070" i="148"/>
  <c r="P1074" i="148"/>
  <c r="P1078" i="148"/>
  <c r="P1082" i="148"/>
  <c r="P1086" i="148"/>
  <c r="O1093" i="148"/>
  <c r="O1097" i="148"/>
  <c r="O1101" i="148"/>
  <c r="O1105" i="148"/>
  <c r="O1109" i="148"/>
  <c r="O1113" i="148"/>
  <c r="N1124" i="148"/>
  <c r="P1124" i="148" s="1"/>
  <c r="J1124" i="148"/>
  <c r="O1129" i="148"/>
  <c r="J1078" i="148"/>
  <c r="J1079" i="148"/>
  <c r="J1080" i="148"/>
  <c r="J1081" i="148"/>
  <c r="J1082" i="148"/>
  <c r="J1083" i="148"/>
  <c r="J1084" i="148"/>
  <c r="J1085" i="148"/>
  <c r="J1086" i="148"/>
  <c r="J1087" i="148"/>
  <c r="J1088" i="148"/>
  <c r="J1089" i="148"/>
  <c r="J1090" i="148"/>
  <c r="O1090" i="148"/>
  <c r="O1092" i="148"/>
  <c r="N1093" i="148"/>
  <c r="P1093" i="148" s="1"/>
  <c r="J1093" i="148"/>
  <c r="N1094" i="148"/>
  <c r="P1094" i="148" s="1"/>
  <c r="J1094" i="148"/>
  <c r="N1095" i="148"/>
  <c r="P1095" i="148" s="1"/>
  <c r="J1095" i="148"/>
  <c r="N1096" i="148"/>
  <c r="P1096" i="148" s="1"/>
  <c r="J1096" i="148"/>
  <c r="N1097" i="148"/>
  <c r="P1097" i="148" s="1"/>
  <c r="J1097" i="148"/>
  <c r="N1098" i="148"/>
  <c r="P1098" i="148" s="1"/>
  <c r="J1098" i="148"/>
  <c r="N1099" i="148"/>
  <c r="P1099" i="148" s="1"/>
  <c r="J1099" i="148"/>
  <c r="N1100" i="148"/>
  <c r="P1100" i="148" s="1"/>
  <c r="J1100" i="148"/>
  <c r="N1101" i="148"/>
  <c r="P1101" i="148" s="1"/>
  <c r="J1101" i="148"/>
  <c r="N1102" i="148"/>
  <c r="P1102" i="148" s="1"/>
  <c r="J1102" i="148"/>
  <c r="N1103" i="148"/>
  <c r="P1103" i="148" s="1"/>
  <c r="J1103" i="148"/>
  <c r="N1104" i="148"/>
  <c r="P1104" i="148" s="1"/>
  <c r="J1104" i="148"/>
  <c r="N1105" i="148"/>
  <c r="P1105" i="148" s="1"/>
  <c r="J1105" i="148"/>
  <c r="N1106" i="148"/>
  <c r="P1106" i="148" s="1"/>
  <c r="J1106" i="148"/>
  <c r="N1107" i="148"/>
  <c r="P1107" i="148" s="1"/>
  <c r="J1107" i="148"/>
  <c r="N1108" i="148"/>
  <c r="P1108" i="148" s="1"/>
  <c r="J1108" i="148"/>
  <c r="N1109" i="148"/>
  <c r="P1109" i="148" s="1"/>
  <c r="J1109" i="148"/>
  <c r="N1110" i="148"/>
  <c r="P1110" i="148" s="1"/>
  <c r="J1110" i="148"/>
  <c r="N1111" i="148"/>
  <c r="P1111" i="148" s="1"/>
  <c r="J1111" i="148"/>
  <c r="N1112" i="148"/>
  <c r="P1112" i="148" s="1"/>
  <c r="J1112" i="148"/>
  <c r="N1113" i="148"/>
  <c r="P1113" i="148" s="1"/>
  <c r="J1113" i="148"/>
  <c r="N1117" i="148"/>
  <c r="P1117" i="148" s="1"/>
  <c r="J1117" i="148"/>
  <c r="N1121" i="148"/>
  <c r="P1121" i="148" s="1"/>
  <c r="J1121" i="148"/>
  <c r="N1125" i="148"/>
  <c r="P1125" i="148" s="1"/>
  <c r="J1125" i="148"/>
  <c r="N1129" i="148"/>
  <c r="P1129" i="148" s="1"/>
  <c r="J1129" i="148"/>
  <c r="O1041" i="148"/>
  <c r="O1045" i="148"/>
  <c r="O1049" i="148"/>
  <c r="O1053" i="148"/>
  <c r="O1057" i="148"/>
  <c r="O1061" i="148"/>
  <c r="O1065" i="148"/>
  <c r="O1069" i="148"/>
  <c r="O1073" i="148"/>
  <c r="O1077" i="148"/>
  <c r="O1078" i="148"/>
  <c r="O1079" i="148"/>
  <c r="O1080" i="148"/>
  <c r="O1081" i="148"/>
  <c r="O1082" i="148"/>
  <c r="O1083" i="148"/>
  <c r="O1084" i="148"/>
  <c r="O1085" i="148"/>
  <c r="O1086" i="148"/>
  <c r="O1087" i="148"/>
  <c r="O1088" i="148"/>
  <c r="O1089" i="148"/>
  <c r="N1091" i="148"/>
  <c r="P1091" i="148" s="1"/>
  <c r="J1091" i="148"/>
  <c r="N1114" i="148"/>
  <c r="P1114" i="148" s="1"/>
  <c r="J1114" i="148"/>
  <c r="N1118" i="148"/>
  <c r="P1118" i="148" s="1"/>
  <c r="J1118" i="148"/>
  <c r="N1122" i="148"/>
  <c r="P1122" i="148" s="1"/>
  <c r="J1122" i="148"/>
  <c r="N1126" i="148"/>
  <c r="P1126" i="148" s="1"/>
  <c r="J1126" i="148"/>
  <c r="N1130" i="148"/>
  <c r="P1130" i="148" s="1"/>
  <c r="J1130" i="148"/>
  <c r="N1115" i="148"/>
  <c r="P1115" i="148" s="1"/>
  <c r="J1115" i="148"/>
  <c r="N1119" i="148"/>
  <c r="P1119" i="148" s="1"/>
  <c r="J1119" i="148"/>
  <c r="N1123" i="148"/>
  <c r="P1123" i="148" s="1"/>
  <c r="J1123" i="148"/>
  <c r="N1127" i="148"/>
  <c r="P1127" i="148" s="1"/>
  <c r="J1127" i="148"/>
  <c r="N1131" i="148"/>
  <c r="P1131" i="148" s="1"/>
  <c r="J1131" i="148"/>
  <c r="N8" i="101" l="1"/>
  <c r="O8" i="101" s="1"/>
  <c r="N25" i="101"/>
  <c r="O25" i="101" s="1"/>
  <c r="N26" i="101"/>
  <c r="N6" i="101"/>
  <c r="N4" i="101"/>
  <c r="O4" i="101" s="1"/>
  <c r="N14" i="101"/>
  <c r="O14" i="101" s="1"/>
  <c r="N17" i="101"/>
  <c r="O17" i="101" s="1"/>
  <c r="N27" i="101"/>
  <c r="O27" i="101" s="1"/>
  <c r="N24" i="101"/>
  <c r="O24" i="101" s="1"/>
  <c r="N5" i="101"/>
  <c r="O5" i="101" s="1"/>
  <c r="N32" i="101"/>
  <c r="O32" i="101" s="1"/>
  <c r="N11" i="101"/>
  <c r="N21" i="101"/>
  <c r="O21" i="101" s="1"/>
  <c r="N13" i="101"/>
  <c r="O13" i="101" s="1"/>
  <c r="N9" i="101"/>
  <c r="O9" i="101" s="1"/>
  <c r="N18" i="101"/>
  <c r="O18" i="101" s="1"/>
  <c r="N16" i="101"/>
  <c r="O16" i="101" s="1"/>
  <c r="N20" i="101"/>
  <c r="O20" i="101" s="1"/>
  <c r="N30" i="101"/>
  <c r="N15" i="101"/>
  <c r="N29" i="101"/>
  <c r="O29" i="101" s="1"/>
  <c r="N10" i="101"/>
  <c r="O10" i="101" s="1"/>
  <c r="N7" i="101"/>
  <c r="O7" i="101" s="1"/>
  <c r="N19" i="101"/>
  <c r="N12" i="101"/>
  <c r="O12" i="101" s="1"/>
  <c r="N23" i="101"/>
  <c r="O23" i="101" s="1"/>
  <c r="N31" i="101"/>
  <c r="N22" i="101"/>
  <c r="O6" i="101"/>
  <c r="O11" i="101"/>
  <c r="O15" i="101"/>
  <c r="O19" i="101"/>
  <c r="O28" i="101"/>
  <c r="O30" i="101"/>
  <c r="O31" i="101"/>
  <c r="O26" i="101"/>
  <c r="O22" i="101"/>
  <c r="N3" i="101"/>
  <c r="O3" i="101" s="1"/>
  <c r="O33" i="101" l="1"/>
  <c r="E17" i="14" s="1"/>
  <c r="P8" i="254" l="1"/>
  <c r="N8" i="254"/>
  <c r="L8" i="254"/>
  <c r="J8" i="254"/>
  <c r="B11" i="254"/>
  <c r="F34" i="254"/>
  <c r="A1" i="254"/>
  <c r="A2" i="254" s="1"/>
  <c r="A1" i="253"/>
  <c r="N47" i="150" l="1"/>
  <c r="N48" i="150"/>
  <c r="N49" i="150"/>
  <c r="N50" i="150"/>
  <c r="N51" i="150"/>
  <c r="N52" i="150"/>
  <c r="N53" i="150"/>
  <c r="AI42" i="148" l="1"/>
  <c r="AK42" i="148" s="1"/>
  <c r="E13" i="10" s="1"/>
  <c r="E23" i="10" s="1"/>
  <c r="E27" i="10" s="1"/>
  <c r="N12" i="150"/>
  <c r="A5" i="61"/>
  <c r="N46" i="150"/>
  <c r="N54" i="150" s="1"/>
  <c r="H12" i="149"/>
  <c r="H13" i="149"/>
  <c r="H14" i="149"/>
  <c r="H16" i="149"/>
  <c r="H10" i="149"/>
  <c r="H18" i="149"/>
  <c r="H22" i="149"/>
  <c r="B19" i="150"/>
  <c r="A1" i="150"/>
  <c r="B1" i="55"/>
  <c r="B1" i="53"/>
  <c r="A1" i="23"/>
  <c r="H7" i="38"/>
  <c r="H6" i="38"/>
  <c r="B1" i="38"/>
  <c r="G30" i="25"/>
  <c r="G29" i="25"/>
  <c r="G28" i="25"/>
  <c r="G27" i="25"/>
  <c r="G26" i="25"/>
  <c r="G25" i="25"/>
  <c r="G24" i="25"/>
  <c r="G23" i="25"/>
  <c r="A1" i="25"/>
  <c r="B1" i="39"/>
  <c r="A1" i="58"/>
  <c r="C1" i="52"/>
  <c r="C1" i="34"/>
  <c r="J53" i="150"/>
  <c r="J52" i="150"/>
  <c r="J51" i="150"/>
  <c r="J50" i="150"/>
  <c r="J49" i="150"/>
  <c r="J48" i="150"/>
  <c r="J47" i="150"/>
  <c r="B1" i="37"/>
  <c r="A1" i="14"/>
  <c r="B61" i="150"/>
  <c r="C37" i="23" s="1"/>
  <c r="C7" i="10"/>
  <c r="A1" i="10"/>
  <c r="A1" i="11"/>
  <c r="H26" i="149"/>
  <c r="H25" i="149"/>
  <c r="H24" i="149"/>
  <c r="H23" i="149"/>
  <c r="H21" i="149"/>
  <c r="H20" i="149"/>
  <c r="H19" i="149"/>
  <c r="H17" i="149"/>
  <c r="H15" i="149"/>
  <c r="H11" i="149"/>
  <c r="H9" i="149"/>
  <c r="H8" i="149"/>
  <c r="H7" i="149"/>
  <c r="H6" i="149"/>
  <c r="H4" i="149"/>
  <c r="E8" i="18"/>
  <c r="I8" i="18" s="1"/>
  <c r="B1" i="18"/>
  <c r="A1" i="15"/>
  <c r="A1" i="12"/>
  <c r="A1" i="31"/>
  <c r="A1" i="13"/>
  <c r="A4" i="122"/>
  <c r="A5" i="122" s="1"/>
  <c r="A6" i="122" s="1"/>
  <c r="A7" i="122" s="1"/>
  <c r="A8" i="122" s="1"/>
  <c r="A9" i="122" s="1"/>
  <c r="A10" i="122" s="1"/>
  <c r="A11" i="122" s="1"/>
  <c r="A12" i="122" s="1"/>
  <c r="A13" i="122" s="1"/>
  <c r="A14" i="122" s="1"/>
  <c r="A15" i="122" s="1"/>
  <c r="A16" i="122" s="1"/>
  <c r="A17" i="122" s="1"/>
  <c r="A18" i="122" s="1"/>
  <c r="A19" i="122" s="1"/>
  <c r="A20" i="122" s="1"/>
  <c r="A21" i="122" s="1"/>
  <c r="A22" i="122" s="1"/>
  <c r="A23" i="122" s="1"/>
  <c r="A24" i="122" s="1"/>
  <c r="A25" i="122" s="1"/>
  <c r="A26" i="122" s="1"/>
  <c r="A27" i="122" s="1"/>
  <c r="A28" i="122" s="1"/>
  <c r="A29" i="122" s="1"/>
  <c r="A30" i="122" s="1"/>
  <c r="A31" i="122" s="1"/>
  <c r="A32" i="122" s="1"/>
  <c r="A33" i="122" s="1"/>
  <c r="A34" i="122" s="1"/>
  <c r="A35" i="122" s="1"/>
  <c r="A36" i="122" s="1"/>
  <c r="A37" i="122" s="1"/>
  <c r="A38" i="122" s="1"/>
  <c r="A39" i="122" s="1"/>
  <c r="A40" i="122" s="1"/>
  <c r="A41" i="122" s="1"/>
  <c r="A42" i="122" s="1"/>
  <c r="A43" i="122" s="1"/>
  <c r="A44" i="122" s="1"/>
  <c r="A45" i="122" s="1"/>
  <c r="A46" i="122" s="1"/>
  <c r="A47" i="122" s="1"/>
  <c r="A48" i="122" s="1"/>
  <c r="A49" i="122" s="1"/>
  <c r="A50" i="122" s="1"/>
  <c r="A51" i="122" s="1"/>
  <c r="A52" i="122" s="1"/>
  <c r="A53" i="122" s="1"/>
  <c r="A54" i="122" s="1"/>
  <c r="A55" i="122" s="1"/>
  <c r="A56" i="122" s="1"/>
  <c r="A57" i="122" s="1"/>
  <c r="A58" i="122" s="1"/>
  <c r="A59" i="122" s="1"/>
  <c r="A60" i="122" s="1"/>
  <c r="A61" i="122" s="1"/>
  <c r="A62" i="122" s="1"/>
  <c r="A63" i="122" s="1"/>
  <c r="A64" i="122" s="1"/>
  <c r="A65" i="122" s="1"/>
  <c r="A66" i="122" s="1"/>
  <c r="A67" i="122" s="1"/>
  <c r="A68" i="122" s="1"/>
  <c r="A69" i="122" s="1"/>
  <c r="A70" i="122" s="1"/>
  <c r="A71" i="122" s="1"/>
  <c r="A72" i="122" s="1"/>
  <c r="A73" i="122" s="1"/>
  <c r="A74" i="122" s="1"/>
  <c r="A75" i="122" s="1"/>
  <c r="A76" i="122" s="1"/>
  <c r="A77" i="122" s="1"/>
  <c r="A78" i="122" s="1"/>
  <c r="A79" i="122" s="1"/>
  <c r="A80" i="122" s="1"/>
  <c r="A81" i="122" s="1"/>
  <c r="A82" i="122" s="1"/>
  <c r="A83" i="122" s="1"/>
  <c r="A84" i="122" s="1"/>
  <c r="A85" i="122" s="1"/>
  <c r="A86" i="122" s="1"/>
  <c r="A87" i="122" s="1"/>
  <c r="A88" i="122" s="1"/>
  <c r="A89" i="122" s="1"/>
  <c r="A90" i="122" s="1"/>
  <c r="A91" i="122" s="1"/>
  <c r="B11" i="150"/>
  <c r="F11" i="23" l="1"/>
  <c r="F21" i="23" s="1"/>
  <c r="F25" i="23" s="1"/>
  <c r="H17" i="25" s="1"/>
  <c r="H20" i="25" s="1"/>
  <c r="N11" i="150"/>
  <c r="N26" i="150"/>
  <c r="N39" i="150"/>
  <c r="E12" i="11" l="1"/>
  <c r="N13" i="150"/>
  <c r="U11" i="119"/>
  <c r="N33" i="150"/>
  <c r="N34" i="150" s="1"/>
  <c r="N27" i="150"/>
  <c r="B3" i="53" l="1"/>
  <c r="E11" i="58" l="1"/>
  <c r="AU42" i="148"/>
  <c r="E11" i="14" s="1"/>
  <c r="E15" i="58" l="1"/>
  <c r="E17" i="58"/>
  <c r="N40" i="150"/>
  <c r="N42" i="150" s="1"/>
  <c r="E19" i="58" l="1"/>
  <c r="E13" i="13" s="1"/>
  <c r="E19" i="14" l="1"/>
  <c r="E18" i="11" s="1"/>
  <c r="E25" i="11" l="1"/>
  <c r="G20" i="12" s="1"/>
  <c r="G23" i="12" l="1"/>
  <c r="D8" i="31" s="1"/>
  <c r="D10" i="31" s="1"/>
  <c r="E9" i="13" s="1"/>
  <c r="F9" i="13" l="1"/>
  <c r="F10" i="13"/>
  <c r="G7" i="13" s="1"/>
  <c r="G9" i="13" s="1"/>
  <c r="E21" i="13" s="1"/>
  <c r="F8" i="13"/>
  <c r="F7" i="13"/>
  <c r="G8" i="13" s="1"/>
  <c r="G10" i="13" s="1"/>
  <c r="F11" i="13" l="1"/>
  <c r="G52" i="52"/>
  <c r="K9" i="34" l="1"/>
  <c r="I9" i="34"/>
  <c r="I14" i="34"/>
  <c r="I13" i="34"/>
  <c r="I12" i="34"/>
  <c r="I11" i="34"/>
  <c r="I10" i="34"/>
  <c r="K12" i="34"/>
  <c r="K10" i="34"/>
  <c r="K13" i="34"/>
  <c r="K11" i="34"/>
  <c r="K14" i="34"/>
  <c r="I16" i="34" l="1"/>
  <c r="K16" i="34"/>
  <c r="E19" i="34" s="1"/>
  <c r="I52" i="52"/>
  <c r="E24" i="34"/>
  <c r="E26" i="34" s="1"/>
  <c r="G22" i="34" s="1"/>
  <c r="E18" i="34"/>
  <c r="G18" i="34"/>
  <c r="K52" i="52"/>
  <c r="E22" i="34" l="1"/>
  <c r="M12" i="420" l="1"/>
  <c r="O12" i="420" l="1"/>
  <c r="M21" i="42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<sst xmlns="http://schemas.openxmlformats.org/spreadsheetml/2006/main" count="11989" uniqueCount="4618">
  <si>
    <t>CAPITALIZATION AND FINANCIAL STATISTICS  (1)</t>
  </si>
  <si>
    <t>Capital Structure:</t>
  </si>
  <si>
    <t xml:space="preserve">     Long Term Debt</t>
  </si>
  <si>
    <t xml:space="preserve">     Preferred Stock</t>
  </si>
  <si>
    <t>(MILLIONS OF DOLLARS)</t>
  </si>
  <si>
    <t xml:space="preserve"> </t>
  </si>
  <si>
    <t>CAPITALIZATION STATISTICS</t>
  </si>
  <si>
    <t>Com Eq / Shares Out.</t>
  </si>
  <si>
    <t>Common Shares Outst.</t>
  </si>
  <si>
    <t>AMOUNT OF CAPITAL EMPLOYED</t>
  </si>
  <si>
    <t>Common Equity</t>
  </si>
  <si>
    <t xml:space="preserve">     TOTAL PERMANENT CAPITAL</t>
  </si>
  <si>
    <t xml:space="preserve">     SHORT-TERM DEBT</t>
  </si>
  <si>
    <t>Total Permanent Capital</t>
  </si>
  <si>
    <t xml:space="preserve">          TOTAL CAPITAL EMPLOYED</t>
  </si>
  <si>
    <t>Short Term Debt</t>
  </si>
  <si>
    <t>INDICATED AVERAGE CAPITAL COST RATES  (2)</t>
  </si>
  <si>
    <t>EPS excluding extra</t>
  </si>
  <si>
    <t>%</t>
  </si>
  <si>
    <t>Price - High</t>
  </si>
  <si>
    <t xml:space="preserve">     PREFERRED STOCK</t>
  </si>
  <si>
    <t>Price - Low</t>
  </si>
  <si>
    <t>AVERAGE</t>
  </si>
  <si>
    <t>Average Price</t>
  </si>
  <si>
    <t>FINANCIAL RATIOS - MARKET BASED</t>
  </si>
  <si>
    <t xml:space="preserve">     EARNINGS / PRICE RATIO</t>
  </si>
  <si>
    <t>DPS by payable date</t>
  </si>
  <si>
    <t xml:space="preserve">     MARKET / AVERAGE BOOK RATIO </t>
  </si>
  <si>
    <t xml:space="preserve">     DIVIDEND YIELD</t>
  </si>
  <si>
    <t xml:space="preserve">     DIVIDEND PAYOUT RATIO</t>
  </si>
  <si>
    <t>CAPITAL STRUCTURE RATIOS</t>
  </si>
  <si>
    <t>Total Capital</t>
  </si>
  <si>
    <t xml:space="preserve">     BASED ON TOTAL PERMANENT CAPITAL:</t>
  </si>
  <si>
    <t xml:space="preserve">          LONG-TERM DEBT</t>
  </si>
  <si>
    <t xml:space="preserve">          PREFERRED STOCK</t>
  </si>
  <si>
    <t xml:space="preserve">          COMMON EQUITY</t>
  </si>
  <si>
    <t xml:space="preserve">               TOTAL</t>
  </si>
  <si>
    <t>AFUDC</t>
  </si>
  <si>
    <t xml:space="preserve">     BASED ON TOTAL CAPITAL:</t>
  </si>
  <si>
    <t xml:space="preserve">          TOTAL DEBT, INCLUDING SHORT-TERM</t>
  </si>
  <si>
    <t>FINANCIAL STATISTICS</t>
  </si>
  <si>
    <t>RATE OF RETURN ON AVERAGE BOOK COMMON EQUITY</t>
  </si>
  <si>
    <t>Total Interest</t>
  </si>
  <si>
    <t>Net Income before Extra.</t>
  </si>
  <si>
    <t>x</t>
  </si>
  <si>
    <t>Preferred Stock Dividends</t>
  </si>
  <si>
    <t>CE Income before Extra.</t>
  </si>
  <si>
    <t>Common Dividends</t>
  </si>
  <si>
    <t>SEE PAGE 2 FOR NOTES.</t>
  </si>
  <si>
    <t>Sinking Fund Requirements</t>
  </si>
  <si>
    <t>calc</t>
  </si>
  <si>
    <t>Preferred Stk + Sink Fund Req.</t>
  </si>
  <si>
    <t>5 YEAR</t>
  </si>
  <si>
    <t>Total Debt</t>
  </si>
  <si>
    <t xml:space="preserve">     TOTAL DEBT </t>
  </si>
  <si>
    <t>Income Bef Extra Items-S&amp;U</t>
  </si>
  <si>
    <t>TOTAL DEBT / TOTAL CAPITAL</t>
  </si>
  <si>
    <t>FUNDS FROM OPERATIONS / TOTAL DEBT (4)</t>
  </si>
  <si>
    <t>Input Data</t>
  </si>
  <si>
    <t>Calculations</t>
  </si>
  <si>
    <t>TOTEQ</t>
  </si>
  <si>
    <t>EPSAPPCOMM</t>
  </si>
  <si>
    <t>INTEXP</t>
  </si>
  <si>
    <t>NETINC</t>
  </si>
  <si>
    <t>COMDIVS1</t>
  </si>
  <si>
    <t>LTDEBT</t>
  </si>
  <si>
    <t>PFD</t>
  </si>
  <si>
    <t>STDEBT</t>
  </si>
  <si>
    <t>PFDDIV</t>
  </si>
  <si>
    <t>INCBEFEXT</t>
  </si>
  <si>
    <t>INCAVAILCOMM</t>
  </si>
  <si>
    <t>NETOPGFC</t>
  </si>
  <si>
    <t>Net Operating Cash Flow</t>
  </si>
  <si>
    <t>Value Line Investment Survey</t>
  </si>
  <si>
    <t xml:space="preserve">Source of Information:  </t>
  </si>
  <si>
    <t xml:space="preserve">   Risk Premium</t>
  </si>
  <si>
    <t>Average of Hist'l &amp; Proj'd Market</t>
  </si>
  <si>
    <t>Historical Market Risk Premium</t>
  </si>
  <si>
    <t>SBBI Long-Term Gov't Bonds Income</t>
  </si>
  <si>
    <t>SBBI Common Stocks Total Return -</t>
  </si>
  <si>
    <t>Average</t>
  </si>
  <si>
    <t>Risk Premium</t>
  </si>
  <si>
    <t>Market</t>
  </si>
  <si>
    <t>Projected</t>
  </si>
  <si>
    <t>Consensus Forecast Yield for 30-year Treasury Bonds</t>
  </si>
  <si>
    <t>Blue Chip Financial Forecasts</t>
  </si>
  <si>
    <t>Total</t>
  </si>
  <si>
    <t>Est. Median Annual Total Return</t>
  </si>
  <si>
    <t>Est. Median Dividend Yield</t>
  </si>
  <si>
    <t>Date of Value Line Summary &amp; Index</t>
  </si>
  <si>
    <t xml:space="preserve">Est. Median Annual Appreciation Potential </t>
  </si>
  <si>
    <t>Est. Median Appreciation Potential 3 - 5 Yrs. Hence</t>
  </si>
  <si>
    <t>Line No.</t>
  </si>
  <si>
    <t>1.</t>
  </si>
  <si>
    <t>Notes:</t>
  </si>
  <si>
    <t>(1)</t>
  </si>
  <si>
    <t>(2)</t>
  </si>
  <si>
    <t>(3)</t>
  </si>
  <si>
    <t>(4)</t>
  </si>
  <si>
    <t>2.</t>
  </si>
  <si>
    <t>3.</t>
  </si>
  <si>
    <t xml:space="preserve">Notes:  </t>
  </si>
  <si>
    <t>Derivation of Equity Risk Premium Based on the Total Market Approach</t>
  </si>
  <si>
    <t>Using the Beta for</t>
  </si>
  <si>
    <t>4.</t>
  </si>
  <si>
    <t>5.</t>
  </si>
  <si>
    <t>6.</t>
  </si>
  <si>
    <t>Forecasted Equity Risk Premium</t>
  </si>
  <si>
    <t>7.</t>
  </si>
  <si>
    <t>8.</t>
  </si>
  <si>
    <t>(5)</t>
  </si>
  <si>
    <t>(6)</t>
  </si>
  <si>
    <t>Calculated equity risk</t>
  </si>
  <si>
    <t xml:space="preserve">   premium based on the</t>
  </si>
  <si>
    <t xml:space="preserve">   total market using</t>
  </si>
  <si>
    <t xml:space="preserve">   the beta approach (1)</t>
  </si>
  <si>
    <t xml:space="preserve">Mean equity risk premium </t>
  </si>
  <si>
    <t xml:space="preserve">   based on a study</t>
  </si>
  <si>
    <t xml:space="preserve">   using the holding period</t>
  </si>
  <si>
    <t xml:space="preserve">   returns of public utilities</t>
  </si>
  <si>
    <t xml:space="preserve">   with A rated bonds (2)</t>
  </si>
  <si>
    <t>Average equity risk premium</t>
  </si>
  <si>
    <t>Line
No.</t>
  </si>
  <si>
    <t>Indicated Common Equity Cost Rate</t>
  </si>
  <si>
    <t>Through Use of a Risk Premium Model</t>
  </si>
  <si>
    <t>Using an Adjusted Total Market Approach</t>
  </si>
  <si>
    <t>Prospective Yield on Aaa Rated</t>
  </si>
  <si>
    <t xml:space="preserve">   Corporate Bonds (1)</t>
  </si>
  <si>
    <t>Adjustment to Reflect Yield Spread</t>
  </si>
  <si>
    <t xml:space="preserve">   Between Aaa Rated Corporate</t>
  </si>
  <si>
    <t xml:space="preserve">   Public Utility Bonds</t>
  </si>
  <si>
    <t xml:space="preserve">  Risk Premium Derived Common</t>
  </si>
  <si>
    <t xml:space="preserve">      Equity Cost Rate</t>
  </si>
  <si>
    <t>Brief Summary of Common Equity Cost Rate</t>
  </si>
  <si>
    <t>Principal Methods</t>
  </si>
  <si>
    <t>Discounted Cash Flow Model (DCF) (1)</t>
  </si>
  <si>
    <t>Risk Premium Model (RPM) (2)</t>
  </si>
  <si>
    <t>Capital Asset Pricing Model (CAPM) (3)</t>
  </si>
  <si>
    <t>Recommended Common Equity Cost Rate</t>
  </si>
  <si>
    <t xml:space="preserve"> Notes:  </t>
  </si>
  <si>
    <t>Moody's</t>
  </si>
  <si>
    <t>Standard &amp; Poor's</t>
  </si>
  <si>
    <t>TOTAL DEBT / EBITDA (3)</t>
  </si>
  <si>
    <t>Yahoo</t>
  </si>
  <si>
    <t>Bond Ratings</t>
  </si>
  <si>
    <t>Beta</t>
  </si>
  <si>
    <t>Source of Information:</t>
  </si>
  <si>
    <t>Date</t>
  </si>
  <si>
    <t>Average Dividend Yield</t>
  </si>
  <si>
    <t>Adjusted Dividend Yield</t>
  </si>
  <si>
    <t>Market Models Applied to Comparable Risk, Non-Price Regulated Companies (4)</t>
  </si>
  <si>
    <t>Sources of Information:</t>
  </si>
  <si>
    <t>Aaa Bonds</t>
  </si>
  <si>
    <t>PRPM Results</t>
  </si>
  <si>
    <t>Historical Equity Risk Premium</t>
  </si>
  <si>
    <t>Company Name</t>
  </si>
  <si>
    <t>AWK</t>
  </si>
  <si>
    <t>Indicated Dividend</t>
  </si>
  <si>
    <t>Company</t>
  </si>
  <si>
    <t>Average Dividend Yield (1)</t>
  </si>
  <si>
    <t>Value Line Projected Five Year Growth in EPS (2)</t>
  </si>
  <si>
    <t>Zack's Five Year Projected Growth Rate in EPS</t>
  </si>
  <si>
    <t>Yahoo! Finance Projected Five Year Growth in EPS</t>
  </si>
  <si>
    <t>Average Projected Five Year Growth in EPS (3)</t>
  </si>
  <si>
    <t>Adjusted Dividend Yield (4)</t>
  </si>
  <si>
    <t>Indicated Common Equity Cost Rate (5)</t>
  </si>
  <si>
    <t>Indicated Common Equity Cost Rate Through Use</t>
  </si>
  <si>
    <t>of the Traditional Capital Asset Pricing Model (CAPM) and Empirical Capital Asset Pricing Model (ECAPM)</t>
  </si>
  <si>
    <t>Value Line Adjusted Beta</t>
  </si>
  <si>
    <t>Market Risk Premium (1)</t>
  </si>
  <si>
    <t>Risk-Free Rate (2)</t>
  </si>
  <si>
    <t xml:space="preserve">Basis of Selection of Comparable Risk </t>
  </si>
  <si>
    <t>Domestic Non-Price Regulated Companies</t>
  </si>
  <si>
    <t>TICKER</t>
  </si>
  <si>
    <t>SYMBOL</t>
  </si>
  <si>
    <t>Unadjusted Beta</t>
  </si>
  <si>
    <t>Residual Standard Error of the Regression</t>
  </si>
  <si>
    <t>Standard Deviation of Beta</t>
  </si>
  <si>
    <t xml:space="preserve">   Devs. of the Residual Std. Err.)</t>
  </si>
  <si>
    <t>Std. dev. of the Res. Std. Err.</t>
  </si>
  <si>
    <t>Proxy Group of Non-Price Regulated Companies</t>
  </si>
  <si>
    <t>Ticker</t>
  </si>
  <si>
    <t>R Factor</t>
  </si>
  <si>
    <t>Median</t>
  </si>
  <si>
    <t>Numerical Weighting (1)</t>
  </si>
  <si>
    <t>KR</t>
  </si>
  <si>
    <t>SHW</t>
  </si>
  <si>
    <t>Value Line Projected Five Year Growth in EPS</t>
  </si>
  <si>
    <t>Average Projected Five Year Growth Rate in EPS</t>
  </si>
  <si>
    <t>A2</t>
  </si>
  <si>
    <t>A+</t>
  </si>
  <si>
    <t>A1</t>
  </si>
  <si>
    <t>A</t>
  </si>
  <si>
    <t>A-</t>
  </si>
  <si>
    <t>NA= Not Available</t>
  </si>
  <si>
    <t>Average of CAPM and ECAPM cost rates.</t>
  </si>
  <si>
    <t>GARCH Coefficient</t>
  </si>
  <si>
    <t>Source Information:</t>
  </si>
  <si>
    <t>AEP</t>
  </si>
  <si>
    <t>EIX</t>
  </si>
  <si>
    <t>FE</t>
  </si>
  <si>
    <t>NEE</t>
  </si>
  <si>
    <t>PNW</t>
  </si>
  <si>
    <t>PPL</t>
  </si>
  <si>
    <t>SO</t>
  </si>
  <si>
    <t>AEE</t>
  </si>
  <si>
    <t>CNP</t>
  </si>
  <si>
    <t>CMS</t>
  </si>
  <si>
    <t>ED</t>
  </si>
  <si>
    <t>D</t>
  </si>
  <si>
    <t>DTE</t>
  </si>
  <si>
    <t>DUK</t>
  </si>
  <si>
    <t>ETR</t>
  </si>
  <si>
    <t>EXC</t>
  </si>
  <si>
    <t>NI</t>
  </si>
  <si>
    <t>PEG</t>
  </si>
  <si>
    <t>SRE</t>
  </si>
  <si>
    <t>WEC</t>
  </si>
  <si>
    <t>XEL</t>
  </si>
  <si>
    <t>A3</t>
  </si>
  <si>
    <t>Baa3</t>
  </si>
  <si>
    <t>BBB-</t>
  </si>
  <si>
    <t>BBB</t>
  </si>
  <si>
    <t>BBB+</t>
  </si>
  <si>
    <t>Baa1</t>
  </si>
  <si>
    <t>Baa2</t>
  </si>
  <si>
    <t>B1</t>
  </si>
  <si>
    <t>Ba2</t>
  </si>
  <si>
    <t>Risk Premium Using an Adjusted Total Market Approach (2)</t>
  </si>
  <si>
    <t>2015M02</t>
  </si>
  <si>
    <t>2015M01</t>
  </si>
  <si>
    <t>2014M12</t>
  </si>
  <si>
    <t>2014M11</t>
  </si>
  <si>
    <t>2014M10</t>
  </si>
  <si>
    <t>2014M09</t>
  </si>
  <si>
    <t>2014M08</t>
  </si>
  <si>
    <t>2014M07</t>
  </si>
  <si>
    <t>2014M06</t>
  </si>
  <si>
    <t>2014M05</t>
  </si>
  <si>
    <t>2014M04</t>
  </si>
  <si>
    <t>2014M03</t>
  </si>
  <si>
    <t>2014M02</t>
  </si>
  <si>
    <t>2014M01</t>
  </si>
  <si>
    <t>2013M12</t>
  </si>
  <si>
    <t>2013M11</t>
  </si>
  <si>
    <t>2013M10</t>
  </si>
  <si>
    <t>2013M09</t>
  </si>
  <si>
    <t>2013M08</t>
  </si>
  <si>
    <t>2013M07</t>
  </si>
  <si>
    <t>2013M06</t>
  </si>
  <si>
    <t>2013M05</t>
  </si>
  <si>
    <t>2013M04</t>
  </si>
  <si>
    <t>2013M03</t>
  </si>
  <si>
    <t>2013M02</t>
  </si>
  <si>
    <t>2013M01</t>
  </si>
  <si>
    <t>2012M12</t>
  </si>
  <si>
    <t>2012M11</t>
  </si>
  <si>
    <t>2012M10</t>
  </si>
  <si>
    <t>2012M09</t>
  </si>
  <si>
    <t>2012M08</t>
  </si>
  <si>
    <t>2012M07</t>
  </si>
  <si>
    <t>2012M06</t>
  </si>
  <si>
    <t>2012M05</t>
  </si>
  <si>
    <t>2012M04</t>
  </si>
  <si>
    <t>2012M03</t>
  </si>
  <si>
    <t>2012M02</t>
  </si>
  <si>
    <t>2012M01</t>
  </si>
  <si>
    <t>2011M12</t>
  </si>
  <si>
    <t>2011M11</t>
  </si>
  <si>
    <t>2011M10</t>
  </si>
  <si>
    <t>2011M09</t>
  </si>
  <si>
    <t>2011M08</t>
  </si>
  <si>
    <t>2011M07</t>
  </si>
  <si>
    <t>2011M06</t>
  </si>
  <si>
    <t>2011M05</t>
  </si>
  <si>
    <t>2011M04</t>
  </si>
  <si>
    <t>2011M03</t>
  </si>
  <si>
    <t>2011M02</t>
  </si>
  <si>
    <t>2011M01</t>
  </si>
  <si>
    <t>2010M12</t>
  </si>
  <si>
    <t>2010M11</t>
  </si>
  <si>
    <t>2010M10</t>
  </si>
  <si>
    <t>2010M09</t>
  </si>
  <si>
    <t>2010M08</t>
  </si>
  <si>
    <t>2010M07</t>
  </si>
  <si>
    <t>2010M06</t>
  </si>
  <si>
    <t>2010M05</t>
  </si>
  <si>
    <t>2010M04</t>
  </si>
  <si>
    <t>2010M03</t>
  </si>
  <si>
    <t>2010M02</t>
  </si>
  <si>
    <t>2010M01</t>
  </si>
  <si>
    <t>2009M12</t>
  </si>
  <si>
    <t>2009M11</t>
  </si>
  <si>
    <t>2009M10</t>
  </si>
  <si>
    <t>2009M09</t>
  </si>
  <si>
    <t>2009M08</t>
  </si>
  <si>
    <t>2009M07</t>
  </si>
  <si>
    <t>2009M06</t>
  </si>
  <si>
    <t>2009M05</t>
  </si>
  <si>
    <t>2009M04</t>
  </si>
  <si>
    <t>2009M03</t>
  </si>
  <si>
    <t>2009M02</t>
  </si>
  <si>
    <t>2009M01</t>
  </si>
  <si>
    <t>2008M12</t>
  </si>
  <si>
    <t>2008M11</t>
  </si>
  <si>
    <t>2008M10</t>
  </si>
  <si>
    <t>2008M09</t>
  </si>
  <si>
    <t>2008M08</t>
  </si>
  <si>
    <t>2008M07</t>
  </si>
  <si>
    <t>2008M06</t>
  </si>
  <si>
    <t>2008M05</t>
  </si>
  <si>
    <t>2008M04</t>
  </si>
  <si>
    <t>2008M03</t>
  </si>
  <si>
    <t>2008M02</t>
  </si>
  <si>
    <t>2008M01</t>
  </si>
  <si>
    <t>2007M12</t>
  </si>
  <si>
    <t>2007M11</t>
  </si>
  <si>
    <t>2007M10</t>
  </si>
  <si>
    <t>2007M09</t>
  </si>
  <si>
    <t>2007M08</t>
  </si>
  <si>
    <t>2007M07</t>
  </si>
  <si>
    <t>2007M06</t>
  </si>
  <si>
    <t>2007M05</t>
  </si>
  <si>
    <t>2007M04</t>
  </si>
  <si>
    <t>2007M03</t>
  </si>
  <si>
    <t>2007M02</t>
  </si>
  <si>
    <t>2007M01</t>
  </si>
  <si>
    <t>2006M12</t>
  </si>
  <si>
    <t>2006M11</t>
  </si>
  <si>
    <t>2006M10</t>
  </si>
  <si>
    <t>2006M09</t>
  </si>
  <si>
    <t>2006M08</t>
  </si>
  <si>
    <t>2006M07</t>
  </si>
  <si>
    <t>2006M06</t>
  </si>
  <si>
    <t>2006M05</t>
  </si>
  <si>
    <t>2006M04</t>
  </si>
  <si>
    <t>2006M03</t>
  </si>
  <si>
    <t>2006M02</t>
  </si>
  <si>
    <t>2006M01</t>
  </si>
  <si>
    <t>2005M12</t>
  </si>
  <si>
    <t>2005M11</t>
  </si>
  <si>
    <t>2005M10</t>
  </si>
  <si>
    <t>2005M09</t>
  </si>
  <si>
    <t>2005M08</t>
  </si>
  <si>
    <t>2005M07</t>
  </si>
  <si>
    <t>2005M06</t>
  </si>
  <si>
    <t>2005M05</t>
  </si>
  <si>
    <t>2005M04</t>
  </si>
  <si>
    <t>2005M03</t>
  </si>
  <si>
    <t>2005M02</t>
  </si>
  <si>
    <t>2005M01</t>
  </si>
  <si>
    <t>2004M12</t>
  </si>
  <si>
    <t>2004M11</t>
  </si>
  <si>
    <t>2004M10</t>
  </si>
  <si>
    <t>2004M09</t>
  </si>
  <si>
    <t>2004M08</t>
  </si>
  <si>
    <t>2004M07</t>
  </si>
  <si>
    <t>2004M06</t>
  </si>
  <si>
    <t>2004M05</t>
  </si>
  <si>
    <t>2004M04</t>
  </si>
  <si>
    <t>2004M03</t>
  </si>
  <si>
    <t>2004M02</t>
  </si>
  <si>
    <t>2004M01</t>
  </si>
  <si>
    <t>2003M12</t>
  </si>
  <si>
    <t>2003M11</t>
  </si>
  <si>
    <t>2003M10</t>
  </si>
  <si>
    <t>2003M09</t>
  </si>
  <si>
    <t>2003M08</t>
  </si>
  <si>
    <t>2003M07</t>
  </si>
  <si>
    <t>2003M06</t>
  </si>
  <si>
    <t>2003M05</t>
  </si>
  <si>
    <t>2003M04</t>
  </si>
  <si>
    <t>2003M03</t>
  </si>
  <si>
    <t>2003M02</t>
  </si>
  <si>
    <t>2003M01</t>
  </si>
  <si>
    <t>2002M12</t>
  </si>
  <si>
    <t>2002M11</t>
  </si>
  <si>
    <t>2002M10</t>
  </si>
  <si>
    <t>2002M09</t>
  </si>
  <si>
    <t>2002M08</t>
  </si>
  <si>
    <t>2002M07</t>
  </si>
  <si>
    <t>2002M06</t>
  </si>
  <si>
    <t>2002M05</t>
  </si>
  <si>
    <t>2002M04</t>
  </si>
  <si>
    <t>2002M03</t>
  </si>
  <si>
    <t>2002M02</t>
  </si>
  <si>
    <t>2002M01</t>
  </si>
  <si>
    <t>2001M12</t>
  </si>
  <si>
    <t>2001M11</t>
  </si>
  <si>
    <t>2001M10</t>
  </si>
  <si>
    <t>2001M09</t>
  </si>
  <si>
    <t>2001M08</t>
  </si>
  <si>
    <t>2001M07</t>
  </si>
  <si>
    <t>2001M06</t>
  </si>
  <si>
    <t>2001M05</t>
  </si>
  <si>
    <t>2001M04</t>
  </si>
  <si>
    <t>2001M03</t>
  </si>
  <si>
    <t>2001M02</t>
  </si>
  <si>
    <t>2001M01</t>
  </si>
  <si>
    <t>2000M12</t>
  </si>
  <si>
    <t>2000M11</t>
  </si>
  <si>
    <t>2000M10</t>
  </si>
  <si>
    <t>2000M09</t>
  </si>
  <si>
    <t>2000M08</t>
  </si>
  <si>
    <t>2000M07</t>
  </si>
  <si>
    <t>2000M06</t>
  </si>
  <si>
    <t>2000M05</t>
  </si>
  <si>
    <t>2000M04</t>
  </si>
  <si>
    <t>2000M03</t>
  </si>
  <si>
    <t>2000M02</t>
  </si>
  <si>
    <t>2000M01</t>
  </si>
  <si>
    <t>1999M12</t>
  </si>
  <si>
    <t>1999M11</t>
  </si>
  <si>
    <t>1999M10</t>
  </si>
  <si>
    <t>1999M09</t>
  </si>
  <si>
    <t>1999M08</t>
  </si>
  <si>
    <t>1999M07</t>
  </si>
  <si>
    <t>1999M06</t>
  </si>
  <si>
    <t>1999M05</t>
  </si>
  <si>
    <t>1999M04</t>
  </si>
  <si>
    <t>1999M03</t>
  </si>
  <si>
    <t>1999M02</t>
  </si>
  <si>
    <t>1999M01</t>
  </si>
  <si>
    <t>1998M12</t>
  </si>
  <si>
    <t>1998M11</t>
  </si>
  <si>
    <t>1998M10</t>
  </si>
  <si>
    <t>1998M09</t>
  </si>
  <si>
    <t>1998M08</t>
  </si>
  <si>
    <t>1998M07</t>
  </si>
  <si>
    <t>1998M06</t>
  </si>
  <si>
    <t>1998M05</t>
  </si>
  <si>
    <t>1998M04</t>
  </si>
  <si>
    <t>1998M03</t>
  </si>
  <si>
    <t>1998M02</t>
  </si>
  <si>
    <t>1998M01</t>
  </si>
  <si>
    <t>1997M12</t>
  </si>
  <si>
    <t>1997M11</t>
  </si>
  <si>
    <t>1997M10</t>
  </si>
  <si>
    <t>1997M09</t>
  </si>
  <si>
    <t>1997M08</t>
  </si>
  <si>
    <t>1997M07</t>
  </si>
  <si>
    <t>1997M06</t>
  </si>
  <si>
    <t>1997M05</t>
  </si>
  <si>
    <t>1997M04</t>
  </si>
  <si>
    <t>1997M03</t>
  </si>
  <si>
    <t>1997M02</t>
  </si>
  <si>
    <t>1997M01</t>
  </si>
  <si>
    <t>1996M12</t>
  </si>
  <si>
    <t>1996M11</t>
  </si>
  <si>
    <t>1996M10</t>
  </si>
  <si>
    <t>1996M09</t>
  </si>
  <si>
    <t>1996M08</t>
  </si>
  <si>
    <t>1996M07</t>
  </si>
  <si>
    <t>1996M06</t>
  </si>
  <si>
    <t>1996M05</t>
  </si>
  <si>
    <t>1996M04</t>
  </si>
  <si>
    <t>1996M03</t>
  </si>
  <si>
    <t>1996M02</t>
  </si>
  <si>
    <t>1996M01</t>
  </si>
  <si>
    <t>1995M12</t>
  </si>
  <si>
    <t>1995M11</t>
  </si>
  <si>
    <t>1995M10</t>
  </si>
  <si>
    <t>1995M09</t>
  </si>
  <si>
    <t>1995M08</t>
  </si>
  <si>
    <t>1995M07</t>
  </si>
  <si>
    <t>1995M06</t>
  </si>
  <si>
    <t>1995M05</t>
  </si>
  <si>
    <t>1995M04</t>
  </si>
  <si>
    <t>1995M03</t>
  </si>
  <si>
    <t>1995M02</t>
  </si>
  <si>
    <t>1995M01</t>
  </si>
  <si>
    <t>1994M12</t>
  </si>
  <si>
    <t>1994M11</t>
  </si>
  <si>
    <t>1994M10</t>
  </si>
  <si>
    <t>1994M09</t>
  </si>
  <si>
    <t>1994M08</t>
  </si>
  <si>
    <t>1994M07</t>
  </si>
  <si>
    <t>1994M06</t>
  </si>
  <si>
    <t>1994M05</t>
  </si>
  <si>
    <t>1994M04</t>
  </si>
  <si>
    <t>1994M03</t>
  </si>
  <si>
    <t>1994M02</t>
  </si>
  <si>
    <t>1994M01</t>
  </si>
  <si>
    <t>1993M12</t>
  </si>
  <si>
    <t>1993M11</t>
  </si>
  <si>
    <t>1993M10</t>
  </si>
  <si>
    <t>1993M09</t>
  </si>
  <si>
    <t>1993M08</t>
  </si>
  <si>
    <t>1993M07</t>
  </si>
  <si>
    <t>1993M06</t>
  </si>
  <si>
    <t>1993M05</t>
  </si>
  <si>
    <t>1993M04</t>
  </si>
  <si>
    <t>1993M03</t>
  </si>
  <si>
    <t>1993M02</t>
  </si>
  <si>
    <t>1993M01</t>
  </si>
  <si>
    <t>1992M12</t>
  </si>
  <si>
    <t>1992M11</t>
  </si>
  <si>
    <t>1992M10</t>
  </si>
  <si>
    <t>1992M09</t>
  </si>
  <si>
    <t>1992M08</t>
  </si>
  <si>
    <t>1992M07</t>
  </si>
  <si>
    <t>1992M06</t>
  </si>
  <si>
    <t>1992M05</t>
  </si>
  <si>
    <t>1992M04</t>
  </si>
  <si>
    <t>1992M03</t>
  </si>
  <si>
    <t>1992M02</t>
  </si>
  <si>
    <t>1992M01</t>
  </si>
  <si>
    <t>1991M12</t>
  </si>
  <si>
    <t>1991M11</t>
  </si>
  <si>
    <t>1991M10</t>
  </si>
  <si>
    <t>1991M09</t>
  </si>
  <si>
    <t>1991M08</t>
  </si>
  <si>
    <t>1991M07</t>
  </si>
  <si>
    <t>1991M06</t>
  </si>
  <si>
    <t>1991M05</t>
  </si>
  <si>
    <t>1991M04</t>
  </si>
  <si>
    <t>1991M03</t>
  </si>
  <si>
    <t>1991M02</t>
  </si>
  <si>
    <t>1991M01</t>
  </si>
  <si>
    <t>1990M12</t>
  </si>
  <si>
    <t>1990M11</t>
  </si>
  <si>
    <t>1990M10</t>
  </si>
  <si>
    <t>1990M09</t>
  </si>
  <si>
    <t>1990M08</t>
  </si>
  <si>
    <t>1990M07</t>
  </si>
  <si>
    <t>1990M06</t>
  </si>
  <si>
    <t>1990M05</t>
  </si>
  <si>
    <t>1990M04</t>
  </si>
  <si>
    <t>1990M03</t>
  </si>
  <si>
    <t>1990M02</t>
  </si>
  <si>
    <t>1990M01</t>
  </si>
  <si>
    <t>1989M12</t>
  </si>
  <si>
    <t>1989M11</t>
  </si>
  <si>
    <t>1989M10</t>
  </si>
  <si>
    <t>1989M09</t>
  </si>
  <si>
    <t>1989M08</t>
  </si>
  <si>
    <t>1989M07</t>
  </si>
  <si>
    <t>1989M06</t>
  </si>
  <si>
    <t>1989M05</t>
  </si>
  <si>
    <t>1989M04</t>
  </si>
  <si>
    <t>1989M03</t>
  </si>
  <si>
    <t>1989M02</t>
  </si>
  <si>
    <t>1989M01</t>
  </si>
  <si>
    <t>1988M12</t>
  </si>
  <si>
    <t>1988M11</t>
  </si>
  <si>
    <t>1988M10</t>
  </si>
  <si>
    <t>1988M09</t>
  </si>
  <si>
    <t>1988M08</t>
  </si>
  <si>
    <t>1988M07</t>
  </si>
  <si>
    <t>1988M06</t>
  </si>
  <si>
    <t>1988M05</t>
  </si>
  <si>
    <t>1988M04</t>
  </si>
  <si>
    <t>1988M03</t>
  </si>
  <si>
    <t>1988M02</t>
  </si>
  <si>
    <t>1988M01</t>
  </si>
  <si>
    <t>1987M12</t>
  </si>
  <si>
    <t>1987M11</t>
  </si>
  <si>
    <t>1987M10</t>
  </si>
  <si>
    <t>1987M09</t>
  </si>
  <si>
    <t>1987M08</t>
  </si>
  <si>
    <t>1987M07</t>
  </si>
  <si>
    <t>1987M06</t>
  </si>
  <si>
    <t>1987M05</t>
  </si>
  <si>
    <t>1987M04</t>
  </si>
  <si>
    <t>1987M03</t>
  </si>
  <si>
    <t>1987M02</t>
  </si>
  <si>
    <t>1987M01</t>
  </si>
  <si>
    <t>1986M12</t>
  </si>
  <si>
    <t>1986M11</t>
  </si>
  <si>
    <t>1986M10</t>
  </si>
  <si>
    <t>1986M09</t>
  </si>
  <si>
    <t>1986M08</t>
  </si>
  <si>
    <t>1986M07</t>
  </si>
  <si>
    <t>1986M06</t>
  </si>
  <si>
    <t>1986M05</t>
  </si>
  <si>
    <t>1986M04</t>
  </si>
  <si>
    <t>1986M03</t>
  </si>
  <si>
    <t>1986M02</t>
  </si>
  <si>
    <t>1986M01</t>
  </si>
  <si>
    <t>1985M12</t>
  </si>
  <si>
    <t>1985M11</t>
  </si>
  <si>
    <t>1985M10</t>
  </si>
  <si>
    <t>1985M09</t>
  </si>
  <si>
    <t>1985M08</t>
  </si>
  <si>
    <t>1985M07</t>
  </si>
  <si>
    <t>1985M06</t>
  </si>
  <si>
    <t>1985M05</t>
  </si>
  <si>
    <t>1985M04</t>
  </si>
  <si>
    <t>1985M03</t>
  </si>
  <si>
    <t>1985M02</t>
  </si>
  <si>
    <t>1985M01</t>
  </si>
  <si>
    <t>1984M12</t>
  </si>
  <si>
    <t>1984M11</t>
  </si>
  <si>
    <t>1984M10</t>
  </si>
  <si>
    <t>1984M09</t>
  </si>
  <si>
    <t>1984M08</t>
  </si>
  <si>
    <t>1984M07</t>
  </si>
  <si>
    <t>1984M06</t>
  </si>
  <si>
    <t>1984M05</t>
  </si>
  <si>
    <t>1984M04</t>
  </si>
  <si>
    <t>1984M03</t>
  </si>
  <si>
    <t>1984M02</t>
  </si>
  <si>
    <t>1984M01</t>
  </si>
  <si>
    <t>1983M12</t>
  </si>
  <si>
    <t>1983M11</t>
  </si>
  <si>
    <t>1983M10</t>
  </si>
  <si>
    <t>1983M09</t>
  </si>
  <si>
    <t>1983M08</t>
  </si>
  <si>
    <t>1983M07</t>
  </si>
  <si>
    <t>1983M06</t>
  </si>
  <si>
    <t>1983M05</t>
  </si>
  <si>
    <t>1983M04</t>
  </si>
  <si>
    <t>1983M03</t>
  </si>
  <si>
    <t>1983M02</t>
  </si>
  <si>
    <t>1983M01</t>
  </si>
  <si>
    <t>1982M12</t>
  </si>
  <si>
    <t>1982M11</t>
  </si>
  <si>
    <t>1982M10</t>
  </si>
  <si>
    <t>1982M09</t>
  </si>
  <si>
    <t>1982M08</t>
  </si>
  <si>
    <t>1982M07</t>
  </si>
  <si>
    <t>1982M06</t>
  </si>
  <si>
    <t>1982M05</t>
  </si>
  <si>
    <t>1982M04</t>
  </si>
  <si>
    <t>1982M03</t>
  </si>
  <si>
    <t>1982M02</t>
  </si>
  <si>
    <t>1982M01</t>
  </si>
  <si>
    <t>1981M12</t>
  </si>
  <si>
    <t>1981M11</t>
  </si>
  <si>
    <t>1981M10</t>
  </si>
  <si>
    <t>1981M09</t>
  </si>
  <si>
    <t>1981M08</t>
  </si>
  <si>
    <t>1981M07</t>
  </si>
  <si>
    <t>1981M06</t>
  </si>
  <si>
    <t>1981M05</t>
  </si>
  <si>
    <t>1981M04</t>
  </si>
  <si>
    <t>1981M03</t>
  </si>
  <si>
    <t>1981M02</t>
  </si>
  <si>
    <t>1981M01</t>
  </si>
  <si>
    <t>1980M12</t>
  </si>
  <si>
    <t>1980M11</t>
  </si>
  <si>
    <t>1980M10</t>
  </si>
  <si>
    <t>1980M09</t>
  </si>
  <si>
    <t>1980M08</t>
  </si>
  <si>
    <t>1980M07</t>
  </si>
  <si>
    <t>1980M06</t>
  </si>
  <si>
    <t>1980M05</t>
  </si>
  <si>
    <t>1980M04</t>
  </si>
  <si>
    <t>1980M03</t>
  </si>
  <si>
    <t>1980M02</t>
  </si>
  <si>
    <t>1980M01</t>
  </si>
  <si>
    <t>1979M12</t>
  </si>
  <si>
    <t>1979M11</t>
  </si>
  <si>
    <t>1979M10</t>
  </si>
  <si>
    <t>1979M09</t>
  </si>
  <si>
    <t>1979M08</t>
  </si>
  <si>
    <t>1979M07</t>
  </si>
  <si>
    <t>1979M06</t>
  </si>
  <si>
    <t>1979M05</t>
  </si>
  <si>
    <t>1979M04</t>
  </si>
  <si>
    <t>1979M03</t>
  </si>
  <si>
    <t>1979M02</t>
  </si>
  <si>
    <t>1979M01</t>
  </si>
  <si>
    <t>1978M12</t>
  </si>
  <si>
    <t>1978M11</t>
  </si>
  <si>
    <t>1978M10</t>
  </si>
  <si>
    <t>1978M09</t>
  </si>
  <si>
    <t>1978M08</t>
  </si>
  <si>
    <t>1978M07</t>
  </si>
  <si>
    <t>1978M06</t>
  </si>
  <si>
    <t>1978M05</t>
  </si>
  <si>
    <t>1978M04</t>
  </si>
  <si>
    <t>1978M03</t>
  </si>
  <si>
    <t>1978M02</t>
  </si>
  <si>
    <t>1978M01</t>
  </si>
  <si>
    <t>1977M12</t>
  </si>
  <si>
    <t>1977M11</t>
  </si>
  <si>
    <t>1977M10</t>
  </si>
  <si>
    <t>1977M09</t>
  </si>
  <si>
    <t>1977M08</t>
  </si>
  <si>
    <t>1977M07</t>
  </si>
  <si>
    <t>1977M06</t>
  </si>
  <si>
    <t>1977M05</t>
  </si>
  <si>
    <t>1977M04</t>
  </si>
  <si>
    <t>1977M03</t>
  </si>
  <si>
    <t>1977M02</t>
  </si>
  <si>
    <t>1977M01</t>
  </si>
  <si>
    <t>1976M12</t>
  </si>
  <si>
    <t>1976M11</t>
  </si>
  <si>
    <t>1976M10</t>
  </si>
  <si>
    <t>1976M09</t>
  </si>
  <si>
    <t>1976M08</t>
  </si>
  <si>
    <t>1976M07</t>
  </si>
  <si>
    <t>1976M06</t>
  </si>
  <si>
    <t>1976M05</t>
  </si>
  <si>
    <t>1976M04</t>
  </si>
  <si>
    <t>1976M03</t>
  </si>
  <si>
    <t>1976M02</t>
  </si>
  <si>
    <t>1976M01</t>
  </si>
  <si>
    <t>1975M12</t>
  </si>
  <si>
    <t>1975M11</t>
  </si>
  <si>
    <t>1975M10</t>
  </si>
  <si>
    <t>1975M09</t>
  </si>
  <si>
    <t>1975M08</t>
  </si>
  <si>
    <t>1975M07</t>
  </si>
  <si>
    <t>1975M06</t>
  </si>
  <si>
    <t>1975M05</t>
  </si>
  <si>
    <t>1975M04</t>
  </si>
  <si>
    <t>1975M03</t>
  </si>
  <si>
    <t>1975M02</t>
  </si>
  <si>
    <t>1975M01</t>
  </si>
  <si>
    <t>1974M12</t>
  </si>
  <si>
    <t>1974M11</t>
  </si>
  <si>
    <t>1974M10</t>
  </si>
  <si>
    <t>1974M09</t>
  </si>
  <si>
    <t>1974M08</t>
  </si>
  <si>
    <t>1974M07</t>
  </si>
  <si>
    <t>1974M06</t>
  </si>
  <si>
    <t>1974M05</t>
  </si>
  <si>
    <t>1974M04</t>
  </si>
  <si>
    <t>1974M03</t>
  </si>
  <si>
    <t>1974M02</t>
  </si>
  <si>
    <t>1974M01</t>
  </si>
  <si>
    <t>1973M12</t>
  </si>
  <si>
    <t>1973M11</t>
  </si>
  <si>
    <t>1973M10</t>
  </si>
  <si>
    <t>1973M09</t>
  </si>
  <si>
    <t>1973M08</t>
  </si>
  <si>
    <t>1973M07</t>
  </si>
  <si>
    <t>1973M06</t>
  </si>
  <si>
    <t>1973M05</t>
  </si>
  <si>
    <t>1973M04</t>
  </si>
  <si>
    <t>1973M03</t>
  </si>
  <si>
    <t>1973M02</t>
  </si>
  <si>
    <t>1973M01</t>
  </si>
  <si>
    <t>1972M12</t>
  </si>
  <si>
    <t>1972M11</t>
  </si>
  <si>
    <t>1972M10</t>
  </si>
  <si>
    <t>1972M09</t>
  </si>
  <si>
    <t>1972M08</t>
  </si>
  <si>
    <t>1972M07</t>
  </si>
  <si>
    <t>1972M06</t>
  </si>
  <si>
    <t>1972M05</t>
  </si>
  <si>
    <t>1972M04</t>
  </si>
  <si>
    <t>1972M03</t>
  </si>
  <si>
    <t>1972M02</t>
  </si>
  <si>
    <t>1972M01</t>
  </si>
  <si>
    <t>1971M12</t>
  </si>
  <si>
    <t>1971M11</t>
  </si>
  <si>
    <t>1971M10</t>
  </si>
  <si>
    <t>1971M09</t>
  </si>
  <si>
    <t>1971M08</t>
  </si>
  <si>
    <t>1971M07</t>
  </si>
  <si>
    <t>1971M06</t>
  </si>
  <si>
    <t>1971M05</t>
  </si>
  <si>
    <t>1971M04</t>
  </si>
  <si>
    <t>1971M03</t>
  </si>
  <si>
    <t>1971M02</t>
  </si>
  <si>
    <t>1971M01</t>
  </si>
  <si>
    <t>1970M12</t>
  </si>
  <si>
    <t>1970M11</t>
  </si>
  <si>
    <t>1970M10</t>
  </si>
  <si>
    <t>1970M09</t>
  </si>
  <si>
    <t>1970M08</t>
  </si>
  <si>
    <t>1970M07</t>
  </si>
  <si>
    <t>1970M06</t>
  </si>
  <si>
    <t>1970M05</t>
  </si>
  <si>
    <t>1970M04</t>
  </si>
  <si>
    <t>1970M03</t>
  </si>
  <si>
    <t>1970M02</t>
  </si>
  <si>
    <t>1970M01</t>
  </si>
  <si>
    <t>1969M12</t>
  </si>
  <si>
    <t>1969M11</t>
  </si>
  <si>
    <t>1969M10</t>
  </si>
  <si>
    <t>1969M09</t>
  </si>
  <si>
    <t>1969M08</t>
  </si>
  <si>
    <t>1969M07</t>
  </si>
  <si>
    <t>1969M06</t>
  </si>
  <si>
    <t>1969M05</t>
  </si>
  <si>
    <t>1969M04</t>
  </si>
  <si>
    <t>1969M03</t>
  </si>
  <si>
    <t>1969M02</t>
  </si>
  <si>
    <t>1969M01</t>
  </si>
  <si>
    <t>1968M12</t>
  </si>
  <si>
    <t>1968M11</t>
  </si>
  <si>
    <t>1968M10</t>
  </si>
  <si>
    <t>1968M09</t>
  </si>
  <si>
    <t>1968M08</t>
  </si>
  <si>
    <t>1968M07</t>
  </si>
  <si>
    <t>1968M06</t>
  </si>
  <si>
    <t>1968M05</t>
  </si>
  <si>
    <t>1968M04</t>
  </si>
  <si>
    <t>1968M03</t>
  </si>
  <si>
    <t>1968M02</t>
  </si>
  <si>
    <t>1968M01</t>
  </si>
  <si>
    <t>1967M12</t>
  </si>
  <si>
    <t>1967M11</t>
  </si>
  <si>
    <t>1967M10</t>
  </si>
  <si>
    <t>1967M09</t>
  </si>
  <si>
    <t>1967M08</t>
  </si>
  <si>
    <t>1967M07</t>
  </si>
  <si>
    <t>1967M06</t>
  </si>
  <si>
    <t>1967M05</t>
  </si>
  <si>
    <t>1967M04</t>
  </si>
  <si>
    <t>1967M03</t>
  </si>
  <si>
    <t>1967M02</t>
  </si>
  <si>
    <t>1967M01</t>
  </si>
  <si>
    <t>1966M12</t>
  </si>
  <si>
    <t>1966M11</t>
  </si>
  <si>
    <t>1966M10</t>
  </si>
  <si>
    <t>1966M09</t>
  </si>
  <si>
    <t>1966M08</t>
  </si>
  <si>
    <t>1966M07</t>
  </si>
  <si>
    <t>1966M06</t>
  </si>
  <si>
    <t>1966M05</t>
  </si>
  <si>
    <t>1966M04</t>
  </si>
  <si>
    <t>1966M03</t>
  </si>
  <si>
    <t>1966M02</t>
  </si>
  <si>
    <t>1966M01</t>
  </si>
  <si>
    <t>1965M12</t>
  </si>
  <si>
    <t>1965M11</t>
  </si>
  <si>
    <t>1965M10</t>
  </si>
  <si>
    <t>1965M09</t>
  </si>
  <si>
    <t>1965M08</t>
  </si>
  <si>
    <t>1965M07</t>
  </si>
  <si>
    <t>1965M06</t>
  </si>
  <si>
    <t>1965M05</t>
  </si>
  <si>
    <t>1965M04</t>
  </si>
  <si>
    <t>1965M03</t>
  </si>
  <si>
    <t>1965M02</t>
  </si>
  <si>
    <t>1965M01</t>
  </si>
  <si>
    <t>1964M12</t>
  </si>
  <si>
    <t>1964M11</t>
  </si>
  <si>
    <t>1964M10</t>
  </si>
  <si>
    <t>1964M09</t>
  </si>
  <si>
    <t>1964M08</t>
  </si>
  <si>
    <t>1964M07</t>
  </si>
  <si>
    <t>1964M06</t>
  </si>
  <si>
    <t>1964M05</t>
  </si>
  <si>
    <t>1964M04</t>
  </si>
  <si>
    <t>1964M03</t>
  </si>
  <si>
    <t>1964M02</t>
  </si>
  <si>
    <t>1964M01</t>
  </si>
  <si>
    <t>1963M12</t>
  </si>
  <si>
    <t>1963M11</t>
  </si>
  <si>
    <t>1963M10</t>
  </si>
  <si>
    <t>1963M09</t>
  </si>
  <si>
    <t>1963M08</t>
  </si>
  <si>
    <t>1963M07</t>
  </si>
  <si>
    <t>1963M06</t>
  </si>
  <si>
    <t>1963M05</t>
  </si>
  <si>
    <t>1963M04</t>
  </si>
  <si>
    <t>1963M03</t>
  </si>
  <si>
    <t>1963M02</t>
  </si>
  <si>
    <t>1963M01</t>
  </si>
  <si>
    <t>1962M12</t>
  </si>
  <si>
    <t>1962M11</t>
  </si>
  <si>
    <t>1962M10</t>
  </si>
  <si>
    <t>1962M09</t>
  </si>
  <si>
    <t>1962M08</t>
  </si>
  <si>
    <t>1962M07</t>
  </si>
  <si>
    <t>1962M06</t>
  </si>
  <si>
    <t>1962M05</t>
  </si>
  <si>
    <t>1962M04</t>
  </si>
  <si>
    <t>1962M03</t>
  </si>
  <si>
    <t>1962M02</t>
  </si>
  <si>
    <t>1962M01</t>
  </si>
  <si>
    <t>1961M12</t>
  </si>
  <si>
    <t>1961M11</t>
  </si>
  <si>
    <t>1961M10</t>
  </si>
  <si>
    <t>1961M09</t>
  </si>
  <si>
    <t>1961M08</t>
  </si>
  <si>
    <t>1961M07</t>
  </si>
  <si>
    <t>1961M06</t>
  </si>
  <si>
    <t>1961M05</t>
  </si>
  <si>
    <t>1961M04</t>
  </si>
  <si>
    <t>1961M03</t>
  </si>
  <si>
    <t>1961M02</t>
  </si>
  <si>
    <t>1961M01</t>
  </si>
  <si>
    <t>1960M12</t>
  </si>
  <si>
    <t>1960M11</t>
  </si>
  <si>
    <t>1960M10</t>
  </si>
  <si>
    <t>1960M09</t>
  </si>
  <si>
    <t>1960M08</t>
  </si>
  <si>
    <t>1960M07</t>
  </si>
  <si>
    <t>1960M06</t>
  </si>
  <si>
    <t>1960M05</t>
  </si>
  <si>
    <t>1960M04</t>
  </si>
  <si>
    <t>1960M03</t>
  </si>
  <si>
    <t>1960M02</t>
  </si>
  <si>
    <t>1960M01</t>
  </si>
  <si>
    <t>1959M12</t>
  </si>
  <si>
    <t>1959M11</t>
  </si>
  <si>
    <t>1959M10</t>
  </si>
  <si>
    <t>1959M09</t>
  </si>
  <si>
    <t>1959M08</t>
  </si>
  <si>
    <t>1959M07</t>
  </si>
  <si>
    <t>1959M06</t>
  </si>
  <si>
    <t>1959M05</t>
  </si>
  <si>
    <t>1959M04</t>
  </si>
  <si>
    <t>1959M03</t>
  </si>
  <si>
    <t>1959M02</t>
  </si>
  <si>
    <t>1959M01</t>
  </si>
  <si>
    <t>1958M12</t>
  </si>
  <si>
    <t>1958M11</t>
  </si>
  <si>
    <t>1958M10</t>
  </si>
  <si>
    <t>1958M09</t>
  </si>
  <si>
    <t>1958M08</t>
  </si>
  <si>
    <t>1958M07</t>
  </si>
  <si>
    <t>1958M06</t>
  </si>
  <si>
    <t>1958M05</t>
  </si>
  <si>
    <t>1958M04</t>
  </si>
  <si>
    <t>1958M03</t>
  </si>
  <si>
    <t>1958M02</t>
  </si>
  <si>
    <t>1958M01</t>
  </si>
  <si>
    <t>1957M12</t>
  </si>
  <si>
    <t>1957M11</t>
  </si>
  <si>
    <t>1957M10</t>
  </si>
  <si>
    <t>1957M09</t>
  </si>
  <si>
    <t>1957M08</t>
  </si>
  <si>
    <t>1957M07</t>
  </si>
  <si>
    <t>1957M06</t>
  </si>
  <si>
    <t>1957M05</t>
  </si>
  <si>
    <t>1957M04</t>
  </si>
  <si>
    <t>1957M03</t>
  </si>
  <si>
    <t>1957M02</t>
  </si>
  <si>
    <t>1957M01</t>
  </si>
  <si>
    <t>1956M12</t>
  </si>
  <si>
    <t>1956M11</t>
  </si>
  <si>
    <t>1956M10</t>
  </si>
  <si>
    <t>1956M09</t>
  </si>
  <si>
    <t>1956M08</t>
  </si>
  <si>
    <t>1956M07</t>
  </si>
  <si>
    <t>1956M06</t>
  </si>
  <si>
    <t>1956M05</t>
  </si>
  <si>
    <t>1956M04</t>
  </si>
  <si>
    <t>1956M03</t>
  </si>
  <si>
    <t>1956M02</t>
  </si>
  <si>
    <t>1956M01</t>
  </si>
  <si>
    <t>1955M12</t>
  </si>
  <si>
    <t>1955M11</t>
  </si>
  <si>
    <t>1955M10</t>
  </si>
  <si>
    <t>1955M09</t>
  </si>
  <si>
    <t>1955M08</t>
  </si>
  <si>
    <t>1955M07</t>
  </si>
  <si>
    <t>1955M06</t>
  </si>
  <si>
    <t>1955M05</t>
  </si>
  <si>
    <t>1955M04</t>
  </si>
  <si>
    <t>1955M03</t>
  </si>
  <si>
    <t>1955M02</t>
  </si>
  <si>
    <t>1955M01</t>
  </si>
  <si>
    <t>1954M12</t>
  </si>
  <si>
    <t>1954M11</t>
  </si>
  <si>
    <t>1954M10</t>
  </si>
  <si>
    <t>1954M09</t>
  </si>
  <si>
    <t>1954M08</t>
  </si>
  <si>
    <t>1954M07</t>
  </si>
  <si>
    <t>1954M06</t>
  </si>
  <si>
    <t>1954M05</t>
  </si>
  <si>
    <t>1954M04</t>
  </si>
  <si>
    <t>1954M03</t>
  </si>
  <si>
    <t>1954M02</t>
  </si>
  <si>
    <t>1954M01</t>
  </si>
  <si>
    <t>1953M12</t>
  </si>
  <si>
    <t>1953M11</t>
  </si>
  <si>
    <t>1953M10</t>
  </si>
  <si>
    <t>1953M09</t>
  </si>
  <si>
    <t>1953M08</t>
  </si>
  <si>
    <t>1953M07</t>
  </si>
  <si>
    <t>1953M06</t>
  </si>
  <si>
    <t>1953M05</t>
  </si>
  <si>
    <t>1953M04</t>
  </si>
  <si>
    <t>1953M03</t>
  </si>
  <si>
    <t>1953M02</t>
  </si>
  <si>
    <t>1953M01</t>
  </si>
  <si>
    <t>1952M12</t>
  </si>
  <si>
    <t>1952M11</t>
  </si>
  <si>
    <t>1952M10</t>
  </si>
  <si>
    <t>1952M09</t>
  </si>
  <si>
    <t>1952M08</t>
  </si>
  <si>
    <t>1952M07</t>
  </si>
  <si>
    <t>1952M06</t>
  </si>
  <si>
    <t>1952M05</t>
  </si>
  <si>
    <t>1952M04</t>
  </si>
  <si>
    <t>1952M03</t>
  </si>
  <si>
    <t>1952M02</t>
  </si>
  <si>
    <t>1952M01</t>
  </si>
  <si>
    <t>1951M12</t>
  </si>
  <si>
    <t>1951M11</t>
  </si>
  <si>
    <t>1951M10</t>
  </si>
  <si>
    <t>1951M09</t>
  </si>
  <si>
    <t>1951M08</t>
  </si>
  <si>
    <t>1951M07</t>
  </si>
  <si>
    <t>1951M06</t>
  </si>
  <si>
    <t>1951M05</t>
  </si>
  <si>
    <t>1951M04</t>
  </si>
  <si>
    <t>1951M03</t>
  </si>
  <si>
    <t>1951M02</t>
  </si>
  <si>
    <t>1951M01</t>
  </si>
  <si>
    <t>1950M12</t>
  </si>
  <si>
    <t>1950M11</t>
  </si>
  <si>
    <t>1950M10</t>
  </si>
  <si>
    <t>1950M09</t>
  </si>
  <si>
    <t>1950M08</t>
  </si>
  <si>
    <t>1950M07</t>
  </si>
  <si>
    <t>1950M06</t>
  </si>
  <si>
    <t>1950M05</t>
  </si>
  <si>
    <t>1950M04</t>
  </si>
  <si>
    <t>1950M03</t>
  </si>
  <si>
    <t>1950M02</t>
  </si>
  <si>
    <t>1950M01</t>
  </si>
  <si>
    <t>1949M12</t>
  </si>
  <si>
    <t>1949M11</t>
  </si>
  <si>
    <t>1949M10</t>
  </si>
  <si>
    <t>1949M09</t>
  </si>
  <si>
    <t>1949M08</t>
  </si>
  <si>
    <t>1949M07</t>
  </si>
  <si>
    <t>1949M06</t>
  </si>
  <si>
    <t>1949M05</t>
  </si>
  <si>
    <t>1949M04</t>
  </si>
  <si>
    <t>1949M03</t>
  </si>
  <si>
    <t>1949M02</t>
  </si>
  <si>
    <t>1949M01</t>
  </si>
  <si>
    <t>1948M12</t>
  </si>
  <si>
    <t>1948M11</t>
  </si>
  <si>
    <t>1948M10</t>
  </si>
  <si>
    <t>1948M09</t>
  </si>
  <si>
    <t>1948M08</t>
  </si>
  <si>
    <t>1948M07</t>
  </si>
  <si>
    <t>1948M06</t>
  </si>
  <si>
    <t>1948M05</t>
  </si>
  <si>
    <t>1948M04</t>
  </si>
  <si>
    <t>1948M03</t>
  </si>
  <si>
    <t>1948M02</t>
  </si>
  <si>
    <t>1948M01</t>
  </si>
  <si>
    <t>1947M12</t>
  </si>
  <si>
    <t>1947M11</t>
  </si>
  <si>
    <t>1947M10</t>
  </si>
  <si>
    <t>1947M09</t>
  </si>
  <si>
    <t>1947M08</t>
  </si>
  <si>
    <t>1947M07</t>
  </si>
  <si>
    <t>1947M06</t>
  </si>
  <si>
    <t>1947M05</t>
  </si>
  <si>
    <t>1947M04</t>
  </si>
  <si>
    <t>1947M03</t>
  </si>
  <si>
    <t>1947M02</t>
  </si>
  <si>
    <t>1947M01</t>
  </si>
  <si>
    <t>1946M12</t>
  </si>
  <si>
    <t>1946M11</t>
  </si>
  <si>
    <t>1946M10</t>
  </si>
  <si>
    <t>1946M09</t>
  </si>
  <si>
    <t>1946M08</t>
  </si>
  <si>
    <t>1946M07</t>
  </si>
  <si>
    <t>1946M06</t>
  </si>
  <si>
    <t>1946M05</t>
  </si>
  <si>
    <t>1946M04</t>
  </si>
  <si>
    <t>1946M03</t>
  </si>
  <si>
    <t>1946M02</t>
  </si>
  <si>
    <t>1946M01</t>
  </si>
  <si>
    <t>1945M12</t>
  </si>
  <si>
    <t>1945M11</t>
  </si>
  <si>
    <t>1945M10</t>
  </si>
  <si>
    <t>1945M09</t>
  </si>
  <si>
    <t>1945M08</t>
  </si>
  <si>
    <t>1945M07</t>
  </si>
  <si>
    <t>1945M06</t>
  </si>
  <si>
    <t>1945M05</t>
  </si>
  <si>
    <t>1945M04</t>
  </si>
  <si>
    <t>1945M03</t>
  </si>
  <si>
    <t>1945M02</t>
  </si>
  <si>
    <t>1945M01</t>
  </si>
  <si>
    <t>1944M12</t>
  </si>
  <si>
    <t>1944M11</t>
  </si>
  <si>
    <t>1944M10</t>
  </si>
  <si>
    <t>1944M09</t>
  </si>
  <si>
    <t>1944M08</t>
  </si>
  <si>
    <t>1944M07</t>
  </si>
  <si>
    <t>1944M06</t>
  </si>
  <si>
    <t>1944M05</t>
  </si>
  <si>
    <t>1944M04</t>
  </si>
  <si>
    <t>1944M03</t>
  </si>
  <si>
    <t>1944M02</t>
  </si>
  <si>
    <t>1944M01</t>
  </si>
  <si>
    <t>1943M12</t>
  </si>
  <si>
    <t>1943M11</t>
  </si>
  <si>
    <t>1943M10</t>
  </si>
  <si>
    <t>1943M09</t>
  </si>
  <si>
    <t>1943M08</t>
  </si>
  <si>
    <t>1943M07</t>
  </si>
  <si>
    <t>1943M06</t>
  </si>
  <si>
    <t>1943M05</t>
  </si>
  <si>
    <t>1943M04</t>
  </si>
  <si>
    <t>1943M03</t>
  </si>
  <si>
    <t>1943M02</t>
  </si>
  <si>
    <t>1943M01</t>
  </si>
  <si>
    <t>1942M12</t>
  </si>
  <si>
    <t>1942M11</t>
  </si>
  <si>
    <t>1942M10</t>
  </si>
  <si>
    <t>1942M09</t>
  </si>
  <si>
    <t>1942M08</t>
  </si>
  <si>
    <t>1942M07</t>
  </si>
  <si>
    <t>1942M06</t>
  </si>
  <si>
    <t>1942M05</t>
  </si>
  <si>
    <t>1942M04</t>
  </si>
  <si>
    <t>1942M03</t>
  </si>
  <si>
    <t>1942M02</t>
  </si>
  <si>
    <t>1942M01</t>
  </si>
  <si>
    <t>1941M12</t>
  </si>
  <si>
    <t>1941M11</t>
  </si>
  <si>
    <t>1941M10</t>
  </si>
  <si>
    <t>1941M09</t>
  </si>
  <si>
    <t>1941M08</t>
  </si>
  <si>
    <t>1941M07</t>
  </si>
  <si>
    <t>1941M06</t>
  </si>
  <si>
    <t>1941M05</t>
  </si>
  <si>
    <t>1941M04</t>
  </si>
  <si>
    <t>1941M03</t>
  </si>
  <si>
    <t>1941M02</t>
  </si>
  <si>
    <t>1941M01</t>
  </si>
  <si>
    <t>1940M12</t>
  </si>
  <si>
    <t>1940M11</t>
  </si>
  <si>
    <t>1940M10</t>
  </si>
  <si>
    <t>1940M09</t>
  </si>
  <si>
    <t>1940M08</t>
  </si>
  <si>
    <t>1940M07</t>
  </si>
  <si>
    <t>1940M06</t>
  </si>
  <si>
    <t>1940M05</t>
  </si>
  <si>
    <t>1940M04</t>
  </si>
  <si>
    <t>1940M03</t>
  </si>
  <si>
    <t>1940M02</t>
  </si>
  <si>
    <t>1940M01</t>
  </si>
  <si>
    <t>1939M12</t>
  </si>
  <si>
    <t>1939M11</t>
  </si>
  <si>
    <t>1939M10</t>
  </si>
  <si>
    <t>1939M09</t>
  </si>
  <si>
    <t>1939M08</t>
  </si>
  <si>
    <t>1939M07</t>
  </si>
  <si>
    <t>1939M06</t>
  </si>
  <si>
    <t>1939M05</t>
  </si>
  <si>
    <t>1939M04</t>
  </si>
  <si>
    <t>1939M03</t>
  </si>
  <si>
    <t>1939M02</t>
  </si>
  <si>
    <t>1939M01</t>
  </si>
  <si>
    <t>1938M12</t>
  </si>
  <si>
    <t>1938M11</t>
  </si>
  <si>
    <t>1938M10</t>
  </si>
  <si>
    <t>1938M09</t>
  </si>
  <si>
    <t>1938M08</t>
  </si>
  <si>
    <t>1938M07</t>
  </si>
  <si>
    <t>1938M06</t>
  </si>
  <si>
    <t>1938M05</t>
  </si>
  <si>
    <t>1938M04</t>
  </si>
  <si>
    <t>1938M03</t>
  </si>
  <si>
    <t>1938M02</t>
  </si>
  <si>
    <t>1938M01</t>
  </si>
  <si>
    <t>1937M12</t>
  </si>
  <si>
    <t>1937M11</t>
  </si>
  <si>
    <t>1937M10</t>
  </si>
  <si>
    <t>1937M09</t>
  </si>
  <si>
    <t>1937M08</t>
  </si>
  <si>
    <t>1937M07</t>
  </si>
  <si>
    <t>1937M06</t>
  </si>
  <si>
    <t>1937M05</t>
  </si>
  <si>
    <t>1937M04</t>
  </si>
  <si>
    <t>1937M03</t>
  </si>
  <si>
    <t>1937M02</t>
  </si>
  <si>
    <t>1937M01</t>
  </si>
  <si>
    <t>1936M12</t>
  </si>
  <si>
    <t>1936M11</t>
  </si>
  <si>
    <t>1936M10</t>
  </si>
  <si>
    <t>1936M09</t>
  </si>
  <si>
    <t>1936M08</t>
  </si>
  <si>
    <t>1936M07</t>
  </si>
  <si>
    <t>1936M06</t>
  </si>
  <si>
    <t>1936M05</t>
  </si>
  <si>
    <t>1936M04</t>
  </si>
  <si>
    <t>1936M03</t>
  </si>
  <si>
    <t>1936M02</t>
  </si>
  <si>
    <t>1936M01</t>
  </si>
  <si>
    <t>1935M12</t>
  </si>
  <si>
    <t>1935M11</t>
  </si>
  <si>
    <t>1935M10</t>
  </si>
  <si>
    <t>1935M09</t>
  </si>
  <si>
    <t>1935M08</t>
  </si>
  <si>
    <t>1935M07</t>
  </si>
  <si>
    <t>1935M06</t>
  </si>
  <si>
    <t>1935M05</t>
  </si>
  <si>
    <t>1935M04</t>
  </si>
  <si>
    <t>1935M03</t>
  </si>
  <si>
    <t>1935M02</t>
  </si>
  <si>
    <t>1935M01</t>
  </si>
  <si>
    <t>1934M12</t>
  </si>
  <si>
    <t>1934M11</t>
  </si>
  <si>
    <t>1934M10</t>
  </si>
  <si>
    <t>1934M09</t>
  </si>
  <si>
    <t>1934M08</t>
  </si>
  <si>
    <t>1934M07</t>
  </si>
  <si>
    <t>1934M06</t>
  </si>
  <si>
    <t>1934M05</t>
  </si>
  <si>
    <t>1934M04</t>
  </si>
  <si>
    <t>1934M03</t>
  </si>
  <si>
    <t>1934M02</t>
  </si>
  <si>
    <t>1934M01</t>
  </si>
  <si>
    <t>1933M12</t>
  </si>
  <si>
    <t>1933M11</t>
  </si>
  <si>
    <t>1933M10</t>
  </si>
  <si>
    <t>1933M09</t>
  </si>
  <si>
    <t>1933M08</t>
  </si>
  <si>
    <t>1933M07</t>
  </si>
  <si>
    <t>1933M06</t>
  </si>
  <si>
    <t>1933M05</t>
  </si>
  <si>
    <t>1933M04</t>
  </si>
  <si>
    <t>1933M03</t>
  </si>
  <si>
    <t>1933M02</t>
  </si>
  <si>
    <t>1933M01</t>
  </si>
  <si>
    <t>1932M12</t>
  </si>
  <si>
    <t>1932M11</t>
  </si>
  <si>
    <t>1932M10</t>
  </si>
  <si>
    <t>1932M09</t>
  </si>
  <si>
    <t>1932M08</t>
  </si>
  <si>
    <t>1932M07</t>
  </si>
  <si>
    <t>1932M06</t>
  </si>
  <si>
    <t>1932M05</t>
  </si>
  <si>
    <t>1932M04</t>
  </si>
  <si>
    <t>1932M03</t>
  </si>
  <si>
    <t>1932M02</t>
  </si>
  <si>
    <t>1932M01</t>
  </si>
  <si>
    <t>1931M12</t>
  </si>
  <si>
    <t>1931M11</t>
  </si>
  <si>
    <t>1931M10</t>
  </si>
  <si>
    <t>1931M09</t>
  </si>
  <si>
    <t>1931M08</t>
  </si>
  <si>
    <t>1931M07</t>
  </si>
  <si>
    <t>1931M06</t>
  </si>
  <si>
    <t>1931M05</t>
  </si>
  <si>
    <t>1931M04</t>
  </si>
  <si>
    <t>1931M03</t>
  </si>
  <si>
    <t>1931M02</t>
  </si>
  <si>
    <t>1931M01</t>
  </si>
  <si>
    <t>1930M12</t>
  </si>
  <si>
    <t>1930M11</t>
  </si>
  <si>
    <t>1930M10</t>
  </si>
  <si>
    <t>1930M09</t>
  </si>
  <si>
    <t>1930M08</t>
  </si>
  <si>
    <t>1930M07</t>
  </si>
  <si>
    <t>1930M06</t>
  </si>
  <si>
    <t>1930M05</t>
  </si>
  <si>
    <t>1930M04</t>
  </si>
  <si>
    <t>1930M03</t>
  </si>
  <si>
    <t>1930M02</t>
  </si>
  <si>
    <t>1930M01</t>
  </si>
  <si>
    <t>1929M12</t>
  </si>
  <si>
    <t>1929M11</t>
  </si>
  <si>
    <t>1929M10</t>
  </si>
  <si>
    <t>1929M09</t>
  </si>
  <si>
    <t>1929M08</t>
  </si>
  <si>
    <t>1929M07</t>
  </si>
  <si>
    <t>1929M06</t>
  </si>
  <si>
    <t>1929M05</t>
  </si>
  <si>
    <t>1929M04</t>
  </si>
  <si>
    <t>1929M03</t>
  </si>
  <si>
    <t>1929M02</t>
  </si>
  <si>
    <t>1929M01</t>
  </si>
  <si>
    <t>1928M12</t>
  </si>
  <si>
    <t>1928M11</t>
  </si>
  <si>
    <t>1928M10</t>
  </si>
  <si>
    <t>1928M09</t>
  </si>
  <si>
    <t>1928M08</t>
  </si>
  <si>
    <t>1928M07</t>
  </si>
  <si>
    <t>1928M06</t>
  </si>
  <si>
    <t>1928M05</t>
  </si>
  <si>
    <t>1928M04</t>
  </si>
  <si>
    <t>1928M03</t>
  </si>
  <si>
    <t>1928M02</t>
  </si>
  <si>
    <t>1928M01</t>
  </si>
  <si>
    <t>1927M12</t>
  </si>
  <si>
    <t>1927M11</t>
  </si>
  <si>
    <t>1927M10</t>
  </si>
  <si>
    <t>1927M09</t>
  </si>
  <si>
    <t>1927M08</t>
  </si>
  <si>
    <t>1927M07</t>
  </si>
  <si>
    <t>1927M06</t>
  </si>
  <si>
    <t>1927M05</t>
  </si>
  <si>
    <t>1927M04</t>
  </si>
  <si>
    <t>1927M03</t>
  </si>
  <si>
    <t>1927M02</t>
  </si>
  <si>
    <t>1927M01</t>
  </si>
  <si>
    <t>1926M12</t>
  </si>
  <si>
    <t>1926M11</t>
  </si>
  <si>
    <t>1926M10</t>
  </si>
  <si>
    <t>1926M09</t>
  </si>
  <si>
    <t>1926M08</t>
  </si>
  <si>
    <t>1926M07</t>
  </si>
  <si>
    <t>1926M06</t>
  </si>
  <si>
    <t>1926M05</t>
  </si>
  <si>
    <t>1926M04</t>
  </si>
  <si>
    <t>1926M03</t>
  </si>
  <si>
    <t>1926M02</t>
  </si>
  <si>
    <t>1926M01</t>
  </si>
  <si>
    <t>MKTAAAAA</t>
  </si>
  <si>
    <t>SPRP</t>
  </si>
  <si>
    <t>MKTRP</t>
  </si>
  <si>
    <t>PX_LAST</t>
  </si>
  <si>
    <t>BB</t>
  </si>
  <si>
    <t>BB+</t>
  </si>
  <si>
    <t>Ba1</t>
  </si>
  <si>
    <t>TJX</t>
  </si>
  <si>
    <t>TGT</t>
  </si>
  <si>
    <t>MRK</t>
  </si>
  <si>
    <t>MCK</t>
  </si>
  <si>
    <t>LH</t>
  </si>
  <si>
    <t>CAG</t>
  </si>
  <si>
    <t>ABC</t>
  </si>
  <si>
    <t>AA</t>
  </si>
  <si>
    <t>EQY_SH_OUT</t>
  </si>
  <si>
    <t>BEST_EST_LONG_TERM_GROWTH</t>
  </si>
  <si>
    <t>EQY_DVD_YLD_EST</t>
  </si>
  <si>
    <t>CUR_MKT_CAP</t>
  </si>
  <si>
    <t>NAME</t>
  </si>
  <si>
    <t>Today:</t>
  </si>
  <si>
    <t>Indicated Dividend Yield</t>
  </si>
  <si>
    <t>Bloomberg Beta</t>
  </si>
  <si>
    <t>Average Beta</t>
  </si>
  <si>
    <t>Equity Risk Premium Measure</t>
  </si>
  <si>
    <t>Zacks</t>
  </si>
  <si>
    <t>Value Line</t>
  </si>
  <si>
    <t>Total Projected Return on S&amp;P 500</t>
  </si>
  <si>
    <t>Based on Bloomberg</t>
  </si>
  <si>
    <t>Bloomberg Adjusted Beta</t>
  </si>
  <si>
    <t xml:space="preserve">Interest Rates and Bond Spreads for </t>
  </si>
  <si>
    <t>Moody's Corporate and Public Utility Bonds</t>
  </si>
  <si>
    <t>Aaa Rated Corporate Bond</t>
  </si>
  <si>
    <t>Selected Bond Spreads</t>
  </si>
  <si>
    <t>% (1)</t>
  </si>
  <si>
    <t>% (2)</t>
  </si>
  <si>
    <t>[3]</t>
  </si>
  <si>
    <t>[2]</t>
  </si>
  <si>
    <t>[1]</t>
  </si>
  <si>
    <t>Column [3] - Column [2].</t>
  </si>
  <si>
    <t xml:space="preserve">Indicated ROE </t>
  </si>
  <si>
    <t>Derived by the Predictive Risk Premium Model (1)</t>
  </si>
  <si>
    <t>[4]</t>
  </si>
  <si>
    <t>[5]</t>
  </si>
  <si>
    <t>Spot Predicted Variance</t>
  </si>
  <si>
    <t>LT Average Predicted Variance</t>
  </si>
  <si>
    <t>[6]</t>
  </si>
  <si>
    <t>[7]</t>
  </si>
  <si>
    <t>MRP based on Value Line Summary &amp; Index:</t>
  </si>
  <si>
    <t>Arithmetic Mean Income Returns on Long-Term Government Bonds:</t>
  </si>
  <si>
    <t>Total return on the Market based on the S&amp;P 500:</t>
  </si>
  <si>
    <t>MRP based on Bloomberg data</t>
  </si>
  <si>
    <t>Traditional CAPM Cost Rate</t>
  </si>
  <si>
    <t>ECAPM Cost Rate</t>
  </si>
  <si>
    <t>Average of Column 6 and Column 7.</t>
  </si>
  <si>
    <t>Value Line Summary and Index</t>
  </si>
  <si>
    <t>LNT</t>
  </si>
  <si>
    <t>Long-Term Issuer Rating</t>
  </si>
  <si>
    <t>[8]</t>
  </si>
  <si>
    <t>Comparison of Long-Term Issuer Ratings for the</t>
  </si>
  <si>
    <t>ES</t>
  </si>
  <si>
    <t>2015M03</t>
  </si>
  <si>
    <t>Aaa</t>
  </si>
  <si>
    <t>Aa1</t>
  </si>
  <si>
    <t>Aa2</t>
  </si>
  <si>
    <t>Aa3</t>
  </si>
  <si>
    <t>Ba3</t>
  </si>
  <si>
    <t>B2</t>
  </si>
  <si>
    <t>B3</t>
  </si>
  <si>
    <t>AAA</t>
  </si>
  <si>
    <t>AA+</t>
  </si>
  <si>
    <t>AA-</t>
  </si>
  <si>
    <t>BB-</t>
  </si>
  <si>
    <t>B+</t>
  </si>
  <si>
    <t>B</t>
  </si>
  <si>
    <t>B-</t>
  </si>
  <si>
    <t>Bloomberg</t>
  </si>
  <si>
    <t>Average of Mean and Median</t>
  </si>
  <si>
    <t>Mean</t>
  </si>
  <si>
    <t>Moody's Bond Rating</t>
  </si>
  <si>
    <t>Standard &amp; Poor's Bond Rating</t>
  </si>
  <si>
    <t>Numerical Assignment for</t>
  </si>
  <si>
    <t xml:space="preserve"> Moody's and Standard &amp; Poor's Bond Ratings</t>
  </si>
  <si>
    <t>Numerical Bond Weighting</t>
  </si>
  <si>
    <t>Equity %</t>
  </si>
  <si>
    <t>Source:</t>
  </si>
  <si>
    <t>Capital Structure</t>
  </si>
  <si>
    <t>DATA INPUTS</t>
  </si>
  <si>
    <t>SBBI Common Stocks Total Return (%)</t>
  </si>
  <si>
    <t>SBBI Long-Term Gov't Bonds Income (%)</t>
  </si>
  <si>
    <t>Baa Bonds</t>
  </si>
  <si>
    <t>Unadjusted</t>
  </si>
  <si>
    <t>2015M04</t>
  </si>
  <si>
    <t>2015M05</t>
  </si>
  <si>
    <t>Utility Proxy Group</t>
  </si>
  <si>
    <t>CEM Proxy Group</t>
  </si>
  <si>
    <t>Growth Rate Input Date</t>
  </si>
  <si>
    <t>User Computer Title</t>
  </si>
  <si>
    <t>VRSK</t>
  </si>
  <si>
    <t>EPS Growth Rates</t>
  </si>
  <si>
    <t>Annual Div.</t>
  </si>
  <si>
    <t>S&amp;P</t>
  </si>
  <si>
    <t>Bond Index - Date</t>
  </si>
  <si>
    <t>MOODUA Index</t>
  </si>
  <si>
    <t>MOODUBAA Index</t>
  </si>
  <si>
    <t>MOODCAAA Index</t>
  </si>
  <si>
    <t>MOODCAA Index</t>
  </si>
  <si>
    <t>MOODCA Index</t>
  </si>
  <si>
    <t>MOODCBAA Index</t>
  </si>
  <si>
    <t>Lookup Reference</t>
  </si>
  <si>
    <t>Tickers</t>
  </si>
  <si>
    <t>Regulatory Jurisdiction</t>
  </si>
  <si>
    <t>Value Line Beta Calculation</t>
  </si>
  <si>
    <t>Std. Dev Y</t>
  </si>
  <si>
    <t>Std. Dev Beta</t>
  </si>
  <si>
    <t>Std. Error</t>
  </si>
  <si>
    <t>Common Stock Shares Outstanding at Fiscal Year End</t>
  </si>
  <si>
    <t>Book Value per Share at Fiscal Year End</t>
  </si>
  <si>
    <t>- If Data not available, input NA</t>
  </si>
  <si>
    <t/>
  </si>
  <si>
    <t>Proxy Company - Exchange</t>
  </si>
  <si>
    <t>Historical Risk Premium Data</t>
  </si>
  <si>
    <t>Abbreviated</t>
  </si>
  <si>
    <t>Date of Annual Report Filing ("'Month Day, Year")</t>
  </si>
  <si>
    <t>PRPM Date ("Month Year")</t>
  </si>
  <si>
    <t>Blue Chip Update Date ("Month Day, Year")</t>
  </si>
  <si>
    <t>Summary of Cost of Equity Models Applied to</t>
  </si>
  <si>
    <t>Industry ("Natural Gas", "Water", "Electric")</t>
  </si>
  <si>
    <t>2015M06</t>
  </si>
  <si>
    <t>2015M07</t>
  </si>
  <si>
    <t>2015M08</t>
  </si>
  <si>
    <t>2015M09</t>
  </si>
  <si>
    <t>2015M10</t>
  </si>
  <si>
    <t>2015M11</t>
  </si>
  <si>
    <t>2015M12</t>
  </si>
  <si>
    <t>2016M01</t>
  </si>
  <si>
    <t>Avg Pred. Variance</t>
  </si>
  <si>
    <t>Spot Variance</t>
  </si>
  <si>
    <t>Predicted RP Based on Avg</t>
  </si>
  <si>
    <t>Predicted RP Based on Spot</t>
  </si>
  <si>
    <t>Predicted RP</t>
  </si>
  <si>
    <t>Business Risk Adjustment</t>
  </si>
  <si>
    <t>Proxy Group</t>
  </si>
  <si>
    <t>VL Beta</t>
  </si>
  <si>
    <t>CEM Group</t>
  </si>
  <si>
    <t>HRL</t>
  </si>
  <si>
    <t>LLY</t>
  </si>
  <si>
    <t>NYSE</t>
  </si>
  <si>
    <t>NA</t>
  </si>
  <si>
    <t>AES</t>
  </si>
  <si>
    <t>NRG</t>
  </si>
  <si>
    <t>2016M02</t>
  </si>
  <si>
    <t>2016M03</t>
  </si>
  <si>
    <t>2016M04</t>
  </si>
  <si>
    <t>2016M05</t>
  </si>
  <si>
    <t>2016M06</t>
  </si>
  <si>
    <t>2016M07</t>
  </si>
  <si>
    <t>2016M08</t>
  </si>
  <si>
    <t>2016M09</t>
  </si>
  <si>
    <t>2016M10</t>
  </si>
  <si>
    <t>2016M11</t>
  </si>
  <si>
    <t>Change in op'g Assets + Liabilities</t>
  </si>
  <si>
    <t>CHGOPASLIAB</t>
  </si>
  <si>
    <t>Depreciation &amp; Amortization</t>
  </si>
  <si>
    <t>DEPAMORT</t>
  </si>
  <si>
    <t>Income Tax Expense</t>
  </si>
  <si>
    <t>INCTAX</t>
  </si>
  <si>
    <t>NETOPGFC + CHGOPASLIAB - AFUDC</t>
  </si>
  <si>
    <t>EBITDA</t>
  </si>
  <si>
    <t>RPSPA</t>
  </si>
  <si>
    <t>RPAAAAA</t>
  </si>
  <si>
    <t>RPMKT</t>
  </si>
  <si>
    <t>A PU</t>
  </si>
  <si>
    <t>Avg Aaa and Aa Corp</t>
  </si>
  <si>
    <t>Aa Corp</t>
  </si>
  <si>
    <t>Aaa Corp</t>
  </si>
  <si>
    <t>Ibbot LT RF</t>
  </si>
  <si>
    <t>S&amp;P Return</t>
  </si>
  <si>
    <t>Market Return</t>
  </si>
  <si>
    <t>(CPU title)</t>
  </si>
  <si>
    <t>User:</t>
  </si>
  <si>
    <t>(ROE model)</t>
  </si>
  <si>
    <t>Input Date:</t>
  </si>
  <si>
    <t>RP</t>
  </si>
  <si>
    <t>#N/A N/A</t>
  </si>
  <si>
    <t>A UN Equity</t>
  </si>
  <si>
    <t>AAL UW Equity</t>
  </si>
  <si>
    <t>AAL</t>
  </si>
  <si>
    <t>AAP UN Equity</t>
  </si>
  <si>
    <t>AAP</t>
  </si>
  <si>
    <t>AAPL UW Equity</t>
  </si>
  <si>
    <t>AAPL</t>
  </si>
  <si>
    <t>ABBV UN Equity</t>
  </si>
  <si>
    <t>ABBV</t>
  </si>
  <si>
    <t>ABC UN Equity</t>
  </si>
  <si>
    <t>ABT UN Equity</t>
  </si>
  <si>
    <t>ABT</t>
  </si>
  <si>
    <t>ACN UN Equity</t>
  </si>
  <si>
    <t>ACN</t>
  </si>
  <si>
    <t>ADBE UW Equity</t>
  </si>
  <si>
    <t>ADBE</t>
  </si>
  <si>
    <t>ADI UW Equity</t>
  </si>
  <si>
    <t>ADI</t>
  </si>
  <si>
    <t>ADM UN Equity</t>
  </si>
  <si>
    <t>ADM</t>
  </si>
  <si>
    <t>ADP UW Equity</t>
  </si>
  <si>
    <t>ADP</t>
  </si>
  <si>
    <t>ADSK UW Equity</t>
  </si>
  <si>
    <t>ADSK</t>
  </si>
  <si>
    <t>AEE UN Equity</t>
  </si>
  <si>
    <t>AEP UN Equity</t>
  </si>
  <si>
    <t>AES UN Equity</t>
  </si>
  <si>
    <t>AFL UN Equity</t>
  </si>
  <si>
    <t>AFL</t>
  </si>
  <si>
    <t>AIG UN Equity</t>
  </si>
  <si>
    <t>AIG</t>
  </si>
  <si>
    <t>AIZ UN Equity</t>
  </si>
  <si>
    <t>AIZ</t>
  </si>
  <si>
    <t>AJG UN Equity</t>
  </si>
  <si>
    <t>AJG</t>
  </si>
  <si>
    <t>AKAM UW Equity</t>
  </si>
  <si>
    <t>AKAM</t>
  </si>
  <si>
    <t>ALB UN Equity</t>
  </si>
  <si>
    <t>ALB</t>
  </si>
  <si>
    <t>ALK UN Equity</t>
  </si>
  <si>
    <t>ALK</t>
  </si>
  <si>
    <t>ALL UN Equity</t>
  </si>
  <si>
    <t>ALL</t>
  </si>
  <si>
    <t>ALLE UN Equity</t>
  </si>
  <si>
    <t>ALLE</t>
  </si>
  <si>
    <t>AMAT UW Equity</t>
  </si>
  <si>
    <t>AMAT</t>
  </si>
  <si>
    <t>AME UN Equity</t>
  </si>
  <si>
    <t>AME</t>
  </si>
  <si>
    <t>AMGN UW Equity</t>
  </si>
  <si>
    <t>AMGN</t>
  </si>
  <si>
    <t>AMP UN Equity</t>
  </si>
  <si>
    <t>AMP</t>
  </si>
  <si>
    <t>AMT UN Equity</t>
  </si>
  <si>
    <t>AMT</t>
  </si>
  <si>
    <t>AMZN UW Equity</t>
  </si>
  <si>
    <t>AMZN</t>
  </si>
  <si>
    <t>AON UN Equity</t>
  </si>
  <si>
    <t>AON</t>
  </si>
  <si>
    <t>APA</t>
  </si>
  <si>
    <t>APD UN Equity</t>
  </si>
  <si>
    <t>APD</t>
  </si>
  <si>
    <t>APH UN Equity</t>
  </si>
  <si>
    <t>APH</t>
  </si>
  <si>
    <t>ATVI UW Equity</t>
  </si>
  <si>
    <t>ATVI</t>
  </si>
  <si>
    <t>AVB UN Equity</t>
  </si>
  <si>
    <t>AVB</t>
  </si>
  <si>
    <t>AVGO UW Equity</t>
  </si>
  <si>
    <t>AVGO</t>
  </si>
  <si>
    <t>AVY UN Equity</t>
  </si>
  <si>
    <t>AVY</t>
  </si>
  <si>
    <t>AWK UN Equity</t>
  </si>
  <si>
    <t>AXP UN Equity</t>
  </si>
  <si>
    <t>AXP</t>
  </si>
  <si>
    <t>AZO UN Equity</t>
  </si>
  <si>
    <t>AZO</t>
  </si>
  <si>
    <t>BA UN Equity</t>
  </si>
  <si>
    <t>BA</t>
  </si>
  <si>
    <t>BAC UN Equity</t>
  </si>
  <si>
    <t>BAC</t>
  </si>
  <si>
    <t>BAX UN Equity</t>
  </si>
  <si>
    <t>BAX</t>
  </si>
  <si>
    <t>BBY UN Equity</t>
  </si>
  <si>
    <t>BBY</t>
  </si>
  <si>
    <t>BDX UN Equity</t>
  </si>
  <si>
    <t>BDX</t>
  </si>
  <si>
    <t>BEN UN Equity</t>
  </si>
  <si>
    <t>BEN</t>
  </si>
  <si>
    <t>BF/B UN Equity</t>
  </si>
  <si>
    <t>BF/B</t>
  </si>
  <si>
    <t>BIIB UW Equity</t>
  </si>
  <si>
    <t>BIIB</t>
  </si>
  <si>
    <t>BK UN Equity</t>
  </si>
  <si>
    <t>BK</t>
  </si>
  <si>
    <t>BLK UN Equity</t>
  </si>
  <si>
    <t>BLK</t>
  </si>
  <si>
    <t>BMY UN Equity</t>
  </si>
  <si>
    <t>BMY</t>
  </si>
  <si>
    <t>BRK/B UN Equity</t>
  </si>
  <si>
    <t>BRK/B</t>
  </si>
  <si>
    <t>BSX UN Equity</t>
  </si>
  <si>
    <t>BSX</t>
  </si>
  <si>
    <t>BWA UN Equity</t>
  </si>
  <si>
    <t>BWA</t>
  </si>
  <si>
    <t>BXP UN Equity</t>
  </si>
  <si>
    <t>BXP</t>
  </si>
  <si>
    <t>C UN Equity</t>
  </si>
  <si>
    <t>C</t>
  </si>
  <si>
    <t>CAG UN Equity</t>
  </si>
  <si>
    <t>CAH UN Equity</t>
  </si>
  <si>
    <t>CAH</t>
  </si>
  <si>
    <t>CAT UN Equity</t>
  </si>
  <si>
    <t>CAT</t>
  </si>
  <si>
    <t>CB UN Equity</t>
  </si>
  <si>
    <t>CB</t>
  </si>
  <si>
    <t>CCI UN Equity</t>
  </si>
  <si>
    <t>CCI</t>
  </si>
  <si>
    <t>CCL UN Equity</t>
  </si>
  <si>
    <t>CCL</t>
  </si>
  <si>
    <t>CF UN Equity</t>
  </si>
  <si>
    <t>CF</t>
  </si>
  <si>
    <t>CFG UN Equity</t>
  </si>
  <si>
    <t>CFG</t>
  </si>
  <si>
    <t>CHD UN Equity</t>
  </si>
  <si>
    <t>CHD</t>
  </si>
  <si>
    <t>CHRW UW Equity</t>
  </si>
  <si>
    <t>CHRW</t>
  </si>
  <si>
    <t>CHTR UW Equity</t>
  </si>
  <si>
    <t>CHTR</t>
  </si>
  <si>
    <t>CI UN Equity</t>
  </si>
  <si>
    <t>CI</t>
  </si>
  <si>
    <t>CINF UW Equity</t>
  </si>
  <si>
    <t>CINF</t>
  </si>
  <si>
    <t>CL UN Equity</t>
  </si>
  <si>
    <t>CL</t>
  </si>
  <si>
    <t>CLX UN Equity</t>
  </si>
  <si>
    <t>CLX</t>
  </si>
  <si>
    <t>CMA UN Equity</t>
  </si>
  <si>
    <t>CMA</t>
  </si>
  <si>
    <t>CMCSA UW Equity</t>
  </si>
  <si>
    <t>CMCSA</t>
  </si>
  <si>
    <t>CME UW Equity</t>
  </si>
  <si>
    <t>CME</t>
  </si>
  <si>
    <t>CMG UN Equity</t>
  </si>
  <si>
    <t>CMG</t>
  </si>
  <si>
    <t>CMI UN Equity</t>
  </si>
  <si>
    <t>CMI</t>
  </si>
  <si>
    <t>CMS UN Equity</t>
  </si>
  <si>
    <t>CNC UN Equity</t>
  </si>
  <si>
    <t>CNC</t>
  </si>
  <si>
    <t>CNP UN Equity</t>
  </si>
  <si>
    <t>COF UN Equity</t>
  </si>
  <si>
    <t>COF</t>
  </si>
  <si>
    <t>COO UN Equity</t>
  </si>
  <si>
    <t>COO</t>
  </si>
  <si>
    <t>COP UN Equity</t>
  </si>
  <si>
    <t>COP</t>
  </si>
  <si>
    <t>COST UW Equity</t>
  </si>
  <si>
    <t>COST</t>
  </si>
  <si>
    <t>CPB UN Equity</t>
  </si>
  <si>
    <t>CPB</t>
  </si>
  <si>
    <t>CRM UN Equity</t>
  </si>
  <si>
    <t>CRM</t>
  </si>
  <si>
    <t>CSCO UW Equity</t>
  </si>
  <si>
    <t>CSCO</t>
  </si>
  <si>
    <t>CSX UW Equity</t>
  </si>
  <si>
    <t>CSX</t>
  </si>
  <si>
    <t>CTAS UW Equity</t>
  </si>
  <si>
    <t>CTAS</t>
  </si>
  <si>
    <t>CTSH UW Equity</t>
  </si>
  <si>
    <t>CTSH</t>
  </si>
  <si>
    <t>CVS UN Equity</t>
  </si>
  <si>
    <t>CVS</t>
  </si>
  <si>
    <t>CVX UN Equity</t>
  </si>
  <si>
    <t>CVX</t>
  </si>
  <si>
    <t>D UN Equity</t>
  </si>
  <si>
    <t>DAL UN Equity</t>
  </si>
  <si>
    <t>DAL</t>
  </si>
  <si>
    <t>DE UN Equity</t>
  </si>
  <si>
    <t>DE</t>
  </si>
  <si>
    <t>DFS UN Equity</t>
  </si>
  <si>
    <t>DFS</t>
  </si>
  <si>
    <t>DG UN Equity</t>
  </si>
  <si>
    <t>DG</t>
  </si>
  <si>
    <t>DGX UN Equity</t>
  </si>
  <si>
    <t>DGX</t>
  </si>
  <si>
    <t>DHI UN Equity</t>
  </si>
  <si>
    <t>DHI</t>
  </si>
  <si>
    <t>DHR UN Equity</t>
  </si>
  <si>
    <t>DHR</t>
  </si>
  <si>
    <t>DIS UN Equity</t>
  </si>
  <si>
    <t>DIS</t>
  </si>
  <si>
    <t>DLR UN Equity</t>
  </si>
  <si>
    <t>DLR</t>
  </si>
  <si>
    <t>DLTR UW Equity</t>
  </si>
  <si>
    <t>DLTR</t>
  </si>
  <si>
    <t>DOV UN Equity</t>
  </si>
  <si>
    <t>DOV</t>
  </si>
  <si>
    <t>DRI UN Equity</t>
  </si>
  <si>
    <t>DRI</t>
  </si>
  <si>
    <t>DTE UN Equity</t>
  </si>
  <si>
    <t>DUK UN Equity</t>
  </si>
  <si>
    <t>DVA UN Equity</t>
  </si>
  <si>
    <t>DVA</t>
  </si>
  <si>
    <t>DVN UN Equity</t>
  </si>
  <si>
    <t>DVN</t>
  </si>
  <si>
    <t>EA UW Equity</t>
  </si>
  <si>
    <t>EA</t>
  </si>
  <si>
    <t>EBAY UW Equity</t>
  </si>
  <si>
    <t>EBAY</t>
  </si>
  <si>
    <t>ECL UN Equity</t>
  </si>
  <si>
    <t>ECL</t>
  </si>
  <si>
    <t>ED UN Equity</t>
  </si>
  <si>
    <t>EFX UN Equity</t>
  </si>
  <si>
    <t>EFX</t>
  </si>
  <si>
    <t>EIX UN Equity</t>
  </si>
  <si>
    <t>EL UN Equity</t>
  </si>
  <si>
    <t>EL</t>
  </si>
  <si>
    <t>EMN UN Equity</t>
  </si>
  <si>
    <t>EMN</t>
  </si>
  <si>
    <t>EMR UN Equity</t>
  </si>
  <si>
    <t>EMR</t>
  </si>
  <si>
    <t>EOG UN Equity</t>
  </si>
  <si>
    <t>EOG</t>
  </si>
  <si>
    <t>EQIX UW Equity</t>
  </si>
  <si>
    <t>EQIX</t>
  </si>
  <si>
    <t>EQR UN Equity</t>
  </si>
  <si>
    <t>EQR</t>
  </si>
  <si>
    <t>ES UN Equity</t>
  </si>
  <si>
    <t>ESS UN Equity</t>
  </si>
  <si>
    <t>ESS</t>
  </si>
  <si>
    <t>ETN UN Equity</t>
  </si>
  <si>
    <t>ETN</t>
  </si>
  <si>
    <t>ETR UN Equity</t>
  </si>
  <si>
    <t>EW UN Equity</t>
  </si>
  <si>
    <t>EW</t>
  </si>
  <si>
    <t>EXPD UW Equity</t>
  </si>
  <si>
    <t>EXPD</t>
  </si>
  <si>
    <t>EXPE UW Equity</t>
  </si>
  <si>
    <t>EXPE</t>
  </si>
  <si>
    <t>EXR UN Equity</t>
  </si>
  <si>
    <t>EXR</t>
  </si>
  <si>
    <t>F UN Equity</t>
  </si>
  <si>
    <t>F</t>
  </si>
  <si>
    <t>FAST UW Equity</t>
  </si>
  <si>
    <t>FAST</t>
  </si>
  <si>
    <t>FCX UN Equity</t>
  </si>
  <si>
    <t>FCX</t>
  </si>
  <si>
    <t>FDX UN Equity</t>
  </si>
  <si>
    <t>FDX</t>
  </si>
  <si>
    <t>FE UN Equity</t>
  </si>
  <si>
    <t>FFIV UW Equity</t>
  </si>
  <si>
    <t>FFIV</t>
  </si>
  <si>
    <t>FIS UN Equity</t>
  </si>
  <si>
    <t>FIS</t>
  </si>
  <si>
    <t>FISV UW Equity</t>
  </si>
  <si>
    <t>FISV</t>
  </si>
  <si>
    <t>FITB UW Equity</t>
  </si>
  <si>
    <t>FITB</t>
  </si>
  <si>
    <t>FMC UN Equity</t>
  </si>
  <si>
    <t>FMC</t>
  </si>
  <si>
    <t>FRT UN Equity</t>
  </si>
  <si>
    <t>FRT</t>
  </si>
  <si>
    <t>FTV UN Equity</t>
  </si>
  <si>
    <t>FTV</t>
  </si>
  <si>
    <t>GD UN Equity</t>
  </si>
  <si>
    <t>GD</t>
  </si>
  <si>
    <t>GE UN Equity</t>
  </si>
  <si>
    <t>GE</t>
  </si>
  <si>
    <t>GILD UW Equity</t>
  </si>
  <si>
    <t>GILD</t>
  </si>
  <si>
    <t>GIS UN Equity</t>
  </si>
  <si>
    <t>GIS</t>
  </si>
  <si>
    <t>GLW UN Equity</t>
  </si>
  <si>
    <t>GLW</t>
  </si>
  <si>
    <t>GM UN Equity</t>
  </si>
  <si>
    <t>GM</t>
  </si>
  <si>
    <t>GPC UN Equity</t>
  </si>
  <si>
    <t>GPC</t>
  </si>
  <si>
    <t>GPN UN Equity</t>
  </si>
  <si>
    <t>GPN</t>
  </si>
  <si>
    <t>GRMN</t>
  </si>
  <si>
    <t>GS UN Equity</t>
  </si>
  <si>
    <t>GS</t>
  </si>
  <si>
    <t>GWW UN Equity</t>
  </si>
  <si>
    <t>GWW</t>
  </si>
  <si>
    <t>HAL UN Equity</t>
  </si>
  <si>
    <t>HAL</t>
  </si>
  <si>
    <t>HAS UW Equity</t>
  </si>
  <si>
    <t>HAS</t>
  </si>
  <si>
    <t>HBAN UW Equity</t>
  </si>
  <si>
    <t>HBAN</t>
  </si>
  <si>
    <t>HCA UN Equity</t>
  </si>
  <si>
    <t>HCA</t>
  </si>
  <si>
    <t>HD UN Equity</t>
  </si>
  <si>
    <t>HD</t>
  </si>
  <si>
    <t>HES UN Equity</t>
  </si>
  <si>
    <t>HES</t>
  </si>
  <si>
    <t>HIG UN Equity</t>
  </si>
  <si>
    <t>HIG</t>
  </si>
  <si>
    <t>HOLX UW Equity</t>
  </si>
  <si>
    <t>HOLX</t>
  </si>
  <si>
    <t>HON</t>
  </si>
  <si>
    <t>HPE UN Equity</t>
  </si>
  <si>
    <t>HPE</t>
  </si>
  <si>
    <t>HPQ UN Equity</t>
  </si>
  <si>
    <t>HPQ</t>
  </si>
  <si>
    <t>HRL UN Equity</t>
  </si>
  <si>
    <t>HSIC UW Equity</t>
  </si>
  <si>
    <t>HSIC</t>
  </si>
  <si>
    <t>HST</t>
  </si>
  <si>
    <t>HSY UN Equity</t>
  </si>
  <si>
    <t>HSY</t>
  </si>
  <si>
    <t>HUM UN Equity</t>
  </si>
  <si>
    <t>HUM</t>
  </si>
  <si>
    <t>IBM UN Equity</t>
  </si>
  <si>
    <t>IBM</t>
  </si>
  <si>
    <t>ICE UN Equity</t>
  </si>
  <si>
    <t>ICE</t>
  </si>
  <si>
    <t>IFF UN Equity</t>
  </si>
  <si>
    <t>IFF</t>
  </si>
  <si>
    <t>ILMN UW Equity</t>
  </si>
  <si>
    <t>ILMN</t>
  </si>
  <si>
    <t>INTC UW Equity</t>
  </si>
  <si>
    <t>INTC</t>
  </si>
  <si>
    <t>INTU UW Equity</t>
  </si>
  <si>
    <t>INTU</t>
  </si>
  <si>
    <t>IP UN Equity</t>
  </si>
  <si>
    <t>IP</t>
  </si>
  <si>
    <t>IPG UN Equity</t>
  </si>
  <si>
    <t>IPG</t>
  </si>
  <si>
    <t>IR UN Equity</t>
  </si>
  <si>
    <t>IR</t>
  </si>
  <si>
    <t>IRM UN Equity</t>
  </si>
  <si>
    <t>IRM</t>
  </si>
  <si>
    <t>ISRG UW Equity</t>
  </si>
  <si>
    <t>ISRG</t>
  </si>
  <si>
    <t>ITW UN Equity</t>
  </si>
  <si>
    <t>ITW</t>
  </si>
  <si>
    <t>IVZ UN Equity</t>
  </si>
  <si>
    <t>IVZ</t>
  </si>
  <si>
    <t>JBHT UW Equity</t>
  </si>
  <si>
    <t>JBHT</t>
  </si>
  <si>
    <t>JCI UN Equity</t>
  </si>
  <si>
    <t>JCI</t>
  </si>
  <si>
    <t>JNJ UN Equity</t>
  </si>
  <si>
    <t>JNJ</t>
  </si>
  <si>
    <t>JNPR UN Equity</t>
  </si>
  <si>
    <t>JNPR</t>
  </si>
  <si>
    <t>JPM UN Equity</t>
  </si>
  <si>
    <t>JPM</t>
  </si>
  <si>
    <t>K UN Equity</t>
  </si>
  <si>
    <t>K</t>
  </si>
  <si>
    <t>KEY UN Equity</t>
  </si>
  <si>
    <t>KEY</t>
  </si>
  <si>
    <t>KHC UW Equity</t>
  </si>
  <si>
    <t>KHC</t>
  </si>
  <si>
    <t>KIM UN Equity</t>
  </si>
  <si>
    <t>KIM</t>
  </si>
  <si>
    <t>KLAC UW Equity</t>
  </si>
  <si>
    <t>KLAC</t>
  </si>
  <si>
    <t>KMB UN Equity</t>
  </si>
  <si>
    <t>KMB</t>
  </si>
  <si>
    <t>KMI UN Equity</t>
  </si>
  <si>
    <t>KMI</t>
  </si>
  <si>
    <t>KMX UN Equity</t>
  </si>
  <si>
    <t>KMX</t>
  </si>
  <si>
    <t>KO UN Equity</t>
  </si>
  <si>
    <t>KO</t>
  </si>
  <si>
    <t>KR UN Equity</t>
  </si>
  <si>
    <t>L UN Equity</t>
  </si>
  <si>
    <t>L</t>
  </si>
  <si>
    <t>LEN UN Equity</t>
  </si>
  <si>
    <t>LEN</t>
  </si>
  <si>
    <t>LH UN Equity</t>
  </si>
  <si>
    <t>LKQ UW Equity</t>
  </si>
  <si>
    <t>LKQ</t>
  </si>
  <si>
    <t>LLY UN Equity</t>
  </si>
  <si>
    <t>LMT UN Equity</t>
  </si>
  <si>
    <t>LMT</t>
  </si>
  <si>
    <t>LNC UN Equity</t>
  </si>
  <si>
    <t>LNC</t>
  </si>
  <si>
    <t>LOW UN Equity</t>
  </si>
  <si>
    <t>LOW</t>
  </si>
  <si>
    <t>LRCX UW Equity</t>
  </si>
  <si>
    <t>LRCX</t>
  </si>
  <si>
    <t>LUV UN Equity</t>
  </si>
  <si>
    <t>LUV</t>
  </si>
  <si>
    <t>LYB UN Equity</t>
  </si>
  <si>
    <t>LYB</t>
  </si>
  <si>
    <t>MA UN Equity</t>
  </si>
  <si>
    <t>MA</t>
  </si>
  <si>
    <t>MAR UW Equity</t>
  </si>
  <si>
    <t>MAR</t>
  </si>
  <si>
    <t>MAS UN Equity</t>
  </si>
  <si>
    <t>MAS</t>
  </si>
  <si>
    <t>MCD UN Equity</t>
  </si>
  <si>
    <t>MCD</t>
  </si>
  <si>
    <t>MCHP UW Equity</t>
  </si>
  <si>
    <t>MCHP</t>
  </si>
  <si>
    <t>MCK UN Equity</t>
  </si>
  <si>
    <t>MCO UN Equity</t>
  </si>
  <si>
    <t>MCO</t>
  </si>
  <si>
    <t>MDLZ UW Equity</t>
  </si>
  <si>
    <t>MDLZ</t>
  </si>
  <si>
    <t>MDT UN Equity</t>
  </si>
  <si>
    <t>MDT</t>
  </si>
  <si>
    <t>MET UN Equity</t>
  </si>
  <si>
    <t>MET</t>
  </si>
  <si>
    <t>MHK UN Equity</t>
  </si>
  <si>
    <t>MHK</t>
  </si>
  <si>
    <t>MKC UN Equity</t>
  </si>
  <si>
    <t>MKC</t>
  </si>
  <si>
    <t>MLM UN Equity</t>
  </si>
  <si>
    <t>MLM</t>
  </si>
  <si>
    <t>MMC UN Equity</t>
  </si>
  <si>
    <t>MMC</t>
  </si>
  <si>
    <t>MMM UN Equity</t>
  </si>
  <si>
    <t>MMM</t>
  </si>
  <si>
    <t>MNST UW Equity</t>
  </si>
  <si>
    <t>MNST</t>
  </si>
  <si>
    <t>MO UN Equity</t>
  </si>
  <si>
    <t>MO</t>
  </si>
  <si>
    <t>MOS UN Equity</t>
  </si>
  <si>
    <t>MOS</t>
  </si>
  <si>
    <t>MPC UN Equity</t>
  </si>
  <si>
    <t>MPC</t>
  </si>
  <si>
    <t>MRK UN Equity</t>
  </si>
  <si>
    <t>MRO UN Equity</t>
  </si>
  <si>
    <t>MRO</t>
  </si>
  <si>
    <t>MS UN Equity</t>
  </si>
  <si>
    <t>MS</t>
  </si>
  <si>
    <t>MSFT UW Equity</t>
  </si>
  <si>
    <t>MSFT</t>
  </si>
  <si>
    <t>MSI UN Equity</t>
  </si>
  <si>
    <t>MSI</t>
  </si>
  <si>
    <t>MTB UN Equity</t>
  </si>
  <si>
    <t>MTB</t>
  </si>
  <si>
    <t>MTD UN Equity</t>
  </si>
  <si>
    <t>MTD</t>
  </si>
  <si>
    <t>MU UW Equity</t>
  </si>
  <si>
    <t>MU</t>
  </si>
  <si>
    <t>NDAQ UW Equity</t>
  </si>
  <si>
    <t>NDAQ</t>
  </si>
  <si>
    <t>NEE UN Equity</t>
  </si>
  <si>
    <t>NEM UN Equity</t>
  </si>
  <si>
    <t>NEM</t>
  </si>
  <si>
    <t>NFLX UW Equity</t>
  </si>
  <si>
    <t>NFLX</t>
  </si>
  <si>
    <t>NI UN Equity</t>
  </si>
  <si>
    <t>NKE UN Equity</t>
  </si>
  <si>
    <t>NKE</t>
  </si>
  <si>
    <t>NOC UN Equity</t>
  </si>
  <si>
    <t>NOC</t>
  </si>
  <si>
    <t>NRG UN Equity</t>
  </si>
  <si>
    <t>NSC UN Equity</t>
  </si>
  <si>
    <t>NSC</t>
  </si>
  <si>
    <t>NTAP UW Equity</t>
  </si>
  <si>
    <t>NTAP</t>
  </si>
  <si>
    <t>NTRS UW Equity</t>
  </si>
  <si>
    <t>NTRS</t>
  </si>
  <si>
    <t>NUE UN Equity</t>
  </si>
  <si>
    <t>NUE</t>
  </si>
  <si>
    <t>NVDA UW Equity</t>
  </si>
  <si>
    <t>NVDA</t>
  </si>
  <si>
    <t>NWL</t>
  </si>
  <si>
    <t>O UN Equity</t>
  </si>
  <si>
    <t>O</t>
  </si>
  <si>
    <t>OKE UN Equity</t>
  </si>
  <si>
    <t>OKE</t>
  </si>
  <si>
    <t>OMC UN Equity</t>
  </si>
  <si>
    <t>OMC</t>
  </si>
  <si>
    <t>ORCL UN Equity</t>
  </si>
  <si>
    <t>ORCL</t>
  </si>
  <si>
    <t>ORLY UW Equity</t>
  </si>
  <si>
    <t>ORLY</t>
  </si>
  <si>
    <t>OXY UN Equity</t>
  </si>
  <si>
    <t>OXY</t>
  </si>
  <si>
    <t>PAYX UW Equity</t>
  </si>
  <si>
    <t>PAYX</t>
  </si>
  <si>
    <t>PCAR UW Equity</t>
  </si>
  <si>
    <t>PCAR</t>
  </si>
  <si>
    <t>PEG UN Equity</t>
  </si>
  <si>
    <t>PEP</t>
  </si>
  <si>
    <t>PFE UN Equity</t>
  </si>
  <si>
    <t>PFE</t>
  </si>
  <si>
    <t>PFG</t>
  </si>
  <si>
    <t>PG UN Equity</t>
  </si>
  <si>
    <t>PG</t>
  </si>
  <si>
    <t>PGR UN Equity</t>
  </si>
  <si>
    <t>PGR</t>
  </si>
  <si>
    <t>PH UN Equity</t>
  </si>
  <si>
    <t>PH</t>
  </si>
  <si>
    <t>PHM UN Equity</t>
  </si>
  <si>
    <t>PHM</t>
  </si>
  <si>
    <t>PKI UN Equity</t>
  </si>
  <si>
    <t>PKI</t>
  </si>
  <si>
    <t>PLD UN Equity</t>
  </si>
  <si>
    <t>PLD</t>
  </si>
  <si>
    <t>PM UN Equity</t>
  </si>
  <si>
    <t>PM</t>
  </si>
  <si>
    <t>PNC UN Equity</t>
  </si>
  <si>
    <t>PNC</t>
  </si>
  <si>
    <t>PNR UN Equity</t>
  </si>
  <si>
    <t>PNR</t>
  </si>
  <si>
    <t>PNW UN Equity</t>
  </si>
  <si>
    <t>PPG UN Equity</t>
  </si>
  <si>
    <t>PPG</t>
  </si>
  <si>
    <t>PPL UN Equity</t>
  </si>
  <si>
    <t>PRU UN Equity</t>
  </si>
  <si>
    <t>PRU</t>
  </si>
  <si>
    <t>PSA UN Equity</t>
  </si>
  <si>
    <t>PSA</t>
  </si>
  <si>
    <t>PSX UN Equity</t>
  </si>
  <si>
    <t>PSX</t>
  </si>
  <si>
    <t>PWR UN Equity</t>
  </si>
  <si>
    <t>PWR</t>
  </si>
  <si>
    <t>PXD UN Equity</t>
  </si>
  <si>
    <t>PXD</t>
  </si>
  <si>
    <t>PYPL UW Equity</t>
  </si>
  <si>
    <t>PYPL</t>
  </si>
  <si>
    <t>QCOM UW Equity</t>
  </si>
  <si>
    <t>QCOM</t>
  </si>
  <si>
    <t>QRVO UW Equity</t>
  </si>
  <si>
    <t>QRVO</t>
  </si>
  <si>
    <t>RCL UN Equity</t>
  </si>
  <si>
    <t>RCL</t>
  </si>
  <si>
    <t>REGN UW Equity</t>
  </si>
  <si>
    <t>REGN</t>
  </si>
  <si>
    <t>RF UN Equity</t>
  </si>
  <si>
    <t>RF</t>
  </si>
  <si>
    <t>RHI UN Equity</t>
  </si>
  <si>
    <t>RHI</t>
  </si>
  <si>
    <t>RL UN Equity</t>
  </si>
  <si>
    <t>RL</t>
  </si>
  <si>
    <t>ROK UN Equity</t>
  </si>
  <si>
    <t>ROK</t>
  </si>
  <si>
    <t>ROP UN Equity</t>
  </si>
  <si>
    <t>ROP</t>
  </si>
  <si>
    <t>ROST UW Equity</t>
  </si>
  <si>
    <t>ROST</t>
  </si>
  <si>
    <t>RSG UN Equity</t>
  </si>
  <si>
    <t>RSG</t>
  </si>
  <si>
    <t>SBUX UW Equity</t>
  </si>
  <si>
    <t>SBUX</t>
  </si>
  <si>
    <t>SCHW UN Equity</t>
  </si>
  <si>
    <t>SCHW</t>
  </si>
  <si>
    <t>SEE UN Equity</t>
  </si>
  <si>
    <t>SEE</t>
  </si>
  <si>
    <t>SHW UN Equity</t>
  </si>
  <si>
    <t>SJM UN Equity</t>
  </si>
  <si>
    <t>SJM</t>
  </si>
  <si>
    <t>SLB UN Equity</t>
  </si>
  <si>
    <t>SLB</t>
  </si>
  <si>
    <t>SNA UN Equity</t>
  </si>
  <si>
    <t>SNA</t>
  </si>
  <si>
    <t>SO UN Equity</t>
  </si>
  <si>
    <t>SPG UN Equity</t>
  </si>
  <si>
    <t>SPG</t>
  </si>
  <si>
    <t>SPGI UN Equity</t>
  </si>
  <si>
    <t>SPGI</t>
  </si>
  <si>
    <t>SRE UN Equity</t>
  </si>
  <si>
    <t>STT UN Equity</t>
  </si>
  <si>
    <t>STT</t>
  </si>
  <si>
    <t>STX UW Equity</t>
  </si>
  <si>
    <t>STX</t>
  </si>
  <si>
    <t>STZ UN Equity</t>
  </si>
  <si>
    <t>STZ</t>
  </si>
  <si>
    <t>SWK UN Equity</t>
  </si>
  <si>
    <t>SWK</t>
  </si>
  <si>
    <t>SWKS UW Equity</t>
  </si>
  <si>
    <t>SWKS</t>
  </si>
  <si>
    <t>SYF UN Equity</t>
  </si>
  <si>
    <t>SYF</t>
  </si>
  <si>
    <t>SYK UN Equity</t>
  </si>
  <si>
    <t>SYK</t>
  </si>
  <si>
    <t>SYY UN Equity</t>
  </si>
  <si>
    <t>SYY</t>
  </si>
  <si>
    <t>T UN Equity</t>
  </si>
  <si>
    <t>T</t>
  </si>
  <si>
    <t>TAP UN Equity</t>
  </si>
  <si>
    <t>TAP</t>
  </si>
  <si>
    <t>TDG UN Equity</t>
  </si>
  <si>
    <t>TDG</t>
  </si>
  <si>
    <t>TEL UN Equity</t>
  </si>
  <si>
    <t>TEL</t>
  </si>
  <si>
    <t>TGT UN Equity</t>
  </si>
  <si>
    <t>TJX UN Equity</t>
  </si>
  <si>
    <t>TMO UN Equity</t>
  </si>
  <si>
    <t>TMO</t>
  </si>
  <si>
    <t>TROW UW Equity</t>
  </si>
  <si>
    <t>TROW</t>
  </si>
  <si>
    <t>TRV UN Equity</t>
  </si>
  <si>
    <t>TRV</t>
  </si>
  <si>
    <t>TSCO UW Equity</t>
  </si>
  <si>
    <t>TSCO</t>
  </si>
  <si>
    <t>TSN UN Equity</t>
  </si>
  <si>
    <t>TSN</t>
  </si>
  <si>
    <t>TXN UW Equity</t>
  </si>
  <si>
    <t>TXN</t>
  </si>
  <si>
    <t>TXT UN Equity</t>
  </si>
  <si>
    <t>TXT</t>
  </si>
  <si>
    <t>UAL</t>
  </si>
  <si>
    <t>UDR UN Equity</t>
  </si>
  <si>
    <t>UDR</t>
  </si>
  <si>
    <t>UHS UN Equity</t>
  </si>
  <si>
    <t>UHS</t>
  </si>
  <si>
    <t>ULTA UW Equity</t>
  </si>
  <si>
    <t>ULTA</t>
  </si>
  <si>
    <t>UNH UN Equity</t>
  </si>
  <si>
    <t>UNH</t>
  </si>
  <si>
    <t>UNP UN Equity</t>
  </si>
  <si>
    <t>UNP</t>
  </si>
  <si>
    <t>UPS UN Equity</t>
  </si>
  <si>
    <t>UPS</t>
  </si>
  <si>
    <t>URI UN Equity</t>
  </si>
  <si>
    <t>URI</t>
  </si>
  <si>
    <t>USB UN Equity</t>
  </si>
  <si>
    <t>USB</t>
  </si>
  <si>
    <t>V UN Equity</t>
  </si>
  <si>
    <t>V</t>
  </si>
  <si>
    <t>VFC UN Equity</t>
  </si>
  <si>
    <t>VFC</t>
  </si>
  <si>
    <t>VLO UN Equity</t>
  </si>
  <si>
    <t>VLO</t>
  </si>
  <si>
    <t>VMC UN Equity</t>
  </si>
  <si>
    <t>VMC</t>
  </si>
  <si>
    <t>VNO UN Equity</t>
  </si>
  <si>
    <t>VNO</t>
  </si>
  <si>
    <t>VRSK UW Equity</t>
  </si>
  <si>
    <t>VRSN UW Equity</t>
  </si>
  <si>
    <t>VRSN</t>
  </si>
  <si>
    <t>VRTX UW Equity</t>
  </si>
  <si>
    <t>VRTX</t>
  </si>
  <si>
    <t>VTR UN Equity</t>
  </si>
  <si>
    <t>VTR</t>
  </si>
  <si>
    <t>VZ UN Equity</t>
  </si>
  <si>
    <t>VZ</t>
  </si>
  <si>
    <t>WAT UN Equity</t>
  </si>
  <si>
    <t>WAT</t>
  </si>
  <si>
    <t>WBA UW Equity</t>
  </si>
  <si>
    <t>WBA</t>
  </si>
  <si>
    <t>WDC UW Equity</t>
  </si>
  <si>
    <t>WDC</t>
  </si>
  <si>
    <t>WEC UN Equity</t>
  </si>
  <si>
    <t>WFC UN Equity</t>
  </si>
  <si>
    <t>WFC</t>
  </si>
  <si>
    <t>WHR UN Equity</t>
  </si>
  <si>
    <t>WHR</t>
  </si>
  <si>
    <t>WM UN Equity</t>
  </si>
  <si>
    <t>WM</t>
  </si>
  <si>
    <t>WMB UN Equity</t>
  </si>
  <si>
    <t>WMB</t>
  </si>
  <si>
    <t>WMT UN Equity</t>
  </si>
  <si>
    <t>WMT</t>
  </si>
  <si>
    <t>WRK UN Equity</t>
  </si>
  <si>
    <t>WRK</t>
  </si>
  <si>
    <t>WU</t>
  </si>
  <si>
    <t>WY UN Equity</t>
  </si>
  <si>
    <t>WY</t>
  </si>
  <si>
    <t>WYNN UW Equity</t>
  </si>
  <si>
    <t>WYNN</t>
  </si>
  <si>
    <t>XOM UN Equity</t>
  </si>
  <si>
    <t>XOM</t>
  </si>
  <si>
    <t>XRAY UW Equity</t>
  </si>
  <si>
    <t>XRAY</t>
  </si>
  <si>
    <t>XYL UN Equity</t>
  </si>
  <si>
    <t>XYL</t>
  </si>
  <si>
    <t>YUM UN Equity</t>
  </si>
  <si>
    <t>YUM</t>
  </si>
  <si>
    <t>ZBH UN Equity</t>
  </si>
  <si>
    <t>ZBH</t>
  </si>
  <si>
    <t>ZION UW Equity</t>
  </si>
  <si>
    <t>ZION</t>
  </si>
  <si>
    <t>ZTS UN Equity</t>
  </si>
  <si>
    <t>ZTS</t>
  </si>
  <si>
    <t>(7)</t>
  </si>
  <si>
    <t>SUMMARY OUTPUT</t>
  </si>
  <si>
    <t>Regression Statistics</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</si>
  <si>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</si>
  <si>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</si>
  <si>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</si>
  <si>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</si>
  <si>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</si>
  <si>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</si>
  <si>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</si>
  <si>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</si>
  <si>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</si>
  <si>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</si>
  <si>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</si>
  <si>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</si>
  <si>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</si>
  <si>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</si>
  <si>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</si>
  <si>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</si>
  <si>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</si>
  <si>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</si>
  <si>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</si>
  <si>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Coefficients</t>
  </si>
  <si>
    <t>t Stat</t>
  </si>
  <si>
    <t>P-value</t>
  </si>
  <si>
    <t>Lower 95%</t>
  </si>
  <si>
    <t>Upper 95%</t>
  </si>
  <si>
    <t>Lower 95.0%</t>
  </si>
  <si>
    <t>Upper 95.0%</t>
  </si>
  <si>
    <t>Intercept</t>
  </si>
  <si>
    <t>X Variable 1</t>
  </si>
  <si>
    <t>Risk-Free Rate</t>
  </si>
  <si>
    <t>AAA Bond</t>
  </si>
  <si>
    <t>A PU Bond</t>
  </si>
  <si>
    <t>9.</t>
  </si>
  <si>
    <t>Predictive Risk Premium Model (PRPM) (1)</t>
  </si>
  <si>
    <t>Column [5] + Column [6].</t>
  </si>
  <si>
    <t>2016M12</t>
  </si>
  <si>
    <t>Market 
Capitalization</t>
  </si>
  <si>
    <t>Weight in Index</t>
  </si>
  <si>
    <t>Estimated Dividend Yield</t>
  </si>
  <si>
    <t>Long-Term Growth Est.</t>
  </si>
  <si>
    <t>DCF Result</t>
  </si>
  <si>
    <t>Weighted
DCF Result</t>
  </si>
  <si>
    <t>MAA UN Equity</t>
  </si>
  <si>
    <t>MAA</t>
  </si>
  <si>
    <t>Total Market Capitalization:</t>
  </si>
  <si>
    <t>S&amp;P 500 Est. Required Market Return</t>
  </si>
  <si>
    <t>2017M01</t>
  </si>
  <si>
    <t>IDXX UW Equity</t>
  </si>
  <si>
    <t>IDXX</t>
  </si>
  <si>
    <t>Indicated Common Equity Cost Rate (1)</t>
  </si>
  <si>
    <t>VL Appr Potential Week Ending:</t>
  </si>
  <si>
    <t>Summary of Risk Premium Models for the</t>
  </si>
  <si>
    <t>Using the Beta for the</t>
  </si>
  <si>
    <t>Comparable in Total Risk to the</t>
  </si>
  <si>
    <t>DCF Results for the Proxy Group of Non-Price-Regulated Companies Comparable in Total Risk to the</t>
  </si>
  <si>
    <t>Traditional CAPM and ECAPM Results for the Proxy Group of Non-Price-Regulated Companies Comparable in Total Risk to the</t>
  </si>
  <si>
    <t>Notes to Accompany the Application of the CAPM and ECAPM</t>
  </si>
  <si>
    <t>2017M02</t>
  </si>
  <si>
    <t>2017M03</t>
  </si>
  <si>
    <t>AMD</t>
  </si>
  <si>
    <t>ARE UN Equity</t>
  </si>
  <si>
    <t>ARE</t>
  </si>
  <si>
    <t>CBOE</t>
  </si>
  <si>
    <t>DISH UW Equity</t>
  </si>
  <si>
    <t>DISH</t>
  </si>
  <si>
    <t>INCY UW Equity</t>
  </si>
  <si>
    <t>INCY</t>
  </si>
  <si>
    <t>REG</t>
  </si>
  <si>
    <t>RJF UN Equity</t>
  </si>
  <si>
    <t>RJF</t>
  </si>
  <si>
    <t>SNPS UW Equity</t>
  </si>
  <si>
    <t>SNPS</t>
  </si>
  <si>
    <t>Based on Value Line</t>
  </si>
  <si>
    <t>S&amp;P 500</t>
  </si>
  <si>
    <t>Market Capitalization</t>
  </si>
  <si>
    <t>Dividend Yield</t>
  </si>
  <si>
    <t>Projected EPS
Growth</t>
  </si>
  <si>
    <t>Weighted DCF</t>
  </si>
  <si>
    <t>Average of Value Line MRPs:</t>
  </si>
  <si>
    <t>Implied Equity Risk Premium</t>
  </si>
  <si>
    <t>Equity Risk Premium based on S&amp;P Utility Index Holding Period Returns (1):</t>
  </si>
  <si>
    <t>Derivation of Mean Equity Risk Premium Based Studies</t>
  </si>
  <si>
    <t>Projected Market Appreciation of the S&amp;P Utility Index</t>
  </si>
  <si>
    <t>Using Holding Period Returns and</t>
  </si>
  <si>
    <t>Value Line MRP Estimates:</t>
  </si>
  <si>
    <t>Measure 6: Bloomberg Projected MRP</t>
  </si>
  <si>
    <t>Projected Risk-Free Rate (see note 2):</t>
  </si>
  <si>
    <t>MRP based on Value Line data</t>
  </si>
  <si>
    <t>*Forcasted 3-5 year capital appreciation plus expected dividend yield</t>
  </si>
  <si>
    <t>Total projected return on the market 3-5 years hence*:</t>
  </si>
  <si>
    <t>Measure 5: Value Line Projected Return on the Market based on the S&amp;P 500</t>
  </si>
  <si>
    <t>Historical Data MRP Estimates:</t>
  </si>
  <si>
    <t xml:space="preserve"> Ticker </t>
  </si>
  <si>
    <t>DXC</t>
  </si>
  <si>
    <t>IT</t>
  </si>
  <si>
    <t>2017M04</t>
  </si>
  <si>
    <t>DXC UN Equity</t>
  </si>
  <si>
    <t>IT UN Equity</t>
  </si>
  <si>
    <t>2017M05</t>
  </si>
  <si>
    <t>2017M06</t>
  </si>
  <si>
    <t>2017M07</t>
  </si>
  <si>
    <t>PKG UN Equity</t>
  </si>
  <si>
    <t>PKG</t>
  </si>
  <si>
    <t>RE UN Equity</t>
  </si>
  <si>
    <t>RE</t>
  </si>
  <si>
    <t>RMD UN Equity</t>
  </si>
  <si>
    <t>RMD</t>
  </si>
  <si>
    <t>ANSS UW Equity</t>
  </si>
  <si>
    <t>ANSS</t>
  </si>
  <si>
    <t>MGM UN Equity</t>
  </si>
  <si>
    <t>MGM</t>
  </si>
  <si>
    <t>AOS UN Equity</t>
  </si>
  <si>
    <t>AOS</t>
  </si>
  <si>
    <t>HLT UN Equity</t>
  </si>
  <si>
    <t>HLT</t>
  </si>
  <si>
    <t>ALGN UW Equity</t>
  </si>
  <si>
    <t>ALGN</t>
  </si>
  <si>
    <t>% Total Mkt Cap</t>
  </si>
  <si>
    <t>Mkt Cap</t>
  </si>
  <si>
    <t>Div Yield</t>
  </si>
  <si>
    <t>LT EPS Growth</t>
  </si>
  <si>
    <t>DCF</t>
  </si>
  <si>
    <t>Wgtd DCF</t>
  </si>
  <si>
    <t>2017M08</t>
  </si>
  <si>
    <t>CDNS UW Equity</t>
  </si>
  <si>
    <t>CDNS</t>
  </si>
  <si>
    <t>NCLH</t>
  </si>
  <si>
    <t>SBAC UW Equity</t>
  </si>
  <si>
    <t>SBAC</t>
  </si>
  <si>
    <t>2017M09</t>
  </si>
  <si>
    <t>2017M10</t>
  </si>
  <si>
    <t>2017M11</t>
  </si>
  <si>
    <t>2017M12</t>
  </si>
  <si>
    <t>NR</t>
  </si>
  <si>
    <t>APTV</t>
  </si>
  <si>
    <t>HII</t>
  </si>
  <si>
    <t>IQV</t>
  </si>
  <si>
    <t>TPR</t>
  </si>
  <si>
    <t>APTV UN Equity</t>
  </si>
  <si>
    <t>HII UN Equity</t>
  </si>
  <si>
    <t>IQV UN Equity</t>
  </si>
  <si>
    <t>NCLH UN Equity</t>
  </si>
  <si>
    <t>PEP UW Equity</t>
  </si>
  <si>
    <t>PFG UW Equity</t>
  </si>
  <si>
    <t>TPR UN Equity</t>
  </si>
  <si>
    <t>XEL UW Equity</t>
  </si>
  <si>
    <t>BKNG UW Equity</t>
  </si>
  <si>
    <t>BKNG</t>
  </si>
  <si>
    <t>CBRE UN Equity</t>
  </si>
  <si>
    <t>CBRE</t>
  </si>
  <si>
    <t>SIVB UW Equity</t>
  </si>
  <si>
    <t>SIVB</t>
  </si>
  <si>
    <t>TTWO UW Equity</t>
  </si>
  <si>
    <t>TTWO</t>
  </si>
  <si>
    <t>WELL UN Equity</t>
  </si>
  <si>
    <t>WELL</t>
  </si>
  <si>
    <t>2018M01</t>
  </si>
  <si>
    <t>2018M02</t>
  </si>
  <si>
    <t>2018M03</t>
  </si>
  <si>
    <t xml:space="preserve">Closing Stock Market Price </t>
  </si>
  <si>
    <t>MSCI UN Equity</t>
  </si>
  <si>
    <t>MSCI</t>
  </si>
  <si>
    <t>2018M04</t>
  </si>
  <si>
    <t>2018M05</t>
  </si>
  <si>
    <t>Recommended Variance (2)</t>
  </si>
  <si>
    <t>Predicted Risk Premium (3)</t>
  </si>
  <si>
    <t>Risk-Free Rate (4)</t>
  </si>
  <si>
    <t>Conclusion of Equity Risk Premium</t>
  </si>
  <si>
    <t xml:space="preserve">Conclusion of Equity Risk Premium </t>
  </si>
  <si>
    <t>Average of lines 1 through 5.</t>
  </si>
  <si>
    <t>ATO</t>
  </si>
  <si>
    <t>EVRG</t>
  </si>
  <si>
    <t>Agilent Technologies Inc</t>
  </si>
  <si>
    <t>American Airlines Group Inc</t>
  </si>
  <si>
    <t>Advance Auto Parts Inc</t>
  </si>
  <si>
    <t>Apple Inc</t>
  </si>
  <si>
    <t>AbbVie Inc</t>
  </si>
  <si>
    <t>AmerisourceBergen Corp</t>
  </si>
  <si>
    <t>Abbott Laboratories</t>
  </si>
  <si>
    <t>Accenture PLC</t>
  </si>
  <si>
    <t>Adobe Inc</t>
  </si>
  <si>
    <t>Analog Devices Inc</t>
  </si>
  <si>
    <t>Archer-Daniels-Midland Co</t>
  </si>
  <si>
    <t>Automatic Data Processing Inc</t>
  </si>
  <si>
    <t>Autodesk Inc</t>
  </si>
  <si>
    <t>Ameren Corp</t>
  </si>
  <si>
    <t>American Electric Power Co Inc</t>
  </si>
  <si>
    <t>Aflac Inc</t>
  </si>
  <si>
    <t>American International Group Inc</t>
  </si>
  <si>
    <t>Assurant Inc</t>
  </si>
  <si>
    <t>Arthur J Gallagher &amp; Co</t>
  </si>
  <si>
    <t>Akamai Technologies Inc</t>
  </si>
  <si>
    <t>Albemarle Corp</t>
  </si>
  <si>
    <t>Align Technology Inc</t>
  </si>
  <si>
    <t>Alaska Air Group Inc</t>
  </si>
  <si>
    <t>Allstate Corp/The</t>
  </si>
  <si>
    <t>Applied Materials Inc</t>
  </si>
  <si>
    <t>AMD UW Equity</t>
  </si>
  <si>
    <t>Advanced Micro Devices Inc</t>
  </si>
  <si>
    <t>AMETEK Inc</t>
  </si>
  <si>
    <t>Amgen Inc</t>
  </si>
  <si>
    <t>Ameriprise Financial Inc</t>
  </si>
  <si>
    <t>American Tower Corp</t>
  </si>
  <si>
    <t>Amazon.com Inc</t>
  </si>
  <si>
    <t>ANET UN Equity</t>
  </si>
  <si>
    <t>Arista Networks Inc</t>
  </si>
  <si>
    <t>ANET</t>
  </si>
  <si>
    <t>ANSYS Inc</t>
  </si>
  <si>
    <t>Aon PLC</t>
  </si>
  <si>
    <t>Amphenol Corp</t>
  </si>
  <si>
    <t>Aptiv PLC</t>
  </si>
  <si>
    <t>Alexandria Real Estate Equities Inc</t>
  </si>
  <si>
    <t>ATO UN Equity</t>
  </si>
  <si>
    <t>Atmos Energy Corp</t>
  </si>
  <si>
    <t>Activision Blizzard Inc</t>
  </si>
  <si>
    <t>AvalonBay Communities Inc</t>
  </si>
  <si>
    <t>Broadcom Inc</t>
  </si>
  <si>
    <t>Avery Dennison Corp</t>
  </si>
  <si>
    <t>American Water Works Co Inc</t>
  </si>
  <si>
    <t>American Express Co</t>
  </si>
  <si>
    <t>AutoZone Inc</t>
  </si>
  <si>
    <t>Boeing Co/The</t>
  </si>
  <si>
    <t>Bank of America Corp</t>
  </si>
  <si>
    <t>Baxter International Inc</t>
  </si>
  <si>
    <t>Best Buy Co Inc</t>
  </si>
  <si>
    <t>Becton Dickinson and Co</t>
  </si>
  <si>
    <t>Franklin Resources Inc</t>
  </si>
  <si>
    <t>Brown-Forman Corp</t>
  </si>
  <si>
    <t>Biogen Inc</t>
  </si>
  <si>
    <t>Bank of New York Mellon Corp/The</t>
  </si>
  <si>
    <t>Booking Holdings Inc</t>
  </si>
  <si>
    <t>BlackRock Inc</t>
  </si>
  <si>
    <t>Ball Corp</t>
  </si>
  <si>
    <t>Bristol-Myers Squibb Co</t>
  </si>
  <si>
    <t>BR UN Equity</t>
  </si>
  <si>
    <t>Broadridge Financial Solutions Inc</t>
  </si>
  <si>
    <t>BR</t>
  </si>
  <si>
    <t>Berkshire Hathaway Inc</t>
  </si>
  <si>
    <t>Boston Scientific Corp</t>
  </si>
  <si>
    <t>BorgWarner Inc</t>
  </si>
  <si>
    <t>Boston Properties Inc</t>
  </si>
  <si>
    <t>Citigroup Inc</t>
  </si>
  <si>
    <t>Conagra Brands Inc</t>
  </si>
  <si>
    <t>Cardinal Health Inc</t>
  </si>
  <si>
    <t>Caterpillar Inc</t>
  </si>
  <si>
    <t>Chubb Ltd</t>
  </si>
  <si>
    <t>CBOE UF Equity</t>
  </si>
  <si>
    <t>Cboe Global Markets Inc</t>
  </si>
  <si>
    <t>CBRE Group Inc</t>
  </si>
  <si>
    <t>Carnival Corp</t>
  </si>
  <si>
    <t>Cadence Design Systems Inc</t>
  </si>
  <si>
    <t>CE UN Equity</t>
  </si>
  <si>
    <t>Celanese Corp</t>
  </si>
  <si>
    <t>CE</t>
  </si>
  <si>
    <t>CF Industries Holdings Inc</t>
  </si>
  <si>
    <t>Citizens Financial Group Inc</t>
  </si>
  <si>
    <t>Church &amp; Dwight Co Inc</t>
  </si>
  <si>
    <t>CH Robinson Worldwide Inc</t>
  </si>
  <si>
    <t>Charter Communications Inc</t>
  </si>
  <si>
    <t>Cigna Corp</t>
  </si>
  <si>
    <t>Cincinnati Financial Corp</t>
  </si>
  <si>
    <t>Colgate-Palmolive Co</t>
  </si>
  <si>
    <t>Clorox Co/The</t>
  </si>
  <si>
    <t>Comerica Inc</t>
  </si>
  <si>
    <t>Comcast Corp</t>
  </si>
  <si>
    <t>CME Group Inc</t>
  </si>
  <si>
    <t>Chipotle Mexican Grill Inc</t>
  </si>
  <si>
    <t>Cummins Inc</t>
  </si>
  <si>
    <t>CMS Energy Corp</t>
  </si>
  <si>
    <t>Centene Corp</t>
  </si>
  <si>
    <t>CenterPoint Energy Inc</t>
  </si>
  <si>
    <t>Capital One Financial Corp</t>
  </si>
  <si>
    <t>Cooper Cos Inc/The</t>
  </si>
  <si>
    <t>ConocoPhillips</t>
  </si>
  <si>
    <t>Costco Wholesale Corp</t>
  </si>
  <si>
    <t>Campbell Soup Co</t>
  </si>
  <si>
    <t>CPRT UW Equity</t>
  </si>
  <si>
    <t>Copart Inc</t>
  </si>
  <si>
    <t>CPRT</t>
  </si>
  <si>
    <t>CSX Corp</t>
  </si>
  <si>
    <t>Cintas Corp</t>
  </si>
  <si>
    <t>Cognizant Technology Solutions Corp</t>
  </si>
  <si>
    <t>CVS Health Corp</t>
  </si>
  <si>
    <t>Chevron Corp</t>
  </si>
  <si>
    <t>Dominion Energy Inc</t>
  </si>
  <si>
    <t>Delta Air Lines Inc</t>
  </si>
  <si>
    <t>Deere &amp; Co</t>
  </si>
  <si>
    <t>Discover Financial Services</t>
  </si>
  <si>
    <t>Dollar General Corp</t>
  </si>
  <si>
    <t>Quest Diagnostics Inc</t>
  </si>
  <si>
    <t>DR Horton Inc</t>
  </si>
  <si>
    <t>Danaher Corp</t>
  </si>
  <si>
    <t>Walt Disney Co/The</t>
  </si>
  <si>
    <t>DISH Network Corp</t>
  </si>
  <si>
    <t>Digital Realty Trust Inc</t>
  </si>
  <si>
    <t>Dollar Tree Inc</t>
  </si>
  <si>
    <t>Dover Corp</t>
  </si>
  <si>
    <t>DOW UN Equity</t>
  </si>
  <si>
    <t>Dow Inc</t>
  </si>
  <si>
    <t>DOW</t>
  </si>
  <si>
    <t>Darden Restaurants Inc</t>
  </si>
  <si>
    <t>DTE Energy Co</t>
  </si>
  <si>
    <t>Duke Energy Corp</t>
  </si>
  <si>
    <t>DaVita Inc</t>
  </si>
  <si>
    <t>Devon Energy Corp</t>
  </si>
  <si>
    <t>DXC Technology Co</t>
  </si>
  <si>
    <t>Electronic Arts Inc</t>
  </si>
  <si>
    <t>eBay Inc</t>
  </si>
  <si>
    <t>Ecolab Inc</t>
  </si>
  <si>
    <t>Consolidated Edison Inc</t>
  </si>
  <si>
    <t>Equifax Inc</t>
  </si>
  <si>
    <t>Edison International</t>
  </si>
  <si>
    <t>Estee Lauder Cos Inc/The</t>
  </si>
  <si>
    <t>Eastman Chemical Co</t>
  </si>
  <si>
    <t>Emerson Electric Co</t>
  </si>
  <si>
    <t>EOG Resources Inc</t>
  </si>
  <si>
    <t>Equinix Inc</t>
  </si>
  <si>
    <t>Equity Residential</t>
  </si>
  <si>
    <t>Eversource Energy</t>
  </si>
  <si>
    <t>Essex Property Trust Inc</t>
  </si>
  <si>
    <t>Eaton Corp PLC</t>
  </si>
  <si>
    <t>Entergy Corp</t>
  </si>
  <si>
    <t>EVRG UN Equity</t>
  </si>
  <si>
    <t>Evergy Inc</t>
  </si>
  <si>
    <t>Edwards Lifesciences Corp</t>
  </si>
  <si>
    <t>Exelon Corp</t>
  </si>
  <si>
    <t>Expedia Group Inc</t>
  </si>
  <si>
    <t>Extra Space Storage Inc</t>
  </si>
  <si>
    <t>Ford Motor Co</t>
  </si>
  <si>
    <t>FANG UW Equity</t>
  </si>
  <si>
    <t>Diamondback Energy Inc</t>
  </si>
  <si>
    <t>FANG</t>
  </si>
  <si>
    <t>Fastenal Co</t>
  </si>
  <si>
    <t>Freeport-McMoRan Inc</t>
  </si>
  <si>
    <t>FedEx Corp</t>
  </si>
  <si>
    <t>FirstEnergy Corp</t>
  </si>
  <si>
    <t>Fiserv Inc</t>
  </si>
  <si>
    <t>Fifth Third Bancorp</t>
  </si>
  <si>
    <t>FLT UN Equity</t>
  </si>
  <si>
    <t>FleetCor Technologies Inc</t>
  </si>
  <si>
    <t>FLT</t>
  </si>
  <si>
    <t>FMC Corp</t>
  </si>
  <si>
    <t>Fox Corp</t>
  </si>
  <si>
    <t>FRC UN Equity</t>
  </si>
  <si>
    <t>First Republic Bank/CA</t>
  </si>
  <si>
    <t>FRC</t>
  </si>
  <si>
    <t>Federal Realty Investment Trust</t>
  </si>
  <si>
    <t>FTNT UW Equity</t>
  </si>
  <si>
    <t>Fortinet Inc</t>
  </si>
  <si>
    <t>FTNT</t>
  </si>
  <si>
    <t>Fortive Corp</t>
  </si>
  <si>
    <t>General Dynamics Corp</t>
  </si>
  <si>
    <t>General Electric Co</t>
  </si>
  <si>
    <t>Gilead Sciences Inc</t>
  </si>
  <si>
    <t>General Mills Inc</t>
  </si>
  <si>
    <t>Corning Inc</t>
  </si>
  <si>
    <t>General Motors Co</t>
  </si>
  <si>
    <t>Alphabet Inc</t>
  </si>
  <si>
    <t>Genuine Parts Co</t>
  </si>
  <si>
    <t>Global Payments Inc</t>
  </si>
  <si>
    <t>Garmin Ltd</t>
  </si>
  <si>
    <t>Goldman Sachs Group Inc/The</t>
  </si>
  <si>
    <t>WW Grainger Inc</t>
  </si>
  <si>
    <t>Halliburton Co</t>
  </si>
  <si>
    <t>Hasbro Inc</t>
  </si>
  <si>
    <t>Huntington Bancshares Inc/OH</t>
  </si>
  <si>
    <t>HCA Healthcare Inc</t>
  </si>
  <si>
    <t>Home Depot Inc/The</t>
  </si>
  <si>
    <t>Hess Corp</t>
  </si>
  <si>
    <t>Huntington Ingalls Industries Inc</t>
  </si>
  <si>
    <t>Hilton Worldwide Holdings Inc</t>
  </si>
  <si>
    <t>Hologic Inc</t>
  </si>
  <si>
    <t>Honeywell International Inc</t>
  </si>
  <si>
    <t>Hewlett Packard Enterprise Co</t>
  </si>
  <si>
    <t>HP Inc</t>
  </si>
  <si>
    <t>Hormel Foods Corp</t>
  </si>
  <si>
    <t>Henry Schein Inc</t>
  </si>
  <si>
    <t>Host Hotels &amp; Resorts Inc</t>
  </si>
  <si>
    <t>Hershey Co/The</t>
  </si>
  <si>
    <t>Humana Inc</t>
  </si>
  <si>
    <t>International Business Machines Corp</t>
  </si>
  <si>
    <t>Intercontinental Exchange Inc</t>
  </si>
  <si>
    <t>IDEXX Laboratories Inc</t>
  </si>
  <si>
    <t>International Flavors &amp; Fragrances Inc</t>
  </si>
  <si>
    <t>Illumina Inc</t>
  </si>
  <si>
    <t>Incyte Corp</t>
  </si>
  <si>
    <t>Intel Corp</t>
  </si>
  <si>
    <t>Intuit Inc</t>
  </si>
  <si>
    <t>International Paper Co</t>
  </si>
  <si>
    <t>Interpublic Group of Cos Inc/The</t>
  </si>
  <si>
    <t>IQVIA Holdings Inc</t>
  </si>
  <si>
    <t>Iron Mountain Inc</t>
  </si>
  <si>
    <t>Intuitive Surgical Inc</t>
  </si>
  <si>
    <t>Gartner Inc</t>
  </si>
  <si>
    <t>Illinois Tool Works Inc</t>
  </si>
  <si>
    <t>Invesco Ltd</t>
  </si>
  <si>
    <t>JB Hunt Transport Services Inc</t>
  </si>
  <si>
    <t>Johnson Controls International plc</t>
  </si>
  <si>
    <t>JKHY UW Equity</t>
  </si>
  <si>
    <t>Jack Henry &amp; Associates Inc</t>
  </si>
  <si>
    <t>JKHY</t>
  </si>
  <si>
    <t>Johnson &amp; Johnson</t>
  </si>
  <si>
    <t>Juniper Networks Inc</t>
  </si>
  <si>
    <t>JPMorgan Chase &amp; Co</t>
  </si>
  <si>
    <t>Kellogg Co</t>
  </si>
  <si>
    <t>KeyCorp</t>
  </si>
  <si>
    <t>KEYS UN Equity</t>
  </si>
  <si>
    <t>Keysight Technologies Inc</t>
  </si>
  <si>
    <t>KEYS</t>
  </si>
  <si>
    <t>Kraft Heinz Co/The</t>
  </si>
  <si>
    <t>Kimco Realty Corp</t>
  </si>
  <si>
    <t>Kimberly-Clark Corp</t>
  </si>
  <si>
    <t>CarMax Inc</t>
  </si>
  <si>
    <t>Coca-Cola Co/The</t>
  </si>
  <si>
    <t>Kroger Co/The</t>
  </si>
  <si>
    <t>Loews Corp</t>
  </si>
  <si>
    <t>Lennar Corp</t>
  </si>
  <si>
    <t>Laboratory Corp of America Holdings</t>
  </si>
  <si>
    <t>LIN UN Equity</t>
  </si>
  <si>
    <t>Linde PLC</t>
  </si>
  <si>
    <t>LIN</t>
  </si>
  <si>
    <t>LKQ Corp</t>
  </si>
  <si>
    <t>Lockheed Martin Corp</t>
  </si>
  <si>
    <t>Lincoln National Corp</t>
  </si>
  <si>
    <t>LNT UW Equity</t>
  </si>
  <si>
    <t>Alliant Energy Corp</t>
  </si>
  <si>
    <t>Lowe's Cos Inc</t>
  </si>
  <si>
    <t>Lam Research Corp</t>
  </si>
  <si>
    <t>Southwest Airlines Co</t>
  </si>
  <si>
    <t>LW UN Equity</t>
  </si>
  <si>
    <t>Lamb Weston Holdings Inc</t>
  </si>
  <si>
    <t>LW</t>
  </si>
  <si>
    <t>LyondellBasell Industries NV</t>
  </si>
  <si>
    <t>Mastercard Inc</t>
  </si>
  <si>
    <t>Mid-America Apartment Communities Inc</t>
  </si>
  <si>
    <t>Marriott International Inc/MD</t>
  </si>
  <si>
    <t>Masco Corp</t>
  </si>
  <si>
    <t>McDonald's Corp</t>
  </si>
  <si>
    <t>Microchip Technology Inc</t>
  </si>
  <si>
    <t>McKesson Corp</t>
  </si>
  <si>
    <t>Moody's Corp</t>
  </si>
  <si>
    <t>Mondelez International Inc</t>
  </si>
  <si>
    <t>Medtronic PLC</t>
  </si>
  <si>
    <t>MetLife Inc</t>
  </si>
  <si>
    <t>MGM Resorts International</t>
  </si>
  <si>
    <t>Mohawk Industries Inc</t>
  </si>
  <si>
    <t>McCormick &amp; Co Inc/MD</t>
  </si>
  <si>
    <t>Martin Marietta Materials Inc</t>
  </si>
  <si>
    <t>Marsh &amp; McLennan Cos Inc</t>
  </si>
  <si>
    <t>3M Co</t>
  </si>
  <si>
    <t>Monster Beverage Corp</t>
  </si>
  <si>
    <t>Altria Group Inc</t>
  </si>
  <si>
    <t>Mosaic Co/The</t>
  </si>
  <si>
    <t>Marathon Petroleum Corp</t>
  </si>
  <si>
    <t>Merck &amp; Co Inc</t>
  </si>
  <si>
    <t>Marathon Oil Corp</t>
  </si>
  <si>
    <t>Morgan Stanley</t>
  </si>
  <si>
    <t>MSCI Inc</t>
  </si>
  <si>
    <t>Microsoft Corp</t>
  </si>
  <si>
    <t>Motorola Solutions Inc</t>
  </si>
  <si>
    <t>M&amp;T Bank Corp</t>
  </si>
  <si>
    <t>Mettler-Toledo International Inc</t>
  </si>
  <si>
    <t>Micron Technology Inc</t>
  </si>
  <si>
    <t>Norwegian Cruise Line Holdings Ltd</t>
  </si>
  <si>
    <t>Nasdaq Inc</t>
  </si>
  <si>
    <t>NextEra Energy Inc</t>
  </si>
  <si>
    <t>Netflix Inc</t>
  </si>
  <si>
    <t>NiSource Inc</t>
  </si>
  <si>
    <t>NIKE Inc</t>
  </si>
  <si>
    <t>Northrop Grumman Corp</t>
  </si>
  <si>
    <t>NRG Energy Inc</t>
  </si>
  <si>
    <t>Norfolk Southern Corp</t>
  </si>
  <si>
    <t>NetApp Inc</t>
  </si>
  <si>
    <t>Northern Trust Corp</t>
  </si>
  <si>
    <t>Nucor Corp</t>
  </si>
  <si>
    <t>NVIDIA Corp</t>
  </si>
  <si>
    <t>NWL UW Equity</t>
  </si>
  <si>
    <t>Newell Brands Inc</t>
  </si>
  <si>
    <t>News Corp</t>
  </si>
  <si>
    <t>Realty Income Corp</t>
  </si>
  <si>
    <t>ONEOK Inc</t>
  </si>
  <si>
    <t>Omnicom Group Inc</t>
  </si>
  <si>
    <t>Oracle Corp</t>
  </si>
  <si>
    <t>O'Reilly Automotive Inc</t>
  </si>
  <si>
    <t>Occidental Petroleum Corp</t>
  </si>
  <si>
    <t>Paychex Inc</t>
  </si>
  <si>
    <t>PACCAR Inc</t>
  </si>
  <si>
    <t>Public Service Enterprise Group Inc</t>
  </si>
  <si>
    <t>PepsiCo Inc</t>
  </si>
  <si>
    <t>Pfizer Inc</t>
  </si>
  <si>
    <t>Principal Financial Group Inc</t>
  </si>
  <si>
    <t>Procter &amp; Gamble Co/The</t>
  </si>
  <si>
    <t>Progressive Corp/The</t>
  </si>
  <si>
    <t>Parker-Hannifin Corp</t>
  </si>
  <si>
    <t>PulteGroup Inc</t>
  </si>
  <si>
    <t>Packaging Corp of America</t>
  </si>
  <si>
    <t>PerkinElmer Inc</t>
  </si>
  <si>
    <t>Prologis Inc</t>
  </si>
  <si>
    <t>Philip Morris International Inc</t>
  </si>
  <si>
    <t>PNC Financial Services Group Inc/The</t>
  </si>
  <si>
    <t>Pentair PLC</t>
  </si>
  <si>
    <t>Pinnacle West Capital Corp</t>
  </si>
  <si>
    <t>PPG Industries Inc</t>
  </si>
  <si>
    <t>PPL Corp</t>
  </si>
  <si>
    <t>Prudential Financial Inc</t>
  </si>
  <si>
    <t>Public Storage</t>
  </si>
  <si>
    <t>Phillips 66</t>
  </si>
  <si>
    <t>Quanta Services Inc</t>
  </si>
  <si>
    <t>Pioneer Natural Resources Co</t>
  </si>
  <si>
    <t>PayPal Holdings Inc</t>
  </si>
  <si>
    <t>QUALCOMM Inc</t>
  </si>
  <si>
    <t>Qorvo Inc</t>
  </si>
  <si>
    <t>Royal Caribbean Cruises Ltd</t>
  </si>
  <si>
    <t>Everest Re Group Ltd</t>
  </si>
  <si>
    <t>REG UW Equity</t>
  </si>
  <si>
    <t>Regency Centers Corp</t>
  </si>
  <si>
    <t>Regeneron Pharmaceuticals Inc</t>
  </si>
  <si>
    <t>Regions Financial Corp</t>
  </si>
  <si>
    <t>Robert Half International Inc</t>
  </si>
  <si>
    <t>Raymond James Financial Inc</t>
  </si>
  <si>
    <t>Ralph Lauren Corp</t>
  </si>
  <si>
    <t>ResMed Inc</t>
  </si>
  <si>
    <t>Rockwell Automation Inc</t>
  </si>
  <si>
    <t>ROL UN Equity</t>
  </si>
  <si>
    <t>Rollins Inc</t>
  </si>
  <si>
    <t>ROL</t>
  </si>
  <si>
    <t>Roper Technologies Inc</t>
  </si>
  <si>
    <t>Ross Stores Inc</t>
  </si>
  <si>
    <t>Republic Services Inc</t>
  </si>
  <si>
    <t>SBA Communications Corp</t>
  </si>
  <si>
    <t>Starbucks Corp</t>
  </si>
  <si>
    <t>Charles Schwab Corp/The</t>
  </si>
  <si>
    <t>Sealed Air Corp</t>
  </si>
  <si>
    <t>Sherwin-Williams Co/The</t>
  </si>
  <si>
    <t>SVB Financial Group</t>
  </si>
  <si>
    <t>Snap-on Inc</t>
  </si>
  <si>
    <t>Synopsys Inc</t>
  </si>
  <si>
    <t>Southern Co/The</t>
  </si>
  <si>
    <t>Simon Property Group Inc</t>
  </si>
  <si>
    <t>S&amp;P Global Inc</t>
  </si>
  <si>
    <t>Sempra Energy</t>
  </si>
  <si>
    <t>State Street Corp</t>
  </si>
  <si>
    <t>Constellation Brands Inc</t>
  </si>
  <si>
    <t>Stanley Black &amp; Decker Inc</t>
  </si>
  <si>
    <t>Skyworks Solutions Inc</t>
  </si>
  <si>
    <t>Synchrony Financial</t>
  </si>
  <si>
    <t>Stryker Corp</t>
  </si>
  <si>
    <t>Sysco Corp</t>
  </si>
  <si>
    <t>AT&amp;T Inc</t>
  </si>
  <si>
    <t>TransDigm Group Inc</t>
  </si>
  <si>
    <t>TE Connectivity Ltd</t>
  </si>
  <si>
    <t>TFX UN Equity</t>
  </si>
  <si>
    <t>Teleflex Inc</t>
  </si>
  <si>
    <t>TFX</t>
  </si>
  <si>
    <t>Target Corp</t>
  </si>
  <si>
    <t>TJX Cos Inc/The</t>
  </si>
  <si>
    <t>Thermo Fisher Scientific Inc</t>
  </si>
  <si>
    <t>Tapestry Inc</t>
  </si>
  <si>
    <t>T Rowe Price Group Inc</t>
  </si>
  <si>
    <t>Travelers Cos Inc/The</t>
  </si>
  <si>
    <t>Tractor Supply Co</t>
  </si>
  <si>
    <t>Tyson Foods Inc</t>
  </si>
  <si>
    <t>Take-Two Interactive Software Inc</t>
  </si>
  <si>
    <t>Texas Instruments Inc</t>
  </si>
  <si>
    <t>Textron Inc</t>
  </si>
  <si>
    <t>UAL UW Equity</t>
  </si>
  <si>
    <t>UDR Inc</t>
  </si>
  <si>
    <t>Universal Health Services Inc</t>
  </si>
  <si>
    <t>Ulta Beauty Inc</t>
  </si>
  <si>
    <t>UnitedHealth Group Inc</t>
  </si>
  <si>
    <t>Union Pacific Corp</t>
  </si>
  <si>
    <t>United Parcel Service Inc</t>
  </si>
  <si>
    <t>United Rentals Inc</t>
  </si>
  <si>
    <t>US Bancorp</t>
  </si>
  <si>
    <t>Visa Inc</t>
  </si>
  <si>
    <t>VF Corp</t>
  </si>
  <si>
    <t>Valero Energy Corp</t>
  </si>
  <si>
    <t>Vulcan Materials Co</t>
  </si>
  <si>
    <t>Vornado Realty Trust</t>
  </si>
  <si>
    <t>Verisk Analytics Inc</t>
  </si>
  <si>
    <t>VeriSign Inc</t>
  </si>
  <si>
    <t>Vertex Pharmaceuticals Inc</t>
  </si>
  <si>
    <t>Ventas Inc</t>
  </si>
  <si>
    <t>Verizon Communications Inc</t>
  </si>
  <si>
    <t>WAB UN Equity</t>
  </si>
  <si>
    <t>WAB</t>
  </si>
  <si>
    <t>Waters Corp</t>
  </si>
  <si>
    <t>Walgreens Boots Alliance Inc</t>
  </si>
  <si>
    <t>Western Digital Corp</t>
  </si>
  <si>
    <t>WEC Energy Group Inc</t>
  </si>
  <si>
    <t>Welltower Inc</t>
  </si>
  <si>
    <t>Wells Fargo &amp; Co</t>
  </si>
  <si>
    <t>Whirlpool Corp</t>
  </si>
  <si>
    <t>Willis Towers Watson PLC</t>
  </si>
  <si>
    <t>Waste Management Inc</t>
  </si>
  <si>
    <t>Williams Cos Inc/The</t>
  </si>
  <si>
    <t>Walmart Inc</t>
  </si>
  <si>
    <t>Westrock Co</t>
  </si>
  <si>
    <t>Weyerhaeuser Co</t>
  </si>
  <si>
    <t>Wynn Resorts Ltd</t>
  </si>
  <si>
    <t>Xcel Energy Inc</t>
  </si>
  <si>
    <t>Exxon Mobil Corp</t>
  </si>
  <si>
    <t>DENTSPLY SIRONA Inc</t>
  </si>
  <si>
    <t>Xylem Inc/NY</t>
  </si>
  <si>
    <t>Yum! Brands Inc</t>
  </si>
  <si>
    <t>Zimmer Biomet Holdings Inc</t>
  </si>
  <si>
    <t>Zions Bancorp NA</t>
  </si>
  <si>
    <t>Zoetis Inc</t>
  </si>
  <si>
    <t>2018M06</t>
  </si>
  <si>
    <t>2018M07</t>
  </si>
  <si>
    <t>2018M08</t>
  </si>
  <si>
    <t>2018M09</t>
  </si>
  <si>
    <t>2018M10</t>
  </si>
  <si>
    <t>2018M11</t>
  </si>
  <si>
    <t>2018M12</t>
  </si>
  <si>
    <t>2019M01</t>
  </si>
  <si>
    <t>2019M02</t>
  </si>
  <si>
    <t>2019M03</t>
  </si>
  <si>
    <t>2019M04</t>
  </si>
  <si>
    <t>[A]</t>
  </si>
  <si>
    <t>[B]</t>
  </si>
  <si>
    <t>[C]</t>
  </si>
  <si>
    <t>[D]</t>
  </si>
  <si>
    <t>Predicted Equity Risk Premium</t>
  </si>
  <si>
    <t>Based on Regression Analysis</t>
  </si>
  <si>
    <t>Rate Case History</t>
  </si>
  <si>
    <t>Prediction of Equity Risk Premiums Relative to</t>
  </si>
  <si>
    <t>Past Rate Cases</t>
  </si>
  <si>
    <t>Increase Authorized</t>
  </si>
  <si>
    <t>State</t>
  </si>
  <si>
    <t>Case Identification</t>
  </si>
  <si>
    <t>Service</t>
  </si>
  <si>
    <t>Case Type</t>
  </si>
  <si>
    <t>Decision Type</t>
  </si>
  <si>
    <t>Return on
Equity
(%)</t>
  </si>
  <si>
    <t>Common Equity
/Total Cap
(%)</t>
  </si>
  <si>
    <t>A Rated Utility Bond (%)</t>
  </si>
  <si>
    <t>Equity Risk Premium (%)</t>
  </si>
  <si>
    <t>Illinois</t>
  </si>
  <si>
    <t>Distribution</t>
  </si>
  <si>
    <t>Fully Litigated</t>
  </si>
  <si>
    <t>Pennsylvania</t>
  </si>
  <si>
    <t>Maryland</t>
  </si>
  <si>
    <t>Georgia</t>
  </si>
  <si>
    <t>Massachusetts</t>
  </si>
  <si>
    <t>Oklahoma</t>
  </si>
  <si>
    <t>Wisconsin</t>
  </si>
  <si>
    <t>Madison Gas and Electric Co.</t>
  </si>
  <si>
    <t>New York</t>
  </si>
  <si>
    <t>Niagara Mohawk Power Corp.</t>
  </si>
  <si>
    <t>Kansas</t>
  </si>
  <si>
    <t>Consolidated Edison Co. of NY</t>
  </si>
  <si>
    <t>Orange &amp; Rockland Utlts Inc.</t>
  </si>
  <si>
    <t>Iowa</t>
  </si>
  <si>
    <t>MidAmerican Energy Co.</t>
  </si>
  <si>
    <t>Ohio</t>
  </si>
  <si>
    <t>New Jersey</t>
  </si>
  <si>
    <t>Public Service Electric Gas</t>
  </si>
  <si>
    <t>Utah</t>
  </si>
  <si>
    <t>Colorado</t>
  </si>
  <si>
    <t>Public Service Co. of CO</t>
  </si>
  <si>
    <t>Arizona</t>
  </si>
  <si>
    <t>Arizona Public Service Co.</t>
  </si>
  <si>
    <t>Constant</t>
  </si>
  <si>
    <t>Slope</t>
  </si>
  <si>
    <t>Prospective Equity Risk Premium</t>
  </si>
  <si>
    <t>Baltimore Gas and Electric Co.</t>
  </si>
  <si>
    <t>Connecticut</t>
  </si>
  <si>
    <t>West Virginia</t>
  </si>
  <si>
    <t>NY State Electric &amp; Gas Corp.</t>
  </si>
  <si>
    <t>Idaho</t>
  </si>
  <si>
    <t>Avista Corp.</t>
  </si>
  <si>
    <t>Kentucky</t>
  </si>
  <si>
    <t>Louisville Gas &amp; Electric Co.</t>
  </si>
  <si>
    <t>Nevada</t>
  </si>
  <si>
    <t>Louisiana</t>
  </si>
  <si>
    <t>Sierra Pacific Power Co.</t>
  </si>
  <si>
    <t>District of Columbia</t>
  </si>
  <si>
    <t>Entergy Gulf States LA LLC</t>
  </si>
  <si>
    <t>Washington</t>
  </si>
  <si>
    <t>Puget Sound Energy Inc.</t>
  </si>
  <si>
    <t>California</t>
  </si>
  <si>
    <t>Indiana</t>
  </si>
  <si>
    <t>Montana</t>
  </si>
  <si>
    <t>NorthWestern Corp.</t>
  </si>
  <si>
    <t>San Diego Gas &amp; Electric Co.</t>
  </si>
  <si>
    <t>Ameren Illinois</t>
  </si>
  <si>
    <t>North Carolina</t>
  </si>
  <si>
    <t>Michigan</t>
  </si>
  <si>
    <t>Interstate Power &amp; Light Co.</t>
  </si>
  <si>
    <t>Wisconsin Public Service Corp.</t>
  </si>
  <si>
    <t>Wisconsin Power and Light Co</t>
  </si>
  <si>
    <t>Central Hudson Gas &amp; Electric</t>
  </si>
  <si>
    <t>Arkansas</t>
  </si>
  <si>
    <t>Minnesota</t>
  </si>
  <si>
    <t>New Mexico</t>
  </si>
  <si>
    <t>Public Service Co. of NM</t>
  </si>
  <si>
    <t>Missouri</t>
  </si>
  <si>
    <t>South Carolina</t>
  </si>
  <si>
    <t>Delaware</t>
  </si>
  <si>
    <t>Delmarva Power &amp; Light Co.</t>
  </si>
  <si>
    <t>Pacific Gas and Electric Co.</t>
  </si>
  <si>
    <t>Duke Energy Ohio Inc.</t>
  </si>
  <si>
    <t>North Dakota</t>
  </si>
  <si>
    <t>Rhode Island</t>
  </si>
  <si>
    <t>Narragansett Electric Co.</t>
  </si>
  <si>
    <t>Northern IN Public Svc Co.</t>
  </si>
  <si>
    <t>Hawaii</t>
  </si>
  <si>
    <t>Virginia</t>
  </si>
  <si>
    <t>Mississippi</t>
  </si>
  <si>
    <t>Tennessee</t>
  </si>
  <si>
    <t>UGI Utilities Inc.</t>
  </si>
  <si>
    <t>Long Island Lighting Co</t>
  </si>
  <si>
    <t>Consumers Energy Co.</t>
  </si>
  <si>
    <t>Duke Energy Kentucky Inc.</t>
  </si>
  <si>
    <t>Florida</t>
  </si>
  <si>
    <t>Wisconsin Electric Power Co.</t>
  </si>
  <si>
    <t>Oregon</t>
  </si>
  <si>
    <t>Texas</t>
  </si>
  <si>
    <t>New Hampshire</t>
  </si>
  <si>
    <t>Wyoming</t>
  </si>
  <si>
    <t>Fitchburg Gas &amp; Electric Light</t>
  </si>
  <si>
    <t>Alaska</t>
  </si>
  <si>
    <t>Maine</t>
  </si>
  <si>
    <t>AMCR UN Equity</t>
  </si>
  <si>
    <t>Amcor PLC</t>
  </si>
  <si>
    <t>AMCR</t>
  </si>
  <si>
    <t>Baker Hughes Co</t>
  </si>
  <si>
    <t>BKR</t>
  </si>
  <si>
    <t>CDW UW Equity</t>
  </si>
  <si>
    <t>CDW Corp/DE</t>
  </si>
  <si>
    <t>CDW</t>
  </si>
  <si>
    <t>CTVA UN Equity</t>
  </si>
  <si>
    <t>Corteva Inc</t>
  </si>
  <si>
    <t>CTVA</t>
  </si>
  <si>
    <t>DD UN Equity</t>
  </si>
  <si>
    <t>DuPont de Nemours Inc</t>
  </si>
  <si>
    <t>DD</t>
  </si>
  <si>
    <t>EXC UW Equity</t>
  </si>
  <si>
    <t>GL UN Equity</t>
  </si>
  <si>
    <t>Globe Life Inc</t>
  </si>
  <si>
    <t>GL</t>
  </si>
  <si>
    <t>IEX UN Equity</t>
  </si>
  <si>
    <t>IDEX Corp</t>
  </si>
  <si>
    <t>IEX</t>
  </si>
  <si>
    <t>KLA Corp</t>
  </si>
  <si>
    <t>LDOS UN Equity</t>
  </si>
  <si>
    <t>Leidos Holdings Inc</t>
  </si>
  <si>
    <t>LDOS</t>
  </si>
  <si>
    <t>LHX UN Equity</t>
  </si>
  <si>
    <t>L3Harris Technologies Inc</t>
  </si>
  <si>
    <t>LHX</t>
  </si>
  <si>
    <t>LVS UN Equity</t>
  </si>
  <si>
    <t>Las Vegas Sands Corp</t>
  </si>
  <si>
    <t>LVS</t>
  </si>
  <si>
    <t>MKTX UW Equity</t>
  </si>
  <si>
    <t>MarketAxess Holdings Inc</t>
  </si>
  <si>
    <t>MKTX</t>
  </si>
  <si>
    <t>NVR UN Equity</t>
  </si>
  <si>
    <t>NVR Inc</t>
  </si>
  <si>
    <t>NVR</t>
  </si>
  <si>
    <t>TMUS UW Equity</t>
  </si>
  <si>
    <t>T-Mobile US Inc</t>
  </si>
  <si>
    <t>TMUS</t>
  </si>
  <si>
    <t>United Airlines Holdings Inc</t>
  </si>
  <si>
    <t>2019M05</t>
  </si>
  <si>
    <t>2019M06</t>
  </si>
  <si>
    <t>2019M07</t>
  </si>
  <si>
    <t>2019M08</t>
  </si>
  <si>
    <t>2019M09</t>
  </si>
  <si>
    <t>2019M10</t>
  </si>
  <si>
    <t>Indicated Common Equity Cost Rate Using the Discounted Cash Flow Model for the</t>
  </si>
  <si>
    <t>Derivation of Investment Risk Adjustment Based upon</t>
  </si>
  <si>
    <t>Spread from Applicable Size Premium (4)</t>
  </si>
  <si>
    <t>Applicable Decile of the NYSE/AMEX/   NASDAQ (2)</t>
  </si>
  <si>
    <t>Applicable Size Premium (3)</t>
  </si>
  <si>
    <t>( millions )</t>
  </si>
  <si>
    <t>(times larger)</t>
  </si>
  <si>
    <t>Decile</t>
  </si>
  <si>
    <t>Market Capitalization of Smallest Company</t>
  </si>
  <si>
    <t>Market Capitalization of Largest Company</t>
  </si>
  <si>
    <t>Size Premium (Return in Excess of CAPM)*</t>
  </si>
  <si>
    <t>Largest</t>
  </si>
  <si>
    <t>Smallest</t>
  </si>
  <si>
    <t>Gleaned from Columns [B] and [C] on the bottom of this page.  The appropriate decile (Column [A]) corresponds to the market capitalization of the proxy group, which is found in Column [1].</t>
  </si>
  <si>
    <t>Corresponding risk premium to the decile is provided in Column [D] on the bottom of this page.</t>
  </si>
  <si>
    <t>Exchange</t>
  </si>
  <si>
    <t>Column 3 / Column 1.</t>
  </si>
  <si>
    <t>Column 4 /  Column 2.</t>
  </si>
  <si>
    <t>Column 1 * Column 4.</t>
  </si>
  <si>
    <t>Column [3] multiplied by Column [5].</t>
  </si>
  <si>
    <t>Entergy New Orleans LLC</t>
  </si>
  <si>
    <t>Long-Term Issuer Rating (1)</t>
  </si>
  <si>
    <t>Numerical Weighting (2)</t>
  </si>
  <si>
    <t>Ratings are that of the average of each company's utility operating subsidiaries.</t>
  </si>
  <si>
    <t>J UN Equity</t>
  </si>
  <si>
    <t>J</t>
  </si>
  <si>
    <t>LYV UN Equity</t>
  </si>
  <si>
    <t>Live Nation Entertainment Inc</t>
  </si>
  <si>
    <t>LYV</t>
  </si>
  <si>
    <t>NOW UN Equity</t>
  </si>
  <si>
    <t>ServiceNow Inc</t>
  </si>
  <si>
    <t>NOW</t>
  </si>
  <si>
    <t>ODFL UW Equity</t>
  </si>
  <si>
    <t>Old Dominion Freight Line Inc</t>
  </si>
  <si>
    <t>ODFL</t>
  </si>
  <si>
    <t>PEAK UN Equity</t>
  </si>
  <si>
    <t>Healthpeak Properties Inc</t>
  </si>
  <si>
    <t>PEAK</t>
  </si>
  <si>
    <t>STE UN Equity</t>
  </si>
  <si>
    <t>STERIS PLC</t>
  </si>
  <si>
    <t>STE</t>
  </si>
  <si>
    <t>TFC UN Equity</t>
  </si>
  <si>
    <t>Truist Financial Corp</t>
  </si>
  <si>
    <t>TFC</t>
  </si>
  <si>
    <t>Westinghouse Air Brake Technologies Corp</t>
  </si>
  <si>
    <t>WRB UN Equity</t>
  </si>
  <si>
    <t>WRB</t>
  </si>
  <si>
    <t>ZBRA UW Equity</t>
  </si>
  <si>
    <t>Zebra Technologies Corp</t>
  </si>
  <si>
    <t>ZBRA</t>
  </si>
  <si>
    <t>2019M11</t>
  </si>
  <si>
    <t>2019M12</t>
  </si>
  <si>
    <t>2020M01</t>
  </si>
  <si>
    <t>2020M02</t>
  </si>
  <si>
    <t>2020M03</t>
  </si>
  <si>
    <t>2020M04</t>
  </si>
  <si>
    <t>AES Corp/The</t>
  </si>
  <si>
    <t>Allegion plc</t>
  </si>
  <si>
    <t>Air Products and Chemicals Inc</t>
  </si>
  <si>
    <t>CARR UN Equity</t>
  </si>
  <si>
    <t>Carrier Global Corp</t>
  </si>
  <si>
    <t>CARR</t>
  </si>
  <si>
    <t>HWM UN Equity</t>
  </si>
  <si>
    <t>Howmet Aerospace Inc</t>
  </si>
  <si>
    <t>HWM</t>
  </si>
  <si>
    <t>Ingersoll Rand Inc</t>
  </si>
  <si>
    <t>Kinder Morgan Inc</t>
  </si>
  <si>
    <t>Newmont Corp</t>
  </si>
  <si>
    <t>OTIS UN Equity</t>
  </si>
  <si>
    <t>Otis Worldwide Corp</t>
  </si>
  <si>
    <t>OTIS</t>
  </si>
  <si>
    <t>PAYC UN Equity</t>
  </si>
  <si>
    <t>Paycom Software Inc</t>
  </si>
  <si>
    <t>PAYC</t>
  </si>
  <si>
    <t>RTX UN Equity</t>
  </si>
  <si>
    <t>Raytheon Technologies Corp</t>
  </si>
  <si>
    <t>RTX</t>
  </si>
  <si>
    <t>Molson Coors Beverage Co</t>
  </si>
  <si>
    <t>TT UN Equity</t>
  </si>
  <si>
    <t>Trane Technologies PLC</t>
  </si>
  <si>
    <t>TT</t>
  </si>
  <si>
    <t>BIO</t>
  </si>
  <si>
    <t>EXPO</t>
  </si>
  <si>
    <t>INGR</t>
  </si>
  <si>
    <t>SIGI</t>
  </si>
  <si>
    <t>WST</t>
  </si>
  <si>
    <t xml:space="preserve">Assurant Inc.       </t>
  </si>
  <si>
    <t xml:space="preserve">Exponent, Inc.      </t>
  </si>
  <si>
    <t xml:space="preserve">Ingredion Inc.      </t>
  </si>
  <si>
    <t>Selective Ins. Group</t>
  </si>
  <si>
    <t>A O Smith Corp</t>
  </si>
  <si>
    <t>APA UW Equity</t>
  </si>
  <si>
    <t>BIO UN Equity</t>
  </si>
  <si>
    <t>Bio-Rad Laboratories Inc</t>
  </si>
  <si>
    <t>DPZ UN Equity</t>
  </si>
  <si>
    <t>Domino's Pizza Inc</t>
  </si>
  <si>
    <t>DPZ</t>
  </si>
  <si>
    <t>DXCM UW Equity</t>
  </si>
  <si>
    <t>DXCM</t>
  </si>
  <si>
    <t>J M Smucker Co/The</t>
  </si>
  <si>
    <t>TDY UN Equity</t>
  </si>
  <si>
    <t>Teledyne Technologies Inc</t>
  </si>
  <si>
    <t>TDY</t>
  </si>
  <si>
    <t>TYL UN Equity</t>
  </si>
  <si>
    <t>Tyler Technologies Inc</t>
  </si>
  <si>
    <t>TYL</t>
  </si>
  <si>
    <t>W R Berkley Corp</t>
  </si>
  <si>
    <t>WST UN Equity</t>
  </si>
  <si>
    <t>West Pharmaceutical Services Inc</t>
  </si>
  <si>
    <t xml:space="preserve">   2 std. Devs. of Beta</t>
  </si>
  <si>
    <t>2 std. devs. of the Res. Std. Err.</t>
  </si>
  <si>
    <t>2020M05</t>
  </si>
  <si>
    <t>2020M06</t>
  </si>
  <si>
    <t>2020M07</t>
  </si>
  <si>
    <t>Beta Range (+/- 2 std. Devs. of Beta)</t>
  </si>
  <si>
    <t>Residual Std. Err. Range (+/- 2 std.</t>
  </si>
  <si>
    <t>2020M08</t>
  </si>
  <si>
    <t>NJR</t>
  </si>
  <si>
    <t>NWN</t>
  </si>
  <si>
    <t>OGS</t>
  </si>
  <si>
    <t>SJI</t>
  </si>
  <si>
    <t>SR</t>
  </si>
  <si>
    <t>Natural Gas</t>
  </si>
  <si>
    <t>Elizabethtown Gas Company</t>
  </si>
  <si>
    <t>South Jersey Gas Company</t>
  </si>
  <si>
    <t>Spire Alabama Inc.</t>
  </si>
  <si>
    <t>Spire Missouri Inc.</t>
  </si>
  <si>
    <t>A1/A2</t>
  </si>
  <si>
    <t>ONE Gas, Inc.</t>
  </si>
  <si>
    <t>Missouri Gas Energy</t>
  </si>
  <si>
    <t>New Jersey Resources</t>
  </si>
  <si>
    <t xml:space="preserve">Northwest Nat. Gas  </t>
  </si>
  <si>
    <t>Spire Inc.</t>
  </si>
  <si>
    <t>D-UG-190530</t>
  </si>
  <si>
    <t>D-19AL-0075G</t>
  </si>
  <si>
    <t>Black Hills Colorado Gas Inc.</t>
  </si>
  <si>
    <t>D-2019-00092</t>
  </si>
  <si>
    <t>Northern Utilities Inc.</t>
  </si>
  <si>
    <t>D-19-057-02</t>
  </si>
  <si>
    <t>Questar Gas Co.</t>
  </si>
  <si>
    <t>D-19-ATMG-525-RTS</t>
  </si>
  <si>
    <t>Atmos Energy Corp.</t>
  </si>
  <si>
    <t>C-PUR-2018-00013</t>
  </si>
  <si>
    <t>Roanoke Gas Co.</t>
  </si>
  <si>
    <t>C-PUR-2018-00080</t>
  </si>
  <si>
    <t>Washington Gas Light Co.</t>
  </si>
  <si>
    <t>D-42315</t>
  </si>
  <si>
    <t>Atlanta Gas Light Co.</t>
  </si>
  <si>
    <t>A-19-04-017 (Gas)</t>
  </si>
  <si>
    <t>A-19-04-018</t>
  </si>
  <si>
    <t>Southern California Gas Co.</t>
  </si>
  <si>
    <t>C-9609</t>
  </si>
  <si>
    <t>Columbia Gas of Maryland Inc</t>
  </si>
  <si>
    <t>D-UD-18-07 (gas)</t>
  </si>
  <si>
    <t>D-18-1775</t>
  </si>
  <si>
    <t>Northern Illinois Gas Co.</t>
  </si>
  <si>
    <t>C-U-20322</t>
  </si>
  <si>
    <t>C-2018-00281</t>
  </si>
  <si>
    <t>C-9484</t>
  </si>
  <si>
    <t>D-18-05031 (Northern)</t>
  </si>
  <si>
    <t>Southwest Gas Corp.</t>
  </si>
  <si>
    <t>D-18-05031 (Southern)</t>
  </si>
  <si>
    <t>D-17AL-0363G</t>
  </si>
  <si>
    <t>C-9481</t>
  </si>
  <si>
    <t>D-G-011/GR-17-563</t>
  </si>
  <si>
    <t>Minnesota Energy Resources</t>
  </si>
  <si>
    <t>DPU-17-170 (Colonial Gas)</t>
  </si>
  <si>
    <t>Colonial Gas Co.</t>
  </si>
  <si>
    <t>DPU-17-170 (Boston Gas)</t>
  </si>
  <si>
    <t>Boston Gas Co.</t>
  </si>
  <si>
    <t>C-U-18999</t>
  </si>
  <si>
    <t>DTE Gas Co.</t>
  </si>
  <si>
    <t>C-2017-00349</t>
  </si>
  <si>
    <t>D-DG-17-048</t>
  </si>
  <si>
    <t>Liberty Utilities EnergyNorth</t>
  </si>
  <si>
    <t>D-UG-170486</t>
  </si>
  <si>
    <t>D-2017-00065</t>
  </si>
  <si>
    <t>C-GR-2017-0215</t>
  </si>
  <si>
    <t>C-GR-2017-0216</t>
  </si>
  <si>
    <t>D-17-0124</t>
  </si>
  <si>
    <t>D-4220-UR-123 (Gas)</t>
  </si>
  <si>
    <t>D-U-16-066</t>
  </si>
  <si>
    <t>ENSTAR Natural Gas Co.</t>
  </si>
  <si>
    <t>C-U-18124</t>
  </si>
  <si>
    <t>C-INT-G-16-2</t>
  </si>
  <si>
    <t>Intermountain Gas Co.</t>
  </si>
  <si>
    <t>C-16-G-0257</t>
  </si>
  <si>
    <t>FC-1137</t>
  </si>
  <si>
    <t>C-U-17999</t>
  </si>
  <si>
    <t>D-3270-UR-121 (Gas)</t>
  </si>
  <si>
    <t>D-G-011/GR-15-736</t>
  </si>
  <si>
    <t>D-GUD-10506</t>
  </si>
  <si>
    <t>Texas Gas Service Co.</t>
  </si>
  <si>
    <t>C-9406 (gas)</t>
  </si>
  <si>
    <t>D-G-008/GR-15-424</t>
  </si>
  <si>
    <t>CenterPoint Energy Resources</t>
  </si>
  <si>
    <t>DPU 15-81</t>
  </si>
  <si>
    <t>D-UG 288</t>
  </si>
  <si>
    <t>D-15AL-0135G</t>
  </si>
  <si>
    <t>D-4220-UR-121 (Gas)</t>
  </si>
  <si>
    <t>D-6690-UR-124 (Gas)</t>
  </si>
  <si>
    <t>DPU 14-150</t>
  </si>
  <si>
    <t>NSTAR Gas Co.</t>
  </si>
  <si>
    <t>D-14-0225</t>
  </si>
  <si>
    <t>D-14-0224</t>
  </si>
  <si>
    <t>North Shore Gas Co.</t>
  </si>
  <si>
    <t>D-3270-UR-120 (Gas)</t>
  </si>
  <si>
    <t>D-05-UR-107 (WG)</t>
  </si>
  <si>
    <t>Wisconsin Gas LLC</t>
  </si>
  <si>
    <t>D-05-UR-107 (WEP-Gas)</t>
  </si>
  <si>
    <t>D-6690-UR-123 (Gas)</t>
  </si>
  <si>
    <t>C-GR-2014-0086</t>
  </si>
  <si>
    <t>Summit Natural Gas of Missouri</t>
  </si>
  <si>
    <t>D-G-011/GR-13-617</t>
  </si>
  <si>
    <t>A-12-12-024 (LkTah)</t>
  </si>
  <si>
    <t>A-12-12-024 (NoCal)</t>
  </si>
  <si>
    <t>A-12-12-024 (SoCal)</t>
  </si>
  <si>
    <t>D-6680-UR-119 (Gas)</t>
  </si>
  <si>
    <t>D-G-008/GR-13-316</t>
  </si>
  <si>
    <t>C-2013-00148</t>
  </si>
  <si>
    <t>DPU 13-75</t>
  </si>
  <si>
    <t>D-13-057-05</t>
  </si>
  <si>
    <t>D-13-06-08</t>
  </si>
  <si>
    <t>CT Natural Gas Corp.</t>
  </si>
  <si>
    <t>D-12AL-1268G</t>
  </si>
  <si>
    <t>D-13-0192</t>
  </si>
  <si>
    <t>D-13-06003</t>
  </si>
  <si>
    <t>C-9326 (gas)</t>
  </si>
  <si>
    <t>D-4220-UR-119 (Gas)</t>
  </si>
  <si>
    <t>C-9322</t>
  </si>
  <si>
    <t>D-6690-UR-122 (Gas)</t>
  </si>
  <si>
    <t>C-9316</t>
  </si>
  <si>
    <t>D-12-0512</t>
  </si>
  <si>
    <t>D-12-0511</t>
  </si>
  <si>
    <t>FC-1093</t>
  </si>
  <si>
    <t>C-9299 (gas)</t>
  </si>
  <si>
    <t>Ap-12-04-018 (Gas)</t>
  </si>
  <si>
    <t>Ap-12-04-016 (Gas)</t>
  </si>
  <si>
    <t>Ap-12-04-017</t>
  </si>
  <si>
    <t>D-GUD-10170 (Mid-Tex)</t>
  </si>
  <si>
    <t>D-05-UR-106 (WG)</t>
  </si>
  <si>
    <t>D-05-UR-106 (WEP-Gas)</t>
  </si>
  <si>
    <t>D-3270-UR-118 (gas)</t>
  </si>
  <si>
    <t>DPU 12-25</t>
  </si>
  <si>
    <t>D-12-04005 (Southern)</t>
  </si>
  <si>
    <t>C-11-1627-G-42T</t>
  </si>
  <si>
    <t>D-12-04005 (Northern)</t>
  </si>
  <si>
    <t>D-UG-221</t>
  </si>
  <si>
    <t>Northwest Natural Gas Co.</t>
  </si>
  <si>
    <t>D-6680-UR-118 (gas)</t>
  </si>
  <si>
    <t>D-G-007,011/GR-10-977</t>
  </si>
  <si>
    <t>D-NG-0067</t>
  </si>
  <si>
    <t>Black Hills Gas Distribution</t>
  </si>
  <si>
    <t>Nebraska</t>
  </si>
  <si>
    <t>D-UG-111049</t>
  </si>
  <si>
    <t>D-G-04204A-11-0158</t>
  </si>
  <si>
    <t>UNS Gas Inc.</t>
  </si>
  <si>
    <t>D-11-0281</t>
  </si>
  <si>
    <t>D-11-0280</t>
  </si>
  <si>
    <t>D-11-0282 (gas)</t>
  </si>
  <si>
    <t>D-4220-UR-117 (gas)</t>
  </si>
  <si>
    <t>C-9267</t>
  </si>
  <si>
    <t>DPU 11-02</t>
  </si>
  <si>
    <t>D-10-12-02</t>
  </si>
  <si>
    <t>Yankee Gas Services Co.</t>
  </si>
  <si>
    <t>DPU 10-114</t>
  </si>
  <si>
    <t>Liberty Utilities (NE Nat Gas)</t>
  </si>
  <si>
    <t>D-6690-UR-120 (gas)</t>
  </si>
  <si>
    <t>D-3270-UR-117 (gas)</t>
  </si>
  <si>
    <t>D-30022-148-GR-10</t>
  </si>
  <si>
    <t>D-10-06002</t>
  </si>
  <si>
    <t>D-GUD 9988, 9992</t>
  </si>
  <si>
    <t>D-G-002/GR-09-1153</t>
  </si>
  <si>
    <t>C-9230 (gas)</t>
  </si>
  <si>
    <t>D-31647</t>
  </si>
  <si>
    <t>D.P.U. 10-55 (CG)</t>
  </si>
  <si>
    <t>D.P.U. 10-55 (BG)</t>
  </si>
  <si>
    <t>C-2010-00116</t>
  </si>
  <si>
    <t>Delta Natural Gas Co.</t>
  </si>
  <si>
    <t>D-NG-0061</t>
  </si>
  <si>
    <t>C-U-15985</t>
  </si>
  <si>
    <t>D-09-00183</t>
  </si>
  <si>
    <t>C-U-15986</t>
  </si>
  <si>
    <t>D-09-0311 (IP)</t>
  </si>
  <si>
    <t>D-09-0309 (CILCO)</t>
  </si>
  <si>
    <t>D-09-0310 (CIPS)</t>
  </si>
  <si>
    <t>D-UG-090705</t>
  </si>
  <si>
    <t>D-G-04204A-08-0571</t>
  </si>
  <si>
    <t>D-30442</t>
  </si>
  <si>
    <t>D-09-0312</t>
  </si>
  <si>
    <t>D-NG-0060</t>
  </si>
  <si>
    <t>D-GUD 9902</t>
  </si>
  <si>
    <t>C-GR-2009-0355</t>
  </si>
  <si>
    <t>D-GUD 9869 (Mid-Tex)</t>
  </si>
  <si>
    <t>D-09-0166</t>
  </si>
  <si>
    <t>D-09-0167</t>
  </si>
  <si>
    <t>D-G-008/GR-08-1075</t>
  </si>
  <si>
    <t>D-3270-UR-116 (gas)</t>
  </si>
  <si>
    <t>D-UG-090135</t>
  </si>
  <si>
    <t>D-5-UR-104 (WG)</t>
  </si>
  <si>
    <t>D-6680-UR-117 (gas)</t>
  </si>
  <si>
    <t>D-5-UR-104 (WEP-GAS)</t>
  </si>
  <si>
    <t>C-08-1783-G-42T</t>
  </si>
  <si>
    <t>DPU 09-30</t>
  </si>
  <si>
    <t>D-09-04003 (Northern)</t>
  </si>
  <si>
    <t>D-09-04003 (Southern)</t>
  </si>
  <si>
    <t>D-08-12-07</t>
  </si>
  <si>
    <t>D-08-12-06</t>
  </si>
  <si>
    <t>D-G-007,011/GR-08-835</t>
  </si>
  <si>
    <t>C-08-G-0888</t>
  </si>
  <si>
    <t>D-DG-08-009</t>
  </si>
  <si>
    <t>D-080318-GU</t>
  </si>
  <si>
    <t>Peoples Gas System</t>
  </si>
  <si>
    <t>D-08-0363</t>
  </si>
  <si>
    <t>DPU 08-35</t>
  </si>
  <si>
    <t>D-G-01551A-07-0504</t>
  </si>
  <si>
    <t>D-3943</t>
  </si>
  <si>
    <t>D-07-0590 (IP)</t>
  </si>
  <si>
    <t>D-07-0589 (CIPS)</t>
  </si>
  <si>
    <t>D-07-0588 (CILCO)</t>
  </si>
  <si>
    <t>D-27163-U</t>
  </si>
  <si>
    <t>D-07-057-13</t>
  </si>
  <si>
    <t>D-07-0242</t>
  </si>
  <si>
    <t>D-07-0241</t>
  </si>
  <si>
    <t>D-5-UR-103 (WG)</t>
  </si>
  <si>
    <t>D-5-UR-103 (WEP-GAS)</t>
  </si>
  <si>
    <t>D-4220-UR-115 (gas)</t>
  </si>
  <si>
    <t>C-07-G-0141</t>
  </si>
  <si>
    <t>D-3270-UR-115 (gas)</t>
  </si>
  <si>
    <t>D-G-04204A-06-0463</t>
  </si>
  <si>
    <t>C-9104</t>
  </si>
  <si>
    <t>D-G-002-GR-06-1429</t>
  </si>
  <si>
    <t>D-NG-0041</t>
  </si>
  <si>
    <t>C-06-00210-UT</t>
  </si>
  <si>
    <t>D-GUD-9670 (Mid-Tex)</t>
  </si>
  <si>
    <t>C-GR-2006-0422</t>
  </si>
  <si>
    <t>C-R-00061398</t>
  </si>
  <si>
    <t>D.6680-UR-115 (gas)</t>
  </si>
  <si>
    <t>D.6690-UR-118 (gas)</t>
  </si>
  <si>
    <t>D-UG-06-0267</t>
  </si>
  <si>
    <t>C-U-14547</t>
  </si>
  <si>
    <t>D-G-008-GR-05-1380</t>
  </si>
  <si>
    <t>C-PUE-2005-00057</t>
  </si>
  <si>
    <t>Virginia Natural Gas Inc.</t>
  </si>
  <si>
    <t>D-05-10005</t>
  </si>
  <si>
    <t>D-G-01551A-04-0876</t>
  </si>
  <si>
    <t>D-05-UR-102 (WG)</t>
  </si>
  <si>
    <t>D-05-UR-102 (WEP-GAS)</t>
  </si>
  <si>
    <t>D-4220-UR-114 (gas)</t>
  </si>
  <si>
    <t>D-6690-UR-117 (gas)</t>
  </si>
  <si>
    <t>C-2005-00042</t>
  </si>
  <si>
    <t>C-9036</t>
  </si>
  <si>
    <t>D-20298-U</t>
  </si>
  <si>
    <t>D-3270-UR-114 (gas)</t>
  </si>
  <si>
    <t>D-05-006-U</t>
  </si>
  <si>
    <t>Arkansas Oklahoma Gas Corp.</t>
  </si>
  <si>
    <t>DTE-05-27</t>
  </si>
  <si>
    <t>D-04-176-U</t>
  </si>
  <si>
    <t>Black Hills Energy Arkansas</t>
  </si>
  <si>
    <t>D-04-0779</t>
  </si>
  <si>
    <t>D-04-121-U</t>
  </si>
  <si>
    <t>D-6680-UR-114 (gas)</t>
  </si>
  <si>
    <t>C-U-13898</t>
  </si>
  <si>
    <t>D-UG-04-0640</t>
  </si>
  <si>
    <t>D-3270-UR-113 (gas)</t>
  </si>
  <si>
    <t>D-6690-UR-116 (gas)</t>
  </si>
  <si>
    <t>D-04-00034</t>
  </si>
  <si>
    <t>C-GR-2004-0209</t>
  </si>
  <si>
    <t>C-AVU-G-04-1</t>
  </si>
  <si>
    <t>D-04-3011(Northern)</t>
  </si>
  <si>
    <t>D-04-3011(Southern)</t>
  </si>
  <si>
    <t>D-GUD-9400 (Mid-Tex)</t>
  </si>
  <si>
    <t>AP-02-02-012 (No.Div)</t>
  </si>
  <si>
    <t>AP-02-02-012 (So.Div)</t>
  </si>
  <si>
    <t>D-030569-GU</t>
  </si>
  <si>
    <t>Pivotal Utility Holdings Inc.</t>
  </si>
  <si>
    <t>D-3270-UR-112 (gas)</t>
  </si>
  <si>
    <t>D-6690-UR-115 (gas)</t>
  </si>
  <si>
    <t>D-6680-UR-113 (gas)</t>
  </si>
  <si>
    <t>C-PUE-2002-00364</t>
  </si>
  <si>
    <t>FC-1016</t>
  </si>
  <si>
    <t>C-8959</t>
  </si>
  <si>
    <t>DTE-03-40</t>
  </si>
  <si>
    <t>D-03-0008 (CIPS)</t>
  </si>
  <si>
    <t>D-03-0009 (CIPS)</t>
  </si>
  <si>
    <t>D-02-0837 (CILCO)</t>
  </si>
  <si>
    <t>D-RPU-02-7</t>
  </si>
  <si>
    <t>D-6680-UR-112 (gas)</t>
  </si>
  <si>
    <t>D-6690-UR-114 (gas)</t>
  </si>
  <si>
    <t>C-02-G-0199</t>
  </si>
  <si>
    <t>D-3270-UR-111 (gas)</t>
  </si>
  <si>
    <t>D-02-057-02</t>
  </si>
  <si>
    <t>C-U-13000</t>
  </si>
  <si>
    <t>D-2002-63-G</t>
  </si>
  <si>
    <t>Piedmont Natural Gas Co.</t>
  </si>
  <si>
    <t>FC-989</t>
  </si>
  <si>
    <t>D-6680-UR-111 (gas)</t>
  </si>
  <si>
    <t>D-01-0696</t>
  </si>
  <si>
    <t>D-6690-UR-113 (gas)</t>
  </si>
  <si>
    <t>D-14311-U</t>
  </si>
  <si>
    <t>C-2001-00092</t>
  </si>
  <si>
    <t>D-01-05-19</t>
  </si>
  <si>
    <t>D-G-01551A-00-0309</t>
  </si>
  <si>
    <t>D-D2000.8.113 (gas)</t>
  </si>
  <si>
    <t>D-00S-422G</t>
  </si>
  <si>
    <t>D-000768-GU</t>
  </si>
  <si>
    <t>D-6690-UR-112 (gas)</t>
  </si>
  <si>
    <t>D-3270-UR-110 (gas)</t>
  </si>
  <si>
    <t>D-UE-99-1607</t>
  </si>
  <si>
    <t>C-2000-080</t>
  </si>
  <si>
    <t>D-99-057-20</t>
  </si>
  <si>
    <t>D-6630-UR-111 (gas)</t>
  </si>
  <si>
    <t>D-99-0534</t>
  </si>
  <si>
    <t>C-8829</t>
  </si>
  <si>
    <t>D-99-09-03</t>
  </si>
  <si>
    <t>AP-9712020 De-0002046 (gas)</t>
  </si>
  <si>
    <t>D-99-04-18</t>
  </si>
  <si>
    <t>C-GR-99-315</t>
  </si>
  <si>
    <t>D-UG-132</t>
  </si>
  <si>
    <t>D-98S-518G</t>
  </si>
  <si>
    <t>D-98-0545 (CIPS)</t>
  </si>
  <si>
    <t>D-98-0546 (CIPS)</t>
  </si>
  <si>
    <t>C-PUE-970455</t>
  </si>
  <si>
    <t>Columbia Gas of Virginia Inc</t>
  </si>
  <si>
    <t>D-6690-UR-111 (gas)</t>
  </si>
  <si>
    <t>D-3270-UR-109 (gas)</t>
  </si>
  <si>
    <t>D-G-5,SUB386</t>
  </si>
  <si>
    <t>Public Service Co. of NC</t>
  </si>
  <si>
    <t>D-97-00982</t>
  </si>
  <si>
    <t>D-4220-UR-110 (gas)</t>
  </si>
  <si>
    <t>C-GR-98-140</t>
  </si>
  <si>
    <t>D-8390-U</t>
  </si>
  <si>
    <t>D-6630-UR-110 (gas)</t>
  </si>
  <si>
    <t>C-PUE-960227</t>
  </si>
  <si>
    <t>D-3270-UR-108 (gas)</t>
  </si>
  <si>
    <t>D-6680-UR-110 (gas)</t>
  </si>
  <si>
    <t>C-U-10960</t>
  </si>
  <si>
    <t>D-6690-UR-110 (gas)</t>
  </si>
  <si>
    <t>D-6630-UR-109 (gas)</t>
  </si>
  <si>
    <t>C-2662</t>
  </si>
  <si>
    <t>D-96S-290G</t>
  </si>
  <si>
    <t>C-GR-96-285</t>
  </si>
  <si>
    <t>D-96-00977</t>
  </si>
  <si>
    <t>C-95-656-GA-AIR</t>
  </si>
  <si>
    <t>DPU-96-50</t>
  </si>
  <si>
    <t>D-96-030-U</t>
  </si>
  <si>
    <t>D-4220-UR-109 (gas)</t>
  </si>
  <si>
    <t>D-960502-GU</t>
  </si>
  <si>
    <t>C-95-G-1034</t>
  </si>
  <si>
    <t>D-G-008-GR-95-700</t>
  </si>
  <si>
    <t>D-193,305-U</t>
  </si>
  <si>
    <t>Kansas Gas Service Co.</t>
  </si>
  <si>
    <t>D-95-0219</t>
  </si>
  <si>
    <t>C-U-10755</t>
  </si>
  <si>
    <t>C-PUE-940054</t>
  </si>
  <si>
    <t>AP-9412005 De-9512055 (gas)</t>
  </si>
  <si>
    <t>D-4220-UR-108 (gas)</t>
  </si>
  <si>
    <t>D-24794</t>
  </si>
  <si>
    <t>Alabama</t>
  </si>
  <si>
    <t>C-8697</t>
  </si>
  <si>
    <t>D-2286</t>
  </si>
  <si>
    <t>D-95-0031</t>
  </si>
  <si>
    <t>D-95-0032</t>
  </si>
  <si>
    <t>D-95-715-G</t>
  </si>
  <si>
    <t>D-95-02-07</t>
  </si>
  <si>
    <t>C-PUE-940031</t>
  </si>
  <si>
    <t>C-94-G-0604</t>
  </si>
  <si>
    <t>D-6670-GR-109</t>
  </si>
  <si>
    <t>C-94-G-0100</t>
  </si>
  <si>
    <t>D-6690-UR-109 (gas)</t>
  </si>
  <si>
    <t>D-94-0040 (CILCO)</t>
  </si>
  <si>
    <t>D-3270-UR-107 (gas)</t>
  </si>
  <si>
    <t>D-6680-UR-109 (gas)</t>
  </si>
  <si>
    <t>C-R-942991</t>
  </si>
  <si>
    <t>Ca-PUD-91001190</t>
  </si>
  <si>
    <t>Oklahoma Natural Gas Co</t>
  </si>
  <si>
    <t>D-G-5,SUB327</t>
  </si>
  <si>
    <t>C-93-G-0756</t>
  </si>
  <si>
    <t>D-G-1032-93-111</t>
  </si>
  <si>
    <t>D-D93.6.24 (gas)</t>
  </si>
  <si>
    <t>D-93-0183 (IP)</t>
  </si>
  <si>
    <t>D-93-081-U</t>
  </si>
  <si>
    <t>C-93-G-0162</t>
  </si>
  <si>
    <t>D-93-057-01</t>
  </si>
  <si>
    <t>AP-9211017 De-9312043</t>
  </si>
  <si>
    <t>D-6690-UR-108 (gas)</t>
  </si>
  <si>
    <t>D-93-02-04</t>
  </si>
  <si>
    <t>C-92-G-1056</t>
  </si>
  <si>
    <t>D-93S-001G</t>
  </si>
  <si>
    <t>D-91-24</t>
  </si>
  <si>
    <t>D-6650-GR-111</t>
  </si>
  <si>
    <t>DPU-93-60</t>
  </si>
  <si>
    <t>C-92-1088-G-P</t>
  </si>
  <si>
    <t>C-93-005-G-42T</t>
  </si>
  <si>
    <t>C-U-10150</t>
  </si>
  <si>
    <t>D-93-3004(Southern)</t>
  </si>
  <si>
    <t>C-PUE-920037</t>
  </si>
  <si>
    <t>D-2082</t>
  </si>
  <si>
    <t>FC-922</t>
  </si>
  <si>
    <t>D-6680-UR-108 (gas)</t>
  </si>
  <si>
    <t>D-4451-U</t>
  </si>
  <si>
    <t>D-UG-92-084</t>
  </si>
  <si>
    <t>D-G-002-GR-92-1186</t>
  </si>
  <si>
    <t>D-RPU-92-11</t>
  </si>
  <si>
    <t>D-6670-GR-108</t>
  </si>
  <si>
    <t>D-U-1551-92-253</t>
  </si>
  <si>
    <t>C-92-346</t>
  </si>
  <si>
    <t>D-92-0357(gas)</t>
  </si>
  <si>
    <t>C-PUE-920031</t>
  </si>
  <si>
    <t>D-92-12021</t>
  </si>
  <si>
    <t>D-3270-UR-106 (gas)</t>
  </si>
  <si>
    <t>C-8487(gas)</t>
  </si>
  <si>
    <t>D-4220-UR-106 (gas)</t>
  </si>
  <si>
    <t>D-181,940-U</t>
  </si>
  <si>
    <t>D-6680-UR-107 (gas)</t>
  </si>
  <si>
    <t>D-6690-UR-107 (gas)</t>
  </si>
  <si>
    <t>AP-9111036 De-9212057 (gas)</t>
  </si>
  <si>
    <t>AP-9111024 De-9212019 (gas)</t>
  </si>
  <si>
    <t>D-RPU-92-6</t>
  </si>
  <si>
    <t>Black Hills Iowa Gas Utility</t>
  </si>
  <si>
    <t>C-91-G-1328</t>
  </si>
  <si>
    <t>DPU-92-11</t>
  </si>
  <si>
    <t>D-6650-GR-110</t>
  </si>
  <si>
    <t>D-6670-GR-107</t>
  </si>
  <si>
    <t>D-91-0568</t>
  </si>
  <si>
    <t>D-4177-U</t>
  </si>
  <si>
    <t>D-92-02-19</t>
  </si>
  <si>
    <t>C-91-G-0865</t>
  </si>
  <si>
    <t>C-91-G-767</t>
  </si>
  <si>
    <t>D-RPU-91-5</t>
  </si>
  <si>
    <t>D-91-0193 (gas) (CIPS)</t>
  </si>
  <si>
    <t>D-U-1551-90-322</t>
  </si>
  <si>
    <t>D-91-7080</t>
  </si>
  <si>
    <t>C-GR-91-291</t>
  </si>
  <si>
    <t>D-176,716-U</t>
  </si>
  <si>
    <t>D-6690-UR-106 (gas)</t>
  </si>
  <si>
    <t>D-4220-UR-105 (gas)</t>
  </si>
  <si>
    <t>D-G-21,SUB295</t>
  </si>
  <si>
    <t>NC Natural Gas Corp.</t>
  </si>
  <si>
    <t>D-4011-U</t>
  </si>
  <si>
    <t>C-91-G-0112</t>
  </si>
  <si>
    <t>D-91-0010</t>
  </si>
  <si>
    <t>D-6650-GR-109</t>
  </si>
  <si>
    <t>C-90-G-1001</t>
  </si>
  <si>
    <t>D-6670-GR-106</t>
  </si>
  <si>
    <t>C-PUE-900028</t>
  </si>
  <si>
    <t>C-90-G-0734</t>
  </si>
  <si>
    <t>D-D90.6.39 (gas)</t>
  </si>
  <si>
    <t>C-90-G-0673</t>
  </si>
  <si>
    <t>C-90-G-649</t>
  </si>
  <si>
    <t>D-1971</t>
  </si>
  <si>
    <t>C-90-G-0140</t>
  </si>
  <si>
    <t>D-90-0127 (CILCO)</t>
  </si>
  <si>
    <t>D-21530</t>
  </si>
  <si>
    <t>D-891175-GU</t>
  </si>
  <si>
    <t>C-90-158 (gas)</t>
  </si>
  <si>
    <t>C-R-901670</t>
  </si>
  <si>
    <t>D-6690-UR-105 (gas)</t>
  </si>
  <si>
    <t>C-PUE-900034</t>
  </si>
  <si>
    <t>D-90-0072 (CIPS)</t>
  </si>
  <si>
    <t>C-R-901595</t>
  </si>
  <si>
    <t>Equitable Gas Company</t>
  </si>
  <si>
    <t>D-89-057-15</t>
  </si>
  <si>
    <t>D-90-0007</t>
  </si>
  <si>
    <t>C-90-041 (gas)</t>
  </si>
  <si>
    <t>C-R-891469</t>
  </si>
  <si>
    <t>Columbia Gas of Pennsylvania</t>
  </si>
  <si>
    <t>D-3923-U</t>
  </si>
  <si>
    <t>C-90-013</t>
  </si>
  <si>
    <t>D-U-1551-89-102</t>
  </si>
  <si>
    <t>D-U-1551-89-103</t>
  </si>
  <si>
    <t>C-89-G-179</t>
  </si>
  <si>
    <t>C-89-G-168</t>
  </si>
  <si>
    <t>C-U-9323</t>
  </si>
  <si>
    <t>SEMCO Energy Inc.</t>
  </si>
  <si>
    <t>D-6680-UR-105 (gas)</t>
  </si>
  <si>
    <t>D-3270-UR-104 (gas)</t>
  </si>
  <si>
    <t>D-RPU-89-3</t>
  </si>
  <si>
    <t>C-89-616,620-GA-AIR</t>
  </si>
  <si>
    <t>D-89-09-06</t>
  </si>
  <si>
    <t>D-GR-89030335J</t>
  </si>
  <si>
    <t>New Jersey Natural Gas Co.</t>
  </si>
  <si>
    <t>C-89-G-030</t>
  </si>
  <si>
    <t>D-GR-88121321</t>
  </si>
  <si>
    <t>AP-8812047 De-900116</t>
  </si>
  <si>
    <t>D-4220-UR-103-G</t>
  </si>
  <si>
    <t>D-6690-UR-104-G</t>
  </si>
  <si>
    <t>C-R-891218</t>
  </si>
  <si>
    <t>AP-8812005 De-8912057-G</t>
  </si>
  <si>
    <t>C-8208 0-68648-G</t>
  </si>
  <si>
    <t>C-U-8924</t>
  </si>
  <si>
    <t>D-89-245-G O-89-1074</t>
  </si>
  <si>
    <t>D-6680-UR-104-G</t>
  </si>
  <si>
    <t>D-G-5, SUB 246</t>
  </si>
  <si>
    <t>D-6650-GR-106</t>
  </si>
  <si>
    <t>C-88-716, 720-GA-AIR</t>
  </si>
  <si>
    <t>C-10498</t>
  </si>
  <si>
    <t>Columbia Gas of Kentucky Inc</t>
  </si>
  <si>
    <t>D-89-02-09</t>
  </si>
  <si>
    <t>D-88.6.15 (gas)</t>
  </si>
  <si>
    <t>C-88-G-180</t>
  </si>
  <si>
    <t>D-3270-UR-103-G</t>
  </si>
  <si>
    <t>D-1914</t>
  </si>
  <si>
    <t>D-G-9, SUB 278</t>
  </si>
  <si>
    <t>D-6690-UR-103-G</t>
  </si>
  <si>
    <t>C-R-880961</t>
  </si>
  <si>
    <t>Peoples Natural Gas Co. LLC</t>
  </si>
  <si>
    <t>C-U-8812</t>
  </si>
  <si>
    <t>D-88-05-25-G</t>
  </si>
  <si>
    <t>AP-8712003 De-8812085-G</t>
  </si>
  <si>
    <t>D-3780-U</t>
  </si>
  <si>
    <t>D-U-17850 (LGS)</t>
  </si>
  <si>
    <t>C-PUE-880024</t>
  </si>
  <si>
    <t>C-870 0-9146</t>
  </si>
  <si>
    <t>Ca-38380</t>
  </si>
  <si>
    <t>C-10201</t>
  </si>
  <si>
    <t>D-6680-UR-103-G</t>
  </si>
  <si>
    <t>DPU-88-67</t>
  </si>
  <si>
    <t>D-6670-GR-103</t>
  </si>
  <si>
    <t>D-158,499-U</t>
  </si>
  <si>
    <t>C-8119 0-68211</t>
  </si>
  <si>
    <t>C-2147</t>
  </si>
  <si>
    <t>C-29676</t>
  </si>
  <si>
    <t>C-29679</t>
  </si>
  <si>
    <t>D-U-17694 (ARKLA)</t>
  </si>
  <si>
    <t>C-10064 (gas)</t>
  </si>
  <si>
    <t>D-87-1131</t>
  </si>
  <si>
    <t>D-RPU-87-3</t>
  </si>
  <si>
    <t>D-3270-UR-102-G</t>
  </si>
  <si>
    <t>C-R-870719</t>
  </si>
  <si>
    <t>D-87-07-01-G</t>
  </si>
  <si>
    <t>D-6690-UR-102-G</t>
  </si>
  <si>
    <t>D-87-0032</t>
  </si>
  <si>
    <t>C-R-870629</t>
  </si>
  <si>
    <t>DPU-87-122</t>
  </si>
  <si>
    <t>D-4220-UR-101-G</t>
  </si>
  <si>
    <t>D-U-17537 (Entex)</t>
  </si>
  <si>
    <t>D-87-227-G O-87-1294</t>
  </si>
  <si>
    <t>D-154,608-U</t>
  </si>
  <si>
    <t>D-87-03-06</t>
  </si>
  <si>
    <t>Ca-38080</t>
  </si>
  <si>
    <t>Indiana Gas Co.</t>
  </si>
  <si>
    <t>D-6690-UR-101-G</t>
  </si>
  <si>
    <t>D-87-01-03</t>
  </si>
  <si>
    <t>C-29248</t>
  </si>
  <si>
    <t>D-3270-UR-101-G</t>
  </si>
  <si>
    <t>C-7973 0-67733-G</t>
  </si>
  <si>
    <t>D-RPU-86-11</t>
  </si>
  <si>
    <t>D-U-17159 (TLG)</t>
  </si>
  <si>
    <t>D-U-86-7442</t>
  </si>
  <si>
    <t>D-E-002-GR-86-160</t>
  </si>
  <si>
    <t>D-G-011-GR-86-144</t>
  </si>
  <si>
    <t>D-6650-GR-102</t>
  </si>
  <si>
    <t>AP-851250 De-8612095-G</t>
  </si>
  <si>
    <t>C-R-850287</t>
  </si>
  <si>
    <t>D-G-5, SUB 207</t>
  </si>
  <si>
    <t>D-G-21, SUB 255</t>
  </si>
  <si>
    <t>C-9556</t>
  </si>
  <si>
    <t>C-R-850270</t>
  </si>
  <si>
    <t>D-3582-U</t>
  </si>
  <si>
    <t>C-840 0-8569</t>
  </si>
  <si>
    <t>D-6680-UR-101-G</t>
  </si>
  <si>
    <t>D-85106-974</t>
  </si>
  <si>
    <t>C-29191</t>
  </si>
  <si>
    <t>D-RPU-85-22</t>
  </si>
  <si>
    <t>D-148,312-U</t>
  </si>
  <si>
    <t>D-85-10-22-G</t>
  </si>
  <si>
    <t>D-85.7.30</t>
  </si>
  <si>
    <t>D-3270-UR-100-G</t>
  </si>
  <si>
    <t>D-U-16534 (ARKLA)</t>
  </si>
  <si>
    <t>D-RPU-85-14</t>
  </si>
  <si>
    <t>C-29088</t>
  </si>
  <si>
    <t>C-U-7976</t>
  </si>
  <si>
    <t>D-U-85-7382</t>
  </si>
  <si>
    <t>C-29047</t>
  </si>
  <si>
    <t>Ca-29441</t>
  </si>
  <si>
    <t>C-PUE-850045</t>
  </si>
  <si>
    <t>D-E-002-GR-85-108</t>
  </si>
  <si>
    <t>D-6650-GR-100</t>
  </si>
  <si>
    <t>AP-841215 De-8512108-G</t>
  </si>
  <si>
    <t>Ca-29562</t>
  </si>
  <si>
    <t>D-G-9, SUB 251</t>
  </si>
  <si>
    <t>D-85-043-U</t>
  </si>
  <si>
    <t>C-28954</t>
  </si>
  <si>
    <t>D-G-5, SUB 200</t>
  </si>
  <si>
    <t>C-U-4728</t>
  </si>
  <si>
    <t>D-U-85-7355</t>
  </si>
  <si>
    <t>C-R-842769</t>
  </si>
  <si>
    <t>C-28947</t>
  </si>
  <si>
    <t>Brooklyn Union Gas Co.</t>
  </si>
  <si>
    <t>D-U-16437 (LGS)</t>
  </si>
  <si>
    <t>D-3524-U</t>
  </si>
  <si>
    <t>D-6680-UR-100-G</t>
  </si>
  <si>
    <t>D-3270-UR-13-G</t>
  </si>
  <si>
    <t>C-28898</t>
  </si>
  <si>
    <t>C-U-7895</t>
  </si>
  <si>
    <t>D-U-84-7333</t>
  </si>
  <si>
    <t>C-28839</t>
  </si>
  <si>
    <t>C-28826</t>
  </si>
  <si>
    <t>C-28800</t>
  </si>
  <si>
    <t>D-84-23</t>
  </si>
  <si>
    <t>C-PUE-840046</t>
  </si>
  <si>
    <t>D-843-184</t>
  </si>
  <si>
    <t>South Jersey Gas Co.</t>
  </si>
  <si>
    <t>C-84-057-07</t>
  </si>
  <si>
    <t>D-6690-UR-20-G</t>
  </si>
  <si>
    <t>D-84-06-02</t>
  </si>
  <si>
    <t>AP-0840225 De-8412069</t>
  </si>
  <si>
    <t>D-6650-GR-19</t>
  </si>
  <si>
    <t>C-PUE-840032</t>
  </si>
  <si>
    <t>D-1741</t>
  </si>
  <si>
    <t>C-83-1529-GA-AIR</t>
  </si>
  <si>
    <t>C-9029</t>
  </si>
  <si>
    <t>C-9003</t>
  </si>
  <si>
    <t>C-28696</t>
  </si>
  <si>
    <t>D-6680-UR-14-G</t>
  </si>
  <si>
    <t>D-U-16096 (TLG)</t>
  </si>
  <si>
    <t>D-3467-U</t>
  </si>
  <si>
    <t>D-84-02-09</t>
  </si>
  <si>
    <t>D-83-0630</t>
  </si>
  <si>
    <t>D-83-0580</t>
  </si>
  <si>
    <t>D-6670-GR-11</t>
  </si>
  <si>
    <t>C-R-832493</t>
  </si>
  <si>
    <t>D-RPU-84-23</t>
  </si>
  <si>
    <t>C-U-7650</t>
  </si>
  <si>
    <t>D-140,015-U</t>
  </si>
  <si>
    <t>C-28611</t>
  </si>
  <si>
    <t>D-U-1551 De-54073</t>
  </si>
  <si>
    <t>D-1640-De-C84-598 (Gas)</t>
  </si>
  <si>
    <t>C-8924 (gas)</t>
  </si>
  <si>
    <t>D-83.8.58</t>
  </si>
  <si>
    <t>C-R-832401</t>
  </si>
  <si>
    <t>C-28552</t>
  </si>
  <si>
    <t>D-83-1012 (Southern)</t>
  </si>
  <si>
    <t>D-837-620-G</t>
  </si>
  <si>
    <t>C-28527</t>
  </si>
  <si>
    <t>D-3270-UR-12-G</t>
  </si>
  <si>
    <t>C-R-832331</t>
  </si>
  <si>
    <t>Ca-37247</t>
  </si>
  <si>
    <t>C-R-832315</t>
  </si>
  <si>
    <t>C-28471</t>
  </si>
  <si>
    <t>D-6650-GR-18</t>
  </si>
  <si>
    <t>AP-821248 De-8312068-G</t>
  </si>
  <si>
    <t>AP-821257 De-8312065-G</t>
  </si>
  <si>
    <t>C-28447</t>
  </si>
  <si>
    <t>D-G-21, SUB 235</t>
  </si>
  <si>
    <t>D-U-15640</t>
  </si>
  <si>
    <t>D-83-07-15-G</t>
  </si>
  <si>
    <t>C-8839</t>
  </si>
  <si>
    <t>C-82-1151-GA-AIR</t>
  </si>
  <si>
    <t>C-82-1174-GA-AIR</t>
  </si>
  <si>
    <t>C-U-7298</t>
  </si>
  <si>
    <t>D-136,850-U</t>
  </si>
  <si>
    <t>Ca-28069</t>
  </si>
  <si>
    <t>C-1787</t>
  </si>
  <si>
    <t>C-28380</t>
  </si>
  <si>
    <t>D-82-0892 (gas)</t>
  </si>
  <si>
    <t>D-3402-U</t>
  </si>
  <si>
    <t>D-U-1345 De-53761-G</t>
  </si>
  <si>
    <t>D-83-217-G O-83-601</t>
  </si>
  <si>
    <t>D-U-15763 (Entex)</t>
  </si>
  <si>
    <t>Ca-27878</t>
  </si>
  <si>
    <t>D-6670-GR-10</t>
  </si>
  <si>
    <t>D-6680-UR-13-G</t>
  </si>
  <si>
    <t>C-82-901-GA-AIR</t>
  </si>
  <si>
    <t>D-G-5, SUB 181</t>
  </si>
  <si>
    <t>C-28315</t>
  </si>
  <si>
    <t>D-4220-UR-4-G</t>
  </si>
  <si>
    <t>C-R-822133</t>
  </si>
  <si>
    <t>C-8738</t>
  </si>
  <si>
    <t>C-7695 0-66273-G</t>
  </si>
  <si>
    <t>D-83-01-01</t>
  </si>
  <si>
    <t>D-18590</t>
  </si>
  <si>
    <t>D-U-15575 (LGS)</t>
  </si>
  <si>
    <t>D-82.6.40</t>
  </si>
  <si>
    <t>C-82-380-G-42T</t>
  </si>
  <si>
    <t>D-3270-UR-11-G</t>
  </si>
  <si>
    <t>C-28279</t>
  </si>
  <si>
    <t>D-83-113</t>
  </si>
  <si>
    <t>C-82-057-15</t>
  </si>
  <si>
    <t>C-U-5732</t>
  </si>
  <si>
    <t>D-6690-UR-19-G</t>
  </si>
  <si>
    <t>C-28227</t>
  </si>
  <si>
    <t>D-G-008-GR-82-249</t>
  </si>
  <si>
    <t>D-U-82-7190</t>
  </si>
  <si>
    <t>C-8616 (gas)</t>
  </si>
  <si>
    <t>C-787 0-7749</t>
  </si>
  <si>
    <t>D-RPU-82-40</t>
  </si>
  <si>
    <t>D-G-011-GR-82-65</t>
  </si>
  <si>
    <t>D-82-399 (Southern)</t>
  </si>
  <si>
    <t>C-28177</t>
  </si>
  <si>
    <t>D-6650-GR-17</t>
  </si>
  <si>
    <t>D-82-0152 (IP-G)</t>
  </si>
  <si>
    <t>C-28169</t>
  </si>
  <si>
    <t>Ca-U-82-22, 37</t>
  </si>
  <si>
    <t>Ca-U-82-11</t>
  </si>
  <si>
    <t>D-82-0082</t>
  </si>
  <si>
    <t>D-82-0189</t>
  </si>
  <si>
    <t>C-28158</t>
  </si>
  <si>
    <t>C-PUE-820047</t>
  </si>
  <si>
    <t>C-R-821899</t>
  </si>
  <si>
    <t>D-82-07-01-G</t>
  </si>
  <si>
    <t>D-U-82-7175</t>
  </si>
  <si>
    <t>AP-61081 De-82-12054</t>
  </si>
  <si>
    <t>D-132,996-U</t>
  </si>
  <si>
    <t>DPU-1125</t>
  </si>
  <si>
    <t>D-82-399 (Northern)</t>
  </si>
  <si>
    <t>D-G-9, SUB 219</t>
  </si>
  <si>
    <t>DPU-1120</t>
  </si>
  <si>
    <t>DPU-1122</t>
  </si>
  <si>
    <t>C-U-4242</t>
  </si>
  <si>
    <t>C-7639 0-66016</t>
  </si>
  <si>
    <t>C-PUE-820029</t>
  </si>
  <si>
    <t>D-82-0039 (CIPS-G)</t>
  </si>
  <si>
    <t>AP-82-0705 De-8211061</t>
  </si>
  <si>
    <t>C-U-1034-99</t>
  </si>
  <si>
    <t>D-82-06-12</t>
  </si>
  <si>
    <t>D-6670-GR-9</t>
  </si>
  <si>
    <t>Ca-36817</t>
  </si>
  <si>
    <t>C-28107</t>
  </si>
  <si>
    <t>C-28106</t>
  </si>
  <si>
    <t>D-818-754</t>
  </si>
  <si>
    <t>D-3333-U</t>
  </si>
  <si>
    <t>D-U-1551 De-53237</t>
  </si>
  <si>
    <t>DPU-1100</t>
  </si>
  <si>
    <t>D-E-002-GR-81-508</t>
  </si>
  <si>
    <t>D-82-239-G O-82-676</t>
  </si>
  <si>
    <t>C-U-1008-171</t>
  </si>
  <si>
    <t>C-81-1025-GA-AIR</t>
  </si>
  <si>
    <t>C-81-1024-GA-AIR</t>
  </si>
  <si>
    <t>D-4286</t>
  </si>
  <si>
    <t>C-1710</t>
  </si>
  <si>
    <t>D-81-0747 (gas)</t>
  </si>
  <si>
    <t>Ca-36690</t>
  </si>
  <si>
    <t>Ca-U-82-20,33</t>
  </si>
  <si>
    <t>Cascade Natural Gas Corp.</t>
  </si>
  <si>
    <t>C-81-970-GA-AIR</t>
  </si>
  <si>
    <t>C-U-6839</t>
  </si>
  <si>
    <t>D-3270-UR-10-G</t>
  </si>
  <si>
    <t>C-28055</t>
  </si>
  <si>
    <t>D-RPU-81-44</t>
  </si>
  <si>
    <t>D-81-0600 (CILCO-G)</t>
  </si>
  <si>
    <t>D-81-0609</t>
  </si>
  <si>
    <t>C-R-811719</t>
  </si>
  <si>
    <t>D-1612</t>
  </si>
  <si>
    <t>C-28036</t>
  </si>
  <si>
    <t>C-81-340-G-42T</t>
  </si>
  <si>
    <t>D-81-12-12</t>
  </si>
  <si>
    <t>D-U-15276 (LGS)</t>
  </si>
  <si>
    <t>D-G-5, SUB 168</t>
  </si>
  <si>
    <t>D-81.6.57</t>
  </si>
  <si>
    <t>D-6690-UR-18-G</t>
  </si>
  <si>
    <t>D-81.7.62</t>
  </si>
  <si>
    <t>D-81-614 (Southern)</t>
  </si>
  <si>
    <t>C-10, 280</t>
  </si>
  <si>
    <t>Ca-U-81-64</t>
  </si>
  <si>
    <t>D-6650-GR-15</t>
  </si>
  <si>
    <t>Ca-27347</t>
  </si>
  <si>
    <t>C-R-811600</t>
  </si>
  <si>
    <t>C-27986</t>
  </si>
  <si>
    <t>D-RPU-80-65</t>
  </si>
  <si>
    <t>C-7585 0-65676</t>
  </si>
  <si>
    <t>D-812-76-G</t>
  </si>
  <si>
    <t>C-U-1034-95</t>
  </si>
  <si>
    <t>C-768 0-7469</t>
  </si>
  <si>
    <t>C-7574 0-65648-G</t>
  </si>
  <si>
    <t>D-G-9, SUB 212</t>
  </si>
  <si>
    <t>DPU-777</t>
  </si>
  <si>
    <t>C-81-67-GA-AIR</t>
  </si>
  <si>
    <t>D-128,361-U</t>
  </si>
  <si>
    <t>C-8284 (gas)</t>
  </si>
  <si>
    <t>AP-59788 De-93892-G</t>
  </si>
  <si>
    <t>AP-60153 De-93887-G</t>
  </si>
  <si>
    <t>D-3288-U</t>
  </si>
  <si>
    <t>C-27934</t>
  </si>
  <si>
    <t>D-81-13</t>
  </si>
  <si>
    <t>C-27910</t>
  </si>
  <si>
    <t>D-1525-De-C81-1999 (Gas)</t>
  </si>
  <si>
    <t>D-U-1551 De-52631</t>
  </si>
  <si>
    <t>D-81-06-04-G</t>
  </si>
  <si>
    <t>D-81-06-02-G</t>
  </si>
  <si>
    <t>Ca-U-81-16</t>
  </si>
  <si>
    <t>D-RPU-80-19</t>
  </si>
  <si>
    <t>D-126,922-U</t>
  </si>
  <si>
    <t>D-U-1345 De-52558-G</t>
  </si>
  <si>
    <t>D-U-15097 (ARKLA)</t>
  </si>
  <si>
    <t>C-27884</t>
  </si>
  <si>
    <t>C-27885</t>
  </si>
  <si>
    <t>C-U-1008-155</t>
  </si>
  <si>
    <t>D-81-252-G</t>
  </si>
  <si>
    <t>C-GR-81-155</t>
  </si>
  <si>
    <t>C-80-1087-GA-AIR</t>
  </si>
  <si>
    <t>D-6670-GR-7</t>
  </si>
  <si>
    <t>Ca-U-80-111</t>
  </si>
  <si>
    <t>D-81-106</t>
  </si>
  <si>
    <t>D-G-008-GR-80-630</t>
  </si>
  <si>
    <t>D-81-04-09</t>
  </si>
  <si>
    <t>C-80-769-GA-AIR</t>
  </si>
  <si>
    <t>C-80-715-GA-AIR</t>
  </si>
  <si>
    <t>C-80-777-GA-AIR</t>
  </si>
  <si>
    <t>D-RPU-80-36 (gas)</t>
  </si>
  <si>
    <t>D-RPU-78-30</t>
  </si>
  <si>
    <t>C-1568</t>
  </si>
  <si>
    <t>D-E-002-GR-80-556</t>
  </si>
  <si>
    <t>D-U-3144</t>
  </si>
  <si>
    <t>C-27827</t>
  </si>
  <si>
    <t>C-27833</t>
  </si>
  <si>
    <t>D-18046</t>
  </si>
  <si>
    <t>D-6680-UR-11-G</t>
  </si>
  <si>
    <t>C-81-057-01</t>
  </si>
  <si>
    <t>D-80-0511 (gas)</t>
  </si>
  <si>
    <t>D-6690-UR-17-G</t>
  </si>
  <si>
    <t>D-U-1551 De-52099</t>
  </si>
  <si>
    <t>D-RPU-80-42</t>
  </si>
  <si>
    <t>Ca-U-80-101</t>
  </si>
  <si>
    <t>D-80.7.52</t>
  </si>
  <si>
    <t>C-R-81-73 (gas)</t>
  </si>
  <si>
    <t>D-80-0318 (CIPS-G)</t>
  </si>
  <si>
    <t>C-27743</t>
  </si>
  <si>
    <t>Ca-26975</t>
  </si>
  <si>
    <t>Ca-26981</t>
  </si>
  <si>
    <t>C-U-6372</t>
  </si>
  <si>
    <t>Ca-U-80-14</t>
  </si>
  <si>
    <t>D-G-5, SUB 157</t>
  </si>
  <si>
    <t>D-80-0157 (CILCO-G)</t>
  </si>
  <si>
    <t>AP-59788 De-92557-G</t>
  </si>
  <si>
    <t>C-27776</t>
  </si>
  <si>
    <t>D-80.4.2.4714A (gas)</t>
  </si>
  <si>
    <t>D-6650-GR-13</t>
  </si>
  <si>
    <t>D-80-0089</t>
  </si>
  <si>
    <t>D-80-0090</t>
  </si>
  <si>
    <t>D-1425-De-C80-2346 (Gas)</t>
  </si>
  <si>
    <t>Ca-36117</t>
  </si>
  <si>
    <t>AP-59316 De-92497</t>
  </si>
  <si>
    <t>Ca-U-80-25</t>
  </si>
  <si>
    <t>D-U-14444</t>
  </si>
  <si>
    <t>C-722 0-7209</t>
  </si>
  <si>
    <t>D-80-04-17</t>
  </si>
  <si>
    <t>D-2857</t>
  </si>
  <si>
    <t>C-U-1034-88</t>
  </si>
  <si>
    <t>C-80-003-G-42T</t>
  </si>
  <si>
    <t>D-U-14665 (LGS)</t>
  </si>
  <si>
    <t>D-2867 (Northern)</t>
  </si>
  <si>
    <t>D-2868 (Southern)</t>
  </si>
  <si>
    <t>D-80-04-04-G</t>
  </si>
  <si>
    <t>D-80-04-03-G</t>
  </si>
  <si>
    <t>C-7799 (gas)</t>
  </si>
  <si>
    <t>C-27631</t>
  </si>
  <si>
    <t>C-R-79090956</t>
  </si>
  <si>
    <t>C-U-1008-145</t>
  </si>
  <si>
    <t>D-RPU-78-25</t>
  </si>
  <si>
    <t>D-120,950-U</t>
  </si>
  <si>
    <t>C-27610</t>
  </si>
  <si>
    <t>C-27608</t>
  </si>
  <si>
    <t>C-79-088-G-42T</t>
  </si>
  <si>
    <t>C-79-535-GA-AIR</t>
  </si>
  <si>
    <t>C-7397 0-64331-G</t>
  </si>
  <si>
    <t>D-U-1345 De-51009-G</t>
  </si>
  <si>
    <t>D-1420-De-C80-1039 (Gas)</t>
  </si>
  <si>
    <t>C-80-057-01</t>
  </si>
  <si>
    <t>D-794-310-G</t>
  </si>
  <si>
    <t>C-79-372-GA-AIR</t>
  </si>
  <si>
    <t>D-RPU-78-11</t>
  </si>
  <si>
    <t>C-27554</t>
  </si>
  <si>
    <t>C-27503</t>
  </si>
  <si>
    <t>C-27544</t>
  </si>
  <si>
    <t>D-119,314-U</t>
  </si>
  <si>
    <t>C-27540</t>
  </si>
  <si>
    <t>D-6650-GR-6</t>
  </si>
  <si>
    <t>D-3270-UR-9-G</t>
  </si>
  <si>
    <t>Ca-26652</t>
  </si>
  <si>
    <t>DPU-20132-G</t>
  </si>
  <si>
    <t>D-3167-U</t>
  </si>
  <si>
    <t>C-7394 0-64174</t>
  </si>
  <si>
    <t>C-R-79030781</t>
  </si>
  <si>
    <t>D-79-0133</t>
  </si>
  <si>
    <t>POOL</t>
  </si>
  <si>
    <t>CTLT UN Equity</t>
  </si>
  <si>
    <t>Catalent Inc</t>
  </si>
  <si>
    <t>CTLT</t>
  </si>
  <si>
    <t>ETSY UW Equity</t>
  </si>
  <si>
    <t>Etsy Inc</t>
  </si>
  <si>
    <t>ETSY</t>
  </si>
  <si>
    <t>LUMN UN Equity</t>
  </si>
  <si>
    <t>LUMN</t>
  </si>
  <si>
    <t>TER UW Equity</t>
  </si>
  <si>
    <t>Teradyne Inc</t>
  </si>
  <si>
    <t>TER</t>
  </si>
  <si>
    <t xml:space="preserve">Atmos Energy        </t>
  </si>
  <si>
    <t>D-20-02023 (Southern)</t>
  </si>
  <si>
    <t>D-20-02023 (Northern)</t>
  </si>
  <si>
    <t>Short-Term Debt %</t>
  </si>
  <si>
    <t>Short-Term Debt Cost (%)</t>
  </si>
  <si>
    <t>2020M09</t>
  </si>
  <si>
    <t>Atmos Energy Corporation</t>
  </si>
  <si>
    <t xml:space="preserve">   Bonds and A2 Rated Public</t>
  </si>
  <si>
    <t>Adjusted Prospective Yield on A2 Rated</t>
  </si>
  <si>
    <t>A2 Rated Public Utility Bond</t>
  </si>
  <si>
    <t>Baa2 Rated Public Utility Bond</t>
  </si>
  <si>
    <t>A2 Rated Public Utility Bonds Over Aaa Rated Corporate Bonds:</t>
  </si>
  <si>
    <t>Baa2 Rated Public Utility Bonds Over A2 Rated Public Utility Bonds:</t>
  </si>
  <si>
    <t>Prospective A2 Rated Utility Bond (1)</t>
  </si>
  <si>
    <t>Prospective Yield on Baa2 Rated</t>
  </si>
  <si>
    <t>Requested rate base multiplied by the requested common equity ratio.</t>
  </si>
  <si>
    <t>Henry (Jack) &amp; Assoc</t>
  </si>
  <si>
    <t>AEP UW Equity</t>
  </si>
  <si>
    <t>ENPH UQ Equity</t>
  </si>
  <si>
    <t>Enphase Energy Inc</t>
  </si>
  <si>
    <t>ENPH</t>
  </si>
  <si>
    <t>HST UW Equity</t>
  </si>
  <si>
    <t>Lumen Technologies Inc</t>
  </si>
  <si>
    <t>MPWR UW Equity</t>
  </si>
  <si>
    <t>Monolithic Power Systems Inc</t>
  </si>
  <si>
    <t>MPWR</t>
  </si>
  <si>
    <t>POOL UW Equity</t>
  </si>
  <si>
    <t>Pool Corp</t>
  </si>
  <si>
    <t>TRMB UW Equity</t>
  </si>
  <si>
    <t>Trimble Inc</t>
  </si>
  <si>
    <t>TRMB</t>
  </si>
  <si>
    <t>TSLA UW Equity</t>
  </si>
  <si>
    <t>Tesla Inc</t>
  </si>
  <si>
    <t>TSLA</t>
  </si>
  <si>
    <t>VTRS UW Equity</t>
  </si>
  <si>
    <t>Viatris Inc</t>
  </si>
  <si>
    <t>VTRS</t>
  </si>
  <si>
    <t>WR</t>
  </si>
  <si>
    <t>Column [2] - Column [1].</t>
  </si>
  <si>
    <t>DPU 19-120</t>
  </si>
  <si>
    <t>D-G-01551A-19-0055</t>
  </si>
  <si>
    <t>C-9645 (Gas)</t>
  </si>
  <si>
    <t>D-6680-UR-122 (Gas)</t>
  </si>
  <si>
    <t>D-20-0308</t>
  </si>
  <si>
    <t>D-R-2020-3018835</t>
  </si>
  <si>
    <t>2020M10</t>
  </si>
  <si>
    <t>2020M11</t>
  </si>
  <si>
    <t>2020M12</t>
  </si>
  <si>
    <t>2021M01</t>
  </si>
  <si>
    <t>2021M02</t>
  </si>
  <si>
    <t>Chattanooga Gas Co.</t>
  </si>
  <si>
    <t>D-18-00017</t>
  </si>
  <si>
    <t>CACI</t>
  </si>
  <si>
    <t>RLI</t>
  </si>
  <si>
    <t>SIRI</t>
  </si>
  <si>
    <t xml:space="preserve">CACI Int'l          </t>
  </si>
  <si>
    <t xml:space="preserve">RLI Corp.           </t>
  </si>
  <si>
    <t xml:space="preserve">Sirius XM Holdings  </t>
  </si>
  <si>
    <t>APA Corp</t>
  </si>
  <si>
    <t>CRL UN Equity</t>
  </si>
  <si>
    <t>CRL</t>
  </si>
  <si>
    <t>CZR UW Equity</t>
  </si>
  <si>
    <t>Caesars Entertainment Inc</t>
  </si>
  <si>
    <t>CZR</t>
  </si>
  <si>
    <t>Dexcom Inc</t>
  </si>
  <si>
    <t>FOXA UW Equity</t>
  </si>
  <si>
    <t>FOXA</t>
  </si>
  <si>
    <t>GNRC UN Equity</t>
  </si>
  <si>
    <t>Generac Holdings Inc</t>
  </si>
  <si>
    <t>GNRC</t>
  </si>
  <si>
    <t>HON UW Equity</t>
  </si>
  <si>
    <t>Eli Lilly &amp; Co</t>
  </si>
  <si>
    <t>MRNA UW Equity</t>
  </si>
  <si>
    <t>Moderna Inc</t>
  </si>
  <si>
    <t>MRNA</t>
  </si>
  <si>
    <t>NWSA UW Equity</t>
  </si>
  <si>
    <t>NWSA</t>
  </si>
  <si>
    <t>NXPI UW Equity</t>
  </si>
  <si>
    <t>NXP Semiconductors NV</t>
  </si>
  <si>
    <t>NXPI</t>
  </si>
  <si>
    <t>OGN UN Equity</t>
  </si>
  <si>
    <t>Organon &amp; Co</t>
  </si>
  <si>
    <t>OGN</t>
  </si>
  <si>
    <t>PTC UW Equity</t>
  </si>
  <si>
    <t>PTC Inc</t>
  </si>
  <si>
    <t>PTC</t>
  </si>
  <si>
    <t>Seagate Technology Holdings PLC</t>
  </si>
  <si>
    <t>2021M03</t>
  </si>
  <si>
    <t>2021M04</t>
  </si>
  <si>
    <t>2021M05</t>
  </si>
  <si>
    <t>2021M06</t>
  </si>
  <si>
    <t>2021M07</t>
  </si>
  <si>
    <t>Natl Fuel Gas Distribution Cor</t>
  </si>
  <si>
    <t>The East Ohio Gas Co.</t>
  </si>
  <si>
    <t>Mountaineer Gas Co.</t>
  </si>
  <si>
    <t>Rochester Gas &amp; Electric Co</t>
  </si>
  <si>
    <t>The CT Light &amp; Power Co</t>
  </si>
  <si>
    <t>Hope Gas Inc.</t>
  </si>
  <si>
    <t>The Sthrn CT Gas Co</t>
  </si>
  <si>
    <t>The Peoples Gas Light &amp; Coke C</t>
  </si>
  <si>
    <t>MDU Resources Group</t>
  </si>
  <si>
    <t>Northern States Power Co.</t>
  </si>
  <si>
    <t>Columbia Gas Ohio Inc.</t>
  </si>
  <si>
    <t>Wisconsin Natural Gas Company</t>
  </si>
  <si>
    <t>Eversource Gas Company of MA</t>
  </si>
  <si>
    <t>The Gas Co. LLC</t>
  </si>
  <si>
    <t>Dominion Energy South Carolina</t>
  </si>
  <si>
    <t>Spire Gulf Inc.</t>
  </si>
  <si>
    <t>Michigan Gas Utilities Corp.</t>
  </si>
  <si>
    <t>Elizabethtown Gas Co.</t>
  </si>
  <si>
    <t>UGI Central Penn Gas Inc.</t>
  </si>
  <si>
    <t>Corning Natural Gas Corp.</t>
  </si>
  <si>
    <t>C-9651</t>
  </si>
  <si>
    <t>D-UG-200568</t>
  </si>
  <si>
    <t>C-20-G-0101</t>
  </si>
  <si>
    <t>D-R-2020-3018929</t>
  </si>
  <si>
    <t>C-20-0746-G-42T</t>
  </si>
  <si>
    <t>Spire Mississippi Inc.</t>
  </si>
  <si>
    <t>Northwest Natural Gas Company</t>
  </si>
  <si>
    <t>允䅁䙁䅉䅁䍁䅁䅁䅁䩁䅁䅁杄䅁䑁䅉䅍硁䑁䅧兕硁䅁䅁兂䅁䅁䄴䅁祁䑁䅁免㑁䙁䅅杍䅁䅁䅣䅁佁䅁䅁杍睁䑁䅅䅏剂䑁䅍䅁䥁䅁䅁杄䅁䑁䅉䅍硁䑁䅧兕ぁ䅁䅁䅁䅁䅁䅯䅁䉂䕁䅅䅕䵂䅁䅁䅑䅁䅁䅧䅁䉂䕁䅉䅖䅁䉁䅑䅁䥁䅁䅁兑䕂䕁䅫䅁噁䅁䅁䅃䅁䕁䅅兓慂䅁䅁睇䅁䅁䅯䅁䉂䕁䄴睕呂䅁䅁杈䅁䅁䅧䅁䉂䕁䄸睕䅁䉁䅷䅁䥁䅁䅁兑啂䕁䄸䅁乁䅁䅁李䅁䕁䅅杤湂䍁䅁睒桂䡁䅍䅉䑂䡁䅕督あ䝁䄸兢求䡁䅉督杁䍁䅧兙橂䡁䅑兤桂䝁䅷克䅁䅁䅑䅁䥁䅁䅁村䉂䕁䅧䅁歁䅁䅁䅃䅁䕁䅉䅒奂䅁䅁杊䅁䅁䅧䅁䍂䕁䅙村䅁䉁䅧䅁䥁䅁䅁村乂䙁䅫䅁䭂䅁䅁杂䅁䕁䅉杕䅁䍁䅣䅁䥁䅁䅁村卂䕁䅍䅁䉂䅁䅁权䅁䕁䅍兑䑂䕁䅫䅁䵂䅁䅁权䅁䕁䅍兑呂䙁䅫䅁乂䅁䅁权䅁䕁䅍䅒佂䙁䅍䅁祁䅁䅁权䅁䕁䅍兒卂䕁䄴䅁煁䅁䅁䅃䅁䕁䅍睔偂䅁䅁先䅁䅁䅯䅁䑂䙁䅍睖䩂䅁䅁杌䅁䅁䅧䅁䕂䕁䅣䅗䅁䍁䅉䅁䥁䅁䅁䅒䵂䕁䅉䅁ㅁ䅁䅁杂䅁䕁䅕䅔䅁䍁䅳䅁䭁䅁䅁兒奂䙁䅁睔䅁䑁䅯䅁䭁䅁䅁杒䉂䙁䅍䅖䅁䕁䅕䅁䭁䅁䅁杒䑂䕁䅙睕䅁䍁䄸䅁䭁䅁䅁杒䙂䕁䅷兒䅁䕁䅍䅁䭁䅁䅁睒䉂䙁䅑䅗䅁䕁䅉䅁䭁䅁䅁睒佂䙁䅑䅗䅁䑁䅁䅁䥁䅁䅁睒卂䕁䅍䅁䕂䅁䅁䅃䅁䕁䅧睕婂䅁䅁免䅁䅁䅧䅁䩂䕁䅙杒䅁䑁䅑䅁䭁䅁䅁兓佂䕁䅣杕䅁䑁䅷䅁䥁䅁䅁兓卂䕁䄰䅁㍁䅁䅁䅊䅁䕁䅫杢穂䡁䅑兡あ䡁䅕䅤灂䝁䄸杢杁䕁䄴兙瑂䝁䅕䅉䅁䅁䅯䅁䭁䅁䅁杓䍂䕁䅧䅖䅁䑁䄰䅁䭁䅁䅁杓䭂䙁䅍杒䅁䉁䅣䅁䭁䅁䅁杓䱂䕁䅧兗䅁䑁䅙䅁䥁䅁䅁杓偂䕁䅕䅁㝁䅁䅁权䅁䕁䄰兑佂䙁䅑䅁潁䅁䅁䅃䅁䕁䄰睓䑂䅁䅁材䅁䅁䅯䅁乂䕁䄴睕啂䅁䅁杒䅁䅁䅙䅁乂䕁䄸䅁慁䅁䅁䅃䅁䕁䄰睕䉂䅁䅁睒䅁䅁䅯䅁乂䙁䅍睑䩂䅁䅁兌䅁䅁䅧䅁乂䙁䅍兓䅁䍁䅅䅁䥁䅁䅁兔啂䕁䄴䅁兂䅁䅁权䅁䕁䄰䅗䩂䕁䄰䅁汁䅁䅁杂䅁䕁䄴兑䅁䉁䅫䅁䥁䅁䅁杔䭂䙁䅉䅁佁䅁䅁䅃䅁䕁䄴睔䑂䅁䅁睍䅁䅁䅧䅁佂䙁䅣杔䅁䉁䅁䅁䭁䅁䅁睔䕂䕁䅙䅔䅁䑁䅫䅁䥁䅁䅁睔䡂䙁䅍䅁剁䅁䅁杪䅁䕁䄸䅣あ䝁䅫睢畂䡁䅍杏䑂䡁䅕杣祂䑁䄰杕求䡁䅁睢祂䡁䅑党歂䍁䅁睙ㅂ䡁䅉杣求䝁䄴睙㕂䍁䅷兔桂䝁䅣児乂䕁䅫督あ䝁䅅杢歂䝁䅅杣歂䍁䅷睑療䝁䄴杤乂䝁䅕䅤潂䝁䄸䅚㥁䕁䄰兓祂䝁䅕睙療䝁䄰兢求䝁䄴䅚求䝁䅑䅁䍁䅁䅁䅋䅁䕁䄸杣灂䝁䅣兡畂䝁䅅䅢獂䡁䅫䅉卂䝁䅕䅣療䡁䅉䅤求䝁䅑䅁䉁䅁䅁䅃䅁䙁䅁睒卂䅁䅁睉䅁䅁䅧䅁兂䕁䅳睒䅁䕁䅧䅁䥁䅁䅁䅕䱂䕁䅫䅁㑁䅁䅁杂䅁䙁䅁兔䅁䕁䄸䅁䭁䅁䅁䅕偂䕁䄸䅔䅁䍁䅫䅁䭁䅁䅁䅕偂䙁䅍䅖䅁䉁䅙䅁䥁䅁䅁杕䵂䕁䅫䅁䱂䅁䅁䅃䅁䙁䅉睔䵂䅁䅁睈䅁䙁䅉䅁卂䝁䅕䅣療䡁䅉䅤求䝁䅑䅉佂䝁䅕䅤杁䕁䄸䅣求䡁䅉兙あ䝁䅫杢湂䍁䅁兓畂䝁䅍睢瑂䝁䅕䅉潁䙁䅉党睂䝁䄸杣あ䝁䅕䅚灁䅁䅁睁䅁䅁䅯䅁呂䕁䅉兖奂䅁䅁䅌䅁䅁䅯䅁呂䕁䅫睒䩂䅁䅁䅉䅁䅁䅯䅁呂䕁䅫杕䩂䅁䅁杔䅁䅁䅧䅁呂䕁䅯兓䅁䉁䅉䅁煁䅁䅁睕佂䕁䅷䅉䩂䝁䄴督あ䝁䅫䅤ㅂ䡁䅑兡療䝁䄴䅉䱂䝁䅕入杁䅁䅁睃䅁䅁䅯䅁呂䕁䄴䅕呂䅁䅁兕䅁䅁䅙䅁呂䙁䅉䅁偁䅁䅁䅃䅁䙁䅍睖奂䅁䅁睅䅁䅁䅯䅁啂䙁䅑兒䱂䅁䅁睐䅁䑁䅉䅁啂䝁䄸䅤桂䝁䅷䅉卂䝁䅕杤求䝁䄴兤求䍁䅁䅋卂䝁䅕䅣療䡁䅉䅤求䝁䅑克䅁䅁䅙䅁䥁䅁䅁睖呂䙁䅑䅁䩂䅁䅁杊䅁䝁䄰兙祂䝁䅳党あ䡁䅍杌睂䡁䅉兡橂䝁䅕睙獂䝁䄸督求䅁䅁䅄䅁䅁䅁䅁㵁</t>
  </si>
  <si>
    <t>Rate Base</t>
  </si>
  <si>
    <t>Company Provided</t>
  </si>
  <si>
    <t>BBWI UN Equity</t>
  </si>
  <si>
    <t>Bath &amp; Body Works Inc</t>
  </si>
  <si>
    <t>BBWI</t>
  </si>
  <si>
    <t>TECH UW Equity</t>
  </si>
  <si>
    <t>Bio-Techne Corp</t>
  </si>
  <si>
    <t>TECH</t>
  </si>
  <si>
    <t>Recommended Capital Structure and Cost Rates</t>
  </si>
  <si>
    <t>for Ratemaking Purposes</t>
  </si>
  <si>
    <t>Type Of Capital</t>
  </si>
  <si>
    <t>Ratios (1)</t>
  </si>
  <si>
    <t>Cost Rate</t>
  </si>
  <si>
    <t>Weighted Cost Rate</t>
  </si>
  <si>
    <t>Long-Term Debt</t>
  </si>
  <si>
    <t>NMF</t>
  </si>
  <si>
    <t>2021M08</t>
  </si>
  <si>
    <t>Long-Term Debt %</t>
  </si>
  <si>
    <t>Long-Term Debt Cost (%)</t>
  </si>
  <si>
    <t>CSWI</t>
  </si>
  <si>
    <t xml:space="preserve">CSW Industrials     </t>
  </si>
  <si>
    <t xml:space="preserve">Waters Corp.        </t>
  </si>
  <si>
    <t>AIZ US Equity</t>
  </si>
  <si>
    <t>CACI US Equity</t>
  </si>
  <si>
    <t>CSWI US Equity</t>
  </si>
  <si>
    <t>EXPO US Equity</t>
  </si>
  <si>
    <t>INGR US Equity</t>
  </si>
  <si>
    <t>JKHY US Equity</t>
  </si>
  <si>
    <t>RLI US Equity</t>
  </si>
  <si>
    <t>SIGI US Equity</t>
  </si>
  <si>
    <t>SIRI US Equity</t>
  </si>
  <si>
    <t>WAT US Equity</t>
  </si>
  <si>
    <t>First Quarter 2023</t>
  </si>
  <si>
    <t>BRO UN Equity</t>
  </si>
  <si>
    <t>Brown &amp; Brown Inc</t>
  </si>
  <si>
    <t>BRO</t>
  </si>
  <si>
    <t>CDAY UN Equity</t>
  </si>
  <si>
    <t>Ceridian HCM Holding Inc</t>
  </si>
  <si>
    <t>CDAY</t>
  </si>
  <si>
    <t>CTRA UN Equity</t>
  </si>
  <si>
    <t>Coterra Energy Inc</t>
  </si>
  <si>
    <t>CTRA</t>
  </si>
  <si>
    <t>GOOG UW Equity</t>
  </si>
  <si>
    <t>GOOG</t>
  </si>
  <si>
    <t>MTCH UW Equity</t>
  </si>
  <si>
    <t>Match Group Inc</t>
  </si>
  <si>
    <t>MTCH</t>
  </si>
  <si>
    <t>D-20-0810</t>
  </si>
  <si>
    <t>DPU 20-120</t>
  </si>
  <si>
    <t>2021M09</t>
  </si>
  <si>
    <t>2021M10</t>
  </si>
  <si>
    <t>Meta Platforms Inc</t>
  </si>
  <si>
    <t>F5 Inc</t>
  </si>
  <si>
    <t>D-21-0098</t>
  </si>
  <si>
    <t>Change in Current Assets</t>
  </si>
  <si>
    <t>CHGCURASSET</t>
  </si>
  <si>
    <t>Change in Current Liabilities</t>
  </si>
  <si>
    <t>CHGCURLIAB</t>
  </si>
  <si>
    <t>Total debt relative to EBITDA (Earnings before Interest, Income Taxes, Depreciation and Amortization).</t>
  </si>
  <si>
    <t>Funds from operations (sum of net income, depreciation, amortization, net deferred income tax and investment tax credits, less total AFUDC) plus interest charges as a percentage of total debt.</t>
  </si>
  <si>
    <t>Capital Structure Based upon Total Permanent Capital for the</t>
  </si>
  <si>
    <t>Preferred Stock</t>
  </si>
  <si>
    <t xml:space="preserve">     Total Capital</t>
  </si>
  <si>
    <t xml:space="preserve">Institution Name </t>
  </si>
  <si>
    <t xml:space="preserve">SNL Institution Key </t>
  </si>
  <si>
    <t>Common Equity (Reported)</t>
  </si>
  <si>
    <t>Total Preferred Equity (Reported)</t>
  </si>
  <si>
    <t>Long-term Debt, Including Current Portion (Reported)</t>
  </si>
  <si>
    <t>Short-term Debt (Reported)</t>
  </si>
  <si>
    <t>Common Equity (%)</t>
  </si>
  <si>
    <t>Long-Term Debt (%)</t>
  </si>
  <si>
    <t>Short-Term Debt (%)</t>
  </si>
  <si>
    <t>Check</t>
  </si>
  <si>
    <t>2020Y</t>
  </si>
  <si>
    <t>New Jersey Natural Gas Company</t>
  </si>
  <si>
    <t xml:space="preserve">Operating Subsidiary Company Capital Structures of the </t>
  </si>
  <si>
    <t>Parent Company Ticker</t>
  </si>
  <si>
    <t>Max</t>
  </si>
  <si>
    <t>Min.</t>
  </si>
  <si>
    <t>2021M11</t>
  </si>
  <si>
    <t>Derivation of the Flotation Cost Adjustment to the Cost of Common Equity</t>
  </si>
  <si>
    <t>[Column 1]</t>
  </si>
  <si>
    <t>[Column 2]</t>
  </si>
  <si>
    <t>[Column 3]</t>
  </si>
  <si>
    <t>[Column 4]</t>
  </si>
  <si>
    <t>[Column 5]</t>
  </si>
  <si>
    <t>[Column 6]</t>
  </si>
  <si>
    <t>[Column 7]</t>
  </si>
  <si>
    <t>[Column 8]</t>
  </si>
  <si>
    <t>[Column 9]</t>
  </si>
  <si>
    <t>[Column 10]</t>
  </si>
  <si>
    <t>Flotation Cost Adjustment</t>
  </si>
  <si>
    <t>Indicated ROE (5)</t>
  </si>
  <si>
    <t>Selected Bond Yields</t>
  </si>
  <si>
    <t>Regression of Historical Equity Risk Premium (2)</t>
  </si>
  <si>
    <t>Forecasted Equity Risk Premium Based on PRPM (3)</t>
  </si>
  <si>
    <t>Forecasted Equity Risk Premium based on Projected Total Return on the S&amp;P Utilities Index (Value Line Data) (4)</t>
  </si>
  <si>
    <t>Forecasted Equity Risk Premium based on Projected Total Return on the S&amp;P Utilities Index (Bloomberg Data) (5)</t>
  </si>
  <si>
    <t>Average Equity Risk Premium (6)</t>
  </si>
  <si>
    <t>Equity Risk Premium Based on Value Line Summary and Index (4)</t>
  </si>
  <si>
    <t>Equity Risk Premium Based on Value Line S&amp;P 500 Companies (5)</t>
  </si>
  <si>
    <t>Equity Risk Premium Based on Bloomberg S&amp;P 500 Companies (6)</t>
  </si>
  <si>
    <t>Adjusted Beta (7)</t>
  </si>
  <si>
    <t>Indicated Common Equity Cost Rate (3)</t>
  </si>
  <si>
    <r>
      <t xml:space="preserve">Equity Risk Premium Based on </t>
    </r>
    <r>
      <rPr>
        <u/>
        <sz val="12"/>
        <rFont val="Cambria"/>
        <family val="1"/>
        <scheme val="major"/>
      </rPr>
      <t>Value Line</t>
    </r>
    <r>
      <rPr>
        <sz val="12"/>
        <rFont val="Cambria"/>
        <family val="1"/>
        <scheme val="major"/>
      </rPr>
      <t xml:space="preserve"> Summary and Index (4)</t>
    </r>
  </si>
  <si>
    <r>
      <t xml:space="preserve">Equity Risk Premium Based on </t>
    </r>
    <r>
      <rPr>
        <u/>
        <sz val="12"/>
        <rFont val="Cambria"/>
        <family val="1"/>
        <scheme val="major"/>
      </rPr>
      <t>Value Line</t>
    </r>
    <r>
      <rPr>
        <sz val="12"/>
        <rFont val="Cambria"/>
        <family val="1"/>
        <scheme val="major"/>
      </rPr>
      <t xml:space="preserve"> S&amp;P 500 Companies (5)</t>
    </r>
  </si>
  <si>
    <t>N/A</t>
  </si>
  <si>
    <t>IDA</t>
  </si>
  <si>
    <t>NWE</t>
  </si>
  <si>
    <t>OGE</t>
  </si>
  <si>
    <t>OTTR</t>
  </si>
  <si>
    <t>POR</t>
  </si>
  <si>
    <t>BFB</t>
  </si>
  <si>
    <t>CHE</t>
  </si>
  <si>
    <t>FDS</t>
  </si>
  <si>
    <t>WSO</t>
  </si>
  <si>
    <t>NorthWestern Corporation</t>
  </si>
  <si>
    <t>Portland General Electric Company</t>
  </si>
  <si>
    <t>Ameren Illinois Company</t>
  </si>
  <si>
    <t>Illinois Power Company</t>
  </si>
  <si>
    <t>Union Electric Company</t>
  </si>
  <si>
    <t>Progress Energy, Inc.</t>
  </si>
  <si>
    <t>Agilent Technologies</t>
  </si>
  <si>
    <t xml:space="preserve">Abbott Labs.        </t>
  </si>
  <si>
    <t xml:space="preserve">Smith (A.O.)        </t>
  </si>
  <si>
    <t xml:space="preserve">Brown-Forman 'B'    </t>
  </si>
  <si>
    <t xml:space="preserve">Broadridge Fin'l    </t>
  </si>
  <si>
    <t xml:space="preserve">Chemed Corp.        </t>
  </si>
  <si>
    <t xml:space="preserve">Sherwin-Williams    </t>
  </si>
  <si>
    <t xml:space="preserve">Texas Instruments   </t>
  </si>
  <si>
    <t xml:space="preserve">VeriSign Inc.       </t>
  </si>
  <si>
    <t xml:space="preserve">Watsco, Inc.        </t>
  </si>
  <si>
    <t>A US Equity</t>
  </si>
  <si>
    <t>ABT US Equity</t>
  </si>
  <si>
    <t>AOS US Equity</t>
  </si>
  <si>
    <t>BR US Equity</t>
  </si>
  <si>
    <t>CHE US Equity</t>
  </si>
  <si>
    <t>SHW US Equity</t>
  </si>
  <si>
    <t>TXN US Equity</t>
  </si>
  <si>
    <t>VRSN US Equity</t>
  </si>
  <si>
    <t>WSO US Equity</t>
  </si>
  <si>
    <t>Gas Proxy Group</t>
  </si>
  <si>
    <t>Proxy Group of Thirteen Electric Companies</t>
  </si>
  <si>
    <t>a.</t>
  </si>
  <si>
    <t>Duke Energy Indiana, LLC</t>
  </si>
  <si>
    <t>NMF = Non-Meaningful Figure</t>
  </si>
  <si>
    <t>Central Illinois Light Company</t>
  </si>
  <si>
    <t>Duke Energy Carolinas, LLC</t>
  </si>
  <si>
    <t>Duke Energy Florida, LLC</t>
  </si>
  <si>
    <t>Duke Energy Kentucky, Inc.</t>
  </si>
  <si>
    <t>Duke Energy Ohio, Inc.</t>
  </si>
  <si>
    <t>Duke Energy Progress, LLC</t>
  </si>
  <si>
    <t>Florida Progress Corporation</t>
  </si>
  <si>
    <t>Piedmont Natural Gas Company, Inc.</t>
  </si>
  <si>
    <t>Southern California Edison Company</t>
  </si>
  <si>
    <t>Entergy Arkansas, LLC</t>
  </si>
  <si>
    <t>Entergy Gulf States Louisiana, L.L.C.</t>
  </si>
  <si>
    <t>Entergy Louisiana, LLC</t>
  </si>
  <si>
    <t>Entergy Mississippi, LLC</t>
  </si>
  <si>
    <t>Entergy New Orleans, LLC</t>
  </si>
  <si>
    <t>Entergy Texas, Inc.</t>
  </si>
  <si>
    <t>Evergy Kansas Central, Inc.</t>
  </si>
  <si>
    <t>Evergy Kansas South, Inc.</t>
  </si>
  <si>
    <t>Evergy Metro, Inc.</t>
  </si>
  <si>
    <t>Evergy Missouri West, Inc.</t>
  </si>
  <si>
    <t>NSTAR Electric Company</t>
  </si>
  <si>
    <t>Public Service Company of New Hampshire</t>
  </si>
  <si>
    <t>Idaho Power Company</t>
  </si>
  <si>
    <t>Interstate Power and Light Company</t>
  </si>
  <si>
    <t>Wisconsin Power and Light Company</t>
  </si>
  <si>
    <t>Oklahoma Gas and Electric Company</t>
  </si>
  <si>
    <t>Otter Tail Power Company</t>
  </si>
  <si>
    <t>Northern States Power Company</t>
  </si>
  <si>
    <t>Public Service Company of Colorado</t>
  </si>
  <si>
    <t>Southwestern Public Service Company</t>
  </si>
  <si>
    <t>Average of columns 2 through 4 excluding negative growth rates.</t>
  </si>
  <si>
    <r>
      <t>(1+(Column [3] * Column [4])</t>
    </r>
    <r>
      <rPr>
        <vertAlign val="superscript"/>
        <sz val="12"/>
        <color theme="1"/>
        <rFont val="Cambria"/>
        <family val="1"/>
        <scheme val="major"/>
      </rPr>
      <t>^12</t>
    </r>
    <r>
      <rPr>
        <sz val="12"/>
        <color theme="1"/>
        <rFont val="Cambria"/>
        <family val="1"/>
        <scheme val="major"/>
      </rPr>
      <t>) - 1.</t>
    </r>
  </si>
  <si>
    <t>Non-Price Regulated Companies of Comparable risk to the</t>
  </si>
  <si>
    <t>Judgment of Equity Risk Premium for the</t>
  </si>
  <si>
    <t>Moody's A2 Rated Utility Bond Yields - Gas Utilities</t>
  </si>
  <si>
    <t>Bloomberg Professional Services.</t>
  </si>
  <si>
    <t>Value Line Summary and Index.</t>
  </si>
  <si>
    <t>Source of Information: Regulatory Research Associates.</t>
  </si>
  <si>
    <t>Shares Issued (1)</t>
  </si>
  <si>
    <t>Market Price per Share (1)</t>
  </si>
  <si>
    <t>Average Offering Price per Share (1)</t>
  </si>
  <si>
    <t>Source: S&amp;P Global Market Intelligence.</t>
  </si>
  <si>
    <t xml:space="preserve">     Annual Forms 10-K.</t>
  </si>
  <si>
    <t>Company Annual Forms 10-K.</t>
  </si>
  <si>
    <t>Value Line Investment Survey.</t>
  </si>
  <si>
    <t>Column 5 + Column 6.</t>
  </si>
  <si>
    <t>The Predictive Risk Premium Model uses historical data to generate a predicted variance and a GARCH coefficient.  The historical data used are the equity risk premiums for the first available trading month as reported by Bloomberg Professional Services.</t>
  </si>
  <si>
    <t>yahoo.finance.com.</t>
  </si>
  <si>
    <t>Moody's Investors Services.</t>
  </si>
  <si>
    <t>Standard &amp; Poor's Global Utilities Rating Services.</t>
  </si>
  <si>
    <t xml:space="preserve">   Utility Bonds (2)</t>
  </si>
  <si>
    <t>NEU</t>
  </si>
  <si>
    <t>SBBI (1926-2021)</t>
  </si>
  <si>
    <t>CEG</t>
  </si>
  <si>
    <t>December 31, 2021</t>
  </si>
  <si>
    <t>Proxy Group of Six Natural Gas Companies</t>
  </si>
  <si>
    <t>Arithmetic Mean of Monthly Returns on Large Company Common Stocks (1928 - 2021)</t>
  </si>
  <si>
    <t>Arithmetic Mean of Moody's Aaa and Aa Corporate Bond Yields (1928 - 2021)</t>
  </si>
  <si>
    <t>Arithmetic Mean Holding Period Returns on the S&amp;P Utility Index (1928 - 2021)</t>
  </si>
  <si>
    <t>Arithmetic Mean on Moody's A Rated Public Utility Bond Yields (1928 - 2021)</t>
  </si>
  <si>
    <t>Regression analysis on SBBI data 1926-2021</t>
  </si>
  <si>
    <t xml:space="preserve">   Return 1926 - 2021</t>
  </si>
  <si>
    <t xml:space="preserve">   1926 - 2021</t>
  </si>
  <si>
    <t>Northern Indiana Public Service Company</t>
  </si>
  <si>
    <t>Air Products &amp; Chem.</t>
  </si>
  <si>
    <t>Bristol-Myers Squibb</t>
  </si>
  <si>
    <t xml:space="preserve">Oracle Corp.        </t>
  </si>
  <si>
    <t xml:space="preserve">Western Union       </t>
  </si>
  <si>
    <t xml:space="preserve">McCormick &amp; Co.     </t>
  </si>
  <si>
    <t xml:space="preserve">Merck &amp; Co.         </t>
  </si>
  <si>
    <t xml:space="preserve">NewMarket Corp.     </t>
  </si>
  <si>
    <t xml:space="preserve">Progressive Corp.   </t>
  </si>
  <si>
    <t>APD US Equity</t>
  </si>
  <si>
    <t>BMY US Equity</t>
  </si>
  <si>
    <t>ORCL US Equity</t>
  </si>
  <si>
    <t>WU US Equity</t>
  </si>
  <si>
    <t>MKC US Equity</t>
  </si>
  <si>
    <t>MRK US Equity</t>
  </si>
  <si>
    <t>NEU US Equity</t>
  </si>
  <si>
    <t>PGR US Equity</t>
  </si>
  <si>
    <t>Second Quarter 2023</t>
  </si>
  <si>
    <t>Third Quarter 2023</t>
  </si>
  <si>
    <t>Fourth Quarter 2023</t>
  </si>
  <si>
    <t>First Quarter 2024</t>
  </si>
  <si>
    <t>2024-2028</t>
  </si>
  <si>
    <t>2029-2033</t>
  </si>
  <si>
    <t>BALL UN Equity</t>
  </si>
  <si>
    <t>BALL</t>
  </si>
  <si>
    <t>BKR UW Equity</t>
  </si>
  <si>
    <t>Crown Castle Inc</t>
  </si>
  <si>
    <t>CEG UW Equity</t>
  </si>
  <si>
    <t>Constellation Energy Corp</t>
  </si>
  <si>
    <t>CPT UN Equity</t>
  </si>
  <si>
    <t>Camden Property Trust</t>
  </si>
  <si>
    <t>CPT</t>
  </si>
  <si>
    <t>Charles River Laboratories International Inc</t>
  </si>
  <si>
    <t>Salesforce Inc</t>
  </si>
  <si>
    <t>Cisco Systems Inc</t>
  </si>
  <si>
    <t>CSGP UW Equity</t>
  </si>
  <si>
    <t>CoStar Group Inc</t>
  </si>
  <si>
    <t>CSGP</t>
  </si>
  <si>
    <t>ELV UN Equity</t>
  </si>
  <si>
    <t>Elevance Health Inc</t>
  </si>
  <si>
    <t>ELV</t>
  </si>
  <si>
    <t>EPAM UN Equity</t>
  </si>
  <si>
    <t>EPAM Systems Inc</t>
  </si>
  <si>
    <t>EPAM</t>
  </si>
  <si>
    <t>EQT UN Equity</t>
  </si>
  <si>
    <t>EQT Corp</t>
  </si>
  <si>
    <t>EQT</t>
  </si>
  <si>
    <t>Expeditors International of Washington Inc</t>
  </si>
  <si>
    <t>FDS UN Equity</t>
  </si>
  <si>
    <t>FactSet Research Systems Inc</t>
  </si>
  <si>
    <t>Fidelity National Information Services Inc</t>
  </si>
  <si>
    <t>GRMN UN Equity</t>
  </si>
  <si>
    <t>Hartford Financial Services Group Inc/The</t>
  </si>
  <si>
    <t>INVH UN Equity</t>
  </si>
  <si>
    <t>Invitation Homes Inc</t>
  </si>
  <si>
    <t>INVH</t>
  </si>
  <si>
    <t>Jacobs Solutions Inc</t>
  </si>
  <si>
    <t>KDP UW Equity</t>
  </si>
  <si>
    <t>Keurig Dr Pepper Inc</t>
  </si>
  <si>
    <t>KDP</t>
  </si>
  <si>
    <t>META UW Equity</t>
  </si>
  <si>
    <t>META</t>
  </si>
  <si>
    <t>MOH UN Equity</t>
  </si>
  <si>
    <t>Molina Healthcare Inc</t>
  </si>
  <si>
    <t>MOH</t>
  </si>
  <si>
    <t>NDSN UW Equity</t>
  </si>
  <si>
    <t>Nordson Corp</t>
  </si>
  <si>
    <t>NDSN</t>
  </si>
  <si>
    <t>ON UW Equity</t>
  </si>
  <si>
    <t>ON Semiconductor Corp</t>
  </si>
  <si>
    <t>ON</t>
  </si>
  <si>
    <t>PARA UW Equity</t>
  </si>
  <si>
    <t>Paramount Global</t>
  </si>
  <si>
    <t>PARA</t>
  </si>
  <si>
    <t>PCG UN Equity</t>
  </si>
  <si>
    <t>PG&amp;E Corp</t>
  </si>
  <si>
    <t>PCG</t>
  </si>
  <si>
    <t>SBNY UW Equity</t>
  </si>
  <si>
    <t>Signature Bank/New York NY</t>
  </si>
  <si>
    <t>SBNY</t>
  </si>
  <si>
    <t>SEDG UW Equity</t>
  </si>
  <si>
    <t>SolarEdge Technologies Inc</t>
  </si>
  <si>
    <t>SEDG</t>
  </si>
  <si>
    <t>TRGP UN Equity</t>
  </si>
  <si>
    <t>Targa Resources Corp</t>
  </si>
  <si>
    <t>TRGP</t>
  </si>
  <si>
    <t>VICI UN Equity</t>
  </si>
  <si>
    <t>VICI Properties Inc</t>
  </si>
  <si>
    <t>VICI</t>
  </si>
  <si>
    <t>WBD UW Equity</t>
  </si>
  <si>
    <t>Warner Bros Discovery Inc</t>
  </si>
  <si>
    <t>WBD</t>
  </si>
  <si>
    <t>WTW UW Equity</t>
  </si>
  <si>
    <t>WTW</t>
  </si>
  <si>
    <t>2021M12</t>
  </si>
  <si>
    <t>2022M01</t>
  </si>
  <si>
    <t>2022M02</t>
  </si>
  <si>
    <t>2022M03</t>
  </si>
  <si>
    <t>2022M04</t>
  </si>
  <si>
    <t>2022M05</t>
  </si>
  <si>
    <t>2022M06</t>
  </si>
  <si>
    <t>2022M07</t>
  </si>
  <si>
    <t>2022M08</t>
  </si>
  <si>
    <t>2022M09</t>
  </si>
  <si>
    <t>NiSource Inc.</t>
  </si>
  <si>
    <t>2016 - 2021, Inclusive</t>
  </si>
  <si>
    <t>2017 - 2021, Inclusive</t>
  </si>
  <si>
    <t>FYE: 12/31/2021</t>
  </si>
  <si>
    <t>FY2021</t>
  </si>
  <si>
    <t>New Jersey Natural Gas Co</t>
  </si>
  <si>
    <t>A Corp. Bond Yield</t>
  </si>
  <si>
    <t>Baa Corp. Bond Yield</t>
  </si>
  <si>
    <t>Spread</t>
  </si>
  <si>
    <t>Average yield spread</t>
  </si>
  <si>
    <t>1/3 of spread</t>
  </si>
  <si>
    <t>(1926-2021)</t>
  </si>
  <si>
    <t>Based on S&amp;P Public Utility Index monthly total returns and Moody's Public Utility Bond average monthly yields from 1928-2021.  Holding period returns are calculated based upon income received (dividends and interest) plus the relative change in the market value of a security over a one-year holding period.</t>
  </si>
  <si>
    <t xml:space="preserve">This equity risk premium is based on a regression of the monthly equity risk premiums of the S&amp;P Utility Index relative to Moody's A2 rated public utility bond yields from 1928 - 2021 referenced in note 1 above. </t>
  </si>
  <si>
    <t>D-79-12-02</t>
  </si>
  <si>
    <t>C-GR-2021-0108</t>
  </si>
  <si>
    <t>C-9664</t>
  </si>
  <si>
    <t>C-U-20940</t>
  </si>
  <si>
    <t>C-2021-00214</t>
  </si>
  <si>
    <t>PECO Energy Co</t>
  </si>
  <si>
    <t>The Dayton Power &amp; Light Co.</t>
  </si>
  <si>
    <t>Black Hills Nebraska Gas LLC</t>
  </si>
  <si>
    <t xml:space="preserve">Adjustment to Reflect Bond rating </t>
  </si>
  <si>
    <t>New Jersey Resources Corporation</t>
  </si>
  <si>
    <t>Northwest Natural Holding Company</t>
  </si>
  <si>
    <t>-</t>
  </si>
  <si>
    <t>*From EOY 2021 Company Form 1</t>
  </si>
  <si>
    <t>FYE: 9/30/2021</t>
  </si>
  <si>
    <t>FYE: 09/30/2021</t>
  </si>
  <si>
    <t>Company Financial Statements</t>
  </si>
  <si>
    <t>Adjusted Prospective Bond Yield</t>
  </si>
  <si>
    <t>Equity Risk Premium (3)</t>
  </si>
  <si>
    <t>2021Y</t>
  </si>
  <si>
    <t>Book Value per Share at Fiscal Year End 2021 (1)</t>
  </si>
  <si>
    <t>Peoples Gas System -  based on the Gas Proxy Group</t>
  </si>
  <si>
    <t>Florida Public Service Commission</t>
  </si>
  <si>
    <t>PGS</t>
  </si>
  <si>
    <t>Maximum</t>
  </si>
  <si>
    <t>Minimum</t>
  </si>
  <si>
    <t>Stocks, Bonds, Bills, and Inflation -  2022 SBBI Yearbook, Kroll.</t>
  </si>
  <si>
    <t xml:space="preserve">This equity risk premium is based on a regression of the monthly equity risk premiums of large company common stocks relative to Moody's average Aaa and Aa rated corporate bond yields from 1928-2021 referenced in note 1 above. </t>
  </si>
  <si>
    <t>Gas Cases (3)</t>
  </si>
  <si>
    <t>PG&amp;E Corporation</t>
  </si>
  <si>
    <t>S&amp;P Utilities Index Companies</t>
  </si>
  <si>
    <t>From page 2 of this Document.</t>
  </si>
  <si>
    <t>From page 1 of Document No. 3.</t>
  </si>
  <si>
    <t>From page 1 of Document No. 4.</t>
  </si>
  <si>
    <t>From page 1 of Document No. 5.</t>
  </si>
  <si>
    <t>All capitalization and financial statistics for the group are the arithmetic average of the achieved results for each individual company in the group, and are based upon financial statements as originally reported in each year.</t>
  </si>
  <si>
    <t>Computed by relating actual total debt interest or preferred stock dividends booked to average of beginning and ending total debt or preferred stock reported to be outstanding.</t>
  </si>
  <si>
    <t>Capitalization and Financial Statistics (1)</t>
  </si>
  <si>
    <t>Capitalization Statistics</t>
  </si>
  <si>
    <t>(millions of dollars)</t>
  </si>
  <si>
    <t>Amount of Capital Employed</t>
  </si>
  <si>
    <t xml:space="preserve">     Total Permanent Capital</t>
  </si>
  <si>
    <t xml:space="preserve">     Short-Term Debt</t>
  </si>
  <si>
    <t xml:space="preserve">          Total Capital Employed</t>
  </si>
  <si>
    <t>Indicated Average Capital Cost Rates  (2)</t>
  </si>
  <si>
    <t xml:space="preserve">     Total Debt</t>
  </si>
  <si>
    <t>Capital Structure Ratios</t>
  </si>
  <si>
    <t xml:space="preserve">     Based on Total Permanent Capital:</t>
  </si>
  <si>
    <t xml:space="preserve">          Long-Term Debt</t>
  </si>
  <si>
    <t xml:space="preserve">          Preferred Stock</t>
  </si>
  <si>
    <t xml:space="preserve">          Common Equity</t>
  </si>
  <si>
    <t xml:space="preserve">               Total</t>
  </si>
  <si>
    <t xml:space="preserve">     Based on Total Capital:</t>
  </si>
  <si>
    <t xml:space="preserve">          Total Debt, Including Short-Term</t>
  </si>
  <si>
    <t>5 Year</t>
  </si>
  <si>
    <t>Financial Statistics</t>
  </si>
  <si>
    <t>Financial Ratios - Marked Based</t>
  </si>
  <si>
    <t xml:space="preserve">     Earnings / Price Ratio</t>
  </si>
  <si>
    <t xml:space="preserve">     Market / Average Book Ratio</t>
  </si>
  <si>
    <t xml:space="preserve">     Dividend Yield</t>
  </si>
  <si>
    <t xml:space="preserve">     Dividend Payout Ratio</t>
  </si>
  <si>
    <t>Rate of Return on Average Book Common Equity</t>
  </si>
  <si>
    <t>Total Debt / EBITDA (3)</t>
  </si>
  <si>
    <t>Funds From Operations / Total Debt (4)</t>
  </si>
  <si>
    <t>Total Debt / Total Capital</t>
  </si>
  <si>
    <t>From page 3 of this Document.</t>
  </si>
  <si>
    <t>From page 7 of this Document.</t>
  </si>
  <si>
    <t>From page 6 of this Document.</t>
  </si>
  <si>
    <t>From page 8 of this Document.</t>
  </si>
  <si>
    <t>From page 12 of this Document.</t>
  </si>
  <si>
    <t>From page 13 of this Document.</t>
  </si>
  <si>
    <t>Notes provided on page 9 of this Document.</t>
  </si>
  <si>
    <t>From line 3 of page 3 of this Document.</t>
  </si>
  <si>
    <t>Notes on page 2 of this Document.</t>
  </si>
  <si>
    <t>Recommended Range of Common Equity Cost Rates after Adjustment for Company-specic Risk</t>
  </si>
  <si>
    <t>From page 1 of Document No. 7.</t>
  </si>
  <si>
    <t>From Document No. 8.</t>
  </si>
  <si>
    <t>Min</t>
  </si>
  <si>
    <t>Consensus forecast of Moody's Aaa Rated Corporate bonds from Blue Chip Financial Forecasts (see pages 10 and 11 of this Document).</t>
  </si>
  <si>
    <t>Average of mean and median beta from Document No. 5.</t>
  </si>
  <si>
    <t>For reasons explained in the direct testimony, the appropriate risk-free rate for cost of capital purposes is the average forecast of 30 year Treasury Bonds per the consensus of nearly 50 economists reported in Blue Chip Financial Forecasts. (See pages 10 and 11 of Document No. 4) The projection of the risk-free rate is illustrated below:</t>
  </si>
  <si>
    <t>From pages 2-3 of this Document.</t>
  </si>
  <si>
    <t>From page 4 of this Document.</t>
  </si>
  <si>
    <t>From pages 8-9 of this Document.</t>
  </si>
  <si>
    <t>From page 6 of Document No. 4.</t>
  </si>
  <si>
    <t>From note 1 of page 2 of Document No. 5.</t>
  </si>
  <si>
    <t>From note 2 of page 2 of Document No. 5.</t>
  </si>
  <si>
    <t>Equity Issuances (Company Provided)</t>
  </si>
  <si>
    <t>Issuing Company</t>
  </si>
  <si>
    <t>[Column 11]</t>
  </si>
  <si>
    <t>[Column 12]</t>
  </si>
  <si>
    <t>[Column 13]</t>
  </si>
  <si>
    <t>[Column 14]</t>
  </si>
  <si>
    <t>[Column 15]</t>
  </si>
  <si>
    <t>[Column 16]</t>
  </si>
  <si>
    <t>Average Dividend Yield (7)</t>
  </si>
  <si>
    <t>Average Projected EPS Growth Rate (7)</t>
  </si>
  <si>
    <t>Adjusted Dividend Yield (8)</t>
  </si>
  <si>
    <t>Average DCF Cost Rate Unadjusted for Flotation (9)</t>
  </si>
  <si>
    <t>DCF Cost Rate Adjusted for Flotation (10)</t>
  </si>
  <si>
    <t>Flotation Cost Adjustment (11)</t>
  </si>
  <si>
    <t>Underwriting Discount (1)</t>
  </si>
  <si>
    <t>Total Offering Expense per Share (1)</t>
  </si>
  <si>
    <t>At-The-Market 7/11/2019</t>
  </si>
  <si>
    <t>Emera Incorporated</t>
  </si>
  <si>
    <t>Total Public Issuances</t>
  </si>
  <si>
    <t>Net Proceeds per Share (2)</t>
  </si>
  <si>
    <t>Total Flotation Costs (3)</t>
  </si>
  <si>
    <t>Gross Equity Issue before Costs (4)</t>
  </si>
  <si>
    <t>Net Proceeds (5)</t>
  </si>
  <si>
    <t>Flotation Cost Percentage (6)</t>
  </si>
  <si>
    <t>From Company prospectuses or annual filings.</t>
  </si>
  <si>
    <t>Col. 3 - Col. 4 - Col. 5.</t>
  </si>
  <si>
    <t>(Col. 2 - Col. 6) x Col. 1.</t>
  </si>
  <si>
    <t>Col. 1 x Col. 2.</t>
  </si>
  <si>
    <t>Col. 1 x Col. 6.</t>
  </si>
  <si>
    <t>Col. 7 / Col. 8.</t>
  </si>
  <si>
    <t>From Document No. 4.</t>
  </si>
  <si>
    <t>Col. 11 x (1 + 0.5 x Col. 12).</t>
  </si>
  <si>
    <t>Col. 12 + Col. 13.</t>
  </si>
  <si>
    <t>(Col. 13 / (1 - Col. 10)) + Col. 12.</t>
  </si>
  <si>
    <t>Col. 15 - Col. 14.</t>
  </si>
  <si>
    <t>CAPEX/Shr</t>
  </si>
  <si>
    <t>Net Plant ($ mill)</t>
  </si>
  <si>
    <t>Source: Value Line</t>
  </si>
  <si>
    <t>Value Line Date</t>
  </si>
  <si>
    <t>2025-2027</t>
  </si>
  <si>
    <t>% 2021 Net Plant</t>
  </si>
  <si>
    <t>Peoples Gas</t>
  </si>
  <si>
    <t>Company provided data</t>
  </si>
  <si>
    <t>Peoples Gas, 2021 Annual Report (Net Utility Plant), p. 6</t>
  </si>
  <si>
    <t>% Net Plant</t>
  </si>
  <si>
    <t>Proxy Group Median</t>
  </si>
  <si>
    <t>Diff. from Median</t>
  </si>
  <si>
    <t>Comparison of Projected Capital Expenditures Relative to Net Plant</t>
  </si>
  <si>
    <t>Peoples Gas, 2021 Annual Report</t>
  </si>
  <si>
    <t>Stocks, Bonds, Bills, and Inflation -  2022 SBBI Yearbook, Appendix A Tables, Kroll, Inc.</t>
  </si>
  <si>
    <t>Average of mean and median beta from page 6 of this Document.</t>
  </si>
  <si>
    <t>From note 2 on page 2 of Document No. 5.</t>
  </si>
  <si>
    <t>From note 1 of page 9 of Document No. 4.</t>
  </si>
  <si>
    <t>From note 2 of page 9 of Document No. 4.</t>
  </si>
  <si>
    <t>From note 3 of page 9 of Document No. 4.</t>
  </si>
  <si>
    <t>From note 4 of page 9 of Document No. 4.</t>
  </si>
  <si>
    <t>From note 5 of page 9 of Document No. 4.</t>
  </si>
  <si>
    <t>From note 6 of page 9 of Document No. 4.</t>
  </si>
  <si>
    <t>Common Shrs Outst'g</t>
  </si>
  <si>
    <t>From pages 2 through 7 of this Document.</t>
  </si>
  <si>
    <t>JJSF</t>
  </si>
  <si>
    <t>POST</t>
  </si>
  <si>
    <t>SXT</t>
  </si>
  <si>
    <t>`</t>
  </si>
  <si>
    <t xml:space="preserve">Analog Devices      </t>
  </si>
  <si>
    <t xml:space="preserve">Quest Diagnostics   </t>
  </si>
  <si>
    <t xml:space="preserve">J&amp;J Snack Foods     </t>
  </si>
  <si>
    <t xml:space="preserve">MSCI Inc.           </t>
  </si>
  <si>
    <t xml:space="preserve">Motorola Solutions  </t>
  </si>
  <si>
    <t xml:space="preserve">Northrop Grumman    </t>
  </si>
  <si>
    <t>Old Dominion Freight</t>
  </si>
  <si>
    <t xml:space="preserve">Post Holdings       </t>
  </si>
  <si>
    <t xml:space="preserve">Rollins, Inc.       </t>
  </si>
  <si>
    <t xml:space="preserve">Sensient Techn.     </t>
  </si>
  <si>
    <t xml:space="preserve">Thermo Fisher Sci.  </t>
  </si>
  <si>
    <t>ADI US Equity</t>
  </si>
  <si>
    <t>DGX US Equity</t>
  </si>
  <si>
    <t>JJSF US Equity</t>
  </si>
  <si>
    <t>MSCI US Equity</t>
  </si>
  <si>
    <t>MSI US Equity</t>
  </si>
  <si>
    <t>NOC US Equity</t>
  </si>
  <si>
    <t>ODFL US Equity</t>
  </si>
  <si>
    <t>POST US Equity</t>
  </si>
  <si>
    <t>ROL US Equity</t>
  </si>
  <si>
    <t>SXT US Equity</t>
  </si>
  <si>
    <t>TMO US Equity</t>
  </si>
  <si>
    <t>BFB US Equity</t>
  </si>
  <si>
    <t>Date:</t>
  </si>
  <si>
    <t>ACGL UW Equity</t>
  </si>
  <si>
    <t>Arch Capital Group Ltd</t>
  </si>
  <si>
    <t>ACGL</t>
  </si>
  <si>
    <t>EVRG UW Equity</t>
  </si>
  <si>
    <t>FSLR UW Equity</t>
  </si>
  <si>
    <t>First Solar Inc</t>
  </si>
  <si>
    <t>FSLR</t>
  </si>
  <si>
    <t>GEN UW Equity</t>
  </si>
  <si>
    <t>Gen Digital Inc</t>
  </si>
  <si>
    <t>GEN</t>
  </si>
  <si>
    <t>Schlumberger Ltd</t>
  </si>
  <si>
    <t>STLD UW Equity</t>
  </si>
  <si>
    <t>Steel Dynamics Inc</t>
  </si>
  <si>
    <t>STLD</t>
  </si>
  <si>
    <t>2022M10</t>
  </si>
  <si>
    <t>2022M11</t>
  </si>
  <si>
    <t>2022M12</t>
  </si>
  <si>
    <t>Kroll-Based Equity Risk Premiums:</t>
  </si>
  <si>
    <t>Kroll Equity Risk Premium (1)</t>
  </si>
  <si>
    <t>Regression on Kroll Risk Premium Data (2)</t>
  </si>
  <si>
    <t>Kroll Equity Risk Premium based on PRPM (3)</t>
  </si>
  <si>
    <t>The market risk premium (MRP) is derived by using six different measures from three sources: Kroll, Value Line, and Bloomberg as illustrated below:</t>
  </si>
  <si>
    <t>MRP based on Kroll Historical Data:</t>
  </si>
  <si>
    <t>Measure 2: Application of a Regression Analysis to Kroll Historical Data</t>
  </si>
  <si>
    <t>Measure 3: Application of the PRPM to Kroll Historical Data:</t>
  </si>
  <si>
    <t>Average of Value Line, Kroll, and Bloomberg MRP:</t>
  </si>
  <si>
    <t>Kroll Associates' Size Premia for the Decile Portfolios of the NYSE/AMEX/NASDAQ</t>
  </si>
  <si>
    <t>Update annually from Stocks, Bonds, Bills, and Inflation - Kroll® SBBI® Market Report</t>
  </si>
  <si>
    <t>Kroll-Based MRPs:</t>
  </si>
  <si>
    <t>Average of Kroll-Based MRPs:</t>
  </si>
  <si>
    <t>December 2022</t>
  </si>
  <si>
    <t>Value Line Proprietary Database, December 2022.</t>
  </si>
  <si>
    <t>D-21-097-U</t>
  </si>
  <si>
    <t>D-22AL-0046G</t>
  </si>
  <si>
    <t>A-21-08-014 (Gas)</t>
  </si>
  <si>
    <t>A-22-04-011</t>
  </si>
  <si>
    <t>D-6690-UR-127 (Gas)</t>
  </si>
  <si>
    <t>Dominion Energy Inc.</t>
  </si>
  <si>
    <t>D-22-057-03</t>
  </si>
  <si>
    <t>D-5-UR-110 (WEP-Gas)</t>
  </si>
  <si>
    <t>D-5-UR-110</t>
  </si>
  <si>
    <t>Last updated: 12/07/22 - 16:12</t>
  </si>
  <si>
    <t>Last updated: 12/07/22 - 16:14</t>
  </si>
  <si>
    <t>Last updated: 12/07/22 - 16:16</t>
  </si>
  <si>
    <t>Last updated: 12/07/22 - 16:20</t>
  </si>
  <si>
    <t>Last updated: 12/07/22 - 16:23</t>
  </si>
  <si>
    <t>Last updated: 12/07/22 - 16:25</t>
  </si>
  <si>
    <t>Modified: 1 1163 // Conditional Variance</t>
  </si>
  <si>
    <t>Last updated: 12/07/22 - 16:53</t>
  </si>
  <si>
    <t>Last updated: 12/07/22 - 16:55</t>
  </si>
  <si>
    <t>Last updated: 12/07/22 - 17:00</t>
  </si>
  <si>
    <t>Second Quarter 2024</t>
  </si>
  <si>
    <t>*From 2022 Kroll Cost of Capital Navigator</t>
  </si>
  <si>
    <t xml:space="preserve">January 1, 2023 and December 2, 2022 </t>
  </si>
  <si>
    <t>In view of current volatility, Mr. D'Ascendis recommends using the long-term predicted variance at this time.</t>
  </si>
  <si>
    <t>The Predictive Risk Premium Model (PRPM) is discussed in the accompanying direct testimony. The SBBI equity risk premium based on the PRPM is derived by applying the PRPM to the monthly risk premiums between SBBI large company common stock monthly returns and average Aaa and Aa corporate monthly bond yields, from January 1928 through December 2022.</t>
  </si>
  <si>
    <t>The application of the DCF model to the domestic, non-price regulated comparable risk companies is identical to the application of the DCF to the Utility Proxy Groups.  The dividend yield is derived by using the 60 day average price and the spot indicated dividend as of December 30, 2022.  The dividend yield is then adjusted by 1/2 the average projected growth rate in EPS, which is calculated by averaging the 5 year projected growth in EPS provided by Value Line, www.zacks.com, and www.yahoo.com (excluding any negative growth rates) and then adding that growth rate to the adjusted dividend yield.</t>
  </si>
  <si>
    <t>Market Capitalization on December 30, 2022 (1)</t>
  </si>
  <si>
    <t>No PRPM</t>
  </si>
  <si>
    <t>Long-Term Debt (1)</t>
  </si>
  <si>
    <t>(1) Excludes securitized debt associated with winter storms in 2021.</t>
  </si>
  <si>
    <t>Indicated Range of Common Equity Cost Rates before Adjustment for Company-specific Risk</t>
  </si>
  <si>
    <t>Flotation Cost Adjustment (5)</t>
  </si>
  <si>
    <t>Recommended Common Equity Cost Rate (7)</t>
  </si>
  <si>
    <t>Business Risk Adjustment (6)</t>
  </si>
  <si>
    <t>of 818 Fully-Litigated Natural</t>
  </si>
  <si>
    <t xml:space="preserve">Difference of Non-Price Regulated </t>
  </si>
  <si>
    <t>Companies (2)</t>
  </si>
  <si>
    <t>Proxy Group of Thirty Nine Non-Price Regulated Companies</t>
  </si>
  <si>
    <t>Considers Company-specific factors (i.e., flotation costs and Company-specific business risks) relative to the Utility Proxy Group as detailed in Mr. D'Ascendis' Direct Testimony.</t>
  </si>
  <si>
    <t>Adjustment to reflect the Company's specific business risks, such as smaller size, high customer growth, capital investment plans, and high level of performance, as detailed in Mr. D'Ascendis' Direct Testimony.</t>
  </si>
  <si>
    <t>2022-2024 CAPEX ($ mil)</t>
  </si>
  <si>
    <t>Blue Chip Financial Forecasts December 2, 2022 and January 1, 2022.</t>
  </si>
  <si>
    <t>Average forecast of Baa corporate bonds based upon the consensus of nearly 50 economists reported in Blue Chip Financial Forecasts dated December 2, 2022 and January 1, 2023 (see pages 10 and 11 of Document No. 5).  The estimates are detailed below.</t>
  </si>
  <si>
    <t>Short-Term Debt</t>
  </si>
  <si>
    <t>Per data included on Company MFR Schedule G-3, page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</si>
</sst>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_);\(#,##0.0\)"/>
    <numFmt numFmtId="166" formatCode="&quot;$&quot;#,##0.000_);\(&quot;$&quot;#,##0.000\)"/>
    <numFmt numFmtId="167" formatCode="0.000"/>
    <numFmt numFmtId="168" formatCode="0.0000"/>
    <numFmt numFmtId="169" formatCode="_(* #,##0.000_);_(* \(#,##0.000\);_(* &quot;-&quot;??_);_(@_)"/>
    <numFmt numFmtId="170" formatCode="_(* #,##0.0_);_(* \(#,##0.0\);_(* &quot;-&quot;??_);_(@_)"/>
    <numFmt numFmtId="171" formatCode="d\-mmm\-yyyy"/>
    <numFmt numFmtId="172" formatCode="[$-409]d\-mmm\-yyyy;@"/>
    <numFmt numFmtId="173" formatCode="_(&quot;$&quot;* #,##0.000_);_(&quot;$&quot;* \(#,##0.000\);_(&quot;$&quot;* &quot;-&quot;??_);_(@_)"/>
    <numFmt numFmtId="174" formatCode="0.00_);\(0.00\)"/>
    <numFmt numFmtId="175" formatCode="#,##0.0"/>
    <numFmt numFmtId="176" formatCode="mmmm\ yyyy"/>
    <numFmt numFmtId="177" formatCode="_(* #,##0.00_);_(* \(#,##0.00\);_(* &quot; - &quot;??_);_(@_)"/>
    <numFmt numFmtId="178" formatCode="0.0000%"/>
    <numFmt numFmtId="179" formatCode="_(* #,##0.0000_);_(* \(#,##0.0000\);_(* &quot;-&quot;??_);_(@_)"/>
    <numFmt numFmtId="180" formatCode="[$-409]mmm\-yy;@"/>
    <numFmt numFmtId="181" formatCode="&quot;$&quot;#,##0.00"/>
    <numFmt numFmtId="182" formatCode="mmm\-yyyy"/>
    <numFmt numFmtId="183" formatCode="#,##0.000"/>
    <numFmt numFmtId="184" formatCode="###,##0.00;\-###,##0.00"/>
    <numFmt numFmtId="185" formatCode="0.00000"/>
    <numFmt numFmtId="186" formatCode="&quot;$&quot;#,##0.000"/>
    <numFmt numFmtId="187" formatCode="_(&quot;$&quot;* #,##0.000_);_(&quot;$&quot;* \(#,##0.000\);_(&quot;$&quot;* &quot; - &quot;??_);_(@_)"/>
    <numFmt numFmtId="188" formatCode="_(* #,##0.000_);_(* \(#,##0.000\);_(* &quot; - &quot;??_);_(@_)"/>
    <numFmt numFmtId="189" formatCode="_(* #,##0.0_);_(* \(#,##0.0\);_(* &quot; - &quot;??_);_(@_)"/>
    <numFmt numFmtId="190" formatCode="#,##0.000_);\(#,##0.000\)"/>
    <numFmt numFmtId="191" formatCode="_(&quot;$&quot;* #,##0_);_(&quot;$&quot;* \(#,##0\);_(&quot;$&quot;* &quot;-&quot;????_);_(@_)"/>
    <numFmt numFmtId="192" formatCode="&quot;$&quot;#,##0.0000_);\(&quot;$&quot;#,##0.0000\)"/>
    <numFmt numFmtId="193" formatCode="_(&quot;$&quot;* #,##0_);_(&quot;$&quot;* \(#,##0\);_(&quot;$&quot;* &quot;-&quot;??_);_(@_)"/>
    <numFmt numFmtId="194" formatCode="dd\-mmm\-yy_)"/>
    <numFmt numFmtId="195" formatCode="m/d/yyyy;@"/>
    <numFmt numFmtId="196" formatCode="0.0000_)"/>
    <numFmt numFmtId="197" formatCode="_(* #,##0_);_(* \(#,##0\);_(* &quot;-&quot;??_);_(@_)"/>
    <numFmt numFmtId="198" formatCode="_(* #,##0.00000_);_(* \(#,##0.00000\);_(* &quot;-&quot;??_);_(@_)"/>
    <numFmt numFmtId="199" formatCode="\(#\)"/>
    <numFmt numFmtId="200" formatCode="_(&quot;$&quot;* #,##0.0_);_(&quot;$&quot;* \(#,##0.0\);_(&quot;$&quot;* &quot;-&quot;??_);_(@_)"/>
    <numFmt numFmtId="201" formatCode="0.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sz val="9"/>
      <name val="Arial"/>
      <family val="2"/>
    </font>
    <font>
      <sz val="10"/>
      <color indexed="8"/>
      <name val="Arial"/>
      <family val="2"/>
    </font>
    <font>
      <sz val="12"/>
      <name val="Arial"/>
      <family val="2"/>
    </font>
    <font>
      <b/>
      <sz val="10"/>
      <name val="Arial"/>
      <family val="2"/>
    </font>
    <font>
      <sz val="11"/>
      <color indexed="8"/>
      <name val="Calibri"/>
      <family val="2"/>
    </font>
    <font>
      <b/>
      <sz val="12"/>
      <name val="Arial"/>
      <family val="2"/>
    </font>
    <font>
      <sz val="8"/>
      <name val="Arial"/>
      <family val="2"/>
    </font>
    <font>
      <sz val="10"/>
      <name val="Times New Roman"/>
      <family val="1"/>
    </font>
    <font>
      <i/>
      <sz val="9"/>
      <name val="Arial"/>
      <family val="2"/>
    </font>
    <font>
      <sz val="12"/>
      <name val="Times New Roman"/>
      <family val="1"/>
    </font>
    <font>
      <b/>
      <i/>
      <sz val="9"/>
      <name val="Arial"/>
      <family val="2"/>
    </font>
    <font>
      <b/>
      <sz val="9"/>
      <name val="Arial"/>
      <family val="2"/>
    </font>
    <font>
      <b/>
      <sz val="9"/>
      <color indexed="8"/>
      <name val="Arial"/>
      <family val="2"/>
    </font>
    <font>
      <b/>
      <sz val="9"/>
      <color indexed="8"/>
      <name val="Calibri"/>
      <family val="2"/>
    </font>
    <font>
      <u/>
      <sz val="10"/>
      <color indexed="12"/>
      <name val="Arial"/>
      <family val="2"/>
    </font>
    <font>
      <sz val="12"/>
      <name val="CG Times"/>
      <family val="1"/>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8"/>
      <name val="Arial"/>
      <family val="2"/>
    </font>
    <font>
      <sz val="11"/>
      <color theme="1"/>
      <name val="Calibri"/>
      <family val="2"/>
      <scheme val="minor"/>
    </font>
    <font>
      <sz val="11"/>
      <color theme="1"/>
      <name val="Arial"/>
      <family val="2"/>
    </font>
    <font>
      <sz val="12"/>
      <color theme="1"/>
      <name val="Arial"/>
      <family val="2"/>
    </font>
    <font>
      <i/>
      <sz val="9"/>
      <color theme="1"/>
      <name val="Calibri"/>
      <family val="2"/>
      <scheme val="minor"/>
    </font>
    <font>
      <b/>
      <i/>
      <sz val="9"/>
      <color theme="1"/>
      <name val="Calibri"/>
      <family val="2"/>
      <scheme val="minor"/>
    </font>
    <font>
      <sz val="9"/>
      <color theme="1"/>
      <name val="Calibri"/>
      <family val="2"/>
      <scheme val="minor"/>
    </font>
    <font>
      <b/>
      <sz val="9"/>
      <color theme="1"/>
      <name val="Calibri"/>
      <family val="2"/>
      <scheme val="minor"/>
    </font>
    <font>
      <b/>
      <sz val="9"/>
      <color indexed="8"/>
      <name val="Calibri"/>
      <family val="2"/>
      <scheme val="minor"/>
    </font>
    <font>
      <sz val="10"/>
      <name val="Arial"/>
      <family val="2"/>
    </font>
    <font>
      <sz val="12"/>
      <name val="Arial"/>
      <family val="2"/>
    </font>
    <font>
      <u/>
      <sz val="12"/>
      <name val="Cambria"/>
      <family val="1"/>
      <scheme val="major"/>
    </font>
    <font>
      <sz val="12"/>
      <name val="Cambria"/>
      <family val="1"/>
      <scheme val="major"/>
    </font>
    <font>
      <sz val="12"/>
      <color theme="1"/>
      <name val="Cambria"/>
      <family val="1"/>
      <scheme val="major"/>
    </font>
    <font>
      <b/>
      <sz val="12"/>
      <name val="Cambria"/>
      <family val="1"/>
      <scheme val="major"/>
    </font>
    <font>
      <u/>
      <sz val="12"/>
      <color indexed="8"/>
      <name val="Cambria"/>
      <family val="1"/>
      <scheme val="major"/>
    </font>
    <font>
      <sz val="12"/>
      <color indexed="8"/>
      <name val="Cambria"/>
      <family val="1"/>
      <scheme val="major"/>
    </font>
    <font>
      <u/>
      <sz val="12"/>
      <color theme="1"/>
      <name val="Cambria"/>
      <family val="1"/>
      <scheme val="major"/>
    </font>
    <font>
      <u/>
      <sz val="10"/>
      <name val="Arial"/>
      <family val="2"/>
    </font>
    <font>
      <b/>
      <u/>
      <sz val="10"/>
      <name val="Arial"/>
      <family val="2"/>
    </font>
    <font>
      <sz val="10"/>
      <name val="Cambria"/>
      <family val="1"/>
      <scheme val="major"/>
    </font>
    <font>
      <b/>
      <sz val="10"/>
      <name val="Cambria"/>
      <family val="1"/>
      <scheme val="major"/>
    </font>
    <font>
      <i/>
      <sz val="12"/>
      <name val="Cambria"/>
      <family val="1"/>
      <scheme val="major"/>
    </font>
    <font>
      <i/>
      <sz val="10"/>
      <name val="Cambria"/>
      <family val="1"/>
      <scheme val="major"/>
    </font>
    <font>
      <i/>
      <sz val="10"/>
      <name val="Arial"/>
      <family val="2"/>
    </font>
    <font>
      <b/>
      <sz val="11"/>
      <color theme="1"/>
      <name val="Calibri"/>
      <family val="2"/>
      <scheme val="minor"/>
    </font>
    <font>
      <sz val="11"/>
      <name val="Calibri"/>
      <family val="2"/>
      <scheme val="minor"/>
    </font>
    <font>
      <sz val="10"/>
      <color theme="1"/>
      <name val="Arial"/>
      <family val="2"/>
    </font>
    <font>
      <sz val="11"/>
      <color rgb="FFFF0000"/>
      <name val="Calibri"/>
      <family val="2"/>
      <scheme val="minor"/>
    </font>
    <font>
      <sz val="10"/>
      <name val="Cambria"/>
      <family val="1"/>
    </font>
    <font>
      <sz val="12"/>
      <name val="Cambria"/>
      <family val="1"/>
    </font>
    <font>
      <b/>
      <u val="singleAccounting"/>
      <sz val="10"/>
      <name val="Arial"/>
      <family val="2"/>
    </font>
    <font>
      <u val="double"/>
      <sz val="10"/>
      <name val="Arial"/>
      <family val="2"/>
    </font>
    <font>
      <sz val="10"/>
      <color indexed="10"/>
      <name val="Arial"/>
      <family val="2"/>
    </font>
    <font>
      <sz val="10"/>
      <color rgb="FF000000"/>
      <name val="Times New Roman"/>
      <family val="1"/>
    </font>
    <font>
      <sz val="9"/>
      <color indexed="8"/>
      <name val="Calibri"/>
      <family val="2"/>
    </font>
    <font>
      <b/>
      <sz val="12"/>
      <color indexed="30"/>
      <name val="Calibri"/>
      <family val="2"/>
    </font>
    <font>
      <sz val="11"/>
      <name val="Cambria"/>
      <family val="1"/>
      <scheme val="major"/>
    </font>
    <font>
      <sz val="11"/>
      <color theme="1"/>
      <name val="Cambria"/>
      <family val="1"/>
      <scheme val="major"/>
    </font>
    <font>
      <b/>
      <sz val="11"/>
      <color theme="1"/>
      <name val="Cambria"/>
      <family val="1"/>
      <scheme val="major"/>
    </font>
    <font>
      <b/>
      <sz val="11"/>
      <name val="Cambria"/>
      <family val="1"/>
      <scheme val="major"/>
    </font>
    <font>
      <b/>
      <sz val="12"/>
      <name val="Cambria"/>
      <family val="1"/>
    </font>
    <font>
      <sz val="10"/>
      <name val="Verdana"/>
      <family val="2"/>
    </font>
    <font>
      <u/>
      <sz val="11"/>
      <color theme="10"/>
      <name val="Calibri"/>
      <family val="2"/>
    </font>
    <font>
      <sz val="11"/>
      <name val="Cambria"/>
      <family val="1"/>
    </font>
    <font>
      <sz val="10"/>
      <color theme="1"/>
      <name val="Calibri"/>
      <family val="2"/>
    </font>
    <font>
      <sz val="11"/>
      <color indexed="8"/>
      <name val="Calibri"/>
      <family val="2"/>
      <scheme val="minor"/>
    </font>
    <font>
      <b/>
      <sz val="11"/>
      <name val="Cambria"/>
      <family val="1"/>
    </font>
    <font>
      <b/>
      <sz val="10"/>
      <color indexed="9"/>
      <name val="Cambria"/>
      <family val="1"/>
      <scheme val="major"/>
    </font>
    <font>
      <b/>
      <sz val="14"/>
      <name val="Cambria"/>
      <family val="1"/>
      <scheme val="major"/>
    </font>
    <font>
      <sz val="10"/>
      <name val="Arial"/>
      <family val="2"/>
    </font>
    <font>
      <sz val="9"/>
      <color theme="1"/>
      <name val="Verdana"/>
      <family val="2"/>
    </font>
    <font>
      <u/>
      <sz val="10"/>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color indexed="10"/>
      <name val="Cambria"/>
      <family val="1"/>
      <scheme val="major"/>
    </font>
    <font>
      <b/>
      <sz val="12"/>
      <color theme="1"/>
      <name val="Cambria"/>
      <family val="1"/>
      <scheme val="major"/>
    </font>
    <font>
      <vertAlign val="superscript"/>
      <sz val="12"/>
      <color theme="1"/>
      <name val="Cambria"/>
      <family val="1"/>
      <scheme val="major"/>
    </font>
    <font>
      <sz val="11"/>
      <color rgb="FF000000"/>
      <name val="Cambria"/>
      <family val="1"/>
    </font>
    <font>
      <sz val="8"/>
      <name val="Arial"/>
      <family val="2"/>
    </font>
    <font>
      <sz val="11"/>
      <color rgb="FF191919"/>
      <name val="Cambria"/>
      <family val="1"/>
    </font>
    <font>
      <i/>
      <sz val="11"/>
      <color theme="1"/>
      <name val="Cambria"/>
      <family val="1"/>
      <scheme val="major"/>
    </font>
    <font>
      <sz val="11"/>
      <color rgb="FFFF0000"/>
      <name val="Cambra"/>
    </font>
    <font>
      <sz val="11"/>
      <name val="Cambra"/>
    </font>
    <font>
      <sz val="11"/>
      <color theme="1"/>
      <name val="Cambra"/>
    </font>
    <font>
      <sz val="11"/>
      <color indexed="8"/>
      <name val="Cambra"/>
    </font>
    <font>
      <sz val="12"/>
      <color theme="1"/>
      <name val="Cambra"/>
    </font>
    <font>
      <sz val="11"/>
      <color indexed="8"/>
      <name val="Cambria"/>
      <family val="1"/>
      <scheme val="major"/>
    </font>
    <font>
      <i/>
      <sz val="11"/>
      <name val="Cambria"/>
      <family val="1"/>
      <scheme val="major"/>
    </font>
    <font>
      <sz val="11"/>
      <color indexed="8"/>
      <name val="Arial"/>
      <family val="2"/>
    </font>
    <font>
      <sz val="12"/>
      <color theme="1"/>
      <name val="Cambria"/>
      <family val="1"/>
    </font>
    <font>
      <sz val="12"/>
      <color theme="4"/>
      <name val="Cambria"/>
      <family val="1"/>
    </font>
    <font>
      <sz val="12"/>
      <color rgb="FFFF0000"/>
      <name val="Cambria"/>
      <family val="1"/>
      <scheme val="major"/>
    </font>
    <font>
      <u/>
      <sz val="16"/>
      <name val="Cambria"/>
      <family val="1"/>
      <scheme val="major"/>
    </font>
    <font>
      <sz val="16"/>
      <name val="Cambria"/>
      <family val="1"/>
      <scheme val="major"/>
    </font>
    <font>
      <sz val="16"/>
      <color theme="1"/>
      <name val="Cambria"/>
      <family val="1"/>
      <scheme val="major"/>
    </font>
    <font>
      <u/>
      <sz val="16"/>
      <color theme="1"/>
      <name val="Cambria"/>
      <family val="1"/>
      <scheme val="major"/>
    </font>
    <font>
      <u/>
      <sz val="14"/>
      <name val="Cambria"/>
      <family val="1"/>
      <scheme val="major"/>
    </font>
    <font>
      <sz val="14"/>
      <name val="Cambria"/>
      <family val="1"/>
      <scheme val="major"/>
    </font>
    <font>
      <sz val="14"/>
      <color theme="1"/>
      <name val="Cambria"/>
      <family val="1"/>
      <scheme val="major"/>
    </font>
  </fonts>
  <fills count="43">
    <fill>
      <patternFill patternType="none"/>
    </fill>
    <fill>
      <patternFill patternType="gray125"/>
    </fill>
    <fill>
      <patternFill patternType="solid">
        <fgColor indexed="65"/>
        <bgColor indexed="8"/>
      </patternFill>
    </fill>
    <fill>
      <patternFill patternType="solid">
        <fgColor indexed="26"/>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rgb="FFEAEAEA"/>
        <bgColor indexed="64"/>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5" tint="-0.249977111117893"/>
        <bgColor indexed="64"/>
      </patternFill>
    </fill>
    <fill>
      <patternFill patternType="solid">
        <fgColor rgb="FFFFFF00"/>
        <bgColor indexed="64"/>
      </patternFill>
    </fill>
  </fills>
  <borders count="68">
    <border>
      <left/>
      <right/>
      <top/>
      <bottom/>
      <diagonal/>
    </border>
    <border>
      <left/>
      <right/>
      <top/>
      <bottom style="medium">
        <color auto="1"/>
      </bottom>
      <diagonal/>
    </border>
    <border>
      <left/>
      <right/>
      <top/>
      <bottom style="double">
        <color auto="1"/>
      </bottom>
      <diagonal/>
    </border>
    <border>
      <left/>
      <right/>
      <top/>
      <bottom style="thin">
        <color auto="1"/>
      </bottom>
      <diagonal/>
    </border>
    <border>
      <left/>
      <right/>
      <top style="thin">
        <color indexed="8"/>
      </top>
      <bottom/>
      <diagonal/>
    </border>
    <border>
      <left/>
      <right/>
      <top style="thin">
        <color rgb="FFDBE5F1"/>
      </top>
      <bottom style="thin">
        <color rgb="FFDBE5F1"/>
      </bottom>
      <diagonal/>
    </border>
    <border>
      <left/>
      <right/>
      <top/>
      <bottom style="thick">
        <color rgb="FF000000"/>
      </bottom>
      <diagonal/>
    </border>
    <border>
      <left/>
      <right/>
      <top style="double">
        <color rgb="FF000000"/>
      </top>
      <bottom/>
      <diagonal/>
    </border>
    <border>
      <left/>
      <right/>
      <top style="double">
        <color rgb="FFD8D8D8"/>
      </top>
      <bottom/>
      <diagonal/>
    </border>
    <border>
      <left/>
      <right/>
      <top style="thin">
        <color rgb="FF808080"/>
      </top>
      <bottom/>
      <diagonal/>
    </border>
    <border>
      <left/>
      <right/>
      <top style="thin">
        <color auto="1"/>
      </top>
      <bottom style="double">
        <color auto="1"/>
      </bottom>
      <diagonal/>
    </border>
    <border>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bottom style="thin">
        <color theme="1"/>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1770">
    <xf numFmtId="0" fontId="0" fillId="0" borderId="0"/>
    <xf numFmtId="0" fontId="75" fillId="2" borderId="0">
      <alignment vertical="top"/>
    </xf>
    <xf numFmtId="0" fontId="92" fillId="2" borderId="0">
      <alignment vertical="top"/>
    </xf>
    <xf numFmtId="0" fontId="92" fillId="2" borderId="0">
      <alignment vertical="top"/>
    </xf>
    <xf numFmtId="43" fontId="6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1"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3" fontId="71" fillId="0" borderId="0" applyFont="0" applyFill="0" applyBorder="0" applyAlignment="0" applyProtection="0"/>
    <xf numFmtId="43" fontId="76"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77" fillId="2" borderId="0">
      <alignment vertical="top"/>
    </xf>
    <xf numFmtId="0" fontId="93" fillId="2" borderId="0">
      <alignment vertical="top"/>
    </xf>
    <xf numFmtId="0" fontId="93" fillId="2" borderId="0">
      <alignment vertical="top"/>
    </xf>
    <xf numFmtId="0" fontId="94" fillId="2" borderId="5">
      <alignment vertical="top"/>
    </xf>
    <xf numFmtId="0" fontId="94" fillId="2" borderId="5">
      <alignment vertical="top"/>
    </xf>
    <xf numFmtId="0" fontId="94" fillId="2" borderId="5">
      <alignment vertical="top"/>
    </xf>
    <xf numFmtId="0" fontId="67" fillId="7" borderId="0">
      <alignment vertical="top"/>
    </xf>
    <xf numFmtId="0" fontId="94" fillId="7" borderId="0">
      <alignment vertical="top"/>
    </xf>
    <xf numFmtId="0" fontId="94" fillId="7" borderId="0">
      <alignment vertical="top"/>
    </xf>
    <xf numFmtId="0" fontId="78" fillId="2" borderId="0">
      <alignment vertical="top"/>
    </xf>
    <xf numFmtId="0" fontId="95" fillId="2" borderId="0">
      <alignment vertical="top"/>
    </xf>
    <xf numFmtId="0" fontId="95" fillId="2" borderId="0">
      <alignment vertical="top"/>
    </xf>
    <xf numFmtId="0" fontId="79" fillId="3" borderId="0">
      <alignment vertical="top"/>
    </xf>
    <xf numFmtId="0" fontId="80" fillId="3" borderId="0">
      <alignment vertical="top"/>
    </xf>
    <xf numFmtId="0" fontId="80" fillId="3" borderId="0">
      <alignment vertical="top"/>
    </xf>
    <xf numFmtId="0" fontId="65" fillId="0" borderId="0" applyNumberFormat="0" applyFill="0" applyBorder="0" applyProtection="0">
      <alignment wrapText="1"/>
    </xf>
    <xf numFmtId="0" fontId="65" fillId="0" borderId="0" applyNumberFormat="0" applyFill="0" applyBorder="0" applyProtection="0">
      <alignment horizontal="justify" vertical="top" wrapText="1"/>
    </xf>
    <xf numFmtId="0" fontId="81" fillId="0" borderId="0" applyNumberFormat="0" applyFill="0" applyBorder="0" applyAlignment="0" applyProtection="0">
      <alignment vertical="top"/>
      <protection locked="0"/>
    </xf>
    <xf numFmtId="0" fontId="66" fillId="2" borderId="6">
      <alignment vertical="top"/>
    </xf>
    <xf numFmtId="0" fontId="89" fillId="2" borderId="6">
      <alignment vertical="top"/>
    </xf>
    <xf numFmtId="0" fontId="89" fillId="2" borderId="6">
      <alignment vertical="top"/>
    </xf>
    <xf numFmtId="0" fontId="89" fillId="2" borderId="6">
      <alignment vertical="top"/>
    </xf>
    <xf numFmtId="0" fontId="89" fillId="2" borderId="6">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2" fillId="0" borderId="0"/>
    <xf numFmtId="0" fontId="89" fillId="0" borderId="0"/>
    <xf numFmtId="0" fontId="65"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90" fillId="0" borderId="0"/>
    <xf numFmtId="0" fontId="90" fillId="0" borderId="0"/>
    <xf numFmtId="0" fontId="89"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89" fillId="0" borderId="0"/>
    <xf numFmtId="0" fontId="89" fillId="0" borderId="0"/>
    <xf numFmtId="0" fontId="69"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65" fillId="0" borderId="0"/>
    <xf numFmtId="0" fontId="65" fillId="0" borderId="0"/>
    <xf numFmtId="0" fontId="65" fillId="0" borderId="0"/>
    <xf numFmtId="0" fontId="68" fillId="0" borderId="0"/>
    <xf numFmtId="0" fontId="65" fillId="0" borderId="0"/>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69"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90" fillId="0" borderId="0"/>
    <xf numFmtId="0" fontId="91" fillId="0" borderId="0"/>
    <xf numFmtId="0" fontId="91" fillId="0" borderId="0"/>
    <xf numFmtId="0" fontId="90" fillId="0" borderId="0"/>
    <xf numFmtId="0" fontId="68" fillId="0" borderId="0"/>
    <xf numFmtId="0" fontId="90"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6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9" fillId="0" borderId="0"/>
    <xf numFmtId="0" fontId="89"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1"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83" fillId="4"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86" fillId="5" borderId="0" applyNumberFormat="0" applyBorder="0" applyAlignment="0" applyProtection="0"/>
    <xf numFmtId="0" fontId="86" fillId="5" borderId="0" applyNumberFormat="0" applyBorder="0" applyProtection="0">
      <alignment horizontal="center"/>
    </xf>
    <xf numFmtId="0" fontId="87" fillId="5" borderId="0" applyNumberFormat="0" applyBorder="0" applyAlignment="0" applyProtection="0"/>
    <xf numFmtId="0" fontId="65" fillId="0" borderId="0" applyNumberFormat="0" applyFont="0" applyFill="0" applyBorder="0" applyProtection="0">
      <alignment horizontal="right"/>
    </xf>
    <xf numFmtId="0" fontId="65" fillId="0" borderId="0" applyNumberFormat="0" applyFont="0" applyFill="0" applyBorder="0" applyProtection="0">
      <alignment horizontal="left"/>
    </xf>
    <xf numFmtId="0" fontId="73" fillId="0" borderId="0" applyNumberFormat="0" applyFill="0" applyBorder="0" applyAlignment="0" applyProtection="0"/>
    <xf numFmtId="0" fontId="88" fillId="0" borderId="0" applyNumberFormat="0" applyFill="0" applyBorder="0" applyAlignment="0" applyProtection="0"/>
    <xf numFmtId="0" fontId="65" fillId="6" borderId="0" applyNumberFormat="0" applyFont="0" applyBorder="0" applyAlignment="0" applyProtection="0"/>
    <xf numFmtId="168" fontId="65" fillId="0" borderId="0" applyFont="0" applyFill="0" applyBorder="0" applyAlignment="0" applyProtection="0"/>
    <xf numFmtId="2" fontId="65" fillId="0" borderId="0" applyFont="0" applyFill="0" applyBorder="0" applyAlignment="0" applyProtection="0"/>
    <xf numFmtId="164" fontId="65" fillId="0" borderId="0" applyFont="0" applyFill="0" applyBorder="0" applyAlignment="0" applyProtection="0"/>
    <xf numFmtId="0" fontId="65" fillId="0" borderId="1" applyNumberFormat="0" applyFont="0" applyFill="0" applyAlignment="0" applyProtection="0"/>
    <xf numFmtId="0" fontId="79" fillId="2" borderId="7">
      <alignment vertical="top"/>
    </xf>
    <xf numFmtId="0" fontId="96" fillId="2" borderId="7">
      <alignment vertical="top"/>
    </xf>
    <xf numFmtId="0" fontId="96" fillId="2" borderId="7">
      <alignment vertical="top"/>
    </xf>
    <xf numFmtId="0" fontId="78" fillId="2" borderId="8">
      <alignment vertical="top"/>
    </xf>
    <xf numFmtId="0" fontId="95" fillId="2" borderId="8">
      <alignment vertical="top"/>
    </xf>
    <xf numFmtId="0" fontId="95" fillId="2" borderId="8">
      <alignment vertical="top"/>
    </xf>
    <xf numFmtId="0" fontId="67" fillId="2" borderId="9">
      <alignment vertical="top"/>
    </xf>
    <xf numFmtId="0" fontId="94" fillId="2" borderId="9">
      <alignment vertical="top"/>
    </xf>
    <xf numFmtId="0" fontId="94" fillId="2" borderId="9">
      <alignment vertical="top"/>
    </xf>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2" borderId="6">
      <alignment vertical="top"/>
    </xf>
    <xf numFmtId="0" fontId="63" fillId="2" borderId="6">
      <alignment vertical="top"/>
    </xf>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2" borderId="6">
      <alignment vertical="top"/>
    </xf>
    <xf numFmtId="0" fontId="63" fillId="2" borderId="6">
      <alignment vertical="top"/>
    </xf>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0" fontId="62" fillId="0" borderId="0"/>
    <xf numFmtId="9" fontId="97" fillId="0" borderId="0" applyFont="0" applyFill="0" applyBorder="0" applyAlignment="0" applyProtection="0"/>
    <xf numFmtId="0" fontId="61" fillId="0" borderId="0"/>
    <xf numFmtId="40" fontId="69" fillId="0" borderId="0" applyFill="0"/>
    <xf numFmtId="40" fontId="69" fillId="0" borderId="0" applyFill="0"/>
    <xf numFmtId="0" fontId="60" fillId="0" borderId="0"/>
    <xf numFmtId="9" fontId="60" fillId="0" borderId="0" applyFont="0" applyFill="0" applyBorder="0" applyAlignment="0" applyProtection="0"/>
    <xf numFmtId="0" fontId="98" fillId="0" borderId="0"/>
    <xf numFmtId="44" fontId="76"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0" fontId="59" fillId="0" borderId="0"/>
    <xf numFmtId="9" fontId="59" fillId="0" borderId="0" applyFont="0" applyFill="0" applyBorder="0" applyAlignment="0" applyProtection="0"/>
    <xf numFmtId="0" fontId="58" fillId="0" borderId="0"/>
    <xf numFmtId="0" fontId="58" fillId="0" borderId="0"/>
    <xf numFmtId="0" fontId="65" fillId="0" borderId="0"/>
    <xf numFmtId="0" fontId="58" fillId="0" borderId="0"/>
    <xf numFmtId="43" fontId="90" fillId="0" borderId="0" applyFont="0" applyFill="0" applyBorder="0" applyAlignment="0" applyProtection="0"/>
    <xf numFmtId="0" fontId="90" fillId="0" borderId="0"/>
    <xf numFmtId="9" fontId="115" fillId="0" borderId="0" applyFont="0" applyFill="0" applyBorder="0" applyAlignment="0" applyProtection="0"/>
    <xf numFmtId="0" fontId="57" fillId="0" borderId="0"/>
    <xf numFmtId="0" fontId="115" fillId="0" borderId="0"/>
    <xf numFmtId="9" fontId="115" fillId="0" borderId="0" applyFont="0" applyFill="0" applyBorder="0" applyAlignment="0" applyProtection="0"/>
    <xf numFmtId="0" fontId="57" fillId="0" borderId="0"/>
    <xf numFmtId="44" fontId="90" fillId="0" borderId="0" applyFont="0" applyFill="0" applyBorder="0" applyAlignment="0" applyProtection="0"/>
    <xf numFmtId="9" fontId="91" fillId="0" borderId="0" applyFont="0" applyFill="0" applyBorder="0" applyAlignment="0" applyProtection="0"/>
    <xf numFmtId="44" fontId="91" fillId="0" borderId="0" applyFont="0" applyFill="0" applyBorder="0" applyAlignment="0" applyProtection="0"/>
    <xf numFmtId="43" fontId="91"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0" fontId="122" fillId="0" borderId="0"/>
    <xf numFmtId="0" fontId="54" fillId="0" borderId="0"/>
    <xf numFmtId="44" fontId="56"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9" fontId="73" fillId="0" borderId="0" applyFont="0" applyFill="0" applyBorder="0" applyAlignment="0" applyProtection="0"/>
    <xf numFmtId="43" fontId="73" fillId="0" borderId="0" applyFont="0" applyFill="0" applyBorder="0" applyAlignment="0" applyProtection="0"/>
    <xf numFmtId="0" fontId="52" fillId="0" borderId="0"/>
    <xf numFmtId="43" fontId="51" fillId="0" borderId="0" applyFont="0" applyFill="0" applyBorder="0" applyAlignment="0" applyProtection="0"/>
    <xf numFmtId="9" fontId="51" fillId="0" borderId="0" applyFont="0" applyFill="0" applyBorder="0" applyAlignment="0" applyProtection="0"/>
    <xf numFmtId="44" fontId="51" fillId="0" borderId="0" applyFont="0" applyFill="0" applyBorder="0" applyAlignment="0" applyProtection="0"/>
    <xf numFmtId="0" fontId="51" fillId="0" borderId="0"/>
    <xf numFmtId="9" fontId="54" fillId="0" borderId="0" applyFont="0" applyFill="0" applyBorder="0" applyAlignment="0" applyProtection="0"/>
    <xf numFmtId="0" fontId="123" fillId="0" borderId="0" applyNumberFormat="0" applyFill="0" applyBorder="0" applyAlignment="0" applyProtection="0"/>
    <xf numFmtId="0" fontId="80" fillId="0" borderId="21" applyNumberFormat="0" applyProtection="0">
      <alignment wrapText="1"/>
    </xf>
    <xf numFmtId="0" fontId="124" fillId="0" borderId="0" applyNumberFormat="0" applyProtection="0">
      <alignment horizontal="left"/>
    </xf>
    <xf numFmtId="0" fontId="80" fillId="0" borderId="22" applyNumberFormat="0" applyProtection="0">
      <alignment wrapText="1"/>
    </xf>
    <xf numFmtId="0" fontId="123" fillId="0" borderId="23" applyNumberFormat="0" applyFont="0" applyProtection="0">
      <alignment wrapText="1"/>
    </xf>
    <xf numFmtId="0" fontId="123" fillId="0" borderId="24" applyNumberFormat="0" applyProtection="0">
      <alignment wrapText="1"/>
    </xf>
    <xf numFmtId="0" fontId="50" fillId="0" borderId="0"/>
    <xf numFmtId="0" fontId="65" fillId="0" borderId="0"/>
    <xf numFmtId="0" fontId="49" fillId="0" borderId="0"/>
    <xf numFmtId="43" fontId="49" fillId="0" borderId="0" applyFont="0" applyFill="0" applyBorder="0" applyAlignment="0" applyProtection="0"/>
    <xf numFmtId="0" fontId="49" fillId="0" borderId="0"/>
    <xf numFmtId="0" fontId="48" fillId="0" borderId="0"/>
    <xf numFmtId="0" fontId="47" fillId="0" borderId="0"/>
    <xf numFmtId="0" fontId="65"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0" fontId="54" fillId="0" borderId="0"/>
    <xf numFmtId="9"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45" fillId="0" borderId="0" applyFont="0" applyFill="0" applyBorder="0" applyAlignment="0" applyProtection="0"/>
    <xf numFmtId="9" fontId="44" fillId="0" borderId="0" applyFont="0" applyFill="0" applyBorder="0" applyAlignment="0" applyProtection="0"/>
    <xf numFmtId="9" fontId="65" fillId="0" borderId="0" applyFont="0" applyFill="0" applyBorder="0" applyAlignment="0" applyProtection="0"/>
    <xf numFmtId="0" fontId="44" fillId="0" borderId="0"/>
    <xf numFmtId="0" fontId="54" fillId="0" borderId="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115" fillId="0" borderId="0"/>
    <xf numFmtId="9" fontId="130" fillId="0" borderId="0" applyFont="0" applyFill="0" applyBorder="0" applyAlignment="0" applyProtection="0"/>
    <xf numFmtId="0" fontId="130" fillId="0" borderId="0"/>
    <xf numFmtId="0" fontId="115" fillId="0" borderId="0"/>
    <xf numFmtId="0" fontId="43" fillId="0" borderId="0"/>
    <xf numFmtId="43" fontId="122" fillId="0" borderId="0" applyFont="0" applyFill="0" applyBorder="0" applyAlignment="0" applyProtection="0"/>
    <xf numFmtId="0" fontId="122" fillId="0" borderId="0"/>
    <xf numFmtId="0" fontId="43" fillId="0" borderId="0"/>
    <xf numFmtId="9" fontId="43" fillId="0" borderId="0" applyFont="0" applyFill="0" applyBorder="0" applyAlignment="0" applyProtection="0"/>
    <xf numFmtId="43" fontId="115" fillId="0" borderId="0" applyFont="0" applyFill="0" applyBorder="0" applyAlignment="0" applyProtection="0"/>
    <xf numFmtId="9" fontId="43" fillId="0" borderId="0" applyFont="0" applyFill="0" applyBorder="0" applyAlignment="0" applyProtection="0"/>
    <xf numFmtId="9" fontId="122" fillId="0" borderId="0" applyFont="0" applyFill="0" applyBorder="0" applyAlignment="0" applyProtection="0"/>
    <xf numFmtId="0" fontId="115" fillId="0" borderId="0"/>
    <xf numFmtId="9" fontId="43" fillId="0" borderId="0" applyFont="0" applyFill="0" applyBorder="0" applyAlignment="0" applyProtection="0"/>
    <xf numFmtId="0" fontId="69" fillId="0" borderId="0"/>
    <xf numFmtId="43" fontId="43" fillId="0" borderId="0" applyFont="0" applyFill="0" applyBorder="0" applyAlignment="0" applyProtection="0"/>
    <xf numFmtId="0" fontId="43" fillId="0" borderId="0"/>
    <xf numFmtId="0" fontId="130" fillId="0" borderId="0"/>
    <xf numFmtId="43" fontId="42" fillId="0" borderId="0" applyFont="0" applyFill="0" applyBorder="0" applyAlignment="0" applyProtection="0"/>
    <xf numFmtId="0" fontId="115" fillId="0" borderId="0"/>
    <xf numFmtId="0" fontId="42" fillId="0" borderId="0"/>
    <xf numFmtId="0" fontId="131" fillId="0" borderId="0" applyNumberFormat="0" applyFill="0" applyBorder="0" applyAlignment="0" applyProtection="0">
      <alignment vertical="top"/>
      <protection locked="0"/>
    </xf>
    <xf numFmtId="0" fontId="41" fillId="0" borderId="0"/>
    <xf numFmtId="9" fontId="41" fillId="0" borderId="0" applyFont="0" applyFill="0" applyBorder="0" applyAlignment="0" applyProtection="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0" fontId="38" fillId="0" borderId="0"/>
    <xf numFmtId="0" fontId="37" fillId="0" borderId="0"/>
    <xf numFmtId="43" fontId="36" fillId="0" borderId="0" applyFont="0" applyFill="0" applyBorder="0" applyAlignment="0" applyProtection="0"/>
    <xf numFmtId="0" fontId="36" fillId="0" borderId="0"/>
    <xf numFmtId="0" fontId="115" fillId="0" borderId="0"/>
    <xf numFmtId="0" fontId="115" fillId="0" borderId="0"/>
    <xf numFmtId="0" fontId="35" fillId="0" borderId="0"/>
    <xf numFmtId="0" fontId="35" fillId="0" borderId="0"/>
    <xf numFmtId="9" fontId="35" fillId="0" borderId="0" applyFont="0" applyFill="0" applyBorder="0" applyAlignment="0" applyProtection="0"/>
    <xf numFmtId="0" fontId="133" fillId="0" borderId="0"/>
    <xf numFmtId="41" fontId="65" fillId="0" borderId="0" applyFont="0" applyFill="0" applyBorder="0" applyAlignment="0" applyProtection="0"/>
    <xf numFmtId="43" fontId="133" fillId="0" borderId="0" applyFont="0" applyFill="0" applyBorder="0" applyAlignment="0" applyProtection="0"/>
    <xf numFmtId="0" fontId="65" fillId="0" borderId="0">
      <alignment vertical="center"/>
    </xf>
    <xf numFmtId="0" fontId="34" fillId="0" borderId="0"/>
    <xf numFmtId="43" fontId="34"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9" fontId="31" fillId="0" borderId="0" applyFont="0" applyFill="0" applyBorder="0" applyAlignment="0" applyProtection="0"/>
    <xf numFmtId="0" fontId="31"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8" fillId="0" borderId="0"/>
    <xf numFmtId="0" fontId="27" fillId="0" borderId="0"/>
    <xf numFmtId="9" fontId="27" fillId="0" borderId="0" applyFont="0" applyFill="0" applyBorder="0" applyAlignment="0" applyProtection="0"/>
    <xf numFmtId="0" fontId="27" fillId="0" borderId="0"/>
    <xf numFmtId="0" fontId="6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54"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54" fillId="0" borderId="0"/>
    <xf numFmtId="43" fontId="54" fillId="0" borderId="0" applyFont="0" applyFill="0" applyBorder="0" applyAlignment="0" applyProtection="0"/>
    <xf numFmtId="9" fontId="54"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9" fontId="65"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44" fontId="138" fillId="0" borderId="0" applyFont="0" applyFill="0" applyBorder="0" applyAlignment="0" applyProtection="0"/>
    <xf numFmtId="0" fontId="65"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76"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5" fillId="0" borderId="0"/>
    <xf numFmtId="0" fontId="65" fillId="0" borderId="0"/>
    <xf numFmtId="0" fontId="22" fillId="0" borderId="0"/>
    <xf numFmtId="0" fontId="21" fillId="0" borderId="0"/>
    <xf numFmtId="0" fontId="65" fillId="0" borderId="0"/>
    <xf numFmtId="0" fontId="73" fillId="8" borderId="0"/>
    <xf numFmtId="0" fontId="65" fillId="0" borderId="0"/>
    <xf numFmtId="9" fontId="21" fillId="0" borderId="0" applyFont="0" applyFill="0" applyBorder="0" applyAlignment="0" applyProtection="0"/>
    <xf numFmtId="0" fontId="20" fillId="0" borderId="0"/>
    <xf numFmtId="0" fontId="139" fillId="0" borderId="0"/>
    <xf numFmtId="44" fontId="139" fillId="0" borderId="0" applyFont="0" applyFill="0" applyBorder="0" applyAlignment="0" applyProtection="0"/>
    <xf numFmtId="0" fontId="19" fillId="0" borderId="0"/>
    <xf numFmtId="0" fontId="18" fillId="0" borderId="0"/>
    <xf numFmtId="0" fontId="18"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5" fillId="0" borderId="0"/>
    <xf numFmtId="0" fontId="65" fillId="0" borderId="0"/>
    <xf numFmtId="0" fontId="6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15" fillId="0" borderId="0"/>
    <xf numFmtId="9" fontId="1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15" fillId="0" borderId="0"/>
    <xf numFmtId="0" fontId="115" fillId="0" borderId="0"/>
    <xf numFmtId="0" fontId="65" fillId="0" borderId="0" applyNumberForma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65" fillId="0" borderId="0"/>
    <xf numFmtId="9" fontId="13" fillId="0" borderId="0" applyFont="0" applyFill="0" applyBorder="0" applyAlignment="0" applyProtection="0"/>
    <xf numFmtId="0" fontId="13" fillId="0" borderId="0"/>
    <xf numFmtId="0" fontId="13" fillId="0" borderId="0"/>
    <xf numFmtId="0" fontId="13" fillId="0" borderId="0"/>
    <xf numFmtId="0" fontId="134" fillId="0" borderId="0"/>
    <xf numFmtId="0" fontId="13" fillId="0" borderId="0"/>
    <xf numFmtId="9" fontId="13" fillId="0" borderId="0" applyFont="0" applyFill="0" applyBorder="0" applyAlignment="0" applyProtection="0"/>
    <xf numFmtId="0" fontId="140" fillId="0" borderId="0" applyNumberFormat="0" applyFill="0" applyBorder="0" applyAlignment="0" applyProtection="0"/>
    <xf numFmtId="43" fontId="65" fillId="0" borderId="0" applyFont="0" applyFill="0" applyBorder="0" applyAlignment="0" applyProtection="0"/>
    <xf numFmtId="0" fontId="115" fillId="0" borderId="0"/>
    <xf numFmtId="0" fontId="115" fillId="0" borderId="0"/>
    <xf numFmtId="9" fontId="115" fillId="0" borderId="0" applyFont="0" applyFill="0" applyBorder="0" applyAlignment="0" applyProtection="0"/>
    <xf numFmtId="44" fontId="115" fillId="0" borderId="0" applyFont="0" applyFill="0" applyBorder="0" applyAlignment="0" applyProtection="0"/>
    <xf numFmtId="43" fontId="115"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0" fontId="10" fillId="0" borderId="0"/>
    <xf numFmtId="0" fontId="10" fillId="0" borderId="0"/>
    <xf numFmtId="9"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41" fillId="0" borderId="43" applyNumberFormat="0" applyFill="0" applyAlignment="0" applyProtection="0"/>
    <xf numFmtId="0" fontId="142" fillId="0" borderId="44" applyNumberFormat="0" applyFill="0" applyAlignment="0" applyProtection="0"/>
    <xf numFmtId="0" fontId="143" fillId="0" borderId="45" applyNumberFormat="0" applyFill="0" applyAlignment="0" applyProtection="0"/>
    <xf numFmtId="0" fontId="143" fillId="0" borderId="0" applyNumberFormat="0" applyFill="0" applyBorder="0" applyAlignment="0" applyProtection="0"/>
    <xf numFmtId="0" fontId="144" fillId="9" borderId="0" applyNumberFormat="0" applyBorder="0" applyAlignment="0" applyProtection="0"/>
    <xf numFmtId="0" fontId="145" fillId="10" borderId="0" applyNumberFormat="0" applyBorder="0" applyAlignment="0" applyProtection="0"/>
    <xf numFmtId="0" fontId="146" fillId="12" borderId="46" applyNumberFormat="0" applyAlignment="0" applyProtection="0"/>
    <xf numFmtId="0" fontId="147" fillId="13" borderId="47" applyNumberFormat="0" applyAlignment="0" applyProtection="0"/>
    <xf numFmtId="0" fontId="148" fillId="13" borderId="46" applyNumberFormat="0" applyAlignment="0" applyProtection="0"/>
    <xf numFmtId="0" fontId="149" fillId="0" borderId="48" applyNumberFormat="0" applyFill="0" applyAlignment="0" applyProtection="0"/>
    <xf numFmtId="0" fontId="150" fillId="14" borderId="49" applyNumberFormat="0" applyAlignment="0" applyProtection="0"/>
    <xf numFmtId="0" fontId="116" fillId="0" borderId="0" applyNumberFormat="0" applyFill="0" applyBorder="0" applyAlignment="0" applyProtection="0"/>
    <xf numFmtId="0" fontId="151" fillId="0" borderId="0" applyNumberFormat="0" applyFill="0" applyBorder="0" applyAlignment="0" applyProtection="0"/>
    <xf numFmtId="0" fontId="113" fillId="0" borderId="51" applyNumberFormat="0" applyFill="0" applyAlignment="0" applyProtection="0"/>
    <xf numFmtId="0" fontId="152"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152"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152"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152"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152"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152"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3" fillId="0" borderId="0" applyNumberFormat="0" applyFill="0" applyBorder="0" applyAlignment="0" applyProtection="0"/>
    <xf numFmtId="0" fontId="154" fillId="11" borderId="0" applyNumberFormat="0" applyBorder="0" applyAlignment="0" applyProtection="0"/>
    <xf numFmtId="0" fontId="8" fillId="15" borderId="50" applyNumberFormat="0" applyFont="0" applyAlignment="0" applyProtection="0"/>
    <xf numFmtId="0" fontId="152" fillId="19" borderId="0" applyNumberFormat="0" applyBorder="0" applyAlignment="0" applyProtection="0"/>
    <xf numFmtId="0" fontId="152" fillId="23" borderId="0" applyNumberFormat="0" applyBorder="0" applyAlignment="0" applyProtection="0"/>
    <xf numFmtId="0" fontId="152" fillId="27" borderId="0" applyNumberFormat="0" applyBorder="0" applyAlignment="0" applyProtection="0"/>
    <xf numFmtId="0" fontId="152" fillId="31" borderId="0" applyNumberFormat="0" applyBorder="0" applyAlignment="0" applyProtection="0"/>
    <xf numFmtId="0" fontId="152" fillId="35" borderId="0" applyNumberFormat="0" applyBorder="0" applyAlignment="0" applyProtection="0"/>
    <xf numFmtId="0" fontId="152" fillId="39" borderId="0" applyNumberFormat="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9" fontId="115" fillId="0" borderId="0" applyFont="0" applyFill="0" applyBorder="0" applyAlignment="0" applyProtection="0"/>
    <xf numFmtId="0" fontId="8" fillId="0" borderId="0"/>
    <xf numFmtId="42" fontId="65"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65" fillId="0" borderId="0"/>
  </cellStyleXfs>
  <cellXfs count="1059">
    <xf numFmtId="0" fontId="0" fillId="0" borderId="0" xfId="0"/>
    <xf numFmtId="0" fontId="99" fillId="0" borderId="0" xfId="0" applyFont="1" applyAlignment="1">
      <alignment horizontal="centerContinuous"/>
    </xf>
    <xf numFmtId="0" fontId="100" fillId="0" borderId="0" xfId="0" applyFont="1" applyAlignment="1">
      <alignment horizontal="centerContinuous"/>
    </xf>
    <xf numFmtId="0" fontId="100" fillId="0" borderId="0" xfId="0" applyFont="1"/>
    <xf numFmtId="0" fontId="100" fillId="0" borderId="3" xfId="0" applyFont="1" applyBorder="1" applyAlignment="1">
      <alignment wrapText="1"/>
    </xf>
    <xf numFmtId="0" fontId="100" fillId="0" borderId="0" xfId="0" applyFont="1" applyAlignment="1">
      <alignment horizontal="center"/>
    </xf>
    <xf numFmtId="43" fontId="100" fillId="0" borderId="0" xfId="4" applyFont="1"/>
    <xf numFmtId="43" fontId="100" fillId="0" borderId="0" xfId="4" applyFont="1" applyFill="1"/>
    <xf numFmtId="4" fontId="100" fillId="0" borderId="0" xfId="0" applyNumberFormat="1" applyFont="1"/>
    <xf numFmtId="43" fontId="100" fillId="0" borderId="0" xfId="4" applyFont="1" applyFill="1" applyBorder="1"/>
    <xf numFmtId="0" fontId="100" fillId="0" borderId="0" xfId="0" applyFont="1" applyAlignment="1">
      <alignment horizontal="right"/>
    </xf>
    <xf numFmtId="0" fontId="101" fillId="0" borderId="0" xfId="752" applyFont="1"/>
    <xf numFmtId="0" fontId="100" fillId="0" borderId="0" xfId="0" applyFont="1" applyAlignment="1">
      <alignment wrapText="1"/>
    </xf>
    <xf numFmtId="0" fontId="100" fillId="0" borderId="0" xfId="169" applyFont="1"/>
    <xf numFmtId="0" fontId="99" fillId="0" borderId="0" xfId="169" applyFont="1" applyAlignment="1">
      <alignment horizontal="centerContinuous"/>
    </xf>
    <xf numFmtId="0" fontId="100" fillId="0" borderId="0" xfId="169" applyFont="1" applyAlignment="1">
      <alignment horizontal="centerContinuous"/>
    </xf>
    <xf numFmtId="0" fontId="100" fillId="0" borderId="0" xfId="169" applyFont="1" applyAlignment="1">
      <alignment horizontal="center"/>
    </xf>
    <xf numFmtId="0" fontId="99" fillId="0" borderId="0" xfId="169" applyFont="1"/>
    <xf numFmtId="0" fontId="100" fillId="0" borderId="0" xfId="169" applyFont="1" applyAlignment="1">
      <alignment horizontal="right"/>
    </xf>
    <xf numFmtId="0" fontId="100" fillId="0" borderId="0" xfId="169" applyFont="1" applyAlignment="1">
      <alignment wrapText="1"/>
    </xf>
    <xf numFmtId="43" fontId="100" fillId="0" borderId="0" xfId="4" applyFont="1" applyFill="1" applyAlignment="1"/>
    <xf numFmtId="0" fontId="100" fillId="0" borderId="0" xfId="169" quotePrefix="1" applyFont="1"/>
    <xf numFmtId="43" fontId="100" fillId="0" borderId="3" xfId="4" applyFont="1" applyFill="1" applyBorder="1" applyAlignment="1"/>
    <xf numFmtId="43" fontId="100" fillId="0" borderId="0" xfId="4" applyFont="1" applyFill="1" applyBorder="1" applyAlignment="1"/>
    <xf numFmtId="4" fontId="100" fillId="0" borderId="0" xfId="169" applyNumberFormat="1" applyFont="1"/>
    <xf numFmtId="0" fontId="100" fillId="0" borderId="0" xfId="169" quotePrefix="1" applyFont="1" applyAlignment="1">
      <alignment horizontal="center"/>
    </xf>
    <xf numFmtId="43" fontId="100" fillId="0" borderId="2" xfId="4" applyFont="1" applyFill="1" applyBorder="1" applyAlignment="1"/>
    <xf numFmtId="0" fontId="100" fillId="0" borderId="0" xfId="169" applyFont="1" applyAlignment="1">
      <alignment horizontal="right" vertical="top"/>
    </xf>
    <xf numFmtId="0" fontId="100" fillId="0" borderId="0" xfId="169" applyFont="1" applyAlignment="1">
      <alignment horizontal="center" vertical="top"/>
    </xf>
    <xf numFmtId="0" fontId="100" fillId="0" borderId="0" xfId="169" applyFont="1" applyAlignment="1">
      <alignment horizontal="left" vertical="top"/>
    </xf>
    <xf numFmtId="0" fontId="100" fillId="0" borderId="0" xfId="169" applyFont="1" applyAlignment="1">
      <alignment vertical="top"/>
    </xf>
    <xf numFmtId="0" fontId="100" fillId="0" borderId="0" xfId="169" quotePrefix="1" applyFont="1" applyAlignment="1">
      <alignment horizontal="center" vertical="top"/>
    </xf>
    <xf numFmtId="0" fontId="100" fillId="0" borderId="0" xfId="169" applyFont="1" applyAlignment="1">
      <alignment vertical="top" wrapText="1"/>
    </xf>
    <xf numFmtId="0" fontId="100" fillId="0" borderId="3" xfId="169" applyFont="1" applyBorder="1"/>
    <xf numFmtId="174" fontId="100" fillId="0" borderId="0" xfId="169" applyNumberFormat="1" applyFont="1"/>
    <xf numFmtId="174" fontId="100" fillId="0" borderId="0" xfId="169" quotePrefix="1" applyNumberFormat="1" applyFont="1"/>
    <xf numFmtId="0" fontId="100" fillId="0" borderId="0" xfId="169" applyFont="1" applyAlignment="1">
      <alignment horizontal="center" vertical="center"/>
    </xf>
    <xf numFmtId="174" fontId="100" fillId="0" borderId="0" xfId="169" applyNumberFormat="1" applyFont="1" applyAlignment="1">
      <alignment wrapText="1"/>
    </xf>
    <xf numFmtId="0" fontId="100" fillId="0" borderId="0" xfId="169" quotePrefix="1" applyFont="1" applyAlignment="1">
      <alignment horizontal="center" vertical="center"/>
    </xf>
    <xf numFmtId="174" fontId="100" fillId="0" borderId="0" xfId="169" applyNumberFormat="1" applyFont="1" applyAlignment="1">
      <alignment horizontal="left"/>
    </xf>
    <xf numFmtId="174" fontId="100" fillId="0" borderId="3" xfId="169" applyNumberFormat="1" applyFont="1" applyBorder="1"/>
    <xf numFmtId="174" fontId="100" fillId="0" borderId="2" xfId="169" applyNumberFormat="1" applyFont="1" applyBorder="1"/>
    <xf numFmtId="174" fontId="100" fillId="0" borderId="0" xfId="169" applyNumberFormat="1" applyFont="1" applyAlignment="1">
      <alignment vertical="top" wrapText="1"/>
    </xf>
    <xf numFmtId="174" fontId="100" fillId="0" borderId="0" xfId="169" applyNumberFormat="1" applyFont="1" applyAlignment="1">
      <alignment horizontal="left" vertical="top"/>
    </xf>
    <xf numFmtId="0" fontId="100" fillId="0" borderId="0" xfId="213" applyFont="1" applyAlignment="1">
      <alignment horizontal="left"/>
    </xf>
    <xf numFmtId="0" fontId="100" fillId="0" borderId="0" xfId="213" applyFont="1" applyAlignment="1">
      <alignment horizontal="right"/>
    </xf>
    <xf numFmtId="174" fontId="100" fillId="0" borderId="0" xfId="169" applyNumberFormat="1" applyFont="1" applyAlignment="1">
      <alignment horizontal="right"/>
    </xf>
    <xf numFmtId="0" fontId="100" fillId="0" borderId="0" xfId="169" quotePrefix="1" applyFont="1" applyAlignment="1">
      <alignment vertical="top"/>
    </xf>
    <xf numFmtId="164" fontId="100" fillId="0" borderId="0" xfId="0" quotePrefix="1" applyNumberFormat="1" applyFont="1" applyAlignment="1">
      <alignment horizontal="center"/>
    </xf>
    <xf numFmtId="164" fontId="100" fillId="0" borderId="2" xfId="0" applyNumberFormat="1" applyFont="1" applyBorder="1" applyAlignment="1">
      <alignment horizontal="center"/>
    </xf>
    <xf numFmtId="0" fontId="100" fillId="0" borderId="0" xfId="213" quotePrefix="1" applyFont="1" applyAlignment="1">
      <alignment horizontal="right"/>
    </xf>
    <xf numFmtId="43" fontId="100" fillId="0" borderId="0" xfId="0" applyNumberFormat="1" applyFont="1"/>
    <xf numFmtId="0" fontId="101" fillId="0" borderId="0" xfId="111" applyFont="1"/>
    <xf numFmtId="0" fontId="100" fillId="0" borderId="0" xfId="211" applyFont="1"/>
    <xf numFmtId="175" fontId="100" fillId="0" borderId="0" xfId="169" applyNumberFormat="1" applyFont="1"/>
    <xf numFmtId="0" fontId="100" fillId="0" borderId="0" xfId="169" quotePrefix="1" applyFont="1" applyAlignment="1">
      <alignment horizontal="left" vertical="top"/>
    </xf>
    <xf numFmtId="43" fontId="100" fillId="0" borderId="0" xfId="169" applyNumberFormat="1" applyFont="1"/>
    <xf numFmtId="0" fontId="100" fillId="0" borderId="0" xfId="169" applyFont="1" applyAlignment="1">
      <alignment horizontal="center" wrapText="1"/>
    </xf>
    <xf numFmtId="0" fontId="100" fillId="0" borderId="4" xfId="169" applyFont="1" applyBorder="1"/>
    <xf numFmtId="43" fontId="100" fillId="0" borderId="0" xfId="59" applyFont="1" applyFill="1" applyBorder="1"/>
    <xf numFmtId="0" fontId="100" fillId="0" borderId="3" xfId="169" applyFont="1" applyBorder="1" applyAlignment="1">
      <alignment horizontal="centerContinuous"/>
    </xf>
    <xf numFmtId="175" fontId="100" fillId="0" borderId="3" xfId="169" applyNumberFormat="1" applyFont="1" applyBorder="1" applyAlignment="1">
      <alignment horizontal="centerContinuous"/>
    </xf>
    <xf numFmtId="176" fontId="100" fillId="0" borderId="3" xfId="169" applyNumberFormat="1" applyFont="1" applyBorder="1" applyAlignment="1">
      <alignment horizontal="centerContinuous"/>
    </xf>
    <xf numFmtId="175" fontId="100" fillId="0" borderId="0" xfId="169" applyNumberFormat="1" applyFont="1" applyAlignment="1">
      <alignment horizontal="center"/>
    </xf>
    <xf numFmtId="0" fontId="100" fillId="0" borderId="0" xfId="169" applyFont="1" applyAlignment="1">
      <alignment horizontal="left"/>
    </xf>
    <xf numFmtId="164" fontId="100" fillId="0" borderId="0" xfId="169" quotePrefix="1" applyNumberFormat="1" applyFont="1" applyAlignment="1">
      <alignment horizontal="center"/>
    </xf>
    <xf numFmtId="0" fontId="104" fillId="0" borderId="0" xfId="111" applyFont="1"/>
    <xf numFmtId="164" fontId="100" fillId="0" borderId="0" xfId="169" applyNumberFormat="1" applyFont="1" applyAlignment="1">
      <alignment horizontal="center"/>
    </xf>
    <xf numFmtId="0" fontId="104" fillId="0" borderId="0" xfId="111" applyFont="1" applyAlignment="1">
      <alignment horizontal="right"/>
    </xf>
    <xf numFmtId="0" fontId="100" fillId="0" borderId="0" xfId="169" quotePrefix="1" applyFont="1" applyAlignment="1">
      <alignment horizontal="right"/>
    </xf>
    <xf numFmtId="2" fontId="100" fillId="0" borderId="0" xfId="0" applyNumberFormat="1" applyFont="1"/>
    <xf numFmtId="43" fontId="100" fillId="0" borderId="2" xfId="0" applyNumberFormat="1" applyFont="1" applyBorder="1"/>
    <xf numFmtId="0" fontId="100" fillId="0" borderId="0" xfId="0" quotePrefix="1" applyFont="1"/>
    <xf numFmtId="0" fontId="100" fillId="0" borderId="3" xfId="169" applyFont="1" applyBorder="1" applyAlignment="1">
      <alignment horizontal="left"/>
    </xf>
    <xf numFmtId="164" fontId="100" fillId="0" borderId="0" xfId="169" applyNumberFormat="1" applyFont="1"/>
    <xf numFmtId="14" fontId="100" fillId="0" borderId="0" xfId="0" applyNumberFormat="1" applyFont="1"/>
    <xf numFmtId="0" fontId="100" fillId="0" borderId="0" xfId="0" quotePrefix="1" applyFont="1" applyAlignment="1">
      <alignment horizontal="center"/>
    </xf>
    <xf numFmtId="10" fontId="100" fillId="0" borderId="0" xfId="211" applyNumberFormat="1" applyFont="1"/>
    <xf numFmtId="0" fontId="101" fillId="0" borderId="0" xfId="752" applyFont="1" applyAlignment="1">
      <alignment horizontal="center" wrapText="1"/>
    </xf>
    <xf numFmtId="0" fontId="100" fillId="0" borderId="0" xfId="169" applyFont="1" applyAlignment="1">
      <alignment vertical="center"/>
    </xf>
    <xf numFmtId="43" fontId="100" fillId="0" borderId="3" xfId="0" applyNumberFormat="1" applyFont="1" applyBorder="1"/>
    <xf numFmtId="43" fontId="100" fillId="0" borderId="2" xfId="4" applyFont="1" applyFill="1" applyBorder="1"/>
    <xf numFmtId="43" fontId="100" fillId="0" borderId="0" xfId="0" applyNumberFormat="1" applyFont="1" applyAlignment="1">
      <alignment horizontal="center"/>
    </xf>
    <xf numFmtId="43" fontId="101" fillId="0" borderId="0" xfId="4" applyFont="1" applyFill="1"/>
    <xf numFmtId="179" fontId="101" fillId="0" borderId="0" xfId="4" applyNumberFormat="1" applyFont="1" applyFill="1"/>
    <xf numFmtId="43" fontId="100" fillId="0" borderId="0" xfId="4" applyFont="1" applyFill="1" applyAlignment="1">
      <alignment horizontal="right"/>
    </xf>
    <xf numFmtId="2" fontId="100" fillId="0" borderId="0" xfId="169" applyNumberFormat="1" applyFont="1"/>
    <xf numFmtId="0" fontId="101" fillId="0" borderId="0" xfId="0" applyFont="1" applyAlignment="1">
      <alignment horizontal="center"/>
    </xf>
    <xf numFmtId="0" fontId="108" fillId="0" borderId="0" xfId="0" applyFont="1"/>
    <xf numFmtId="10" fontId="108" fillId="0" borderId="0" xfId="751" applyNumberFormat="1" applyFont="1" applyFill="1" applyBorder="1"/>
    <xf numFmtId="43" fontId="100" fillId="0" borderId="3" xfId="4" applyFont="1" applyFill="1" applyBorder="1"/>
    <xf numFmtId="0" fontId="59" fillId="0" borderId="0" xfId="762"/>
    <xf numFmtId="0" fontId="100" fillId="0" borderId="0" xfId="169" quotePrefix="1" applyFont="1" applyAlignment="1">
      <alignment horizontal="left"/>
    </xf>
    <xf numFmtId="164" fontId="100" fillId="0" borderId="2" xfId="169" applyNumberFormat="1" applyFont="1" applyBorder="1" applyAlignment="1">
      <alignment horizontal="center"/>
    </xf>
    <xf numFmtId="0" fontId="100" fillId="0" borderId="2" xfId="169" applyFont="1" applyBorder="1" applyAlignment="1">
      <alignment horizontal="center"/>
    </xf>
    <xf numFmtId="0" fontId="104" fillId="0" borderId="0" xfId="771" quotePrefix="1" applyFont="1" applyAlignment="1">
      <alignment horizontal="right"/>
    </xf>
    <xf numFmtId="0" fontId="104" fillId="0" borderId="0" xfId="771" applyFont="1"/>
    <xf numFmtId="43" fontId="100" fillId="0" borderId="2" xfId="4" applyFont="1" applyFill="1" applyBorder="1" applyAlignment="1">
      <alignment horizontal="center"/>
    </xf>
    <xf numFmtId="179" fontId="100" fillId="0" borderId="0" xfId="4" applyNumberFormat="1" applyFont="1" applyFill="1" applyAlignment="1">
      <alignment horizontal="right"/>
    </xf>
    <xf numFmtId="179" fontId="100" fillId="0" borderId="2" xfId="4" applyNumberFormat="1" applyFont="1" applyFill="1" applyBorder="1" applyAlignment="1">
      <alignment horizontal="center"/>
    </xf>
    <xf numFmtId="179" fontId="100" fillId="0" borderId="0" xfId="0" applyNumberFormat="1" applyFont="1" applyAlignment="1">
      <alignment horizontal="right"/>
    </xf>
    <xf numFmtId="179" fontId="100" fillId="0" borderId="0" xfId="0" applyNumberFormat="1" applyFont="1" applyAlignment="1">
      <alignment horizontal="center"/>
    </xf>
    <xf numFmtId="43" fontId="100" fillId="0" borderId="0" xfId="4" applyFont="1" applyFill="1" applyAlignment="1">
      <alignment horizontal="center"/>
    </xf>
    <xf numFmtId="43" fontId="101" fillId="0" borderId="0" xfId="4" applyFont="1" applyFill="1" applyBorder="1"/>
    <xf numFmtId="0" fontId="99" fillId="0" borderId="0" xfId="0" applyFont="1" applyAlignment="1">
      <alignment horizontal="center"/>
    </xf>
    <xf numFmtId="0" fontId="0" fillId="0" borderId="1" xfId="0" applyBorder="1"/>
    <xf numFmtId="0" fontId="112" fillId="0" borderId="18" xfId="0" applyFont="1" applyBorder="1" applyAlignment="1">
      <alignment horizontal="center"/>
    </xf>
    <xf numFmtId="0" fontId="112" fillId="0" borderId="18" xfId="0" applyFont="1" applyBorder="1" applyAlignment="1">
      <alignment horizontal="centerContinuous"/>
    </xf>
    <xf numFmtId="0" fontId="117" fillId="0" borderId="0" xfId="0" applyFont="1"/>
    <xf numFmtId="0" fontId="117" fillId="0" borderId="0" xfId="0" applyFont="1" applyAlignment="1">
      <alignment horizontal="centerContinuous"/>
    </xf>
    <xf numFmtId="0" fontId="117" fillId="0" borderId="3" xfId="0" applyFont="1" applyBorder="1" applyAlignment="1">
      <alignment horizontal="center" wrapText="1"/>
    </xf>
    <xf numFmtId="0" fontId="117" fillId="0" borderId="0" xfId="0" applyFont="1" applyAlignment="1">
      <alignment horizontal="center"/>
    </xf>
    <xf numFmtId="0" fontId="118" fillId="0" borderId="0" xfId="0" applyFont="1"/>
    <xf numFmtId="0" fontId="100" fillId="0" borderId="0" xfId="169" applyFont="1" applyAlignment="1">
      <alignment horizontal="left" wrapText="1"/>
    </xf>
    <xf numFmtId="0" fontId="99" fillId="0" borderId="0" xfId="0" applyFont="1" applyAlignment="1">
      <alignment horizontal="left" vertical="top"/>
    </xf>
    <xf numFmtId="10" fontId="0" fillId="0" borderId="0" xfId="763" applyNumberFormat="1" applyFont="1" applyFill="1" applyAlignment="1">
      <alignment horizontal="center"/>
    </xf>
    <xf numFmtId="0" fontId="102" fillId="0" borderId="0" xfId="0" applyFont="1"/>
    <xf numFmtId="0" fontId="110" fillId="0" borderId="3" xfId="0" applyFont="1" applyBorder="1"/>
    <xf numFmtId="0" fontId="110" fillId="0" borderId="3" xfId="0" applyFont="1" applyBorder="1" applyAlignment="1">
      <alignment horizontal="left"/>
    </xf>
    <xf numFmtId="0" fontId="111" fillId="0" borderId="0" xfId="0" applyFont="1" applyAlignment="1">
      <alignment horizontal="left"/>
    </xf>
    <xf numFmtId="0" fontId="100" fillId="0" borderId="3" xfId="0" applyFont="1" applyBorder="1" applyAlignment="1">
      <alignment horizontal="left"/>
    </xf>
    <xf numFmtId="0" fontId="114" fillId="0" borderId="0" xfId="0" applyFont="1"/>
    <xf numFmtId="0" fontId="101" fillId="0" borderId="0" xfId="0" applyFont="1"/>
    <xf numFmtId="0" fontId="113" fillId="0" borderId="0" xfId="762" applyFont="1" applyAlignment="1">
      <alignment horizontal="center"/>
    </xf>
    <xf numFmtId="0" fontId="65" fillId="0" borderId="0" xfId="103"/>
    <xf numFmtId="10" fontId="100" fillId="0" borderId="0" xfId="376" applyNumberFormat="1" applyFont="1"/>
    <xf numFmtId="0" fontId="65" fillId="0" borderId="0" xfId="103" applyAlignment="1">
      <alignment wrapText="1"/>
    </xf>
    <xf numFmtId="0" fontId="106" fillId="0" borderId="0" xfId="103" applyFont="1" applyAlignment="1">
      <alignment horizontal="centerContinuous"/>
    </xf>
    <xf numFmtId="0" fontId="65" fillId="0" borderId="0" xfId="103" applyAlignment="1">
      <alignment horizontal="centerContinuous"/>
    </xf>
    <xf numFmtId="0" fontId="107" fillId="0" borderId="0" xfId="103" applyFont="1" applyAlignment="1">
      <alignment horizontal="centerContinuous"/>
    </xf>
    <xf numFmtId="183" fontId="65" fillId="0" borderId="0" xfId="103" applyNumberFormat="1"/>
    <xf numFmtId="167" fontId="65" fillId="0" borderId="0" xfId="103" applyNumberFormat="1"/>
    <xf numFmtId="0" fontId="106" fillId="0" borderId="0" xfId="103" applyFont="1"/>
    <xf numFmtId="166" fontId="65" fillId="0" borderId="0" xfId="103" applyNumberFormat="1"/>
    <xf numFmtId="166" fontId="106" fillId="0" borderId="0" xfId="103" applyNumberFormat="1" applyFont="1"/>
    <xf numFmtId="166" fontId="120" fillId="0" borderId="0" xfId="103" applyNumberFormat="1" applyFont="1"/>
    <xf numFmtId="2" fontId="65" fillId="0" borderId="0" xfId="103" applyNumberFormat="1"/>
    <xf numFmtId="164" fontId="65" fillId="0" borderId="0" xfId="103" applyNumberFormat="1"/>
    <xf numFmtId="2" fontId="106" fillId="0" borderId="0" xfId="103" applyNumberFormat="1" applyFont="1"/>
    <xf numFmtId="2" fontId="120" fillId="0" borderId="0" xfId="103" applyNumberFormat="1" applyFont="1"/>
    <xf numFmtId="0" fontId="121" fillId="0" borderId="0" xfId="103" applyFont="1"/>
    <xf numFmtId="183" fontId="121" fillId="0" borderId="0" xfId="103" applyNumberFormat="1" applyFont="1"/>
    <xf numFmtId="167" fontId="121" fillId="0" borderId="0" xfId="103" applyNumberFormat="1" applyFont="1"/>
    <xf numFmtId="0" fontId="106" fillId="0" borderId="0" xfId="103" applyFont="1" applyAlignment="1">
      <alignment horizontal="left"/>
    </xf>
    <xf numFmtId="165" fontId="65" fillId="0" borderId="0" xfId="103" applyNumberFormat="1"/>
    <xf numFmtId="0" fontId="127" fillId="0" borderId="0" xfId="762" applyFont="1" applyAlignment="1">
      <alignment wrapText="1"/>
    </xf>
    <xf numFmtId="0" fontId="126" fillId="0" borderId="0" xfId="762" applyFont="1"/>
    <xf numFmtId="0" fontId="127" fillId="0" borderId="0" xfId="762" applyFont="1"/>
    <xf numFmtId="0" fontId="126" fillId="0" borderId="12" xfId="762" applyFont="1" applyBorder="1"/>
    <xf numFmtId="0" fontId="126" fillId="0" borderId="14" xfId="762" applyFont="1" applyBorder="1"/>
    <xf numFmtId="14" fontId="126" fillId="0" borderId="0" xfId="762" applyNumberFormat="1" applyFont="1"/>
    <xf numFmtId="0" fontId="126" fillId="0" borderId="13" xfId="762" applyFont="1" applyBorder="1" applyAlignment="1">
      <alignment horizontal="right"/>
    </xf>
    <xf numFmtId="0" fontId="126" fillId="0" borderId="16" xfId="762" applyFont="1" applyBorder="1"/>
    <xf numFmtId="10" fontId="126" fillId="0" borderId="13" xfId="751" applyNumberFormat="1" applyFont="1" applyFill="1" applyBorder="1"/>
    <xf numFmtId="0" fontId="128" fillId="0" borderId="0" xfId="0" applyFont="1"/>
    <xf numFmtId="0" fontId="126" fillId="0" borderId="13" xfId="762" applyFont="1" applyBorder="1" applyAlignment="1">
      <alignment horizontal="left"/>
    </xf>
    <xf numFmtId="0" fontId="125" fillId="0" borderId="14" xfId="762" applyFont="1" applyBorder="1"/>
    <xf numFmtId="0" fontId="127" fillId="0" borderId="0" xfId="762" quotePrefix="1" applyFont="1"/>
    <xf numFmtId="0" fontId="126" fillId="0" borderId="15" xfId="762" applyFont="1" applyBorder="1"/>
    <xf numFmtId="17" fontId="126" fillId="0" borderId="0" xfId="762" applyNumberFormat="1" applyFont="1" applyAlignment="1">
      <alignment wrapText="1"/>
    </xf>
    <xf numFmtId="10" fontId="126" fillId="0" borderId="0" xfId="762" applyNumberFormat="1" applyFont="1"/>
    <xf numFmtId="0" fontId="126" fillId="0" borderId="0" xfId="762" quotePrefix="1" applyFont="1" applyAlignment="1">
      <alignment horizontal="left" vertical="top" wrapText="1"/>
    </xf>
    <xf numFmtId="10" fontId="108" fillId="0" borderId="0" xfId="763" applyNumberFormat="1" applyFont="1" applyFill="1" applyAlignment="1">
      <alignment horizontal="center"/>
    </xf>
    <xf numFmtId="10" fontId="108" fillId="0" borderId="0" xfId="763" applyNumberFormat="1" applyFont="1" applyFill="1"/>
    <xf numFmtId="43" fontId="126" fillId="0" borderId="0" xfId="4" applyFont="1" applyFill="1" applyAlignment="1">
      <alignment horizontal="right"/>
    </xf>
    <xf numFmtId="10" fontId="100" fillId="0" borderId="0" xfId="751" applyNumberFormat="1" applyFont="1" applyFill="1"/>
    <xf numFmtId="10" fontId="100" fillId="0" borderId="0" xfId="169" applyNumberFormat="1" applyFont="1"/>
    <xf numFmtId="0" fontId="100" fillId="0" borderId="0" xfId="211" applyFont="1" applyAlignment="1">
      <alignment horizontal="center"/>
    </xf>
    <xf numFmtId="0" fontId="99" fillId="0" borderId="0" xfId="211" applyFont="1"/>
    <xf numFmtId="0" fontId="100" fillId="0" borderId="3" xfId="211" applyFont="1" applyBorder="1" applyAlignment="1">
      <alignment horizontal="center" wrapText="1"/>
    </xf>
    <xf numFmtId="0" fontId="100" fillId="0" borderId="0" xfId="211" quotePrefix="1" applyFont="1" applyAlignment="1">
      <alignment horizontal="center"/>
    </xf>
    <xf numFmtId="0" fontId="100" fillId="0" borderId="0" xfId="211" quotePrefix="1" applyFont="1"/>
    <xf numFmtId="186" fontId="100" fillId="0" borderId="0" xfId="211" applyNumberFormat="1" applyFont="1" applyAlignment="1">
      <alignment horizontal="center"/>
    </xf>
    <xf numFmtId="1" fontId="100" fillId="0" borderId="0" xfId="211" quotePrefix="1" applyNumberFormat="1" applyFont="1" applyAlignment="1">
      <alignment horizontal="center"/>
    </xf>
    <xf numFmtId="10" fontId="100" fillId="0" borderId="0" xfId="376" applyNumberFormat="1" applyFont="1" applyFill="1" applyAlignment="1">
      <alignment horizontal="center"/>
    </xf>
    <xf numFmtId="173" fontId="100" fillId="0" borderId="0" xfId="67" applyNumberFormat="1" applyFont="1" applyAlignment="1">
      <alignment horizontal="right"/>
    </xf>
    <xf numFmtId="10" fontId="100" fillId="0" borderId="0" xfId="376" applyNumberFormat="1" applyFont="1" applyAlignment="1">
      <alignment horizontal="center"/>
    </xf>
    <xf numFmtId="187" fontId="100" fillId="0" borderId="0" xfId="67" applyNumberFormat="1" applyFont="1" applyAlignment="1">
      <alignment horizontal="right"/>
    </xf>
    <xf numFmtId="170" fontId="100" fillId="0" borderId="0" xfId="211" applyNumberFormat="1" applyFont="1" applyAlignment="1">
      <alignment horizontal="center"/>
    </xf>
    <xf numFmtId="0" fontId="100" fillId="0" borderId="0" xfId="211" applyFont="1" applyAlignment="1">
      <alignment wrapText="1"/>
    </xf>
    <xf numFmtId="0" fontId="104" fillId="0" borderId="0" xfId="862" applyFont="1"/>
    <xf numFmtId="0" fontId="100" fillId="0" borderId="0" xfId="211" applyFont="1" applyAlignment="1">
      <alignment horizontal="right"/>
    </xf>
    <xf numFmtId="173" fontId="100" fillId="0" borderId="0" xfId="67" applyNumberFormat="1" applyFont="1" applyFill="1"/>
    <xf numFmtId="0" fontId="100" fillId="0" borderId="0" xfId="862" quotePrefix="1" applyFont="1"/>
    <xf numFmtId="186" fontId="100" fillId="0" borderId="0" xfId="862" applyNumberFormat="1" applyFont="1"/>
    <xf numFmtId="169" fontId="100" fillId="0" borderId="0" xfId="4" applyNumberFormat="1" applyFont="1" applyFill="1"/>
    <xf numFmtId="186" fontId="100" fillId="0" borderId="0" xfId="211" applyNumberFormat="1" applyFont="1"/>
    <xf numFmtId="44" fontId="100" fillId="0" borderId="0" xfId="211" applyNumberFormat="1" applyFont="1"/>
    <xf numFmtId="173" fontId="100" fillId="0" borderId="0" xfId="211" applyNumberFormat="1" applyFont="1"/>
    <xf numFmtId="181" fontId="100" fillId="0" borderId="0" xfId="211" applyNumberFormat="1" applyFont="1"/>
    <xf numFmtId="43" fontId="100" fillId="0" borderId="0" xfId="211" applyNumberFormat="1" applyFont="1"/>
    <xf numFmtId="169" fontId="100" fillId="0" borderId="0" xfId="12" applyNumberFormat="1" applyFont="1"/>
    <xf numFmtId="0" fontId="100" fillId="0" borderId="0" xfId="211" quotePrefix="1" applyFont="1" applyAlignment="1">
      <alignment vertical="top"/>
    </xf>
    <xf numFmtId="0" fontId="100" fillId="0" borderId="0" xfId="211" applyFont="1" applyAlignment="1">
      <alignment horizontal="center" vertical="top"/>
    </xf>
    <xf numFmtId="0" fontId="100" fillId="0" borderId="0" xfId="211" applyFont="1" applyAlignment="1">
      <alignment vertical="top"/>
    </xf>
    <xf numFmtId="169" fontId="100" fillId="0" borderId="0" xfId="12" applyNumberFormat="1" applyFont="1" applyAlignment="1">
      <alignment vertical="top"/>
    </xf>
    <xf numFmtId="0" fontId="100" fillId="0" borderId="0" xfId="807" applyFont="1"/>
    <xf numFmtId="0" fontId="99" fillId="0" borderId="0" xfId="807" applyFont="1" applyAlignment="1">
      <alignment horizontal="centerContinuous"/>
    </xf>
    <xf numFmtId="0" fontId="100" fillId="0" borderId="0" xfId="807" applyFont="1" applyAlignment="1">
      <alignment horizontal="centerContinuous"/>
    </xf>
    <xf numFmtId="0" fontId="100" fillId="0" borderId="0" xfId="807" applyFont="1" applyAlignment="1">
      <alignment horizontal="center"/>
    </xf>
    <xf numFmtId="0" fontId="100" fillId="0" borderId="3" xfId="807" applyFont="1" applyBorder="1" applyAlignment="1">
      <alignment horizontal="center" wrapText="1"/>
    </xf>
    <xf numFmtId="0" fontId="100" fillId="0" borderId="0" xfId="807" quotePrefix="1" applyFont="1" applyAlignment="1">
      <alignment horizontal="center"/>
    </xf>
    <xf numFmtId="0" fontId="100" fillId="0" borderId="3" xfId="807" applyFont="1" applyBorder="1" applyAlignment="1">
      <alignment wrapText="1"/>
    </xf>
    <xf numFmtId="188" fontId="100" fillId="0" borderId="2" xfId="807" applyNumberFormat="1" applyFont="1" applyBorder="1" applyAlignment="1">
      <alignment horizontal="right"/>
    </xf>
    <xf numFmtId="0" fontId="100" fillId="0" borderId="0" xfId="807" quotePrefix="1" applyFont="1"/>
    <xf numFmtId="9" fontId="100" fillId="0" borderId="0" xfId="807" quotePrefix="1" applyNumberFormat="1" applyFont="1"/>
    <xf numFmtId="173" fontId="100" fillId="0" borderId="2" xfId="67" applyNumberFormat="1" applyFont="1" applyBorder="1" applyAlignment="1">
      <alignment horizontal="right"/>
    </xf>
    <xf numFmtId="0" fontId="108" fillId="0" borderId="0" xfId="0" applyFont="1" applyAlignment="1">
      <alignment wrapText="1"/>
    </xf>
    <xf numFmtId="189" fontId="100" fillId="0" borderId="0" xfId="807" applyNumberFormat="1" applyFont="1" applyAlignment="1">
      <alignment horizontal="right"/>
    </xf>
    <xf numFmtId="173" fontId="100" fillId="0" borderId="0" xfId="67" applyNumberFormat="1" applyFont="1" applyBorder="1" applyAlignment="1">
      <alignment horizontal="right"/>
    </xf>
    <xf numFmtId="0" fontId="100" fillId="0" borderId="0" xfId="807" applyFont="1" applyAlignment="1">
      <alignment horizontal="right"/>
    </xf>
    <xf numFmtId="0" fontId="100" fillId="0" borderId="0" xfId="807" quotePrefix="1" applyFont="1" applyAlignment="1">
      <alignment vertical="top"/>
    </xf>
    <xf numFmtId="0" fontId="100" fillId="0" borderId="0" xfId="807" applyFont="1" applyAlignment="1">
      <alignment wrapText="1"/>
    </xf>
    <xf numFmtId="4" fontId="65" fillId="0" borderId="0" xfId="103" applyNumberFormat="1"/>
    <xf numFmtId="183" fontId="65" fillId="0" borderId="0" xfId="9" applyNumberFormat="1" applyFont="1" applyFill="1"/>
    <xf numFmtId="167" fontId="65" fillId="0" borderId="0" xfId="9" applyNumberFormat="1" applyFont="1" applyFill="1"/>
    <xf numFmtId="0" fontId="99" fillId="0" borderId="0" xfId="0" applyFont="1"/>
    <xf numFmtId="0" fontId="126" fillId="0" borderId="0" xfId="762" quotePrefix="1" applyFont="1" applyAlignment="1">
      <alignment horizontal="left" wrapText="1"/>
    </xf>
    <xf numFmtId="10" fontId="100" fillId="0" borderId="0" xfId="799" applyNumberFormat="1" applyFont="1" applyFill="1"/>
    <xf numFmtId="43" fontId="118" fillId="0" borderId="0" xfId="4" applyFont="1" applyFill="1" applyBorder="1" applyAlignment="1">
      <alignment horizontal="right"/>
    </xf>
    <xf numFmtId="179" fontId="126" fillId="0" borderId="0" xfId="4" applyNumberFormat="1" applyFont="1" applyFill="1" applyAlignment="1">
      <alignment horizontal="right"/>
    </xf>
    <xf numFmtId="0" fontId="100" fillId="0" borderId="0" xfId="169" applyFont="1" applyAlignment="1">
      <alignment horizontal="left" indent="1"/>
    </xf>
    <xf numFmtId="43" fontId="108" fillId="0" borderId="0" xfId="763" applyNumberFormat="1" applyFont="1" applyFill="1" applyAlignment="1">
      <alignment horizontal="center"/>
    </xf>
    <xf numFmtId="10" fontId="125" fillId="0" borderId="0" xfId="763" applyNumberFormat="1" applyFont="1" applyFill="1" applyAlignment="1">
      <alignment horizontal="center"/>
    </xf>
    <xf numFmtId="0" fontId="0" fillId="0" borderId="0" xfId="763" applyNumberFormat="1" applyFont="1" applyFill="1" applyAlignment="1">
      <alignment horizontal="center"/>
    </xf>
    <xf numFmtId="43" fontId="101" fillId="0" borderId="3" xfId="4" applyFont="1" applyFill="1" applyBorder="1"/>
    <xf numFmtId="0" fontId="100" fillId="0" borderId="0" xfId="0" applyFont="1" applyAlignment="1">
      <alignment horizontal="center" wrapText="1"/>
    </xf>
    <xf numFmtId="4" fontId="100" fillId="0" borderId="0" xfId="0" quotePrefix="1" applyNumberFormat="1" applyFont="1"/>
    <xf numFmtId="0" fontId="100" fillId="0" borderId="0" xfId="0" quotePrefix="1" applyFont="1" applyAlignment="1">
      <alignment horizontal="right" vertical="top"/>
    </xf>
    <xf numFmtId="43" fontId="100" fillId="0" borderId="10" xfId="0" applyNumberFormat="1" applyFont="1" applyBorder="1"/>
    <xf numFmtId="0" fontId="100" fillId="0" borderId="0" xfId="0" quotePrefix="1" applyFont="1" applyAlignment="1">
      <alignment horizontal="right"/>
    </xf>
    <xf numFmtId="0" fontId="100" fillId="0" borderId="0" xfId="0" quotePrefix="1" applyFont="1" applyAlignment="1">
      <alignment vertical="top"/>
    </xf>
    <xf numFmtId="176" fontId="100" fillId="0" borderId="3" xfId="0" applyNumberFormat="1" applyFont="1" applyBorder="1" applyAlignment="1">
      <alignment horizontal="centerContinuous"/>
    </xf>
    <xf numFmtId="0" fontId="100" fillId="0" borderId="3" xfId="0" applyFont="1" applyBorder="1" applyAlignment="1">
      <alignment horizontal="centerContinuous"/>
    </xf>
    <xf numFmtId="0" fontId="117" fillId="0" borderId="0" xfId="0" applyFont="1" applyAlignment="1">
      <alignment horizontal="center" wrapText="1"/>
    </xf>
    <xf numFmtId="0" fontId="100" fillId="0" borderId="0" xfId="0" applyFont="1" applyAlignment="1">
      <alignment horizontal="left" indent="2"/>
    </xf>
    <xf numFmtId="0" fontId="118" fillId="0" borderId="0" xfId="762" applyFont="1"/>
    <xf numFmtId="0" fontId="101" fillId="0" borderId="3" xfId="0" applyFont="1" applyBorder="1" applyAlignment="1">
      <alignment wrapText="1"/>
    </xf>
    <xf numFmtId="0" fontId="101" fillId="0" borderId="0" xfId="0" applyFont="1" applyAlignment="1">
      <alignment horizontal="center" wrapText="1"/>
    </xf>
    <xf numFmtId="10" fontId="101" fillId="0" borderId="0" xfId="0" applyNumberFormat="1" applyFont="1"/>
    <xf numFmtId="10" fontId="101" fillId="0" borderId="0" xfId="761" applyNumberFormat="1" applyFont="1" applyFill="1" applyBorder="1"/>
    <xf numFmtId="43" fontId="101" fillId="0" borderId="0" xfId="4" applyFont="1" applyFill="1" applyAlignment="1">
      <alignment horizontal="right"/>
    </xf>
    <xf numFmtId="0" fontId="101" fillId="0" borderId="0" xfId="0" applyFont="1" applyAlignment="1">
      <alignment horizontal="right"/>
    </xf>
    <xf numFmtId="10" fontId="101" fillId="0" borderId="2" xfId="0" applyNumberFormat="1" applyFont="1" applyBorder="1"/>
    <xf numFmtId="0" fontId="101" fillId="0" borderId="0" xfId="0" quotePrefix="1" applyFont="1" applyAlignment="1">
      <alignment horizontal="right" vertical="top"/>
    </xf>
    <xf numFmtId="0" fontId="104" fillId="0" borderId="0" xfId="111" applyFont="1" applyAlignment="1">
      <alignment wrapText="1"/>
    </xf>
    <xf numFmtId="0" fontId="100" fillId="0" borderId="0" xfId="0" quotePrefix="1" applyFont="1" applyAlignment="1">
      <alignment horizontal="centerContinuous"/>
    </xf>
    <xf numFmtId="43" fontId="100" fillId="0" borderId="0" xfId="0" applyNumberFormat="1" applyFont="1" applyAlignment="1">
      <alignment horizontal="right"/>
    </xf>
    <xf numFmtId="10" fontId="100" fillId="0" borderId="0" xfId="799" applyNumberFormat="1" applyFont="1" applyFill="1" applyBorder="1"/>
    <xf numFmtId="2" fontId="126" fillId="0" borderId="0" xfId="762" applyNumberFormat="1" applyFont="1"/>
    <xf numFmtId="189" fontId="100" fillId="0" borderId="2" xfId="807" applyNumberFormat="1" applyFont="1" applyBorder="1" applyAlignment="1">
      <alignment horizontal="right"/>
    </xf>
    <xf numFmtId="164" fontId="102" fillId="0" borderId="0" xfId="169" applyNumberFormat="1" applyFont="1"/>
    <xf numFmtId="0" fontId="65" fillId="0" borderId="0" xfId="813"/>
    <xf numFmtId="2" fontId="114" fillId="0" borderId="0" xfId="0" applyNumberFormat="1" applyFont="1"/>
    <xf numFmtId="0" fontId="33" fillId="0" borderId="0" xfId="752" quotePrefix="1" applyFont="1"/>
    <xf numFmtId="0" fontId="65" fillId="0" borderId="0" xfId="103" applyAlignment="1">
      <alignment horizontal="center"/>
    </xf>
    <xf numFmtId="43" fontId="132" fillId="0" borderId="0" xfId="4" applyFont="1" applyFill="1" applyBorder="1" applyAlignment="1">
      <alignment horizontal="right"/>
    </xf>
    <xf numFmtId="43" fontId="132" fillId="0" borderId="27" xfId="4" applyFont="1" applyFill="1" applyBorder="1" applyAlignment="1">
      <alignment horizontal="right"/>
    </xf>
    <xf numFmtId="0" fontId="30" fillId="0" borderId="0" xfId="762" applyFont="1"/>
    <xf numFmtId="0" fontId="66" fillId="0" borderId="0" xfId="103" applyFont="1" applyAlignment="1">
      <alignment horizontal="centerContinuous"/>
    </xf>
    <xf numFmtId="167" fontId="65" fillId="0" borderId="0" xfId="813" applyNumberFormat="1"/>
    <xf numFmtId="183" fontId="65" fillId="0" borderId="0" xfId="813" applyNumberFormat="1"/>
    <xf numFmtId="167" fontId="121" fillId="0" borderId="0" xfId="813" applyNumberFormat="1" applyFont="1"/>
    <xf numFmtId="0" fontId="121" fillId="0" borderId="0" xfId="813" applyFont="1"/>
    <xf numFmtId="165" fontId="65" fillId="0" borderId="0" xfId="813" applyNumberFormat="1"/>
    <xf numFmtId="0" fontId="65" fillId="0" borderId="0" xfId="813" applyAlignment="1">
      <alignment wrapText="1"/>
    </xf>
    <xf numFmtId="0" fontId="106" fillId="0" borderId="0" xfId="813" applyFont="1" applyAlignment="1">
      <alignment horizontal="left"/>
    </xf>
    <xf numFmtId="0" fontId="106" fillId="0" borderId="0" xfId="813" applyFont="1"/>
    <xf numFmtId="0" fontId="65" fillId="0" borderId="0" xfId="813" applyAlignment="1">
      <alignment horizontal="centerContinuous"/>
    </xf>
    <xf numFmtId="0" fontId="106" fillId="0" borderId="0" xfId="813" applyFont="1" applyAlignment="1">
      <alignment horizontal="centerContinuous"/>
    </xf>
    <xf numFmtId="0" fontId="107" fillId="0" borderId="0" xfId="813" applyFont="1" applyAlignment="1">
      <alignment horizontal="centerContinuous"/>
    </xf>
    <xf numFmtId="0" fontId="70" fillId="0" borderId="0" xfId="813" applyFont="1"/>
    <xf numFmtId="183" fontId="65" fillId="0" borderId="0" xfId="103" applyNumberFormat="1" applyAlignment="1">
      <alignment wrapText="1"/>
    </xf>
    <xf numFmtId="0" fontId="108" fillId="0" borderId="0" xfId="103" applyFont="1"/>
    <xf numFmtId="184" fontId="108" fillId="0" borderId="0" xfId="103" applyNumberFormat="1" applyFont="1" applyAlignment="1">
      <alignment horizontal="right" vertical="top" wrapText="1"/>
    </xf>
    <xf numFmtId="0" fontId="108" fillId="0" borderId="0" xfId="103" applyFont="1" applyAlignment="1">
      <alignment horizontal="left" vertical="top" wrapText="1"/>
    </xf>
    <xf numFmtId="43" fontId="108" fillId="0" borderId="0" xfId="4" applyFont="1" applyAlignment="1">
      <alignment horizontal="right" vertical="top" wrapText="1"/>
    </xf>
    <xf numFmtId="0" fontId="108" fillId="0" borderId="0" xfId="103" applyFont="1" applyAlignment="1">
      <alignment horizontal="right" vertical="top" wrapText="1"/>
    </xf>
    <xf numFmtId="14" fontId="108" fillId="0" borderId="0" xfId="103" applyNumberFormat="1"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1" fontId="108" fillId="0" borderId="0" xfId="103" applyNumberFormat="1" applyFont="1" applyAlignment="1">
      <alignment horizontal="right" vertical="top" wrapText="1"/>
    </xf>
    <xf numFmtId="184" fontId="108" fillId="0" borderId="0" xfId="103" applyNumberFormat="1" applyFont="1" applyAlignment="1">
      <alignment horizontal="left" vertical="top" wrapText="1"/>
    </xf>
    <xf numFmtId="0" fontId="126" fillId="0" borderId="0" xfId="902" applyFont="1" applyAlignment="1">
      <alignment horizontal="right" vertical="top" wrapText="1"/>
    </xf>
    <xf numFmtId="0" fontId="126" fillId="0" borderId="0" xfId="902" applyFont="1" applyAlignment="1">
      <alignment horizontal="left" vertical="top" wrapText="1"/>
    </xf>
    <xf numFmtId="0" fontId="126" fillId="0" borderId="0" xfId="902" applyFont="1" applyAlignment="1">
      <alignment horizontal="right" wrapText="1"/>
    </xf>
    <xf numFmtId="0" fontId="126" fillId="0" borderId="0" xfId="902" applyFont="1" applyAlignment="1">
      <alignment horizontal="left" wrapText="1"/>
    </xf>
    <xf numFmtId="0" fontId="125" fillId="0" borderId="0" xfId="103" applyFont="1" applyAlignment="1">
      <alignment horizontal="right" wrapText="1"/>
    </xf>
    <xf numFmtId="0" fontId="125" fillId="0" borderId="0" xfId="103" applyFont="1" applyAlignment="1">
      <alignment horizontal="left" wrapText="1"/>
    </xf>
    <xf numFmtId="43" fontId="108" fillId="0" borderId="0" xfId="103" applyNumberFormat="1" applyFont="1"/>
    <xf numFmtId="0" fontId="136" fillId="5" borderId="0" xfId="399" applyFont="1" applyAlignment="1">
      <alignment horizontal="center" wrapText="1"/>
    </xf>
    <xf numFmtId="0" fontId="136" fillId="5" borderId="0" xfId="399" applyFont="1" applyAlignment="1">
      <alignment horizontal="left" wrapText="1"/>
    </xf>
    <xf numFmtId="0" fontId="136" fillId="5" borderId="0" xfId="399" applyFont="1" applyAlignment="1">
      <alignment horizontal="left"/>
    </xf>
    <xf numFmtId="0" fontId="102" fillId="0" borderId="0" xfId="103" applyFont="1" applyAlignment="1">
      <alignment horizontal="left"/>
    </xf>
    <xf numFmtId="0" fontId="137" fillId="0" borderId="0" xfId="103" applyFont="1"/>
    <xf numFmtId="17" fontId="126" fillId="0" borderId="0" xfId="762" quotePrefix="1" applyNumberFormat="1" applyFont="1"/>
    <xf numFmtId="0" fontId="103" fillId="0" borderId="0" xfId="111" applyFont="1"/>
    <xf numFmtId="43" fontId="119" fillId="0" borderId="19" xfId="9" applyFont="1" applyFill="1" applyBorder="1" applyAlignment="1">
      <alignment horizontal="center"/>
    </xf>
    <xf numFmtId="0" fontId="65" fillId="0" borderId="20" xfId="103" applyBorder="1" applyAlignment="1">
      <alignment horizontal="center"/>
    </xf>
    <xf numFmtId="0" fontId="100" fillId="0" borderId="3" xfId="169" applyFont="1" applyBorder="1" applyAlignment="1">
      <alignment horizontal="center"/>
    </xf>
    <xf numFmtId="10" fontId="100" fillId="0" borderId="0" xfId="751" applyNumberFormat="1" applyFont="1" applyFill="1" applyBorder="1" applyAlignment="1">
      <alignment horizontal="center"/>
    </xf>
    <xf numFmtId="10" fontId="100" fillId="0" borderId="0" xfId="751" applyNumberFormat="1" applyFont="1" applyFill="1" applyBorder="1" applyAlignment="1">
      <alignment horizontal="right"/>
    </xf>
    <xf numFmtId="187" fontId="100" fillId="0" borderId="0" xfId="807" applyNumberFormat="1" applyFont="1"/>
    <xf numFmtId="169" fontId="100" fillId="0" borderId="0" xfId="807" applyNumberFormat="1" applyFont="1"/>
    <xf numFmtId="0" fontId="100" fillId="0" borderId="0" xfId="0" applyFont="1" applyAlignment="1">
      <alignment horizontal="left" vertical="top" wrapText="1"/>
    </xf>
    <xf numFmtId="0" fontId="112" fillId="0" borderId="0" xfId="0" applyFont="1" applyAlignment="1">
      <alignment horizontal="center"/>
    </xf>
    <xf numFmtId="0" fontId="112" fillId="0" borderId="0" xfId="0" applyFont="1" applyAlignment="1">
      <alignment horizontal="centerContinuous"/>
    </xf>
    <xf numFmtId="9" fontId="100" fillId="0" borderId="0" xfId="382" applyFont="1" applyFill="1" applyAlignment="1">
      <alignment horizontal="center"/>
    </xf>
    <xf numFmtId="10" fontId="100" fillId="0" borderId="0" xfId="382" applyNumberFormat="1" applyFont="1" applyFill="1"/>
    <xf numFmtId="170" fontId="100" fillId="0" borderId="0" xfId="12" applyNumberFormat="1" applyFont="1" applyFill="1" applyBorder="1"/>
    <xf numFmtId="43" fontId="100" fillId="0" borderId="0" xfId="12" applyFont="1" applyFill="1" applyBorder="1"/>
    <xf numFmtId="10" fontId="100" fillId="0" borderId="0" xfId="376" applyNumberFormat="1" applyFont="1" applyFill="1"/>
    <xf numFmtId="43" fontId="100" fillId="0" borderId="0" xfId="12" applyFont="1" applyFill="1"/>
    <xf numFmtId="0" fontId="126" fillId="0" borderId="0" xfId="1178" applyFont="1"/>
    <xf numFmtId="0" fontId="127" fillId="0" borderId="0" xfId="1178" applyFont="1"/>
    <xf numFmtId="43" fontId="126" fillId="0" borderId="0" xfId="4" quotePrefix="1" applyFont="1" applyFill="1" applyAlignment="1"/>
    <xf numFmtId="43" fontId="126" fillId="0" borderId="0" xfId="4" applyFont="1" applyFill="1"/>
    <xf numFmtId="43" fontId="126" fillId="0" borderId="0" xfId="762" applyNumberFormat="1" applyFont="1"/>
    <xf numFmtId="49" fontId="125" fillId="0" borderId="13" xfId="0" quotePrefix="1" applyNumberFormat="1" applyFont="1" applyBorder="1"/>
    <xf numFmtId="0" fontId="65" fillId="0" borderId="0" xfId="907"/>
    <xf numFmtId="0" fontId="126" fillId="0" borderId="13" xfId="1178" applyFont="1" applyBorder="1" applyAlignment="1">
      <alignment horizontal="left"/>
    </xf>
    <xf numFmtId="0" fontId="99" fillId="0" borderId="0" xfId="169" applyFont="1" applyAlignment="1">
      <alignment horizontal="center"/>
    </xf>
    <xf numFmtId="174" fontId="100" fillId="0" borderId="0" xfId="169" applyNumberFormat="1" applyFont="1" applyAlignment="1">
      <alignment horizontal="left" vertical="top" wrapText="1"/>
    </xf>
    <xf numFmtId="10" fontId="101" fillId="0" borderId="0" xfId="1276" applyNumberFormat="1" applyFont="1" applyFill="1"/>
    <xf numFmtId="0" fontId="125" fillId="0" borderId="0" xfId="0" applyFont="1"/>
    <xf numFmtId="0" fontId="100" fillId="0" borderId="0" xfId="0" applyFont="1" applyAlignment="1">
      <alignment vertical="top" wrapText="1"/>
    </xf>
    <xf numFmtId="0" fontId="106" fillId="0" borderId="0" xfId="103" applyFont="1" applyAlignment="1">
      <alignment horizontal="center"/>
    </xf>
    <xf numFmtId="0" fontId="65" fillId="0" borderId="20" xfId="1606" applyFont="1" applyBorder="1" applyAlignment="1">
      <alignment horizontal="center"/>
    </xf>
    <xf numFmtId="43" fontId="119" fillId="0" borderId="19" xfId="1606" applyNumberFormat="1" applyFont="1" applyBorder="1" applyAlignment="1">
      <alignment horizontal="center"/>
    </xf>
    <xf numFmtId="0" fontId="65" fillId="0" borderId="0" xfId="1606" applyFont="1"/>
    <xf numFmtId="2" fontId="65" fillId="0" borderId="0" xfId="1607" applyNumberFormat="1" applyFont="1"/>
    <xf numFmtId="0" fontId="65" fillId="0" borderId="20" xfId="1607" applyFont="1" applyBorder="1" applyAlignment="1">
      <alignment horizontal="center"/>
    </xf>
    <xf numFmtId="43" fontId="119" fillId="0" borderId="19" xfId="1607" applyNumberFormat="1" applyFont="1" applyBorder="1" applyAlignment="1">
      <alignment horizontal="center"/>
    </xf>
    <xf numFmtId="0" fontId="65" fillId="0" borderId="0" xfId="1607" applyFont="1"/>
    <xf numFmtId="0" fontId="100" fillId="0" borderId="3" xfId="211" quotePrefix="1" applyFont="1" applyBorder="1" applyAlignment="1">
      <alignment wrapText="1"/>
    </xf>
    <xf numFmtId="14" fontId="108" fillId="0" borderId="0" xfId="103" applyNumberFormat="1" applyFont="1"/>
    <xf numFmtId="10" fontId="100" fillId="0" borderId="0" xfId="382" applyNumberFormat="1" applyFont="1" applyFill="1" applyBorder="1" applyAlignment="1">
      <alignment horizontal="right"/>
    </xf>
    <xf numFmtId="10" fontId="100" fillId="0" borderId="0" xfId="382" applyNumberFormat="1" applyFont="1" applyFill="1" applyAlignment="1">
      <alignment horizontal="right"/>
    </xf>
    <xf numFmtId="43" fontId="108" fillId="0" borderId="12" xfId="4" applyFont="1" applyFill="1" applyBorder="1"/>
    <xf numFmtId="10" fontId="100" fillId="0" borderId="0" xfId="1276" applyNumberFormat="1" applyFont="1" applyFill="1"/>
    <xf numFmtId="10" fontId="100" fillId="0" borderId="0" xfId="0" applyNumberFormat="1" applyFont="1"/>
    <xf numFmtId="0" fontId="101" fillId="0" borderId="0" xfId="0" quotePrefix="1" applyFont="1" applyAlignment="1">
      <alignment horizontal="right"/>
    </xf>
    <xf numFmtId="0" fontId="100" fillId="0" borderId="3" xfId="807" applyFont="1" applyBorder="1" applyAlignment="1">
      <alignment horizontal="center"/>
    </xf>
    <xf numFmtId="43" fontId="100" fillId="0" borderId="0" xfId="807" applyNumberFormat="1" applyFont="1"/>
    <xf numFmtId="0" fontId="100" fillId="0" borderId="0" xfId="103" applyFont="1"/>
    <xf numFmtId="179" fontId="101" fillId="0" borderId="0" xfId="752" applyNumberFormat="1" applyFont="1"/>
    <xf numFmtId="0" fontId="126" fillId="0" borderId="36" xfId="762" applyFont="1" applyBorder="1"/>
    <xf numFmtId="0" fontId="126" fillId="0" borderId="38" xfId="762" applyFont="1" applyBorder="1"/>
    <xf numFmtId="0" fontId="126" fillId="0" borderId="40" xfId="762" applyFont="1" applyBorder="1"/>
    <xf numFmtId="0" fontId="126" fillId="0" borderId="39" xfId="762" applyFont="1" applyBorder="1"/>
    <xf numFmtId="0" fontId="126" fillId="0" borderId="17" xfId="762" applyFont="1" applyBorder="1"/>
    <xf numFmtId="14" fontId="126" fillId="0" borderId="13" xfId="762" applyNumberFormat="1" applyFont="1" applyBorder="1" applyAlignment="1">
      <alignment horizontal="center"/>
    </xf>
    <xf numFmtId="0" fontId="126" fillId="0" borderId="0" xfId="762" quotePrefix="1" applyFont="1"/>
    <xf numFmtId="49" fontId="126" fillId="0" borderId="13" xfId="762" quotePrefix="1" applyNumberFormat="1" applyFont="1" applyBorder="1" applyAlignment="1">
      <alignment horizontal="left"/>
    </xf>
    <xf numFmtId="49" fontId="125" fillId="0" borderId="13" xfId="907" quotePrefix="1" applyNumberFormat="1" applyFont="1" applyBorder="1"/>
    <xf numFmtId="0" fontId="100" fillId="0" borderId="0" xfId="154" applyFont="1"/>
    <xf numFmtId="0" fontId="100" fillId="0" borderId="0" xfId="154" quotePrefix="1" applyFont="1" applyAlignment="1">
      <alignment horizontal="right" vertical="top"/>
    </xf>
    <xf numFmtId="0" fontId="101" fillId="0" borderId="0" xfId="752" applyFont="1" applyAlignment="1">
      <alignment horizontal="center"/>
    </xf>
    <xf numFmtId="182" fontId="101" fillId="0" borderId="0" xfId="752" applyNumberFormat="1" applyFont="1"/>
    <xf numFmtId="43" fontId="100" fillId="0" borderId="2" xfId="169" applyNumberFormat="1" applyFont="1" applyBorder="1"/>
    <xf numFmtId="9" fontId="100" fillId="0" borderId="0" xfId="169" quotePrefix="1" applyNumberFormat="1" applyFont="1"/>
    <xf numFmtId="10" fontId="100" fillId="0" borderId="0" xfId="382" applyNumberFormat="1" applyFont="1" applyFill="1" applyAlignment="1">
      <alignment horizontal="center"/>
    </xf>
    <xf numFmtId="43" fontId="100" fillId="0" borderId="2" xfId="12" applyFont="1" applyFill="1" applyBorder="1"/>
    <xf numFmtId="43" fontId="100" fillId="0" borderId="3" xfId="59" applyFont="1" applyFill="1" applyBorder="1"/>
    <xf numFmtId="43" fontId="100" fillId="0" borderId="2" xfId="59" applyFont="1" applyFill="1" applyBorder="1"/>
    <xf numFmtId="10" fontId="108" fillId="0" borderId="0" xfId="0" applyNumberFormat="1" applyFont="1"/>
    <xf numFmtId="173" fontId="100" fillId="0" borderId="0" xfId="67" applyNumberFormat="1" applyFont="1" applyFill="1" applyAlignment="1">
      <alignment horizontal="right"/>
    </xf>
    <xf numFmtId="0" fontId="100" fillId="0" borderId="0" xfId="169" applyFont="1" applyAlignment="1">
      <alignment horizontal="left" indent="4"/>
    </xf>
    <xf numFmtId="0" fontId="100" fillId="0" borderId="0" xfId="211" applyFont="1" applyAlignment="1">
      <alignment horizontal="left" vertical="top"/>
    </xf>
    <xf numFmtId="188" fontId="100" fillId="0" borderId="0" xfId="807" applyNumberFormat="1" applyFont="1"/>
    <xf numFmtId="189" fontId="100" fillId="0" borderId="0" xfId="807" applyNumberFormat="1" applyFont="1"/>
    <xf numFmtId="188" fontId="100" fillId="0" borderId="2" xfId="807" applyNumberFormat="1" applyFont="1" applyBorder="1"/>
    <xf numFmtId="187" fontId="100" fillId="0" borderId="2" xfId="807" applyNumberFormat="1" applyFont="1" applyBorder="1"/>
    <xf numFmtId="189" fontId="100" fillId="0" borderId="2" xfId="807" applyNumberFormat="1" applyFont="1" applyBorder="1"/>
    <xf numFmtId="39" fontId="100" fillId="0" borderId="0" xfId="169" applyNumberFormat="1" applyFont="1"/>
    <xf numFmtId="39" fontId="100" fillId="0" borderId="2" xfId="169" applyNumberFormat="1" applyFont="1" applyBorder="1"/>
    <xf numFmtId="0" fontId="126" fillId="0" borderId="52" xfId="762" applyFont="1" applyBorder="1"/>
    <xf numFmtId="0" fontId="99" fillId="0" borderId="0" xfId="807" applyFont="1" applyAlignment="1">
      <alignment horizontal="center"/>
    </xf>
    <xf numFmtId="190" fontId="100" fillId="0" borderId="0" xfId="807" applyNumberFormat="1" applyFont="1"/>
    <xf numFmtId="37" fontId="100" fillId="0" borderId="0" xfId="807" applyNumberFormat="1" applyFont="1"/>
    <xf numFmtId="164" fontId="100" fillId="0" borderId="0" xfId="807" applyNumberFormat="1" applyFont="1"/>
    <xf numFmtId="2" fontId="100" fillId="0" borderId="0" xfId="807" applyNumberFormat="1" applyFont="1"/>
    <xf numFmtId="167" fontId="100" fillId="0" borderId="0" xfId="807" applyNumberFormat="1" applyFont="1"/>
    <xf numFmtId="0" fontId="155" fillId="0" borderId="0" xfId="807" applyFont="1"/>
    <xf numFmtId="190" fontId="102" fillId="0" borderId="0" xfId="807" applyNumberFormat="1" applyFont="1"/>
    <xf numFmtId="165" fontId="100" fillId="0" borderId="0" xfId="807" applyNumberFormat="1" applyFont="1"/>
    <xf numFmtId="0" fontId="126" fillId="0" borderId="0" xfId="1738" applyFont="1"/>
    <xf numFmtId="0" fontId="126" fillId="0" borderId="0" xfId="1738" applyFont="1" applyAlignment="1">
      <alignment horizontal="center"/>
    </xf>
    <xf numFmtId="0" fontId="126" fillId="0" borderId="0" xfId="1739" applyFont="1"/>
    <xf numFmtId="0" fontId="126" fillId="0" borderId="0" xfId="1739" applyFont="1" applyAlignment="1">
      <alignment horizontal="left"/>
    </xf>
    <xf numFmtId="0" fontId="126" fillId="0" borderId="0" xfId="1739" applyFont="1" applyAlignment="1">
      <alignment horizontal="left" wrapText="1"/>
    </xf>
    <xf numFmtId="1" fontId="126" fillId="0" borderId="0" xfId="1739" applyNumberFormat="1" applyFont="1" applyAlignment="1">
      <alignment horizontal="right"/>
    </xf>
    <xf numFmtId="0" fontId="126" fillId="0" borderId="0" xfId="1739" applyFont="1" applyAlignment="1">
      <alignment wrapText="1"/>
    </xf>
    <xf numFmtId="0" fontId="126" fillId="0" borderId="0" xfId="1738" applyFont="1" applyAlignment="1">
      <alignment wrapText="1"/>
    </xf>
    <xf numFmtId="0" fontId="126" fillId="0" borderId="0" xfId="1739" applyFont="1" applyAlignment="1">
      <alignment horizontal="right"/>
    </xf>
    <xf numFmtId="3" fontId="126" fillId="0" borderId="0" xfId="1739" applyNumberFormat="1" applyFont="1" applyAlignment="1">
      <alignment horizontal="right"/>
    </xf>
    <xf numFmtId="10" fontId="108" fillId="0" borderId="0" xfId="1740" applyNumberFormat="1" applyFont="1"/>
    <xf numFmtId="10" fontId="126" fillId="0" borderId="0" xfId="1738" applyNumberFormat="1" applyFont="1"/>
    <xf numFmtId="0" fontId="108" fillId="0" borderId="0" xfId="1739" applyFont="1"/>
    <xf numFmtId="1" fontId="126" fillId="0" borderId="0" xfId="1739" applyNumberFormat="1" applyFont="1" applyAlignment="1">
      <alignment horizontal="left"/>
    </xf>
    <xf numFmtId="1" fontId="108" fillId="0" borderId="0" xfId="1739" applyNumberFormat="1" applyFont="1" applyAlignment="1">
      <alignment horizontal="left"/>
    </xf>
    <xf numFmtId="1" fontId="126" fillId="0" borderId="0" xfId="1738" applyNumberFormat="1" applyFont="1" applyAlignment="1">
      <alignment horizontal="left"/>
    </xf>
    <xf numFmtId="1" fontId="126" fillId="0" borderId="0" xfId="1738" applyNumberFormat="1" applyFont="1" applyAlignment="1">
      <alignment horizontal="right"/>
    </xf>
    <xf numFmtId="3" fontId="126" fillId="0" borderId="0" xfId="1738" applyNumberFormat="1" applyFont="1" applyAlignment="1">
      <alignment horizontal="right"/>
    </xf>
    <xf numFmtId="0" fontId="126" fillId="0" borderId="0" xfId="1738" applyFont="1" applyAlignment="1">
      <alignment horizontal="left"/>
    </xf>
    <xf numFmtId="0" fontId="126" fillId="0" borderId="0" xfId="1738" applyFont="1" applyAlignment="1">
      <alignment horizontal="right"/>
    </xf>
    <xf numFmtId="10" fontId="101" fillId="0" borderId="0" xfId="1276" applyNumberFormat="1" applyFont="1"/>
    <xf numFmtId="0" fontId="99" fillId="0" borderId="0" xfId="103" applyFont="1" applyAlignment="1">
      <alignment horizontal="center"/>
    </xf>
    <xf numFmtId="0" fontId="100" fillId="0" borderId="0" xfId="103" applyFont="1" applyAlignment="1">
      <alignment horizontal="center"/>
    </xf>
    <xf numFmtId="0" fontId="100" fillId="0" borderId="0" xfId="103" quotePrefix="1" applyFont="1" applyAlignment="1">
      <alignment horizontal="center"/>
    </xf>
    <xf numFmtId="0" fontId="100" fillId="0" borderId="40" xfId="103" applyFont="1" applyBorder="1" applyAlignment="1">
      <alignment horizontal="center" wrapText="1"/>
    </xf>
    <xf numFmtId="0" fontId="100" fillId="0" borderId="0" xfId="103" applyFont="1" applyAlignment="1">
      <alignment wrapText="1"/>
    </xf>
    <xf numFmtId="0" fontId="100" fillId="0" borderId="0" xfId="103" applyFont="1" applyAlignment="1">
      <alignment horizontal="center" wrapText="1"/>
    </xf>
    <xf numFmtId="0" fontId="100" fillId="0" borderId="0" xfId="103" applyFont="1" applyAlignment="1">
      <alignment horizontal="fill"/>
    </xf>
    <xf numFmtId="39" fontId="100" fillId="0" borderId="0" xfId="103" applyNumberFormat="1" applyFont="1" applyProtection="1">
      <protection locked="0"/>
    </xf>
    <xf numFmtId="192" fontId="100" fillId="0" borderId="0" xfId="103" applyNumberFormat="1" applyFont="1" applyProtection="1">
      <protection locked="0"/>
    </xf>
    <xf numFmtId="2" fontId="100" fillId="0" borderId="0" xfId="103" applyNumberFormat="1" applyFont="1"/>
    <xf numFmtId="195" fontId="100" fillId="0" borderId="0" xfId="103" applyNumberFormat="1" applyFont="1"/>
    <xf numFmtId="194" fontId="99" fillId="0" borderId="0" xfId="103" applyNumberFormat="1" applyFont="1" applyAlignment="1" applyProtection="1">
      <alignment horizontal="center"/>
      <protection locked="0"/>
    </xf>
    <xf numFmtId="39" fontId="100" fillId="0" borderId="0" xfId="103" applyNumberFormat="1" applyFont="1" applyAlignment="1" applyProtection="1">
      <alignment horizontal="center" wrapText="1"/>
      <protection locked="0"/>
    </xf>
    <xf numFmtId="0" fontId="100" fillId="0" borderId="40" xfId="103" applyFont="1" applyBorder="1" applyAlignment="1">
      <alignment wrapText="1"/>
    </xf>
    <xf numFmtId="43" fontId="100" fillId="0" borderId="2" xfId="103" applyNumberFormat="1" applyFont="1" applyBorder="1"/>
    <xf numFmtId="2" fontId="100" fillId="0" borderId="2" xfId="103" applyNumberFormat="1" applyFont="1" applyBorder="1"/>
    <xf numFmtId="192" fontId="100" fillId="0" borderId="0" xfId="103" applyNumberFormat="1" applyFont="1"/>
    <xf numFmtId="0" fontId="102" fillId="0" borderId="0" xfId="103" applyFont="1"/>
    <xf numFmtId="43" fontId="100" fillId="0" borderId="0" xfId="103" applyNumberFormat="1" applyFont="1"/>
    <xf numFmtId="0" fontId="100" fillId="0" borderId="0" xfId="103" applyFont="1" applyAlignment="1">
      <alignment horizontal="right"/>
    </xf>
    <xf numFmtId="0" fontId="102" fillId="0" borderId="0" xfId="103" applyFont="1" applyAlignment="1">
      <alignment wrapText="1"/>
    </xf>
    <xf numFmtId="7" fontId="102" fillId="0" borderId="0" xfId="103" applyNumberFormat="1" applyFont="1"/>
    <xf numFmtId="192" fontId="102" fillId="0" borderId="0" xfId="103" applyNumberFormat="1" applyFont="1"/>
    <xf numFmtId="194" fontId="100" fillId="0" borderId="0" xfId="103" applyNumberFormat="1" applyFont="1"/>
    <xf numFmtId="39" fontId="100" fillId="0" borderId="0" xfId="103" applyNumberFormat="1" applyFont="1"/>
    <xf numFmtId="196" fontId="100" fillId="0" borderId="0" xfId="103" applyNumberFormat="1" applyFont="1"/>
    <xf numFmtId="43" fontId="132" fillId="0" borderId="40" xfId="4" applyFont="1" applyFill="1" applyBorder="1" applyAlignment="1">
      <alignment horizontal="right"/>
    </xf>
    <xf numFmtId="43" fontId="132" fillId="0" borderId="29" xfId="4" applyFont="1" applyFill="1" applyBorder="1" applyAlignment="1">
      <alignment horizontal="right"/>
    </xf>
    <xf numFmtId="0" fontId="100" fillId="0" borderId="0" xfId="169" applyFont="1" applyAlignment="1">
      <alignment horizontal="left" vertical="top" wrapText="1"/>
    </xf>
    <xf numFmtId="0" fontId="108" fillId="0" borderId="0" xfId="807" applyFont="1"/>
    <xf numFmtId="0" fontId="100" fillId="0" borderId="64" xfId="211" applyFont="1" applyBorder="1" applyAlignment="1">
      <alignment wrapText="1"/>
    </xf>
    <xf numFmtId="0" fontId="100" fillId="0" borderId="40" xfId="0" applyFont="1" applyBorder="1" applyAlignment="1">
      <alignment wrapText="1"/>
    </xf>
    <xf numFmtId="0" fontId="100" fillId="0" borderId="40" xfId="0" applyFont="1" applyBorder="1" applyAlignment="1">
      <alignment horizontal="center" wrapText="1"/>
    </xf>
    <xf numFmtId="43" fontId="100" fillId="0" borderId="64" xfId="169" applyNumberFormat="1" applyFont="1" applyBorder="1"/>
    <xf numFmtId="164" fontId="100" fillId="0" borderId="0" xfId="0" applyNumberFormat="1" applyFont="1" applyAlignment="1">
      <alignment horizontal="center"/>
    </xf>
    <xf numFmtId="0" fontId="100" fillId="0" borderId="40" xfId="0" applyFont="1" applyBorder="1" applyAlignment="1">
      <alignment horizontal="centerContinuous"/>
    </xf>
    <xf numFmtId="0" fontId="4" fillId="0" borderId="0" xfId="762" applyFont="1" applyAlignment="1">
      <alignment horizontal="right"/>
    </xf>
    <xf numFmtId="0" fontId="100" fillId="0" borderId="42" xfId="0" applyFont="1" applyBorder="1" applyAlignment="1">
      <alignment horizontal="center"/>
    </xf>
    <xf numFmtId="2" fontId="100" fillId="0" borderId="0" xfId="751" applyNumberFormat="1" applyFont="1" applyFill="1" applyAlignment="1">
      <alignment horizontal="right"/>
    </xf>
    <xf numFmtId="2" fontId="100" fillId="0" borderId="0" xfId="4" applyNumberFormat="1" applyFont="1" applyFill="1" applyAlignment="1">
      <alignment horizontal="right"/>
    </xf>
    <xf numFmtId="43" fontId="100" fillId="0" borderId="42" xfId="4" applyFont="1" applyFill="1" applyBorder="1"/>
    <xf numFmtId="43" fontId="100" fillId="0" borderId="0" xfId="4" applyFont="1" applyFill="1" applyBorder="1" applyAlignment="1">
      <alignment horizontal="center"/>
    </xf>
    <xf numFmtId="43" fontId="100" fillId="0" borderId="0" xfId="4" applyFont="1" applyFill="1" applyBorder="1" applyAlignment="1">
      <alignment horizontal="right"/>
    </xf>
    <xf numFmtId="179" fontId="100" fillId="0" borderId="0" xfId="4" applyNumberFormat="1" applyFont="1" applyFill="1" applyBorder="1" applyAlignment="1">
      <alignment horizontal="right"/>
    </xf>
    <xf numFmtId="174" fontId="100" fillId="0" borderId="64" xfId="169" applyNumberFormat="1" applyFont="1" applyBorder="1"/>
    <xf numFmtId="0" fontId="100" fillId="0" borderId="0" xfId="169" applyFont="1" applyAlignment="1">
      <alignment horizontal="left" wrapText="1" indent="1"/>
    </xf>
    <xf numFmtId="0" fontId="101" fillId="0" borderId="40" xfId="1752" applyFont="1" applyBorder="1" applyAlignment="1">
      <alignment wrapText="1"/>
    </xf>
    <xf numFmtId="0" fontId="101" fillId="0" borderId="0" xfId="1752" applyFont="1"/>
    <xf numFmtId="0" fontId="100" fillId="0" borderId="40" xfId="169" applyFont="1" applyBorder="1" applyAlignment="1">
      <alignment horizontal="center" wrapText="1"/>
    </xf>
    <xf numFmtId="175" fontId="100" fillId="0" borderId="40" xfId="169" applyNumberFormat="1" applyFont="1" applyBorder="1" applyAlignment="1">
      <alignment horizontal="center" wrapText="1"/>
    </xf>
    <xf numFmtId="0" fontId="4" fillId="0" borderId="0" xfId="762" applyFont="1"/>
    <xf numFmtId="0" fontId="100" fillId="0" borderId="42" xfId="169" applyFont="1" applyBorder="1" applyAlignment="1">
      <alignment horizontal="center"/>
    </xf>
    <xf numFmtId="164" fontId="100" fillId="0" borderId="42" xfId="169" quotePrefix="1" applyNumberFormat="1" applyFont="1" applyBorder="1" applyAlignment="1">
      <alignment horizontal="center"/>
    </xf>
    <xf numFmtId="0" fontId="104" fillId="0" borderId="0" xfId="1752" applyFont="1"/>
    <xf numFmtId="0" fontId="104" fillId="0" borderId="0" xfId="1752" applyFont="1" applyAlignment="1">
      <alignment horizontal="right"/>
    </xf>
    <xf numFmtId="0" fontId="101" fillId="0" borderId="40" xfId="0" applyFont="1" applyBorder="1" applyAlignment="1">
      <alignment horizontal="center" wrapText="1"/>
    </xf>
    <xf numFmtId="0" fontId="101" fillId="0" borderId="42" xfId="0" applyFont="1" applyBorder="1"/>
    <xf numFmtId="0" fontId="100" fillId="0" borderId="40" xfId="0" applyFont="1" applyBorder="1" applyAlignment="1">
      <alignment horizontal="centerContinuous" wrapText="1"/>
    </xf>
    <xf numFmtId="10" fontId="65" fillId="0" borderId="0" xfId="763" applyNumberFormat="1" applyFont="1" applyFill="1" applyAlignment="1">
      <alignment horizontal="center"/>
    </xf>
    <xf numFmtId="43" fontId="100" fillId="0" borderId="42" xfId="0" applyNumberFormat="1" applyFont="1" applyBorder="1"/>
    <xf numFmtId="10" fontId="100" fillId="0" borderId="40" xfId="751" applyNumberFormat="1" applyFont="1" applyFill="1" applyBorder="1" applyAlignment="1">
      <alignment horizontal="center"/>
    </xf>
    <xf numFmtId="10" fontId="100" fillId="0" borderId="0" xfId="751" applyNumberFormat="1" applyFont="1"/>
    <xf numFmtId="0" fontId="104" fillId="0" borderId="0" xfId="771" quotePrefix="1" applyFont="1" applyAlignment="1">
      <alignment horizontal="right" vertical="top"/>
    </xf>
    <xf numFmtId="43" fontId="0" fillId="0" borderId="0" xfId="763" applyNumberFormat="1" applyFont="1" applyFill="1" applyAlignment="1">
      <alignment horizontal="center"/>
    </xf>
    <xf numFmtId="43" fontId="100" fillId="0" borderId="64" xfId="4" applyFont="1" applyFill="1" applyBorder="1" applyAlignment="1"/>
    <xf numFmtId="43" fontId="100" fillId="0" borderId="40" xfId="4" applyFont="1" applyFill="1" applyBorder="1" applyAlignment="1"/>
    <xf numFmtId="179" fontId="100" fillId="0" borderId="0" xfId="4" applyNumberFormat="1" applyFont="1" applyFill="1" applyBorder="1" applyAlignment="1">
      <alignment horizontal="center"/>
    </xf>
    <xf numFmtId="10" fontId="101" fillId="0" borderId="0" xfId="1276" applyNumberFormat="1" applyFont="1" applyFill="1" applyAlignment="1">
      <alignment horizontal="right"/>
    </xf>
    <xf numFmtId="43" fontId="0" fillId="0" borderId="0" xfId="4" applyFont="1" applyFill="1" applyAlignment="1">
      <alignment horizontal="center"/>
    </xf>
    <xf numFmtId="43" fontId="100" fillId="0" borderId="40" xfId="4" applyFont="1" applyBorder="1"/>
    <xf numFmtId="0" fontId="101" fillId="0" borderId="0" xfId="1754" applyFont="1"/>
    <xf numFmtId="0" fontId="101" fillId="0" borderId="0" xfId="1754" applyFont="1" applyAlignment="1">
      <alignment horizontal="center"/>
    </xf>
    <xf numFmtId="0" fontId="101" fillId="0" borderId="40" xfId="1754" applyFont="1" applyBorder="1"/>
    <xf numFmtId="0" fontId="101" fillId="0" borderId="40" xfId="1754" applyFont="1" applyBorder="1" applyAlignment="1">
      <alignment horizontal="center" wrapText="1"/>
    </xf>
    <xf numFmtId="1" fontId="101" fillId="0" borderId="0" xfId="1754" applyNumberFormat="1" applyFont="1" applyAlignment="1">
      <alignment horizontal="left"/>
    </xf>
    <xf numFmtId="10" fontId="101" fillId="0" borderId="0" xfId="1755" applyNumberFormat="1" applyFont="1" applyBorder="1" applyAlignment="1">
      <alignment horizontal="center"/>
    </xf>
    <xf numFmtId="10" fontId="101" fillId="0" borderId="0" xfId="1754" applyNumberFormat="1" applyFont="1" applyAlignment="1">
      <alignment horizontal="center"/>
    </xf>
    <xf numFmtId="10" fontId="101" fillId="0" borderId="0" xfId="1754" applyNumberFormat="1" applyFont="1"/>
    <xf numFmtId="0" fontId="101" fillId="0" borderId="0" xfId="1754" applyFont="1" applyAlignment="1">
      <alignment horizontal="right"/>
    </xf>
    <xf numFmtId="10" fontId="101" fillId="0" borderId="2" xfId="1754" applyNumberFormat="1" applyFont="1" applyBorder="1" applyAlignment="1">
      <alignment horizontal="center"/>
    </xf>
    <xf numFmtId="0" fontId="0" fillId="0" borderId="0" xfId="0" applyAlignment="1">
      <alignment vertical="top" wrapText="1"/>
    </xf>
    <xf numFmtId="0" fontId="101" fillId="0" borderId="0" xfId="111" applyFont="1" applyAlignment="1">
      <alignment horizontal="centerContinuous"/>
    </xf>
    <xf numFmtId="0" fontId="105" fillId="0" borderId="0" xfId="1738" applyFont="1" applyAlignment="1">
      <alignment horizontal="centerContinuous"/>
    </xf>
    <xf numFmtId="0" fontId="104" fillId="0" borderId="0" xfId="111" applyFont="1" applyAlignment="1">
      <alignment horizontal="centerContinuous"/>
    </xf>
    <xf numFmtId="0" fontId="99" fillId="0" borderId="0" xfId="211" quotePrefix="1" applyFont="1" applyAlignment="1">
      <alignment horizontal="centerContinuous"/>
    </xf>
    <xf numFmtId="0" fontId="100" fillId="0" borderId="0" xfId="211" applyFont="1" applyAlignment="1">
      <alignment horizontal="centerContinuous"/>
    </xf>
    <xf numFmtId="0" fontId="99" fillId="0" borderId="0" xfId="211" applyFont="1" applyAlignment="1">
      <alignment horizontal="centerContinuous"/>
    </xf>
    <xf numFmtId="0" fontId="100" fillId="0" borderId="0" xfId="0" applyFont="1" applyAlignment="1">
      <alignment horizontal="left" vertical="center"/>
    </xf>
    <xf numFmtId="0" fontId="100" fillId="0" borderId="0" xfId="0" applyFont="1" applyAlignment="1">
      <alignment horizontal="left" vertical="top"/>
    </xf>
    <xf numFmtId="0" fontId="101" fillId="0" borderId="0" xfId="0" applyFont="1" applyAlignment="1">
      <alignment horizontal="left" vertical="top"/>
    </xf>
    <xf numFmtId="2" fontId="100" fillId="0" borderId="0" xfId="751" applyNumberFormat="1" applyFont="1" applyFill="1" applyAlignment="1">
      <alignment horizontal="center"/>
    </xf>
    <xf numFmtId="0" fontId="101" fillId="0" borderId="0" xfId="1754" applyFont="1" applyAlignment="1">
      <alignment horizontal="centerContinuous"/>
    </xf>
    <xf numFmtId="0" fontId="105" fillId="0" borderId="0" xfId="1754" applyFont="1" applyAlignment="1">
      <alignment horizontal="centerContinuous"/>
    </xf>
    <xf numFmtId="168" fontId="100" fillId="0" borderId="0" xfId="807" applyNumberFormat="1" applyFont="1"/>
    <xf numFmtId="14" fontId="125" fillId="0" borderId="13" xfId="0" quotePrefix="1" applyNumberFormat="1" applyFont="1" applyBorder="1" applyAlignment="1">
      <alignment horizontal="center"/>
    </xf>
    <xf numFmtId="10" fontId="158" fillId="0" borderId="0" xfId="0" applyNumberFormat="1" applyFont="1"/>
    <xf numFmtId="44" fontId="100" fillId="0" borderId="0" xfId="1282" applyFont="1"/>
    <xf numFmtId="188" fontId="100" fillId="0" borderId="40" xfId="807" applyNumberFormat="1" applyFont="1" applyBorder="1"/>
    <xf numFmtId="0" fontId="65" fillId="0" borderId="0" xfId="1759" applyFont="1"/>
    <xf numFmtId="43" fontId="119" fillId="0" borderId="19" xfId="1759" applyNumberFormat="1" applyFont="1" applyBorder="1" applyAlignment="1">
      <alignment horizontal="center"/>
    </xf>
    <xf numFmtId="0" fontId="65" fillId="0" borderId="20" xfId="1759" applyFont="1" applyBorder="1" applyAlignment="1">
      <alignment horizontal="center"/>
    </xf>
    <xf numFmtId="2" fontId="65" fillId="0" borderId="0" xfId="1760" applyNumberFormat="1" applyFont="1"/>
    <xf numFmtId="189" fontId="100" fillId="0" borderId="40" xfId="807" applyNumberFormat="1" applyFont="1" applyBorder="1"/>
    <xf numFmtId="43" fontId="101" fillId="0" borderId="0" xfId="0" applyNumberFormat="1" applyFont="1" applyAlignment="1">
      <alignment horizontal="center"/>
    </xf>
    <xf numFmtId="17" fontId="100" fillId="0" borderId="0" xfId="169" applyNumberFormat="1" applyFont="1" applyAlignment="1">
      <alignment horizontal="center" vertical="top"/>
    </xf>
    <xf numFmtId="174" fontId="100" fillId="0" borderId="0" xfId="171" applyNumberFormat="1" applyFont="1"/>
    <xf numFmtId="43" fontId="100" fillId="0" borderId="53" xfId="9" applyFont="1" applyFill="1" applyBorder="1" applyAlignment="1"/>
    <xf numFmtId="185" fontId="0" fillId="0" borderId="0" xfId="0" applyNumberFormat="1"/>
    <xf numFmtId="185" fontId="0" fillId="0" borderId="1" xfId="0" applyNumberFormat="1" applyBorder="1"/>
    <xf numFmtId="0" fontId="100" fillId="0" borderId="0" xfId="169" applyFont="1" applyAlignment="1">
      <alignment vertical="center" wrapText="1"/>
    </xf>
    <xf numFmtId="0" fontId="127" fillId="0" borderId="0" xfId="762" applyFont="1" applyAlignment="1">
      <alignment horizontal="center" vertical="center" wrapText="1"/>
    </xf>
    <xf numFmtId="14" fontId="127" fillId="0" borderId="0" xfId="762" applyNumberFormat="1" applyFont="1"/>
    <xf numFmtId="0" fontId="126" fillId="0" borderId="0" xfId="0" applyFont="1"/>
    <xf numFmtId="2" fontId="125" fillId="0" borderId="0" xfId="0" applyNumberFormat="1" applyFont="1"/>
    <xf numFmtId="14" fontId="126" fillId="0" borderId="0" xfId="0" applyNumberFormat="1" applyFont="1"/>
    <xf numFmtId="39" fontId="126" fillId="0" borderId="0" xfId="0" applyNumberFormat="1" applyFont="1"/>
    <xf numFmtId="0" fontId="126" fillId="0" borderId="0" xfId="752" applyFont="1"/>
    <xf numFmtId="0" fontId="126" fillId="0" borderId="26" xfId="752" applyFont="1" applyBorder="1"/>
    <xf numFmtId="14" fontId="126" fillId="0" borderId="0" xfId="752" applyNumberFormat="1" applyFont="1"/>
    <xf numFmtId="174" fontId="126" fillId="0" borderId="0" xfId="752" applyNumberFormat="1" applyFont="1"/>
    <xf numFmtId="0" fontId="126" fillId="0" borderId="0" xfId="752" applyFont="1" applyAlignment="1">
      <alignment horizontal="right"/>
    </xf>
    <xf numFmtId="0" fontId="161" fillId="0" borderId="0" xfId="752" applyFont="1"/>
    <xf numFmtId="2" fontId="126" fillId="0" borderId="0" xfId="752" applyNumberFormat="1" applyFont="1"/>
    <xf numFmtId="2" fontId="126" fillId="0" borderId="26" xfId="752" applyNumberFormat="1" applyFont="1" applyBorder="1"/>
    <xf numFmtId="43" fontId="126" fillId="0" borderId="26" xfId="4" applyFont="1" applyFill="1" applyBorder="1"/>
    <xf numFmtId="14" fontId="126" fillId="0" borderId="26" xfId="752" applyNumberFormat="1" applyFont="1" applyBorder="1"/>
    <xf numFmtId="169" fontId="126" fillId="0" borderId="0" xfId="752" applyNumberFormat="1" applyFont="1"/>
    <xf numFmtId="169" fontId="126" fillId="0" borderId="26" xfId="752" applyNumberFormat="1" applyFont="1" applyBorder="1"/>
    <xf numFmtId="167" fontId="126" fillId="0" borderId="0" xfId="752" applyNumberFormat="1" applyFont="1"/>
    <xf numFmtId="10" fontId="126" fillId="0" borderId="0" xfId="751" applyNumberFormat="1" applyFont="1" applyFill="1"/>
    <xf numFmtId="10" fontId="126" fillId="0" borderId="26" xfId="751" applyNumberFormat="1" applyFont="1" applyFill="1" applyBorder="1"/>
    <xf numFmtId="0" fontId="125" fillId="0" borderId="26" xfId="0" applyFont="1" applyBorder="1"/>
    <xf numFmtId="14" fontId="125" fillId="0" borderId="0" xfId="0" applyNumberFormat="1" applyFont="1"/>
    <xf numFmtId="2" fontId="125" fillId="0" borderId="26" xfId="0" applyNumberFormat="1" applyFont="1" applyBorder="1"/>
    <xf numFmtId="10" fontId="108" fillId="0" borderId="0" xfId="763" applyNumberFormat="1" applyFont="1" applyFill="1" applyAlignment="1">
      <alignment horizontal="left"/>
    </xf>
    <xf numFmtId="10" fontId="100" fillId="0" borderId="0" xfId="807" applyNumberFormat="1" applyFont="1"/>
    <xf numFmtId="10" fontId="108" fillId="0" borderId="40" xfId="763" applyNumberFormat="1" applyFont="1" applyFill="1" applyBorder="1" applyAlignment="1">
      <alignment horizontal="left"/>
    </xf>
    <xf numFmtId="167" fontId="100" fillId="0" borderId="0" xfId="169" applyNumberFormat="1" applyFont="1"/>
    <xf numFmtId="10" fontId="100" fillId="0" borderId="0" xfId="169" applyNumberFormat="1" applyFont="1" applyAlignment="1">
      <alignment horizontal="left"/>
    </xf>
    <xf numFmtId="0" fontId="100" fillId="0" borderId="64" xfId="807" applyFont="1" applyBorder="1"/>
    <xf numFmtId="10" fontId="125" fillId="0" borderId="0" xfId="751" applyNumberFormat="1" applyFont="1" applyAlignment="1">
      <alignment horizontal="center"/>
    </xf>
    <xf numFmtId="0" fontId="162" fillId="0" borderId="0" xfId="0" applyFont="1" applyAlignment="1">
      <alignment horizontal="left"/>
    </xf>
    <xf numFmtId="14" fontId="162" fillId="0" borderId="0" xfId="0" applyNumberFormat="1" applyFont="1" applyAlignment="1">
      <alignment horizontal="left"/>
    </xf>
    <xf numFmtId="0" fontId="163" fillId="0" borderId="0" xfId="0" applyFont="1"/>
    <xf numFmtId="0" fontId="164" fillId="0" borderId="0" xfId="752" applyFont="1"/>
    <xf numFmtId="44" fontId="163" fillId="0" borderId="0" xfId="760" applyFont="1" applyFill="1" applyBorder="1" applyAlignment="1">
      <alignment horizontal="right"/>
    </xf>
    <xf numFmtId="10" fontId="163" fillId="0" borderId="0" xfId="761" applyNumberFormat="1" applyFont="1" applyFill="1" applyBorder="1" applyAlignment="1">
      <alignment horizontal="right"/>
    </xf>
    <xf numFmtId="10" fontId="164" fillId="0" borderId="0" xfId="752" applyNumberFormat="1" applyFont="1" applyAlignment="1">
      <alignment horizontal="right"/>
    </xf>
    <xf numFmtId="178" fontId="163" fillId="0" borderId="0" xfId="761" applyNumberFormat="1" applyFont="1" applyFill="1" applyBorder="1" applyAlignment="1">
      <alignment horizontal="right"/>
    </xf>
    <xf numFmtId="10" fontId="165" fillId="0" borderId="0" xfId="773" applyNumberFormat="1" applyFont="1" applyFill="1" applyAlignment="1">
      <alignment horizontal="right"/>
    </xf>
    <xf numFmtId="0" fontId="164" fillId="0" borderId="0" xfId="752" quotePrefix="1" applyFont="1"/>
    <xf numFmtId="44" fontId="164" fillId="0" borderId="25" xfId="752" applyNumberFormat="1" applyFont="1" applyBorder="1"/>
    <xf numFmtId="10" fontId="164" fillId="0" borderId="0" xfId="752" applyNumberFormat="1" applyFont="1"/>
    <xf numFmtId="10" fontId="164" fillId="0" borderId="33" xfId="752" applyNumberFormat="1" applyFont="1" applyBorder="1"/>
    <xf numFmtId="0" fontId="166" fillId="0" borderId="0" xfId="752" quotePrefix="1" applyFont="1"/>
    <xf numFmtId="0" fontId="166" fillId="0" borderId="0" xfId="752" applyFont="1"/>
    <xf numFmtId="0" fontId="125" fillId="0" borderId="3" xfId="0" applyFont="1" applyBorder="1"/>
    <xf numFmtId="0" fontId="125" fillId="0" borderId="3" xfId="0" applyFont="1" applyBorder="1" applyAlignment="1">
      <alignment horizontal="center" wrapText="1"/>
    </xf>
    <xf numFmtId="0" fontId="108" fillId="0" borderId="3" xfId="0" applyFont="1" applyBorder="1" applyAlignment="1">
      <alignment horizontal="center" wrapText="1"/>
    </xf>
    <xf numFmtId="44" fontId="125" fillId="0" borderId="0" xfId="787" applyFont="1" applyAlignment="1">
      <alignment horizontal="center"/>
    </xf>
    <xf numFmtId="10" fontId="125" fillId="0" borderId="0" xfId="783" applyNumberFormat="1" applyFont="1" applyAlignment="1">
      <alignment horizontal="center"/>
    </xf>
    <xf numFmtId="178" fontId="125" fillId="0" borderId="0" xfId="783" applyNumberFormat="1" applyFont="1" applyAlignment="1">
      <alignment horizontal="center"/>
    </xf>
    <xf numFmtId="44" fontId="125" fillId="0" borderId="0" xfId="787" applyFont="1" applyAlignment="1">
      <alignment horizontal="left"/>
    </xf>
    <xf numFmtId="44" fontId="125" fillId="0" borderId="11" xfId="787" applyFont="1" applyBorder="1"/>
    <xf numFmtId="0" fontId="125" fillId="0" borderId="11" xfId="0" applyFont="1" applyBorder="1"/>
    <xf numFmtId="10" fontId="125" fillId="0" borderId="11" xfId="0" applyNumberFormat="1" applyFont="1" applyBorder="1"/>
    <xf numFmtId="10" fontId="125" fillId="0" borderId="11" xfId="783" applyNumberFormat="1" applyFont="1" applyBorder="1"/>
    <xf numFmtId="168" fontId="125" fillId="0" borderId="0" xfId="0" applyNumberFormat="1" applyFont="1"/>
    <xf numFmtId="0" fontId="126" fillId="0" borderId="0" xfId="123" applyFont="1"/>
    <xf numFmtId="14" fontId="125" fillId="0" borderId="13" xfId="390" applyNumberFormat="1" applyFont="1" applyFill="1" applyBorder="1"/>
    <xf numFmtId="178" fontId="125" fillId="0" borderId="0" xfId="390" applyNumberFormat="1" applyFont="1" applyFill="1"/>
    <xf numFmtId="178" fontId="125" fillId="0" borderId="13" xfId="390" applyNumberFormat="1" applyFont="1" applyFill="1" applyBorder="1"/>
    <xf numFmtId="0" fontId="111" fillId="0" borderId="18" xfId="0" applyFont="1" applyBorder="1" applyAlignment="1">
      <alignment horizontal="centerContinuous"/>
    </xf>
    <xf numFmtId="178" fontId="125" fillId="0" borderId="0" xfId="390" applyNumberFormat="1" applyFont="1" applyFill="1" applyAlignment="1">
      <alignment wrapText="1"/>
    </xf>
    <xf numFmtId="17" fontId="126" fillId="0" borderId="0" xfId="123" applyNumberFormat="1" applyFont="1"/>
    <xf numFmtId="178" fontId="167" fillId="0" borderId="0" xfId="390" applyNumberFormat="1" applyFont="1" applyFill="1"/>
    <xf numFmtId="0" fontId="108" fillId="0" borderId="1" xfId="0" applyFont="1" applyBorder="1"/>
    <xf numFmtId="0" fontId="111" fillId="0" borderId="18" xfId="0" applyFont="1" applyBorder="1" applyAlignment="1">
      <alignment horizontal="center"/>
    </xf>
    <xf numFmtId="10" fontId="125" fillId="0" borderId="0" xfId="770" applyNumberFormat="1" applyFont="1" applyFill="1"/>
    <xf numFmtId="10" fontId="126" fillId="0" borderId="0" xfId="123" applyNumberFormat="1" applyFont="1"/>
    <xf numFmtId="0" fontId="125" fillId="0" borderId="0" xfId="103" applyFont="1"/>
    <xf numFmtId="0" fontId="168" fillId="0" borderId="18" xfId="103" applyFont="1" applyBorder="1" applyAlignment="1">
      <alignment horizontal="center"/>
    </xf>
    <xf numFmtId="10" fontId="125" fillId="0" borderId="0" xfId="376" applyNumberFormat="1" applyFont="1" applyFill="1"/>
    <xf numFmtId="0" fontId="125" fillId="0" borderId="0" xfId="807" applyFont="1"/>
    <xf numFmtId="0" fontId="111" fillId="0" borderId="0" xfId="807" applyFont="1" applyAlignment="1">
      <alignment horizontal="centerContinuous"/>
    </xf>
    <xf numFmtId="0" fontId="111" fillId="0" borderId="0" xfId="807" applyFont="1" applyAlignment="1">
      <alignment horizontal="center"/>
    </xf>
    <xf numFmtId="178" fontId="167" fillId="0" borderId="0" xfId="390" applyNumberFormat="1" applyFont="1" applyFill="1" applyAlignment="1"/>
    <xf numFmtId="178" fontId="126" fillId="0" borderId="0" xfId="390" applyNumberFormat="1" applyFont="1" applyFill="1"/>
    <xf numFmtId="178" fontId="125" fillId="0" borderId="0" xfId="390" applyNumberFormat="1" applyFont="1" applyFill="1" applyBorder="1" applyAlignment="1" applyProtection="1"/>
    <xf numFmtId="178" fontId="125" fillId="0" borderId="0" xfId="390" applyNumberFormat="1" applyFont="1" applyFill="1" applyAlignment="1"/>
    <xf numFmtId="180" fontId="126" fillId="0" borderId="0" xfId="123" applyNumberFormat="1" applyFont="1"/>
    <xf numFmtId="0" fontId="125" fillId="0" borderId="1" xfId="103" applyFont="1" applyBorder="1"/>
    <xf numFmtId="178" fontId="125" fillId="0" borderId="0" xfId="390" applyNumberFormat="1" applyFont="1" applyFill="1" applyBorder="1"/>
    <xf numFmtId="180" fontId="125" fillId="0" borderId="0" xfId="807" applyNumberFormat="1" applyFont="1"/>
    <xf numFmtId="178" fontId="125" fillId="0" borderId="0" xfId="390" applyNumberFormat="1" applyFont="1"/>
    <xf numFmtId="10" fontId="125" fillId="0" borderId="0" xfId="770" applyNumberFormat="1" applyFont="1"/>
    <xf numFmtId="14" fontId="126" fillId="0" borderId="0" xfId="123" applyNumberFormat="1" applyFont="1"/>
    <xf numFmtId="43" fontId="126" fillId="0" borderId="0" xfId="4" applyFont="1" applyFill="1" applyBorder="1" applyAlignment="1">
      <alignment horizontal="center"/>
    </xf>
    <xf numFmtId="0" fontId="101" fillId="0" borderId="0" xfId="1764" applyFont="1"/>
    <xf numFmtId="0" fontId="101" fillId="0" borderId="0" xfId="1764" applyFont="1" applyAlignment="1">
      <alignment horizontal="center"/>
    </xf>
    <xf numFmtId="1" fontId="101" fillId="0" borderId="0" xfId="1764" applyNumberFormat="1" applyFont="1" applyAlignment="1">
      <alignment horizontal="left"/>
    </xf>
    <xf numFmtId="10" fontId="101" fillId="0" borderId="0" xfId="1764" applyNumberFormat="1" applyFont="1" applyAlignment="1">
      <alignment horizontal="center"/>
    </xf>
    <xf numFmtId="10" fontId="101" fillId="0" borderId="0" xfId="1764" applyNumberFormat="1" applyFont="1"/>
    <xf numFmtId="0" fontId="101" fillId="0" borderId="0" xfId="1764" applyFont="1" applyAlignment="1">
      <alignment horizontal="right"/>
    </xf>
    <xf numFmtId="0" fontId="101" fillId="0" borderId="0" xfId="1767" applyFont="1"/>
    <xf numFmtId="0" fontId="101" fillId="0" borderId="0" xfId="1767" applyFont="1" applyAlignment="1">
      <alignment horizontal="left"/>
    </xf>
    <xf numFmtId="0" fontId="101" fillId="0" borderId="0" xfId="1767" applyFont="1" applyAlignment="1">
      <alignment horizontal="left" wrapText="1"/>
    </xf>
    <xf numFmtId="0" fontId="101" fillId="0" borderId="0" xfId="1767" applyFont="1" applyAlignment="1">
      <alignment horizontal="right"/>
    </xf>
    <xf numFmtId="1" fontId="101" fillId="0" borderId="0" xfId="1767" applyNumberFormat="1" applyFont="1" applyAlignment="1">
      <alignment horizontal="right"/>
    </xf>
    <xf numFmtId="0" fontId="101" fillId="0" borderId="0" xfId="1767" applyFont="1" applyAlignment="1">
      <alignment wrapText="1"/>
    </xf>
    <xf numFmtId="0" fontId="101" fillId="0" borderId="0" xfId="1764" applyFont="1" applyAlignment="1">
      <alignment wrapText="1"/>
    </xf>
    <xf numFmtId="1" fontId="101" fillId="0" borderId="0" xfId="1764" applyNumberFormat="1" applyFont="1" applyAlignment="1">
      <alignment horizontal="right"/>
    </xf>
    <xf numFmtId="3" fontId="101" fillId="0" borderId="0" xfId="1764" applyNumberFormat="1" applyFont="1"/>
    <xf numFmtId="3" fontId="101" fillId="0" borderId="0" xfId="1767" applyNumberFormat="1" applyFont="1" applyAlignment="1">
      <alignment horizontal="right"/>
    </xf>
    <xf numFmtId="10" fontId="100" fillId="0" borderId="0" xfId="1768" applyNumberFormat="1" applyFont="1"/>
    <xf numFmtId="10" fontId="100" fillId="0" borderId="0" xfId="1768" applyNumberFormat="1" applyFont="1" applyAlignment="1"/>
    <xf numFmtId="1" fontId="101" fillId="0" borderId="0" xfId="1764" applyNumberFormat="1" applyFont="1"/>
    <xf numFmtId="0" fontId="100" fillId="0" borderId="0" xfId="1767" applyFont="1"/>
    <xf numFmtId="1" fontId="101" fillId="0" borderId="0" xfId="1767" applyNumberFormat="1" applyFont="1" applyAlignment="1">
      <alignment horizontal="left"/>
    </xf>
    <xf numFmtId="3" fontId="101" fillId="0" borderId="0" xfId="1764" applyNumberFormat="1" applyFont="1" applyAlignment="1">
      <alignment horizontal="right"/>
    </xf>
    <xf numFmtId="0" fontId="101" fillId="0" borderId="0" xfId="1764" applyFont="1" applyAlignment="1">
      <alignment horizontal="left"/>
    </xf>
    <xf numFmtId="0" fontId="101" fillId="40" borderId="0" xfId="1764" applyFont="1" applyFill="1" applyAlignment="1">
      <alignment horizontal="center"/>
    </xf>
    <xf numFmtId="0" fontId="101" fillId="0" borderId="0" xfId="1174" applyFont="1"/>
    <xf numFmtId="10" fontId="101" fillId="0" borderId="0" xfId="1174" applyNumberFormat="1" applyFont="1"/>
    <xf numFmtId="0" fontId="101" fillId="0" borderId="65" xfId="1174" applyFont="1" applyBorder="1"/>
    <xf numFmtId="0" fontId="101" fillId="0" borderId="55" xfId="1174" applyFont="1" applyBorder="1"/>
    <xf numFmtId="10" fontId="100" fillId="41" borderId="0" xfId="751" applyNumberFormat="1" applyFont="1" applyFill="1" applyBorder="1" applyAlignment="1">
      <alignment horizontal="center"/>
    </xf>
    <xf numFmtId="17" fontId="90" fillId="0" borderId="0" xfId="123" applyNumberFormat="1"/>
    <xf numFmtId="178" fontId="169" fillId="0" borderId="0" xfId="390" applyNumberFormat="1" applyFont="1" applyFill="1"/>
    <xf numFmtId="178" fontId="66" fillId="0" borderId="0" xfId="390" applyNumberFormat="1" applyFont="1" applyFill="1"/>
    <xf numFmtId="10" fontId="66" fillId="0" borderId="0" xfId="770" applyNumberFormat="1" applyFont="1" applyFill="1"/>
    <xf numFmtId="10" fontId="90" fillId="0" borderId="0" xfId="123" applyNumberFormat="1"/>
    <xf numFmtId="0" fontId="156" fillId="0" borderId="0" xfId="762" applyFont="1" applyAlignment="1">
      <alignment horizontal="center"/>
    </xf>
    <xf numFmtId="0" fontId="100" fillId="0" borderId="0" xfId="0" applyFont="1" applyAlignment="1">
      <alignment horizontal="left"/>
    </xf>
    <xf numFmtId="177" fontId="100" fillId="0" borderId="0" xfId="0" applyNumberFormat="1" applyFont="1" applyAlignment="1">
      <alignment horizontal="right"/>
    </xf>
    <xf numFmtId="177" fontId="100" fillId="0" borderId="2" xfId="0" applyNumberFormat="1" applyFont="1" applyBorder="1"/>
    <xf numFmtId="177" fontId="100" fillId="0" borderId="0" xfId="0" applyNumberFormat="1" applyFont="1"/>
    <xf numFmtId="0" fontId="100" fillId="0" borderId="40" xfId="0" applyFont="1" applyBorder="1" applyAlignment="1">
      <alignment horizontal="left" wrapText="1"/>
    </xf>
    <xf numFmtId="198" fontId="100" fillId="0" borderId="0" xfId="169" applyNumberFormat="1" applyFont="1"/>
    <xf numFmtId="0" fontId="100" fillId="40" borderId="0" xfId="169" applyFont="1" applyFill="1" applyAlignment="1">
      <alignment vertical="top" wrapText="1"/>
    </xf>
    <xf numFmtId="0" fontId="99" fillId="0" borderId="0" xfId="0" applyFont="1" applyAlignment="1">
      <alignment wrapText="1"/>
    </xf>
    <xf numFmtId="44" fontId="100" fillId="0" borderId="0" xfId="1282" applyFont="1" applyFill="1"/>
    <xf numFmtId="44" fontId="100" fillId="0" borderId="0" xfId="4" applyNumberFormat="1" applyFont="1" applyFill="1"/>
    <xf numFmtId="44" fontId="100" fillId="0" borderId="0" xfId="807" applyNumberFormat="1" applyFont="1"/>
    <xf numFmtId="44" fontId="100" fillId="0" borderId="0" xfId="4" applyNumberFormat="1" applyFont="1"/>
    <xf numFmtId="44" fontId="100" fillId="0" borderId="40" xfId="1282" applyFont="1" applyFill="1" applyBorder="1"/>
    <xf numFmtId="44" fontId="100" fillId="0" borderId="40" xfId="4" applyNumberFormat="1" applyFont="1" applyBorder="1"/>
    <xf numFmtId="44" fontId="100" fillId="0" borderId="40" xfId="807" applyNumberFormat="1" applyFont="1" applyBorder="1"/>
    <xf numFmtId="43" fontId="126" fillId="0" borderId="0" xfId="4" applyFont="1" applyFill="1" applyBorder="1"/>
    <xf numFmtId="44" fontId="125" fillId="0" borderId="0" xfId="787" applyFont="1" applyAlignment="1">
      <alignment horizontal="right"/>
    </xf>
    <xf numFmtId="10" fontId="125" fillId="0" borderId="0" xfId="751" applyNumberFormat="1" applyFont="1" applyAlignment="1">
      <alignment horizontal="right"/>
    </xf>
    <xf numFmtId="10" fontId="125" fillId="0" borderId="0" xfId="783" applyNumberFormat="1" applyFont="1" applyAlignment="1">
      <alignment horizontal="right"/>
    </xf>
    <xf numFmtId="178" fontId="125" fillId="0" borderId="0" xfId="783" applyNumberFormat="1" applyFont="1" applyAlignment="1">
      <alignment horizontal="right"/>
    </xf>
    <xf numFmtId="10" fontId="100" fillId="0" borderId="0" xfId="751" applyNumberFormat="1" applyFont="1" applyFill="1" applyBorder="1" applyAlignment="1">
      <alignment horizontal="left"/>
    </xf>
    <xf numFmtId="39" fontId="100" fillId="0" borderId="40" xfId="103" applyNumberFormat="1" applyFont="1" applyBorder="1" applyAlignment="1" applyProtection="1">
      <alignment horizontal="center" wrapText="1"/>
      <protection locked="0"/>
    </xf>
    <xf numFmtId="0" fontId="100" fillId="0" borderId="40" xfId="1769" applyFont="1" applyBorder="1" applyAlignment="1">
      <alignment horizontal="center" wrapText="1"/>
    </xf>
    <xf numFmtId="0" fontId="100" fillId="0" borderId="0" xfId="1769" applyFont="1" applyAlignment="1">
      <alignment horizontal="center" wrapText="1"/>
    </xf>
    <xf numFmtId="0" fontId="100" fillId="0" borderId="0" xfId="1769" applyFont="1"/>
    <xf numFmtId="14" fontId="100" fillId="0" borderId="0" xfId="1769" applyNumberFormat="1" applyFont="1" applyAlignment="1">
      <alignment horizontal="center"/>
    </xf>
    <xf numFmtId="14" fontId="100" fillId="0" borderId="0" xfId="1769" applyNumberFormat="1" applyFont="1"/>
    <xf numFmtId="0" fontId="100" fillId="0" borderId="0" xfId="1769" applyFont="1" applyAlignment="1">
      <alignment horizontal="center"/>
    </xf>
    <xf numFmtId="0" fontId="100" fillId="0" borderId="0" xfId="1769" applyFont="1" applyAlignment="1">
      <alignment horizontal="left"/>
    </xf>
    <xf numFmtId="37" fontId="100" fillId="0" borderId="0" xfId="103" applyNumberFormat="1" applyFont="1" applyProtection="1">
      <protection locked="0"/>
    </xf>
    <xf numFmtId="197" fontId="100" fillId="0" borderId="0" xfId="4" applyNumberFormat="1" applyFont="1" applyFill="1" applyProtection="1">
      <protection locked="0"/>
    </xf>
    <xf numFmtId="37" fontId="100" fillId="0" borderId="0" xfId="103" applyNumberFormat="1" applyFont="1"/>
    <xf numFmtId="0" fontId="100" fillId="0" borderId="0" xfId="103" applyFont="1" applyProtection="1">
      <protection locked="0"/>
    </xf>
    <xf numFmtId="167" fontId="100" fillId="0" borderId="0" xfId="103" applyNumberFormat="1" applyFont="1"/>
    <xf numFmtId="0" fontId="100" fillId="0" borderId="0" xfId="67" applyNumberFormat="1" applyFont="1" applyFill="1" applyAlignment="1">
      <alignment horizontal="right"/>
    </xf>
    <xf numFmtId="0" fontId="100" fillId="0" borderId="0" xfId="103" applyFont="1" applyAlignment="1" applyProtection="1">
      <alignment horizontal="right"/>
      <protection locked="0"/>
    </xf>
    <xf numFmtId="44" fontId="100" fillId="0" borderId="0" xfId="67" applyFont="1" applyFill="1" applyProtection="1">
      <protection locked="0"/>
    </xf>
    <xf numFmtId="191" fontId="100" fillId="0" borderId="0" xfId="103" applyNumberFormat="1" applyFont="1"/>
    <xf numFmtId="193" fontId="100" fillId="0" borderId="0" xfId="67" applyNumberFormat="1" applyFont="1" applyFill="1"/>
    <xf numFmtId="191" fontId="100" fillId="0" borderId="40" xfId="103" applyNumberFormat="1" applyFont="1" applyBorder="1"/>
    <xf numFmtId="193" fontId="100" fillId="0" borderId="40" xfId="67" applyNumberFormat="1" applyFont="1" applyFill="1" applyBorder="1"/>
    <xf numFmtId="10" fontId="100" fillId="0" borderId="40" xfId="376" applyNumberFormat="1" applyFont="1" applyFill="1" applyBorder="1"/>
    <xf numFmtId="193" fontId="100" fillId="0" borderId="2" xfId="67" applyNumberFormat="1" applyFont="1" applyFill="1" applyBorder="1" applyProtection="1">
      <protection locked="0"/>
    </xf>
    <xf numFmtId="193" fontId="100" fillId="0" borderId="0" xfId="67" applyNumberFormat="1" applyFont="1" applyFill="1" applyProtection="1">
      <protection locked="0"/>
    </xf>
    <xf numFmtId="10" fontId="100" fillId="0" borderId="2" xfId="376" applyNumberFormat="1" applyFont="1" applyFill="1" applyBorder="1"/>
    <xf numFmtId="199" fontId="100" fillId="0" borderId="0" xfId="807" quotePrefix="1" applyNumberFormat="1" applyFont="1"/>
    <xf numFmtId="0" fontId="100" fillId="0" borderId="0" xfId="0" applyFont="1" applyAlignment="1">
      <alignment vertical="top"/>
    </xf>
    <xf numFmtId="0" fontId="118" fillId="0" borderId="0" xfId="807" applyFont="1"/>
    <xf numFmtId="0" fontId="118" fillId="0" borderId="0" xfId="807" applyFont="1" applyAlignment="1">
      <alignment horizontal="right"/>
    </xf>
    <xf numFmtId="14" fontId="118" fillId="0" borderId="0" xfId="807" applyNumberFormat="1" applyFont="1" applyAlignment="1">
      <alignment horizontal="center"/>
    </xf>
    <xf numFmtId="0" fontId="118" fillId="0" borderId="0" xfId="807" applyFont="1" applyAlignment="1">
      <alignment horizontal="center"/>
    </xf>
    <xf numFmtId="44" fontId="118" fillId="0" borderId="0" xfId="67" applyFont="1"/>
    <xf numFmtId="200" fontId="118" fillId="0" borderId="0" xfId="67" applyNumberFormat="1" applyFont="1"/>
    <xf numFmtId="9" fontId="118" fillId="0" borderId="0" xfId="1276" applyFont="1"/>
    <xf numFmtId="44" fontId="171" fillId="0" borderId="0" xfId="67" applyFont="1"/>
    <xf numFmtId="200" fontId="118" fillId="0" borderId="0" xfId="807" applyNumberFormat="1" applyFont="1"/>
    <xf numFmtId="2" fontId="118" fillId="0" borderId="0" xfId="67" applyNumberFormat="1" applyFont="1"/>
    <xf numFmtId="2" fontId="171" fillId="0" borderId="0" xfId="67" applyNumberFormat="1" applyFont="1"/>
    <xf numFmtId="0" fontId="170" fillId="0" borderId="0" xfId="1603" applyFont="1"/>
    <xf numFmtId="0" fontId="100" fillId="0" borderId="40" xfId="0" applyFont="1" applyBorder="1"/>
    <xf numFmtId="10" fontId="100" fillId="0" borderId="12" xfId="382" applyNumberFormat="1" applyFont="1" applyFill="1" applyBorder="1"/>
    <xf numFmtId="10" fontId="100" fillId="0" borderId="52" xfId="382" applyNumberFormat="1" applyFont="1" applyFill="1" applyBorder="1"/>
    <xf numFmtId="10" fontId="100" fillId="0" borderId="17" xfId="382" applyNumberFormat="1" applyFont="1" applyFill="1" applyBorder="1"/>
    <xf numFmtId="0" fontId="172" fillId="0" borderId="0" xfId="0" applyFont="1" applyAlignment="1">
      <alignment horizontal="left"/>
    </xf>
    <xf numFmtId="14" fontId="172" fillId="0" borderId="0" xfId="0" applyNumberFormat="1" applyFont="1" applyAlignment="1">
      <alignment horizontal="left"/>
    </xf>
    <xf numFmtId="0" fontId="104" fillId="0" borderId="38" xfId="772" applyFont="1" applyBorder="1" applyAlignment="1">
      <alignment horizontal="center" wrapText="1"/>
    </xf>
    <xf numFmtId="167" fontId="100" fillId="0" borderId="0" xfId="0" applyNumberFormat="1" applyFont="1"/>
    <xf numFmtId="0" fontId="101" fillId="0" borderId="0" xfId="752" quotePrefix="1" applyFont="1"/>
    <xf numFmtId="0" fontId="101" fillId="0" borderId="0" xfId="752" quotePrefix="1" applyFont="1" applyAlignment="1">
      <alignment horizontal="center"/>
    </xf>
    <xf numFmtId="44" fontId="100" fillId="0" borderId="0" xfId="760" applyFont="1" applyFill="1" applyBorder="1" applyAlignment="1">
      <alignment horizontal="right"/>
    </xf>
    <xf numFmtId="10" fontId="100" fillId="0" borderId="0" xfId="761" applyNumberFormat="1" applyFont="1" applyFill="1" applyBorder="1" applyAlignment="1">
      <alignment horizontal="right"/>
    </xf>
    <xf numFmtId="10" fontId="101" fillId="0" borderId="0" xfId="752" applyNumberFormat="1" applyFont="1" applyAlignment="1">
      <alignment horizontal="right"/>
    </xf>
    <xf numFmtId="10" fontId="104" fillId="0" borderId="0" xfId="773" applyNumberFormat="1" applyFont="1" applyFill="1" applyAlignment="1">
      <alignment horizontal="right"/>
    </xf>
    <xf numFmtId="178" fontId="100" fillId="0" borderId="0" xfId="761" applyNumberFormat="1" applyFont="1" applyFill="1" applyBorder="1" applyAlignment="1">
      <alignment horizontal="right"/>
    </xf>
    <xf numFmtId="10" fontId="101" fillId="0" borderId="0" xfId="770" applyNumberFormat="1" applyFont="1" applyFill="1" applyAlignment="1">
      <alignment horizontal="center"/>
    </xf>
    <xf numFmtId="0" fontId="104" fillId="0" borderId="38" xfId="772" applyFont="1" applyBorder="1" applyAlignment="1">
      <alignment wrapText="1"/>
    </xf>
    <xf numFmtId="0" fontId="104" fillId="0" borderId="38" xfId="772" applyFont="1" applyBorder="1" applyAlignment="1">
      <alignment horizontal="right" wrapText="1"/>
    </xf>
    <xf numFmtId="43" fontId="101" fillId="0" borderId="38" xfId="4" applyFont="1" applyFill="1" applyBorder="1" applyAlignment="1">
      <alignment horizontal="right" wrapText="1"/>
    </xf>
    <xf numFmtId="10" fontId="104" fillId="0" borderId="38" xfId="770" applyNumberFormat="1" applyFont="1" applyBorder="1" applyAlignment="1">
      <alignment horizontal="center" wrapText="1"/>
    </xf>
    <xf numFmtId="10" fontId="101" fillId="0" borderId="38" xfId="770" applyNumberFormat="1" applyFont="1" applyBorder="1" applyAlignment="1">
      <alignment horizontal="center" wrapText="1"/>
    </xf>
    <xf numFmtId="10" fontId="104" fillId="0" borderId="38" xfId="772" applyNumberFormat="1" applyFont="1" applyBorder="1" applyAlignment="1">
      <alignment horizontal="center" wrapText="1"/>
    </xf>
    <xf numFmtId="44" fontId="100" fillId="0" borderId="0" xfId="67" applyFont="1" applyAlignment="1">
      <alignment horizontal="center"/>
    </xf>
    <xf numFmtId="10" fontId="100" fillId="0" borderId="0" xfId="1276" applyNumberFormat="1" applyFont="1"/>
    <xf numFmtId="10" fontId="100" fillId="0" borderId="0" xfId="1276" applyNumberFormat="1" applyFont="1" applyAlignment="1">
      <alignment horizontal="center"/>
    </xf>
    <xf numFmtId="10" fontId="114" fillId="0" borderId="0" xfId="1276" applyNumberFormat="1" applyFont="1" applyAlignment="1">
      <alignment horizontal="center"/>
    </xf>
    <xf numFmtId="178" fontId="114" fillId="0" borderId="0" xfId="1276" applyNumberFormat="1" applyFont="1" applyAlignment="1">
      <alignment horizontal="center"/>
    </xf>
    <xf numFmtId="43" fontId="101" fillId="0" borderId="42" xfId="4" applyFont="1" applyFill="1" applyBorder="1" applyAlignment="1">
      <alignment horizontal="right"/>
    </xf>
    <xf numFmtId="0" fontId="100" fillId="0" borderId="42" xfId="0" applyFont="1" applyBorder="1"/>
    <xf numFmtId="10" fontId="100" fillId="0" borderId="42" xfId="1276" applyNumberFormat="1" applyFont="1" applyFill="1" applyBorder="1"/>
    <xf numFmtId="2" fontId="118" fillId="0" borderId="0" xfId="67" applyNumberFormat="1" applyFont="1" applyFill="1"/>
    <xf numFmtId="2" fontId="171" fillId="0" borderId="0" xfId="67" applyNumberFormat="1" applyFont="1" applyFill="1"/>
    <xf numFmtId="44" fontId="118" fillId="0" borderId="0" xfId="67" applyFont="1" applyFill="1"/>
    <xf numFmtId="44" fontId="171" fillId="0" borderId="0" xfId="67" applyFont="1" applyFill="1"/>
    <xf numFmtId="10" fontId="100" fillId="0" borderId="0" xfId="751" applyNumberFormat="1" applyFont="1" applyFill="1" applyBorder="1"/>
    <xf numFmtId="10" fontId="101" fillId="0" borderId="0" xfId="376" applyNumberFormat="1" applyFont="1" applyFill="1" applyBorder="1"/>
    <xf numFmtId="10" fontId="100" fillId="0" borderId="0" xfId="376" applyNumberFormat="1" applyFont="1" applyFill="1" applyBorder="1"/>
    <xf numFmtId="0" fontId="101" fillId="0" borderId="67" xfId="1174" applyFont="1" applyBorder="1"/>
    <xf numFmtId="10" fontId="101" fillId="0" borderId="0" xfId="761" applyNumberFormat="1" applyFont="1" applyFill="1" applyBorder="1" applyAlignment="1">
      <alignment horizontal="right"/>
    </xf>
    <xf numFmtId="43" fontId="101" fillId="0" borderId="40" xfId="4" applyFont="1" applyFill="1" applyBorder="1"/>
    <xf numFmtId="179" fontId="101" fillId="0" borderId="40" xfId="4" applyNumberFormat="1" applyFont="1" applyFill="1" applyBorder="1"/>
    <xf numFmtId="43" fontId="100" fillId="0" borderId="0" xfId="9" applyFont="1" applyFill="1" applyBorder="1" applyAlignment="1"/>
    <xf numFmtId="174" fontId="100" fillId="0" borderId="40" xfId="171" applyNumberFormat="1" applyFont="1" applyBorder="1"/>
    <xf numFmtId="0" fontId="100" fillId="0" borderId="40" xfId="169" applyFont="1" applyBorder="1" applyAlignment="1">
      <alignment horizontal="center"/>
    </xf>
    <xf numFmtId="173" fontId="100" fillId="0" borderId="0" xfId="1282" applyNumberFormat="1" applyFont="1"/>
    <xf numFmtId="197" fontId="101" fillId="0" borderId="0" xfId="4" applyNumberFormat="1" applyFont="1" applyAlignment="1">
      <alignment horizontal="center"/>
    </xf>
    <xf numFmtId="197" fontId="101" fillId="0" borderId="0" xfId="4" applyNumberFormat="1" applyFont="1"/>
    <xf numFmtId="197" fontId="101" fillId="0" borderId="0" xfId="1764" applyNumberFormat="1" applyFont="1"/>
    <xf numFmtId="169" fontId="100" fillId="0" borderId="2" xfId="766" applyNumberFormat="1" applyFont="1" applyBorder="1" applyAlignment="1">
      <alignment horizontal="right"/>
    </xf>
    <xf numFmtId="9" fontId="100" fillId="0" borderId="2" xfId="1276" applyFont="1" applyFill="1" applyBorder="1" applyAlignment="1">
      <alignment horizontal="center"/>
    </xf>
    <xf numFmtId="10" fontId="100" fillId="0" borderId="0" xfId="1276" applyNumberFormat="1" applyFont="1" applyFill="1" applyBorder="1" applyAlignment="1">
      <alignment horizontal="center"/>
    </xf>
    <xf numFmtId="10" fontId="100" fillId="0" borderId="2" xfId="1276" applyNumberFormat="1" applyFont="1" applyFill="1" applyBorder="1" applyAlignment="1">
      <alignment horizontal="center"/>
    </xf>
    <xf numFmtId="0" fontId="174" fillId="0" borderId="0" xfId="154" applyFont="1" applyAlignment="1">
      <alignment horizontal="center"/>
    </xf>
    <xf numFmtId="0" fontId="174" fillId="0" borderId="0" xfId="154" applyFont="1"/>
    <xf numFmtId="0" fontId="174" fillId="0" borderId="40" xfId="154" applyFont="1" applyBorder="1"/>
    <xf numFmtId="0" fontId="174" fillId="0" borderId="40" xfId="154" applyFont="1" applyBorder="1" applyAlignment="1">
      <alignment horizontal="center"/>
    </xf>
    <xf numFmtId="0" fontId="174" fillId="0" borderId="40" xfId="154" applyFont="1" applyBorder="1" applyAlignment="1">
      <alignment horizontal="center" wrapText="1"/>
    </xf>
    <xf numFmtId="10" fontId="174" fillId="0" borderId="0" xfId="154" applyNumberFormat="1" applyFont="1" applyAlignment="1">
      <alignment horizontal="center"/>
    </xf>
    <xf numFmtId="10" fontId="174" fillId="0" borderId="40" xfId="154" applyNumberFormat="1" applyFont="1" applyBorder="1" applyAlignment="1">
      <alignment horizontal="center"/>
    </xf>
    <xf numFmtId="10" fontId="174" fillId="0" borderId="0" xfId="1276" applyNumberFormat="1" applyFont="1" applyFill="1" applyAlignment="1">
      <alignment horizontal="center"/>
    </xf>
    <xf numFmtId="10" fontId="174" fillId="0" borderId="2" xfId="154" applyNumberFormat="1" applyFont="1" applyBorder="1" applyAlignment="1">
      <alignment horizontal="center"/>
    </xf>
    <xf numFmtId="10" fontId="174" fillId="0" borderId="0" xfId="154" applyNumberFormat="1" applyFont="1"/>
    <xf numFmtId="0" fontId="174" fillId="0" borderId="0" xfId="154" quotePrefix="1" applyFont="1" applyAlignment="1">
      <alignment horizontal="right" vertical="top"/>
    </xf>
    <xf numFmtId="0" fontId="174" fillId="0" borderId="0" xfId="154" applyFont="1" applyAlignment="1">
      <alignment vertical="top"/>
    </xf>
    <xf numFmtId="0" fontId="174" fillId="0" borderId="0" xfId="807" applyFont="1" applyAlignment="1">
      <alignment horizontal="centerContinuous"/>
    </xf>
    <xf numFmtId="0" fontId="173" fillId="0" borderId="0" xfId="807" applyFont="1" applyAlignment="1">
      <alignment horizontal="centerContinuous"/>
    </xf>
    <xf numFmtId="0" fontId="174" fillId="0" borderId="0" xfId="807" applyFont="1"/>
    <xf numFmtId="0" fontId="173" fillId="0" borderId="0" xfId="807" applyFont="1" applyAlignment="1">
      <alignment horizontal="center"/>
    </xf>
    <xf numFmtId="0" fontId="173" fillId="0" borderId="0" xfId="807" applyFont="1"/>
    <xf numFmtId="166" fontId="174" fillId="0" borderId="0" xfId="807" applyNumberFormat="1" applyFont="1"/>
    <xf numFmtId="166" fontId="174" fillId="0" borderId="2" xfId="807" applyNumberFormat="1" applyFont="1" applyBorder="1"/>
    <xf numFmtId="43" fontId="174" fillId="0" borderId="0" xfId="4" applyFont="1" applyFill="1"/>
    <xf numFmtId="164" fontId="174" fillId="0" borderId="0" xfId="807" applyNumberFormat="1" applyFont="1"/>
    <xf numFmtId="0" fontId="174" fillId="0" borderId="0" xfId="807" applyFont="1" applyAlignment="1">
      <alignment horizontal="center"/>
    </xf>
    <xf numFmtId="164" fontId="174" fillId="0" borderId="0" xfId="807" applyNumberFormat="1" applyFont="1" applyAlignment="1">
      <alignment horizontal="right"/>
    </xf>
    <xf numFmtId="2" fontId="174" fillId="0" borderId="0" xfId="807" applyNumberFormat="1" applyFont="1"/>
    <xf numFmtId="43" fontId="174" fillId="0" borderId="40" xfId="4" applyFont="1" applyFill="1" applyBorder="1"/>
    <xf numFmtId="43" fontId="174" fillId="0" borderId="2" xfId="4" applyFont="1" applyFill="1" applyBorder="1"/>
    <xf numFmtId="0" fontId="173" fillId="0" borderId="0" xfId="807" applyFont="1" applyAlignment="1">
      <alignment horizontal="left"/>
    </xf>
    <xf numFmtId="0" fontId="173" fillId="0" borderId="0" xfId="1737" applyFont="1"/>
    <xf numFmtId="0" fontId="174" fillId="0" borderId="0" xfId="350" applyFont="1" applyAlignment="1">
      <alignment horizontal="right"/>
    </xf>
    <xf numFmtId="0" fontId="174" fillId="0" borderId="0" xfId="350" applyFont="1"/>
    <xf numFmtId="0" fontId="174" fillId="0" borderId="0" xfId="350" quotePrefix="1" applyFont="1" applyAlignment="1">
      <alignment horizontal="right" vertical="top"/>
    </xf>
    <xf numFmtId="0" fontId="174" fillId="0" borderId="0" xfId="807" applyFont="1" applyAlignment="1">
      <alignment horizontal="right"/>
    </xf>
    <xf numFmtId="43" fontId="173" fillId="0" borderId="0" xfId="4" applyFont="1" applyAlignment="1">
      <alignment horizontal="centerContinuous"/>
    </xf>
    <xf numFmtId="43" fontId="174" fillId="0" borderId="0" xfId="4" applyFont="1"/>
    <xf numFmtId="2" fontId="174" fillId="0" borderId="0" xfId="0" quotePrefix="1" applyNumberFormat="1" applyFont="1"/>
    <xf numFmtId="0" fontId="174" fillId="0" borderId="0" xfId="807" quotePrefix="1" applyFont="1"/>
    <xf numFmtId="2" fontId="174" fillId="0" borderId="0" xfId="0" applyNumberFormat="1" applyFont="1"/>
    <xf numFmtId="43" fontId="174" fillId="0" borderId="40" xfId="4" applyFont="1" applyBorder="1"/>
    <xf numFmtId="43" fontId="174" fillId="0" borderId="53" xfId="4" applyFont="1" applyFill="1" applyBorder="1"/>
    <xf numFmtId="2" fontId="174" fillId="0" borderId="0" xfId="807" quotePrefix="1" applyNumberFormat="1" applyFont="1"/>
    <xf numFmtId="43" fontId="174" fillId="0" borderId="53" xfId="4" applyFont="1" applyBorder="1"/>
    <xf numFmtId="43" fontId="174" fillId="0" borderId="0" xfId="4" applyFont="1" applyFill="1" applyBorder="1"/>
    <xf numFmtId="0" fontId="173" fillId="0" borderId="0" xfId="807" applyFont="1" applyAlignment="1">
      <alignment vertical="top" wrapText="1"/>
    </xf>
    <xf numFmtId="0" fontId="176" fillId="0" borderId="0" xfId="1764" applyFont="1" applyAlignment="1">
      <alignment horizontal="centerContinuous"/>
    </xf>
    <xf numFmtId="0" fontId="175" fillId="0" borderId="0" xfId="1764" applyFont="1" applyAlignment="1">
      <alignment horizontal="center"/>
    </xf>
    <xf numFmtId="0" fontId="175" fillId="0" borderId="0" xfId="1764" applyFont="1"/>
    <xf numFmtId="0" fontId="175" fillId="0" borderId="40" xfId="1764" applyFont="1" applyBorder="1"/>
    <xf numFmtId="0" fontId="175" fillId="0" borderId="40" xfId="1764" applyFont="1" applyBorder="1" applyAlignment="1">
      <alignment horizontal="center" wrapText="1"/>
    </xf>
    <xf numFmtId="0" fontId="175" fillId="0" borderId="0" xfId="1764" applyFont="1" applyAlignment="1">
      <alignment horizontal="center" wrapText="1"/>
    </xf>
    <xf numFmtId="1" fontId="175" fillId="0" borderId="0" xfId="1764" applyNumberFormat="1" applyFont="1" applyAlignment="1">
      <alignment horizontal="left"/>
    </xf>
    <xf numFmtId="1" fontId="175" fillId="0" borderId="0" xfId="1764" applyNumberFormat="1" applyFont="1" applyAlignment="1">
      <alignment horizontal="center"/>
    </xf>
    <xf numFmtId="10" fontId="175" fillId="0" borderId="0" xfId="1765" applyNumberFormat="1" applyFont="1" applyBorder="1" applyAlignment="1">
      <alignment horizontal="center"/>
    </xf>
    <xf numFmtId="10" fontId="175" fillId="0" borderId="0" xfId="1764" applyNumberFormat="1" applyFont="1" applyAlignment="1">
      <alignment horizontal="center"/>
    </xf>
    <xf numFmtId="0" fontId="175" fillId="0" borderId="0" xfId="1764" applyFont="1" applyAlignment="1">
      <alignment horizontal="right"/>
    </xf>
    <xf numFmtId="10" fontId="175" fillId="0" borderId="2" xfId="1764" applyNumberFormat="1" applyFont="1" applyBorder="1" applyAlignment="1">
      <alignment horizontal="center"/>
    </xf>
    <xf numFmtId="0" fontId="178" fillId="0" borderId="0" xfId="0" applyFont="1" applyAlignment="1">
      <alignment horizontal="center"/>
    </xf>
    <xf numFmtId="0" fontId="178" fillId="0" borderId="0" xfId="0" applyFont="1"/>
    <xf numFmtId="0" fontId="178" fillId="0" borderId="0" xfId="0" applyFont="1" applyAlignment="1">
      <alignment horizontal="right"/>
    </xf>
    <xf numFmtId="0" fontId="178" fillId="0" borderId="40" xfId="0" applyFont="1" applyBorder="1" applyAlignment="1">
      <alignment wrapText="1"/>
    </xf>
    <xf numFmtId="0" fontId="178" fillId="0" borderId="40" xfId="0" applyFont="1" applyBorder="1" applyAlignment="1">
      <alignment horizontal="center" wrapText="1"/>
    </xf>
    <xf numFmtId="2" fontId="178" fillId="0" borderId="0" xfId="0" applyNumberFormat="1" applyFont="1"/>
    <xf numFmtId="10" fontId="178" fillId="0" borderId="0" xfId="0" applyNumberFormat="1" applyFont="1"/>
    <xf numFmtId="43" fontId="178" fillId="0" borderId="0" xfId="4" applyFont="1" applyFill="1"/>
    <xf numFmtId="43" fontId="178" fillId="0" borderId="0" xfId="4" applyFont="1"/>
    <xf numFmtId="179" fontId="178" fillId="0" borderId="0" xfId="4" applyNumberFormat="1" applyFont="1"/>
    <xf numFmtId="43" fontId="178" fillId="0" borderId="40" xfId="4" applyFont="1" applyFill="1" applyBorder="1"/>
    <xf numFmtId="179" fontId="178" fillId="0" borderId="40" xfId="4" applyNumberFormat="1" applyFont="1" applyBorder="1"/>
    <xf numFmtId="43" fontId="178" fillId="0" borderId="2" xfId="4" applyFont="1" applyBorder="1"/>
    <xf numFmtId="179" fontId="178" fillId="0" borderId="2" xfId="4" applyNumberFormat="1" applyFont="1" applyBorder="1"/>
    <xf numFmtId="168" fontId="178" fillId="0" borderId="0" xfId="0" applyNumberFormat="1" applyFont="1"/>
    <xf numFmtId="0" fontId="179" fillId="0" borderId="0" xfId="752" applyFont="1"/>
    <xf numFmtId="0" fontId="177" fillId="0" borderId="0" xfId="0" applyFont="1" applyAlignment="1">
      <alignment horizontal="centerContinuous"/>
    </xf>
    <xf numFmtId="0" fontId="178" fillId="0" borderId="0" xfId="0" applyFont="1" applyAlignment="1">
      <alignment horizontal="centerContinuous"/>
    </xf>
    <xf numFmtId="0" fontId="178" fillId="0" borderId="3" xfId="0" applyFont="1" applyBorder="1"/>
    <xf numFmtId="0" fontId="178" fillId="0" borderId="0" xfId="0" applyFont="1" applyAlignment="1">
      <alignment wrapText="1"/>
    </xf>
    <xf numFmtId="43" fontId="178" fillId="0" borderId="0" xfId="4" applyFont="1" applyFill="1" applyAlignment="1">
      <alignment horizontal="right"/>
    </xf>
    <xf numFmtId="0" fontId="178" fillId="0" borderId="0" xfId="0" quotePrefix="1" applyFont="1" applyAlignment="1">
      <alignment horizontal="center"/>
    </xf>
    <xf numFmtId="43" fontId="178" fillId="0" borderId="0" xfId="0" applyNumberFormat="1" applyFont="1" applyAlignment="1">
      <alignment horizontal="right"/>
    </xf>
    <xf numFmtId="43" fontId="178" fillId="0" borderId="64" xfId="0" applyNumberFormat="1" applyFont="1" applyBorder="1" applyAlignment="1">
      <alignment horizontal="right"/>
    </xf>
    <xf numFmtId="43" fontId="178" fillId="0" borderId="2" xfId="4" applyFont="1" applyFill="1" applyBorder="1" applyAlignment="1">
      <alignment horizontal="right"/>
    </xf>
    <xf numFmtId="0" fontId="178" fillId="0" borderId="0" xfId="0" applyFont="1" applyAlignment="1">
      <alignment horizontal="center" wrapText="1"/>
    </xf>
    <xf numFmtId="4" fontId="178" fillId="0" borderId="0" xfId="0" applyNumberFormat="1" applyFont="1"/>
    <xf numFmtId="43" fontId="178" fillId="0" borderId="0" xfId="4" applyFont="1" applyBorder="1"/>
    <xf numFmtId="43" fontId="178" fillId="0" borderId="0" xfId="4" applyFont="1" applyFill="1" applyBorder="1"/>
    <xf numFmtId="4" fontId="178" fillId="0" borderId="42" xfId="0" applyNumberFormat="1" applyFont="1" applyBorder="1"/>
    <xf numFmtId="43" fontId="178" fillId="0" borderId="42" xfId="4" applyFont="1" applyBorder="1"/>
    <xf numFmtId="43" fontId="178" fillId="0" borderId="2" xfId="0" applyNumberFormat="1" applyFont="1" applyBorder="1"/>
    <xf numFmtId="43" fontId="178" fillId="0" borderId="0" xfId="0" applyNumberFormat="1" applyFont="1"/>
    <xf numFmtId="0" fontId="178" fillId="0" borderId="0" xfId="0" quotePrefix="1" applyFont="1" applyAlignment="1">
      <alignment horizontal="right" vertical="top"/>
    </xf>
    <xf numFmtId="0" fontId="178" fillId="0" borderId="0" xfId="0" quotePrefix="1" applyFont="1" applyAlignment="1">
      <alignment horizontal="right"/>
    </xf>
    <xf numFmtId="43" fontId="126" fillId="0" borderId="13" xfId="4" applyFont="1" applyFill="1" applyBorder="1" applyAlignment="1">
      <alignment horizontal="left"/>
    </xf>
    <xf numFmtId="0" fontId="127" fillId="0" borderId="31" xfId="762" applyFont="1" applyBorder="1" applyAlignment="1">
      <alignment horizontal="centerContinuous"/>
    </xf>
    <xf numFmtId="0" fontId="127" fillId="0" borderId="33" xfId="762" applyFont="1" applyBorder="1" applyAlignment="1">
      <alignment horizontal="centerContinuous"/>
    </xf>
    <xf numFmtId="0" fontId="127" fillId="0" borderId="32" xfId="762" applyFont="1" applyBorder="1" applyAlignment="1">
      <alignment horizontal="centerContinuous"/>
    </xf>
    <xf numFmtId="0" fontId="127" fillId="0" borderId="42" xfId="762" applyFont="1" applyBorder="1" applyAlignment="1">
      <alignment horizontal="centerContinuous"/>
    </xf>
    <xf numFmtId="0" fontId="127" fillId="0" borderId="40" xfId="762" applyFont="1" applyBorder="1" applyAlignment="1">
      <alignment horizontal="center" wrapText="1"/>
    </xf>
    <xf numFmtId="0" fontId="132" fillId="0" borderId="31" xfId="762" applyFont="1" applyBorder="1"/>
    <xf numFmtId="0" fontId="132" fillId="0" borderId="33" xfId="762" applyFont="1" applyBorder="1"/>
    <xf numFmtId="0" fontId="132" fillId="0" borderId="32" xfId="762" applyFont="1" applyBorder="1"/>
    <xf numFmtId="0" fontId="127" fillId="0" borderId="31" xfId="762" applyFont="1" applyBorder="1"/>
    <xf numFmtId="0" fontId="127" fillId="0" borderId="54" xfId="762" applyFont="1" applyBorder="1"/>
    <xf numFmtId="0" fontId="127" fillId="0" borderId="31" xfId="762" applyFont="1" applyBorder="1" applyAlignment="1">
      <alignment horizontal="center"/>
    </xf>
    <xf numFmtId="0" fontId="127" fillId="0" borderId="33" xfId="762" applyFont="1" applyBorder="1" applyAlignment="1">
      <alignment horizontal="center"/>
    </xf>
    <xf numFmtId="0" fontId="127" fillId="0" borderId="38" xfId="762" applyFont="1" applyBorder="1" applyAlignment="1">
      <alignment horizontal="center"/>
    </xf>
    <xf numFmtId="0" fontId="127" fillId="0" borderId="32" xfId="762" applyFont="1" applyBorder="1" applyAlignment="1">
      <alignment horizontal="center"/>
    </xf>
    <xf numFmtId="0" fontId="127" fillId="0" borderId="35" xfId="762" applyFont="1" applyBorder="1" applyAlignment="1">
      <alignment vertical="center" wrapText="1"/>
    </xf>
    <xf numFmtId="0" fontId="135" fillId="0" borderId="26" xfId="762" applyFont="1" applyBorder="1" applyAlignment="1">
      <alignment horizontal="center"/>
    </xf>
    <xf numFmtId="0" fontId="135" fillId="0" borderId="0" xfId="762" applyFont="1" applyAlignment="1">
      <alignment horizontal="center"/>
    </xf>
    <xf numFmtId="0" fontId="132" fillId="0" borderId="0" xfId="762" applyFont="1"/>
    <xf numFmtId="0" fontId="135" fillId="0" borderId="27" xfId="762" applyFont="1" applyBorder="1" applyAlignment="1">
      <alignment horizontal="center"/>
    </xf>
    <xf numFmtId="0" fontId="126" fillId="0" borderId="42" xfId="762" applyFont="1" applyBorder="1"/>
    <xf numFmtId="10" fontId="125" fillId="0" borderId="31" xfId="763" applyNumberFormat="1" applyFont="1" applyFill="1" applyBorder="1" applyAlignment="1">
      <alignment horizontal="center"/>
    </xf>
    <xf numFmtId="10" fontId="125" fillId="0" borderId="42" xfId="763" applyNumberFormat="1" applyFont="1" applyFill="1" applyBorder="1" applyAlignment="1">
      <alignment horizontal="center"/>
    </xf>
    <xf numFmtId="43" fontId="126" fillId="0" borderId="31" xfId="4" applyFont="1" applyFill="1" applyBorder="1" applyAlignment="1">
      <alignment horizontal="right"/>
    </xf>
    <xf numFmtId="43" fontId="126" fillId="0" borderId="41" xfId="4" applyFont="1" applyFill="1" applyBorder="1" applyAlignment="1">
      <alignment horizontal="right"/>
    </xf>
    <xf numFmtId="43" fontId="126" fillId="0" borderId="42" xfId="4" applyFont="1" applyFill="1" applyBorder="1" applyAlignment="1">
      <alignment horizontal="right"/>
    </xf>
    <xf numFmtId="43" fontId="126" fillId="0" borderId="0" xfId="4" applyFont="1" applyFill="1" applyBorder="1" applyAlignment="1"/>
    <xf numFmtId="179" fontId="126" fillId="0" borderId="42" xfId="4" applyNumberFormat="1" applyFont="1" applyFill="1" applyBorder="1" applyAlignment="1">
      <alignment horizontal="right"/>
    </xf>
    <xf numFmtId="179" fontId="126" fillId="0" borderId="32" xfId="4" applyNumberFormat="1" applyFont="1" applyFill="1" applyBorder="1" applyAlignment="1">
      <alignment horizontal="right"/>
    </xf>
    <xf numFmtId="0" fontId="126" fillId="0" borderId="42" xfId="762" applyFont="1" applyBorder="1" applyAlignment="1">
      <alignment horizontal="center"/>
    </xf>
    <xf numFmtId="0" fontId="126" fillId="0" borderId="32" xfId="762" applyFont="1" applyBorder="1" applyAlignment="1">
      <alignment horizontal="center"/>
    </xf>
    <xf numFmtId="0" fontId="132" fillId="0" borderId="26" xfId="762" applyFont="1" applyBorder="1"/>
    <xf numFmtId="0" fontId="132" fillId="0" borderId="0" xfId="0" applyFont="1"/>
    <xf numFmtId="10" fontId="125" fillId="0" borderId="26" xfId="763" applyNumberFormat="1" applyFont="1" applyFill="1" applyBorder="1" applyAlignment="1">
      <alignment horizontal="center"/>
    </xf>
    <xf numFmtId="10" fontId="125" fillId="0" borderId="0" xfId="763" applyNumberFormat="1" applyFont="1" applyFill="1" applyBorder="1" applyAlignment="1">
      <alignment horizontal="center"/>
    </xf>
    <xf numFmtId="43" fontId="126" fillId="0" borderId="26" xfId="4" applyFont="1" applyFill="1" applyBorder="1" applyAlignment="1">
      <alignment horizontal="right"/>
    </xf>
    <xf numFmtId="43" fontId="126" fillId="0" borderId="30" xfId="4" applyFont="1" applyFill="1" applyBorder="1" applyAlignment="1">
      <alignment horizontal="right"/>
    </xf>
    <xf numFmtId="43" fontId="126" fillId="0" borderId="0" xfId="4" applyFont="1" applyFill="1" applyBorder="1" applyAlignment="1">
      <alignment horizontal="right"/>
    </xf>
    <xf numFmtId="179" fontId="126" fillId="0" borderId="0" xfId="4" applyNumberFormat="1" applyFont="1" applyFill="1" applyBorder="1" applyAlignment="1">
      <alignment horizontal="right"/>
    </xf>
    <xf numFmtId="179" fontId="126" fillId="0" borderId="27" xfId="4" applyNumberFormat="1" applyFont="1" applyFill="1" applyBorder="1" applyAlignment="1">
      <alignment horizontal="right"/>
    </xf>
    <xf numFmtId="0" fontId="126" fillId="0" borderId="0" xfId="762" applyFont="1" applyAlignment="1">
      <alignment horizontal="center"/>
    </xf>
    <xf numFmtId="0" fontId="126" fillId="0" borderId="27" xfId="762" applyFont="1" applyBorder="1" applyAlignment="1">
      <alignment horizontal="center"/>
    </xf>
    <xf numFmtId="0" fontId="132" fillId="0" borderId="27" xfId="762" applyFont="1" applyBorder="1"/>
    <xf numFmtId="0" fontId="160" fillId="0" borderId="0" xfId="0" applyFont="1"/>
    <xf numFmtId="10" fontId="125" fillId="0" borderId="28" xfId="763" applyNumberFormat="1" applyFont="1" applyFill="1" applyBorder="1" applyAlignment="1">
      <alignment horizontal="center"/>
    </xf>
    <xf numFmtId="10" fontId="125" fillId="0" borderId="40" xfId="763" applyNumberFormat="1" applyFont="1" applyFill="1" applyBorder="1" applyAlignment="1">
      <alignment horizontal="center"/>
    </xf>
    <xf numFmtId="43" fontId="126" fillId="0" borderId="28" xfId="4" applyFont="1" applyFill="1" applyBorder="1" applyAlignment="1">
      <alignment horizontal="right"/>
    </xf>
    <xf numFmtId="43" fontId="126" fillId="0" borderId="35" xfId="4" applyFont="1" applyFill="1" applyBorder="1" applyAlignment="1">
      <alignment horizontal="right"/>
    </xf>
    <xf numFmtId="43" fontId="126" fillId="0" borderId="40" xfId="4" applyFont="1" applyFill="1" applyBorder="1" applyAlignment="1">
      <alignment horizontal="right"/>
    </xf>
    <xf numFmtId="43" fontId="126" fillId="0" borderId="40" xfId="4" applyFont="1" applyFill="1" applyBorder="1" applyAlignment="1"/>
    <xf numFmtId="179" fontId="126" fillId="0" borderId="40" xfId="4" applyNumberFormat="1" applyFont="1" applyFill="1" applyBorder="1" applyAlignment="1">
      <alignment horizontal="right"/>
    </xf>
    <xf numFmtId="179" fontId="126" fillId="0" borderId="29" xfId="4" applyNumberFormat="1" applyFont="1" applyFill="1" applyBorder="1" applyAlignment="1">
      <alignment horizontal="right"/>
    </xf>
    <xf numFmtId="0" fontId="126" fillId="0" borderId="40" xfId="762" applyFont="1" applyBorder="1" applyAlignment="1">
      <alignment horizontal="center"/>
    </xf>
    <xf numFmtId="0" fontId="126" fillId="0" borderId="29" xfId="762" applyFont="1" applyBorder="1" applyAlignment="1">
      <alignment horizontal="center"/>
    </xf>
    <xf numFmtId="0" fontId="132" fillId="0" borderId="0" xfId="211" applyFont="1"/>
    <xf numFmtId="43" fontId="126" fillId="0" borderId="0" xfId="762" applyNumberFormat="1" applyFont="1" applyAlignment="1">
      <alignment horizontal="center"/>
    </xf>
    <xf numFmtId="0" fontId="132" fillId="0" borderId="28" xfId="762" applyFont="1" applyBorder="1"/>
    <xf numFmtId="0" fontId="132" fillId="0" borderId="40" xfId="762" applyFont="1" applyBorder="1"/>
    <xf numFmtId="174" fontId="126" fillId="0" borderId="0" xfId="762" applyNumberFormat="1" applyFont="1"/>
    <xf numFmtId="0" fontId="127" fillId="0" borderId="34" xfId="762" applyFont="1" applyBorder="1" applyAlignment="1">
      <alignment horizontal="right" vertical="center" wrapText="1"/>
    </xf>
    <xf numFmtId="0" fontId="127" fillId="0" borderId="63" xfId="762" applyFont="1" applyBorder="1"/>
    <xf numFmtId="174" fontId="127" fillId="0" borderId="38" xfId="762" applyNumberFormat="1" applyFont="1" applyBorder="1"/>
    <xf numFmtId="0" fontId="127" fillId="0" borderId="63" xfId="762" applyFont="1" applyBorder="1" applyAlignment="1">
      <alignment horizontal="center"/>
    </xf>
    <xf numFmtId="0" fontId="127" fillId="0" borderId="66" xfId="762" applyFont="1" applyBorder="1" applyAlignment="1">
      <alignment horizontal="center"/>
    </xf>
    <xf numFmtId="0" fontId="127" fillId="0" borderId="54" xfId="762" applyFont="1" applyBorder="1" applyAlignment="1">
      <alignment horizontal="right" vertical="center" wrapText="1"/>
    </xf>
    <xf numFmtId="0" fontId="126" fillId="0" borderId="31" xfId="762" applyFont="1" applyBorder="1"/>
    <xf numFmtId="0" fontId="108" fillId="0" borderId="42" xfId="0" applyFont="1" applyBorder="1"/>
    <xf numFmtId="43" fontId="126" fillId="0" borderId="31" xfId="4" applyFont="1" applyFill="1" applyBorder="1" applyAlignment="1">
      <alignment horizontal="center"/>
    </xf>
    <xf numFmtId="169" fontId="126" fillId="0" borderId="41" xfId="4" applyNumberFormat="1" applyFont="1" applyFill="1" applyBorder="1" applyAlignment="1">
      <alignment horizontal="center"/>
    </xf>
    <xf numFmtId="43" fontId="126" fillId="0" borderId="32" xfId="4" applyFont="1" applyFill="1" applyBorder="1" applyAlignment="1">
      <alignment horizontal="center"/>
    </xf>
    <xf numFmtId="179" fontId="126" fillId="0" borderId="42" xfId="4" applyNumberFormat="1" applyFont="1" applyFill="1" applyBorder="1" applyAlignment="1">
      <alignment horizontal="center"/>
    </xf>
    <xf numFmtId="179" fontId="126" fillId="0" borderId="32" xfId="4" applyNumberFormat="1" applyFont="1" applyFill="1" applyBorder="1" applyAlignment="1">
      <alignment horizontal="center"/>
    </xf>
    <xf numFmtId="43" fontId="0" fillId="0" borderId="0" xfId="4" applyFont="1" applyFill="1"/>
    <xf numFmtId="0" fontId="126" fillId="0" borderId="26" xfId="762" applyFont="1" applyBorder="1"/>
    <xf numFmtId="43" fontId="126" fillId="0" borderId="26" xfId="4" applyFont="1" applyFill="1" applyBorder="1" applyAlignment="1">
      <alignment horizontal="center"/>
    </xf>
    <xf numFmtId="169" fontId="126" fillId="0" borderId="30" xfId="4" applyNumberFormat="1" applyFont="1" applyFill="1" applyBorder="1" applyAlignment="1">
      <alignment horizontal="center"/>
    </xf>
    <xf numFmtId="169" fontId="126" fillId="0" borderId="27" xfId="4" applyNumberFormat="1" applyFont="1" applyFill="1" applyBorder="1" applyAlignment="1">
      <alignment horizontal="center"/>
    </xf>
    <xf numFmtId="179" fontId="126" fillId="0" borderId="0" xfId="4" applyNumberFormat="1" applyFont="1" applyFill="1" applyBorder="1" applyAlignment="1">
      <alignment horizontal="center"/>
    </xf>
    <xf numFmtId="179" fontId="126" fillId="0" borderId="27" xfId="4" applyNumberFormat="1" applyFont="1" applyFill="1" applyBorder="1" applyAlignment="1">
      <alignment horizontal="center"/>
    </xf>
    <xf numFmtId="0" fontId="126" fillId="0" borderId="28" xfId="762" applyFont="1" applyBorder="1"/>
    <xf numFmtId="0" fontId="108" fillId="0" borderId="29" xfId="0" applyFont="1" applyBorder="1"/>
    <xf numFmtId="10" fontId="125" fillId="0" borderId="35" xfId="763" applyNumberFormat="1" applyFont="1" applyFill="1" applyBorder="1" applyAlignment="1">
      <alignment horizontal="center"/>
    </xf>
    <xf numFmtId="43" fontId="126" fillId="0" borderId="28" xfId="4" applyFont="1" applyFill="1" applyBorder="1" applyAlignment="1">
      <alignment horizontal="center"/>
    </xf>
    <xf numFmtId="169" fontId="126" fillId="0" borderId="35" xfId="4" applyNumberFormat="1" applyFont="1" applyFill="1" applyBorder="1" applyAlignment="1">
      <alignment horizontal="center"/>
    </xf>
    <xf numFmtId="43" fontId="126" fillId="0" borderId="29" xfId="4" applyFont="1" applyFill="1" applyBorder="1" applyAlignment="1">
      <alignment horizontal="center"/>
    </xf>
    <xf numFmtId="179" fontId="126" fillId="0" borderId="40" xfId="4" applyNumberFormat="1" applyFont="1" applyFill="1" applyBorder="1" applyAlignment="1">
      <alignment horizontal="center"/>
    </xf>
    <xf numFmtId="179" fontId="126" fillId="0" borderId="29" xfId="4" applyNumberFormat="1" applyFont="1" applyFill="1" applyBorder="1" applyAlignment="1">
      <alignment horizontal="center"/>
    </xf>
    <xf numFmtId="0" fontId="126" fillId="0" borderId="0" xfId="762" applyFont="1" applyAlignment="1">
      <alignment horizontal="right"/>
    </xf>
    <xf numFmtId="43" fontId="126" fillId="0" borderId="0" xfId="762" applyNumberFormat="1" applyFont="1" applyAlignment="1">
      <alignment horizontal="right"/>
    </xf>
    <xf numFmtId="14" fontId="100" fillId="0" borderId="0" xfId="211" applyNumberFormat="1" applyFont="1"/>
    <xf numFmtId="0" fontId="100" fillId="0" borderId="0" xfId="111" applyFont="1" applyAlignment="1">
      <alignment horizontal="center"/>
    </xf>
    <xf numFmtId="0" fontId="100" fillId="0" borderId="0" xfId="111" applyFont="1"/>
    <xf numFmtId="14" fontId="100" fillId="0" borderId="0" xfId="211" applyNumberFormat="1" applyFont="1" applyAlignment="1">
      <alignment horizontal="right"/>
    </xf>
    <xf numFmtId="172" fontId="100" fillId="0" borderId="52" xfId="211" applyNumberFormat="1" applyFont="1" applyBorder="1" applyAlignment="1">
      <alignment horizontal="left"/>
    </xf>
    <xf numFmtId="9" fontId="100" fillId="0" borderId="12" xfId="211" applyNumberFormat="1" applyFont="1" applyBorder="1" applyAlignment="1">
      <alignment horizontal="center"/>
    </xf>
    <xf numFmtId="10" fontId="100" fillId="0" borderId="12" xfId="376" applyNumberFormat="1" applyFont="1" applyFill="1" applyBorder="1" applyAlignment="1">
      <alignment horizontal="right"/>
    </xf>
    <xf numFmtId="10" fontId="100" fillId="0" borderId="0" xfId="111" applyNumberFormat="1" applyFont="1"/>
    <xf numFmtId="10" fontId="100" fillId="0" borderId="0" xfId="111" applyNumberFormat="1" applyFont="1" applyAlignment="1">
      <alignment horizontal="right"/>
    </xf>
    <xf numFmtId="14" fontId="101" fillId="0" borderId="0" xfId="111" applyNumberFormat="1" applyFont="1"/>
    <xf numFmtId="9" fontId="100" fillId="0" borderId="52" xfId="211" applyNumberFormat="1" applyFont="1" applyBorder="1" applyAlignment="1">
      <alignment horizontal="center"/>
    </xf>
    <xf numFmtId="10" fontId="100" fillId="0" borderId="52" xfId="376" applyNumberFormat="1" applyFont="1" applyFill="1" applyBorder="1" applyAlignment="1">
      <alignment horizontal="right"/>
    </xf>
    <xf numFmtId="9" fontId="100" fillId="0" borderId="52" xfId="376" applyFont="1" applyFill="1" applyBorder="1" applyAlignment="1">
      <alignment horizontal="center"/>
    </xf>
    <xf numFmtId="172" fontId="100" fillId="0" borderId="17" xfId="211" applyNumberFormat="1" applyFont="1" applyBorder="1" applyAlignment="1">
      <alignment horizontal="left"/>
    </xf>
    <xf numFmtId="9" fontId="100" fillId="0" borderId="17" xfId="211" applyNumberFormat="1" applyFont="1" applyBorder="1" applyAlignment="1">
      <alignment horizontal="center"/>
    </xf>
    <xf numFmtId="10" fontId="100" fillId="0" borderId="17" xfId="376" applyNumberFormat="1" applyFont="1" applyFill="1" applyBorder="1" applyAlignment="1">
      <alignment horizontal="right"/>
    </xf>
    <xf numFmtId="171" fontId="100" fillId="0" borderId="0" xfId="111" applyNumberFormat="1" applyFont="1" applyAlignment="1">
      <alignment horizontal="left"/>
    </xf>
    <xf numFmtId="49" fontId="100" fillId="0" borderId="0" xfId="111" quotePrefix="1" applyNumberFormat="1" applyFont="1"/>
    <xf numFmtId="49" fontId="100" fillId="0" borderId="0" xfId="111" applyNumberFormat="1" applyFont="1"/>
    <xf numFmtId="10" fontId="100" fillId="0" borderId="0" xfId="111" applyNumberFormat="1" applyFont="1" applyAlignment="1">
      <alignment horizontal="center"/>
    </xf>
    <xf numFmtId="0" fontId="100" fillId="0" borderId="1" xfId="211" applyFont="1" applyBorder="1"/>
    <xf numFmtId="0" fontId="100" fillId="0" borderId="52" xfId="211" quotePrefix="1" applyFont="1" applyBorder="1"/>
    <xf numFmtId="43" fontId="100" fillId="0" borderId="12" xfId="12" applyFont="1" applyFill="1" applyBorder="1"/>
    <xf numFmtId="43" fontId="101" fillId="0" borderId="12" xfId="4" applyFont="1" applyFill="1" applyBorder="1"/>
    <xf numFmtId="43" fontId="100" fillId="0" borderId="12" xfId="4" applyFont="1" applyFill="1" applyBorder="1"/>
    <xf numFmtId="43" fontId="100" fillId="0" borderId="52" xfId="12" applyFont="1" applyFill="1" applyBorder="1"/>
    <xf numFmtId="43" fontId="101" fillId="0" borderId="52" xfId="4" applyFont="1" applyFill="1" applyBorder="1"/>
    <xf numFmtId="43" fontId="100" fillId="0" borderId="52" xfId="4" applyFont="1" applyFill="1" applyBorder="1"/>
    <xf numFmtId="0" fontId="100" fillId="0" borderId="56" xfId="211" quotePrefix="1" applyFont="1" applyBorder="1"/>
    <xf numFmtId="43" fontId="100" fillId="0" borderId="56" xfId="12" applyFont="1" applyFill="1" applyBorder="1"/>
    <xf numFmtId="0" fontId="100" fillId="0" borderId="40" xfId="211" applyFont="1" applyBorder="1" applyAlignment="1">
      <alignment horizontal="center"/>
    </xf>
    <xf numFmtId="43" fontId="100" fillId="0" borderId="56" xfId="4" applyFont="1" applyFill="1" applyBorder="1"/>
    <xf numFmtId="0" fontId="100" fillId="0" borderId="0" xfId="211" applyFont="1" applyAlignment="1">
      <alignment horizontal="left"/>
    </xf>
    <xf numFmtId="43" fontId="100" fillId="0" borderId="3" xfId="211" applyNumberFormat="1" applyFont="1" applyBorder="1"/>
    <xf numFmtId="43" fontId="100" fillId="0" borderId="2" xfId="211" applyNumberFormat="1" applyFont="1" applyBorder="1"/>
    <xf numFmtId="0" fontId="102" fillId="0" borderId="0" xfId="211" applyFont="1"/>
    <xf numFmtId="0" fontId="100" fillId="0" borderId="57" xfId="211" applyFont="1" applyBorder="1"/>
    <xf numFmtId="2" fontId="100" fillId="0" borderId="58" xfId="211" applyNumberFormat="1" applyFont="1" applyBorder="1"/>
    <xf numFmtId="0" fontId="101" fillId="0" borderId="57" xfId="762" applyFont="1" applyBorder="1"/>
    <xf numFmtId="2" fontId="100" fillId="0" borderId="60" xfId="211" applyNumberFormat="1" applyFont="1" applyBorder="1"/>
    <xf numFmtId="0" fontId="101" fillId="0" borderId="59" xfId="762" applyFont="1" applyBorder="1"/>
    <xf numFmtId="0" fontId="100" fillId="0" borderId="60" xfId="211" applyFont="1" applyBorder="1"/>
    <xf numFmtId="0" fontId="100" fillId="0" borderId="59" xfId="211" applyFont="1" applyBorder="1"/>
    <xf numFmtId="0" fontId="100" fillId="0" borderId="62" xfId="211" applyFont="1" applyBorder="1"/>
    <xf numFmtId="2" fontId="100" fillId="0" borderId="0" xfId="211" applyNumberFormat="1" applyFont="1" applyAlignment="1">
      <alignment wrapText="1"/>
    </xf>
    <xf numFmtId="0" fontId="100" fillId="0" borderId="60" xfId="211" applyFont="1" applyBorder="1" applyAlignment="1">
      <alignment horizontal="right"/>
    </xf>
    <xf numFmtId="0" fontId="100" fillId="0" borderId="61" xfId="211" applyFont="1" applyBorder="1"/>
    <xf numFmtId="43" fontId="126" fillId="42" borderId="13" xfId="4" applyFont="1" applyFill="1" applyBorder="1" applyAlignment="1">
      <alignment horizontal="left"/>
    </xf>
    <xf numFmtId="201" fontId="125" fillId="0" borderId="36" xfId="376" applyNumberFormat="1" applyFont="1" applyFill="1" applyBorder="1"/>
    <xf numFmtId="201" fontId="125" fillId="0" borderId="12" xfId="376" applyNumberFormat="1" applyFont="1" applyFill="1" applyBorder="1"/>
    <xf numFmtId="201" fontId="125" fillId="0" borderId="36" xfId="751" applyNumberFormat="1" applyFont="1" applyFill="1" applyBorder="1"/>
    <xf numFmtId="201" fontId="125" fillId="0" borderId="37" xfId="376" applyNumberFormat="1" applyFont="1" applyFill="1" applyBorder="1"/>
    <xf numFmtId="10" fontId="174" fillId="0" borderId="0" xfId="154" quotePrefix="1" applyNumberFormat="1" applyFont="1"/>
    <xf numFmtId="0" fontId="174" fillId="0" borderId="0" xfId="154" applyFont="1" applyAlignment="1">
      <alignment horizontal="left" vertical="top" wrapText="1"/>
    </xf>
    <xf numFmtId="0" fontId="100" fillId="0" borderId="0" xfId="154" applyFont="1" applyAlignment="1">
      <alignment horizontal="left" vertical="top" wrapText="1"/>
    </xf>
    <xf numFmtId="0" fontId="173" fillId="0" borderId="0" xfId="154" applyFont="1" applyAlignment="1">
      <alignment horizontal="center"/>
    </xf>
    <xf numFmtId="0" fontId="174" fillId="0" borderId="0" xfId="154" applyFont="1" applyAlignment="1">
      <alignment horizontal="center"/>
    </xf>
    <xf numFmtId="0" fontId="100" fillId="0" borderId="0" xfId="169" applyFont="1" applyAlignment="1">
      <alignment wrapText="1"/>
    </xf>
    <xf numFmtId="0" fontId="100" fillId="0" borderId="0" xfId="169" applyFont="1" applyAlignment="1">
      <alignment horizontal="left" vertical="top" wrapText="1"/>
    </xf>
    <xf numFmtId="0" fontId="99" fillId="0" borderId="0" xfId="169" applyFont="1" applyAlignment="1">
      <alignment horizontal="center"/>
    </xf>
    <xf numFmtId="0" fontId="101" fillId="0" borderId="0" xfId="1754" applyFont="1" applyAlignment="1">
      <alignment horizontal="center"/>
    </xf>
    <xf numFmtId="0" fontId="175" fillId="0" borderId="0" xfId="1737" applyFont="1" applyAlignment="1">
      <alignment horizontal="left" vertical="top" wrapText="1"/>
    </xf>
    <xf numFmtId="0" fontId="174" fillId="0" borderId="0" xfId="807" applyFont="1" applyAlignment="1">
      <alignment horizontal="left" vertical="top" wrapText="1"/>
    </xf>
    <xf numFmtId="0" fontId="100" fillId="0" borderId="0" xfId="807" applyFont="1" applyAlignment="1">
      <alignment horizontal="center"/>
    </xf>
    <xf numFmtId="0" fontId="100" fillId="0" borderId="0" xfId="807" applyFont="1"/>
    <xf numFmtId="0" fontId="173" fillId="0" borderId="0" xfId="807" applyFont="1" applyAlignment="1">
      <alignment horizontal="center" vertical="center"/>
    </xf>
    <xf numFmtId="0" fontId="174" fillId="0" borderId="0" xfId="807" applyFont="1" applyAlignment="1">
      <alignment vertical="center"/>
    </xf>
    <xf numFmtId="0" fontId="174" fillId="0" borderId="0" xfId="807" applyFont="1" applyAlignment="1">
      <alignment horizontal="center" vertical="center"/>
    </xf>
    <xf numFmtId="0" fontId="173" fillId="0" borderId="0" xfId="807" applyFont="1" applyAlignment="1">
      <alignment horizontal="center"/>
    </xf>
    <xf numFmtId="0" fontId="175" fillId="0" borderId="0" xfId="1764" applyFont="1" applyAlignment="1">
      <alignment horizontal="center"/>
    </xf>
    <xf numFmtId="0" fontId="176" fillId="0" borderId="0" xfId="1764" applyFont="1" applyAlignment="1">
      <alignment horizontal="center"/>
    </xf>
    <xf numFmtId="0" fontId="100" fillId="0" borderId="0" xfId="0" applyFont="1" applyAlignment="1">
      <alignment horizontal="left" vertical="top" wrapText="1"/>
    </xf>
    <xf numFmtId="0" fontId="100" fillId="0" borderId="0" xfId="0" quotePrefix="1" applyFont="1" applyAlignment="1">
      <alignment horizontal="center"/>
    </xf>
    <xf numFmtId="0" fontId="100" fillId="0" borderId="40" xfId="0" applyFont="1" applyBorder="1" applyAlignment="1">
      <alignment horizontal="center" wrapText="1"/>
    </xf>
    <xf numFmtId="0" fontId="99" fillId="0" borderId="0" xfId="0" applyFont="1" applyAlignment="1">
      <alignment horizontal="center" wrapText="1"/>
    </xf>
    <xf numFmtId="0" fontId="100" fillId="0" borderId="0" xfId="0" applyFont="1" applyAlignment="1">
      <alignment horizontal="center"/>
    </xf>
    <xf numFmtId="0" fontId="99" fillId="0" borderId="0" xfId="0" applyFont="1" applyAlignment="1">
      <alignment horizontal="center"/>
    </xf>
    <xf numFmtId="0" fontId="105" fillId="0" borderId="0" xfId="0" applyFont="1" applyAlignment="1">
      <alignment horizontal="center"/>
    </xf>
    <xf numFmtId="0" fontId="101" fillId="0" borderId="0" xfId="0" applyFont="1" applyAlignment="1">
      <alignment horizontal="center"/>
    </xf>
    <xf numFmtId="0" fontId="101" fillId="0" borderId="0" xfId="0" applyFont="1" applyAlignment="1">
      <alignment horizontal="left" vertical="top" wrapText="1"/>
    </xf>
    <xf numFmtId="0" fontId="101" fillId="0" borderId="0" xfId="0" applyFont="1" applyAlignment="1">
      <alignment wrapText="1"/>
    </xf>
    <xf numFmtId="0" fontId="100" fillId="0" borderId="64" xfId="169" applyFont="1" applyBorder="1" applyAlignment="1">
      <alignment horizontal="center" wrapText="1"/>
    </xf>
    <xf numFmtId="0" fontId="100" fillId="0" borderId="0" xfId="169" applyFont="1" applyAlignment="1">
      <alignment horizontal="center"/>
    </xf>
    <xf numFmtId="0" fontId="101" fillId="0" borderId="3" xfId="752" applyFont="1" applyBorder="1" applyAlignment="1">
      <alignment horizontal="center" wrapText="1"/>
    </xf>
    <xf numFmtId="0" fontId="100" fillId="0" borderId="3" xfId="169" applyFont="1" applyBorder="1" applyAlignment="1">
      <alignment horizontal="center"/>
    </xf>
    <xf numFmtId="0" fontId="117" fillId="0" borderId="0" xfId="0" applyFont="1" applyAlignment="1">
      <alignment horizontal="center"/>
    </xf>
    <xf numFmtId="0" fontId="100" fillId="0" borderId="40" xfId="169" applyFont="1" applyBorder="1" applyAlignment="1">
      <alignment horizontal="center" wrapText="1"/>
    </xf>
    <xf numFmtId="174" fontId="100" fillId="0" borderId="0" xfId="169" applyNumberFormat="1" applyFont="1" applyAlignment="1">
      <alignment horizontal="left" vertical="top" wrapText="1"/>
    </xf>
    <xf numFmtId="174" fontId="100" fillId="0" borderId="0" xfId="169" applyNumberFormat="1" applyFont="1" applyAlignment="1">
      <alignment vertical="top" wrapText="1"/>
    </xf>
    <xf numFmtId="0" fontId="100" fillId="0" borderId="3" xfId="169" applyFont="1" applyBorder="1" applyAlignment="1">
      <alignment horizontal="center" wrapText="1"/>
    </xf>
    <xf numFmtId="0" fontId="100" fillId="0" borderId="3" xfId="169" applyFont="1" applyBorder="1" applyAlignment="1">
      <alignment horizontal="left" wrapText="1"/>
    </xf>
    <xf numFmtId="0" fontId="109" fillId="0" borderId="13" xfId="103" applyFont="1" applyBorder="1" applyAlignment="1">
      <alignment horizontal="center"/>
    </xf>
    <xf numFmtId="0" fontId="100" fillId="0" borderId="40" xfId="0" applyFont="1" applyBorder="1" applyAlignment="1">
      <alignment horizontal="center"/>
    </xf>
    <xf numFmtId="0" fontId="100" fillId="0" borderId="40" xfId="0" applyFont="1" applyBorder="1"/>
    <xf numFmtId="0" fontId="100" fillId="0" borderId="0" xfId="0" applyFont="1" applyAlignment="1">
      <alignment wrapText="1"/>
    </xf>
    <xf numFmtId="43" fontId="100" fillId="0" borderId="0" xfId="4" applyFont="1" applyFill="1" applyBorder="1" applyAlignment="1">
      <alignment horizontal="center" wrapText="1"/>
    </xf>
    <xf numFmtId="0" fontId="99" fillId="0" borderId="0" xfId="0" applyFont="1" applyAlignment="1">
      <alignment horizontal="center" vertical="top" wrapText="1"/>
    </xf>
    <xf numFmtId="0" fontId="177" fillId="0" borderId="0" xfId="0" applyFont="1" applyAlignment="1">
      <alignment horizontal="center"/>
    </xf>
    <xf numFmtId="0" fontId="178" fillId="0" borderId="0" xfId="0" applyFont="1" applyAlignment="1">
      <alignment horizontal="center"/>
    </xf>
    <xf numFmtId="0" fontId="178" fillId="0" borderId="40" xfId="0" applyFont="1" applyBorder="1" applyAlignment="1">
      <alignment horizontal="center" wrapText="1"/>
    </xf>
    <xf numFmtId="0" fontId="100" fillId="0" borderId="0" xfId="0" applyFont="1" applyAlignment="1">
      <alignment vertical="top" wrapText="1"/>
    </xf>
    <xf numFmtId="174" fontId="100" fillId="0" borderId="40" xfId="169" applyNumberFormat="1" applyFont="1" applyBorder="1" applyAlignment="1">
      <alignment horizontal="center" wrapText="1"/>
    </xf>
    <xf numFmtId="0" fontId="100" fillId="0" borderId="0" xfId="213" applyFont="1" applyAlignment="1">
      <alignment horizontal="left" vertical="top" wrapText="1"/>
    </xf>
    <xf numFmtId="0" fontId="178" fillId="0" borderId="0" xfId="0" applyFont="1" applyAlignment="1">
      <alignment horizontal="left" vertical="top" wrapText="1"/>
    </xf>
    <xf numFmtId="0" fontId="178" fillId="0" borderId="40" xfId="0" applyFont="1" applyBorder="1" applyAlignment="1">
      <alignment horizontal="center"/>
    </xf>
    <xf numFmtId="0" fontId="178" fillId="0" borderId="40" xfId="0" applyFont="1" applyBorder="1"/>
    <xf numFmtId="0" fontId="99" fillId="0" borderId="0" xfId="103" applyFont="1" applyAlignment="1">
      <alignment horizontal="center"/>
    </xf>
    <xf numFmtId="194" fontId="99" fillId="0" borderId="0" xfId="103" applyNumberFormat="1" applyFont="1" applyAlignment="1" applyProtection="1">
      <alignment horizontal="center"/>
      <protection locked="0"/>
    </xf>
    <xf numFmtId="0" fontId="104" fillId="0" borderId="0" xfId="862" applyFont="1" applyAlignment="1">
      <alignment horizontal="justify" vertical="top"/>
    </xf>
    <xf numFmtId="0" fontId="104" fillId="0" borderId="0" xfId="862" applyFont="1" applyAlignment="1">
      <alignment vertical="top"/>
    </xf>
    <xf numFmtId="0" fontId="104" fillId="0" borderId="0" xfId="862" applyFont="1" applyAlignment="1">
      <alignment horizontal="justify" vertical="top" wrapText="1"/>
    </xf>
    <xf numFmtId="0" fontId="104" fillId="0" borderId="0" xfId="862" applyFont="1" applyAlignment="1">
      <alignment vertical="top" wrapText="1"/>
    </xf>
    <xf numFmtId="0" fontId="104" fillId="0" borderId="0" xfId="862" applyFont="1" applyAlignment="1">
      <alignment wrapText="1"/>
    </xf>
    <xf numFmtId="0" fontId="100" fillId="0" borderId="0" xfId="211" applyFont="1" applyAlignment="1">
      <alignment horizontal="center"/>
    </xf>
    <xf numFmtId="0" fontId="100" fillId="0" borderId="0" xfId="211" applyFont="1" applyAlignment="1">
      <alignment horizontal="center" wrapText="1"/>
    </xf>
    <xf numFmtId="0" fontId="100" fillId="0" borderId="3" xfId="211" applyFont="1" applyBorder="1" applyAlignment="1">
      <alignment horizontal="center" wrapText="1"/>
    </xf>
    <xf numFmtId="0" fontId="100" fillId="0" borderId="0" xfId="807" applyFont="1" applyAlignment="1">
      <alignment vertical="top" wrapText="1"/>
    </xf>
    <xf numFmtId="0" fontId="170" fillId="0" borderId="0" xfId="1603" applyFont="1" applyAlignment="1">
      <alignment horizontal="center"/>
    </xf>
    <xf numFmtId="0" fontId="129" fillId="0" borderId="0" xfId="762" applyFont="1" applyAlignment="1">
      <alignment horizontal="center"/>
    </xf>
    <xf numFmtId="0" fontId="127" fillId="0" borderId="0" xfId="762" applyFont="1" applyAlignment="1">
      <alignment horizontal="center" vertical="center" wrapText="1"/>
    </xf>
    <xf numFmtId="0" fontId="100" fillId="0" borderId="60" xfId="211" applyFont="1" applyBorder="1" applyAlignment="1">
      <alignment horizontal="center" vertical="center" wrapText="1"/>
    </xf>
    <xf numFmtId="0" fontId="100" fillId="0" borderId="62" xfId="211" applyFont="1" applyBorder="1" applyAlignment="1">
      <alignment horizontal="center" vertical="center" wrapText="1"/>
    </xf>
    <xf numFmtId="0" fontId="100" fillId="0" borderId="0" xfId="111" applyFont="1" applyAlignment="1">
      <alignment horizontal="center" wrapText="1"/>
    </xf>
    <xf numFmtId="0" fontId="101" fillId="0" borderId="0" xfId="111" applyFont="1" applyAlignment="1">
      <alignment horizontal="center" wrapText="1"/>
    </xf>
    <xf numFmtId="0" fontId="101" fillId="0" borderId="3" xfId="111" applyFont="1" applyBorder="1" applyAlignment="1">
      <alignment horizontal="center" wrapText="1"/>
    </xf>
    <xf numFmtId="0" fontId="99" fillId="0" borderId="0" xfId="211" applyFont="1" applyAlignment="1">
      <alignment horizontal="center"/>
    </xf>
    <xf numFmtId="178" fontId="126" fillId="0" borderId="0" xfId="390" applyNumberFormat="1" applyFont="1" applyFill="1" applyAlignment="1">
      <alignment horizontal="center"/>
    </xf>
    <xf numFmtId="0" fontId="106" fillId="0" borderId="0" xfId="103" applyFont="1" applyAlignment="1">
      <alignment horizontal="center"/>
    </xf>
    <xf numFmtId="0" fontId="106" fillId="0" borderId="0" xfId="1606" applyFont="1" applyAlignment="1">
      <alignment horizontal="center"/>
    </xf>
  </cellXfs>
  <cellStyles count="1770">
    <cellStyle name="20% - Accent1" xfId="1702" builtinId="30" customBuiltin="1"/>
    <cellStyle name="20% - Accent2" xfId="1705" builtinId="34" customBuiltin="1"/>
    <cellStyle name="20% - Accent3" xfId="1708" builtinId="38" customBuiltin="1"/>
    <cellStyle name="20% - Accent4" xfId="1711" builtinId="42" customBuiltin="1"/>
    <cellStyle name="20% - Accent5" xfId="1714" builtinId="46" customBuiltin="1"/>
    <cellStyle name="20% - Accent6" xfId="1717" builtinId="50" customBuiltin="1"/>
    <cellStyle name="40% - Accent1" xfId="1703" builtinId="31" customBuiltin="1"/>
    <cellStyle name="40% - Accent2" xfId="1706" builtinId="35" customBuiltin="1"/>
    <cellStyle name="40% - Accent3" xfId="1709" builtinId="39" customBuiltin="1"/>
    <cellStyle name="40% - Accent4" xfId="1712" builtinId="43" customBuiltin="1"/>
    <cellStyle name="40% - Accent5" xfId="1715" builtinId="47" customBuiltin="1"/>
    <cellStyle name="40% - Accent6" xfId="1718" builtinId="51" customBuiltin="1"/>
    <cellStyle name="60% - Accent1 2" xfId="1725"/>
    <cellStyle name="60% - Accent2 2" xfId="1726"/>
    <cellStyle name="60% - Accent3 2" xfId="1727"/>
    <cellStyle name="60% - Accent4 2" xfId="1728"/>
    <cellStyle name="60% - Accent5 2" xfId="1729"/>
    <cellStyle name="60% - Accent6 2" xfId="1730"/>
    <cellStyle name="Abstract" xfId="1"/>
    <cellStyle name="Abstract 2" xfId="2"/>
    <cellStyle name="Abstract 3" xfId="3"/>
    <cellStyle name="Accent1" xfId="1701" builtinId="29" customBuiltin="1"/>
    <cellStyle name="Accent2" xfId="1704" builtinId="33" customBuiltin="1"/>
    <cellStyle name="Accent3" xfId="1707" builtinId="37" customBuiltin="1"/>
    <cellStyle name="Accent4" xfId="1710" builtinId="41" customBuiltin="1"/>
    <cellStyle name="Accent5" xfId="1713" builtinId="45" customBuiltin="1"/>
    <cellStyle name="Accent6" xfId="1716" builtinId="49" customBuiltin="1"/>
    <cellStyle name="Bad" xfId="1692" builtinId="27" customBuiltin="1"/>
    <cellStyle name="Body: normal cell" xfId="804"/>
    <cellStyle name="Calculation" xfId="1695" builtinId="22" customBuiltin="1"/>
    <cellStyle name="Check Cell" xfId="1697" builtinId="23" customBuiltin="1"/>
    <cellStyle name="Comma" xfId="4" builtinId="3"/>
    <cellStyle name="Comma [0] 2" xfId="879"/>
    <cellStyle name="Comma 10" xfId="5"/>
    <cellStyle name="Comma 10 2" xfId="6"/>
    <cellStyle name="Comma 10 2 2" xfId="421"/>
    <cellStyle name="Comma 10 2 2 2" xfId="685"/>
    <cellStyle name="Comma 10 2 2 2 2" xfId="1107"/>
    <cellStyle name="Comma 10 2 2 2 3" xfId="1483"/>
    <cellStyle name="Comma 10 2 2 3" xfId="964"/>
    <cellStyle name="Comma 10 2 2 4" xfId="1340"/>
    <cellStyle name="Comma 10 2 3" xfId="630"/>
    <cellStyle name="Comma 10 2 3 2" xfId="1052"/>
    <cellStyle name="Comma 10 2 3 3" xfId="1428"/>
    <cellStyle name="Comma 10 2 4" xfId="909"/>
    <cellStyle name="Comma 10 2 5" xfId="1285"/>
    <cellStyle name="Comma 10 3" xfId="422"/>
    <cellStyle name="Comma 10 3 2" xfId="676"/>
    <cellStyle name="Comma 10 3 2 2" xfId="1098"/>
    <cellStyle name="Comma 10 3 2 3" xfId="1474"/>
    <cellStyle name="Comma 10 3 3" xfId="965"/>
    <cellStyle name="Comma 10 3 4" xfId="1341"/>
    <cellStyle name="Comma 10 4" xfId="423"/>
    <cellStyle name="Comma 10 4 2" xfId="745"/>
    <cellStyle name="Comma 10 4 2 2" xfId="1167"/>
    <cellStyle name="Comma 10 4 2 3" xfId="1543"/>
    <cellStyle name="Comma 10 4 3" xfId="966"/>
    <cellStyle name="Comma 10 4 4" xfId="1342"/>
    <cellStyle name="Comma 10 5" xfId="621"/>
    <cellStyle name="Comma 10 5 2" xfId="1043"/>
    <cellStyle name="Comma 10 5 3" xfId="1419"/>
    <cellStyle name="Comma 10 6" xfId="908"/>
    <cellStyle name="Comma 10 6 2" xfId="1670"/>
    <cellStyle name="Comma 10 7" xfId="1284"/>
    <cellStyle name="Comma 11" xfId="7"/>
    <cellStyle name="Comma 11 2" xfId="8"/>
    <cellStyle name="Comma 11 2 2" xfId="424"/>
    <cellStyle name="Comma 11 3" xfId="425"/>
    <cellStyle name="Comma 11 4" xfId="768"/>
    <cellStyle name="Comma 12" xfId="9"/>
    <cellStyle name="Comma 12 2" xfId="10"/>
    <cellStyle name="Comma 13" xfId="11"/>
    <cellStyle name="Comma 14" xfId="778"/>
    <cellStyle name="Comma 14 2 2" xfId="823"/>
    <cellStyle name="Comma 15" xfId="780"/>
    <cellStyle name="Comma 15 2" xfId="1186"/>
    <cellStyle name="Comma 16" xfId="784"/>
    <cellStyle name="Comma 16 2" xfId="795"/>
    <cellStyle name="Comma 16 2 2" xfId="831"/>
    <cellStyle name="Comma 16 2 2 2" xfId="1217"/>
    <cellStyle name="Comma 16 2 2 2 2" xfId="1609"/>
    <cellStyle name="Comma 16 2 2 3" xfId="1610"/>
    <cellStyle name="Comma 16 2 3" xfId="1196"/>
    <cellStyle name="Comma 16 2 4" xfId="1568"/>
    <cellStyle name="Comma 16 3" xfId="1190"/>
    <cellStyle name="Comma 16 4" xfId="1562"/>
    <cellStyle name="Comma 17" xfId="790"/>
    <cellStyle name="Comma 17 2" xfId="1193"/>
    <cellStyle name="Comma 17 3" xfId="1565"/>
    <cellStyle name="Comma 18" xfId="809"/>
    <cellStyle name="Comma 18 2" xfId="1202"/>
    <cellStyle name="Comma 18 3" xfId="1574"/>
    <cellStyle name="Comma 19" xfId="816"/>
    <cellStyle name="Comma 19 2" xfId="1208"/>
    <cellStyle name="Comma 19 3" xfId="1581"/>
    <cellStyle name="Comma 2" xfId="12"/>
    <cellStyle name="Comma 2 10" xfId="880"/>
    <cellStyle name="Comma 2 106 4" xfId="1675"/>
    <cellStyle name="Comma 2 11" xfId="1733"/>
    <cellStyle name="Comma 2 155" xfId="855"/>
    <cellStyle name="Comma 2 155 2" xfId="1230"/>
    <cellStyle name="Comma 2 2" xfId="13"/>
    <cellStyle name="Comma 2 3" xfId="14"/>
    <cellStyle name="Comma 2 4" xfId="15"/>
    <cellStyle name="Comma 2 5" xfId="16"/>
    <cellStyle name="Comma 2 6" xfId="17"/>
    <cellStyle name="Comma 2 7" xfId="793"/>
    <cellStyle name="Comma 2 8" xfId="818"/>
    <cellStyle name="Comma 2 8 2" xfId="1210"/>
    <cellStyle name="Comma 2 8 2 2 2" xfId="1616"/>
    <cellStyle name="Comma 2 8 3" xfId="1577"/>
    <cellStyle name="Comma 2 8 4" xfId="1627"/>
    <cellStyle name="Comma 2 8 5" xfId="1653"/>
    <cellStyle name="Comma 2 9" xfId="834"/>
    <cellStyle name="Comma 2 9 2" xfId="1220"/>
    <cellStyle name="Comma 2 9 3" xfId="1615"/>
    <cellStyle name="Comma 20" xfId="830"/>
    <cellStyle name="Comma 20 2" xfId="1216"/>
    <cellStyle name="Comma 20 3" xfId="1583"/>
    <cellStyle name="Comma 20 4" xfId="1644"/>
    <cellStyle name="Comma 21" xfId="18"/>
    <cellStyle name="Comma 22" xfId="865"/>
    <cellStyle name="Comma 22 2" xfId="1238"/>
    <cellStyle name="Comma 22 3" xfId="1585"/>
    <cellStyle name="Comma 22 4" xfId="1643"/>
    <cellStyle name="Comma 23" xfId="871"/>
    <cellStyle name="Comma 23 2" xfId="893"/>
    <cellStyle name="Comma 23 2 2" xfId="1260"/>
    <cellStyle name="Comma 23 2 3" xfId="1762"/>
    <cellStyle name="Comma 23 3" xfId="1244"/>
    <cellStyle name="Comma 23 4" xfId="1751"/>
    <cellStyle name="Comma 24" xfId="883"/>
    <cellStyle name="Comma 24 2" xfId="889"/>
    <cellStyle name="Comma 24 2 2" xfId="1256"/>
    <cellStyle name="Comma 24 3" xfId="1250"/>
    <cellStyle name="Comma 24 4" xfId="1749"/>
    <cellStyle name="Comma 25" xfId="887"/>
    <cellStyle name="Comma 25 2" xfId="891"/>
    <cellStyle name="Comma 25 2 2" xfId="1258"/>
    <cellStyle name="Comma 25 3" xfId="1254"/>
    <cellStyle name="Comma 26" xfId="1623"/>
    <cellStyle name="Comma 27" xfId="1650"/>
    <cellStyle name="Comma 3" xfId="19"/>
    <cellStyle name="Comma 3 10" xfId="20"/>
    <cellStyle name="Comma 3 11" xfId="21"/>
    <cellStyle name="Comma 3 12" xfId="22"/>
    <cellStyle name="Comma 3 13" xfId="23"/>
    <cellStyle name="Comma 3 14" xfId="24"/>
    <cellStyle name="Comma 3 15" xfId="25"/>
    <cellStyle name="Comma 3 16" xfId="26"/>
    <cellStyle name="Comma 3 17" xfId="27"/>
    <cellStyle name="Comma 3 18" xfId="28"/>
    <cellStyle name="Comma 3 19" xfId="29"/>
    <cellStyle name="Comma 3 2" xfId="30"/>
    <cellStyle name="Comma 3 20" xfId="31"/>
    <cellStyle name="Comma 3 21" xfId="852"/>
    <cellStyle name="Comma 3 21 2" xfId="1228"/>
    <cellStyle name="Comma 3 3" xfId="32"/>
    <cellStyle name="Comma 3 4" xfId="33"/>
    <cellStyle name="Comma 3 5" xfId="34"/>
    <cellStyle name="Comma 3 6" xfId="35"/>
    <cellStyle name="Comma 3 7" xfId="36"/>
    <cellStyle name="Comma 3 8" xfId="37"/>
    <cellStyle name="Comma 3 9" xfId="38"/>
    <cellStyle name="Comma 4" xfId="39"/>
    <cellStyle name="Comma 4 10" xfId="40"/>
    <cellStyle name="Comma 4 11" xfId="41"/>
    <cellStyle name="Comma 4 12" xfId="42"/>
    <cellStyle name="Comma 4 13" xfId="43"/>
    <cellStyle name="Comma 4 14" xfId="44"/>
    <cellStyle name="Comma 4 15" xfId="45"/>
    <cellStyle name="Comma 4 16" xfId="46"/>
    <cellStyle name="Comma 4 17" xfId="47"/>
    <cellStyle name="Comma 4 18" xfId="48"/>
    <cellStyle name="Comma 4 19" xfId="49"/>
    <cellStyle name="Comma 4 2" xfId="50"/>
    <cellStyle name="Comma 4 20" xfId="846"/>
    <cellStyle name="Comma 4 3" xfId="51"/>
    <cellStyle name="Comma 4 4" xfId="52"/>
    <cellStyle name="Comma 4 5" xfId="53"/>
    <cellStyle name="Comma 4 6" xfId="54"/>
    <cellStyle name="Comma 4 7" xfId="55"/>
    <cellStyle name="Comma 4 8" xfId="56"/>
    <cellStyle name="Comma 4 9" xfId="57"/>
    <cellStyle name="Comma 45 3" xfId="842"/>
    <cellStyle name="Comma 5" xfId="58"/>
    <cellStyle name="Comma 6" xfId="59"/>
    <cellStyle name="Comma 6 2 2" xfId="1637"/>
    <cellStyle name="Comma 7" xfId="60"/>
    <cellStyle name="Comma 7 2" xfId="61"/>
    <cellStyle name="Comma 7 3" xfId="62"/>
    <cellStyle name="Comma 7 3 2" xfId="63"/>
    <cellStyle name="Comma 7 3 2 2" xfId="426"/>
    <cellStyle name="Comma 7 3 2 2 2" xfId="687"/>
    <cellStyle name="Comma 7 3 2 2 2 2" xfId="1109"/>
    <cellStyle name="Comma 7 3 2 2 2 3" xfId="1485"/>
    <cellStyle name="Comma 7 3 2 2 3" xfId="967"/>
    <cellStyle name="Comma 7 3 2 2 4" xfId="1343"/>
    <cellStyle name="Comma 7 3 2 3" xfId="632"/>
    <cellStyle name="Comma 7 3 2 3 2" xfId="1054"/>
    <cellStyle name="Comma 7 3 2 3 3" xfId="1430"/>
    <cellStyle name="Comma 7 3 2 4" xfId="911"/>
    <cellStyle name="Comma 7 3 2 5" xfId="1287"/>
    <cellStyle name="Comma 7 3 3" xfId="427"/>
    <cellStyle name="Comma 7 3 3 2" xfId="686"/>
    <cellStyle name="Comma 7 3 3 2 2" xfId="1108"/>
    <cellStyle name="Comma 7 3 3 2 3" xfId="1484"/>
    <cellStyle name="Comma 7 3 3 3" xfId="968"/>
    <cellStyle name="Comma 7 3 3 4" xfId="1344"/>
    <cellStyle name="Comma 7 3 4" xfId="428"/>
    <cellStyle name="Comma 7 3 4 2" xfId="746"/>
    <cellStyle name="Comma 7 3 4 2 2" xfId="1168"/>
    <cellStyle name="Comma 7 3 4 2 3" xfId="1544"/>
    <cellStyle name="Comma 7 3 4 3" xfId="969"/>
    <cellStyle name="Comma 7 3 4 4" xfId="1345"/>
    <cellStyle name="Comma 7 3 5" xfId="631"/>
    <cellStyle name="Comma 7 3 5 2" xfId="1053"/>
    <cellStyle name="Comma 7 3 5 3" xfId="1429"/>
    <cellStyle name="Comma 7 3 6" xfId="910"/>
    <cellStyle name="Comma 7 3 7" xfId="1286"/>
    <cellStyle name="Comma 7 4" xfId="64"/>
    <cellStyle name="Comma 7 4 2" xfId="429"/>
    <cellStyle name="Comma 7 5" xfId="430"/>
    <cellStyle name="Comma 8" xfId="65"/>
    <cellStyle name="Comma 9" xfId="66"/>
    <cellStyle name="Currency" xfId="1282" builtinId="4"/>
    <cellStyle name="Currency [0] 2" xfId="1736"/>
    <cellStyle name="Currency 10" xfId="777"/>
    <cellStyle name="Currency 10 2" xfId="824"/>
    <cellStyle name="Currency 11" xfId="787"/>
    <cellStyle name="Currency 11 2" xfId="797"/>
    <cellStyle name="Currency 11 2 2" xfId="833"/>
    <cellStyle name="Currency 11 2 2 2" xfId="1219"/>
    <cellStyle name="Currency 11 2 2 3" xfId="1612"/>
    <cellStyle name="Currency 11 2 3" xfId="1198"/>
    <cellStyle name="Currency 11 2 4" xfId="1570"/>
    <cellStyle name="Currency 11 3" xfId="1191"/>
    <cellStyle name="Currency 11 4" xfId="1563"/>
    <cellStyle name="Currency 12" xfId="825"/>
    <cellStyle name="Currency 12 2" xfId="1213"/>
    <cellStyle name="Currency 13" xfId="885"/>
    <cellStyle name="Currency 13 2" xfId="1252"/>
    <cellStyle name="Currency 14" xfId="1604"/>
    <cellStyle name="Currency 15" xfId="1720"/>
    <cellStyle name="Currency 2" xfId="67"/>
    <cellStyle name="Currency 2 100 3 2" xfId="1674"/>
    <cellStyle name="Currency 2 2" xfId="68"/>
    <cellStyle name="Currency 2 3" xfId="69"/>
    <cellStyle name="Currency 2 4" xfId="70"/>
    <cellStyle name="Currency 2 5" xfId="71"/>
    <cellStyle name="Currency 2 6" xfId="72"/>
    <cellStyle name="Currency 3" xfId="73"/>
    <cellStyle name="Currency 3 2" xfId="74"/>
    <cellStyle name="Currency 4" xfId="75"/>
    <cellStyle name="Currency 5" xfId="76"/>
    <cellStyle name="Currency 6" xfId="77"/>
    <cellStyle name="Currency 7" xfId="78"/>
    <cellStyle name="Currency 7 2" xfId="79"/>
    <cellStyle name="Currency 7 2 2" xfId="431"/>
    <cellStyle name="Currency 7 3" xfId="432"/>
    <cellStyle name="Currency 7 4" xfId="775"/>
    <cellStyle name="Currency 8" xfId="758"/>
    <cellStyle name="Currency 9" xfId="760"/>
    <cellStyle name="Currency 9 2" xfId="1176"/>
    <cellStyle name="Currency 9 3" xfId="1551"/>
    <cellStyle name="Explanatory Text" xfId="1699" builtinId="53" customBuiltin="1"/>
    <cellStyle name="Font: Calibri, 9pt regular" xfId="800"/>
    <cellStyle name="Footnote" xfId="80"/>
    <cellStyle name="Footnote 2" xfId="81"/>
    <cellStyle name="Footnote 3" xfId="82"/>
    <cellStyle name="Footnotes: top row" xfId="805"/>
    <cellStyle name="General" xfId="83"/>
    <cellStyle name="General 2" xfId="84"/>
    <cellStyle name="General 3" xfId="85"/>
    <cellStyle name="Good" xfId="1691" builtinId="26" customBuiltin="1"/>
    <cellStyle name="Header Bottom" xfId="86"/>
    <cellStyle name="Header Bottom 2" xfId="87"/>
    <cellStyle name="Header Bottom 3" xfId="88"/>
    <cellStyle name="Header Date and Time" xfId="89"/>
    <cellStyle name="Header Date and Time 2" xfId="90"/>
    <cellStyle name="Header Date and Time 3" xfId="91"/>
    <cellStyle name="Header Top" xfId="92"/>
    <cellStyle name="Header Top 2" xfId="93"/>
    <cellStyle name="Header Top 3" xfId="94"/>
    <cellStyle name="Header: bottom row" xfId="801"/>
    <cellStyle name="Heading 1" xfId="1687" builtinId="16" customBuiltin="1"/>
    <cellStyle name="Heading 2" xfId="1688" builtinId="17" customBuiltin="1"/>
    <cellStyle name="Heading 3" xfId="1689" builtinId="18" customBuiltin="1"/>
    <cellStyle name="Heading 4" xfId="1690" builtinId="19" customBuiltin="1"/>
    <cellStyle name="HeadlineStyle" xfId="95"/>
    <cellStyle name="HeadlineStyleJustified" xfId="96"/>
    <cellStyle name="Hyperlink 2" xfId="97"/>
    <cellStyle name="Hyperlink 2 2" xfId="858"/>
    <cellStyle name="Hyperlink 2 3" xfId="1669"/>
    <cellStyle name="Input" xfId="1693" builtinId="20" customBuiltin="1"/>
    <cellStyle name="Linkbase Header" xfId="98"/>
    <cellStyle name="Linkbase Header 2" xfId="99"/>
    <cellStyle name="Linkbase Header 2 2" xfId="100"/>
    <cellStyle name="Linkbase Header 2 2 2" xfId="433"/>
    <cellStyle name="Linkbase Header 2 2 2 2" xfId="689"/>
    <cellStyle name="Linkbase Header 2 2 2 2 2" xfId="1111"/>
    <cellStyle name="Linkbase Header 2 2 2 2 3" xfId="1487"/>
    <cellStyle name="Linkbase Header 2 2 2 3" xfId="970"/>
    <cellStyle name="Linkbase Header 2 2 2 4" xfId="1346"/>
    <cellStyle name="Linkbase Header 2 2 3" xfId="634"/>
    <cellStyle name="Linkbase Header 2 2 3 2" xfId="1056"/>
    <cellStyle name="Linkbase Header 2 2 3 3" xfId="1432"/>
    <cellStyle name="Linkbase Header 2 2 4" xfId="913"/>
    <cellStyle name="Linkbase Header 2 2 5" xfId="1289"/>
    <cellStyle name="Linkbase Header 2 3" xfId="434"/>
    <cellStyle name="Linkbase Header 2 3 2" xfId="688"/>
    <cellStyle name="Linkbase Header 2 3 2 2" xfId="1110"/>
    <cellStyle name="Linkbase Header 2 3 2 3" xfId="1486"/>
    <cellStyle name="Linkbase Header 2 3 3" xfId="971"/>
    <cellStyle name="Linkbase Header 2 3 4" xfId="1347"/>
    <cellStyle name="Linkbase Header 2 4" xfId="435"/>
    <cellStyle name="Linkbase Header 2 4 2" xfId="731"/>
    <cellStyle name="Linkbase Header 2 4 2 2" xfId="1153"/>
    <cellStyle name="Linkbase Header 2 4 2 3" xfId="1529"/>
    <cellStyle name="Linkbase Header 2 4 3" xfId="972"/>
    <cellStyle name="Linkbase Header 2 4 4" xfId="1348"/>
    <cellStyle name="Linkbase Header 2 5" xfId="633"/>
    <cellStyle name="Linkbase Header 2 5 2" xfId="1055"/>
    <cellStyle name="Linkbase Header 2 5 3" xfId="1431"/>
    <cellStyle name="Linkbase Header 2 6" xfId="912"/>
    <cellStyle name="Linkbase Header 2 7" xfId="1288"/>
    <cellStyle name="Linkbase Header 3" xfId="101"/>
    <cellStyle name="Linkbase Header 3 2" xfId="102"/>
    <cellStyle name="Linkbase Header 3 2 2" xfId="436"/>
    <cellStyle name="Linkbase Header 3 2 2 2" xfId="691"/>
    <cellStyle name="Linkbase Header 3 2 2 2 2" xfId="1113"/>
    <cellStyle name="Linkbase Header 3 2 2 2 3" xfId="1489"/>
    <cellStyle name="Linkbase Header 3 2 2 3" xfId="973"/>
    <cellStyle name="Linkbase Header 3 2 2 4" xfId="1349"/>
    <cellStyle name="Linkbase Header 3 2 3" xfId="636"/>
    <cellStyle name="Linkbase Header 3 2 3 2" xfId="1058"/>
    <cellStyle name="Linkbase Header 3 2 3 3" xfId="1434"/>
    <cellStyle name="Linkbase Header 3 2 4" xfId="915"/>
    <cellStyle name="Linkbase Header 3 2 5" xfId="1291"/>
    <cellStyle name="Linkbase Header 3 3" xfId="437"/>
    <cellStyle name="Linkbase Header 3 3 2" xfId="690"/>
    <cellStyle name="Linkbase Header 3 3 2 2" xfId="1112"/>
    <cellStyle name="Linkbase Header 3 3 2 3" xfId="1488"/>
    <cellStyle name="Linkbase Header 3 3 3" xfId="974"/>
    <cellStyle name="Linkbase Header 3 3 4" xfId="1350"/>
    <cellStyle name="Linkbase Header 3 4" xfId="438"/>
    <cellStyle name="Linkbase Header 3 4 2" xfId="732"/>
    <cellStyle name="Linkbase Header 3 4 2 2" xfId="1154"/>
    <cellStyle name="Linkbase Header 3 4 2 3" xfId="1530"/>
    <cellStyle name="Linkbase Header 3 4 3" xfId="975"/>
    <cellStyle name="Linkbase Header 3 4 4" xfId="1351"/>
    <cellStyle name="Linkbase Header 3 5" xfId="635"/>
    <cellStyle name="Linkbase Header 3 5 2" xfId="1057"/>
    <cellStyle name="Linkbase Header 3 5 3" xfId="1433"/>
    <cellStyle name="Linkbase Header 3 6" xfId="914"/>
    <cellStyle name="Linkbase Header 3 7" xfId="1290"/>
    <cellStyle name="Linked Cell" xfId="1696" builtinId="24" customBuiltin="1"/>
    <cellStyle name="Neutral 2" xfId="1723"/>
    <cellStyle name="Normal" xfId="0" builtinId="0"/>
    <cellStyle name="Normal - Style1" xfId="807"/>
    <cellStyle name="Normal 10" xfId="103"/>
    <cellStyle name="Normal 10 10 3 2 2" xfId="1594"/>
    <cellStyle name="Normal 10 10 3 2 2 2 2 2 2" xfId="1671"/>
    <cellStyle name="Normal 10 10 3 2 2 3" xfId="840"/>
    <cellStyle name="Normal 10 10 3 2 2 3 2" xfId="1630"/>
    <cellStyle name="Normal 10 10 3 2 2 5 2" xfId="874"/>
    <cellStyle name="Normal 10 10 3 4" xfId="849"/>
    <cellStyle name="Normal 10 10 3 4 2" xfId="1635"/>
    <cellStyle name="Normal 10 10 9 2 2" xfId="836"/>
    <cellStyle name="Normal 10 10 9 2 2 2" xfId="1222"/>
    <cellStyle name="Normal 10 10 9 2 2 3" xfId="1646"/>
    <cellStyle name="Normal 10 11 9" xfId="1672"/>
    <cellStyle name="Normal 10 2" xfId="104"/>
    <cellStyle name="Normal 10 21 3" xfId="766"/>
    <cellStyle name="Normal 10 3" xfId="105"/>
    <cellStyle name="Normal 11" xfId="106"/>
    <cellStyle name="Normal 11 2" xfId="107"/>
    <cellStyle name="Normal 11 3" xfId="108"/>
    <cellStyle name="Normal 12" xfId="109"/>
    <cellStyle name="Normal 12pt" xfId="110"/>
    <cellStyle name="Normal 13" xfId="111"/>
    <cellStyle name="Normal 13 10" xfId="750"/>
    <cellStyle name="Normal 13 10 2" xfId="752"/>
    <cellStyle name="Normal 13 10 2 2" xfId="1173"/>
    <cellStyle name="Normal 13 10 2 2 2" xfId="1619"/>
    <cellStyle name="Normal 13 10 2 2 2 2" xfId="1596"/>
    <cellStyle name="Normal 13 10 2 2 2 3" xfId="1655"/>
    <cellStyle name="Normal 13 10 2 2 3" xfId="1648"/>
    <cellStyle name="Normal 13 10 2 3" xfId="812"/>
    <cellStyle name="Normal 13 10 2 3 2" xfId="863"/>
    <cellStyle name="Normal 13 10 2 3 2 2" xfId="1236"/>
    <cellStyle name="Normal 13 10 2 3 2 3" xfId="1752"/>
    <cellStyle name="Normal 13 10 2 3 3" xfId="902"/>
    <cellStyle name="Normal 13 10 2 3 3 2" xfId="1269"/>
    <cellStyle name="Normal 13 10 2 3 4" xfId="1205"/>
    <cellStyle name="Normal 13 10 2 3 5" xfId="1589"/>
    <cellStyle name="Normal 13 10 2 4" xfId="1549"/>
    <cellStyle name="Normal 13 10 3" xfId="811"/>
    <cellStyle name="Normal 13 10 3 2" xfId="862"/>
    <cellStyle name="Normal 13 10 3 2 2" xfId="1235"/>
    <cellStyle name="Normal 13 10 3 3" xfId="1204"/>
    <cellStyle name="Normal 13 10 3 4" xfId="1576"/>
    <cellStyle name="Normal 13 10 4" xfId="1172"/>
    <cellStyle name="Normal 13 10 5" xfId="1548"/>
    <cellStyle name="Normal 13 11" xfId="1292"/>
    <cellStyle name="Normal 13 2" xfId="112"/>
    <cellStyle name="Normal 13 3" xfId="113"/>
    <cellStyle name="Normal 13 3 2" xfId="114"/>
    <cellStyle name="Normal 13 3 2 2" xfId="439"/>
    <cellStyle name="Normal 13 3 2 2 2" xfId="693"/>
    <cellStyle name="Normal 13 3 2 2 2 2" xfId="1115"/>
    <cellStyle name="Normal 13 3 2 2 2 3" xfId="1491"/>
    <cellStyle name="Normal 13 3 2 2 3" xfId="976"/>
    <cellStyle name="Normal 13 3 2 2 4" xfId="1352"/>
    <cellStyle name="Normal 13 3 2 3" xfId="638"/>
    <cellStyle name="Normal 13 3 2 3 2" xfId="1060"/>
    <cellStyle name="Normal 13 3 2 3 3" xfId="1436"/>
    <cellStyle name="Normal 13 3 2 4" xfId="918"/>
    <cellStyle name="Normal 13 3 2 5" xfId="1294"/>
    <cellStyle name="Normal 13 3 3" xfId="440"/>
    <cellStyle name="Normal 13 3 3 2" xfId="692"/>
    <cellStyle name="Normal 13 3 3 2 2" xfId="1114"/>
    <cellStyle name="Normal 13 3 3 2 3" xfId="1490"/>
    <cellStyle name="Normal 13 3 3 3" xfId="977"/>
    <cellStyle name="Normal 13 3 3 4" xfId="1353"/>
    <cellStyle name="Normal 13 3 4" xfId="441"/>
    <cellStyle name="Normal 13 3 4 2" xfId="747"/>
    <cellStyle name="Normal 13 3 4 2 2" xfId="1169"/>
    <cellStyle name="Normal 13 3 4 2 3" xfId="1545"/>
    <cellStyle name="Normal 13 3 4 3" xfId="978"/>
    <cellStyle name="Normal 13 3 4 4" xfId="1354"/>
    <cellStyle name="Normal 13 3 5" xfId="637"/>
    <cellStyle name="Normal 13 3 5 2" xfId="1059"/>
    <cellStyle name="Normal 13 3 5 3" xfId="1435"/>
    <cellStyle name="Normal 13 3 6" xfId="917"/>
    <cellStyle name="Normal 13 3 7" xfId="1293"/>
    <cellStyle name="Normal 13 4" xfId="115"/>
    <cellStyle name="Normal 13 4 2" xfId="442"/>
    <cellStyle name="Normal 13 4 2 2" xfId="694"/>
    <cellStyle name="Normal 13 4 2 2 2" xfId="1116"/>
    <cellStyle name="Normal 13 4 2 2 3" xfId="1492"/>
    <cellStyle name="Normal 13 4 2 3" xfId="979"/>
    <cellStyle name="Normal 13 4 2 4" xfId="1355"/>
    <cellStyle name="Normal 13 4 3" xfId="639"/>
    <cellStyle name="Normal 13 4 3 2" xfId="1061"/>
    <cellStyle name="Normal 13 4 3 3" xfId="1437"/>
    <cellStyle name="Normal 13 4 4" xfId="919"/>
    <cellStyle name="Normal 13 4 5" xfId="1295"/>
    <cellStyle name="Normal 13 5" xfId="116"/>
    <cellStyle name="Normal 13 5 2" xfId="443"/>
    <cellStyle name="Normal 13 5 2 2" xfId="727"/>
    <cellStyle name="Normal 13 5 2 2 2" xfId="1149"/>
    <cellStyle name="Normal 13 5 2 2 3" xfId="1525"/>
    <cellStyle name="Normal 13 5 2 3" xfId="980"/>
    <cellStyle name="Normal 13 5 2 4" xfId="1356"/>
    <cellStyle name="Normal 13 5 3" xfId="672"/>
    <cellStyle name="Normal 13 5 3 2" xfId="1094"/>
    <cellStyle name="Normal 13 5 3 3" xfId="1470"/>
    <cellStyle name="Normal 13 5 4" xfId="771"/>
    <cellStyle name="Normal 13 5 4 2" xfId="1183"/>
    <cellStyle name="Normal 13 5 4 2 2" xfId="767"/>
    <cellStyle name="Normal 13 5 4 2 2 2" xfId="774"/>
    <cellStyle name="Normal 13 5 4 2 2 2 2" xfId="1184"/>
    <cellStyle name="Normal 13 5 4 2 2 2 3" xfId="1559"/>
    <cellStyle name="Normal 13 5 4 2 2 3" xfId="794"/>
    <cellStyle name="Normal 13 5 4 2 2 3 2" xfId="861"/>
    <cellStyle name="Normal 13 5 4 2 2 3 2 2" xfId="1234"/>
    <cellStyle name="Normal 13 5 4 2 2 3 2 2 2" xfId="1753"/>
    <cellStyle name="Normal 13 5 4 2 2 3 2 3" xfId="1591"/>
    <cellStyle name="Normal 13 5 4 2 2 3 2 4 2" xfId="1737"/>
    <cellStyle name="Normal 13 5 4 2 2 3 3" xfId="875"/>
    <cellStyle name="Normal 13 5 4 2 2 3 3 2" xfId="1246"/>
    <cellStyle name="Normal 13 5 4 2 2 3 4" xfId="1195"/>
    <cellStyle name="Normal 13 5 4 2 2 3 5" xfId="1567"/>
    <cellStyle name="Normal 13 5 4 2 2 4" xfId="1182"/>
    <cellStyle name="Normal 13 5 4 2 2 5" xfId="1557"/>
    <cellStyle name="Normal 13 5 4 3" xfId="1558"/>
    <cellStyle name="Normal 13 5 5" xfId="920"/>
    <cellStyle name="Normal 13 5 6" xfId="1296"/>
    <cellStyle name="Normal 13 6" xfId="420"/>
    <cellStyle name="Normal 13 6 2" xfId="673"/>
    <cellStyle name="Normal 13 6 2 2" xfId="1095"/>
    <cellStyle name="Normal 13 6 2 3" xfId="1471"/>
    <cellStyle name="Normal 13 6 3" xfId="963"/>
    <cellStyle name="Normal 13 6 4" xfId="1339"/>
    <cellStyle name="Normal 13 7" xfId="444"/>
    <cellStyle name="Normal 13 7 2" xfId="728"/>
    <cellStyle name="Normal 13 7 2 2" xfId="1150"/>
    <cellStyle name="Normal 13 7 2 3" xfId="1526"/>
    <cellStyle name="Normal 13 7 3" xfId="981"/>
    <cellStyle name="Normal 13 7 4" xfId="1357"/>
    <cellStyle name="Normal 13 8" xfId="618"/>
    <cellStyle name="Normal 13 8 2" xfId="1040"/>
    <cellStyle name="Normal 13 8 3" xfId="1416"/>
    <cellStyle name="Normal 13 9" xfId="916"/>
    <cellStyle name="Normal 13_Risk Adjustment" xfId="117"/>
    <cellStyle name="Normal 14" xfId="118"/>
    <cellStyle name="Normal 14 10" xfId="1651"/>
    <cellStyle name="Normal 14 11" xfId="1735"/>
    <cellStyle name="Normal 14 12 10" xfId="1682"/>
    <cellStyle name="Normal 14 12 10 2 2 3" xfId="1640"/>
    <cellStyle name="Normal 14 12 10 2 2 3 2" xfId="1685"/>
    <cellStyle name="Normal 14 2" xfId="119"/>
    <cellStyle name="Normal 14 2 2" xfId="120"/>
    <cellStyle name="Normal 14 2 2 2" xfId="445"/>
    <cellStyle name="Normal 14 2 2 2 2" xfId="695"/>
    <cellStyle name="Normal 14 2 2 2 2 2" xfId="1117"/>
    <cellStyle name="Normal 14 2 2 2 2 3" xfId="1493"/>
    <cellStyle name="Normal 14 2 2 2 3" xfId="982"/>
    <cellStyle name="Normal 14 2 2 2 4" xfId="1358"/>
    <cellStyle name="Normal 14 2 2 3" xfId="640"/>
    <cellStyle name="Normal 14 2 2 3 2" xfId="1062"/>
    <cellStyle name="Normal 14 2 2 3 3" xfId="1438"/>
    <cellStyle name="Normal 14 2 2 4" xfId="923"/>
    <cellStyle name="Normal 14 2 2 5" xfId="1299"/>
    <cellStyle name="Normal 14 2 3" xfId="446"/>
    <cellStyle name="Normal 14 2 3 2" xfId="675"/>
    <cellStyle name="Normal 14 2 3 2 2" xfId="1097"/>
    <cellStyle name="Normal 14 2 3 2 3" xfId="1473"/>
    <cellStyle name="Normal 14 2 3 3" xfId="983"/>
    <cellStyle name="Normal 14 2 3 4" xfId="1359"/>
    <cellStyle name="Normal 14 2 4" xfId="447"/>
    <cellStyle name="Normal 14 2 4 2" xfId="730"/>
    <cellStyle name="Normal 14 2 4 2 2" xfId="1152"/>
    <cellStyle name="Normal 14 2 4 2 3" xfId="1528"/>
    <cellStyle name="Normal 14 2 4 3" xfId="984"/>
    <cellStyle name="Normal 14 2 4 4" xfId="1360"/>
    <cellStyle name="Normal 14 2 5" xfId="620"/>
    <cellStyle name="Normal 14 2 5 2" xfId="1042"/>
    <cellStyle name="Normal 14 2 5 3" xfId="1418"/>
    <cellStyle name="Normal 14 2 6" xfId="922"/>
    <cellStyle name="Normal 14 2 7" xfId="1298"/>
    <cellStyle name="Normal 14 3" xfId="121"/>
    <cellStyle name="Normal 14 3 2" xfId="448"/>
    <cellStyle name="Normal 14 3 2 2" xfId="696"/>
    <cellStyle name="Normal 14 3 2 2 2" xfId="1118"/>
    <cellStyle name="Normal 14 3 2 2 3" xfId="1494"/>
    <cellStyle name="Normal 14 3 2 3" xfId="985"/>
    <cellStyle name="Normal 14 3 2 4" xfId="1361"/>
    <cellStyle name="Normal 14 3 3" xfId="641"/>
    <cellStyle name="Normal 14 3 3 2" xfId="1063"/>
    <cellStyle name="Normal 14 3 3 3" xfId="1439"/>
    <cellStyle name="Normal 14 3 4" xfId="924"/>
    <cellStyle name="Normal 14 3 5" xfId="1300"/>
    <cellStyle name="Normal 14 4" xfId="449"/>
    <cellStyle name="Normal 14 4 2" xfId="674"/>
    <cellStyle name="Normal 14 4 2 2" xfId="1096"/>
    <cellStyle name="Normal 14 4 2 3" xfId="1472"/>
    <cellStyle name="Normal 14 4 3" xfId="986"/>
    <cellStyle name="Normal 14 4 4" xfId="1362"/>
    <cellStyle name="Normal 14 5" xfId="450"/>
    <cellStyle name="Normal 14 5 2" xfId="729"/>
    <cellStyle name="Normal 14 5 2 2" xfId="1151"/>
    <cellStyle name="Normal 14 5 2 3" xfId="1527"/>
    <cellStyle name="Normal 14 5 3" xfId="987"/>
    <cellStyle name="Normal 14 5 4" xfId="1363"/>
    <cellStyle name="Normal 14 6" xfId="619"/>
    <cellStyle name="Normal 14 6 2" xfId="1041"/>
    <cellStyle name="Normal 14 6 3" xfId="1417"/>
    <cellStyle name="Normal 14 7" xfId="921"/>
    <cellStyle name="Normal 14 8" xfId="1297"/>
    <cellStyle name="Normal 14 9" xfId="1624"/>
    <cellStyle name="Normal 15" xfId="122"/>
    <cellStyle name="Normal 15 10" xfId="1301"/>
    <cellStyle name="Normal 15 2" xfId="123"/>
    <cellStyle name="Normal 15 2 2" xfId="124"/>
    <cellStyle name="Normal 15 2 2 2" xfId="125"/>
    <cellStyle name="Normal 15 2 2 2 2" xfId="451"/>
    <cellStyle name="Normal 15 2 2 3" xfId="452"/>
    <cellStyle name="Normal 15 2 3" xfId="126"/>
    <cellStyle name="Normal 15 2 3 2" xfId="453"/>
    <cellStyle name="Normal 15 2 4" xfId="454"/>
    <cellStyle name="Normal 15 3" xfId="127"/>
    <cellStyle name="Normal 15 3 2" xfId="128"/>
    <cellStyle name="Normal 15 3 2 2" xfId="455"/>
    <cellStyle name="Normal 15 3 2 2 2" xfId="698"/>
    <cellStyle name="Normal 15 3 2 2 2 2" xfId="1120"/>
    <cellStyle name="Normal 15 3 2 2 2 3" xfId="1496"/>
    <cellStyle name="Normal 15 3 2 2 3" xfId="988"/>
    <cellStyle name="Normal 15 3 2 2 4" xfId="1364"/>
    <cellStyle name="Normal 15 3 2 3" xfId="643"/>
    <cellStyle name="Normal 15 3 2 3 2" xfId="1065"/>
    <cellStyle name="Normal 15 3 2 3 3" xfId="1441"/>
    <cellStyle name="Normal 15 3 2 4" xfId="927"/>
    <cellStyle name="Normal 15 3 2 5" xfId="1303"/>
    <cellStyle name="Normal 15 3 3" xfId="456"/>
    <cellStyle name="Normal 15 3 3 2" xfId="697"/>
    <cellStyle name="Normal 15 3 3 2 2" xfId="1119"/>
    <cellStyle name="Normal 15 3 3 2 3" xfId="1495"/>
    <cellStyle name="Normal 15 3 3 3" xfId="989"/>
    <cellStyle name="Normal 15 3 3 4" xfId="1365"/>
    <cellStyle name="Normal 15 3 4" xfId="457"/>
    <cellStyle name="Normal 15 3 4 2" xfId="748"/>
    <cellStyle name="Normal 15 3 4 2 2" xfId="1170"/>
    <cellStyle name="Normal 15 3 4 2 3" xfId="1546"/>
    <cellStyle name="Normal 15 3 4 3" xfId="990"/>
    <cellStyle name="Normal 15 3 4 4" xfId="1366"/>
    <cellStyle name="Normal 15 3 5" xfId="642"/>
    <cellStyle name="Normal 15 3 5 2" xfId="1064"/>
    <cellStyle name="Normal 15 3 5 3" xfId="1440"/>
    <cellStyle name="Normal 15 3 6" xfId="926"/>
    <cellStyle name="Normal 15 3 7" xfId="1302"/>
    <cellStyle name="Normal 15 4" xfId="129"/>
    <cellStyle name="Normal 15 4 2" xfId="130"/>
    <cellStyle name="Normal 15 4 2 2" xfId="458"/>
    <cellStyle name="Normal 15 4 3" xfId="459"/>
    <cellStyle name="Normal 15 5" xfId="131"/>
    <cellStyle name="Normal 15 5 2" xfId="132"/>
    <cellStyle name="Normal 15 5 2 2" xfId="133"/>
    <cellStyle name="Normal 15 5 2 2 2" xfId="460"/>
    <cellStyle name="Normal 15 5 2 3" xfId="461"/>
    <cellStyle name="Normal 15 5 3" xfId="134"/>
    <cellStyle name="Normal 15 5 3 2" xfId="462"/>
    <cellStyle name="Normal 15 5 4" xfId="463"/>
    <cellStyle name="Normal 15 6" xfId="135"/>
    <cellStyle name="Normal 15 6 2" xfId="464"/>
    <cellStyle name="Normal 15 7" xfId="465"/>
    <cellStyle name="Normal 15 7 2" xfId="679"/>
    <cellStyle name="Normal 15 7 2 2" xfId="1101"/>
    <cellStyle name="Normal 15 7 2 3" xfId="1477"/>
    <cellStyle name="Normal 15 7 3" xfId="991"/>
    <cellStyle name="Normal 15 7 4" xfId="1367"/>
    <cellStyle name="Normal 15 8" xfId="624"/>
    <cellStyle name="Normal 15 8 2" xfId="1046"/>
    <cellStyle name="Normal 15 8 3" xfId="1422"/>
    <cellStyle name="Normal 15 9" xfId="925"/>
    <cellStyle name="Normal 152 2" xfId="843"/>
    <cellStyle name="Normal 16" xfId="136"/>
    <cellStyle name="Normal 16 2" xfId="137"/>
    <cellStyle name="Normal 16 2 2" xfId="138"/>
    <cellStyle name="Normal 16 2 2 2" xfId="139"/>
    <cellStyle name="Normal 16 2 2 2 2" xfId="466"/>
    <cellStyle name="Normal 16 2 2 3" xfId="467"/>
    <cellStyle name="Normal 16 2 3" xfId="140"/>
    <cellStyle name="Normal 16 2 3 2" xfId="468"/>
    <cellStyle name="Normal 16 2 4" xfId="469"/>
    <cellStyle name="Normal 16 3" xfId="141"/>
    <cellStyle name="Normal 16 3 2" xfId="142"/>
    <cellStyle name="Normal 16 3 2 2" xfId="470"/>
    <cellStyle name="Normal 16 3 3" xfId="471"/>
    <cellStyle name="Normal 16 4" xfId="143"/>
    <cellStyle name="Normal 16 4 2" xfId="472"/>
    <cellStyle name="Normal 16 5" xfId="473"/>
    <cellStyle name="Normal 16 5 2" xfId="680"/>
    <cellStyle name="Normal 16 5 2 2" xfId="1102"/>
    <cellStyle name="Normal 16 5 2 3" xfId="1478"/>
    <cellStyle name="Normal 16 5 3" xfId="992"/>
    <cellStyle name="Normal 16 5 4" xfId="1368"/>
    <cellStyle name="Normal 16 6" xfId="625"/>
    <cellStyle name="Normal 16 6 2" xfId="1047"/>
    <cellStyle name="Normal 16 6 3" xfId="1423"/>
    <cellStyle name="Normal 16 7" xfId="928"/>
    <cellStyle name="Normal 16 8" xfId="1304"/>
    <cellStyle name="Normal 17" xfId="144"/>
    <cellStyle name="Normal 17 2" xfId="145"/>
    <cellStyle name="Normal 17 2 2" xfId="146"/>
    <cellStyle name="Normal 17 2 2 2" xfId="147"/>
    <cellStyle name="Normal 17 2 2 2 2" xfId="474"/>
    <cellStyle name="Normal 17 2 2 3" xfId="475"/>
    <cellStyle name="Normal 17 2 3" xfId="148"/>
    <cellStyle name="Normal 17 2 3 2" xfId="476"/>
    <cellStyle name="Normal 17 2 4" xfId="477"/>
    <cellStyle name="Normal 17 3" xfId="149"/>
    <cellStyle name="Normal 17 3 2" xfId="150"/>
    <cellStyle name="Normal 17 3 2 2" xfId="478"/>
    <cellStyle name="Normal 17 3 3" xfId="479"/>
    <cellStyle name="Normal 17 4" xfId="151"/>
    <cellStyle name="Normal 17 4 2" xfId="152"/>
    <cellStyle name="Normal 17 4 2 2" xfId="480"/>
    <cellStyle name="Normal 17 4 3" xfId="481"/>
    <cellStyle name="Normal 17 4 4" xfId="769"/>
    <cellStyle name="Normal 17 5" xfId="153"/>
    <cellStyle name="Normal 17 5 2" xfId="482"/>
    <cellStyle name="Normal 17 6" xfId="483"/>
    <cellStyle name="Normal 17 6 2" xfId="681"/>
    <cellStyle name="Normal 17 6 2 2" xfId="1103"/>
    <cellStyle name="Normal 17 6 2 3" xfId="1479"/>
    <cellStyle name="Normal 17 6 3" xfId="993"/>
    <cellStyle name="Normal 17 6 4" xfId="1369"/>
    <cellStyle name="Normal 17 7" xfId="626"/>
    <cellStyle name="Normal 17 7 2" xfId="1048"/>
    <cellStyle name="Normal 17 7 3" xfId="1424"/>
    <cellStyle name="Normal 17 8" xfId="929"/>
    <cellStyle name="Normal 17 9" xfId="1305"/>
    <cellStyle name="Normal 18" xfId="154"/>
    <cellStyle name="Normal 18 2" xfId="155"/>
    <cellStyle name="Normal 18 2 2" xfId="156"/>
    <cellStyle name="Normal 18 2 2 2" xfId="157"/>
    <cellStyle name="Normal 18 2 2 2 2" xfId="484"/>
    <cellStyle name="Normal 18 2 2 3" xfId="485"/>
    <cellStyle name="Normal 18 2 3" xfId="158"/>
    <cellStyle name="Normal 18 2 3 2" xfId="486"/>
    <cellStyle name="Normal 18 2 4" xfId="487"/>
    <cellStyle name="Normal 18 3" xfId="159"/>
    <cellStyle name="Normal 18 3 2" xfId="160"/>
    <cellStyle name="Normal 18 3 2 2" xfId="488"/>
    <cellStyle name="Normal 18 3 3" xfId="489"/>
    <cellStyle name="Normal 19" xfId="161"/>
    <cellStyle name="Normal 19 2" xfId="162"/>
    <cellStyle name="Normal 19 2 2" xfId="163"/>
    <cellStyle name="Normal 19 2 2 2" xfId="164"/>
    <cellStyle name="Normal 19 2 2 2 2" xfId="490"/>
    <cellStyle name="Normal 19 2 2 3" xfId="491"/>
    <cellStyle name="Normal 19 2 3" xfId="165"/>
    <cellStyle name="Normal 19 2 3 2" xfId="492"/>
    <cellStyle name="Normal 19 2 4" xfId="493"/>
    <cellStyle name="Normal 19 3" xfId="166"/>
    <cellStyle name="Normal 19 3 2" xfId="167"/>
    <cellStyle name="Normal 19 3 2 2" xfId="494"/>
    <cellStyle name="Normal 19 3 3" xfId="495"/>
    <cellStyle name="Normal 19 4" xfId="168"/>
    <cellStyle name="Normal 19 4 2" xfId="496"/>
    <cellStyle name="Normal 19 5" xfId="497"/>
    <cellStyle name="Normal 19 5 2" xfId="682"/>
    <cellStyle name="Normal 19 5 2 2" xfId="1104"/>
    <cellStyle name="Normal 19 5 2 3" xfId="1480"/>
    <cellStyle name="Normal 19 5 3" xfId="994"/>
    <cellStyle name="Normal 19 5 4" xfId="1370"/>
    <cellStyle name="Normal 19 6" xfId="627"/>
    <cellStyle name="Normal 19 6 2" xfId="1049"/>
    <cellStyle name="Normal 19 6 3" xfId="1425"/>
    <cellStyle name="Normal 19 7" xfId="930"/>
    <cellStyle name="Normal 19 8" xfId="1306"/>
    <cellStyle name="Normal 2" xfId="169"/>
    <cellStyle name="Normal 2 10" xfId="1281"/>
    <cellStyle name="Normal 2 11" xfId="1605"/>
    <cellStyle name="Normal 2 11 2" xfId="1742"/>
    <cellStyle name="Normal 2 11 3" xfId="1746"/>
    <cellStyle name="Normal 2 12" xfId="1679"/>
    <cellStyle name="Normal 2 13" xfId="1731"/>
    <cellStyle name="Normal 2 146" xfId="839"/>
    <cellStyle name="Normal 2 2" xfId="170"/>
    <cellStyle name="Normal 2 2 10" xfId="1307"/>
    <cellStyle name="Normal 2 2 157" xfId="854"/>
    <cellStyle name="Normal 2 2 2" xfId="171"/>
    <cellStyle name="Normal 2 2 2 145" xfId="1661"/>
    <cellStyle name="Normal 2 2 2 152 2 2 2 2" xfId="873"/>
    <cellStyle name="Normal 2 2 2 2" xfId="498"/>
    <cellStyle name="Normal 2 2 2 2 2" xfId="700"/>
    <cellStyle name="Normal 2 2 2 2 2 2" xfId="1122"/>
    <cellStyle name="Normal 2 2 2 2 2 3" xfId="1498"/>
    <cellStyle name="Normal 2 2 2 2 3" xfId="995"/>
    <cellStyle name="Normal 2 2 2 2 4" xfId="1371"/>
    <cellStyle name="Normal 2 2 2 3" xfId="645"/>
    <cellStyle name="Normal 2 2 2 3 2" xfId="1067"/>
    <cellStyle name="Normal 2 2 2 3 3" xfId="1443"/>
    <cellStyle name="Normal 2 2 2 4" xfId="932"/>
    <cellStyle name="Normal 2 2 2 5" xfId="1308"/>
    <cellStyle name="Normal 2 2 3" xfId="499"/>
    <cellStyle name="Normal 2 2 3 2" xfId="699"/>
    <cellStyle name="Normal 2 2 3 2 2" xfId="1121"/>
    <cellStyle name="Normal 2 2 3 2 3" xfId="1497"/>
    <cellStyle name="Normal 2 2 3 3" xfId="996"/>
    <cellStyle name="Normal 2 2 3 4" xfId="1372"/>
    <cellStyle name="Normal 2 2 4" xfId="500"/>
    <cellStyle name="Normal 2 2 4 2" xfId="733"/>
    <cellStyle name="Normal 2 2 4 2 2" xfId="1155"/>
    <cellStyle name="Normal 2 2 4 2 3" xfId="1531"/>
    <cellStyle name="Normal 2 2 4 3" xfId="997"/>
    <cellStyle name="Normal 2 2 4 4" xfId="1373"/>
    <cellStyle name="Normal 2 2 5" xfId="644"/>
    <cellStyle name="Normal 2 2 5 2" xfId="1066"/>
    <cellStyle name="Normal 2 2 5 3" xfId="1442"/>
    <cellStyle name="Normal 2 2 6" xfId="817"/>
    <cellStyle name="Normal 2 2 6 2" xfId="1209"/>
    <cellStyle name="Normal 2 2 7" xfId="828"/>
    <cellStyle name="Normal 2 2 7 2" xfId="869"/>
    <cellStyle name="Normal 2 2 7 2 2" xfId="906"/>
    <cellStyle name="Normal 2 2 7 2 2 2" xfId="1273"/>
    <cellStyle name="Normal 2 2 7 2 3" xfId="1242"/>
    <cellStyle name="Normal 2 2 7 3" xfId="1215"/>
    <cellStyle name="Normal 2 2 7 4" xfId="1629"/>
    <cellStyle name="Normal 2 2 8" xfId="878"/>
    <cellStyle name="Normal 2 2 9" xfId="931"/>
    <cellStyle name="Normal 2 3" xfId="172"/>
    <cellStyle name="Normal 2 3 143" xfId="837"/>
    <cellStyle name="Normal 2 3 2" xfId="785"/>
    <cellStyle name="Normal 2 4" xfId="759"/>
    <cellStyle name="Normal 2 4 2" xfId="1175"/>
    <cellStyle name="Normal 2 4 2 2" xfId="1613"/>
    <cellStyle name="Normal 2 4 2 3" xfId="1625"/>
    <cellStyle name="Normal 2 4 2 4" xfId="1652"/>
    <cellStyle name="Normal 2 4 3" xfId="1550"/>
    <cellStyle name="Normal 2 4 3 2" xfId="1620"/>
    <cellStyle name="Normal 2 5" xfId="765"/>
    <cellStyle name="Normal 2 5 2" xfId="1181"/>
    <cellStyle name="Normal 2 5 3" xfId="1556"/>
    <cellStyle name="Normal 2 6" xfId="806"/>
    <cellStyle name="Normal 2 6 2" xfId="1200"/>
    <cellStyle name="Normal 2 6 3" xfId="1572"/>
    <cellStyle name="Normal 2 7" xfId="813"/>
    <cellStyle name="Normal 2 8" xfId="829"/>
    <cellStyle name="Normal 2 8 2" xfId="1593"/>
    <cellStyle name="Normal 2 9" xfId="870"/>
    <cellStyle name="Normal 2 9 2" xfId="1243"/>
    <cellStyle name="Normal 20" xfId="173"/>
    <cellStyle name="Normal 20 2" xfId="174"/>
    <cellStyle name="Normal 20 2 2" xfId="175"/>
    <cellStyle name="Normal 20 2 2 2" xfId="176"/>
    <cellStyle name="Normal 20 2 2 2 2" xfId="501"/>
    <cellStyle name="Normal 20 2 2 3" xfId="502"/>
    <cellStyle name="Normal 20 2 3" xfId="177"/>
    <cellStyle name="Normal 20 2 3 2" xfId="503"/>
    <cellStyle name="Normal 20 2 4" xfId="504"/>
    <cellStyle name="Normal 20 3" xfId="178"/>
    <cellStyle name="Normal 20 3 2" xfId="179"/>
    <cellStyle name="Normal 20 3 2 2" xfId="505"/>
    <cellStyle name="Normal 20 3 3" xfId="506"/>
    <cellStyle name="Normal 20 4" xfId="180"/>
    <cellStyle name="Normal 20 4 2" xfId="507"/>
    <cellStyle name="Normal 20 5" xfId="508"/>
    <cellStyle name="Normal 20 5 2" xfId="683"/>
    <cellStyle name="Normal 20 5 2 2" xfId="1105"/>
    <cellStyle name="Normal 20 5 2 3" xfId="1481"/>
    <cellStyle name="Normal 20 5 3" xfId="998"/>
    <cellStyle name="Normal 20 5 4" xfId="1374"/>
    <cellStyle name="Normal 20 6" xfId="628"/>
    <cellStyle name="Normal 20 6 2" xfId="1050"/>
    <cellStyle name="Normal 20 6 3" xfId="1426"/>
    <cellStyle name="Normal 20 7" xfId="933"/>
    <cellStyle name="Normal 20 8" xfId="1309"/>
    <cellStyle name="Normal 202 2" xfId="1639"/>
    <cellStyle name="Normal 202 2 2" xfId="1681"/>
    <cellStyle name="Normal 202 2 3" xfId="1684"/>
    <cellStyle name="Normal 207 2 2 2" xfId="841"/>
    <cellStyle name="Normal 207 2 2 2 2" xfId="1223"/>
    <cellStyle name="Normal 207 2 2 2 2 2" xfId="1632"/>
    <cellStyle name="Normal 207 2 2 2 2 2 2" xfId="1656"/>
    <cellStyle name="Normal 207 4" xfId="844"/>
    <cellStyle name="Normal 207 4 2" xfId="1224"/>
    <cellStyle name="Normal 207 4 2 2" xfId="1633"/>
    <cellStyle name="Normal 207 4 2 2 2" xfId="1657"/>
    <cellStyle name="Normal 21" xfId="181"/>
    <cellStyle name="Normal 21 2" xfId="182"/>
    <cellStyle name="Normal 21 2 2" xfId="183"/>
    <cellStyle name="Normal 21 2 2 2" xfId="509"/>
    <cellStyle name="Normal 21 2 2 2 2" xfId="702"/>
    <cellStyle name="Normal 21 2 2 2 2 2" xfId="1124"/>
    <cellStyle name="Normal 21 2 2 2 2 3" xfId="1500"/>
    <cellStyle name="Normal 21 2 2 2 3" xfId="999"/>
    <cellStyle name="Normal 21 2 2 2 4" xfId="1375"/>
    <cellStyle name="Normal 21 2 2 3" xfId="647"/>
    <cellStyle name="Normal 21 2 2 3 2" xfId="1069"/>
    <cellStyle name="Normal 21 2 2 3 3" xfId="1445"/>
    <cellStyle name="Normal 21 2 2 4" xfId="936"/>
    <cellStyle name="Normal 21 2 2 5" xfId="1312"/>
    <cellStyle name="Normal 21 2 3" xfId="510"/>
    <cellStyle name="Normal 21 2 3 2" xfId="701"/>
    <cellStyle name="Normal 21 2 3 2 2" xfId="1123"/>
    <cellStyle name="Normal 21 2 3 2 3" xfId="1499"/>
    <cellStyle name="Normal 21 2 3 3" xfId="1000"/>
    <cellStyle name="Normal 21 2 3 4" xfId="1376"/>
    <cellStyle name="Normal 21 2 4" xfId="511"/>
    <cellStyle name="Normal 21 2 4 2" xfId="735"/>
    <cellStyle name="Normal 21 2 4 2 2" xfId="1157"/>
    <cellStyle name="Normal 21 2 4 2 3" xfId="1533"/>
    <cellStyle name="Normal 21 2 4 3" xfId="1001"/>
    <cellStyle name="Normal 21 2 4 4" xfId="1377"/>
    <cellStyle name="Normal 21 2 5" xfId="646"/>
    <cellStyle name="Normal 21 2 5 2" xfId="1068"/>
    <cellStyle name="Normal 21 2 5 3" xfId="1444"/>
    <cellStyle name="Normal 21 2 6" xfId="935"/>
    <cellStyle name="Normal 21 2 7" xfId="1311"/>
    <cellStyle name="Normal 21 3" xfId="184"/>
    <cellStyle name="Normal 21 3 2" xfId="512"/>
    <cellStyle name="Normal 21 3 2 2" xfId="703"/>
    <cellStyle name="Normal 21 3 2 2 2" xfId="1125"/>
    <cellStyle name="Normal 21 3 2 2 3" xfId="1501"/>
    <cellStyle name="Normal 21 3 2 3" xfId="1002"/>
    <cellStyle name="Normal 21 3 2 4" xfId="1378"/>
    <cellStyle name="Normal 21 3 3" xfId="648"/>
    <cellStyle name="Normal 21 3 3 2" xfId="1070"/>
    <cellStyle name="Normal 21 3 3 3" xfId="1446"/>
    <cellStyle name="Normal 21 3 4" xfId="937"/>
    <cellStyle name="Normal 21 3 5" xfId="1313"/>
    <cellStyle name="Normal 21 4" xfId="513"/>
    <cellStyle name="Normal 21 4 2" xfId="684"/>
    <cellStyle name="Normal 21 4 2 2" xfId="1106"/>
    <cellStyle name="Normal 21 4 2 3" xfId="1482"/>
    <cellStyle name="Normal 21 4 3" xfId="1003"/>
    <cellStyle name="Normal 21 4 4" xfId="1379"/>
    <cellStyle name="Normal 21 5" xfId="514"/>
    <cellStyle name="Normal 21 5 2" xfId="734"/>
    <cellStyle name="Normal 21 5 2 2" xfId="1156"/>
    <cellStyle name="Normal 21 5 2 3" xfId="1532"/>
    <cellStyle name="Normal 21 5 3" xfId="1004"/>
    <cellStyle name="Normal 21 5 4" xfId="1380"/>
    <cellStyle name="Normal 21 6" xfId="629"/>
    <cellStyle name="Normal 21 6 2" xfId="1051"/>
    <cellStyle name="Normal 21 6 3" xfId="1427"/>
    <cellStyle name="Normal 21 7" xfId="934"/>
    <cellStyle name="Normal 21 8" xfId="1310"/>
    <cellStyle name="Normal 22" xfId="185"/>
    <cellStyle name="Normal 22 2" xfId="186"/>
    <cellStyle name="Normal 22 2 2" xfId="187"/>
    <cellStyle name="Normal 22 2 2 2" xfId="515"/>
    <cellStyle name="Normal 22 2 2 2 2" xfId="706"/>
    <cellStyle name="Normal 22 2 2 2 2 2" xfId="1128"/>
    <cellStyle name="Normal 22 2 2 2 2 3" xfId="1504"/>
    <cellStyle name="Normal 22 2 2 2 3" xfId="1005"/>
    <cellStyle name="Normal 22 2 2 2 4" xfId="1381"/>
    <cellStyle name="Normal 22 2 2 3" xfId="651"/>
    <cellStyle name="Normal 22 2 2 3 2" xfId="1073"/>
    <cellStyle name="Normal 22 2 2 3 3" xfId="1449"/>
    <cellStyle name="Normal 22 2 2 4" xfId="940"/>
    <cellStyle name="Normal 22 2 2 5" xfId="1316"/>
    <cellStyle name="Normal 22 2 3" xfId="516"/>
    <cellStyle name="Normal 22 2 3 2" xfId="705"/>
    <cellStyle name="Normal 22 2 3 2 2" xfId="1127"/>
    <cellStyle name="Normal 22 2 3 2 3" xfId="1503"/>
    <cellStyle name="Normal 22 2 3 3" xfId="1006"/>
    <cellStyle name="Normal 22 2 3 4" xfId="1382"/>
    <cellStyle name="Normal 22 2 4" xfId="517"/>
    <cellStyle name="Normal 22 2 4 2" xfId="737"/>
    <cellStyle name="Normal 22 2 4 2 2" xfId="1159"/>
    <cellStyle name="Normal 22 2 4 2 3" xfId="1535"/>
    <cellStyle name="Normal 22 2 4 3" xfId="1007"/>
    <cellStyle name="Normal 22 2 4 4" xfId="1383"/>
    <cellStyle name="Normal 22 2 5" xfId="650"/>
    <cellStyle name="Normal 22 2 5 2" xfId="1072"/>
    <cellStyle name="Normal 22 2 5 3" xfId="1448"/>
    <cellStyle name="Normal 22 2 6" xfId="939"/>
    <cellStyle name="Normal 22 2 7" xfId="1315"/>
    <cellStyle name="Normal 22 3" xfId="188"/>
    <cellStyle name="Normal 22 3 2" xfId="518"/>
    <cellStyle name="Normal 22 3 2 2" xfId="707"/>
    <cellStyle name="Normal 22 3 2 2 2" xfId="1129"/>
    <cellStyle name="Normal 22 3 2 2 3" xfId="1505"/>
    <cellStyle name="Normal 22 3 2 3" xfId="1008"/>
    <cellStyle name="Normal 22 3 2 4" xfId="1384"/>
    <cellStyle name="Normal 22 3 3" xfId="652"/>
    <cellStyle name="Normal 22 3 3 2" xfId="1074"/>
    <cellStyle name="Normal 22 3 3 3" xfId="1450"/>
    <cellStyle name="Normal 22 3 4" xfId="941"/>
    <cellStyle name="Normal 22 3 5" xfId="1317"/>
    <cellStyle name="Normal 22 4" xfId="519"/>
    <cellStyle name="Normal 22 4 2" xfId="704"/>
    <cellStyle name="Normal 22 4 2 2" xfId="1126"/>
    <cellStyle name="Normal 22 4 2 3" xfId="1502"/>
    <cellStyle name="Normal 22 4 3" xfId="1009"/>
    <cellStyle name="Normal 22 4 4" xfId="1385"/>
    <cellStyle name="Normal 22 5" xfId="520"/>
    <cellStyle name="Normal 22 5 2" xfId="736"/>
    <cellStyle name="Normal 22 5 2 2" xfId="1158"/>
    <cellStyle name="Normal 22 5 2 3" xfId="1534"/>
    <cellStyle name="Normal 22 5 3" xfId="1010"/>
    <cellStyle name="Normal 22 5 4" xfId="1386"/>
    <cellStyle name="Normal 22 6" xfId="649"/>
    <cellStyle name="Normal 22 6 2" xfId="1071"/>
    <cellStyle name="Normal 22 6 3" xfId="1447"/>
    <cellStyle name="Normal 22 7" xfId="938"/>
    <cellStyle name="Normal 22 8" xfId="1314"/>
    <cellStyle name="Normal 23" xfId="189"/>
    <cellStyle name="Normal 23 2" xfId="190"/>
    <cellStyle name="Normal 23 2 2" xfId="191"/>
    <cellStyle name="Normal 23 2 2 2" xfId="521"/>
    <cellStyle name="Normal 23 2 3" xfId="522"/>
    <cellStyle name="Normal 23 3" xfId="192"/>
    <cellStyle name="Normal 23 3 2" xfId="523"/>
    <cellStyle name="Normal 23 3 2 2" xfId="709"/>
    <cellStyle name="Normal 23 3 2 2 2" xfId="1131"/>
    <cellStyle name="Normal 23 3 2 2 3" xfId="1507"/>
    <cellStyle name="Normal 23 3 2 3" xfId="1011"/>
    <cellStyle name="Normal 23 3 2 4" xfId="1387"/>
    <cellStyle name="Normal 23 3 3" xfId="654"/>
    <cellStyle name="Normal 23 3 3 2" xfId="1076"/>
    <cellStyle name="Normal 23 3 3 3" xfId="1452"/>
    <cellStyle name="Normal 23 3 4" xfId="943"/>
    <cellStyle name="Normal 23 3 5" xfId="1319"/>
    <cellStyle name="Normal 23 4" xfId="524"/>
    <cellStyle name="Normal 23 4 2" xfId="708"/>
    <cellStyle name="Normal 23 4 2 2" xfId="1130"/>
    <cellStyle name="Normal 23 4 2 3" xfId="1506"/>
    <cellStyle name="Normal 23 4 3" xfId="1012"/>
    <cellStyle name="Normal 23 4 4" xfId="1388"/>
    <cellStyle name="Normal 23 5" xfId="525"/>
    <cellStyle name="Normal 23 5 2" xfId="738"/>
    <cellStyle name="Normal 23 5 2 2" xfId="1160"/>
    <cellStyle name="Normal 23 5 2 3" xfId="1536"/>
    <cellStyle name="Normal 23 5 3" xfId="1013"/>
    <cellStyle name="Normal 23 5 4" xfId="1389"/>
    <cellStyle name="Normal 23 6" xfId="653"/>
    <cellStyle name="Normal 23 6 2" xfId="1075"/>
    <cellStyle name="Normal 23 6 3" xfId="1451"/>
    <cellStyle name="Normal 23 7" xfId="942"/>
    <cellStyle name="Normal 23 8" xfId="1318"/>
    <cellStyle name="Normal 24" xfId="193"/>
    <cellStyle name="Normal 24 2" xfId="194"/>
    <cellStyle name="Normal 24 2 2" xfId="195"/>
    <cellStyle name="Normal 24 2 2 2" xfId="526"/>
    <cellStyle name="Normal 24 2 3" xfId="527"/>
    <cellStyle name="Normal 24 3" xfId="196"/>
    <cellStyle name="Normal 24 3 2" xfId="528"/>
    <cellStyle name="Normal 24 3 2 2" xfId="711"/>
    <cellStyle name="Normal 24 3 2 2 2" xfId="1133"/>
    <cellStyle name="Normal 24 3 2 2 3" xfId="1509"/>
    <cellStyle name="Normal 24 3 2 3" xfId="1014"/>
    <cellStyle name="Normal 24 3 2 4" xfId="1390"/>
    <cellStyle name="Normal 24 3 3" xfId="656"/>
    <cellStyle name="Normal 24 3 3 2" xfId="1078"/>
    <cellStyle name="Normal 24 3 3 3" xfId="1454"/>
    <cellStyle name="Normal 24 3 4" xfId="945"/>
    <cellStyle name="Normal 24 3 5" xfId="1321"/>
    <cellStyle name="Normal 24 4" xfId="529"/>
    <cellStyle name="Normal 24 4 2" xfId="710"/>
    <cellStyle name="Normal 24 4 2 2" xfId="1132"/>
    <cellStyle name="Normal 24 4 2 3" xfId="1508"/>
    <cellStyle name="Normal 24 4 3" xfId="1015"/>
    <cellStyle name="Normal 24 4 4" xfId="1391"/>
    <cellStyle name="Normal 24 5" xfId="530"/>
    <cellStyle name="Normal 24 5 2" xfId="739"/>
    <cellStyle name="Normal 24 5 2 2" xfId="1161"/>
    <cellStyle name="Normal 24 5 2 3" xfId="1537"/>
    <cellStyle name="Normal 24 5 3" xfId="1016"/>
    <cellStyle name="Normal 24 5 4" xfId="1392"/>
    <cellStyle name="Normal 24 6" xfId="655"/>
    <cellStyle name="Normal 24 6 2" xfId="1077"/>
    <cellStyle name="Normal 24 6 3" xfId="1453"/>
    <cellStyle name="Normal 24 7" xfId="944"/>
    <cellStyle name="Normal 24 8" xfId="1320"/>
    <cellStyle name="Normal 25" xfId="197"/>
    <cellStyle name="Normal 25 2" xfId="198"/>
    <cellStyle name="Normal 25 2 2" xfId="199"/>
    <cellStyle name="Normal 25 2 2 2" xfId="531"/>
    <cellStyle name="Normal 25 2 3" xfId="532"/>
    <cellStyle name="Normal 25 3" xfId="200"/>
    <cellStyle name="Normal 25 3 2" xfId="533"/>
    <cellStyle name="Normal 25 3 2 2" xfId="713"/>
    <cellStyle name="Normal 25 3 2 2 2" xfId="1135"/>
    <cellStyle name="Normal 25 3 2 2 3" xfId="1511"/>
    <cellStyle name="Normal 25 3 2 3" xfId="1017"/>
    <cellStyle name="Normal 25 3 2 4" xfId="1393"/>
    <cellStyle name="Normal 25 3 3" xfId="658"/>
    <cellStyle name="Normal 25 3 3 2" xfId="1080"/>
    <cellStyle name="Normal 25 3 3 3" xfId="1456"/>
    <cellStyle name="Normal 25 3 4" xfId="947"/>
    <cellStyle name="Normal 25 3 5" xfId="1323"/>
    <cellStyle name="Normal 25 4" xfId="534"/>
    <cellStyle name="Normal 25 4 2" xfId="712"/>
    <cellStyle name="Normal 25 4 2 2" xfId="1134"/>
    <cellStyle name="Normal 25 4 2 3" xfId="1510"/>
    <cellStyle name="Normal 25 4 3" xfId="1018"/>
    <cellStyle name="Normal 25 4 4" xfId="1394"/>
    <cellStyle name="Normal 25 5" xfId="535"/>
    <cellStyle name="Normal 25 5 2" xfId="740"/>
    <cellStyle name="Normal 25 5 2 2" xfId="1162"/>
    <cellStyle name="Normal 25 5 2 3" xfId="1538"/>
    <cellStyle name="Normal 25 5 3" xfId="1019"/>
    <cellStyle name="Normal 25 5 4" xfId="1395"/>
    <cellStyle name="Normal 25 6" xfId="657"/>
    <cellStyle name="Normal 25 6 2" xfId="1079"/>
    <cellStyle name="Normal 25 6 3" xfId="1455"/>
    <cellStyle name="Normal 25 7" xfId="946"/>
    <cellStyle name="Normal 25 8" xfId="1322"/>
    <cellStyle name="Normal 26" xfId="201"/>
    <cellStyle name="Normal 26 2" xfId="202"/>
    <cellStyle name="Normal 26 2 2" xfId="203"/>
    <cellStyle name="Normal 26 2 2 2" xfId="536"/>
    <cellStyle name="Normal 26 2 3" xfId="537"/>
    <cellStyle name="Normal 26 3" xfId="204"/>
    <cellStyle name="Normal 26 3 2" xfId="538"/>
    <cellStyle name="Normal 26 3 2 2" xfId="715"/>
    <cellStyle name="Normal 26 3 2 2 2" xfId="1137"/>
    <cellStyle name="Normal 26 3 2 2 3" xfId="1513"/>
    <cellStyle name="Normal 26 3 2 3" xfId="1020"/>
    <cellStyle name="Normal 26 3 2 4" xfId="1396"/>
    <cellStyle name="Normal 26 3 3" xfId="660"/>
    <cellStyle name="Normal 26 3 3 2" xfId="1082"/>
    <cellStyle name="Normal 26 3 3 3" xfId="1458"/>
    <cellStyle name="Normal 26 3 4" xfId="949"/>
    <cellStyle name="Normal 26 3 5" xfId="1325"/>
    <cellStyle name="Normal 26 4" xfId="539"/>
    <cellStyle name="Normal 26 4 2" xfId="714"/>
    <cellStyle name="Normal 26 4 2 2" xfId="1136"/>
    <cellStyle name="Normal 26 4 2 3" xfId="1512"/>
    <cellStyle name="Normal 26 4 3" xfId="1021"/>
    <cellStyle name="Normal 26 4 4" xfId="1397"/>
    <cellStyle name="Normal 26 5" xfId="540"/>
    <cellStyle name="Normal 26 5 2" xfId="741"/>
    <cellStyle name="Normal 26 5 2 2" xfId="1163"/>
    <cellStyle name="Normal 26 5 2 3" xfId="1539"/>
    <cellStyle name="Normal 26 5 3" xfId="1022"/>
    <cellStyle name="Normal 26 5 4" xfId="1398"/>
    <cellStyle name="Normal 26 6" xfId="659"/>
    <cellStyle name="Normal 26 6 2" xfId="1081"/>
    <cellStyle name="Normal 26 6 3" xfId="1457"/>
    <cellStyle name="Normal 26 7" xfId="948"/>
    <cellStyle name="Normal 26 8" xfId="1324"/>
    <cellStyle name="Normal 27" xfId="205"/>
    <cellStyle name="Normal 27 2" xfId="206"/>
    <cellStyle name="Normal 27 2 2" xfId="207"/>
    <cellStyle name="Normal 27 2 2 2" xfId="541"/>
    <cellStyle name="Normal 27 2 3" xfId="542"/>
    <cellStyle name="Normal 27 3" xfId="208"/>
    <cellStyle name="Normal 27 3 2" xfId="543"/>
    <cellStyle name="Normal 27 3 2 2" xfId="717"/>
    <cellStyle name="Normal 27 3 2 2 2" xfId="1139"/>
    <cellStyle name="Normal 27 3 2 2 3" xfId="1515"/>
    <cellStyle name="Normal 27 3 2 3" xfId="1023"/>
    <cellStyle name="Normal 27 3 2 4" xfId="1399"/>
    <cellStyle name="Normal 27 3 3" xfId="662"/>
    <cellStyle name="Normal 27 3 3 2" xfId="1084"/>
    <cellStyle name="Normal 27 3 3 3" xfId="1460"/>
    <cellStyle name="Normal 27 3 4" xfId="951"/>
    <cellStyle name="Normal 27 3 5" xfId="1327"/>
    <cellStyle name="Normal 27 4" xfId="544"/>
    <cellStyle name="Normal 27 4 2" xfId="716"/>
    <cellStyle name="Normal 27 4 2 2" xfId="1138"/>
    <cellStyle name="Normal 27 4 2 3" xfId="1514"/>
    <cellStyle name="Normal 27 4 3" xfId="1024"/>
    <cellStyle name="Normal 27 4 4" xfId="1400"/>
    <cellStyle name="Normal 27 5" xfId="545"/>
    <cellStyle name="Normal 27 5 2" xfId="742"/>
    <cellStyle name="Normal 27 5 2 2" xfId="1164"/>
    <cellStyle name="Normal 27 5 2 3" xfId="1540"/>
    <cellStyle name="Normal 27 5 3" xfId="1025"/>
    <cellStyle name="Normal 27 5 4" xfId="1401"/>
    <cellStyle name="Normal 27 6" xfId="661"/>
    <cellStyle name="Normal 27 6 2" xfId="1083"/>
    <cellStyle name="Normal 27 6 3" xfId="1459"/>
    <cellStyle name="Normal 27 7" xfId="950"/>
    <cellStyle name="Normal 27 8" xfId="1326"/>
    <cellStyle name="Normal 28" xfId="209"/>
    <cellStyle name="Normal 29" xfId="210"/>
    <cellStyle name="Normal 3" xfId="211"/>
    <cellStyle name="Normal 3 10 2 2" xfId="856"/>
    <cellStyle name="Normal 3 10 2 2 2 2 2 2" xfId="1636"/>
    <cellStyle name="Normal 3 2" xfId="212"/>
    <cellStyle name="Normal 3 2 2" xfId="213"/>
    <cellStyle name="Normal 3 3" xfId="214"/>
    <cellStyle name="Normal 3 4" xfId="215"/>
    <cellStyle name="Normal 3 4 2 2" xfId="1667"/>
    <cellStyle name="Normal 3 5" xfId="772"/>
    <cellStyle name="Normal 3 6" xfId="1645"/>
    <cellStyle name="Normal 30" xfId="216"/>
    <cellStyle name="Normal 30 2" xfId="217"/>
    <cellStyle name="Normal 30 2 2" xfId="218"/>
    <cellStyle name="Normal 30 2 2 2" xfId="546"/>
    <cellStyle name="Normal 30 2 3" xfId="547"/>
    <cellStyle name="Normal 30 3" xfId="219"/>
    <cellStyle name="Normal 30 3 2" xfId="548"/>
    <cellStyle name="Normal 30 4" xfId="549"/>
    <cellStyle name="Normal 31" xfId="220"/>
    <cellStyle name="Normal 31 2" xfId="221"/>
    <cellStyle name="Normal 31 2 2" xfId="222"/>
    <cellStyle name="Normal 31 2 2 2" xfId="550"/>
    <cellStyle name="Normal 31 2 3" xfId="551"/>
    <cellStyle name="Normal 31 3" xfId="223"/>
    <cellStyle name="Normal 31 3 2" xfId="552"/>
    <cellStyle name="Normal 31 4" xfId="553"/>
    <cellStyle name="Normal 32" xfId="224"/>
    <cellStyle name="Normal 32 2" xfId="225"/>
    <cellStyle name="Normal 32 2 2" xfId="554"/>
    <cellStyle name="Normal 32 3" xfId="555"/>
    <cellStyle name="Normal 33" xfId="226"/>
    <cellStyle name="Normal 34" xfId="227"/>
    <cellStyle name="Normal 35" xfId="228"/>
    <cellStyle name="Normal 35 2" xfId="229"/>
    <cellStyle name="Normal 35 2 2" xfId="556"/>
    <cellStyle name="Normal 35 3" xfId="557"/>
    <cellStyle name="Normal 36" xfId="230"/>
    <cellStyle name="Normal 36 2" xfId="231"/>
    <cellStyle name="Normal 36 2 2" xfId="558"/>
    <cellStyle name="Normal 36 3" xfId="559"/>
    <cellStyle name="Normal 37" xfId="232"/>
    <cellStyle name="Normal 37 2" xfId="233"/>
    <cellStyle name="Normal 37 2 2" xfId="560"/>
    <cellStyle name="Normal 37 2 2 2" xfId="719"/>
    <cellStyle name="Normal 37 2 2 2 2" xfId="1141"/>
    <cellStyle name="Normal 37 2 2 2 3" xfId="1517"/>
    <cellStyle name="Normal 37 2 2 3" xfId="1026"/>
    <cellStyle name="Normal 37 2 2 4" xfId="1402"/>
    <cellStyle name="Normal 37 2 3" xfId="664"/>
    <cellStyle name="Normal 37 2 3 2" xfId="1086"/>
    <cellStyle name="Normal 37 2 3 3" xfId="1462"/>
    <cellStyle name="Normal 37 2 4" xfId="953"/>
    <cellStyle name="Normal 37 2 5" xfId="1329"/>
    <cellStyle name="Normal 37 3" xfId="561"/>
    <cellStyle name="Normal 37 3 2" xfId="718"/>
    <cellStyle name="Normal 37 3 2 2" xfId="1140"/>
    <cellStyle name="Normal 37 3 2 3" xfId="1516"/>
    <cellStyle name="Normal 37 3 3" xfId="1027"/>
    <cellStyle name="Normal 37 3 4" xfId="1403"/>
    <cellStyle name="Normal 37 4" xfId="562"/>
    <cellStyle name="Normal 37 4 2" xfId="743"/>
    <cellStyle name="Normal 37 4 2 2" xfId="1165"/>
    <cellStyle name="Normal 37 4 2 3" xfId="1541"/>
    <cellStyle name="Normal 37 4 3" xfId="1028"/>
    <cellStyle name="Normal 37 4 4" xfId="1404"/>
    <cellStyle name="Normal 37 5" xfId="663"/>
    <cellStyle name="Normal 37 5 2" xfId="1085"/>
    <cellStyle name="Normal 37 5 3" xfId="1461"/>
    <cellStyle name="Normal 37 6" xfId="952"/>
    <cellStyle name="Normal 37 7" xfId="1328"/>
    <cellStyle name="Normal 38" xfId="234"/>
    <cellStyle name="Normal 38 2" xfId="235"/>
    <cellStyle name="Normal 38 2 2" xfId="563"/>
    <cellStyle name="Normal 38 2 2 2" xfId="721"/>
    <cellStyle name="Normal 38 2 2 2 2" xfId="1143"/>
    <cellStyle name="Normal 38 2 2 2 3" xfId="1519"/>
    <cellStyle name="Normal 38 2 2 3" xfId="1029"/>
    <cellStyle name="Normal 38 2 2 4" xfId="1405"/>
    <cellStyle name="Normal 38 2 3" xfId="666"/>
    <cellStyle name="Normal 38 2 3 2" xfId="1088"/>
    <cellStyle name="Normal 38 2 3 3" xfId="1464"/>
    <cellStyle name="Normal 38 2 4" xfId="955"/>
    <cellStyle name="Normal 38 2 5" xfId="1331"/>
    <cellStyle name="Normal 38 3" xfId="564"/>
    <cellStyle name="Normal 38 3 2" xfId="720"/>
    <cellStyle name="Normal 38 3 2 2" xfId="1142"/>
    <cellStyle name="Normal 38 3 2 3" xfId="1518"/>
    <cellStyle name="Normal 38 3 3" xfId="1030"/>
    <cellStyle name="Normal 38 3 4" xfId="1406"/>
    <cellStyle name="Normal 38 4" xfId="565"/>
    <cellStyle name="Normal 38 4 2" xfId="744"/>
    <cellStyle name="Normal 38 4 2 2" xfId="1166"/>
    <cellStyle name="Normal 38 4 2 3" xfId="1542"/>
    <cellStyle name="Normal 38 4 3" xfId="1031"/>
    <cellStyle name="Normal 38 4 4" xfId="1407"/>
    <cellStyle name="Normal 38 5" xfId="665"/>
    <cellStyle name="Normal 38 5 2" xfId="1087"/>
    <cellStyle name="Normal 38 5 3" xfId="1463"/>
    <cellStyle name="Normal 38 6" xfId="954"/>
    <cellStyle name="Normal 38 7" xfId="1330"/>
    <cellStyle name="Normal 39" xfId="236"/>
    <cellStyle name="Normal 39 2" xfId="237"/>
    <cellStyle name="Normal 39 2 2" xfId="238"/>
    <cellStyle name="Normal 39 3" xfId="239"/>
    <cellStyle name="Normal 39 3 2" xfId="566"/>
    <cellStyle name="Normal 39 4" xfId="567"/>
    <cellStyle name="Normal 4" xfId="240"/>
    <cellStyle name="Normal 4 161" xfId="857"/>
    <cellStyle name="Normal 4 161 2" xfId="1231"/>
    <cellStyle name="Normal 4 2" xfId="1621"/>
    <cellStyle name="Normal 4 2 2" xfId="1666"/>
    <cellStyle name="Normal 4 3" xfId="881"/>
    <cellStyle name="Normal 40" xfId="241"/>
    <cellStyle name="Normal 40 2" xfId="242"/>
    <cellStyle name="Normal 40 2 2" xfId="243"/>
    <cellStyle name="Normal 40 3" xfId="244"/>
    <cellStyle name="Normal 40 3 2" xfId="568"/>
    <cellStyle name="Normal 40 4" xfId="569"/>
    <cellStyle name="Normal 41" xfId="245"/>
    <cellStyle name="Normal 41 2" xfId="246"/>
    <cellStyle name="Normal 41 2 2" xfId="570"/>
    <cellStyle name="Normal 41 3" xfId="571"/>
    <cellStyle name="Normal 42" xfId="247"/>
    <cellStyle name="Normal 42 2" xfId="248"/>
    <cellStyle name="Normal 42 2 2" xfId="572"/>
    <cellStyle name="Normal 42 3" xfId="573"/>
    <cellStyle name="Normal 43" xfId="249"/>
    <cellStyle name="Normal 43 2" xfId="250"/>
    <cellStyle name="Normal 43 2 2" xfId="574"/>
    <cellStyle name="Normal 43 3" xfId="575"/>
    <cellStyle name="Normal 44" xfId="251"/>
    <cellStyle name="Normal 44 2" xfId="252"/>
    <cellStyle name="Normal 44 2 2" xfId="576"/>
    <cellStyle name="Normal 44 3" xfId="577"/>
    <cellStyle name="Normal 45" xfId="253"/>
    <cellStyle name="Normal 45 2" xfId="254"/>
    <cellStyle name="Normal 45 2 2" xfId="578"/>
    <cellStyle name="Normal 45 3" xfId="579"/>
    <cellStyle name="Normal 46" xfId="255"/>
    <cellStyle name="Normal 46 2" xfId="256"/>
    <cellStyle name="Normal 46 2 2" xfId="580"/>
    <cellStyle name="Normal 46 3" xfId="581"/>
    <cellStyle name="Normal 47" xfId="257"/>
    <cellStyle name="Normal 47 2" xfId="258"/>
    <cellStyle name="Normal 47 2 2" xfId="582"/>
    <cellStyle name="Normal 47 3" xfId="583"/>
    <cellStyle name="Normal 48" xfId="259"/>
    <cellStyle name="Normal 48 2" xfId="260"/>
    <cellStyle name="Normal 48 2 2" xfId="584"/>
    <cellStyle name="Normal 48 3" xfId="585"/>
    <cellStyle name="Normal 49" xfId="261"/>
    <cellStyle name="Normal 49 2" xfId="262"/>
    <cellStyle name="Normal 49 2 2" xfId="586"/>
    <cellStyle name="Normal 49 3" xfId="587"/>
    <cellStyle name="Normal 5" xfId="263"/>
    <cellStyle name="Normal 5 10" xfId="264"/>
    <cellStyle name="Normal 5 11" xfId="265"/>
    <cellStyle name="Normal 5 12" xfId="266"/>
    <cellStyle name="Normal 5 13" xfId="267"/>
    <cellStyle name="Normal 5 14" xfId="268"/>
    <cellStyle name="Normal 5 15" xfId="269"/>
    <cellStyle name="Normal 5 16" xfId="270"/>
    <cellStyle name="Normal 5 17" xfId="271"/>
    <cellStyle name="Normal 5 18" xfId="272"/>
    <cellStyle name="Normal 5 19" xfId="273"/>
    <cellStyle name="Normal 5 2" xfId="274"/>
    <cellStyle name="Normal 5 20" xfId="853"/>
    <cellStyle name="Normal 5 20 2" xfId="1229"/>
    <cellStyle name="Normal 5 3" xfId="275"/>
    <cellStyle name="Normal 5 4" xfId="276"/>
    <cellStyle name="Normal 5 5" xfId="277"/>
    <cellStyle name="Normal 5 6" xfId="278"/>
    <cellStyle name="Normal 5 7" xfId="279"/>
    <cellStyle name="Normal 5 8" xfId="280"/>
    <cellStyle name="Normal 5 9" xfId="281"/>
    <cellStyle name="Normal 50" xfId="282"/>
    <cellStyle name="Normal 50 2" xfId="283"/>
    <cellStyle name="Normal 50 2 2" xfId="588"/>
    <cellStyle name="Normal 50 3" xfId="589"/>
    <cellStyle name="Normal 51" xfId="284"/>
    <cellStyle name="Normal 51 2" xfId="285"/>
    <cellStyle name="Normal 51 2 2" xfId="590"/>
    <cellStyle name="Normal 51 3" xfId="591"/>
    <cellStyle name="Normal 52" xfId="286"/>
    <cellStyle name="Normal 52 2" xfId="287"/>
    <cellStyle name="Normal 52 2 2" xfId="592"/>
    <cellStyle name="Normal 52 3" xfId="593"/>
    <cellStyle name="Normal 53" xfId="288"/>
    <cellStyle name="Normal 53 2" xfId="289"/>
    <cellStyle name="Normal 53 2 2" xfId="594"/>
    <cellStyle name="Normal 53 3" xfId="595"/>
    <cellStyle name="Normal 54" xfId="290"/>
    <cellStyle name="Normal 54 2" xfId="291"/>
    <cellStyle name="Normal 54 2 2" xfId="596"/>
    <cellStyle name="Normal 54 3" xfId="597"/>
    <cellStyle name="Normal 55" xfId="292"/>
    <cellStyle name="Normal 55 2" xfId="293"/>
    <cellStyle name="Normal 55 2 2" xfId="598"/>
    <cellStyle name="Normal 55 3" xfId="599"/>
    <cellStyle name="Normal 56" xfId="294"/>
    <cellStyle name="Normal 56 2" xfId="295"/>
    <cellStyle name="Normal 56 2 2" xfId="600"/>
    <cellStyle name="Normal 56 3" xfId="601"/>
    <cellStyle name="Normal 57" xfId="296"/>
    <cellStyle name="Normal 57 2" xfId="602"/>
    <cellStyle name="Normal 57 2 2" xfId="677"/>
    <cellStyle name="Normal 57 2 2 2" xfId="1099"/>
    <cellStyle name="Normal 57 2 2 3" xfId="1475"/>
    <cellStyle name="Normal 57 2 3" xfId="1032"/>
    <cellStyle name="Normal 57 2 4" xfId="1408"/>
    <cellStyle name="Normal 57 3" xfId="603"/>
    <cellStyle name="Normal 57 4" xfId="622"/>
    <cellStyle name="Normal 57 4 2" xfId="1044"/>
    <cellStyle name="Normal 57 4 3" xfId="1420"/>
    <cellStyle name="Normal 57 5" xfId="956"/>
    <cellStyle name="Normal 57 6" xfId="1332"/>
    <cellStyle name="Normal 58" xfId="297"/>
    <cellStyle name="Normal 58 2" xfId="604"/>
    <cellStyle name="Normal 58 2 2" xfId="678"/>
    <cellStyle name="Normal 58 2 2 2" xfId="1100"/>
    <cellStyle name="Normal 58 2 2 3" xfId="1476"/>
    <cellStyle name="Normal 58 2 3" xfId="1033"/>
    <cellStyle name="Normal 58 2 4" xfId="1409"/>
    <cellStyle name="Normal 58 3" xfId="605"/>
    <cellStyle name="Normal 58 4" xfId="623"/>
    <cellStyle name="Normal 58 4 2" xfId="1045"/>
    <cellStyle name="Normal 58 4 3" xfId="1421"/>
    <cellStyle name="Normal 58 5" xfId="957"/>
    <cellStyle name="Normal 58 6" xfId="1333"/>
    <cellStyle name="Normal 59" xfId="298"/>
    <cellStyle name="Normal 59 2" xfId="606"/>
    <cellStyle name="Normal 6" xfId="299"/>
    <cellStyle name="Normal 6 10" xfId="300"/>
    <cellStyle name="Normal 6 11" xfId="301"/>
    <cellStyle name="Normal 6 12" xfId="302"/>
    <cellStyle name="Normal 6 13" xfId="303"/>
    <cellStyle name="Normal 6 14" xfId="304"/>
    <cellStyle name="Normal 6 15" xfId="305"/>
    <cellStyle name="Normal 6 16" xfId="306"/>
    <cellStyle name="Normal 6 17" xfId="307"/>
    <cellStyle name="Normal 6 18" xfId="308"/>
    <cellStyle name="Normal 6 19" xfId="309"/>
    <cellStyle name="Normal 6 2" xfId="310"/>
    <cellStyle name="Normal 6 3" xfId="311"/>
    <cellStyle name="Normal 6 4" xfId="312"/>
    <cellStyle name="Normal 6 5" xfId="313"/>
    <cellStyle name="Normal 6 6" xfId="314"/>
    <cellStyle name="Normal 6 7" xfId="315"/>
    <cellStyle name="Normal 6 8" xfId="316"/>
    <cellStyle name="Normal 6 9" xfId="317"/>
    <cellStyle name="Normal 60" xfId="318"/>
    <cellStyle name="Normal 60 2" xfId="607"/>
    <cellStyle name="Normal 60 2 2" xfId="722"/>
    <cellStyle name="Normal 60 2 2 2" xfId="1144"/>
    <cellStyle name="Normal 60 2 2 3" xfId="1520"/>
    <cellStyle name="Normal 60 2 3" xfId="1034"/>
    <cellStyle name="Normal 60 2 4" xfId="1410"/>
    <cellStyle name="Normal 60 3" xfId="667"/>
    <cellStyle name="Normal 60 3 2" xfId="1089"/>
    <cellStyle name="Normal 60 3 3" xfId="1465"/>
    <cellStyle name="Normal 60 4" xfId="958"/>
    <cellStyle name="Normal 60 5" xfId="1334"/>
    <cellStyle name="Normal 61" xfId="319"/>
    <cellStyle name="Normal 61 2" xfId="608"/>
    <cellStyle name="Normal 61 2 2" xfId="723"/>
    <cellStyle name="Normal 61 2 2 2" xfId="1145"/>
    <cellStyle name="Normal 61 2 2 3" xfId="1521"/>
    <cellStyle name="Normal 61 2 3" xfId="1035"/>
    <cellStyle name="Normal 61 2 4" xfId="1411"/>
    <cellStyle name="Normal 61 3" xfId="668"/>
    <cellStyle name="Normal 61 3 2" xfId="1090"/>
    <cellStyle name="Normal 61 3 3" xfId="1466"/>
    <cellStyle name="Normal 61 4" xfId="959"/>
    <cellStyle name="Normal 61 5" xfId="1335"/>
    <cellStyle name="Normal 62" xfId="320"/>
    <cellStyle name="Normal 62 2" xfId="609"/>
    <cellStyle name="Normal 62 2 2" xfId="724"/>
    <cellStyle name="Normal 62 2 2 2" xfId="1146"/>
    <cellStyle name="Normal 62 2 2 3" xfId="1522"/>
    <cellStyle name="Normal 62 2 3" xfId="1036"/>
    <cellStyle name="Normal 62 2 4" xfId="1412"/>
    <cellStyle name="Normal 62 3" xfId="669"/>
    <cellStyle name="Normal 62 3 2" xfId="1091"/>
    <cellStyle name="Normal 62 3 3" xfId="1467"/>
    <cellStyle name="Normal 62 4" xfId="960"/>
    <cellStyle name="Normal 62 5" xfId="1336"/>
    <cellStyle name="Normal 63" xfId="610"/>
    <cellStyle name="Normal 64" xfId="611"/>
    <cellStyle name="Normal 65" xfId="612"/>
    <cellStyle name="Normal 65 2" xfId="1600"/>
    <cellStyle name="Normal 66" xfId="755"/>
    <cellStyle name="Normal 66 2" xfId="1174"/>
    <cellStyle name="Normal 67" xfId="757"/>
    <cellStyle name="Normal 67 2" xfId="851"/>
    <cellStyle name="Normal 68" xfId="762"/>
    <cellStyle name="Normal 68 2" xfId="779"/>
    <cellStyle name="Normal 68 2 2" xfId="1185"/>
    <cellStyle name="Normal 68 3" xfId="786"/>
    <cellStyle name="Normal 68 4" xfId="820"/>
    <cellStyle name="Normal 68 4 2" xfId="1212"/>
    <cellStyle name="Normal 68 4 2 3" xfId="1663"/>
    <cellStyle name="Normal 68 4 3" xfId="1274"/>
    <cellStyle name="Normal 68 5" xfId="835"/>
    <cellStyle name="Normal 68 5 2" xfId="1221"/>
    <cellStyle name="Normal 68 6" xfId="896"/>
    <cellStyle name="Normal 68 6 2" xfId="1263"/>
    <cellStyle name="Normal 68 7" xfId="1178"/>
    <cellStyle name="Normal 68 8" xfId="1553"/>
    <cellStyle name="Normal 69" xfId="764"/>
    <cellStyle name="Normal 69 2" xfId="791"/>
    <cellStyle name="Normal 69 2 2" xfId="810"/>
    <cellStyle name="Normal 69 2 2 2" xfId="888"/>
    <cellStyle name="Normal 69 2 2 2 2" xfId="1255"/>
    <cellStyle name="Normal 69 2 2 2 3" xfId="1761"/>
    <cellStyle name="Normal 69 2 2 3" xfId="901"/>
    <cellStyle name="Normal 69 2 2 3 2" xfId="1268"/>
    <cellStyle name="Normal 69 2 2 4" xfId="1203"/>
    <cellStyle name="Normal 69 2 2 5" xfId="1575"/>
    <cellStyle name="Normal 69 2 2 6" xfId="1747"/>
    <cellStyle name="Normal 69 2 3" xfId="1194"/>
    <cellStyle name="Normal 69 2 4" xfId="1566"/>
    <cellStyle name="Normal 69 3" xfId="1180"/>
    <cellStyle name="Normal 69 3 2" xfId="1580"/>
    <cellStyle name="Normal 69 4" xfId="1555"/>
    <cellStyle name="Normal 69 5" xfId="1607"/>
    <cellStyle name="Normal 69 5 2" xfId="1617"/>
    <cellStyle name="Normal 69 5 3" xfId="1760"/>
    <cellStyle name="Normal 7" xfId="321"/>
    <cellStyle name="Normal 7 10" xfId="322"/>
    <cellStyle name="Normal 7 11" xfId="323"/>
    <cellStyle name="Normal 7 12" xfId="324"/>
    <cellStyle name="Normal 7 13" xfId="325"/>
    <cellStyle name="Normal 7 14" xfId="326"/>
    <cellStyle name="Normal 7 15" xfId="327"/>
    <cellStyle name="Normal 7 16" xfId="328"/>
    <cellStyle name="Normal 7 17" xfId="329"/>
    <cellStyle name="Normal 7 18" xfId="330"/>
    <cellStyle name="Normal 7 19" xfId="331"/>
    <cellStyle name="Normal 7 2" xfId="332"/>
    <cellStyle name="Normal 7 3" xfId="333"/>
    <cellStyle name="Normal 7 4" xfId="334"/>
    <cellStyle name="Normal 7 5" xfId="335"/>
    <cellStyle name="Normal 7 6" xfId="336"/>
    <cellStyle name="Normal 7 7" xfId="337"/>
    <cellStyle name="Normal 7 8" xfId="338"/>
    <cellStyle name="Normal 7 9" xfId="339"/>
    <cellStyle name="Normal 70" xfId="782"/>
    <cellStyle name="Normal 70 2" xfId="798"/>
    <cellStyle name="Normal 70 2 2" xfId="1199"/>
    <cellStyle name="Normal 70 2 2 2" xfId="1608"/>
    <cellStyle name="Normal 70 2 3" xfId="1571"/>
    <cellStyle name="Normal 70 3" xfId="821"/>
    <cellStyle name="Normal 70 4" xfId="1188"/>
    <cellStyle name="Normal 70 5" xfId="1560"/>
    <cellStyle name="Normal 71" xfId="789"/>
    <cellStyle name="Normal 71 2" xfId="1192"/>
    <cellStyle name="Normal 71 3" xfId="1564"/>
    <cellStyle name="Normal 72" xfId="808"/>
    <cellStyle name="Normal 72 2" xfId="1201"/>
    <cellStyle name="Normal 72 3" xfId="1573"/>
    <cellStyle name="Normal 73" xfId="814"/>
    <cellStyle name="Normal 73 2" xfId="1206"/>
    <cellStyle name="Normal 73 3" xfId="1578"/>
    <cellStyle name="Normal 73 4" xfId="1642"/>
    <cellStyle name="Normal 74" xfId="864"/>
    <cellStyle name="Normal 74 2" xfId="1237"/>
    <cellStyle name="Normal 74 3" xfId="1579"/>
    <cellStyle name="Normal 74 4" xfId="1628"/>
    <cellStyle name="Normal 75" xfId="859"/>
    <cellStyle name="Normal 75 2" xfId="1232"/>
    <cellStyle name="Normal 75 2 4" xfId="1665"/>
    <cellStyle name="Normal 75 3" xfId="1582"/>
    <cellStyle name="Normal 76" xfId="866"/>
    <cellStyle name="Normal 76 2" xfId="1239"/>
    <cellStyle name="Normal 76 3" xfId="1584"/>
    <cellStyle name="Normal 77" xfId="872"/>
    <cellStyle name="Normal 77 2" xfId="894"/>
    <cellStyle name="Normal 77 2 2" xfId="1261"/>
    <cellStyle name="Normal 77 2 2 2" xfId="1660"/>
    <cellStyle name="Normal 77 3" xfId="1245"/>
    <cellStyle name="Normal 77 4" xfId="1586"/>
    <cellStyle name="Normal 77 5" xfId="1750"/>
    <cellStyle name="Normal 78" xfId="876"/>
    <cellStyle name="Normal 78 2" xfId="1247"/>
    <cellStyle name="Normal 78 3" xfId="897"/>
    <cellStyle name="Normal 78 3 2" xfId="1264"/>
    <cellStyle name="Normal 78 3 3" xfId="1279"/>
    <cellStyle name="Normal 78 3 4" xfId="1739"/>
    <cellStyle name="Normal 78 3 4 2" xfId="1744"/>
    <cellStyle name="Normal 78 3 4 2 2" xfId="1757"/>
    <cellStyle name="Normal 78 3 4 2 2 2" xfId="1767"/>
    <cellStyle name="Normal 78 4" xfId="1277"/>
    <cellStyle name="Normal 78 5" xfId="1587"/>
    <cellStyle name="Normal 78 6" xfId="1738"/>
    <cellStyle name="Normal 78 6 2" xfId="1743"/>
    <cellStyle name="Normal 78 6 2 2" xfId="1754"/>
    <cellStyle name="Normal 78 6 2 2 2" xfId="1764"/>
    <cellStyle name="Normal 78 6 3" xfId="1763"/>
    <cellStyle name="Normal 79" xfId="882"/>
    <cellStyle name="Normal 79 2" xfId="890"/>
    <cellStyle name="Normal 79 2 2" xfId="1257"/>
    <cellStyle name="Normal 79 3" xfId="1249"/>
    <cellStyle name="Normal 79 4" xfId="1588"/>
    <cellStyle name="Normal 79 5" xfId="1748"/>
    <cellStyle name="Normal 8" xfId="340"/>
    <cellStyle name="Normal 8 10" xfId="341"/>
    <cellStyle name="Normal 8 11" xfId="342"/>
    <cellStyle name="Normal 8 12" xfId="343"/>
    <cellStyle name="Normal 8 13" xfId="344"/>
    <cellStyle name="Normal 8 14" xfId="345"/>
    <cellStyle name="Normal 8 15" xfId="346"/>
    <cellStyle name="Normal 8 16" xfId="347"/>
    <cellStyle name="Normal 8 17" xfId="348"/>
    <cellStyle name="Normal 8 18" xfId="349"/>
    <cellStyle name="Normal 8 2" xfId="350"/>
    <cellStyle name="Normal 8 3" xfId="351"/>
    <cellStyle name="Normal 8 4" xfId="352"/>
    <cellStyle name="Normal 8 5" xfId="353"/>
    <cellStyle name="Normal 8 6" xfId="354"/>
    <cellStyle name="Normal 8 7" xfId="355"/>
    <cellStyle name="Normal 8 8" xfId="356"/>
    <cellStyle name="Normal 8 9" xfId="357"/>
    <cellStyle name="Normal 80" xfId="884"/>
    <cellStyle name="Normal 80 2" xfId="892"/>
    <cellStyle name="Normal 80 2 2" xfId="1259"/>
    <cellStyle name="Normal 80 3" xfId="899"/>
    <cellStyle name="Normal 80 3 2" xfId="1266"/>
    <cellStyle name="Normal 80 4" xfId="1251"/>
    <cellStyle name="Normal 80 5" xfId="1590"/>
    <cellStyle name="Normal 81" xfId="900"/>
    <cellStyle name="Normal 81 2" xfId="1267"/>
    <cellStyle name="Normal 81 3" xfId="1592"/>
    <cellStyle name="Normal 82" xfId="903"/>
    <cellStyle name="Normal 82 2" xfId="1270"/>
    <cellStyle name="Normal 82 3" xfId="1597"/>
    <cellStyle name="Normal 82 4" xfId="1602"/>
    <cellStyle name="Normal 82 4 2" xfId="1618"/>
    <cellStyle name="Normal 83" xfId="904"/>
    <cellStyle name="Normal 83 2" xfId="1271"/>
    <cellStyle name="Normal 83 3" xfId="1595"/>
    <cellStyle name="Normal 84" xfId="907"/>
    <cellStyle name="Normal 85" xfId="1283"/>
    <cellStyle name="Normal 85 2" xfId="1664"/>
    <cellStyle name="Normal 86" xfId="1603"/>
    <cellStyle name="Normal 87" xfId="1606"/>
    <cellStyle name="Normal 87 2" xfId="1759"/>
    <cellStyle name="Normal 88" xfId="1599"/>
    <cellStyle name="Normal 88 2" xfId="1756"/>
    <cellStyle name="Normal 88 2 2" xfId="1766"/>
    <cellStyle name="Normal 89" xfId="1598"/>
    <cellStyle name="Normal 9" xfId="358"/>
    <cellStyle name="Normal 9 10" xfId="359"/>
    <cellStyle name="Normal 9 11" xfId="360"/>
    <cellStyle name="Normal 9 12" xfId="361"/>
    <cellStyle name="Normal 9 13" xfId="362"/>
    <cellStyle name="Normal 9 14" xfId="363"/>
    <cellStyle name="Normal 9 15" xfId="364"/>
    <cellStyle name="Normal 9 16" xfId="365"/>
    <cellStyle name="Normal 9 17" xfId="366"/>
    <cellStyle name="Normal 9 18" xfId="367"/>
    <cellStyle name="Normal 9 2" xfId="368"/>
    <cellStyle name="Normal 9 3" xfId="369"/>
    <cellStyle name="Normal 9 4" xfId="370"/>
    <cellStyle name="Normal 9 5" xfId="371"/>
    <cellStyle name="Normal 9 6" xfId="372"/>
    <cellStyle name="Normal 9 7" xfId="373"/>
    <cellStyle name="Normal 9 8" xfId="374"/>
    <cellStyle name="Normal 9 9" xfId="375"/>
    <cellStyle name="Normal 90" xfId="1677"/>
    <cellStyle name="Normal 90 2" xfId="1680"/>
    <cellStyle name="Normal 91" xfId="1719"/>
    <cellStyle name="Normal_OAG-0705 Att A" xfId="1769"/>
    <cellStyle name="Note 2" xfId="1724"/>
    <cellStyle name="Output" xfId="1694" builtinId="21" customBuiltin="1"/>
    <cellStyle name="Parent row" xfId="803"/>
    <cellStyle name="Percent" xfId="751" builtinId="5"/>
    <cellStyle name="Percent 10" xfId="761"/>
    <cellStyle name="Percent 10 2" xfId="1177"/>
    <cellStyle name="Percent 10 2 2" xfId="1276"/>
    <cellStyle name="Percent 10 3" xfId="1552"/>
    <cellStyle name="Percent 11" xfId="763"/>
    <cellStyle name="Percent 11 2" xfId="781"/>
    <cellStyle name="Percent 11 2 2" xfId="1187"/>
    <cellStyle name="Percent 11 3" xfId="788"/>
    <cellStyle name="Percent 11 4" xfId="895"/>
    <cellStyle name="Percent 11 4 2" xfId="1262"/>
    <cellStyle name="Percent 11 5" xfId="1179"/>
    <cellStyle name="Percent 11 6" xfId="1554"/>
    <cellStyle name="Percent 12" xfId="776"/>
    <cellStyle name="Percent 12 4" xfId="822"/>
    <cellStyle name="Percent 13" xfId="783"/>
    <cellStyle name="Percent 13 2" xfId="796"/>
    <cellStyle name="Percent 13 2 2" xfId="832"/>
    <cellStyle name="Percent 13 2 2 2" xfId="1218"/>
    <cellStyle name="Percent 13 2 2 2 2" xfId="1614"/>
    <cellStyle name="Percent 13 2 2 3" xfId="1611"/>
    <cellStyle name="Percent 13 2 3" xfId="1197"/>
    <cellStyle name="Percent 13 2 4" xfId="1569"/>
    <cellStyle name="Percent 13 3" xfId="1189"/>
    <cellStyle name="Percent 13 4" xfId="1561"/>
    <cellStyle name="Percent 14" xfId="815"/>
    <cellStyle name="Percent 14 2" xfId="1207"/>
    <cellStyle name="Percent 14 3" xfId="1601"/>
    <cellStyle name="Percent 14 4" xfId="1622"/>
    <cellStyle name="Percent 14 5" xfId="1649"/>
    <cellStyle name="Percent 15" xfId="867"/>
    <cellStyle name="Percent 15 2" xfId="1240"/>
    <cellStyle name="Percent 15 2 3" xfId="1662"/>
    <cellStyle name="Percent 15 3" xfId="1641"/>
    <cellStyle name="Percent 15 3 2" xfId="1686"/>
    <cellStyle name="Percent 16" xfId="860"/>
    <cellStyle name="Percent 16 2" xfId="1233"/>
    <cellStyle name="Percent 16 2 2" xfId="1668"/>
    <cellStyle name="Percent 17" xfId="877"/>
    <cellStyle name="Percent 17 2" xfId="898"/>
    <cellStyle name="Percent 17 2 2" xfId="1265"/>
    <cellStyle name="Percent 17 2 3" xfId="1280"/>
    <cellStyle name="Percent 17 2 4" xfId="1740"/>
    <cellStyle name="Percent 17 2 4 2" xfId="1745"/>
    <cellStyle name="Percent 17 2 4 2 2" xfId="1758"/>
    <cellStyle name="Percent 17 2 4 2 2 2" xfId="1768"/>
    <cellStyle name="Percent 17 3" xfId="1248"/>
    <cellStyle name="Percent 17 4" xfId="1278"/>
    <cellStyle name="Percent 17 5" xfId="1741"/>
    <cellStyle name="Percent 17 5 2" xfId="1755"/>
    <cellStyle name="Percent 17 5 2 2" xfId="1765"/>
    <cellStyle name="Percent 18" xfId="886"/>
    <cellStyle name="Percent 18 2" xfId="1253"/>
    <cellStyle name="Percent 19" xfId="1647"/>
    <cellStyle name="Percent 19 2" xfId="1683"/>
    <cellStyle name="Percent 19 4 4 2" xfId="1676"/>
    <cellStyle name="Percent 2" xfId="376"/>
    <cellStyle name="Percent 2 10 3" xfId="770"/>
    <cellStyle name="Percent 2 10 3 4 2" xfId="773"/>
    <cellStyle name="Percent 2 10 3 4 2 2" xfId="1631"/>
    <cellStyle name="Percent 2 10 3 5 2" xfId="1673"/>
    <cellStyle name="Percent 2 151 2 2" xfId="1275"/>
    <cellStyle name="Percent 2 2" xfId="377"/>
    <cellStyle name="Percent 2 2 2" xfId="819"/>
    <cellStyle name="Percent 2 2 2 2" xfId="827"/>
    <cellStyle name="Percent 2 2 2 3" xfId="1211"/>
    <cellStyle name="Percent 2 2 2 31" xfId="838"/>
    <cellStyle name="Percent 2 2 2 4" xfId="1626"/>
    <cellStyle name="Percent 2 2 2 5" xfId="1654"/>
    <cellStyle name="Percent 2 2 3" xfId="826"/>
    <cellStyle name="Percent 2 2 3 2" xfId="868"/>
    <cellStyle name="Percent 2 2 3 2 2" xfId="905"/>
    <cellStyle name="Percent 2 2 3 2 2 2" xfId="1272"/>
    <cellStyle name="Percent 2 2 3 2 3" xfId="1241"/>
    <cellStyle name="Percent 2 2 3 3" xfId="1214"/>
    <cellStyle name="Percent 2 3" xfId="378"/>
    <cellStyle name="Percent 2 4" xfId="379"/>
    <cellStyle name="Percent 2 5" xfId="380"/>
    <cellStyle name="Percent 2 6" xfId="381"/>
    <cellStyle name="Percent 2 7" xfId="1732"/>
    <cellStyle name="Percent 2 8" xfId="845"/>
    <cellStyle name="Percent 2 8 2" xfId="1225"/>
    <cellStyle name="Percent 20" xfId="1678"/>
    <cellStyle name="Percent 21" xfId="1721"/>
    <cellStyle name="Percent 3" xfId="382"/>
    <cellStyle name="Percent 3 159 3 2" xfId="847"/>
    <cellStyle name="Percent 3 159 3 2 2" xfId="1226"/>
    <cellStyle name="Percent 3 159 3 2 3" xfId="1638"/>
    <cellStyle name="Percent 3 159 3 2 3 2" xfId="1658"/>
    <cellStyle name="Percent 3 2" xfId="383"/>
    <cellStyle name="Percent 3 3" xfId="384"/>
    <cellStyle name="Percent 3 4" xfId="792"/>
    <cellStyle name="Percent 4" xfId="385"/>
    <cellStyle name="Percent 4 2" xfId="386"/>
    <cellStyle name="Percent 4 3" xfId="387"/>
    <cellStyle name="Percent 4 3 2" xfId="388"/>
    <cellStyle name="Percent 4 3 2 2" xfId="613"/>
    <cellStyle name="Percent 4 3 2 2 2" xfId="726"/>
    <cellStyle name="Percent 4 3 2 2 2 2" xfId="1148"/>
    <cellStyle name="Percent 4 3 2 2 2 3" xfId="1524"/>
    <cellStyle name="Percent 4 3 2 2 3" xfId="1037"/>
    <cellStyle name="Percent 4 3 2 2 4" xfId="1413"/>
    <cellStyle name="Percent 4 3 2 3" xfId="671"/>
    <cellStyle name="Percent 4 3 2 3 2" xfId="1093"/>
    <cellStyle name="Percent 4 3 2 3 3" xfId="1469"/>
    <cellStyle name="Percent 4 3 2 4" xfId="962"/>
    <cellStyle name="Percent 4 3 2 5" xfId="1338"/>
    <cellStyle name="Percent 4 3 3" xfId="614"/>
    <cellStyle name="Percent 4 3 3 2" xfId="725"/>
    <cellStyle name="Percent 4 3 3 2 2" xfId="1147"/>
    <cellStyle name="Percent 4 3 3 2 3" xfId="1523"/>
    <cellStyle name="Percent 4 3 3 3" xfId="1038"/>
    <cellStyle name="Percent 4 3 3 4" xfId="1414"/>
    <cellStyle name="Percent 4 3 4" xfId="615"/>
    <cellStyle name="Percent 4 3 4 2" xfId="749"/>
    <cellStyle name="Percent 4 3 4 2 2" xfId="1171"/>
    <cellStyle name="Percent 4 3 4 2 3" xfId="1547"/>
    <cellStyle name="Percent 4 3 4 3" xfId="1039"/>
    <cellStyle name="Percent 4 3 4 4" xfId="1415"/>
    <cellStyle name="Percent 4 3 5" xfId="670"/>
    <cellStyle name="Percent 4 3 5 2" xfId="1092"/>
    <cellStyle name="Percent 4 3 5 3" xfId="1468"/>
    <cellStyle name="Percent 4 3 6" xfId="961"/>
    <cellStyle name="Percent 4 3 7" xfId="1337"/>
    <cellStyle name="Percent 4 4" xfId="1734"/>
    <cellStyle name="Percent 5" xfId="389"/>
    <cellStyle name="Percent 6" xfId="390"/>
    <cellStyle name="Percent 6 2" xfId="391"/>
    <cellStyle name="Percent 6 2 2" xfId="616"/>
    <cellStyle name="Percent 6 3" xfId="617"/>
    <cellStyle name="Percent 68 6 2 2 2" xfId="850"/>
    <cellStyle name="Percent 68 6 2 2 2 2" xfId="1227"/>
    <cellStyle name="Percent 68 6 2 2 2 2 2" xfId="1634"/>
    <cellStyle name="Percent 68 6 2 2 2 2 2 2" xfId="1659"/>
    <cellStyle name="Percent 7" xfId="392"/>
    <cellStyle name="Percent 76 3 4" xfId="848"/>
    <cellStyle name="Percent 8" xfId="393"/>
    <cellStyle name="Percent 9" xfId="756"/>
    <cellStyle name="Percent 9 2" xfId="799"/>
    <cellStyle name="R03A" xfId="753"/>
    <cellStyle name="R03A 2" xfId="754"/>
    <cellStyle name="Style 21" xfId="394"/>
    <cellStyle name="Style 22" xfId="395"/>
    <cellStyle name="Style 23" xfId="396"/>
    <cellStyle name="Style 24" xfId="397"/>
    <cellStyle name="Style 25" xfId="398"/>
    <cellStyle name="Style 26" xfId="399"/>
    <cellStyle name="Style 27" xfId="400"/>
    <cellStyle name="Style 28" xfId="401"/>
    <cellStyle name="Style 29" xfId="402"/>
    <cellStyle name="Style 30" xfId="403"/>
    <cellStyle name="Style 31" xfId="404"/>
    <cellStyle name="Style 32" xfId="405"/>
    <cellStyle name="Style 33" xfId="406"/>
    <cellStyle name="Style 34" xfId="407"/>
    <cellStyle name="Style 35" xfId="408"/>
    <cellStyle name="Style 36" xfId="409"/>
    <cellStyle name="Style 39" xfId="410"/>
    <cellStyle name="Table title" xfId="802"/>
    <cellStyle name="Title 2" xfId="1722"/>
    <cellStyle name="Total" xfId="1700" builtinId="25" customBuiltin="1"/>
    <cellStyle name="Total Format 1" xfId="411"/>
    <cellStyle name="Total Format 1 2" xfId="412"/>
    <cellStyle name="Total Format 1 3" xfId="413"/>
    <cellStyle name="Total Format 2" xfId="414"/>
    <cellStyle name="Total Format 2 2" xfId="415"/>
    <cellStyle name="Total Format 2 3" xfId="416"/>
    <cellStyle name="Total Format 3" xfId="417"/>
    <cellStyle name="Total Format 3 2" xfId="418"/>
    <cellStyle name="Total Format 3 3" xfId="419"/>
    <cellStyle name="Warning Text" xfId="1698"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externalLink" Target="externalLinks/externalLink78.xml"/><Relationship Id="rId138" Type="http://schemas.openxmlformats.org/officeDocument/2006/relationships/externalLink" Target="externalLinks/externalLink83.xml"/><Relationship Id="rId154" Type="http://schemas.openxmlformats.org/officeDocument/2006/relationships/externalLink" Target="externalLinks/externalLink99.xml"/><Relationship Id="rId159" Type="http://schemas.openxmlformats.org/officeDocument/2006/relationships/externalLink" Target="externalLinks/externalLink104.xml"/><Relationship Id="rId175" Type="http://schemas.openxmlformats.org/officeDocument/2006/relationships/sheetMetadata" Target="metadata.xml"/><Relationship Id="rId170" Type="http://schemas.openxmlformats.org/officeDocument/2006/relationships/externalLink" Target="externalLinks/externalLink115.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externalLink" Target="externalLinks/externalLink73.xml"/><Relationship Id="rId144" Type="http://schemas.openxmlformats.org/officeDocument/2006/relationships/externalLink" Target="externalLinks/externalLink89.xml"/><Relationship Id="rId149" Type="http://schemas.openxmlformats.org/officeDocument/2006/relationships/externalLink" Target="externalLinks/externalLink94.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160" Type="http://schemas.openxmlformats.org/officeDocument/2006/relationships/externalLink" Target="externalLinks/externalLink105.xml"/><Relationship Id="rId165" Type="http://schemas.openxmlformats.org/officeDocument/2006/relationships/externalLink" Target="externalLinks/externalLink1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34" Type="http://schemas.openxmlformats.org/officeDocument/2006/relationships/externalLink" Target="externalLinks/externalLink79.xml"/><Relationship Id="rId139" Type="http://schemas.openxmlformats.org/officeDocument/2006/relationships/externalLink" Target="externalLinks/externalLink84.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50" Type="http://schemas.openxmlformats.org/officeDocument/2006/relationships/externalLink" Target="externalLinks/externalLink95.xml"/><Relationship Id="rId155" Type="http://schemas.openxmlformats.org/officeDocument/2006/relationships/externalLink" Target="externalLinks/externalLink100.xml"/><Relationship Id="rId171" Type="http://schemas.openxmlformats.org/officeDocument/2006/relationships/externalLink" Target="externalLinks/externalLink116.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externalLink" Target="externalLinks/externalLink74.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40" Type="http://schemas.openxmlformats.org/officeDocument/2006/relationships/externalLink" Target="externalLinks/externalLink85.xml"/><Relationship Id="rId145" Type="http://schemas.openxmlformats.org/officeDocument/2006/relationships/externalLink" Target="externalLinks/externalLink90.xml"/><Relationship Id="rId161" Type="http://schemas.openxmlformats.org/officeDocument/2006/relationships/externalLink" Target="externalLinks/externalLink106.xml"/><Relationship Id="rId166" Type="http://schemas.openxmlformats.org/officeDocument/2006/relationships/externalLink" Target="externalLinks/externalLink1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30" Type="http://schemas.openxmlformats.org/officeDocument/2006/relationships/externalLink" Target="externalLinks/externalLink75.xml"/><Relationship Id="rId135" Type="http://schemas.openxmlformats.org/officeDocument/2006/relationships/externalLink" Target="externalLinks/externalLink80.xml"/><Relationship Id="rId143" Type="http://schemas.openxmlformats.org/officeDocument/2006/relationships/externalLink" Target="externalLinks/externalLink88.xml"/><Relationship Id="rId148" Type="http://schemas.openxmlformats.org/officeDocument/2006/relationships/externalLink" Target="externalLinks/externalLink93.xml"/><Relationship Id="rId151" Type="http://schemas.openxmlformats.org/officeDocument/2006/relationships/externalLink" Target="externalLinks/externalLink96.xml"/><Relationship Id="rId156" Type="http://schemas.openxmlformats.org/officeDocument/2006/relationships/externalLink" Target="externalLinks/externalLink101.xml"/><Relationship Id="rId164" Type="http://schemas.openxmlformats.org/officeDocument/2006/relationships/externalLink" Target="externalLinks/externalLink109.xml"/><Relationship Id="rId169" Type="http://schemas.openxmlformats.org/officeDocument/2006/relationships/externalLink" Target="externalLinks/externalLink114.xml"/><Relationship Id="rId177"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141" Type="http://schemas.openxmlformats.org/officeDocument/2006/relationships/externalLink" Target="externalLinks/externalLink86.xml"/><Relationship Id="rId146" Type="http://schemas.openxmlformats.org/officeDocument/2006/relationships/externalLink" Target="externalLinks/externalLink91.xml"/><Relationship Id="rId167" Type="http://schemas.openxmlformats.org/officeDocument/2006/relationships/externalLink" Target="externalLinks/externalLink112.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162" Type="http://schemas.openxmlformats.org/officeDocument/2006/relationships/externalLink" Target="externalLinks/externalLink10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externalLink" Target="externalLinks/externalLink76.xml"/><Relationship Id="rId136" Type="http://schemas.openxmlformats.org/officeDocument/2006/relationships/externalLink" Target="externalLinks/externalLink81.xml"/><Relationship Id="rId157" Type="http://schemas.openxmlformats.org/officeDocument/2006/relationships/externalLink" Target="externalLinks/externalLink102.xml"/><Relationship Id="rId178" Type="http://schemas.openxmlformats.org/officeDocument/2006/relationships/customXml" Target="../customXml/item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52" Type="http://schemas.openxmlformats.org/officeDocument/2006/relationships/externalLink" Target="externalLinks/externalLink97.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147" Type="http://schemas.openxmlformats.org/officeDocument/2006/relationships/externalLink" Target="externalLinks/externalLink92.xml"/><Relationship Id="rId168" Type="http://schemas.openxmlformats.org/officeDocument/2006/relationships/externalLink" Target="externalLinks/externalLink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142" Type="http://schemas.openxmlformats.org/officeDocument/2006/relationships/externalLink" Target="externalLinks/externalLink87.xml"/><Relationship Id="rId163" Type="http://schemas.openxmlformats.org/officeDocument/2006/relationships/externalLink" Target="externalLinks/externalLink10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137" Type="http://schemas.openxmlformats.org/officeDocument/2006/relationships/externalLink" Target="externalLinks/externalLink82.xml"/><Relationship Id="rId158" Type="http://schemas.openxmlformats.org/officeDocument/2006/relationships/externalLink" Target="externalLinks/externalLink10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externalLink" Target="externalLinks/externalLink77.xml"/><Relationship Id="rId153" Type="http://schemas.openxmlformats.org/officeDocument/2006/relationships/externalLink" Target="externalLinks/externalLink98.xml"/><Relationship Id="rId174" Type="http://schemas.openxmlformats.org/officeDocument/2006/relationships/sharedStrings" Target="sharedString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trendline>
            <c:trendlineType val="linear"/>
            <c:dispRSqr val="1"/>
            <c:dispEq val="1"/>
            <c:trendlineLbl>
              <c:layout>
                <c:manualLayout>
                  <c:x val="6.0346830058605076E-2"/>
                  <c:y val="-0.4107701081757304"/>
                </c:manualLayout>
              </c:layout>
              <c:tx>
                <c:rich>
                  <a:bodyPr/>
                  <a:lstStyle/>
                  <a:p>
                    <a:pPr>
                      <a:defRPr/>
                    </a:pPr>
                    <a:r>
                      <a:rPr lang="en-US" baseline="0"/>
                      <a:t>y = -0.4863x + 7.567</a:t>
                    </a:r>
                    <a:br>
                      <a:rPr lang="en-US" baseline="0"/>
                    </a:br>
                    <a:r>
                      <a:rPr lang="en-US" baseline="0"/>
                      <a:t>R² = 0.874</a:t>
                    </a:r>
                    <a:endParaRPr lang="en-US"/>
                  </a:p>
                </c:rich>
              </c:tx>
              <c:numFmt formatCode="General" sourceLinked="0"/>
            </c:trendlineLbl>
          </c:trendline>
          <c:xVal>
            <c:numRef>
              <c:f>'4.13 Past Rate Cases Gas'!$J$6:$J$823</c:f>
              <c:numCache>
                <c:formatCode>_(* #,##0.00_);_(* \(#,##0.00\);_(* "-"??_);_(@_)</c:formatCode>
                <c:ptCount val="818"/>
                <c:pt idx="0">
                  <c:v>11.89</c:v>
                </c:pt>
                <c:pt idx="1">
                  <c:v>11.89</c:v>
                </c:pt>
                <c:pt idx="2">
                  <c:v>11.89</c:v>
                </c:pt>
                <c:pt idx="3">
                  <c:v>12.15</c:v>
                </c:pt>
                <c:pt idx="4">
                  <c:v>12.15</c:v>
                </c:pt>
                <c:pt idx="5">
                  <c:v>12.15</c:v>
                </c:pt>
                <c:pt idx="6">
                  <c:v>12.15</c:v>
                </c:pt>
                <c:pt idx="7">
                  <c:v>12.21</c:v>
                </c:pt>
                <c:pt idx="8">
                  <c:v>12.21</c:v>
                </c:pt>
                <c:pt idx="9">
                  <c:v>12.21</c:v>
                </c:pt>
                <c:pt idx="10">
                  <c:v>12.21</c:v>
                </c:pt>
                <c:pt idx="11">
                  <c:v>12.21</c:v>
                </c:pt>
                <c:pt idx="12">
                  <c:v>13.23</c:v>
                </c:pt>
                <c:pt idx="13">
                  <c:v>14.59</c:v>
                </c:pt>
                <c:pt idx="14">
                  <c:v>14.59</c:v>
                </c:pt>
                <c:pt idx="15">
                  <c:v>14.59</c:v>
                </c:pt>
                <c:pt idx="16">
                  <c:v>14.59</c:v>
                </c:pt>
                <c:pt idx="17">
                  <c:v>14.29</c:v>
                </c:pt>
                <c:pt idx="18">
                  <c:v>14.29</c:v>
                </c:pt>
                <c:pt idx="19">
                  <c:v>14.29</c:v>
                </c:pt>
                <c:pt idx="20">
                  <c:v>12.74</c:v>
                </c:pt>
                <c:pt idx="21">
                  <c:v>12.74</c:v>
                </c:pt>
                <c:pt idx="22">
                  <c:v>12.4</c:v>
                </c:pt>
                <c:pt idx="23">
                  <c:v>12.4</c:v>
                </c:pt>
                <c:pt idx="24">
                  <c:v>12.4</c:v>
                </c:pt>
                <c:pt idx="25">
                  <c:v>12.4</c:v>
                </c:pt>
                <c:pt idx="26">
                  <c:v>12.4</c:v>
                </c:pt>
                <c:pt idx="27">
                  <c:v>12.4</c:v>
                </c:pt>
                <c:pt idx="28">
                  <c:v>12.15</c:v>
                </c:pt>
                <c:pt idx="29">
                  <c:v>12.15</c:v>
                </c:pt>
                <c:pt idx="30">
                  <c:v>12.66</c:v>
                </c:pt>
                <c:pt idx="31">
                  <c:v>12.66</c:v>
                </c:pt>
                <c:pt idx="32">
                  <c:v>12.66</c:v>
                </c:pt>
                <c:pt idx="33">
                  <c:v>13.29</c:v>
                </c:pt>
                <c:pt idx="34">
                  <c:v>13.29</c:v>
                </c:pt>
                <c:pt idx="35">
                  <c:v>13.29</c:v>
                </c:pt>
                <c:pt idx="36">
                  <c:v>13.29</c:v>
                </c:pt>
                <c:pt idx="37">
                  <c:v>13.29</c:v>
                </c:pt>
                <c:pt idx="38">
                  <c:v>13.29</c:v>
                </c:pt>
                <c:pt idx="39">
                  <c:v>13.29</c:v>
                </c:pt>
                <c:pt idx="40">
                  <c:v>13.29</c:v>
                </c:pt>
                <c:pt idx="41">
                  <c:v>13.54</c:v>
                </c:pt>
                <c:pt idx="42">
                  <c:v>13.54</c:v>
                </c:pt>
                <c:pt idx="43">
                  <c:v>13.54</c:v>
                </c:pt>
                <c:pt idx="44">
                  <c:v>13.54</c:v>
                </c:pt>
                <c:pt idx="45">
                  <c:v>13.54</c:v>
                </c:pt>
                <c:pt idx="46">
                  <c:v>14.01</c:v>
                </c:pt>
                <c:pt idx="47">
                  <c:v>14.01</c:v>
                </c:pt>
                <c:pt idx="48">
                  <c:v>14.01</c:v>
                </c:pt>
                <c:pt idx="49">
                  <c:v>14.01</c:v>
                </c:pt>
                <c:pt idx="50">
                  <c:v>14.01</c:v>
                </c:pt>
                <c:pt idx="51">
                  <c:v>14.01</c:v>
                </c:pt>
                <c:pt idx="52">
                  <c:v>14.01</c:v>
                </c:pt>
                <c:pt idx="53">
                  <c:v>14.01</c:v>
                </c:pt>
                <c:pt idx="54">
                  <c:v>14.66</c:v>
                </c:pt>
                <c:pt idx="55">
                  <c:v>14.66</c:v>
                </c:pt>
                <c:pt idx="56">
                  <c:v>14.66</c:v>
                </c:pt>
                <c:pt idx="57">
                  <c:v>14.27</c:v>
                </c:pt>
                <c:pt idx="58">
                  <c:v>14.27</c:v>
                </c:pt>
                <c:pt idx="59">
                  <c:v>14.68</c:v>
                </c:pt>
                <c:pt idx="60">
                  <c:v>14.68</c:v>
                </c:pt>
                <c:pt idx="61">
                  <c:v>15.13</c:v>
                </c:pt>
                <c:pt idx="62">
                  <c:v>15.13</c:v>
                </c:pt>
                <c:pt idx="63">
                  <c:v>15.13</c:v>
                </c:pt>
                <c:pt idx="64">
                  <c:v>15.13</c:v>
                </c:pt>
                <c:pt idx="65">
                  <c:v>15.25</c:v>
                </c:pt>
                <c:pt idx="66">
                  <c:v>15.25</c:v>
                </c:pt>
                <c:pt idx="67">
                  <c:v>16.12</c:v>
                </c:pt>
                <c:pt idx="68">
                  <c:v>16.12</c:v>
                </c:pt>
                <c:pt idx="69">
                  <c:v>16.12</c:v>
                </c:pt>
                <c:pt idx="70">
                  <c:v>16.12</c:v>
                </c:pt>
                <c:pt idx="71">
                  <c:v>16.12</c:v>
                </c:pt>
                <c:pt idx="72">
                  <c:v>15.79</c:v>
                </c:pt>
                <c:pt idx="73">
                  <c:v>15.79</c:v>
                </c:pt>
                <c:pt idx="74">
                  <c:v>15.79</c:v>
                </c:pt>
                <c:pt idx="75">
                  <c:v>15.79</c:v>
                </c:pt>
                <c:pt idx="76">
                  <c:v>15.79</c:v>
                </c:pt>
                <c:pt idx="77">
                  <c:v>15.79</c:v>
                </c:pt>
                <c:pt idx="78">
                  <c:v>15.79</c:v>
                </c:pt>
                <c:pt idx="79">
                  <c:v>15.79</c:v>
                </c:pt>
                <c:pt idx="80">
                  <c:v>16.07</c:v>
                </c:pt>
                <c:pt idx="81">
                  <c:v>16.07</c:v>
                </c:pt>
                <c:pt idx="82">
                  <c:v>16.07</c:v>
                </c:pt>
                <c:pt idx="83">
                  <c:v>16.45</c:v>
                </c:pt>
                <c:pt idx="84">
                  <c:v>16.45</c:v>
                </c:pt>
                <c:pt idx="85">
                  <c:v>16.45</c:v>
                </c:pt>
                <c:pt idx="86">
                  <c:v>16.45</c:v>
                </c:pt>
                <c:pt idx="87">
                  <c:v>16.45</c:v>
                </c:pt>
                <c:pt idx="88">
                  <c:v>17.03</c:v>
                </c:pt>
                <c:pt idx="89">
                  <c:v>17.03</c:v>
                </c:pt>
                <c:pt idx="90">
                  <c:v>17.03</c:v>
                </c:pt>
                <c:pt idx="91">
                  <c:v>17.03</c:v>
                </c:pt>
                <c:pt idx="92">
                  <c:v>17.03</c:v>
                </c:pt>
                <c:pt idx="93">
                  <c:v>17.03</c:v>
                </c:pt>
                <c:pt idx="94">
                  <c:v>17.03</c:v>
                </c:pt>
                <c:pt idx="95">
                  <c:v>17.260000000000002</c:v>
                </c:pt>
                <c:pt idx="96">
                  <c:v>17.260000000000002</c:v>
                </c:pt>
                <c:pt idx="97">
                  <c:v>17.260000000000002</c:v>
                </c:pt>
                <c:pt idx="98">
                  <c:v>17.260000000000002</c:v>
                </c:pt>
                <c:pt idx="99">
                  <c:v>17.260000000000002</c:v>
                </c:pt>
                <c:pt idx="100">
                  <c:v>17.260000000000002</c:v>
                </c:pt>
                <c:pt idx="101">
                  <c:v>16.420000000000002</c:v>
                </c:pt>
                <c:pt idx="102">
                  <c:v>16.420000000000002</c:v>
                </c:pt>
                <c:pt idx="103">
                  <c:v>16.420000000000002</c:v>
                </c:pt>
                <c:pt idx="104">
                  <c:v>16.420000000000002</c:v>
                </c:pt>
                <c:pt idx="105">
                  <c:v>16.420000000000002</c:v>
                </c:pt>
                <c:pt idx="106">
                  <c:v>16.420000000000002</c:v>
                </c:pt>
                <c:pt idx="107">
                  <c:v>16.16</c:v>
                </c:pt>
                <c:pt idx="108">
                  <c:v>16.16</c:v>
                </c:pt>
                <c:pt idx="109">
                  <c:v>16.16</c:v>
                </c:pt>
                <c:pt idx="110">
                  <c:v>16.16</c:v>
                </c:pt>
                <c:pt idx="111">
                  <c:v>16.16</c:v>
                </c:pt>
                <c:pt idx="112">
                  <c:v>16.16</c:v>
                </c:pt>
                <c:pt idx="113">
                  <c:v>16.16</c:v>
                </c:pt>
                <c:pt idx="114">
                  <c:v>16.16</c:v>
                </c:pt>
                <c:pt idx="115">
                  <c:v>16.8</c:v>
                </c:pt>
                <c:pt idx="116">
                  <c:v>16.8</c:v>
                </c:pt>
                <c:pt idx="117">
                  <c:v>16.8</c:v>
                </c:pt>
                <c:pt idx="118">
                  <c:v>16.920000000000002</c:v>
                </c:pt>
                <c:pt idx="119">
                  <c:v>16.920000000000002</c:v>
                </c:pt>
                <c:pt idx="120">
                  <c:v>16.920000000000002</c:v>
                </c:pt>
                <c:pt idx="121">
                  <c:v>16.920000000000002</c:v>
                </c:pt>
                <c:pt idx="122">
                  <c:v>16.920000000000002</c:v>
                </c:pt>
                <c:pt idx="123">
                  <c:v>16.920000000000002</c:v>
                </c:pt>
                <c:pt idx="124">
                  <c:v>16.489999999999998</c:v>
                </c:pt>
                <c:pt idx="125">
                  <c:v>16.489999999999998</c:v>
                </c:pt>
                <c:pt idx="126">
                  <c:v>16.489999999999998</c:v>
                </c:pt>
                <c:pt idx="127">
                  <c:v>16.489999999999998</c:v>
                </c:pt>
                <c:pt idx="128">
                  <c:v>16.399999999999999</c:v>
                </c:pt>
                <c:pt idx="129">
                  <c:v>16.399999999999999</c:v>
                </c:pt>
                <c:pt idx="130">
                  <c:v>16.399999999999999</c:v>
                </c:pt>
                <c:pt idx="131">
                  <c:v>16.399999999999999</c:v>
                </c:pt>
                <c:pt idx="132">
                  <c:v>16.079999999999998</c:v>
                </c:pt>
                <c:pt idx="133">
                  <c:v>16.079999999999998</c:v>
                </c:pt>
                <c:pt idx="134">
                  <c:v>16.079999999999998</c:v>
                </c:pt>
                <c:pt idx="135">
                  <c:v>16.079999999999998</c:v>
                </c:pt>
                <c:pt idx="136">
                  <c:v>16.079999999999998</c:v>
                </c:pt>
                <c:pt idx="137">
                  <c:v>16.079999999999998</c:v>
                </c:pt>
                <c:pt idx="138">
                  <c:v>16.34</c:v>
                </c:pt>
                <c:pt idx="139">
                  <c:v>16.34</c:v>
                </c:pt>
                <c:pt idx="140">
                  <c:v>16.34</c:v>
                </c:pt>
                <c:pt idx="141">
                  <c:v>16.34</c:v>
                </c:pt>
                <c:pt idx="142">
                  <c:v>16.34</c:v>
                </c:pt>
                <c:pt idx="143">
                  <c:v>16.46</c:v>
                </c:pt>
                <c:pt idx="144">
                  <c:v>16.46</c:v>
                </c:pt>
                <c:pt idx="145">
                  <c:v>16.46</c:v>
                </c:pt>
                <c:pt idx="146">
                  <c:v>16.46</c:v>
                </c:pt>
                <c:pt idx="147">
                  <c:v>15.92</c:v>
                </c:pt>
                <c:pt idx="148">
                  <c:v>15.92</c:v>
                </c:pt>
                <c:pt idx="149">
                  <c:v>15.92</c:v>
                </c:pt>
                <c:pt idx="150">
                  <c:v>15.92</c:v>
                </c:pt>
                <c:pt idx="151">
                  <c:v>15.92</c:v>
                </c:pt>
                <c:pt idx="152">
                  <c:v>15.92</c:v>
                </c:pt>
                <c:pt idx="153">
                  <c:v>15.92</c:v>
                </c:pt>
                <c:pt idx="154">
                  <c:v>15.92</c:v>
                </c:pt>
                <c:pt idx="155">
                  <c:v>15.45</c:v>
                </c:pt>
                <c:pt idx="156">
                  <c:v>15.45</c:v>
                </c:pt>
                <c:pt idx="157">
                  <c:v>15.45</c:v>
                </c:pt>
                <c:pt idx="158">
                  <c:v>15.45</c:v>
                </c:pt>
                <c:pt idx="159">
                  <c:v>15.45</c:v>
                </c:pt>
                <c:pt idx="160">
                  <c:v>15.45</c:v>
                </c:pt>
                <c:pt idx="161">
                  <c:v>14.98</c:v>
                </c:pt>
                <c:pt idx="162">
                  <c:v>14.98</c:v>
                </c:pt>
                <c:pt idx="163">
                  <c:v>14.98</c:v>
                </c:pt>
                <c:pt idx="164">
                  <c:v>14.98</c:v>
                </c:pt>
                <c:pt idx="165">
                  <c:v>14.98</c:v>
                </c:pt>
                <c:pt idx="166">
                  <c:v>14.98</c:v>
                </c:pt>
                <c:pt idx="167">
                  <c:v>14.98</c:v>
                </c:pt>
                <c:pt idx="168">
                  <c:v>14.98</c:v>
                </c:pt>
                <c:pt idx="169">
                  <c:v>14.98</c:v>
                </c:pt>
                <c:pt idx="170">
                  <c:v>14.98</c:v>
                </c:pt>
                <c:pt idx="171">
                  <c:v>14.98</c:v>
                </c:pt>
                <c:pt idx="172">
                  <c:v>14.98</c:v>
                </c:pt>
                <c:pt idx="173">
                  <c:v>14.98</c:v>
                </c:pt>
                <c:pt idx="174">
                  <c:v>14.98</c:v>
                </c:pt>
                <c:pt idx="175">
                  <c:v>14.46</c:v>
                </c:pt>
                <c:pt idx="176">
                  <c:v>14.46</c:v>
                </c:pt>
                <c:pt idx="177">
                  <c:v>14.46</c:v>
                </c:pt>
                <c:pt idx="178">
                  <c:v>14.46</c:v>
                </c:pt>
                <c:pt idx="179">
                  <c:v>14.46</c:v>
                </c:pt>
                <c:pt idx="180">
                  <c:v>14.46</c:v>
                </c:pt>
                <c:pt idx="181">
                  <c:v>14.46</c:v>
                </c:pt>
                <c:pt idx="182">
                  <c:v>14.46</c:v>
                </c:pt>
                <c:pt idx="183">
                  <c:v>14.46</c:v>
                </c:pt>
                <c:pt idx="184">
                  <c:v>14.43</c:v>
                </c:pt>
                <c:pt idx="185">
                  <c:v>14.43</c:v>
                </c:pt>
                <c:pt idx="186">
                  <c:v>14.43</c:v>
                </c:pt>
                <c:pt idx="187">
                  <c:v>14.43</c:v>
                </c:pt>
                <c:pt idx="188">
                  <c:v>14.43</c:v>
                </c:pt>
                <c:pt idx="189">
                  <c:v>14.24</c:v>
                </c:pt>
                <c:pt idx="190">
                  <c:v>14.24</c:v>
                </c:pt>
                <c:pt idx="191">
                  <c:v>14.28</c:v>
                </c:pt>
                <c:pt idx="192">
                  <c:v>14.28</c:v>
                </c:pt>
                <c:pt idx="193">
                  <c:v>14.28</c:v>
                </c:pt>
                <c:pt idx="194">
                  <c:v>14.28</c:v>
                </c:pt>
                <c:pt idx="195">
                  <c:v>14.28</c:v>
                </c:pt>
                <c:pt idx="196">
                  <c:v>14.03</c:v>
                </c:pt>
                <c:pt idx="197">
                  <c:v>14.03</c:v>
                </c:pt>
                <c:pt idx="198">
                  <c:v>13.64</c:v>
                </c:pt>
                <c:pt idx="199">
                  <c:v>13.64</c:v>
                </c:pt>
                <c:pt idx="200">
                  <c:v>13.64</c:v>
                </c:pt>
                <c:pt idx="201">
                  <c:v>13.49</c:v>
                </c:pt>
                <c:pt idx="202">
                  <c:v>13.49</c:v>
                </c:pt>
                <c:pt idx="203">
                  <c:v>13.49</c:v>
                </c:pt>
                <c:pt idx="204">
                  <c:v>13.49</c:v>
                </c:pt>
                <c:pt idx="205">
                  <c:v>13.49</c:v>
                </c:pt>
                <c:pt idx="206">
                  <c:v>13.49</c:v>
                </c:pt>
                <c:pt idx="207">
                  <c:v>13.49</c:v>
                </c:pt>
                <c:pt idx="208">
                  <c:v>13.65</c:v>
                </c:pt>
                <c:pt idx="209">
                  <c:v>13.65</c:v>
                </c:pt>
                <c:pt idx="210">
                  <c:v>13.57</c:v>
                </c:pt>
                <c:pt idx="211">
                  <c:v>13.57</c:v>
                </c:pt>
                <c:pt idx="212">
                  <c:v>13.57</c:v>
                </c:pt>
                <c:pt idx="213">
                  <c:v>13.57</c:v>
                </c:pt>
                <c:pt idx="214">
                  <c:v>13.57</c:v>
                </c:pt>
                <c:pt idx="215">
                  <c:v>13.57</c:v>
                </c:pt>
                <c:pt idx="216">
                  <c:v>13.57</c:v>
                </c:pt>
                <c:pt idx="217">
                  <c:v>13.57</c:v>
                </c:pt>
                <c:pt idx="218">
                  <c:v>13.57</c:v>
                </c:pt>
                <c:pt idx="219">
                  <c:v>13.57</c:v>
                </c:pt>
                <c:pt idx="220">
                  <c:v>13.44</c:v>
                </c:pt>
                <c:pt idx="221">
                  <c:v>13.44</c:v>
                </c:pt>
                <c:pt idx="222">
                  <c:v>13.44</c:v>
                </c:pt>
                <c:pt idx="223">
                  <c:v>13.44</c:v>
                </c:pt>
                <c:pt idx="224">
                  <c:v>13.44</c:v>
                </c:pt>
                <c:pt idx="225">
                  <c:v>13.44</c:v>
                </c:pt>
                <c:pt idx="226">
                  <c:v>13.44</c:v>
                </c:pt>
                <c:pt idx="227">
                  <c:v>13.25</c:v>
                </c:pt>
                <c:pt idx="228">
                  <c:v>13.25</c:v>
                </c:pt>
                <c:pt idx="229">
                  <c:v>13.25</c:v>
                </c:pt>
                <c:pt idx="230">
                  <c:v>13.25</c:v>
                </c:pt>
                <c:pt idx="231">
                  <c:v>13.38</c:v>
                </c:pt>
                <c:pt idx="232">
                  <c:v>13.38</c:v>
                </c:pt>
                <c:pt idx="233">
                  <c:v>13.38</c:v>
                </c:pt>
                <c:pt idx="234">
                  <c:v>13.38</c:v>
                </c:pt>
                <c:pt idx="235">
                  <c:v>13.38</c:v>
                </c:pt>
                <c:pt idx="236">
                  <c:v>13.38</c:v>
                </c:pt>
                <c:pt idx="237">
                  <c:v>13.52</c:v>
                </c:pt>
                <c:pt idx="238">
                  <c:v>13.52</c:v>
                </c:pt>
                <c:pt idx="239">
                  <c:v>13.4</c:v>
                </c:pt>
                <c:pt idx="240">
                  <c:v>13.4</c:v>
                </c:pt>
                <c:pt idx="241">
                  <c:v>13.4</c:v>
                </c:pt>
                <c:pt idx="242">
                  <c:v>13.4</c:v>
                </c:pt>
                <c:pt idx="243">
                  <c:v>13.77</c:v>
                </c:pt>
                <c:pt idx="244">
                  <c:v>13.77</c:v>
                </c:pt>
                <c:pt idx="245">
                  <c:v>14.13</c:v>
                </c:pt>
                <c:pt idx="246">
                  <c:v>14.13</c:v>
                </c:pt>
                <c:pt idx="247">
                  <c:v>14.13</c:v>
                </c:pt>
                <c:pt idx="248">
                  <c:v>14.13</c:v>
                </c:pt>
                <c:pt idx="249">
                  <c:v>14.88</c:v>
                </c:pt>
                <c:pt idx="250">
                  <c:v>15.1</c:v>
                </c:pt>
                <c:pt idx="251">
                  <c:v>14.86</c:v>
                </c:pt>
                <c:pt idx="252">
                  <c:v>14.86</c:v>
                </c:pt>
                <c:pt idx="253">
                  <c:v>14.86</c:v>
                </c:pt>
                <c:pt idx="254">
                  <c:v>14.86</c:v>
                </c:pt>
                <c:pt idx="255">
                  <c:v>14.86</c:v>
                </c:pt>
                <c:pt idx="256">
                  <c:v>14.86</c:v>
                </c:pt>
                <c:pt idx="257">
                  <c:v>14.86</c:v>
                </c:pt>
                <c:pt idx="258">
                  <c:v>14.43</c:v>
                </c:pt>
                <c:pt idx="259">
                  <c:v>14.43</c:v>
                </c:pt>
                <c:pt idx="260">
                  <c:v>14.43</c:v>
                </c:pt>
                <c:pt idx="261">
                  <c:v>14.43</c:v>
                </c:pt>
                <c:pt idx="262">
                  <c:v>14.19</c:v>
                </c:pt>
                <c:pt idx="263">
                  <c:v>14.19</c:v>
                </c:pt>
                <c:pt idx="264">
                  <c:v>13.83</c:v>
                </c:pt>
                <c:pt idx="265">
                  <c:v>13.83</c:v>
                </c:pt>
                <c:pt idx="266">
                  <c:v>13.25</c:v>
                </c:pt>
                <c:pt idx="267">
                  <c:v>13.25</c:v>
                </c:pt>
                <c:pt idx="268">
                  <c:v>13.25</c:v>
                </c:pt>
                <c:pt idx="269">
                  <c:v>13.25</c:v>
                </c:pt>
                <c:pt idx="270">
                  <c:v>13.07</c:v>
                </c:pt>
                <c:pt idx="271">
                  <c:v>13.07</c:v>
                </c:pt>
                <c:pt idx="272">
                  <c:v>12.99</c:v>
                </c:pt>
                <c:pt idx="273">
                  <c:v>12.99</c:v>
                </c:pt>
                <c:pt idx="274">
                  <c:v>12.99</c:v>
                </c:pt>
                <c:pt idx="275">
                  <c:v>12.99</c:v>
                </c:pt>
                <c:pt idx="276">
                  <c:v>13.03</c:v>
                </c:pt>
                <c:pt idx="277">
                  <c:v>13.8</c:v>
                </c:pt>
                <c:pt idx="278">
                  <c:v>13.59</c:v>
                </c:pt>
                <c:pt idx="279">
                  <c:v>13.17</c:v>
                </c:pt>
                <c:pt idx="280">
                  <c:v>13.17</c:v>
                </c:pt>
                <c:pt idx="281">
                  <c:v>12.14</c:v>
                </c:pt>
                <c:pt idx="282">
                  <c:v>12.06</c:v>
                </c:pt>
                <c:pt idx="283">
                  <c:v>12.14</c:v>
                </c:pt>
                <c:pt idx="284">
                  <c:v>12.14</c:v>
                </c:pt>
                <c:pt idx="285">
                  <c:v>12.14</c:v>
                </c:pt>
                <c:pt idx="286">
                  <c:v>12.14</c:v>
                </c:pt>
                <c:pt idx="287">
                  <c:v>12.13</c:v>
                </c:pt>
                <c:pt idx="288">
                  <c:v>12.13</c:v>
                </c:pt>
                <c:pt idx="289">
                  <c:v>12.01</c:v>
                </c:pt>
                <c:pt idx="290">
                  <c:v>12.01</c:v>
                </c:pt>
                <c:pt idx="291">
                  <c:v>12.01</c:v>
                </c:pt>
                <c:pt idx="292">
                  <c:v>12.01</c:v>
                </c:pt>
                <c:pt idx="293">
                  <c:v>11.51</c:v>
                </c:pt>
                <c:pt idx="294">
                  <c:v>11.51</c:v>
                </c:pt>
                <c:pt idx="295">
                  <c:v>11.51</c:v>
                </c:pt>
                <c:pt idx="296">
                  <c:v>11.51</c:v>
                </c:pt>
                <c:pt idx="297">
                  <c:v>11.51</c:v>
                </c:pt>
                <c:pt idx="298">
                  <c:v>11.01</c:v>
                </c:pt>
                <c:pt idx="299">
                  <c:v>11.01</c:v>
                </c:pt>
                <c:pt idx="300">
                  <c:v>11.01</c:v>
                </c:pt>
                <c:pt idx="301">
                  <c:v>10.8</c:v>
                </c:pt>
                <c:pt idx="302">
                  <c:v>10.32</c:v>
                </c:pt>
                <c:pt idx="303">
                  <c:v>9.51</c:v>
                </c:pt>
                <c:pt idx="304">
                  <c:v>9.1300000000000008</c:v>
                </c:pt>
                <c:pt idx="305">
                  <c:v>9.1300000000000008</c:v>
                </c:pt>
                <c:pt idx="306">
                  <c:v>9.1300000000000008</c:v>
                </c:pt>
                <c:pt idx="307">
                  <c:v>9.1300000000000008</c:v>
                </c:pt>
                <c:pt idx="308">
                  <c:v>9.1300000000000008</c:v>
                </c:pt>
                <c:pt idx="309">
                  <c:v>9.57</c:v>
                </c:pt>
                <c:pt idx="310">
                  <c:v>9.57</c:v>
                </c:pt>
                <c:pt idx="311">
                  <c:v>9.65</c:v>
                </c:pt>
                <c:pt idx="312">
                  <c:v>9.65</c:v>
                </c:pt>
                <c:pt idx="313">
                  <c:v>9.35</c:v>
                </c:pt>
                <c:pt idx="314">
                  <c:v>9.31</c:v>
                </c:pt>
                <c:pt idx="315">
                  <c:v>9.5</c:v>
                </c:pt>
                <c:pt idx="316">
                  <c:v>9.5</c:v>
                </c:pt>
                <c:pt idx="317">
                  <c:v>9.5</c:v>
                </c:pt>
                <c:pt idx="318">
                  <c:v>9.5299999999999994</c:v>
                </c:pt>
                <c:pt idx="319">
                  <c:v>9.5299999999999994</c:v>
                </c:pt>
                <c:pt idx="320">
                  <c:v>9.2899999999999991</c:v>
                </c:pt>
                <c:pt idx="321">
                  <c:v>9.2899999999999991</c:v>
                </c:pt>
                <c:pt idx="322">
                  <c:v>9.1199999999999992</c:v>
                </c:pt>
                <c:pt idx="323">
                  <c:v>9.1199999999999992</c:v>
                </c:pt>
                <c:pt idx="324">
                  <c:v>9.1199999999999992</c:v>
                </c:pt>
                <c:pt idx="325">
                  <c:v>8.94</c:v>
                </c:pt>
                <c:pt idx="326">
                  <c:v>9</c:v>
                </c:pt>
                <c:pt idx="327">
                  <c:v>8.93</c:v>
                </c:pt>
                <c:pt idx="328">
                  <c:v>9.35</c:v>
                </c:pt>
                <c:pt idx="329">
                  <c:v>9.8699999999999992</c:v>
                </c:pt>
                <c:pt idx="330">
                  <c:v>9.8699999999999992</c:v>
                </c:pt>
                <c:pt idx="331">
                  <c:v>9.8699999999999992</c:v>
                </c:pt>
                <c:pt idx="332">
                  <c:v>10.44</c:v>
                </c:pt>
                <c:pt idx="333">
                  <c:v>11.18</c:v>
                </c:pt>
                <c:pt idx="334">
                  <c:v>11.18</c:v>
                </c:pt>
                <c:pt idx="335">
                  <c:v>11.18</c:v>
                </c:pt>
                <c:pt idx="336">
                  <c:v>11.36</c:v>
                </c:pt>
                <c:pt idx="337">
                  <c:v>10.82</c:v>
                </c:pt>
                <c:pt idx="338">
                  <c:v>10.82</c:v>
                </c:pt>
                <c:pt idx="339">
                  <c:v>10.94</c:v>
                </c:pt>
                <c:pt idx="340">
                  <c:v>10.94</c:v>
                </c:pt>
                <c:pt idx="341">
                  <c:v>10.94</c:v>
                </c:pt>
                <c:pt idx="342">
                  <c:v>10.94</c:v>
                </c:pt>
                <c:pt idx="343">
                  <c:v>10.52</c:v>
                </c:pt>
                <c:pt idx="344">
                  <c:v>10.52</c:v>
                </c:pt>
                <c:pt idx="345">
                  <c:v>10.79</c:v>
                </c:pt>
                <c:pt idx="346">
                  <c:v>10.79</c:v>
                </c:pt>
                <c:pt idx="347">
                  <c:v>10.79</c:v>
                </c:pt>
                <c:pt idx="348">
                  <c:v>10.79</c:v>
                </c:pt>
                <c:pt idx="349">
                  <c:v>10.81</c:v>
                </c:pt>
                <c:pt idx="350">
                  <c:v>10.81</c:v>
                </c:pt>
                <c:pt idx="351">
                  <c:v>10.81</c:v>
                </c:pt>
                <c:pt idx="352">
                  <c:v>11.17</c:v>
                </c:pt>
                <c:pt idx="353">
                  <c:v>11.17</c:v>
                </c:pt>
                <c:pt idx="354">
                  <c:v>11.17</c:v>
                </c:pt>
                <c:pt idx="355">
                  <c:v>11.17</c:v>
                </c:pt>
                <c:pt idx="356">
                  <c:v>11.17</c:v>
                </c:pt>
                <c:pt idx="357">
                  <c:v>10.67</c:v>
                </c:pt>
                <c:pt idx="358">
                  <c:v>10.67</c:v>
                </c:pt>
                <c:pt idx="359">
                  <c:v>10.67</c:v>
                </c:pt>
                <c:pt idx="360">
                  <c:v>10.67</c:v>
                </c:pt>
                <c:pt idx="361">
                  <c:v>9.98</c:v>
                </c:pt>
                <c:pt idx="362">
                  <c:v>9.98</c:v>
                </c:pt>
                <c:pt idx="363">
                  <c:v>9.89</c:v>
                </c:pt>
                <c:pt idx="364">
                  <c:v>9.89</c:v>
                </c:pt>
                <c:pt idx="365">
                  <c:v>9.89</c:v>
                </c:pt>
                <c:pt idx="366">
                  <c:v>10.050000000000001</c:v>
                </c:pt>
                <c:pt idx="367">
                  <c:v>10.050000000000001</c:v>
                </c:pt>
                <c:pt idx="368">
                  <c:v>10.050000000000001</c:v>
                </c:pt>
                <c:pt idx="369">
                  <c:v>10.24</c:v>
                </c:pt>
                <c:pt idx="370">
                  <c:v>10.19</c:v>
                </c:pt>
                <c:pt idx="371">
                  <c:v>10</c:v>
                </c:pt>
                <c:pt idx="372">
                  <c:v>9.66</c:v>
                </c:pt>
                <c:pt idx="373">
                  <c:v>9.66</c:v>
                </c:pt>
                <c:pt idx="374">
                  <c:v>9.51</c:v>
                </c:pt>
                <c:pt idx="375">
                  <c:v>9.58</c:v>
                </c:pt>
                <c:pt idx="376">
                  <c:v>9.58</c:v>
                </c:pt>
                <c:pt idx="377">
                  <c:v>9.58</c:v>
                </c:pt>
                <c:pt idx="378">
                  <c:v>9.58</c:v>
                </c:pt>
                <c:pt idx="379">
                  <c:v>9.5399999999999991</c:v>
                </c:pt>
                <c:pt idx="380">
                  <c:v>9.5399999999999991</c:v>
                </c:pt>
                <c:pt idx="381">
                  <c:v>9.52</c:v>
                </c:pt>
                <c:pt idx="382">
                  <c:v>9.52</c:v>
                </c:pt>
                <c:pt idx="383">
                  <c:v>9.52</c:v>
                </c:pt>
                <c:pt idx="384">
                  <c:v>9.52</c:v>
                </c:pt>
                <c:pt idx="385">
                  <c:v>9.52</c:v>
                </c:pt>
                <c:pt idx="386">
                  <c:v>9.52</c:v>
                </c:pt>
                <c:pt idx="387">
                  <c:v>9.43</c:v>
                </c:pt>
                <c:pt idx="388">
                  <c:v>9.43</c:v>
                </c:pt>
                <c:pt idx="389">
                  <c:v>9.76</c:v>
                </c:pt>
                <c:pt idx="390">
                  <c:v>9.76</c:v>
                </c:pt>
                <c:pt idx="391">
                  <c:v>9.76</c:v>
                </c:pt>
                <c:pt idx="392">
                  <c:v>9.85</c:v>
                </c:pt>
                <c:pt idx="393">
                  <c:v>10.01</c:v>
                </c:pt>
                <c:pt idx="394">
                  <c:v>10.01</c:v>
                </c:pt>
                <c:pt idx="395">
                  <c:v>10.01</c:v>
                </c:pt>
                <c:pt idx="396">
                  <c:v>10.01</c:v>
                </c:pt>
                <c:pt idx="397">
                  <c:v>9.81</c:v>
                </c:pt>
                <c:pt idx="398">
                  <c:v>9.76</c:v>
                </c:pt>
                <c:pt idx="399">
                  <c:v>9.76</c:v>
                </c:pt>
                <c:pt idx="400">
                  <c:v>9.76</c:v>
                </c:pt>
                <c:pt idx="401">
                  <c:v>9.9</c:v>
                </c:pt>
                <c:pt idx="402">
                  <c:v>9.9</c:v>
                </c:pt>
                <c:pt idx="403">
                  <c:v>9.9</c:v>
                </c:pt>
                <c:pt idx="404">
                  <c:v>10.119999999999999</c:v>
                </c:pt>
                <c:pt idx="405">
                  <c:v>10.06</c:v>
                </c:pt>
                <c:pt idx="406">
                  <c:v>10.06</c:v>
                </c:pt>
                <c:pt idx="407">
                  <c:v>10.06</c:v>
                </c:pt>
                <c:pt idx="408">
                  <c:v>10.06</c:v>
                </c:pt>
                <c:pt idx="409">
                  <c:v>9.91</c:v>
                </c:pt>
                <c:pt idx="410">
                  <c:v>9.91</c:v>
                </c:pt>
                <c:pt idx="411">
                  <c:v>9.91</c:v>
                </c:pt>
                <c:pt idx="412">
                  <c:v>9.91</c:v>
                </c:pt>
                <c:pt idx="413">
                  <c:v>9.91</c:v>
                </c:pt>
                <c:pt idx="414">
                  <c:v>9.73</c:v>
                </c:pt>
                <c:pt idx="415">
                  <c:v>9.73</c:v>
                </c:pt>
                <c:pt idx="416">
                  <c:v>9.7100000000000009</c:v>
                </c:pt>
                <c:pt idx="417">
                  <c:v>9.43</c:v>
                </c:pt>
                <c:pt idx="418">
                  <c:v>9.43</c:v>
                </c:pt>
                <c:pt idx="419">
                  <c:v>9.58</c:v>
                </c:pt>
                <c:pt idx="420">
                  <c:v>9.58</c:v>
                </c:pt>
                <c:pt idx="421">
                  <c:v>9.5500000000000007</c:v>
                </c:pt>
                <c:pt idx="422">
                  <c:v>9.5500000000000007</c:v>
                </c:pt>
                <c:pt idx="423">
                  <c:v>9.31</c:v>
                </c:pt>
                <c:pt idx="424">
                  <c:v>9.17</c:v>
                </c:pt>
                <c:pt idx="425">
                  <c:v>9.17</c:v>
                </c:pt>
                <c:pt idx="426">
                  <c:v>9.1199999999999992</c:v>
                </c:pt>
                <c:pt idx="427">
                  <c:v>9.1199999999999992</c:v>
                </c:pt>
                <c:pt idx="428">
                  <c:v>9.1199999999999992</c:v>
                </c:pt>
                <c:pt idx="429">
                  <c:v>9.0500000000000007</c:v>
                </c:pt>
                <c:pt idx="430">
                  <c:v>9.0500000000000007</c:v>
                </c:pt>
                <c:pt idx="431">
                  <c:v>9.0500000000000007</c:v>
                </c:pt>
                <c:pt idx="432">
                  <c:v>8.9</c:v>
                </c:pt>
                <c:pt idx="433">
                  <c:v>8.9</c:v>
                </c:pt>
                <c:pt idx="434">
                  <c:v>8.83</c:v>
                </c:pt>
                <c:pt idx="435">
                  <c:v>8.93</c:v>
                </c:pt>
                <c:pt idx="436">
                  <c:v>8.93</c:v>
                </c:pt>
                <c:pt idx="437">
                  <c:v>8.8800000000000008</c:v>
                </c:pt>
                <c:pt idx="438">
                  <c:v>8.7899999999999991</c:v>
                </c:pt>
                <c:pt idx="439">
                  <c:v>8.58</c:v>
                </c:pt>
                <c:pt idx="440">
                  <c:v>8.44</c:v>
                </c:pt>
                <c:pt idx="441">
                  <c:v>8.44</c:v>
                </c:pt>
                <c:pt idx="442">
                  <c:v>8.44</c:v>
                </c:pt>
                <c:pt idx="443">
                  <c:v>8.41</c:v>
                </c:pt>
                <c:pt idx="444">
                  <c:v>8.41</c:v>
                </c:pt>
                <c:pt idx="445">
                  <c:v>8.5299999999999994</c:v>
                </c:pt>
                <c:pt idx="446">
                  <c:v>8.5299999999999994</c:v>
                </c:pt>
                <c:pt idx="447">
                  <c:v>8.5299999999999994</c:v>
                </c:pt>
                <c:pt idx="448">
                  <c:v>8.6300000000000008</c:v>
                </c:pt>
                <c:pt idx="449">
                  <c:v>8.6300000000000008</c:v>
                </c:pt>
                <c:pt idx="450">
                  <c:v>8.6300000000000008</c:v>
                </c:pt>
                <c:pt idx="451">
                  <c:v>8.6300000000000008</c:v>
                </c:pt>
                <c:pt idx="452">
                  <c:v>8.6300000000000008</c:v>
                </c:pt>
                <c:pt idx="453">
                  <c:v>7.9</c:v>
                </c:pt>
                <c:pt idx="454">
                  <c:v>7.82</c:v>
                </c:pt>
                <c:pt idx="455">
                  <c:v>7.82</c:v>
                </c:pt>
                <c:pt idx="456">
                  <c:v>7.86</c:v>
                </c:pt>
                <c:pt idx="457">
                  <c:v>7.76</c:v>
                </c:pt>
                <c:pt idx="458">
                  <c:v>7.76</c:v>
                </c:pt>
                <c:pt idx="459">
                  <c:v>7.76</c:v>
                </c:pt>
                <c:pt idx="460">
                  <c:v>7.54</c:v>
                </c:pt>
                <c:pt idx="461">
                  <c:v>7.54</c:v>
                </c:pt>
                <c:pt idx="462">
                  <c:v>7.54</c:v>
                </c:pt>
                <c:pt idx="463">
                  <c:v>7.27</c:v>
                </c:pt>
                <c:pt idx="464">
                  <c:v>7.27</c:v>
                </c:pt>
                <c:pt idx="465">
                  <c:v>7.27</c:v>
                </c:pt>
                <c:pt idx="466">
                  <c:v>7.27</c:v>
                </c:pt>
                <c:pt idx="467">
                  <c:v>7.27</c:v>
                </c:pt>
                <c:pt idx="468">
                  <c:v>7.04</c:v>
                </c:pt>
                <c:pt idx="469">
                  <c:v>7.04</c:v>
                </c:pt>
                <c:pt idx="470">
                  <c:v>7.04</c:v>
                </c:pt>
                <c:pt idx="471">
                  <c:v>7.04</c:v>
                </c:pt>
                <c:pt idx="472">
                  <c:v>7.04</c:v>
                </c:pt>
                <c:pt idx="473">
                  <c:v>7.04</c:v>
                </c:pt>
                <c:pt idx="474">
                  <c:v>7.04</c:v>
                </c:pt>
                <c:pt idx="475">
                  <c:v>7.03</c:v>
                </c:pt>
                <c:pt idx="476">
                  <c:v>7.03</c:v>
                </c:pt>
                <c:pt idx="477">
                  <c:v>7.28</c:v>
                </c:pt>
                <c:pt idx="478">
                  <c:v>7.28</c:v>
                </c:pt>
                <c:pt idx="479">
                  <c:v>7.28</c:v>
                </c:pt>
                <c:pt idx="480">
                  <c:v>7.28</c:v>
                </c:pt>
                <c:pt idx="481">
                  <c:v>7.28</c:v>
                </c:pt>
                <c:pt idx="482">
                  <c:v>7.34</c:v>
                </c:pt>
                <c:pt idx="483">
                  <c:v>7.34</c:v>
                </c:pt>
                <c:pt idx="484">
                  <c:v>7.45</c:v>
                </c:pt>
                <c:pt idx="485">
                  <c:v>7.83</c:v>
                </c:pt>
                <c:pt idx="486">
                  <c:v>8.33</c:v>
                </c:pt>
                <c:pt idx="487">
                  <c:v>8.31</c:v>
                </c:pt>
                <c:pt idx="488">
                  <c:v>8.41</c:v>
                </c:pt>
                <c:pt idx="489">
                  <c:v>8.85</c:v>
                </c:pt>
                <c:pt idx="490">
                  <c:v>8.85</c:v>
                </c:pt>
                <c:pt idx="491">
                  <c:v>8.85</c:v>
                </c:pt>
                <c:pt idx="492">
                  <c:v>8.85</c:v>
                </c:pt>
                <c:pt idx="493">
                  <c:v>8.85</c:v>
                </c:pt>
                <c:pt idx="494">
                  <c:v>8.89</c:v>
                </c:pt>
                <c:pt idx="495">
                  <c:v>8.3699999999999992</c:v>
                </c:pt>
                <c:pt idx="496">
                  <c:v>7.69</c:v>
                </c:pt>
                <c:pt idx="497">
                  <c:v>7.84</c:v>
                </c:pt>
                <c:pt idx="498">
                  <c:v>7.84</c:v>
                </c:pt>
                <c:pt idx="499">
                  <c:v>7.84</c:v>
                </c:pt>
                <c:pt idx="500">
                  <c:v>7.62</c:v>
                </c:pt>
                <c:pt idx="501">
                  <c:v>7.62</c:v>
                </c:pt>
                <c:pt idx="502">
                  <c:v>7.62</c:v>
                </c:pt>
                <c:pt idx="503">
                  <c:v>7.47</c:v>
                </c:pt>
                <c:pt idx="504">
                  <c:v>7.47</c:v>
                </c:pt>
                <c:pt idx="505">
                  <c:v>7.47</c:v>
                </c:pt>
                <c:pt idx="506">
                  <c:v>7.47</c:v>
                </c:pt>
                <c:pt idx="507">
                  <c:v>7.44</c:v>
                </c:pt>
                <c:pt idx="508">
                  <c:v>7.25</c:v>
                </c:pt>
                <c:pt idx="509">
                  <c:v>7.21</c:v>
                </c:pt>
                <c:pt idx="510">
                  <c:v>7.35</c:v>
                </c:pt>
                <c:pt idx="511">
                  <c:v>7.72</c:v>
                </c:pt>
                <c:pt idx="512">
                  <c:v>7.72</c:v>
                </c:pt>
                <c:pt idx="513">
                  <c:v>7.84</c:v>
                </c:pt>
                <c:pt idx="514">
                  <c:v>8.02</c:v>
                </c:pt>
                <c:pt idx="515">
                  <c:v>7.78</c:v>
                </c:pt>
                <c:pt idx="516">
                  <c:v>7.78</c:v>
                </c:pt>
                <c:pt idx="517">
                  <c:v>7.78</c:v>
                </c:pt>
                <c:pt idx="518">
                  <c:v>7.78</c:v>
                </c:pt>
                <c:pt idx="519">
                  <c:v>7.5</c:v>
                </c:pt>
                <c:pt idx="520">
                  <c:v>7.57</c:v>
                </c:pt>
                <c:pt idx="521">
                  <c:v>7.57</c:v>
                </c:pt>
                <c:pt idx="522">
                  <c:v>7.57</c:v>
                </c:pt>
                <c:pt idx="523">
                  <c:v>7.57</c:v>
                </c:pt>
                <c:pt idx="524">
                  <c:v>7.77</c:v>
                </c:pt>
                <c:pt idx="525">
                  <c:v>7.64</c:v>
                </c:pt>
                <c:pt idx="526">
                  <c:v>7.87</c:v>
                </c:pt>
                <c:pt idx="527">
                  <c:v>7.72</c:v>
                </c:pt>
                <c:pt idx="528">
                  <c:v>7.16</c:v>
                </c:pt>
                <c:pt idx="529">
                  <c:v>7.16</c:v>
                </c:pt>
                <c:pt idx="530">
                  <c:v>7.16</c:v>
                </c:pt>
                <c:pt idx="531">
                  <c:v>7.02</c:v>
                </c:pt>
                <c:pt idx="532">
                  <c:v>7</c:v>
                </c:pt>
                <c:pt idx="533">
                  <c:v>7</c:v>
                </c:pt>
                <c:pt idx="534">
                  <c:v>6.94</c:v>
                </c:pt>
                <c:pt idx="535">
                  <c:v>6.96</c:v>
                </c:pt>
                <c:pt idx="536">
                  <c:v>7.04</c:v>
                </c:pt>
                <c:pt idx="537">
                  <c:v>6.97</c:v>
                </c:pt>
                <c:pt idx="538">
                  <c:v>6.97</c:v>
                </c:pt>
                <c:pt idx="539">
                  <c:v>6.97</c:v>
                </c:pt>
                <c:pt idx="540">
                  <c:v>7.21</c:v>
                </c:pt>
                <c:pt idx="541">
                  <c:v>7.93</c:v>
                </c:pt>
                <c:pt idx="542">
                  <c:v>8.06</c:v>
                </c:pt>
                <c:pt idx="543">
                  <c:v>8.1199999999999992</c:v>
                </c:pt>
                <c:pt idx="544">
                  <c:v>8.35</c:v>
                </c:pt>
                <c:pt idx="545">
                  <c:v>8.2799999999999994</c:v>
                </c:pt>
                <c:pt idx="546">
                  <c:v>8.69</c:v>
                </c:pt>
                <c:pt idx="547">
                  <c:v>8.3800000000000008</c:v>
                </c:pt>
                <c:pt idx="548">
                  <c:v>8.3800000000000008</c:v>
                </c:pt>
                <c:pt idx="549">
                  <c:v>8.3800000000000008</c:v>
                </c:pt>
                <c:pt idx="550">
                  <c:v>8.1300000000000008</c:v>
                </c:pt>
                <c:pt idx="551">
                  <c:v>8.1300000000000008</c:v>
                </c:pt>
                <c:pt idx="552">
                  <c:v>8.14</c:v>
                </c:pt>
                <c:pt idx="553">
                  <c:v>8.14</c:v>
                </c:pt>
                <c:pt idx="554">
                  <c:v>7.86</c:v>
                </c:pt>
                <c:pt idx="555">
                  <c:v>7.74</c:v>
                </c:pt>
                <c:pt idx="556">
                  <c:v>7.67</c:v>
                </c:pt>
                <c:pt idx="557">
                  <c:v>7.71</c:v>
                </c:pt>
                <c:pt idx="558">
                  <c:v>7.83</c:v>
                </c:pt>
                <c:pt idx="559">
                  <c:v>7.83</c:v>
                </c:pt>
                <c:pt idx="560">
                  <c:v>7.74</c:v>
                </c:pt>
                <c:pt idx="561">
                  <c:v>7.53</c:v>
                </c:pt>
                <c:pt idx="562">
                  <c:v>7.32</c:v>
                </c:pt>
                <c:pt idx="563">
                  <c:v>7.32</c:v>
                </c:pt>
                <c:pt idx="564">
                  <c:v>7.09</c:v>
                </c:pt>
                <c:pt idx="565">
                  <c:v>7.09</c:v>
                </c:pt>
                <c:pt idx="566">
                  <c:v>7.09</c:v>
                </c:pt>
                <c:pt idx="567">
                  <c:v>7.14</c:v>
                </c:pt>
                <c:pt idx="568">
                  <c:v>7.06</c:v>
                </c:pt>
                <c:pt idx="569">
                  <c:v>7.06</c:v>
                </c:pt>
                <c:pt idx="570">
                  <c:v>6.93</c:v>
                </c:pt>
                <c:pt idx="571">
                  <c:v>6.93</c:v>
                </c:pt>
                <c:pt idx="572">
                  <c:v>6.65</c:v>
                </c:pt>
                <c:pt idx="573">
                  <c:v>6.58</c:v>
                </c:pt>
                <c:pt idx="574">
                  <c:v>6.58</c:v>
                </c:pt>
                <c:pt idx="575">
                  <c:v>6.58</c:v>
                </c:pt>
                <c:pt idx="576">
                  <c:v>6.58</c:v>
                </c:pt>
                <c:pt idx="577">
                  <c:v>6.58</c:v>
                </c:pt>
                <c:pt idx="578">
                  <c:v>6.58</c:v>
                </c:pt>
                <c:pt idx="579">
                  <c:v>6.37</c:v>
                </c:pt>
                <c:pt idx="580">
                  <c:v>6.37</c:v>
                </c:pt>
                <c:pt idx="581">
                  <c:v>6.37</c:v>
                </c:pt>
                <c:pt idx="582">
                  <c:v>6.37</c:v>
                </c:pt>
                <c:pt idx="583">
                  <c:v>6.28</c:v>
                </c:pt>
                <c:pt idx="584">
                  <c:v>6.15</c:v>
                </c:pt>
                <c:pt idx="585">
                  <c:v>6.15</c:v>
                </c:pt>
                <c:pt idx="586">
                  <c:v>6.33</c:v>
                </c:pt>
                <c:pt idx="587">
                  <c:v>6.27</c:v>
                </c:pt>
                <c:pt idx="588">
                  <c:v>6.27</c:v>
                </c:pt>
                <c:pt idx="589">
                  <c:v>6.27</c:v>
                </c:pt>
                <c:pt idx="590">
                  <c:v>6.15</c:v>
                </c:pt>
                <c:pt idx="591">
                  <c:v>5.98</c:v>
                </c:pt>
                <c:pt idx="592">
                  <c:v>5.96</c:v>
                </c:pt>
                <c:pt idx="593">
                  <c:v>5.96</c:v>
                </c:pt>
                <c:pt idx="594">
                  <c:v>5.79</c:v>
                </c:pt>
                <c:pt idx="595">
                  <c:v>5.83</c:v>
                </c:pt>
                <c:pt idx="596">
                  <c:v>5.4</c:v>
                </c:pt>
                <c:pt idx="597">
                  <c:v>5.51</c:v>
                </c:pt>
                <c:pt idx="598">
                  <c:v>5.51</c:v>
                </c:pt>
                <c:pt idx="599">
                  <c:v>5.5</c:v>
                </c:pt>
                <c:pt idx="600">
                  <c:v>5.77</c:v>
                </c:pt>
                <c:pt idx="601">
                  <c:v>5.77</c:v>
                </c:pt>
                <c:pt idx="602">
                  <c:v>5.77</c:v>
                </c:pt>
                <c:pt idx="603">
                  <c:v>5.88</c:v>
                </c:pt>
                <c:pt idx="604">
                  <c:v>5.88</c:v>
                </c:pt>
                <c:pt idx="605">
                  <c:v>5.88</c:v>
                </c:pt>
                <c:pt idx="606">
                  <c:v>5.88</c:v>
                </c:pt>
                <c:pt idx="607">
                  <c:v>5.88</c:v>
                </c:pt>
                <c:pt idx="608">
                  <c:v>5.82</c:v>
                </c:pt>
                <c:pt idx="609">
                  <c:v>5.82</c:v>
                </c:pt>
                <c:pt idx="610">
                  <c:v>5.75</c:v>
                </c:pt>
                <c:pt idx="611">
                  <c:v>5.98</c:v>
                </c:pt>
                <c:pt idx="612">
                  <c:v>6.4</c:v>
                </c:pt>
                <c:pt idx="613">
                  <c:v>6</c:v>
                </c:pt>
                <c:pt idx="614">
                  <c:v>5.98</c:v>
                </c:pt>
                <c:pt idx="615">
                  <c:v>5.8</c:v>
                </c:pt>
                <c:pt idx="616">
                  <c:v>5.8</c:v>
                </c:pt>
                <c:pt idx="617">
                  <c:v>5.81</c:v>
                </c:pt>
                <c:pt idx="618">
                  <c:v>5.81</c:v>
                </c:pt>
                <c:pt idx="619">
                  <c:v>5.9</c:v>
                </c:pt>
                <c:pt idx="620">
                  <c:v>5.9</c:v>
                </c:pt>
                <c:pt idx="621">
                  <c:v>5.99</c:v>
                </c:pt>
                <c:pt idx="622">
                  <c:v>6.3</c:v>
                </c:pt>
                <c:pt idx="623">
                  <c:v>6.25</c:v>
                </c:pt>
                <c:pt idx="624">
                  <c:v>6.11</c:v>
                </c:pt>
                <c:pt idx="625">
                  <c:v>6.11</c:v>
                </c:pt>
                <c:pt idx="626">
                  <c:v>6.11</c:v>
                </c:pt>
                <c:pt idx="627">
                  <c:v>5.97</c:v>
                </c:pt>
                <c:pt idx="628">
                  <c:v>5.97</c:v>
                </c:pt>
                <c:pt idx="629">
                  <c:v>6.16</c:v>
                </c:pt>
                <c:pt idx="630">
                  <c:v>6.16</c:v>
                </c:pt>
                <c:pt idx="631">
                  <c:v>6.16</c:v>
                </c:pt>
                <c:pt idx="632">
                  <c:v>6.16</c:v>
                </c:pt>
                <c:pt idx="633">
                  <c:v>6.27</c:v>
                </c:pt>
                <c:pt idx="634">
                  <c:v>6.37</c:v>
                </c:pt>
                <c:pt idx="635">
                  <c:v>6.37</c:v>
                </c:pt>
                <c:pt idx="636">
                  <c:v>6.37</c:v>
                </c:pt>
                <c:pt idx="637">
                  <c:v>6.37</c:v>
                </c:pt>
                <c:pt idx="638">
                  <c:v>7.56</c:v>
                </c:pt>
                <c:pt idx="639">
                  <c:v>7.6</c:v>
                </c:pt>
                <c:pt idx="640">
                  <c:v>6.54</c:v>
                </c:pt>
                <c:pt idx="641">
                  <c:v>6.3</c:v>
                </c:pt>
                <c:pt idx="642">
                  <c:v>6.42</c:v>
                </c:pt>
                <c:pt idx="643">
                  <c:v>6.48</c:v>
                </c:pt>
                <c:pt idx="644">
                  <c:v>6.49</c:v>
                </c:pt>
                <c:pt idx="645">
                  <c:v>6.49</c:v>
                </c:pt>
                <c:pt idx="646">
                  <c:v>6.49</c:v>
                </c:pt>
                <c:pt idx="647">
                  <c:v>6.2</c:v>
                </c:pt>
                <c:pt idx="648">
                  <c:v>5.53</c:v>
                </c:pt>
                <c:pt idx="649">
                  <c:v>5.53</c:v>
                </c:pt>
                <c:pt idx="650">
                  <c:v>5.53</c:v>
                </c:pt>
                <c:pt idx="651">
                  <c:v>5.55</c:v>
                </c:pt>
                <c:pt idx="652">
                  <c:v>5.64</c:v>
                </c:pt>
                <c:pt idx="653">
                  <c:v>5.64</c:v>
                </c:pt>
                <c:pt idx="654">
                  <c:v>5.64</c:v>
                </c:pt>
                <c:pt idx="655">
                  <c:v>5.64</c:v>
                </c:pt>
                <c:pt idx="656">
                  <c:v>5.64</c:v>
                </c:pt>
                <c:pt idx="657">
                  <c:v>5.64</c:v>
                </c:pt>
                <c:pt idx="658">
                  <c:v>5.79</c:v>
                </c:pt>
                <c:pt idx="659">
                  <c:v>5.79</c:v>
                </c:pt>
                <c:pt idx="660">
                  <c:v>5.79</c:v>
                </c:pt>
                <c:pt idx="661">
                  <c:v>5.79</c:v>
                </c:pt>
                <c:pt idx="662">
                  <c:v>5.77</c:v>
                </c:pt>
                <c:pt idx="663">
                  <c:v>5.77</c:v>
                </c:pt>
                <c:pt idx="664">
                  <c:v>5.87</c:v>
                </c:pt>
                <c:pt idx="665">
                  <c:v>5.87</c:v>
                </c:pt>
                <c:pt idx="666">
                  <c:v>5.87</c:v>
                </c:pt>
                <c:pt idx="667">
                  <c:v>5.87</c:v>
                </c:pt>
                <c:pt idx="668">
                  <c:v>5.84</c:v>
                </c:pt>
                <c:pt idx="669">
                  <c:v>5.84</c:v>
                </c:pt>
                <c:pt idx="670">
                  <c:v>5.84</c:v>
                </c:pt>
                <c:pt idx="671">
                  <c:v>5.81</c:v>
                </c:pt>
                <c:pt idx="672">
                  <c:v>5.81</c:v>
                </c:pt>
                <c:pt idx="673">
                  <c:v>5.81</c:v>
                </c:pt>
                <c:pt idx="674">
                  <c:v>5.26</c:v>
                </c:pt>
                <c:pt idx="675">
                  <c:v>5.01</c:v>
                </c:pt>
                <c:pt idx="676">
                  <c:v>5.01</c:v>
                </c:pt>
                <c:pt idx="677">
                  <c:v>5.01</c:v>
                </c:pt>
                <c:pt idx="678">
                  <c:v>5.01</c:v>
                </c:pt>
                <c:pt idx="679">
                  <c:v>5.0999999999999996</c:v>
                </c:pt>
                <c:pt idx="680">
                  <c:v>5.0999999999999996</c:v>
                </c:pt>
                <c:pt idx="681">
                  <c:v>5.0999999999999996</c:v>
                </c:pt>
                <c:pt idx="682">
                  <c:v>5.37</c:v>
                </c:pt>
                <c:pt idx="683">
                  <c:v>5.37</c:v>
                </c:pt>
                <c:pt idx="684">
                  <c:v>5.37</c:v>
                </c:pt>
                <c:pt idx="685">
                  <c:v>5.37</c:v>
                </c:pt>
                <c:pt idx="686">
                  <c:v>5.68</c:v>
                </c:pt>
                <c:pt idx="687">
                  <c:v>5.32</c:v>
                </c:pt>
                <c:pt idx="688">
                  <c:v>5.26</c:v>
                </c:pt>
                <c:pt idx="689">
                  <c:v>4.4800000000000004</c:v>
                </c:pt>
                <c:pt idx="690">
                  <c:v>4.25</c:v>
                </c:pt>
                <c:pt idx="691">
                  <c:v>4.25</c:v>
                </c:pt>
                <c:pt idx="692">
                  <c:v>4.25</c:v>
                </c:pt>
                <c:pt idx="693">
                  <c:v>4.25</c:v>
                </c:pt>
                <c:pt idx="694">
                  <c:v>4.4800000000000004</c:v>
                </c:pt>
                <c:pt idx="695">
                  <c:v>4.4800000000000004</c:v>
                </c:pt>
                <c:pt idx="696">
                  <c:v>4.4000000000000004</c:v>
                </c:pt>
                <c:pt idx="697">
                  <c:v>4.4000000000000004</c:v>
                </c:pt>
                <c:pt idx="698">
                  <c:v>4.2</c:v>
                </c:pt>
                <c:pt idx="699">
                  <c:v>4.0199999999999996</c:v>
                </c:pt>
                <c:pt idx="700">
                  <c:v>4.0199999999999996</c:v>
                </c:pt>
                <c:pt idx="701">
                  <c:v>4.0199999999999996</c:v>
                </c:pt>
                <c:pt idx="702">
                  <c:v>4.0199999999999996</c:v>
                </c:pt>
                <c:pt idx="703">
                  <c:v>4.0199999999999996</c:v>
                </c:pt>
                <c:pt idx="704">
                  <c:v>4.0199999999999996</c:v>
                </c:pt>
                <c:pt idx="705">
                  <c:v>3.91</c:v>
                </c:pt>
                <c:pt idx="706">
                  <c:v>3.91</c:v>
                </c:pt>
                <c:pt idx="707">
                  <c:v>3.91</c:v>
                </c:pt>
                <c:pt idx="708">
                  <c:v>3.84</c:v>
                </c:pt>
                <c:pt idx="709">
                  <c:v>3.84</c:v>
                </c:pt>
                <c:pt idx="710">
                  <c:v>3.84</c:v>
                </c:pt>
                <c:pt idx="711">
                  <c:v>4.1500000000000004</c:v>
                </c:pt>
                <c:pt idx="712">
                  <c:v>4.2</c:v>
                </c:pt>
                <c:pt idx="713">
                  <c:v>4.17</c:v>
                </c:pt>
                <c:pt idx="714">
                  <c:v>4.17</c:v>
                </c:pt>
                <c:pt idx="715">
                  <c:v>4.7300000000000004</c:v>
                </c:pt>
                <c:pt idx="716">
                  <c:v>4.8</c:v>
                </c:pt>
                <c:pt idx="717">
                  <c:v>4.7</c:v>
                </c:pt>
                <c:pt idx="718">
                  <c:v>4.7</c:v>
                </c:pt>
                <c:pt idx="719">
                  <c:v>4.7</c:v>
                </c:pt>
                <c:pt idx="720">
                  <c:v>4.7699999999999996</c:v>
                </c:pt>
                <c:pt idx="721">
                  <c:v>4.7699999999999996</c:v>
                </c:pt>
                <c:pt idx="722">
                  <c:v>4.7699999999999996</c:v>
                </c:pt>
                <c:pt idx="723">
                  <c:v>4.8099999999999996</c:v>
                </c:pt>
                <c:pt idx="724">
                  <c:v>4.63</c:v>
                </c:pt>
                <c:pt idx="725">
                  <c:v>4.63</c:v>
                </c:pt>
                <c:pt idx="726">
                  <c:v>4.51</c:v>
                </c:pt>
                <c:pt idx="727">
                  <c:v>4.51</c:v>
                </c:pt>
                <c:pt idx="728">
                  <c:v>4.41</c:v>
                </c:pt>
                <c:pt idx="729">
                  <c:v>4.41</c:v>
                </c:pt>
                <c:pt idx="730">
                  <c:v>4.41</c:v>
                </c:pt>
                <c:pt idx="731">
                  <c:v>4.41</c:v>
                </c:pt>
                <c:pt idx="732">
                  <c:v>4.13</c:v>
                </c:pt>
                <c:pt idx="733">
                  <c:v>4.24</c:v>
                </c:pt>
                <c:pt idx="734">
                  <c:v>4.24</c:v>
                </c:pt>
                <c:pt idx="735">
                  <c:v>4.24</c:v>
                </c:pt>
                <c:pt idx="736">
                  <c:v>4.24</c:v>
                </c:pt>
                <c:pt idx="737">
                  <c:v>4.0599999999999996</c:v>
                </c:pt>
                <c:pt idx="738">
                  <c:v>3.95</c:v>
                </c:pt>
                <c:pt idx="739">
                  <c:v>3.95</c:v>
                </c:pt>
                <c:pt idx="740">
                  <c:v>4.3899999999999997</c:v>
                </c:pt>
                <c:pt idx="741">
                  <c:v>4.29</c:v>
                </c:pt>
                <c:pt idx="742">
                  <c:v>4.29</c:v>
                </c:pt>
                <c:pt idx="743">
                  <c:v>4.2699999999999996</c:v>
                </c:pt>
                <c:pt idx="744">
                  <c:v>4.2699999999999996</c:v>
                </c:pt>
                <c:pt idx="745">
                  <c:v>4.16</c:v>
                </c:pt>
                <c:pt idx="746">
                  <c:v>4.16</c:v>
                </c:pt>
                <c:pt idx="747">
                  <c:v>4</c:v>
                </c:pt>
                <c:pt idx="748">
                  <c:v>3.59</c:v>
                </c:pt>
                <c:pt idx="749">
                  <c:v>3.59</c:v>
                </c:pt>
                <c:pt idx="750">
                  <c:v>3.66</c:v>
                </c:pt>
                <c:pt idx="751">
                  <c:v>3.77</c:v>
                </c:pt>
                <c:pt idx="752">
                  <c:v>4.1399999999999997</c:v>
                </c:pt>
                <c:pt idx="753">
                  <c:v>4.2300000000000004</c:v>
                </c:pt>
                <c:pt idx="754">
                  <c:v>4.2300000000000004</c:v>
                </c:pt>
                <c:pt idx="755">
                  <c:v>3.94</c:v>
                </c:pt>
                <c:pt idx="756">
                  <c:v>3.86</c:v>
                </c:pt>
                <c:pt idx="757">
                  <c:v>3.91</c:v>
                </c:pt>
                <c:pt idx="758">
                  <c:v>3.79</c:v>
                </c:pt>
                <c:pt idx="759">
                  <c:v>3.86</c:v>
                </c:pt>
                <c:pt idx="760">
                  <c:v>3.86</c:v>
                </c:pt>
                <c:pt idx="761">
                  <c:v>3.86</c:v>
                </c:pt>
                <c:pt idx="762">
                  <c:v>4.13</c:v>
                </c:pt>
                <c:pt idx="763">
                  <c:v>4.13</c:v>
                </c:pt>
                <c:pt idx="764">
                  <c:v>4.13</c:v>
                </c:pt>
                <c:pt idx="765">
                  <c:v>4.2699999999999996</c:v>
                </c:pt>
                <c:pt idx="766">
                  <c:v>4.26</c:v>
                </c:pt>
                <c:pt idx="767">
                  <c:v>4.26</c:v>
                </c:pt>
                <c:pt idx="768">
                  <c:v>4.26</c:v>
                </c:pt>
                <c:pt idx="769">
                  <c:v>4.32</c:v>
                </c:pt>
                <c:pt idx="770">
                  <c:v>4.45</c:v>
                </c:pt>
                <c:pt idx="771">
                  <c:v>4.5199999999999996</c:v>
                </c:pt>
                <c:pt idx="772">
                  <c:v>4.5199999999999996</c:v>
                </c:pt>
                <c:pt idx="773">
                  <c:v>4.5199999999999996</c:v>
                </c:pt>
                <c:pt idx="774">
                  <c:v>4.5199999999999996</c:v>
                </c:pt>
                <c:pt idx="775" formatCode="###,##0.00;\-###,##0.00">
                  <c:v>4.16</c:v>
                </c:pt>
                <c:pt idx="776" formatCode="###,##0.00;\-###,##0.00">
                  <c:v>3.29</c:v>
                </c:pt>
                <c:pt idx="777" formatCode="General">
                  <c:v>3.29</c:v>
                </c:pt>
                <c:pt idx="778" formatCode="General">
                  <c:v>3.37</c:v>
                </c:pt>
                <c:pt idx="779" formatCode="General">
                  <c:v>3.42</c:v>
                </c:pt>
                <c:pt idx="780" formatCode="General">
                  <c:v>3.42</c:v>
                </c:pt>
                <c:pt idx="781" formatCode="General">
                  <c:v>3.42</c:v>
                </c:pt>
                <c:pt idx="782" formatCode="General">
                  <c:v>3.42</c:v>
                </c:pt>
                <c:pt idx="783" formatCode="General">
                  <c:v>3.42</c:v>
                </c:pt>
                <c:pt idx="784" formatCode="General">
                  <c:v>3.4</c:v>
                </c:pt>
                <c:pt idx="785" formatCode="General">
                  <c:v>3.29</c:v>
                </c:pt>
                <c:pt idx="786" formatCode="General">
                  <c:v>3.29</c:v>
                </c:pt>
                <c:pt idx="787" formatCode="General">
                  <c:v>3.11</c:v>
                </c:pt>
                <c:pt idx="788" formatCode="General">
                  <c:v>3.19</c:v>
                </c:pt>
                <c:pt idx="789" formatCode="General">
                  <c:v>3.14</c:v>
                </c:pt>
                <c:pt idx="790" formatCode="General">
                  <c:v>2.73</c:v>
                </c:pt>
                <c:pt idx="791" formatCode="General">
                  <c:v>2.73</c:v>
                </c:pt>
                <c:pt idx="792" formatCode="General">
                  <c:v>2.84</c:v>
                </c:pt>
                <c:pt idx="793" formatCode="General">
                  <c:v>2.95</c:v>
                </c:pt>
                <c:pt idx="794" formatCode="General">
                  <c:v>2.85</c:v>
                </c:pt>
                <c:pt idx="795" formatCode="General">
                  <c:v>2.85</c:v>
                </c:pt>
                <c:pt idx="796" formatCode="General">
                  <c:v>2.85</c:v>
                </c:pt>
                <c:pt idx="797" formatCode="General">
                  <c:v>2.91</c:v>
                </c:pt>
                <c:pt idx="798" formatCode="General">
                  <c:v>3.09</c:v>
                </c:pt>
                <c:pt idx="799" formatCode="General">
                  <c:v>3.3</c:v>
                </c:pt>
                <c:pt idx="800" formatCode="General">
                  <c:v>3.3</c:v>
                </c:pt>
                <c:pt idx="801" formatCode="General">
                  <c:v>3.33</c:v>
                </c:pt>
                <c:pt idx="802" formatCode="General">
                  <c:v>3.16</c:v>
                </c:pt>
                <c:pt idx="803" formatCode="General">
                  <c:v>2.95</c:v>
                </c:pt>
                <c:pt idx="804" formatCode="General">
                  <c:v>2.95</c:v>
                </c:pt>
                <c:pt idx="805" formatCode="General">
                  <c:v>2.96</c:v>
                </c:pt>
                <c:pt idx="806" formatCode="General">
                  <c:v>3.09</c:v>
                </c:pt>
                <c:pt idx="807" formatCode="General">
                  <c:v>3.09</c:v>
                </c:pt>
                <c:pt idx="808" formatCode="General">
                  <c:v>3.09</c:v>
                </c:pt>
                <c:pt idx="809" formatCode="General">
                  <c:v>4.32</c:v>
                </c:pt>
                <c:pt idx="810" formatCode="General">
                  <c:v>4.76</c:v>
                </c:pt>
                <c:pt idx="811" formatCode="General">
                  <c:v>5.28</c:v>
                </c:pt>
                <c:pt idx="812" formatCode="General">
                  <c:v>5.28</c:v>
                </c:pt>
                <c:pt idx="813" formatCode="General">
                  <c:v>5.75</c:v>
                </c:pt>
                <c:pt idx="814" formatCode="General">
                  <c:v>5.75</c:v>
                </c:pt>
                <c:pt idx="815" formatCode="General">
                  <c:v>5.75</c:v>
                </c:pt>
                <c:pt idx="816" formatCode="General">
                  <c:v>5.75</c:v>
                </c:pt>
                <c:pt idx="817" formatCode="General">
                  <c:v>5.75</c:v>
                </c:pt>
              </c:numCache>
            </c:numRef>
          </c:xVal>
          <c:yVal>
            <c:numRef>
              <c:f>'4.13 Past Rate Cases Gas'!$K$6:$K$823</c:f>
              <c:numCache>
                <c:formatCode>_(* #,##0.00_);_(* \(#,##0.00\);_(* "-"??_);_(@_)</c:formatCode>
                <c:ptCount val="818"/>
                <c:pt idx="0">
                  <c:v>0.66000000000000014</c:v>
                </c:pt>
                <c:pt idx="1">
                  <c:v>1.8599999999999994</c:v>
                </c:pt>
                <c:pt idx="2">
                  <c:v>1.3099999999999987</c:v>
                </c:pt>
                <c:pt idx="3">
                  <c:v>1.8499999999999996</c:v>
                </c:pt>
                <c:pt idx="4">
                  <c:v>0.45999999999999908</c:v>
                </c:pt>
                <c:pt idx="5">
                  <c:v>2.3499999999999996</c:v>
                </c:pt>
                <c:pt idx="6">
                  <c:v>0.84999999999999964</c:v>
                </c:pt>
                <c:pt idx="7">
                  <c:v>0.78999999999999915</c:v>
                </c:pt>
                <c:pt idx="8">
                  <c:v>1.7899999999999991</c:v>
                </c:pt>
                <c:pt idx="9">
                  <c:v>1.7899999999999991</c:v>
                </c:pt>
                <c:pt idx="10">
                  <c:v>1.2899999999999991</c:v>
                </c:pt>
                <c:pt idx="11">
                  <c:v>1.7899999999999991</c:v>
                </c:pt>
                <c:pt idx="12">
                  <c:v>-0.54000000000000092</c:v>
                </c:pt>
                <c:pt idx="13">
                  <c:v>-2.09</c:v>
                </c:pt>
                <c:pt idx="14">
                  <c:v>-0.32000000000000028</c:v>
                </c:pt>
                <c:pt idx="15">
                  <c:v>-0.83999999999999986</c:v>
                </c:pt>
                <c:pt idx="16">
                  <c:v>0.91000000000000014</c:v>
                </c:pt>
                <c:pt idx="17">
                  <c:v>0.3100000000000005</c:v>
                </c:pt>
                <c:pt idx="18">
                  <c:v>1.7100000000000009</c:v>
                </c:pt>
                <c:pt idx="19">
                  <c:v>-0.50999999999999979</c:v>
                </c:pt>
                <c:pt idx="20">
                  <c:v>1.5099999999999998</c:v>
                </c:pt>
                <c:pt idx="21">
                  <c:v>1.7699999999999996</c:v>
                </c:pt>
                <c:pt idx="22">
                  <c:v>0.5</c:v>
                </c:pt>
                <c:pt idx="23">
                  <c:v>1.4000000000000004</c:v>
                </c:pt>
                <c:pt idx="24">
                  <c:v>1.6999999999999993</c:v>
                </c:pt>
                <c:pt idx="25">
                  <c:v>1.7899999999999991</c:v>
                </c:pt>
                <c:pt idx="26">
                  <c:v>9.9999999999999645E-2</c:v>
                </c:pt>
                <c:pt idx="27">
                  <c:v>2.4499999999999993</c:v>
                </c:pt>
                <c:pt idx="28">
                  <c:v>1.8499999999999996</c:v>
                </c:pt>
                <c:pt idx="29">
                  <c:v>1.8499999999999996</c:v>
                </c:pt>
                <c:pt idx="30">
                  <c:v>2.34</c:v>
                </c:pt>
                <c:pt idx="31">
                  <c:v>1.8399999999999999</c:v>
                </c:pt>
                <c:pt idx="32">
                  <c:v>1.8399999999999999</c:v>
                </c:pt>
                <c:pt idx="33">
                  <c:v>1.9100000000000001</c:v>
                </c:pt>
                <c:pt idx="34">
                  <c:v>1.9100000000000001</c:v>
                </c:pt>
                <c:pt idx="35">
                  <c:v>-0.28999999999999915</c:v>
                </c:pt>
                <c:pt idx="36">
                  <c:v>-1.2899999999999991</c:v>
                </c:pt>
                <c:pt idx="37">
                  <c:v>1.2100000000000009</c:v>
                </c:pt>
                <c:pt idx="38">
                  <c:v>1.7100000000000009</c:v>
                </c:pt>
                <c:pt idx="39">
                  <c:v>1.0600000000000005</c:v>
                </c:pt>
                <c:pt idx="40">
                  <c:v>-3.9999999999999147E-2</c:v>
                </c:pt>
                <c:pt idx="41">
                  <c:v>1.9600000000000009</c:v>
                </c:pt>
                <c:pt idx="42">
                  <c:v>-3.9999999999999147E-2</c:v>
                </c:pt>
                <c:pt idx="43">
                  <c:v>1.0600000000000005</c:v>
                </c:pt>
                <c:pt idx="44">
                  <c:v>2.8599999999999994</c:v>
                </c:pt>
                <c:pt idx="45">
                  <c:v>1.9100000000000001</c:v>
                </c:pt>
                <c:pt idx="46">
                  <c:v>0.39000000000000057</c:v>
                </c:pt>
                <c:pt idx="47">
                  <c:v>0.1899999999999995</c:v>
                </c:pt>
                <c:pt idx="48">
                  <c:v>-9.9999999999997868E-3</c:v>
                </c:pt>
                <c:pt idx="49">
                  <c:v>-0.5600000000000005</c:v>
                </c:pt>
                <c:pt idx="50">
                  <c:v>-9.9999999999997868E-3</c:v>
                </c:pt>
                <c:pt idx="51">
                  <c:v>0.49000000000000021</c:v>
                </c:pt>
                <c:pt idx="52">
                  <c:v>0.29000000000000092</c:v>
                </c:pt>
                <c:pt idx="53">
                  <c:v>0.9399999999999995</c:v>
                </c:pt>
                <c:pt idx="54">
                  <c:v>0.58999999999999986</c:v>
                </c:pt>
                <c:pt idx="55">
                  <c:v>-1.4100000000000001</c:v>
                </c:pt>
                <c:pt idx="56">
                  <c:v>-0.16000000000000014</c:v>
                </c:pt>
                <c:pt idx="57">
                  <c:v>0.23000000000000043</c:v>
                </c:pt>
                <c:pt idx="58">
                  <c:v>1.3800000000000008</c:v>
                </c:pt>
                <c:pt idx="59">
                  <c:v>0.62000000000000099</c:v>
                </c:pt>
                <c:pt idx="60">
                  <c:v>0.32000000000000028</c:v>
                </c:pt>
                <c:pt idx="61">
                  <c:v>-0.88000000000000078</c:v>
                </c:pt>
                <c:pt idx="62">
                  <c:v>-1.6300000000000008</c:v>
                </c:pt>
                <c:pt idx="63">
                  <c:v>-0.13000000000000078</c:v>
                </c:pt>
                <c:pt idx="64">
                  <c:v>-1.5300000000000011</c:v>
                </c:pt>
                <c:pt idx="65">
                  <c:v>-1.25</c:v>
                </c:pt>
                <c:pt idx="66">
                  <c:v>-0.58000000000000007</c:v>
                </c:pt>
                <c:pt idx="67">
                  <c:v>-0.12000000000000099</c:v>
                </c:pt>
                <c:pt idx="68">
                  <c:v>-1.370000000000001</c:v>
                </c:pt>
                <c:pt idx="69">
                  <c:v>-2.120000000000001</c:v>
                </c:pt>
                <c:pt idx="70">
                  <c:v>-0.12000000000000099</c:v>
                </c:pt>
                <c:pt idx="71">
                  <c:v>0.77999999999999758</c:v>
                </c:pt>
                <c:pt idx="72">
                  <c:v>-9.9999999999997868E-3</c:v>
                </c:pt>
                <c:pt idx="73">
                  <c:v>-0.28999999999999915</c:v>
                </c:pt>
                <c:pt idx="74">
                  <c:v>-2.0199999999999996</c:v>
                </c:pt>
                <c:pt idx="75">
                  <c:v>-1.5899999999999999</c:v>
                </c:pt>
                <c:pt idx="76">
                  <c:v>-2.2899999999999991</c:v>
                </c:pt>
                <c:pt idx="77">
                  <c:v>-1.379999999999999</c:v>
                </c:pt>
                <c:pt idx="78">
                  <c:v>-2.0699999999999985</c:v>
                </c:pt>
                <c:pt idx="79">
                  <c:v>-2.0699999999999985</c:v>
                </c:pt>
                <c:pt idx="80">
                  <c:v>-0.62000000000000099</c:v>
                </c:pt>
                <c:pt idx="81">
                  <c:v>-1.6400000000000006</c:v>
                </c:pt>
                <c:pt idx="82">
                  <c:v>-1.0700000000000003</c:v>
                </c:pt>
                <c:pt idx="83">
                  <c:v>-0.19999999999999929</c:v>
                </c:pt>
                <c:pt idx="84">
                  <c:v>-1.9499999999999993</c:v>
                </c:pt>
                <c:pt idx="85">
                  <c:v>-0.50999999999999979</c:v>
                </c:pt>
                <c:pt idx="86">
                  <c:v>-1.6499999999999986</c:v>
                </c:pt>
                <c:pt idx="87">
                  <c:v>-0.19999999999999929</c:v>
                </c:pt>
                <c:pt idx="88">
                  <c:v>-3.0000000000001137E-2</c:v>
                </c:pt>
                <c:pt idx="89">
                  <c:v>-0.53000000000000114</c:v>
                </c:pt>
                <c:pt idx="90">
                  <c:v>-1.7800000000000011</c:v>
                </c:pt>
                <c:pt idx="91">
                  <c:v>-3.5300000000000011</c:v>
                </c:pt>
                <c:pt idx="92">
                  <c:v>-0.53000000000000114</c:v>
                </c:pt>
                <c:pt idx="93">
                  <c:v>-1.7000000000000011</c:v>
                </c:pt>
                <c:pt idx="94">
                  <c:v>-1.8600000000000012</c:v>
                </c:pt>
                <c:pt idx="95">
                  <c:v>-1.1600000000000001</c:v>
                </c:pt>
                <c:pt idx="96">
                  <c:v>-1.1600000000000001</c:v>
                </c:pt>
                <c:pt idx="97">
                  <c:v>-2.0100000000000016</c:v>
                </c:pt>
                <c:pt idx="98">
                  <c:v>-0.51000000000000156</c:v>
                </c:pt>
                <c:pt idx="99">
                  <c:v>-1.2600000000000016</c:v>
                </c:pt>
                <c:pt idx="100">
                  <c:v>-1.5600000000000023</c:v>
                </c:pt>
                <c:pt idx="101">
                  <c:v>-0.61000000000000121</c:v>
                </c:pt>
                <c:pt idx="102">
                  <c:v>-0.42000000000000171</c:v>
                </c:pt>
                <c:pt idx="103">
                  <c:v>-0.72000000000000242</c:v>
                </c:pt>
                <c:pt idx="104">
                  <c:v>-0.17000000000000171</c:v>
                </c:pt>
                <c:pt idx="105">
                  <c:v>-0.42000000000000171</c:v>
                </c:pt>
                <c:pt idx="106">
                  <c:v>-0.92000000000000171</c:v>
                </c:pt>
                <c:pt idx="107">
                  <c:v>8.9999999999999858E-2</c:v>
                </c:pt>
                <c:pt idx="108">
                  <c:v>0.67999999999999972</c:v>
                </c:pt>
                <c:pt idx="109">
                  <c:v>-2.16</c:v>
                </c:pt>
                <c:pt idx="110">
                  <c:v>7.9999999999998295E-2</c:v>
                </c:pt>
                <c:pt idx="111">
                  <c:v>-0.66000000000000014</c:v>
                </c:pt>
                <c:pt idx="112">
                  <c:v>-0.41000000000000014</c:v>
                </c:pt>
                <c:pt idx="113">
                  <c:v>-1.2100000000000009</c:v>
                </c:pt>
                <c:pt idx="114">
                  <c:v>-0.16000000000000014</c:v>
                </c:pt>
                <c:pt idx="115">
                  <c:v>-0.83999999999999986</c:v>
                </c:pt>
                <c:pt idx="116">
                  <c:v>-1.8000000000000007</c:v>
                </c:pt>
                <c:pt idx="117">
                  <c:v>0.30000000000000071</c:v>
                </c:pt>
                <c:pt idx="118">
                  <c:v>-0.92000000000000171</c:v>
                </c:pt>
                <c:pt idx="119">
                  <c:v>-0.67000000000000171</c:v>
                </c:pt>
                <c:pt idx="120">
                  <c:v>-1.9200000000000017</c:v>
                </c:pt>
                <c:pt idx="121">
                  <c:v>-0.42000000000000171</c:v>
                </c:pt>
                <c:pt idx="122">
                  <c:v>-0.22000000000000242</c:v>
                </c:pt>
                <c:pt idx="123">
                  <c:v>-1.8200000000000021</c:v>
                </c:pt>
                <c:pt idx="124">
                  <c:v>-1.7899999999999991</c:v>
                </c:pt>
                <c:pt idx="125">
                  <c:v>-1.4899999999999984</c:v>
                </c:pt>
                <c:pt idx="126">
                  <c:v>-1.9199999999999982</c:v>
                </c:pt>
                <c:pt idx="127">
                  <c:v>-0.68999999999999773</c:v>
                </c:pt>
                <c:pt idx="128">
                  <c:v>-0.57999999999999829</c:v>
                </c:pt>
                <c:pt idx="129">
                  <c:v>-0.14999999999999858</c:v>
                </c:pt>
                <c:pt idx="130">
                  <c:v>-1.8999999999999986</c:v>
                </c:pt>
                <c:pt idx="131">
                  <c:v>-0.39999999999999858</c:v>
                </c:pt>
                <c:pt idx="132">
                  <c:v>-0.57999999999999829</c:v>
                </c:pt>
                <c:pt idx="133">
                  <c:v>0.42000000000000171</c:v>
                </c:pt>
                <c:pt idx="134">
                  <c:v>-7.9999999999998295E-2</c:v>
                </c:pt>
                <c:pt idx="135">
                  <c:v>-0.52999999999999758</c:v>
                </c:pt>
                <c:pt idx="136">
                  <c:v>-0.97999999999999865</c:v>
                </c:pt>
                <c:pt idx="137">
                  <c:v>0.72000000000000242</c:v>
                </c:pt>
                <c:pt idx="138">
                  <c:v>-1.8399999999999999</c:v>
                </c:pt>
                <c:pt idx="139">
                  <c:v>-1.5199999999999996</c:v>
                </c:pt>
                <c:pt idx="140">
                  <c:v>-0.75999999999999979</c:v>
                </c:pt>
                <c:pt idx="141">
                  <c:v>0.16000000000000014</c:v>
                </c:pt>
                <c:pt idx="142">
                  <c:v>0.76999999999999957</c:v>
                </c:pt>
                <c:pt idx="143">
                  <c:v>-0.46000000000000085</c:v>
                </c:pt>
                <c:pt idx="144">
                  <c:v>-0.21000000000000085</c:v>
                </c:pt>
                <c:pt idx="145">
                  <c:v>-0.96000000000000085</c:v>
                </c:pt>
                <c:pt idx="146">
                  <c:v>-0.42000000000000171</c:v>
                </c:pt>
                <c:pt idx="147">
                  <c:v>0.11999999999999922</c:v>
                </c:pt>
                <c:pt idx="148">
                  <c:v>-0.66999999999999993</c:v>
                </c:pt>
                <c:pt idx="149">
                  <c:v>-1.42</c:v>
                </c:pt>
                <c:pt idx="150">
                  <c:v>0.77999999999999936</c:v>
                </c:pt>
                <c:pt idx="151">
                  <c:v>0.58000000000000007</c:v>
                </c:pt>
                <c:pt idx="152">
                  <c:v>-0.41999999999999993</c:v>
                </c:pt>
                <c:pt idx="153">
                  <c:v>-1.1799999999999997</c:v>
                </c:pt>
                <c:pt idx="154">
                  <c:v>-0.91999999999999993</c:v>
                </c:pt>
                <c:pt idx="155">
                  <c:v>0.45000000000000107</c:v>
                </c:pt>
                <c:pt idx="156">
                  <c:v>0.45000000000000107</c:v>
                </c:pt>
                <c:pt idx="157">
                  <c:v>1.5500000000000007</c:v>
                </c:pt>
                <c:pt idx="158">
                  <c:v>-0.69999999999999929</c:v>
                </c:pt>
                <c:pt idx="159">
                  <c:v>0.80000000000000071</c:v>
                </c:pt>
                <c:pt idx="160">
                  <c:v>0.30000000000000071</c:v>
                </c:pt>
                <c:pt idx="161">
                  <c:v>1.0199999999999996</c:v>
                </c:pt>
                <c:pt idx="162">
                  <c:v>0.51999999999999957</c:v>
                </c:pt>
                <c:pt idx="163">
                  <c:v>1.0399999999999991</c:v>
                </c:pt>
                <c:pt idx="164">
                  <c:v>-0.48000000000000043</c:v>
                </c:pt>
                <c:pt idx="165">
                  <c:v>1.120000000000001</c:v>
                </c:pt>
                <c:pt idx="166">
                  <c:v>1.0199999999999996</c:v>
                </c:pt>
                <c:pt idx="167">
                  <c:v>0.66999999999999993</c:v>
                </c:pt>
                <c:pt idx="168">
                  <c:v>0.51999999999999957</c:v>
                </c:pt>
                <c:pt idx="169">
                  <c:v>0.51999999999999957</c:v>
                </c:pt>
                <c:pt idx="170">
                  <c:v>-2</c:v>
                </c:pt>
                <c:pt idx="171">
                  <c:v>0.34999999999999964</c:v>
                </c:pt>
                <c:pt idx="172">
                  <c:v>0.76999999999999957</c:v>
                </c:pt>
                <c:pt idx="173">
                  <c:v>1.0199999999999996</c:v>
                </c:pt>
                <c:pt idx="174">
                  <c:v>1.4199999999999982</c:v>
                </c:pt>
                <c:pt idx="175">
                  <c:v>1.7899999999999991</c:v>
                </c:pt>
                <c:pt idx="176">
                  <c:v>0.53999999999999915</c:v>
                </c:pt>
                <c:pt idx="177">
                  <c:v>1.2399999999999984</c:v>
                </c:pt>
                <c:pt idx="178">
                  <c:v>0.78999999999999915</c:v>
                </c:pt>
                <c:pt idx="179">
                  <c:v>0.78999999999999915</c:v>
                </c:pt>
                <c:pt idx="180">
                  <c:v>1.7899999999999991</c:v>
                </c:pt>
                <c:pt idx="181">
                  <c:v>1.7899999999999991</c:v>
                </c:pt>
                <c:pt idx="182">
                  <c:v>1.4399999999999995</c:v>
                </c:pt>
                <c:pt idx="183">
                  <c:v>1.0399999999999991</c:v>
                </c:pt>
                <c:pt idx="184">
                  <c:v>0.57000000000000028</c:v>
                </c:pt>
                <c:pt idx="185">
                  <c:v>1.5700000000000003</c:v>
                </c:pt>
                <c:pt idx="186">
                  <c:v>1.0700000000000003</c:v>
                </c:pt>
                <c:pt idx="187">
                  <c:v>0.47000000000000064</c:v>
                </c:pt>
                <c:pt idx="188">
                  <c:v>0.57000000000000028</c:v>
                </c:pt>
                <c:pt idx="189">
                  <c:v>1.4599999999999991</c:v>
                </c:pt>
                <c:pt idx="190">
                  <c:v>1.0099999999999998</c:v>
                </c:pt>
                <c:pt idx="191">
                  <c:v>1.7200000000000006</c:v>
                </c:pt>
                <c:pt idx="192">
                  <c:v>0.68000000000000149</c:v>
                </c:pt>
                <c:pt idx="193">
                  <c:v>1.120000000000001</c:v>
                </c:pt>
                <c:pt idx="194">
                  <c:v>0.72000000000000064</c:v>
                </c:pt>
                <c:pt idx="195">
                  <c:v>-1.0299999999999994</c:v>
                </c:pt>
                <c:pt idx="196">
                  <c:v>1.370000000000001</c:v>
                </c:pt>
                <c:pt idx="197">
                  <c:v>1.4700000000000006</c:v>
                </c:pt>
                <c:pt idx="198">
                  <c:v>0.35999999999999943</c:v>
                </c:pt>
                <c:pt idx="199">
                  <c:v>0.85999999999999943</c:v>
                </c:pt>
                <c:pt idx="200">
                  <c:v>0.85999999999999943</c:v>
                </c:pt>
                <c:pt idx="201">
                  <c:v>0.66000000000000014</c:v>
                </c:pt>
                <c:pt idx="202">
                  <c:v>1.0099999999999998</c:v>
                </c:pt>
                <c:pt idx="203">
                  <c:v>2.41</c:v>
                </c:pt>
                <c:pt idx="204">
                  <c:v>1.3100000000000005</c:v>
                </c:pt>
                <c:pt idx="205">
                  <c:v>1.3100000000000005</c:v>
                </c:pt>
                <c:pt idx="206">
                  <c:v>1.5099999999999998</c:v>
                </c:pt>
                <c:pt idx="207">
                  <c:v>2.0099999999999998</c:v>
                </c:pt>
                <c:pt idx="208">
                  <c:v>1.4499999999999993</c:v>
                </c:pt>
                <c:pt idx="209">
                  <c:v>1.3499999999999996</c:v>
                </c:pt>
                <c:pt idx="210">
                  <c:v>1.7300000000000004</c:v>
                </c:pt>
                <c:pt idx="211">
                  <c:v>2.2199999999999989</c:v>
                </c:pt>
                <c:pt idx="212">
                  <c:v>1.1799999999999997</c:v>
                </c:pt>
                <c:pt idx="213">
                  <c:v>1.1799999999999997</c:v>
                </c:pt>
                <c:pt idx="214">
                  <c:v>1.9399999999999995</c:v>
                </c:pt>
                <c:pt idx="215">
                  <c:v>0.92999999999999972</c:v>
                </c:pt>
                <c:pt idx="216">
                  <c:v>0.67999999999999972</c:v>
                </c:pt>
                <c:pt idx="217">
                  <c:v>2.6799999999999997</c:v>
                </c:pt>
                <c:pt idx="218">
                  <c:v>2.5799999999999983</c:v>
                </c:pt>
                <c:pt idx="219">
                  <c:v>1.9499999999999993</c:v>
                </c:pt>
                <c:pt idx="220">
                  <c:v>1.7599999999999998</c:v>
                </c:pt>
                <c:pt idx="221">
                  <c:v>1.3100000000000005</c:v>
                </c:pt>
                <c:pt idx="222">
                  <c:v>1.8900000000000006</c:v>
                </c:pt>
                <c:pt idx="223">
                  <c:v>1.4400000000000013</c:v>
                </c:pt>
                <c:pt idx="224">
                  <c:v>3.0700000000000021</c:v>
                </c:pt>
                <c:pt idx="225">
                  <c:v>3.0700000000000021</c:v>
                </c:pt>
                <c:pt idx="226">
                  <c:v>1.3800000000000008</c:v>
                </c:pt>
                <c:pt idx="227">
                  <c:v>1.25</c:v>
                </c:pt>
                <c:pt idx="228">
                  <c:v>2.6500000000000004</c:v>
                </c:pt>
                <c:pt idx="229">
                  <c:v>2.25</c:v>
                </c:pt>
                <c:pt idx="230">
                  <c:v>1.25</c:v>
                </c:pt>
                <c:pt idx="231">
                  <c:v>2.6199999999999992</c:v>
                </c:pt>
                <c:pt idx="232">
                  <c:v>2.0199999999999996</c:v>
                </c:pt>
                <c:pt idx="233">
                  <c:v>2.3699999999999992</c:v>
                </c:pt>
                <c:pt idx="234">
                  <c:v>1.6199999999999992</c:v>
                </c:pt>
                <c:pt idx="235">
                  <c:v>2.5199999999999996</c:v>
                </c:pt>
                <c:pt idx="236">
                  <c:v>2.1199999999999992</c:v>
                </c:pt>
                <c:pt idx="237">
                  <c:v>2.0099999999999998</c:v>
                </c:pt>
                <c:pt idx="238">
                  <c:v>2.3800000000000008</c:v>
                </c:pt>
                <c:pt idx="239">
                  <c:v>1.0999999999999996</c:v>
                </c:pt>
                <c:pt idx="240">
                  <c:v>2.5999999999999996</c:v>
                </c:pt>
                <c:pt idx="241">
                  <c:v>2.0999999999999996</c:v>
                </c:pt>
                <c:pt idx="242">
                  <c:v>1.7999999999999989</c:v>
                </c:pt>
                <c:pt idx="243">
                  <c:v>2.4299999999999997</c:v>
                </c:pt>
                <c:pt idx="244">
                  <c:v>2.08</c:v>
                </c:pt>
                <c:pt idx="245">
                  <c:v>-0.78000000000000114</c:v>
                </c:pt>
                <c:pt idx="246">
                  <c:v>0.86999999999999922</c:v>
                </c:pt>
                <c:pt idx="247">
                  <c:v>0.26999999999999957</c:v>
                </c:pt>
                <c:pt idx="248">
                  <c:v>1.3699999999999992</c:v>
                </c:pt>
                <c:pt idx="249">
                  <c:v>1.1199999999999992</c:v>
                </c:pt>
                <c:pt idx="250">
                  <c:v>0.23000000000000043</c:v>
                </c:pt>
                <c:pt idx="251">
                  <c:v>-3.9999999999999147E-2</c:v>
                </c:pt>
                <c:pt idx="252">
                  <c:v>-0.21999999999999886</c:v>
                </c:pt>
                <c:pt idx="253">
                  <c:v>-0.33999999999999986</c:v>
                </c:pt>
                <c:pt idx="254">
                  <c:v>-0.10999999999999943</c:v>
                </c:pt>
                <c:pt idx="255">
                  <c:v>0.74000000000000021</c:v>
                </c:pt>
                <c:pt idx="256">
                  <c:v>1.0400000000000009</c:v>
                </c:pt>
                <c:pt idx="257">
                  <c:v>0.74000000000000021</c:v>
                </c:pt>
                <c:pt idx="258">
                  <c:v>1.8200000000000003</c:v>
                </c:pt>
                <c:pt idx="259">
                  <c:v>0.37000000000000099</c:v>
                </c:pt>
                <c:pt idx="260">
                  <c:v>0.32000000000000028</c:v>
                </c:pt>
                <c:pt idx="261">
                  <c:v>1.0700000000000003</c:v>
                </c:pt>
                <c:pt idx="262">
                  <c:v>0.8100000000000005</c:v>
                </c:pt>
                <c:pt idx="263">
                  <c:v>1.3100000000000005</c:v>
                </c:pt>
                <c:pt idx="264">
                  <c:v>2.09</c:v>
                </c:pt>
                <c:pt idx="265">
                  <c:v>1.67</c:v>
                </c:pt>
                <c:pt idx="266">
                  <c:v>1.75</c:v>
                </c:pt>
                <c:pt idx="267">
                  <c:v>1.75</c:v>
                </c:pt>
                <c:pt idx="268">
                  <c:v>2.5</c:v>
                </c:pt>
                <c:pt idx="269">
                  <c:v>2.75</c:v>
                </c:pt>
                <c:pt idx="270">
                  <c:v>1.6799999999999997</c:v>
                </c:pt>
                <c:pt idx="271">
                  <c:v>1.7799999999999994</c:v>
                </c:pt>
                <c:pt idx="272">
                  <c:v>2.0099999999999998</c:v>
                </c:pt>
                <c:pt idx="273">
                  <c:v>1.5099999999999998</c:v>
                </c:pt>
                <c:pt idx="274">
                  <c:v>1.8699999999999992</c:v>
                </c:pt>
                <c:pt idx="275">
                  <c:v>2.5099999999999998</c:v>
                </c:pt>
                <c:pt idx="276">
                  <c:v>2.4700000000000006</c:v>
                </c:pt>
                <c:pt idx="277">
                  <c:v>1.8999999999999986</c:v>
                </c:pt>
                <c:pt idx="278">
                  <c:v>2.16</c:v>
                </c:pt>
                <c:pt idx="279">
                  <c:v>1.6500000000000004</c:v>
                </c:pt>
                <c:pt idx="280">
                  <c:v>1.83</c:v>
                </c:pt>
                <c:pt idx="281">
                  <c:v>2.3599999999999994</c:v>
                </c:pt>
                <c:pt idx="282">
                  <c:v>2.4399999999999995</c:v>
                </c:pt>
                <c:pt idx="283">
                  <c:v>3.16</c:v>
                </c:pt>
                <c:pt idx="284">
                  <c:v>2.3599999999999994</c:v>
                </c:pt>
                <c:pt idx="285">
                  <c:v>2.3599999999999994</c:v>
                </c:pt>
                <c:pt idx="286">
                  <c:v>1.6600000000000001</c:v>
                </c:pt>
                <c:pt idx="287">
                  <c:v>3.1199999999999992</c:v>
                </c:pt>
                <c:pt idx="288">
                  <c:v>0.80999999999999872</c:v>
                </c:pt>
                <c:pt idx="289">
                  <c:v>2.8900000000000006</c:v>
                </c:pt>
                <c:pt idx="290">
                  <c:v>1.2900000000000009</c:v>
                </c:pt>
                <c:pt idx="291">
                  <c:v>-9.9999999999997868E-3</c:v>
                </c:pt>
                <c:pt idx="292">
                  <c:v>2.8900000000000006</c:v>
                </c:pt>
                <c:pt idx="293">
                  <c:v>3.49</c:v>
                </c:pt>
                <c:pt idx="294">
                  <c:v>3.49</c:v>
                </c:pt>
                <c:pt idx="295">
                  <c:v>3.370000000000001</c:v>
                </c:pt>
                <c:pt idx="296">
                  <c:v>2.99</c:v>
                </c:pt>
                <c:pt idx="297">
                  <c:v>2.4900000000000002</c:v>
                </c:pt>
                <c:pt idx="298">
                  <c:v>3.49</c:v>
                </c:pt>
                <c:pt idx="299">
                  <c:v>1.4900000000000002</c:v>
                </c:pt>
                <c:pt idx="300">
                  <c:v>4.1899999999999995</c:v>
                </c:pt>
                <c:pt idx="301">
                  <c:v>3.1999999999999993</c:v>
                </c:pt>
                <c:pt idx="302">
                  <c:v>2.58</c:v>
                </c:pt>
                <c:pt idx="303">
                  <c:v>3.5</c:v>
                </c:pt>
                <c:pt idx="304">
                  <c:v>4.8699999999999992</c:v>
                </c:pt>
                <c:pt idx="305">
                  <c:v>4.7699999999999996</c:v>
                </c:pt>
                <c:pt idx="306">
                  <c:v>3.8699999999999992</c:v>
                </c:pt>
                <c:pt idx="307">
                  <c:v>4.8699999999999992</c:v>
                </c:pt>
                <c:pt idx="308">
                  <c:v>4.42</c:v>
                </c:pt>
                <c:pt idx="309">
                  <c:v>2.3100000000000005</c:v>
                </c:pt>
                <c:pt idx="310">
                  <c:v>3.0299999999999994</c:v>
                </c:pt>
                <c:pt idx="311">
                  <c:v>3.6500000000000004</c:v>
                </c:pt>
                <c:pt idx="312">
                  <c:v>3.8499999999999996</c:v>
                </c:pt>
                <c:pt idx="313">
                  <c:v>3.9500000000000011</c:v>
                </c:pt>
                <c:pt idx="314">
                  <c:v>3.4399999999999995</c:v>
                </c:pt>
                <c:pt idx="315">
                  <c:v>3.5</c:v>
                </c:pt>
                <c:pt idx="316">
                  <c:v>4.25</c:v>
                </c:pt>
                <c:pt idx="317">
                  <c:v>4.5</c:v>
                </c:pt>
                <c:pt idx="318">
                  <c:v>4.2200000000000006</c:v>
                </c:pt>
                <c:pt idx="319">
                  <c:v>3.620000000000001</c:v>
                </c:pt>
                <c:pt idx="320">
                  <c:v>4.5100000000000016</c:v>
                </c:pt>
                <c:pt idx="321">
                  <c:v>4.6100000000000012</c:v>
                </c:pt>
                <c:pt idx="322">
                  <c:v>3.6300000000000008</c:v>
                </c:pt>
                <c:pt idx="323">
                  <c:v>3.0400000000000009</c:v>
                </c:pt>
                <c:pt idx="324">
                  <c:v>3.4800000000000004</c:v>
                </c:pt>
                <c:pt idx="325">
                  <c:v>3.0600000000000005</c:v>
                </c:pt>
                <c:pt idx="326">
                  <c:v>3.1999999999999993</c:v>
                </c:pt>
                <c:pt idx="327">
                  <c:v>3.92</c:v>
                </c:pt>
                <c:pt idx="328">
                  <c:v>4.1500000000000004</c:v>
                </c:pt>
                <c:pt idx="329">
                  <c:v>3.33</c:v>
                </c:pt>
                <c:pt idx="330">
                  <c:v>2.7300000000000004</c:v>
                </c:pt>
                <c:pt idx="331">
                  <c:v>3.0300000000000011</c:v>
                </c:pt>
                <c:pt idx="332">
                  <c:v>2.5600000000000005</c:v>
                </c:pt>
                <c:pt idx="333">
                  <c:v>1.8000000000000007</c:v>
                </c:pt>
                <c:pt idx="334">
                  <c:v>1.42</c:v>
                </c:pt>
                <c:pt idx="335">
                  <c:v>1.5700000000000003</c:v>
                </c:pt>
                <c:pt idx="336">
                  <c:v>1.1400000000000006</c:v>
                </c:pt>
                <c:pt idx="337">
                  <c:v>1.1799999999999997</c:v>
                </c:pt>
                <c:pt idx="338">
                  <c:v>2.4299999999999997</c:v>
                </c:pt>
                <c:pt idx="339">
                  <c:v>2.2100000000000009</c:v>
                </c:pt>
                <c:pt idx="340">
                  <c:v>1.8100000000000005</c:v>
                </c:pt>
                <c:pt idx="341">
                  <c:v>2.2599999999999998</c:v>
                </c:pt>
                <c:pt idx="342">
                  <c:v>1.6600000000000001</c:v>
                </c:pt>
                <c:pt idx="343">
                  <c:v>2.66</c:v>
                </c:pt>
                <c:pt idx="344">
                  <c:v>2.9800000000000004</c:v>
                </c:pt>
                <c:pt idx="345">
                  <c:v>0.93000000000000149</c:v>
                </c:pt>
                <c:pt idx="346">
                  <c:v>0.71000000000000085</c:v>
                </c:pt>
                <c:pt idx="347">
                  <c:v>1.9600000000000009</c:v>
                </c:pt>
                <c:pt idx="348">
                  <c:v>1.2100000000000009</c:v>
                </c:pt>
                <c:pt idx="349">
                  <c:v>1.1899999999999995</c:v>
                </c:pt>
                <c:pt idx="350">
                  <c:v>2.59</c:v>
                </c:pt>
                <c:pt idx="351">
                  <c:v>1.9299999999999997</c:v>
                </c:pt>
                <c:pt idx="352">
                  <c:v>1.7300000000000004</c:v>
                </c:pt>
                <c:pt idx="353">
                  <c:v>1.2300000000000004</c:v>
                </c:pt>
                <c:pt idx="354">
                  <c:v>2.4800000000000004</c:v>
                </c:pt>
                <c:pt idx="355">
                  <c:v>2.08</c:v>
                </c:pt>
                <c:pt idx="356">
                  <c:v>1.9299999999999997</c:v>
                </c:pt>
                <c:pt idx="357">
                  <c:v>2.1300000000000008</c:v>
                </c:pt>
                <c:pt idx="358">
                  <c:v>2.83</c:v>
                </c:pt>
                <c:pt idx="359">
                  <c:v>2.2799999999999994</c:v>
                </c:pt>
                <c:pt idx="360">
                  <c:v>2.33</c:v>
                </c:pt>
                <c:pt idx="361">
                  <c:v>2.0199999999999996</c:v>
                </c:pt>
                <c:pt idx="362">
                  <c:v>2.7699999999999996</c:v>
                </c:pt>
                <c:pt idx="363">
                  <c:v>3.1099999999999994</c:v>
                </c:pt>
                <c:pt idx="364">
                  <c:v>3.01</c:v>
                </c:pt>
                <c:pt idx="365">
                  <c:v>3.6099999999999994</c:v>
                </c:pt>
                <c:pt idx="366">
                  <c:v>2.5499999999999989</c:v>
                </c:pt>
                <c:pt idx="367">
                  <c:v>2.9499999999999993</c:v>
                </c:pt>
                <c:pt idx="368">
                  <c:v>3.3199999999999985</c:v>
                </c:pt>
                <c:pt idx="369">
                  <c:v>2.76</c:v>
                </c:pt>
                <c:pt idx="370">
                  <c:v>3.3100000000000005</c:v>
                </c:pt>
                <c:pt idx="371">
                  <c:v>1.8000000000000007</c:v>
                </c:pt>
                <c:pt idx="372">
                  <c:v>2.84</c:v>
                </c:pt>
                <c:pt idx="373">
                  <c:v>3.24</c:v>
                </c:pt>
                <c:pt idx="374">
                  <c:v>3.49</c:v>
                </c:pt>
                <c:pt idx="375">
                  <c:v>2.83</c:v>
                </c:pt>
                <c:pt idx="376">
                  <c:v>4.0199999999999996</c:v>
                </c:pt>
                <c:pt idx="377">
                  <c:v>3.6199999999999992</c:v>
                </c:pt>
                <c:pt idx="378">
                  <c:v>3.42</c:v>
                </c:pt>
                <c:pt idx="379">
                  <c:v>3.2100000000000009</c:v>
                </c:pt>
                <c:pt idx="380">
                  <c:v>3.7100000000000009</c:v>
                </c:pt>
                <c:pt idx="381">
                  <c:v>3.4800000000000004</c:v>
                </c:pt>
                <c:pt idx="382">
                  <c:v>3.3800000000000008</c:v>
                </c:pt>
                <c:pt idx="383">
                  <c:v>3.3800000000000008</c:v>
                </c:pt>
                <c:pt idx="384">
                  <c:v>3.2800000000000011</c:v>
                </c:pt>
                <c:pt idx="385">
                  <c:v>2.9800000000000004</c:v>
                </c:pt>
                <c:pt idx="386">
                  <c:v>3.4800000000000004</c:v>
                </c:pt>
                <c:pt idx="387">
                  <c:v>3.0700000000000003</c:v>
                </c:pt>
                <c:pt idx="388">
                  <c:v>2.67</c:v>
                </c:pt>
                <c:pt idx="389">
                  <c:v>3.0400000000000009</c:v>
                </c:pt>
                <c:pt idx="390">
                  <c:v>3.24</c:v>
                </c:pt>
                <c:pt idx="391">
                  <c:v>2.4399999999999995</c:v>
                </c:pt>
                <c:pt idx="392">
                  <c:v>2.5999999999999996</c:v>
                </c:pt>
                <c:pt idx="393">
                  <c:v>3.1899999999999995</c:v>
                </c:pt>
                <c:pt idx="394">
                  <c:v>2.8900000000000006</c:v>
                </c:pt>
                <c:pt idx="395">
                  <c:v>3.24</c:v>
                </c:pt>
                <c:pt idx="396">
                  <c:v>2.09</c:v>
                </c:pt>
                <c:pt idx="397">
                  <c:v>1.8899999999999988</c:v>
                </c:pt>
                <c:pt idx="398">
                  <c:v>2.74</c:v>
                </c:pt>
                <c:pt idx="399">
                  <c:v>2.74</c:v>
                </c:pt>
                <c:pt idx="400">
                  <c:v>2.74</c:v>
                </c:pt>
                <c:pt idx="401">
                  <c:v>2.8499999999999996</c:v>
                </c:pt>
                <c:pt idx="402">
                  <c:v>2.5999999999999996</c:v>
                </c:pt>
                <c:pt idx="403">
                  <c:v>3.0999999999999996</c:v>
                </c:pt>
                <c:pt idx="404">
                  <c:v>3.1300000000000008</c:v>
                </c:pt>
                <c:pt idx="405">
                  <c:v>2.4399999999999995</c:v>
                </c:pt>
                <c:pt idx="406">
                  <c:v>2.0399999999999991</c:v>
                </c:pt>
                <c:pt idx="407">
                  <c:v>2.6899999999999995</c:v>
                </c:pt>
                <c:pt idx="408">
                  <c:v>2.6899999999999995</c:v>
                </c:pt>
                <c:pt idx="409">
                  <c:v>3.1899999999999995</c:v>
                </c:pt>
                <c:pt idx="410">
                  <c:v>2.59</c:v>
                </c:pt>
                <c:pt idx="411">
                  <c:v>3.6899999999999995</c:v>
                </c:pt>
                <c:pt idx="412">
                  <c:v>3.09</c:v>
                </c:pt>
                <c:pt idx="413">
                  <c:v>2.59</c:v>
                </c:pt>
                <c:pt idx="414">
                  <c:v>3.5199999999999996</c:v>
                </c:pt>
                <c:pt idx="415">
                  <c:v>1.9699999999999989</c:v>
                </c:pt>
                <c:pt idx="416">
                  <c:v>3.09</c:v>
                </c:pt>
                <c:pt idx="417">
                  <c:v>2.2699999999999996</c:v>
                </c:pt>
                <c:pt idx="418">
                  <c:v>2.2699999999999996</c:v>
                </c:pt>
                <c:pt idx="419">
                  <c:v>2.7200000000000006</c:v>
                </c:pt>
                <c:pt idx="420">
                  <c:v>2.5199999999999996</c:v>
                </c:pt>
                <c:pt idx="421">
                  <c:v>2.6999999999999993</c:v>
                </c:pt>
                <c:pt idx="422">
                  <c:v>3.75</c:v>
                </c:pt>
                <c:pt idx="423">
                  <c:v>1.9900000000000002</c:v>
                </c:pt>
                <c:pt idx="424">
                  <c:v>4.2300000000000004</c:v>
                </c:pt>
                <c:pt idx="425">
                  <c:v>3.58</c:v>
                </c:pt>
                <c:pt idx="426">
                  <c:v>2.8800000000000008</c:v>
                </c:pt>
                <c:pt idx="427">
                  <c:v>2.4800000000000004</c:v>
                </c:pt>
                <c:pt idx="428">
                  <c:v>3.58</c:v>
                </c:pt>
                <c:pt idx="429">
                  <c:v>3.75</c:v>
                </c:pt>
                <c:pt idx="430">
                  <c:v>3.5499999999999989</c:v>
                </c:pt>
                <c:pt idx="431">
                  <c:v>3.0499999999999989</c:v>
                </c:pt>
                <c:pt idx="432">
                  <c:v>3.9399999999999995</c:v>
                </c:pt>
                <c:pt idx="433">
                  <c:v>3.0999999999999996</c:v>
                </c:pt>
                <c:pt idx="434">
                  <c:v>2.92</c:v>
                </c:pt>
                <c:pt idx="435">
                  <c:v>3.5700000000000003</c:v>
                </c:pt>
                <c:pt idx="436">
                  <c:v>3.8200000000000003</c:v>
                </c:pt>
                <c:pt idx="437">
                  <c:v>2.1199999999999992</c:v>
                </c:pt>
                <c:pt idx="438">
                  <c:v>2.41</c:v>
                </c:pt>
                <c:pt idx="439">
                  <c:v>3.8499999999999996</c:v>
                </c:pt>
                <c:pt idx="440">
                  <c:v>3.16</c:v>
                </c:pt>
                <c:pt idx="441">
                  <c:v>3.8100000000000005</c:v>
                </c:pt>
                <c:pt idx="442">
                  <c:v>4.3100000000000005</c:v>
                </c:pt>
                <c:pt idx="443">
                  <c:v>4.34</c:v>
                </c:pt>
                <c:pt idx="444">
                  <c:v>2.99</c:v>
                </c:pt>
                <c:pt idx="445">
                  <c:v>3.4700000000000006</c:v>
                </c:pt>
                <c:pt idx="446">
                  <c:v>2.4700000000000006</c:v>
                </c:pt>
                <c:pt idx="447">
                  <c:v>3.3200000000000003</c:v>
                </c:pt>
                <c:pt idx="448">
                  <c:v>3.2699999999999996</c:v>
                </c:pt>
                <c:pt idx="449">
                  <c:v>3.7699999999999996</c:v>
                </c:pt>
                <c:pt idx="450">
                  <c:v>3.67</c:v>
                </c:pt>
                <c:pt idx="451">
                  <c:v>3.3699999999999992</c:v>
                </c:pt>
                <c:pt idx="452">
                  <c:v>3.3699999999999992</c:v>
                </c:pt>
                <c:pt idx="453">
                  <c:v>3.8499999999999996</c:v>
                </c:pt>
                <c:pt idx="454">
                  <c:v>4.18</c:v>
                </c:pt>
                <c:pt idx="455">
                  <c:v>3.6799999999999997</c:v>
                </c:pt>
                <c:pt idx="456">
                  <c:v>3.8899999999999997</c:v>
                </c:pt>
                <c:pt idx="457">
                  <c:v>4.0199999999999996</c:v>
                </c:pt>
                <c:pt idx="458">
                  <c:v>3.74</c:v>
                </c:pt>
                <c:pt idx="459">
                  <c:v>2.99</c:v>
                </c:pt>
                <c:pt idx="460">
                  <c:v>4.3600000000000003</c:v>
                </c:pt>
                <c:pt idx="461">
                  <c:v>3.9300000000000006</c:v>
                </c:pt>
                <c:pt idx="462">
                  <c:v>3.71</c:v>
                </c:pt>
                <c:pt idx="463">
                  <c:v>3.2300000000000004</c:v>
                </c:pt>
                <c:pt idx="464">
                  <c:v>3.7300000000000004</c:v>
                </c:pt>
                <c:pt idx="465">
                  <c:v>4.33</c:v>
                </c:pt>
                <c:pt idx="466">
                  <c:v>4.2300000000000004</c:v>
                </c:pt>
                <c:pt idx="467">
                  <c:v>3.9299999999999997</c:v>
                </c:pt>
                <c:pt idx="468">
                  <c:v>4.71</c:v>
                </c:pt>
                <c:pt idx="469">
                  <c:v>4.5100000000000007</c:v>
                </c:pt>
                <c:pt idx="470">
                  <c:v>4.46</c:v>
                </c:pt>
                <c:pt idx="471">
                  <c:v>4.21</c:v>
                </c:pt>
                <c:pt idx="472">
                  <c:v>3.1599999999999993</c:v>
                </c:pt>
                <c:pt idx="473">
                  <c:v>3.0599999999999996</c:v>
                </c:pt>
                <c:pt idx="474">
                  <c:v>4.7600000000000007</c:v>
                </c:pt>
                <c:pt idx="475">
                  <c:v>5.47</c:v>
                </c:pt>
                <c:pt idx="476">
                  <c:v>3.9699999999999998</c:v>
                </c:pt>
                <c:pt idx="477">
                  <c:v>3.919999999999999</c:v>
                </c:pt>
                <c:pt idx="478">
                  <c:v>3.3199999999999994</c:v>
                </c:pt>
                <c:pt idx="479">
                  <c:v>4.0200000000000005</c:v>
                </c:pt>
                <c:pt idx="480">
                  <c:v>3.7199999999999998</c:v>
                </c:pt>
                <c:pt idx="481">
                  <c:v>3.7199999999999998</c:v>
                </c:pt>
                <c:pt idx="482">
                  <c:v>3.0600000000000005</c:v>
                </c:pt>
                <c:pt idx="483">
                  <c:v>3.3599999999999994</c:v>
                </c:pt>
                <c:pt idx="484">
                  <c:v>3.79</c:v>
                </c:pt>
                <c:pt idx="485">
                  <c:v>3.17</c:v>
                </c:pt>
                <c:pt idx="486">
                  <c:v>2.17</c:v>
                </c:pt>
                <c:pt idx="487">
                  <c:v>2.3899999999999988</c:v>
                </c:pt>
                <c:pt idx="488">
                  <c:v>3.4599999999999991</c:v>
                </c:pt>
                <c:pt idx="489">
                  <c:v>3.2699999999999996</c:v>
                </c:pt>
                <c:pt idx="490">
                  <c:v>2.1500000000000004</c:v>
                </c:pt>
                <c:pt idx="491">
                  <c:v>2.8499999999999996</c:v>
                </c:pt>
                <c:pt idx="492">
                  <c:v>2.6500000000000004</c:v>
                </c:pt>
                <c:pt idx="493">
                  <c:v>2.9700000000000006</c:v>
                </c:pt>
                <c:pt idx="494">
                  <c:v>2.6099999999999994</c:v>
                </c:pt>
                <c:pt idx="495">
                  <c:v>2.6300000000000008</c:v>
                </c:pt>
                <c:pt idx="496">
                  <c:v>3.6100000000000003</c:v>
                </c:pt>
                <c:pt idx="497">
                  <c:v>2.5600000000000005</c:v>
                </c:pt>
                <c:pt idx="498">
                  <c:v>3.66</c:v>
                </c:pt>
                <c:pt idx="499">
                  <c:v>2.92</c:v>
                </c:pt>
                <c:pt idx="500">
                  <c:v>4.88</c:v>
                </c:pt>
                <c:pt idx="501">
                  <c:v>3.6800000000000006</c:v>
                </c:pt>
                <c:pt idx="502">
                  <c:v>3.4799999999999995</c:v>
                </c:pt>
                <c:pt idx="503">
                  <c:v>3.4300000000000006</c:v>
                </c:pt>
                <c:pt idx="504">
                  <c:v>3.9300000000000006</c:v>
                </c:pt>
                <c:pt idx="505">
                  <c:v>6.13</c:v>
                </c:pt>
                <c:pt idx="506">
                  <c:v>3.830000000000001</c:v>
                </c:pt>
                <c:pt idx="507">
                  <c:v>4.1599999999999993</c:v>
                </c:pt>
                <c:pt idx="508">
                  <c:v>4.0500000000000007</c:v>
                </c:pt>
                <c:pt idx="509">
                  <c:v>4.3899999999999997</c:v>
                </c:pt>
                <c:pt idx="510">
                  <c:v>3.7800000000000011</c:v>
                </c:pt>
                <c:pt idx="511">
                  <c:v>2.7800000000000002</c:v>
                </c:pt>
                <c:pt idx="512">
                  <c:v>3.2800000000000002</c:v>
                </c:pt>
                <c:pt idx="513">
                  <c:v>2.16</c:v>
                </c:pt>
                <c:pt idx="514">
                  <c:v>3.2800000000000011</c:v>
                </c:pt>
                <c:pt idx="515">
                  <c:v>3.5200000000000005</c:v>
                </c:pt>
                <c:pt idx="516">
                  <c:v>3.5200000000000005</c:v>
                </c:pt>
                <c:pt idx="517">
                  <c:v>3.2199999999999998</c:v>
                </c:pt>
                <c:pt idx="518">
                  <c:v>4.1800000000000006</c:v>
                </c:pt>
                <c:pt idx="519">
                  <c:v>4</c:v>
                </c:pt>
                <c:pt idx="520">
                  <c:v>3.7300000000000004</c:v>
                </c:pt>
                <c:pt idx="521">
                  <c:v>3.6799999999999997</c:v>
                </c:pt>
                <c:pt idx="522">
                  <c:v>4.2300000000000004</c:v>
                </c:pt>
                <c:pt idx="523">
                  <c:v>3.4299999999999997</c:v>
                </c:pt>
                <c:pt idx="524">
                  <c:v>4.0300000000000011</c:v>
                </c:pt>
                <c:pt idx="525">
                  <c:v>3.1100000000000003</c:v>
                </c:pt>
                <c:pt idx="526">
                  <c:v>3.8299999999999992</c:v>
                </c:pt>
                <c:pt idx="527">
                  <c:v>4.28</c:v>
                </c:pt>
                <c:pt idx="528">
                  <c:v>3.74</c:v>
                </c:pt>
                <c:pt idx="529">
                  <c:v>5.0399999999999991</c:v>
                </c:pt>
                <c:pt idx="530">
                  <c:v>3.84</c:v>
                </c:pt>
                <c:pt idx="531">
                  <c:v>3.91</c:v>
                </c:pt>
                <c:pt idx="532">
                  <c:v>4.9000000000000004</c:v>
                </c:pt>
                <c:pt idx="533">
                  <c:v>4.0600000000000005</c:v>
                </c:pt>
                <c:pt idx="534">
                  <c:v>4.46</c:v>
                </c:pt>
                <c:pt idx="535">
                  <c:v>5.2399999999999993</c:v>
                </c:pt>
                <c:pt idx="536">
                  <c:v>5.0599999999999996</c:v>
                </c:pt>
                <c:pt idx="537">
                  <c:v>4.1800000000000006</c:v>
                </c:pt>
                <c:pt idx="538">
                  <c:v>3.6800000000000006</c:v>
                </c:pt>
                <c:pt idx="539">
                  <c:v>3.6800000000000006</c:v>
                </c:pt>
                <c:pt idx="540">
                  <c:v>4.04</c:v>
                </c:pt>
                <c:pt idx="541">
                  <c:v>2.3200000000000003</c:v>
                </c:pt>
                <c:pt idx="542">
                  <c:v>2.4399999999999995</c:v>
                </c:pt>
                <c:pt idx="543">
                  <c:v>2.5900000000000016</c:v>
                </c:pt>
                <c:pt idx="544">
                  <c:v>2.25</c:v>
                </c:pt>
                <c:pt idx="545">
                  <c:v>2.5200000000000014</c:v>
                </c:pt>
                <c:pt idx="546">
                  <c:v>2.3600000000000012</c:v>
                </c:pt>
                <c:pt idx="547">
                  <c:v>2.6799999999999997</c:v>
                </c:pt>
                <c:pt idx="548">
                  <c:v>3.8199999999999985</c:v>
                </c:pt>
                <c:pt idx="549">
                  <c:v>2.6199999999999992</c:v>
                </c:pt>
                <c:pt idx="550">
                  <c:v>3.1199999999999992</c:v>
                </c:pt>
                <c:pt idx="551">
                  <c:v>3.0299999999999994</c:v>
                </c:pt>
                <c:pt idx="552">
                  <c:v>4.76</c:v>
                </c:pt>
                <c:pt idx="553">
                  <c:v>3.9599999999999991</c:v>
                </c:pt>
                <c:pt idx="554">
                  <c:v>3.6399999999999997</c:v>
                </c:pt>
                <c:pt idx="555">
                  <c:v>3.51</c:v>
                </c:pt>
                <c:pt idx="556">
                  <c:v>3.08</c:v>
                </c:pt>
                <c:pt idx="557">
                  <c:v>3.29</c:v>
                </c:pt>
                <c:pt idx="558">
                  <c:v>3.17</c:v>
                </c:pt>
                <c:pt idx="559">
                  <c:v>3.17</c:v>
                </c:pt>
                <c:pt idx="560">
                  <c:v>3.26</c:v>
                </c:pt>
                <c:pt idx="561">
                  <c:v>4.7700000000000005</c:v>
                </c:pt>
                <c:pt idx="562">
                  <c:v>3.879999999999999</c:v>
                </c:pt>
                <c:pt idx="563">
                  <c:v>4.9800000000000004</c:v>
                </c:pt>
                <c:pt idx="564">
                  <c:v>3.51</c:v>
                </c:pt>
                <c:pt idx="565">
                  <c:v>5.51</c:v>
                </c:pt>
                <c:pt idx="566">
                  <c:v>4.3100000000000005</c:v>
                </c:pt>
                <c:pt idx="567">
                  <c:v>4.0599999999999996</c:v>
                </c:pt>
                <c:pt idx="568">
                  <c:v>5.2400000000000011</c:v>
                </c:pt>
                <c:pt idx="569">
                  <c:v>2.9000000000000012</c:v>
                </c:pt>
                <c:pt idx="570">
                  <c:v>5.07</c:v>
                </c:pt>
                <c:pt idx="571">
                  <c:v>5.07</c:v>
                </c:pt>
                <c:pt idx="572">
                  <c:v>4.4000000000000004</c:v>
                </c:pt>
                <c:pt idx="573">
                  <c:v>3.9599999999999991</c:v>
                </c:pt>
                <c:pt idx="574">
                  <c:v>4.1300000000000008</c:v>
                </c:pt>
                <c:pt idx="575">
                  <c:v>3.8800000000000008</c:v>
                </c:pt>
                <c:pt idx="576">
                  <c:v>4.17</c:v>
                </c:pt>
                <c:pt idx="577">
                  <c:v>3.6199999999999992</c:v>
                </c:pt>
                <c:pt idx="578">
                  <c:v>4.0199999999999996</c:v>
                </c:pt>
                <c:pt idx="579">
                  <c:v>4.13</c:v>
                </c:pt>
                <c:pt idx="580">
                  <c:v>5.63</c:v>
                </c:pt>
                <c:pt idx="581">
                  <c:v>5.63</c:v>
                </c:pt>
                <c:pt idx="582">
                  <c:v>5.63</c:v>
                </c:pt>
                <c:pt idx="583">
                  <c:v>4.97</c:v>
                </c:pt>
                <c:pt idx="584">
                  <c:v>4.75</c:v>
                </c:pt>
                <c:pt idx="585">
                  <c:v>4.75</c:v>
                </c:pt>
                <c:pt idx="586">
                  <c:v>3.67</c:v>
                </c:pt>
                <c:pt idx="587">
                  <c:v>4.2300000000000004</c:v>
                </c:pt>
                <c:pt idx="588">
                  <c:v>4.2300000000000004</c:v>
                </c:pt>
                <c:pt idx="589">
                  <c:v>4.1300000000000008</c:v>
                </c:pt>
                <c:pt idx="590">
                  <c:v>4.3499999999999996</c:v>
                </c:pt>
                <c:pt idx="591">
                  <c:v>4.2199999999999989</c:v>
                </c:pt>
                <c:pt idx="592">
                  <c:v>5.54</c:v>
                </c:pt>
                <c:pt idx="593">
                  <c:v>5.54</c:v>
                </c:pt>
                <c:pt idx="594">
                  <c:v>4.5100000000000007</c:v>
                </c:pt>
                <c:pt idx="595">
                  <c:v>5.17</c:v>
                </c:pt>
                <c:pt idx="596">
                  <c:v>6.1</c:v>
                </c:pt>
                <c:pt idx="597">
                  <c:v>3.9399999999999995</c:v>
                </c:pt>
                <c:pt idx="598">
                  <c:v>5</c:v>
                </c:pt>
                <c:pt idx="599">
                  <c:v>4.1999999999999993</c:v>
                </c:pt>
                <c:pt idx="600">
                  <c:v>4.2300000000000004</c:v>
                </c:pt>
                <c:pt idx="601">
                  <c:v>3.9299999999999997</c:v>
                </c:pt>
                <c:pt idx="602">
                  <c:v>5.23</c:v>
                </c:pt>
                <c:pt idx="603">
                  <c:v>4.2500000000000009</c:v>
                </c:pt>
                <c:pt idx="604">
                  <c:v>5.12</c:v>
                </c:pt>
                <c:pt idx="605">
                  <c:v>5.12</c:v>
                </c:pt>
                <c:pt idx="606">
                  <c:v>4.3199999999999994</c:v>
                </c:pt>
                <c:pt idx="607">
                  <c:v>5.12</c:v>
                </c:pt>
                <c:pt idx="608">
                  <c:v>5.379999999999999</c:v>
                </c:pt>
                <c:pt idx="609">
                  <c:v>5.379999999999999</c:v>
                </c:pt>
                <c:pt idx="610">
                  <c:v>3.75</c:v>
                </c:pt>
                <c:pt idx="611">
                  <c:v>4.6199999999999992</c:v>
                </c:pt>
                <c:pt idx="612">
                  <c:v>3.5999999999999996</c:v>
                </c:pt>
                <c:pt idx="613">
                  <c:v>3.7100000000000009</c:v>
                </c:pt>
                <c:pt idx="614">
                  <c:v>5.0199999999999996</c:v>
                </c:pt>
                <c:pt idx="615">
                  <c:v>4.6000000000000005</c:v>
                </c:pt>
                <c:pt idx="616">
                  <c:v>5.1000000000000005</c:v>
                </c:pt>
                <c:pt idx="617">
                  <c:v>4.9900000000000011</c:v>
                </c:pt>
                <c:pt idx="618">
                  <c:v>4.5900000000000007</c:v>
                </c:pt>
                <c:pt idx="619">
                  <c:v>4.5999999999999996</c:v>
                </c:pt>
                <c:pt idx="620">
                  <c:v>4.0999999999999996</c:v>
                </c:pt>
                <c:pt idx="621">
                  <c:v>3.5399999999999991</c:v>
                </c:pt>
                <c:pt idx="622">
                  <c:v>4.1000000000000005</c:v>
                </c:pt>
                <c:pt idx="623">
                  <c:v>3.4600000000000009</c:v>
                </c:pt>
                <c:pt idx="624">
                  <c:v>3.8899999999999997</c:v>
                </c:pt>
                <c:pt idx="625">
                  <c:v>3.8899999999999997</c:v>
                </c:pt>
                <c:pt idx="626">
                  <c:v>4.6900000000000004</c:v>
                </c:pt>
                <c:pt idx="627">
                  <c:v>3.13</c:v>
                </c:pt>
                <c:pt idx="628">
                  <c:v>4.78</c:v>
                </c:pt>
                <c:pt idx="629">
                  <c:v>4.59</c:v>
                </c:pt>
                <c:pt idx="630">
                  <c:v>4.59</c:v>
                </c:pt>
                <c:pt idx="631">
                  <c:v>4.0299999999999994</c:v>
                </c:pt>
                <c:pt idx="632">
                  <c:v>3.83</c:v>
                </c:pt>
                <c:pt idx="633">
                  <c:v>3.7300000000000004</c:v>
                </c:pt>
                <c:pt idx="634">
                  <c:v>4.3299999999999992</c:v>
                </c:pt>
                <c:pt idx="635">
                  <c:v>4.3099999999999996</c:v>
                </c:pt>
                <c:pt idx="636">
                  <c:v>4.3099999999999996</c:v>
                </c:pt>
                <c:pt idx="637">
                  <c:v>4.3099999999999996</c:v>
                </c:pt>
                <c:pt idx="638">
                  <c:v>2.9400000000000004</c:v>
                </c:pt>
                <c:pt idx="639">
                  <c:v>2.4000000000000004</c:v>
                </c:pt>
                <c:pt idx="640">
                  <c:v>3.5100000000000007</c:v>
                </c:pt>
                <c:pt idx="641">
                  <c:v>3.87</c:v>
                </c:pt>
                <c:pt idx="642">
                  <c:v>4.33</c:v>
                </c:pt>
                <c:pt idx="643">
                  <c:v>3.0599999999999987</c:v>
                </c:pt>
                <c:pt idx="644">
                  <c:v>3.51</c:v>
                </c:pt>
                <c:pt idx="645">
                  <c:v>3.7200000000000006</c:v>
                </c:pt>
                <c:pt idx="646">
                  <c:v>2.8200000000000003</c:v>
                </c:pt>
                <c:pt idx="647">
                  <c:v>3.0599999999999996</c:v>
                </c:pt>
                <c:pt idx="648">
                  <c:v>4.62</c:v>
                </c:pt>
                <c:pt idx="649">
                  <c:v>4.62</c:v>
                </c:pt>
                <c:pt idx="650">
                  <c:v>4.419999999999999</c:v>
                </c:pt>
                <c:pt idx="651">
                  <c:v>3.8999999999999995</c:v>
                </c:pt>
                <c:pt idx="652">
                  <c:v>4.8600000000000003</c:v>
                </c:pt>
                <c:pt idx="653">
                  <c:v>4.7600000000000007</c:v>
                </c:pt>
                <c:pt idx="654">
                  <c:v>4.7600000000000007</c:v>
                </c:pt>
                <c:pt idx="655">
                  <c:v>4.7600000000000007</c:v>
                </c:pt>
                <c:pt idx="656">
                  <c:v>4.5599999999999996</c:v>
                </c:pt>
                <c:pt idx="657">
                  <c:v>4.6000000000000005</c:v>
                </c:pt>
                <c:pt idx="658">
                  <c:v>4.54</c:v>
                </c:pt>
                <c:pt idx="659">
                  <c:v>4.4400000000000004</c:v>
                </c:pt>
                <c:pt idx="660">
                  <c:v>4.6100000000000003</c:v>
                </c:pt>
                <c:pt idx="661">
                  <c:v>4.21</c:v>
                </c:pt>
                <c:pt idx="662">
                  <c:v>4.7300000000000004</c:v>
                </c:pt>
                <c:pt idx="663">
                  <c:v>3.83</c:v>
                </c:pt>
                <c:pt idx="664">
                  <c:v>4.2600000000000007</c:v>
                </c:pt>
                <c:pt idx="665">
                  <c:v>4.8299999999999992</c:v>
                </c:pt>
                <c:pt idx="666">
                  <c:v>3.63</c:v>
                </c:pt>
                <c:pt idx="667">
                  <c:v>4.2299999999999995</c:v>
                </c:pt>
                <c:pt idx="668">
                  <c:v>3.5600000000000005</c:v>
                </c:pt>
                <c:pt idx="669">
                  <c:v>3.5600000000000005</c:v>
                </c:pt>
                <c:pt idx="670">
                  <c:v>3.3499999999999996</c:v>
                </c:pt>
                <c:pt idx="671">
                  <c:v>4.7400000000000011</c:v>
                </c:pt>
                <c:pt idx="672">
                  <c:v>4.2400000000000011</c:v>
                </c:pt>
                <c:pt idx="673">
                  <c:v>5.19</c:v>
                </c:pt>
                <c:pt idx="674">
                  <c:v>4.84</c:v>
                </c:pt>
                <c:pt idx="675">
                  <c:v>5.3900000000000006</c:v>
                </c:pt>
                <c:pt idx="676">
                  <c:v>4.74</c:v>
                </c:pt>
                <c:pt idx="677">
                  <c:v>4.74</c:v>
                </c:pt>
                <c:pt idx="678">
                  <c:v>5.74</c:v>
                </c:pt>
                <c:pt idx="679">
                  <c:v>4.99</c:v>
                </c:pt>
                <c:pt idx="680">
                  <c:v>4.4600000000000009</c:v>
                </c:pt>
                <c:pt idx="681">
                  <c:v>5.23</c:v>
                </c:pt>
                <c:pt idx="682">
                  <c:v>4.7299999999999995</c:v>
                </c:pt>
                <c:pt idx="683">
                  <c:v>4.55</c:v>
                </c:pt>
                <c:pt idx="684">
                  <c:v>4.9300000000000006</c:v>
                </c:pt>
                <c:pt idx="685">
                  <c:v>4.9300000000000006</c:v>
                </c:pt>
                <c:pt idx="686">
                  <c:v>3.7699999999999996</c:v>
                </c:pt>
                <c:pt idx="687">
                  <c:v>3.51</c:v>
                </c:pt>
                <c:pt idx="688">
                  <c:v>3.9399999999999995</c:v>
                </c:pt>
                <c:pt idx="689">
                  <c:v>5.1199999999999992</c:v>
                </c:pt>
                <c:pt idx="690">
                  <c:v>6.15</c:v>
                </c:pt>
                <c:pt idx="691">
                  <c:v>5.1999999999999993</c:v>
                </c:pt>
                <c:pt idx="692">
                  <c:v>5.1999999999999993</c:v>
                </c:pt>
                <c:pt idx="693">
                  <c:v>4.8100000000000005</c:v>
                </c:pt>
                <c:pt idx="694">
                  <c:v>5.27</c:v>
                </c:pt>
                <c:pt idx="695">
                  <c:v>5.32</c:v>
                </c:pt>
                <c:pt idx="696">
                  <c:v>5.1999999999999993</c:v>
                </c:pt>
                <c:pt idx="697">
                  <c:v>5.2999999999999989</c:v>
                </c:pt>
                <c:pt idx="698">
                  <c:v>6.2</c:v>
                </c:pt>
                <c:pt idx="699">
                  <c:v>5.48</c:v>
                </c:pt>
                <c:pt idx="700">
                  <c:v>5.98</c:v>
                </c:pt>
                <c:pt idx="701">
                  <c:v>5.8800000000000008</c:v>
                </c:pt>
                <c:pt idx="702">
                  <c:v>5.2800000000000011</c:v>
                </c:pt>
                <c:pt idx="703">
                  <c:v>5.43</c:v>
                </c:pt>
                <c:pt idx="704">
                  <c:v>6.2800000000000011</c:v>
                </c:pt>
                <c:pt idx="705">
                  <c:v>6.59</c:v>
                </c:pt>
                <c:pt idx="706">
                  <c:v>6.49</c:v>
                </c:pt>
                <c:pt idx="707">
                  <c:v>6.59</c:v>
                </c:pt>
                <c:pt idx="708">
                  <c:v>6.5600000000000005</c:v>
                </c:pt>
                <c:pt idx="709">
                  <c:v>6.4600000000000009</c:v>
                </c:pt>
                <c:pt idx="710">
                  <c:v>6.26</c:v>
                </c:pt>
                <c:pt idx="711">
                  <c:v>5.4499999999999993</c:v>
                </c:pt>
                <c:pt idx="712">
                  <c:v>5.05</c:v>
                </c:pt>
                <c:pt idx="713">
                  <c:v>5.1099999999999994</c:v>
                </c:pt>
                <c:pt idx="714">
                  <c:v>5.1099999999999994</c:v>
                </c:pt>
                <c:pt idx="715">
                  <c:v>4.8699999999999992</c:v>
                </c:pt>
                <c:pt idx="716">
                  <c:v>5.3999999999999995</c:v>
                </c:pt>
                <c:pt idx="717">
                  <c:v>4.8</c:v>
                </c:pt>
                <c:pt idx="718">
                  <c:v>5.4999999999999991</c:v>
                </c:pt>
                <c:pt idx="719">
                  <c:v>4.8999999999999995</c:v>
                </c:pt>
                <c:pt idx="720">
                  <c:v>4.9600000000000009</c:v>
                </c:pt>
                <c:pt idx="721">
                  <c:v>4.3100000000000005</c:v>
                </c:pt>
                <c:pt idx="722">
                  <c:v>4.9500000000000011</c:v>
                </c:pt>
                <c:pt idx="723">
                  <c:v>4.37</c:v>
                </c:pt>
                <c:pt idx="724">
                  <c:v>5.22</c:v>
                </c:pt>
                <c:pt idx="725">
                  <c:v>4.9200000000000008</c:v>
                </c:pt>
                <c:pt idx="726">
                  <c:v>5.2900000000000009</c:v>
                </c:pt>
                <c:pt idx="727">
                  <c:v>5.08</c:v>
                </c:pt>
                <c:pt idx="728">
                  <c:v>5.99</c:v>
                </c:pt>
                <c:pt idx="729">
                  <c:v>5.6899999999999995</c:v>
                </c:pt>
                <c:pt idx="730">
                  <c:v>5.6899999999999995</c:v>
                </c:pt>
                <c:pt idx="731">
                  <c:v>5.6899999999999995</c:v>
                </c:pt>
                <c:pt idx="732">
                  <c:v>5.22</c:v>
                </c:pt>
                <c:pt idx="733">
                  <c:v>6.5600000000000005</c:v>
                </c:pt>
                <c:pt idx="734">
                  <c:v>5.9599999999999991</c:v>
                </c:pt>
                <c:pt idx="735">
                  <c:v>6.0600000000000005</c:v>
                </c:pt>
                <c:pt idx="736">
                  <c:v>5.9599999999999991</c:v>
                </c:pt>
                <c:pt idx="737">
                  <c:v>6.14</c:v>
                </c:pt>
                <c:pt idx="738">
                  <c:v>5.1000000000000005</c:v>
                </c:pt>
                <c:pt idx="739">
                  <c:v>5.1000000000000005</c:v>
                </c:pt>
                <c:pt idx="740">
                  <c:v>5.410000000000001</c:v>
                </c:pt>
                <c:pt idx="741">
                  <c:v>5.71</c:v>
                </c:pt>
                <c:pt idx="742">
                  <c:v>5.71</c:v>
                </c:pt>
                <c:pt idx="743">
                  <c:v>5.23</c:v>
                </c:pt>
                <c:pt idx="744">
                  <c:v>5.1300000000000008</c:v>
                </c:pt>
                <c:pt idx="745">
                  <c:v>5.6400000000000006</c:v>
                </c:pt>
                <c:pt idx="746">
                  <c:v>5.33</c:v>
                </c:pt>
                <c:pt idx="747">
                  <c:v>5.65</c:v>
                </c:pt>
                <c:pt idx="748">
                  <c:v>5.91</c:v>
                </c:pt>
                <c:pt idx="749">
                  <c:v>5.52</c:v>
                </c:pt>
                <c:pt idx="750">
                  <c:v>6.1400000000000006</c:v>
                </c:pt>
                <c:pt idx="751">
                  <c:v>6.33</c:v>
                </c:pt>
                <c:pt idx="752">
                  <c:v>5.1100000000000003</c:v>
                </c:pt>
                <c:pt idx="753">
                  <c:v>4.4699999999999989</c:v>
                </c:pt>
                <c:pt idx="754">
                  <c:v>5.27</c:v>
                </c:pt>
                <c:pt idx="755">
                  <c:v>6.16</c:v>
                </c:pt>
                <c:pt idx="756">
                  <c:v>8.0200000000000014</c:v>
                </c:pt>
                <c:pt idx="757">
                  <c:v>5.8900000000000006</c:v>
                </c:pt>
                <c:pt idx="758">
                  <c:v>6.0100000000000007</c:v>
                </c:pt>
                <c:pt idx="759">
                  <c:v>5.9400000000000013</c:v>
                </c:pt>
                <c:pt idx="760">
                  <c:v>5.9400000000000013</c:v>
                </c:pt>
                <c:pt idx="761">
                  <c:v>5.6400000000000006</c:v>
                </c:pt>
                <c:pt idx="762">
                  <c:v>5.37</c:v>
                </c:pt>
                <c:pt idx="763">
                  <c:v>5.1700000000000008</c:v>
                </c:pt>
                <c:pt idx="764">
                  <c:v>5.5699999999999994</c:v>
                </c:pt>
                <c:pt idx="765">
                  <c:v>5.73</c:v>
                </c:pt>
                <c:pt idx="766">
                  <c:v>5.24</c:v>
                </c:pt>
                <c:pt idx="767">
                  <c:v>5.24</c:v>
                </c:pt>
                <c:pt idx="768">
                  <c:v>5.5400000000000009</c:v>
                </c:pt>
                <c:pt idx="769">
                  <c:v>5.379999999999999</c:v>
                </c:pt>
                <c:pt idx="770">
                  <c:v>5.2499999999999991</c:v>
                </c:pt>
                <c:pt idx="771">
                  <c:v>4.83</c:v>
                </c:pt>
                <c:pt idx="772">
                  <c:v>4.7300000000000004</c:v>
                </c:pt>
                <c:pt idx="773">
                  <c:v>4.7300000000000004</c:v>
                </c:pt>
                <c:pt idx="774">
                  <c:v>5.2800000000000011</c:v>
                </c:pt>
                <c:pt idx="775">
                  <c:v>5.49</c:v>
                </c:pt>
                <c:pt idx="776">
                  <c:v>6.61</c:v>
                </c:pt>
                <c:pt idx="777">
                  <c:v>6.44</c:v>
                </c:pt>
                <c:pt idx="778">
                  <c:v>5.9799999999999995</c:v>
                </c:pt>
                <c:pt idx="779">
                  <c:v>6.18</c:v>
                </c:pt>
                <c:pt idx="780">
                  <c:v>6.83</c:v>
                </c:pt>
                <c:pt idx="781">
                  <c:v>6.7799999999999994</c:v>
                </c:pt>
                <c:pt idx="782">
                  <c:v>6.6300000000000008</c:v>
                </c:pt>
                <c:pt idx="783">
                  <c:v>5.7799999999999994</c:v>
                </c:pt>
                <c:pt idx="784">
                  <c:v>6.0399999999999991</c:v>
                </c:pt>
                <c:pt idx="785">
                  <c:v>5.81</c:v>
                </c:pt>
                <c:pt idx="786">
                  <c:v>6.21</c:v>
                </c:pt>
                <c:pt idx="787">
                  <c:v>6.370000000000001</c:v>
                </c:pt>
                <c:pt idx="788">
                  <c:v>6.01</c:v>
                </c:pt>
                <c:pt idx="789">
                  <c:v>6.26</c:v>
                </c:pt>
                <c:pt idx="790">
                  <c:v>6.52</c:v>
                </c:pt>
                <c:pt idx="791">
                  <c:v>6.52</c:v>
                </c:pt>
                <c:pt idx="792">
                  <c:v>7.0600000000000005</c:v>
                </c:pt>
                <c:pt idx="793">
                  <c:v>6.1499999999999995</c:v>
                </c:pt>
                <c:pt idx="794">
                  <c:v>6.8000000000000007</c:v>
                </c:pt>
                <c:pt idx="795">
                  <c:v>7.15</c:v>
                </c:pt>
                <c:pt idx="796">
                  <c:v>6.82</c:v>
                </c:pt>
                <c:pt idx="797">
                  <c:v>6.9499999999999993</c:v>
                </c:pt>
                <c:pt idx="798">
                  <c:v>6.6099999999999994</c:v>
                </c:pt>
                <c:pt idx="799">
                  <c:v>6.1000000000000005</c:v>
                </c:pt>
                <c:pt idx="800">
                  <c:v>5.5000000000000009</c:v>
                </c:pt>
                <c:pt idx="801">
                  <c:v>6.91</c:v>
                </c:pt>
                <c:pt idx="802">
                  <c:v>6.379999999999999</c:v>
                </c:pt>
                <c:pt idx="803">
                  <c:v>6.72</c:v>
                </c:pt>
                <c:pt idx="804">
                  <c:v>6.7499999999999991</c:v>
                </c:pt>
                <c:pt idx="805">
                  <c:v>6.4099999999999993</c:v>
                </c:pt>
                <c:pt idx="806">
                  <c:v>6.66</c:v>
                </c:pt>
                <c:pt idx="807">
                  <c:v>6.5600000000000005</c:v>
                </c:pt>
                <c:pt idx="808">
                  <c:v>6.8100000000000005</c:v>
                </c:pt>
                <c:pt idx="809">
                  <c:v>4.91</c:v>
                </c:pt>
                <c:pt idx="810">
                  <c:v>4.84</c:v>
                </c:pt>
                <c:pt idx="811">
                  <c:v>3.919999999999999</c:v>
                </c:pt>
                <c:pt idx="812">
                  <c:v>4.919999999999999</c:v>
                </c:pt>
                <c:pt idx="813">
                  <c:v>4.0500000000000007</c:v>
                </c:pt>
                <c:pt idx="814">
                  <c:v>4.0500000000000007</c:v>
                </c:pt>
                <c:pt idx="815">
                  <c:v>3.8499999999999996</c:v>
                </c:pt>
                <c:pt idx="816">
                  <c:v>4.0500000000000007</c:v>
                </c:pt>
                <c:pt idx="817">
                  <c:v>4.0500000000000007</c:v>
                </c:pt>
              </c:numCache>
            </c:numRef>
          </c:yVal>
          <c:smooth val="0"/>
          <c:extLst>
            <c:ext xmlns:c16="http://schemas.microsoft.com/office/drawing/2014/chart" uri="{C3380CC4-5D6E-409C-BE32-E72D297353CC}">
              <c16:uniqueId val="{00000001-A44A-42DE-AA41-AFBBB853864F}"/>
            </c:ext>
          </c:extLst>
        </c:ser>
        <c:dLbls>
          <c:showLegendKey val="0"/>
          <c:showVal val="0"/>
          <c:showCatName val="0"/>
          <c:showSerName val="0"/>
          <c:showPercent val="0"/>
          <c:showBubbleSize val="0"/>
        </c:dLbls>
        <c:axId val="714141496"/>
        <c:axId val="714144632"/>
      </c:scatterChart>
      <c:valAx>
        <c:axId val="714141496"/>
        <c:scaling>
          <c:orientation val="minMax"/>
          <c:min val="3"/>
        </c:scaling>
        <c:delete val="0"/>
        <c:axPos val="b"/>
        <c:title>
          <c:tx>
            <c:rich>
              <a:bodyPr/>
              <a:lstStyle/>
              <a:p>
                <a:pPr>
                  <a:defRPr/>
                </a:pPr>
                <a:r>
                  <a:rPr lang="en-US"/>
                  <a:t>A2 Rated Moody's Bond Yield (%)</a:t>
                </a:r>
              </a:p>
            </c:rich>
          </c:tx>
          <c:overlay val="0"/>
        </c:title>
        <c:numFmt formatCode="#,##0.00" sourceLinked="0"/>
        <c:majorTickMark val="out"/>
        <c:minorTickMark val="none"/>
        <c:tickLblPos val="nextTo"/>
        <c:crossAx val="714144632"/>
        <c:crosses val="autoZero"/>
        <c:crossBetween val="midCat"/>
        <c:majorUnit val="3"/>
      </c:valAx>
      <c:valAx>
        <c:axId val="714144632"/>
        <c:scaling>
          <c:orientation val="minMax"/>
          <c:min val="-4"/>
        </c:scaling>
        <c:delete val="0"/>
        <c:axPos val="l"/>
        <c:title>
          <c:tx>
            <c:rich>
              <a:bodyPr/>
              <a:lstStyle/>
              <a:p>
                <a:pPr>
                  <a:defRPr/>
                </a:pPr>
                <a:r>
                  <a:rPr lang="en-US"/>
                  <a:t>Equity Risk Premium (%)</a:t>
                </a:r>
              </a:p>
            </c:rich>
          </c:tx>
          <c:overlay val="0"/>
        </c:title>
        <c:numFmt formatCode="_(* #,##0.00_);_(* \(#,##0.00\);_(* &quot;-&quot;??_);_(@_)" sourceLinked="1"/>
        <c:majorTickMark val="out"/>
        <c:minorTickMark val="none"/>
        <c:tickLblPos val="nextTo"/>
        <c:crossAx val="714141496"/>
        <c:crosses val="autoZero"/>
        <c:crossBetween val="midCat"/>
      </c:valAx>
    </c:plotArea>
    <c:plotVisOnly val="1"/>
    <c:dispBlanksAs val="gap"/>
    <c:showDLblsOverMax val="0"/>
  </c:chart>
  <c:spPr>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Lit>
              <c:formatCode>General</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Lit>
          </c:xVal>
          <c:yVal>
            <c:numLit>
              <c:formatCode>General</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Lit>
          </c:yVal>
          <c:smooth val="0"/>
          <c:extLst>
            <c:ext xmlns:c16="http://schemas.microsoft.com/office/drawing/2014/chart" uri="{C3380CC4-5D6E-409C-BE32-E72D297353CC}">
              <c16:uniqueId val="{00000001-FF59-43B8-AE61-B4298EC7991F}"/>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1"/>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Lit>
              <c:formatCode>General</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Lit>
          </c:xVal>
          <c:yVal>
            <c:numLit>
              <c:formatCode>General</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Lit>
          </c:yVal>
          <c:smooth val="0"/>
          <c:extLst>
            <c:ext xmlns:c16="http://schemas.microsoft.com/office/drawing/2014/chart" uri="{C3380CC4-5D6E-409C-BE32-E72D297353CC}">
              <c16:uniqueId val="{00000001-0434-49AC-A148-0B683FF84611}"/>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1"/>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WP'!$N$40:$N$1156</c:f>
              <c:numCache>
                <c:formatCode>0.00%</c:formatCode>
                <c:ptCount val="1117"/>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pt idx="1081">
                  <c:v>4.0349999999999997E-2</c:v>
                </c:pt>
                <c:pt idx="1082">
                  <c:v>3.8900000000000004E-2</c:v>
                </c:pt>
                <c:pt idx="1083">
                  <c:v>3.8900000000000004E-2</c:v>
                </c:pt>
                <c:pt idx="1084">
                  <c:v>3.7699999999999997E-2</c:v>
                </c:pt>
                <c:pt idx="1085">
                  <c:v>3.7349999999999994E-2</c:v>
                </c:pt>
                <c:pt idx="1086">
                  <c:v>3.7349999999999994E-2</c:v>
                </c:pt>
                <c:pt idx="1087">
                  <c:v>3.3750000000000002E-2</c:v>
                </c:pt>
                <c:pt idx="1088">
                  <c:v>3.3750000000000002E-2</c:v>
                </c:pt>
                <c:pt idx="1089">
                  <c:v>3.0300000000000001E-2</c:v>
                </c:pt>
                <c:pt idx="1090">
                  <c:v>3.0800000000000001E-2</c:v>
                </c:pt>
                <c:pt idx="1091">
                  <c:v>3.1199999999999999E-2</c:v>
                </c:pt>
                <c:pt idx="1092">
                  <c:v>3.0599999999999995E-2</c:v>
                </c:pt>
                <c:pt idx="1093">
                  <c:v>2.9750000000000002E-2</c:v>
                </c:pt>
                <c:pt idx="1094">
                  <c:v>2.8150000000000001E-2</c:v>
                </c:pt>
                <c:pt idx="1095">
                  <c:v>3.0500000000000003E-2</c:v>
                </c:pt>
                <c:pt idx="1096">
                  <c:v>2.5899999999999999E-2</c:v>
                </c:pt>
                <c:pt idx="1097">
                  <c:v>2.6049999999999997E-2</c:v>
                </c:pt>
                <c:pt idx="1098">
                  <c:v>2.52E-2</c:v>
                </c:pt>
                <c:pt idx="1099">
                  <c:v>2.23E-2</c:v>
                </c:pt>
                <c:pt idx="1100">
                  <c:v>2.3100000000000002E-2</c:v>
                </c:pt>
                <c:pt idx="1101">
                  <c:v>2.3900000000000001E-2</c:v>
                </c:pt>
                <c:pt idx="1102">
                  <c:v>2.4499999999999997E-2</c:v>
                </c:pt>
                <c:pt idx="1103">
                  <c:v>2.3849999999999996E-2</c:v>
                </c:pt>
                <c:pt idx="1104">
                  <c:v>2.35E-2</c:v>
                </c:pt>
                <c:pt idx="1105">
                  <c:v>2.5300000000000003E-2</c:v>
                </c:pt>
                <c:pt idx="1106">
                  <c:v>2.7650000000000004E-2</c:v>
                </c:pt>
                <c:pt idx="1107">
                  <c:v>3.1050000000000005E-2</c:v>
                </c:pt>
                <c:pt idx="1108">
                  <c:v>2.9650000000000003E-2</c:v>
                </c:pt>
                <c:pt idx="1109">
                  <c:v>3.015E-2</c:v>
                </c:pt>
                <c:pt idx="1110">
                  <c:v>2.8500000000000004E-2</c:v>
                </c:pt>
                <c:pt idx="1111">
                  <c:v>2.6399999999999996E-2</c:v>
                </c:pt>
                <c:pt idx="1112">
                  <c:v>2.64E-2</c:v>
                </c:pt>
                <c:pt idx="1113">
                  <c:v>2.6299999999999997E-2</c:v>
                </c:pt>
                <c:pt idx="1114">
                  <c:v>2.7699999999999999E-2</c:v>
                </c:pt>
                <c:pt idx="1115">
                  <c:v>2.6949999999999998E-2</c:v>
                </c:pt>
                <c:pt idx="1116">
                  <c:v>2.7049999999999998E-2</c:v>
                </c:pt>
              </c:numCache>
            </c:numRef>
          </c:xVal>
          <c:yVal>
            <c:numRef>
              <c:f>'MRP ERP WP'!$P$40:$P$1156</c:f>
              <c:numCache>
                <c:formatCode>0.00%</c:formatCode>
                <c:ptCount val="1117"/>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pt idx="1081">
                  <c:v>-6.356983975284336E-2</c:v>
                </c:pt>
                <c:pt idx="1082">
                  <c:v>7.8602568695775171E-3</c:v>
                </c:pt>
                <c:pt idx="1083">
                  <c:v>5.5977288993276739E-2</c:v>
                </c:pt>
                <c:pt idx="1084">
                  <c:v>9.7207171944116613E-2</c:v>
                </c:pt>
                <c:pt idx="1085">
                  <c:v>4.7889027015446395E-4</c:v>
                </c:pt>
                <c:pt idx="1086">
                  <c:v>6.6800096436295142E-2</c:v>
                </c:pt>
                <c:pt idx="1087">
                  <c:v>4.6128382014055391E-2</c:v>
                </c:pt>
                <c:pt idx="1088">
                  <c:v>-4.4876490623347309E-3</c:v>
                </c:pt>
                <c:pt idx="1089">
                  <c:v>1.2266925425275625E-2</c:v>
                </c:pt>
                <c:pt idx="1090">
                  <c:v>0.1125991280667708</c:v>
                </c:pt>
                <c:pt idx="1091">
                  <c:v>0.13001571581300941</c:v>
                </c:pt>
                <c:pt idx="1092">
                  <c:v>0.28443180216616731</c:v>
                </c:pt>
                <c:pt idx="1093">
                  <c:v>0.18727230297685499</c:v>
                </c:pt>
                <c:pt idx="1094">
                  <c:v>5.3975150122913658E-2</c:v>
                </c:pt>
                <c:pt idx="1095">
                  <c:v>-0.10006769267928764</c:v>
                </c:pt>
                <c:pt idx="1096">
                  <c:v>-1.7044902336157595E-2</c:v>
                </c:pt>
                <c:pt idx="1097">
                  <c:v>0.1024888150695579</c:v>
                </c:pt>
                <c:pt idx="1098">
                  <c:v>4.9995457720170333E-2</c:v>
                </c:pt>
                <c:pt idx="1099">
                  <c:v>9.7412619810319331E-2</c:v>
                </c:pt>
                <c:pt idx="1100">
                  <c:v>0.19638786544877218</c:v>
                </c:pt>
                <c:pt idx="1101">
                  <c:v>0.12771217881782529</c:v>
                </c:pt>
                <c:pt idx="1102">
                  <c:v>7.2670690869405002E-2</c:v>
                </c:pt>
                <c:pt idx="1103">
                  <c:v>0.150820347891156</c:v>
                </c:pt>
                <c:pt idx="1104">
                  <c:v>0.16052027688815404</c:v>
                </c:pt>
                <c:pt idx="1105">
                  <c:v>0.14723068436532982</c:v>
                </c:pt>
                <c:pt idx="1106">
                  <c:v>0.28529816525423718</c:v>
                </c:pt>
                <c:pt idx="1107">
                  <c:v>0.53250424403008889</c:v>
                </c:pt>
                <c:pt idx="1108">
                  <c:v>0.43024012645035853</c:v>
                </c:pt>
                <c:pt idx="1109">
                  <c:v>0.37316171948788768</c:v>
                </c:pt>
                <c:pt idx="1110">
                  <c:v>0.37948988386307997</c:v>
                </c:pt>
                <c:pt idx="1111">
                  <c:v>0.3381399877877902</c:v>
                </c:pt>
                <c:pt idx="1112">
                  <c:v>0.28531005076643212</c:v>
                </c:pt>
                <c:pt idx="1113">
                  <c:v>0.27382009709541877</c:v>
                </c:pt>
                <c:pt idx="1114">
                  <c:v>0.4015772918654284</c:v>
                </c:pt>
                <c:pt idx="1115">
                  <c:v>0.25237877742366593</c:v>
                </c:pt>
                <c:pt idx="1116">
                  <c:v>0.26016370055108418</c:v>
                </c:pt>
              </c:numCache>
            </c:numRef>
          </c:yVal>
          <c:smooth val="0"/>
          <c:extLst>
            <c:ext xmlns:c16="http://schemas.microsoft.com/office/drawing/2014/chart" uri="{C3380CC4-5D6E-409C-BE32-E72D297353CC}">
              <c16:uniqueId val="{00000001-C431-419F-A1C1-BC67D52EEDB2}"/>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0"/>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WP'!$R$40:$R$1156</c:f>
              <c:numCache>
                <c:formatCode>0.00%</c:formatCode>
                <c:ptCount val="1117"/>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pt idx="1081">
                  <c:v>4.3499999999999997E-2</c:v>
                </c:pt>
                <c:pt idx="1082">
                  <c:v>4.2500000000000003E-2</c:v>
                </c:pt>
                <c:pt idx="1083">
                  <c:v>4.2500000000000003E-2</c:v>
                </c:pt>
                <c:pt idx="1084">
                  <c:v>4.0800000000000003E-2</c:v>
                </c:pt>
                <c:pt idx="1085">
                  <c:v>3.9800000000000002E-2</c:v>
                </c:pt>
                <c:pt idx="1086">
                  <c:v>3.9800000000000002E-2</c:v>
                </c:pt>
                <c:pt idx="1087">
                  <c:v>3.6900000000000002E-2</c:v>
                </c:pt>
                <c:pt idx="1088">
                  <c:v>3.6900000000000002E-2</c:v>
                </c:pt>
                <c:pt idx="1089">
                  <c:v>3.2899999999999999E-2</c:v>
                </c:pt>
                <c:pt idx="1090">
                  <c:v>3.3700000000000001E-2</c:v>
                </c:pt>
                <c:pt idx="1091">
                  <c:v>3.4299999999999997E-2</c:v>
                </c:pt>
                <c:pt idx="1092">
                  <c:v>3.3999999999999996E-2</c:v>
                </c:pt>
                <c:pt idx="1093">
                  <c:v>3.2800000000000003E-2</c:v>
                </c:pt>
                <c:pt idx="1094">
                  <c:v>3.1099999999999999E-2</c:v>
                </c:pt>
                <c:pt idx="1095">
                  <c:v>3.5000000000000003E-2</c:v>
                </c:pt>
                <c:pt idx="1096">
                  <c:v>3.1899999999999998E-2</c:v>
                </c:pt>
                <c:pt idx="1097">
                  <c:v>3.1400000000000004E-2</c:v>
                </c:pt>
                <c:pt idx="1098">
                  <c:v>3.0699999999999998E-2</c:v>
                </c:pt>
                <c:pt idx="1099">
                  <c:v>2.7400000000000001E-2</c:v>
                </c:pt>
                <c:pt idx="1100">
                  <c:v>2.7300000000000001E-2</c:v>
                </c:pt>
                <c:pt idx="1101">
                  <c:v>2.8400000000000002E-2</c:v>
                </c:pt>
                <c:pt idx="1102">
                  <c:v>2.9500000000000005E-2</c:v>
                </c:pt>
                <c:pt idx="1103">
                  <c:v>2.8499999999999998E-2</c:v>
                </c:pt>
                <c:pt idx="1104">
                  <c:v>2.7699999999999999E-2</c:v>
                </c:pt>
                <c:pt idx="1105">
                  <c:v>2.9100000000000001E-2</c:v>
                </c:pt>
                <c:pt idx="1106">
                  <c:v>3.09E-2</c:v>
                </c:pt>
                <c:pt idx="1107">
                  <c:v>3.44E-2</c:v>
                </c:pt>
                <c:pt idx="1108">
                  <c:v>3.3000000000000002E-2</c:v>
                </c:pt>
                <c:pt idx="1109">
                  <c:v>3.3300000000000003E-2</c:v>
                </c:pt>
                <c:pt idx="1110">
                  <c:v>3.1600000000000003E-2</c:v>
                </c:pt>
                <c:pt idx="1111">
                  <c:v>2.9500000000000005E-2</c:v>
                </c:pt>
                <c:pt idx="1112">
                  <c:v>2.9500000000000005E-2</c:v>
                </c:pt>
                <c:pt idx="1113">
                  <c:v>2.9600000000000001E-2</c:v>
                </c:pt>
                <c:pt idx="1114">
                  <c:v>3.09E-2</c:v>
                </c:pt>
                <c:pt idx="1115">
                  <c:v>3.0199999999999998E-2</c:v>
                </c:pt>
                <c:pt idx="1116">
                  <c:v>3.0400000000000003E-2</c:v>
                </c:pt>
              </c:numCache>
            </c:numRef>
          </c:xVal>
          <c:yVal>
            <c:numRef>
              <c:f>'MRP ERP WP'!$S$40:$S$1156</c:f>
              <c:numCache>
                <c:formatCode>0.00%</c:formatCode>
                <c:ptCount val="1117"/>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pt idx="1081">
                  <c:v>8.2064296232975717E-2</c:v>
                </c:pt>
                <c:pt idx="1082">
                  <c:v>0.1761199966806892</c:v>
                </c:pt>
                <c:pt idx="1083">
                  <c:v>0.16566830739625413</c:v>
                </c:pt>
                <c:pt idx="1084">
                  <c:v>0.15352347958378004</c:v>
                </c:pt>
                <c:pt idx="1085">
                  <c:v>0.15887262436073885</c:v>
                </c:pt>
                <c:pt idx="1086">
                  <c:v>0.16459003491205576</c:v>
                </c:pt>
                <c:pt idx="1087">
                  <c:v>0.14230496938719156</c:v>
                </c:pt>
                <c:pt idx="1088">
                  <c:v>0.18894612312543674</c:v>
                </c:pt>
                <c:pt idx="1089">
                  <c:v>0.25275853456566127</c:v>
                </c:pt>
                <c:pt idx="1090">
                  <c:v>0.21765749274105556</c:v>
                </c:pt>
                <c:pt idx="1091">
                  <c:v>0.15167995497447739</c:v>
                </c:pt>
                <c:pt idx="1092">
                  <c:v>0.24390297679977294</c:v>
                </c:pt>
                <c:pt idx="1093">
                  <c:v>0.26721050056474821</c:v>
                </c:pt>
                <c:pt idx="1094">
                  <c:v>9.4651962172058193E-2</c:v>
                </c:pt>
                <c:pt idx="1095">
                  <c:v>-5.0024625997535849E-2</c:v>
                </c:pt>
                <c:pt idx="1096">
                  <c:v>-2.4491936879772427E-2</c:v>
                </c:pt>
                <c:pt idx="1097">
                  <c:v>2.8133108084899529E-2</c:v>
                </c:pt>
                <c:pt idx="1098">
                  <c:v>-5.1966794329057535E-2</c:v>
                </c:pt>
                <c:pt idx="1099">
                  <c:v>3.0683550748332379E-2</c:v>
                </c:pt>
                <c:pt idx="1100">
                  <c:v>-4.7514488686469028E-2</c:v>
                </c:pt>
                <c:pt idx="1101">
                  <c:v>-7.8023434565094557E-2</c:v>
                </c:pt>
                <c:pt idx="1102">
                  <c:v>-2.3462097144369455E-2</c:v>
                </c:pt>
                <c:pt idx="1103">
                  <c:v>4.1417121318349792E-3</c:v>
                </c:pt>
                <c:pt idx="1104">
                  <c:v>-2.2282017134773676E-2</c:v>
                </c:pt>
                <c:pt idx="1105">
                  <c:v>-9.5030972916153686E-2</c:v>
                </c:pt>
                <c:pt idx="1106">
                  <c:v>-5.7974562979447877E-2</c:v>
                </c:pt>
                <c:pt idx="1107">
                  <c:v>0.15992807643231521</c:v>
                </c:pt>
                <c:pt idx="1108">
                  <c:v>0.17345826189458227</c:v>
                </c:pt>
                <c:pt idx="1109">
                  <c:v>9.5390337256184732E-2</c:v>
                </c:pt>
                <c:pt idx="1110">
                  <c:v>0.12654904159604669</c:v>
                </c:pt>
                <c:pt idx="1111">
                  <c:v>8.6137239524275516E-2</c:v>
                </c:pt>
                <c:pt idx="1112">
                  <c:v>0.16206106269542939</c:v>
                </c:pt>
                <c:pt idx="1113">
                  <c:v>7.6055270762372132E-2</c:v>
                </c:pt>
                <c:pt idx="1114">
                  <c:v>7.1514938509745704E-2</c:v>
                </c:pt>
                <c:pt idx="1115">
                  <c:v>4.6227862033716434E-2</c:v>
                </c:pt>
                <c:pt idx="1116">
                  <c:v>0.14135739138849199</c:v>
                </c:pt>
              </c:numCache>
            </c:numRef>
          </c:yVal>
          <c:smooth val="0"/>
          <c:extLst>
            <c:ext xmlns:c16="http://schemas.microsoft.com/office/drawing/2014/chart" uri="{C3380CC4-5D6E-409C-BE32-E72D297353CC}">
              <c16:uniqueId val="{00000001-75BE-41CA-B3E8-4D1D36B1978D}"/>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0"/>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1"/>
            </a:solidFill>
            <a:ln w="12700">
              <a:solidFill>
                <a:schemeClr val="tx1"/>
              </a:solidFill>
            </a:ln>
          </c:spPr>
          <c:invertIfNegative val="0"/>
          <c:dPt>
            <c:idx val="0"/>
            <c:invertIfNegative val="0"/>
            <c:bubble3D val="0"/>
            <c:extLst>
              <c:ext xmlns:c16="http://schemas.microsoft.com/office/drawing/2014/chart" uri="{C3380CC4-5D6E-409C-BE32-E72D297353CC}">
                <c16:uniqueId val="{00000000-4AE8-4BAC-8A5A-08727E3D7031}"/>
              </c:ext>
            </c:extLst>
          </c:dPt>
          <c:dPt>
            <c:idx val="6"/>
            <c:invertIfNegative val="0"/>
            <c:bubble3D val="0"/>
            <c:spPr>
              <a:solidFill>
                <a:srgbClr val="FFFF00"/>
              </a:solidFill>
              <a:ln w="12700">
                <a:solidFill>
                  <a:schemeClr val="tx1"/>
                </a:solidFill>
              </a:ln>
            </c:spPr>
            <c:extLst>
              <c:ext xmlns:c16="http://schemas.microsoft.com/office/drawing/2014/chart" uri="{C3380CC4-5D6E-409C-BE32-E72D297353CC}">
                <c16:uniqueId val="{00000002-4AE8-4BAC-8A5A-08727E3D7031}"/>
              </c:ext>
            </c:extLst>
          </c:dPt>
          <c:dPt>
            <c:idx val="7"/>
            <c:invertIfNegative val="0"/>
            <c:bubble3D val="0"/>
            <c:extLst>
              <c:ext xmlns:c16="http://schemas.microsoft.com/office/drawing/2014/chart" uri="{C3380CC4-5D6E-409C-BE32-E72D297353CC}">
                <c16:uniqueId val="{00000003-4AE8-4BAC-8A5A-08727E3D7031}"/>
              </c:ext>
            </c:extLst>
          </c:dPt>
          <c:dPt>
            <c:idx val="13"/>
            <c:invertIfNegative val="0"/>
            <c:bubble3D val="0"/>
            <c:spPr>
              <a:solidFill>
                <a:srgbClr val="FFFF00"/>
              </a:solidFill>
              <a:ln w="12700">
                <a:solidFill>
                  <a:schemeClr val="tx1"/>
                </a:solidFill>
              </a:ln>
            </c:spPr>
            <c:extLst>
              <c:ext xmlns:c16="http://schemas.microsoft.com/office/drawing/2014/chart" uri="{C3380CC4-5D6E-409C-BE32-E72D297353CC}">
                <c16:uniqueId val="{00000005-4AE8-4BAC-8A5A-08727E3D7031}"/>
              </c:ext>
            </c:extLst>
          </c:dPt>
          <c:dPt>
            <c:idx val="18"/>
            <c:invertIfNegative val="0"/>
            <c:bubble3D val="0"/>
            <c:extLst>
              <c:ext xmlns:c16="http://schemas.microsoft.com/office/drawing/2014/chart" uri="{C3380CC4-5D6E-409C-BE32-E72D297353CC}">
                <c16:uniqueId val="{00000006-4AE8-4BAC-8A5A-08727E3D7031}"/>
              </c:ext>
            </c:extLst>
          </c:dPt>
          <c:dPt>
            <c:idx val="21"/>
            <c:invertIfNegative val="0"/>
            <c:bubble3D val="0"/>
            <c:spPr>
              <a:solidFill>
                <a:schemeClr val="bg1"/>
              </a:solidFill>
              <a:ln w="12700">
                <a:solidFill>
                  <a:sysClr val="windowText" lastClr="000000"/>
                </a:solidFill>
              </a:ln>
            </c:spPr>
            <c:extLst>
              <c:ext xmlns:c16="http://schemas.microsoft.com/office/drawing/2014/chart" uri="{C3380CC4-5D6E-409C-BE32-E72D297353CC}">
                <c16:uniqueId val="{00000008-4AE8-4BAC-8A5A-08727E3D7031}"/>
              </c:ext>
            </c:extLst>
          </c:dPt>
          <c:dPt>
            <c:idx val="22"/>
            <c:invertIfNegative val="0"/>
            <c:bubble3D val="0"/>
            <c:extLst>
              <c:ext xmlns:c16="http://schemas.microsoft.com/office/drawing/2014/chart" uri="{C3380CC4-5D6E-409C-BE32-E72D297353CC}">
                <c16:uniqueId val="{00000009-4AE8-4BAC-8A5A-08727E3D7031}"/>
              </c:ext>
            </c:extLst>
          </c:dPt>
          <c:dLbls>
            <c:numFmt formatCode="0%" sourceLinked="0"/>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'10.1 CAPEX to Net Plant'!$N$4:$N$10</c:f>
              <c:strCache>
                <c:ptCount val="7"/>
                <c:pt idx="0">
                  <c:v>OGS</c:v>
                </c:pt>
                <c:pt idx="1">
                  <c:v>NWN</c:v>
                </c:pt>
                <c:pt idx="2">
                  <c:v>SR</c:v>
                </c:pt>
                <c:pt idx="3">
                  <c:v>NJR</c:v>
                </c:pt>
                <c:pt idx="4">
                  <c:v>NI</c:v>
                </c:pt>
                <c:pt idx="5">
                  <c:v>ATO</c:v>
                </c:pt>
                <c:pt idx="6">
                  <c:v>Peoples Gas</c:v>
                </c:pt>
              </c:strCache>
            </c:strRef>
          </c:cat>
          <c:val>
            <c:numRef>
              <c:f>'10.1 CAPEX to Net Plant'!$O$4:$O$10</c:f>
              <c:numCache>
                <c:formatCode>0%</c:formatCode>
                <c:ptCount val="7"/>
                <c:pt idx="0">
                  <c:v>0.3064526555529869</c:v>
                </c:pt>
                <c:pt idx="1">
                  <c:v>0.31633330237669588</c:v>
                </c:pt>
                <c:pt idx="2">
                  <c:v>0.38047550289771942</c:v>
                </c:pt>
                <c:pt idx="3">
                  <c:v>0.41062009677887212</c:v>
                </c:pt>
                <c:pt idx="4">
                  <c:v>0.47425657706694507</c:v>
                </c:pt>
                <c:pt idx="5">
                  <c:v>0.51892001534194843</c:v>
                </c:pt>
                <c:pt idx="6">
                  <c:v>0.60283217492135466</c:v>
                </c:pt>
              </c:numCache>
            </c:numRef>
          </c:val>
          <c:extLst>
            <c:ext xmlns:c16="http://schemas.microsoft.com/office/drawing/2014/chart" uri="{C3380CC4-5D6E-409C-BE32-E72D297353CC}">
              <c16:uniqueId val="{0000000A-4AE8-4BAC-8A5A-08727E3D7031}"/>
            </c:ext>
          </c:extLst>
        </c:ser>
        <c:dLbls>
          <c:showLegendKey val="0"/>
          <c:showVal val="0"/>
          <c:showCatName val="0"/>
          <c:showSerName val="0"/>
          <c:showPercent val="0"/>
          <c:showBubbleSize val="0"/>
        </c:dLbls>
        <c:gapWidth val="150"/>
        <c:axId val="670068392"/>
        <c:axId val="670057024"/>
      </c:barChart>
      <c:catAx>
        <c:axId val="6700683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70057024"/>
        <c:crosses val="autoZero"/>
        <c:auto val="1"/>
        <c:lblAlgn val="ctr"/>
        <c:lblOffset val="100"/>
        <c:noMultiLvlLbl val="0"/>
      </c:catAx>
      <c:valAx>
        <c:axId val="670057024"/>
        <c:scaling>
          <c:orientation val="minMax"/>
        </c:scaling>
        <c:delete val="0"/>
        <c:axPos val="l"/>
        <c:majorGridlines>
          <c:spPr>
            <a:ln>
              <a:solidFill>
                <a:schemeClr val="bg1">
                  <a:lumMod val="65000"/>
                </a:schemeClr>
              </a:solidFill>
              <a:prstDash val="sysDot"/>
            </a:ln>
          </c:spPr>
        </c:majorGridlines>
        <c:numFmt formatCode="0%" sourceLinked="1"/>
        <c:majorTickMark val="out"/>
        <c:minorTickMark val="none"/>
        <c:tickLblPos val="nextTo"/>
        <c:crossAx val="670068392"/>
        <c:crosses val="autoZero"/>
        <c:crossBetween val="between"/>
      </c:valAx>
    </c:plotArea>
    <c:plotVisOnly val="1"/>
    <c:dispBlanksAs val="gap"/>
    <c:showDLblsOverMax val="0"/>
  </c:chart>
  <c:spPr>
    <a:ln>
      <a:noFill/>
    </a:ln>
  </c:spPr>
  <c:txPr>
    <a:bodyPr/>
    <a:lstStyle/>
    <a:p>
      <a:pPr>
        <a:defRPr sz="800">
          <a:latin typeface="+mn-lt"/>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WP'!$M$16:$M$1108</c:f>
              <c:numCache>
                <c:formatCode>0.00%</c:formatCode>
                <c:ptCount val="1093"/>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numCache>
            </c:numRef>
          </c:xVal>
          <c:yVal>
            <c:numRef>
              <c:f>'MRP ERP WP'!$O$16:$O$1108</c:f>
              <c:numCache>
                <c:formatCode>0.00%</c:formatCode>
                <c:ptCount val="1093"/>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numCache>
            </c:numRef>
          </c:yVal>
          <c:smooth val="0"/>
          <c:extLst>
            <c:ext xmlns:c16="http://schemas.microsoft.com/office/drawing/2014/chart" uri="{C3380CC4-5D6E-409C-BE32-E72D297353CC}">
              <c16:uniqueId val="{00000000-0B88-4107-8781-01563DC72FE6}"/>
            </c:ext>
          </c:extLst>
        </c:ser>
        <c:dLbls>
          <c:showLegendKey val="0"/>
          <c:showVal val="0"/>
          <c:showCatName val="0"/>
          <c:showSerName val="0"/>
          <c:showPercent val="0"/>
          <c:showBubbleSize val="0"/>
        </c:dLbls>
        <c:axId val="784047144"/>
        <c:axId val="784049888"/>
      </c:scatterChart>
      <c:valAx>
        <c:axId val="784047144"/>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49888"/>
        <c:crosses val="autoZero"/>
        <c:crossBetween val="midCat"/>
      </c:valAx>
      <c:valAx>
        <c:axId val="78404988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714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WP'!$N$40:$N$1108</c:f>
              <c:numCache>
                <c:formatCode>0.00%</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Cache>
            </c:numRef>
          </c:xVal>
          <c:yVal>
            <c:numRef>
              <c:f>'MRP ERP WP'!$P$40:$P$1108</c:f>
              <c:numCache>
                <c:formatCode>0.00%</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Cache>
            </c:numRef>
          </c:yVal>
          <c:smooth val="0"/>
          <c:extLst>
            <c:ext xmlns:c16="http://schemas.microsoft.com/office/drawing/2014/chart" uri="{C3380CC4-5D6E-409C-BE32-E72D297353CC}">
              <c16:uniqueId val="{00000000-44CC-4237-A556-8A37F6C39DE5}"/>
            </c:ext>
          </c:extLst>
        </c:ser>
        <c:dLbls>
          <c:showLegendKey val="0"/>
          <c:showVal val="0"/>
          <c:showCatName val="0"/>
          <c:showSerName val="0"/>
          <c:showPercent val="0"/>
          <c:showBubbleSize val="0"/>
        </c:dLbls>
        <c:axId val="784062040"/>
        <c:axId val="784059296"/>
      </c:scatterChart>
      <c:valAx>
        <c:axId val="784062040"/>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9296"/>
        <c:crosses val="autoZero"/>
        <c:crossBetween val="midCat"/>
      </c:valAx>
      <c:valAx>
        <c:axId val="784059296"/>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62040"/>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WP'!$R$40:$R$1108</c:f>
              <c:numCache>
                <c:formatCode>0.00%</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Cache>
            </c:numRef>
          </c:xVal>
          <c:yVal>
            <c:numRef>
              <c:f>'MRP ERP WP'!$S$40:$S$1108</c:f>
              <c:numCache>
                <c:formatCode>0.00%</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Cache>
            </c:numRef>
          </c:yVal>
          <c:smooth val="0"/>
          <c:extLst>
            <c:ext xmlns:c16="http://schemas.microsoft.com/office/drawing/2014/chart" uri="{C3380CC4-5D6E-409C-BE32-E72D297353CC}">
              <c16:uniqueId val="{00000000-E859-454B-8D35-5C78F967CD27}"/>
            </c:ext>
          </c:extLst>
        </c:ser>
        <c:dLbls>
          <c:showLegendKey val="0"/>
          <c:showVal val="0"/>
          <c:showCatName val="0"/>
          <c:showSerName val="0"/>
          <c:showPercent val="0"/>
          <c:showBubbleSize val="0"/>
        </c:dLbls>
        <c:axId val="784058904"/>
        <c:axId val="784056552"/>
      </c:scatterChart>
      <c:valAx>
        <c:axId val="78405890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6552"/>
        <c:crosses val="autoZero"/>
        <c:crossBetween val="midCat"/>
      </c:valAx>
      <c:valAx>
        <c:axId val="78405655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890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WP'!$M$16:$M$1120</c:f>
              <c:numCache>
                <c:formatCode>0.00%</c:formatCode>
                <c:ptCount val="1105"/>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numCache>
            </c:numRef>
          </c:xVal>
          <c:yVal>
            <c:numRef>
              <c:f>'MRP ERP WP'!$O$16:$O$1120</c:f>
              <c:numCache>
                <c:formatCode>0.00%</c:formatCode>
                <c:ptCount val="1105"/>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numCache>
            </c:numRef>
          </c:yVal>
          <c:smooth val="0"/>
          <c:extLst>
            <c:ext xmlns:c16="http://schemas.microsoft.com/office/drawing/2014/chart" uri="{C3380CC4-5D6E-409C-BE32-E72D297353CC}">
              <c16:uniqueId val="{00000001-655C-4D4D-A304-83224CF2FA73}"/>
            </c:ext>
          </c:extLst>
        </c:ser>
        <c:dLbls>
          <c:showLegendKey val="0"/>
          <c:showVal val="0"/>
          <c:showCatName val="0"/>
          <c:showSerName val="0"/>
          <c:showPercent val="0"/>
          <c:showBubbleSize val="0"/>
        </c:dLbls>
        <c:axId val="784051456"/>
        <c:axId val="784051848"/>
      </c:scatterChart>
      <c:valAx>
        <c:axId val="784051456"/>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51848"/>
        <c:crosses val="autoZero"/>
        <c:crossBetween val="midCat"/>
      </c:valAx>
      <c:valAx>
        <c:axId val="78405184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45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WP'!$N$40:$N$1120</c:f>
              <c:numCache>
                <c:formatCode>0.00%</c:formatCode>
                <c:ptCount val="1081"/>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numCache>
            </c:numRef>
          </c:xVal>
          <c:yVal>
            <c:numRef>
              <c:f>'MRP ERP WP'!$P$40:$P$1120</c:f>
              <c:numCache>
                <c:formatCode>0.00%</c:formatCode>
                <c:ptCount val="1081"/>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numCache>
            </c:numRef>
          </c:yVal>
          <c:smooth val="0"/>
          <c:extLst>
            <c:ext xmlns:c16="http://schemas.microsoft.com/office/drawing/2014/chart" uri="{C3380CC4-5D6E-409C-BE32-E72D297353CC}">
              <c16:uniqueId val="{00000001-A9A0-4641-AB4F-F3119A620851}"/>
            </c:ext>
          </c:extLst>
        </c:ser>
        <c:dLbls>
          <c:showLegendKey val="0"/>
          <c:showVal val="0"/>
          <c:showCatName val="0"/>
          <c:showSerName val="0"/>
          <c:showPercent val="0"/>
          <c:showBubbleSize val="0"/>
        </c:dLbls>
        <c:axId val="784049496"/>
        <c:axId val="784057728"/>
      </c:scatterChart>
      <c:valAx>
        <c:axId val="784049496"/>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7728"/>
        <c:crosses val="autoZero"/>
        <c:crossBetween val="midCat"/>
      </c:valAx>
      <c:valAx>
        <c:axId val="78405772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9496"/>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WP'!$R$40:$R$1120</c:f>
              <c:numCache>
                <c:formatCode>0.00%</c:formatCode>
                <c:ptCount val="1081"/>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numCache>
            </c:numRef>
          </c:xVal>
          <c:yVal>
            <c:numRef>
              <c:f>'MRP ERP WP'!$S$40:$S$1120</c:f>
              <c:numCache>
                <c:formatCode>0.00%</c:formatCode>
                <c:ptCount val="1081"/>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numCache>
            </c:numRef>
          </c:yVal>
          <c:smooth val="0"/>
          <c:extLst>
            <c:ext xmlns:c16="http://schemas.microsoft.com/office/drawing/2014/chart" uri="{C3380CC4-5D6E-409C-BE32-E72D297353CC}">
              <c16:uniqueId val="{00000001-2E3C-40FB-B953-0D2AABFDDD7E}"/>
            </c:ext>
          </c:extLst>
        </c:ser>
        <c:dLbls>
          <c:showLegendKey val="0"/>
          <c:showVal val="0"/>
          <c:showCatName val="0"/>
          <c:showSerName val="0"/>
          <c:showPercent val="0"/>
          <c:showBubbleSize val="0"/>
        </c:dLbls>
        <c:axId val="784051064"/>
        <c:axId val="784054984"/>
      </c:scatterChart>
      <c:valAx>
        <c:axId val="78405106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4984"/>
        <c:crosses val="autoZero"/>
        <c:crossBetween val="midCat"/>
      </c:valAx>
      <c:valAx>
        <c:axId val="784054984"/>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06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WP'!$M$16:$M$1156</c:f>
              <c:numCache>
                <c:formatCode>0.00%</c:formatCode>
                <c:ptCount val="1141"/>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pt idx="1117">
                  <c:v>2.4E-2</c:v>
                </c:pt>
                <c:pt idx="1118">
                  <c:v>1.8000000000000002E-2</c:v>
                </c:pt>
                <c:pt idx="1119">
                  <c:v>1.5599999999999999E-2</c:v>
                </c:pt>
                <c:pt idx="1120">
                  <c:v>1.0800000000000001E-2</c:v>
                </c:pt>
                <c:pt idx="1121">
                  <c:v>1.0800000000000001E-2</c:v>
                </c:pt>
                <c:pt idx="1122">
                  <c:v>1.0800000000000001E-2</c:v>
                </c:pt>
                <c:pt idx="1123">
                  <c:v>1.2E-2</c:v>
                </c:pt>
                <c:pt idx="1124">
                  <c:v>9.6000000000000009E-3</c:v>
                </c:pt>
                <c:pt idx="1125">
                  <c:v>0</c:v>
                </c:pt>
                <c:pt idx="1126">
                  <c:v>1.0800000000000001E-2</c:v>
                </c:pt>
                <c:pt idx="1127">
                  <c:v>1.32E-2</c:v>
                </c:pt>
                <c:pt idx="1128">
                  <c:v>1.32E-2</c:v>
                </c:pt>
                <c:pt idx="1129">
                  <c:v>1.32E-2</c:v>
                </c:pt>
                <c:pt idx="1130">
                  <c:v>1.44E-2</c:v>
                </c:pt>
                <c:pt idx="1131">
                  <c:v>2.1600000000000001E-2</c:v>
                </c:pt>
                <c:pt idx="1132">
                  <c:v>2.2800000000000001E-2</c:v>
                </c:pt>
                <c:pt idx="1133">
                  <c:v>2.1600000000000001E-2</c:v>
                </c:pt>
                <c:pt idx="1134">
                  <c:v>2.0399999999999998E-2</c:v>
                </c:pt>
                <c:pt idx="1135">
                  <c:v>1.9200000000000002E-2</c:v>
                </c:pt>
                <c:pt idx="1136">
                  <c:v>1.8000000000000002E-2</c:v>
                </c:pt>
                <c:pt idx="1137">
                  <c:v>1.6799999999999999E-2</c:v>
                </c:pt>
                <c:pt idx="1138">
                  <c:v>1.8000000000000002E-2</c:v>
                </c:pt>
                <c:pt idx="1139">
                  <c:v>2.0399999999999998E-2</c:v>
                </c:pt>
                <c:pt idx="1140">
                  <c:v>1.8000000000000002E-2</c:v>
                </c:pt>
              </c:numCache>
            </c:numRef>
          </c:xVal>
          <c:yVal>
            <c:numRef>
              <c:f>'MRP ERP WP'!$O$16:$O$1156</c:f>
              <c:numCache>
                <c:formatCode>0.00%</c:formatCode>
                <c:ptCount val="1141"/>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pt idx="1117">
                  <c:v>0.19302230297685499</c:v>
                </c:pt>
                <c:pt idx="1118">
                  <c:v>6.4125150122913657E-2</c:v>
                </c:pt>
                <c:pt idx="1119">
                  <c:v>-8.5167692679287643E-2</c:v>
                </c:pt>
                <c:pt idx="1120">
                  <c:v>-1.9449023361575966E-3</c:v>
                </c:pt>
                <c:pt idx="1121">
                  <c:v>0.11773881506955788</c:v>
                </c:pt>
                <c:pt idx="1122">
                  <c:v>6.4395457720170329E-2</c:v>
                </c:pt>
                <c:pt idx="1123">
                  <c:v>0.10771261981031933</c:v>
                </c:pt>
                <c:pt idx="1124">
                  <c:v>0.20988786544877219</c:v>
                </c:pt>
                <c:pt idx="1125">
                  <c:v>0.15161217881782529</c:v>
                </c:pt>
                <c:pt idx="1126">
                  <c:v>8.6370690869404992E-2</c:v>
                </c:pt>
                <c:pt idx="1127">
                  <c:v>0.161470347891156</c:v>
                </c:pt>
                <c:pt idx="1128">
                  <c:v>0.17082027688815404</c:v>
                </c:pt>
                <c:pt idx="1129">
                  <c:v>0.15933068436532982</c:v>
                </c:pt>
                <c:pt idx="1130">
                  <c:v>0.29854816525423716</c:v>
                </c:pt>
                <c:pt idx="1131">
                  <c:v>0.54195424403008896</c:v>
                </c:pt>
                <c:pt idx="1132">
                  <c:v>0.43709012645035855</c:v>
                </c:pt>
                <c:pt idx="1133">
                  <c:v>0.38171171948788768</c:v>
                </c:pt>
                <c:pt idx="1134">
                  <c:v>0.38758988386308002</c:v>
                </c:pt>
                <c:pt idx="1135">
                  <c:v>0.34533998778779018</c:v>
                </c:pt>
                <c:pt idx="1136">
                  <c:v>0.29371005076643208</c:v>
                </c:pt>
                <c:pt idx="1137">
                  <c:v>0.28332009709541878</c:v>
                </c:pt>
                <c:pt idx="1138">
                  <c:v>0.41127729186542838</c:v>
                </c:pt>
                <c:pt idx="1139">
                  <c:v>0.25892877742366593</c:v>
                </c:pt>
                <c:pt idx="1140">
                  <c:v>0.26921370055108418</c:v>
                </c:pt>
              </c:numCache>
            </c:numRef>
          </c:yVal>
          <c:smooth val="0"/>
          <c:extLst>
            <c:ext xmlns:c16="http://schemas.microsoft.com/office/drawing/2014/chart" uri="{C3380CC4-5D6E-409C-BE32-E72D297353CC}">
              <c16:uniqueId val="{00000001-EF1A-4553-B8CB-DD21844B566E}"/>
            </c:ext>
          </c:extLst>
        </c:ser>
        <c:dLbls>
          <c:showLegendKey val="0"/>
          <c:showVal val="0"/>
          <c:showCatName val="0"/>
          <c:showSerName val="0"/>
          <c:showPercent val="0"/>
          <c:showBubbleSize val="0"/>
        </c:dLbls>
        <c:axId val="-2035267600"/>
        <c:axId val="-2035246912"/>
      </c:scatterChart>
      <c:valAx>
        <c:axId val="-2035267600"/>
        <c:scaling>
          <c:orientation val="minMax"/>
        </c:scaling>
        <c:delete val="0"/>
        <c:axPos val="b"/>
        <c:title>
          <c:tx>
            <c:rich>
              <a:bodyPr/>
              <a:lstStyle/>
              <a:p>
                <a:pPr>
                  <a:defRPr/>
                </a:pPr>
                <a:r>
                  <a:rPr lang="en-US"/>
                  <a:t>Risk-Free rate</a:t>
                </a:r>
              </a:p>
            </c:rich>
          </c:tx>
          <c:overlay val="0"/>
        </c:title>
        <c:numFmt formatCode="General" sourceLinked="0"/>
        <c:majorTickMark val="out"/>
        <c:minorTickMark val="none"/>
        <c:tickLblPos val="nextTo"/>
        <c:crossAx val="-2035246912"/>
        <c:crosses val="autoZero"/>
        <c:crossBetween val="midCat"/>
      </c:valAx>
      <c:valAx>
        <c:axId val="-20352469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26760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25</xdr:col>
      <xdr:colOff>11206</xdr:colOff>
      <xdr:row>3</xdr:row>
      <xdr:rowOff>209115</xdr:rowOff>
    </xdr:from>
    <xdr:to>
      <xdr:col>32</xdr:col>
      <xdr:colOff>201706</xdr:colOff>
      <xdr:row>15</xdr:row>
      <xdr:rowOff>184462</xdr:rowOff>
    </xdr:to>
    <xdr:graphicFrame macro="">
      <xdr:nvGraphicFramePr>
        <xdr:cNvPr id="2" name="Chart 1">
          <a:extLst>
            <a:ext uri="{FF2B5EF4-FFF2-40B4-BE49-F238E27FC236}">
              <a16:creationId xmlns:a16="http://schemas.microsoft.com/office/drawing/2014/main" id="{F7B8617B-BE4B-456F-A9D2-E26E43586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123265</xdr:colOff>
      <xdr:row>4</xdr:row>
      <xdr:rowOff>123264</xdr:rowOff>
    </xdr:from>
    <xdr:to>
      <xdr:col>24</xdr:col>
      <xdr:colOff>475130</xdr:colOff>
      <xdr:row>18</xdr:row>
      <xdr:rowOff>151346</xdr:rowOff>
    </xdr:to>
    <xdr:graphicFrame macro="">
      <xdr:nvGraphicFramePr>
        <xdr:cNvPr id="2" name="Chart 1">
          <a:extLst>
            <a:ext uri="{FF2B5EF4-FFF2-40B4-BE49-F238E27FC236}">
              <a16:creationId xmlns:a16="http://schemas.microsoft.com/office/drawing/2014/main" id="{1AAE1C6A-931F-49F1-88B9-31670E95DC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23</xdr:col>
      <xdr:colOff>81643</xdr:colOff>
      <xdr:row>20</xdr:row>
      <xdr:rowOff>122464</xdr:rowOff>
    </xdr:from>
    <xdr:to>
      <xdr:col>29</xdr:col>
      <xdr:colOff>81643</xdr:colOff>
      <xdr:row>38</xdr:row>
      <xdr:rowOff>68034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81643</xdr:colOff>
      <xdr:row>20</xdr:row>
      <xdr:rowOff>122464</xdr:rowOff>
    </xdr:from>
    <xdr:to>
      <xdr:col>29</xdr:col>
      <xdr:colOff>81643</xdr:colOff>
      <xdr:row>38</xdr:row>
      <xdr:rowOff>68034</xdr:rowOff>
    </xdr:to>
    <xdr:graphicFrame macro="">
      <xdr:nvGraphicFramePr>
        <xdr:cNvPr id="5" name="Chart 4">
          <a:extLst>
            <a:ext uri="{FF2B5EF4-FFF2-40B4-BE49-F238E27FC236}">
              <a16:creationId xmlns:a16="http://schemas.microsoft.com/office/drawing/2014/main" id="{18C43A27-4CCE-4770-8255-19D216B4C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6" name="Chart 5">
          <a:extLst>
            <a:ext uri="{FF2B5EF4-FFF2-40B4-BE49-F238E27FC236}">
              <a16:creationId xmlns:a16="http://schemas.microsoft.com/office/drawing/2014/main" id="{3FCDFF1A-FB1E-4CE6-891F-7881FB3D2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7" name="Chart 6">
          <a:extLst>
            <a:ext uri="{FF2B5EF4-FFF2-40B4-BE49-F238E27FC236}">
              <a16:creationId xmlns:a16="http://schemas.microsoft.com/office/drawing/2014/main" id="{EE6F8B00-D51E-49FD-B247-6B1861E96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81643</xdr:colOff>
      <xdr:row>20</xdr:row>
      <xdr:rowOff>122464</xdr:rowOff>
    </xdr:from>
    <xdr:to>
      <xdr:col>29</xdr:col>
      <xdr:colOff>81643</xdr:colOff>
      <xdr:row>38</xdr:row>
      <xdr:rowOff>68034</xdr:rowOff>
    </xdr:to>
    <xdr:graphicFrame macro="">
      <xdr:nvGraphicFramePr>
        <xdr:cNvPr id="8" name="Chart 7">
          <a:extLst>
            <a:ext uri="{FF2B5EF4-FFF2-40B4-BE49-F238E27FC236}">
              <a16:creationId xmlns:a16="http://schemas.microsoft.com/office/drawing/2014/main" id="{684E22E4-A414-4291-B8A5-35440C9DC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9" name="Chart 8">
          <a:extLst>
            <a:ext uri="{FF2B5EF4-FFF2-40B4-BE49-F238E27FC236}">
              <a16:creationId xmlns:a16="http://schemas.microsoft.com/office/drawing/2014/main" id="{9B7927A3-64B0-45E4-BD9E-A66251EFC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10" name="Chart 9">
          <a:extLst>
            <a:ext uri="{FF2B5EF4-FFF2-40B4-BE49-F238E27FC236}">
              <a16:creationId xmlns:a16="http://schemas.microsoft.com/office/drawing/2014/main" id="{DCBDC169-D56A-4DA8-A4BE-9CF96DAB9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12" name="Chart 11">
          <a:extLst>
            <a:ext uri="{FF2B5EF4-FFF2-40B4-BE49-F238E27FC236}">
              <a16:creationId xmlns:a16="http://schemas.microsoft.com/office/drawing/2014/main" id="{9F8120F0-23F3-49D0-8890-F8982DB1D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13" name="Chart 12">
          <a:extLst>
            <a:ext uri="{FF2B5EF4-FFF2-40B4-BE49-F238E27FC236}">
              <a16:creationId xmlns:a16="http://schemas.microsoft.com/office/drawing/2014/main" id="{D6E1CF27-5F93-4006-AA59-2C7408EAB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PPE%2013%20month%20by%20su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ppriver3651005964-my.sharepoint.com/COS/PGA/2002/May%20Fil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Users\Dylan%20D'Ascendis\Box%20Sync\Projects\15.1147%20Massanutten%20ROE\Opposition%20Response%20to%20DR\Gorman\ProlawDocs\DEB\0718.1\Analysis\Analysis\248607.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Users\ddascendis\Desktop\Box%20Sync\Projects%20-%20ScottMadden\351-008%20JCP&amp;L%202020%20ROR%20Study\JCP&amp;L%20ROE%20Exhibit-%20DRAFT.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orp\SharedData\SSP-SS\TaxSrvcs\INCOME\2001\2001ftr\SPS\tax_j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lue\team\INCTAX\PROVIS\96ACTUAL\1ST_QTR\CEDEF96.XLW"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Users\rbaudino\Desktop\LGE:KU%202012%20Rate%20Case\Baudino%20Testimony%20and%20Work%20Papers\Avera%20Work%20Papers\LGE_KIUC_Att_1-010_(004)_WEA_2-10.xlsx"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RevSle_121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appriver3651005964-my.sharepoint.com/W/Profiles/kms7245/Local%20Settings/Temporary%20Internet%20Files/OLK8D/Cost%20of%20Capital%20estimated%2012-31-03%20Preliminary%20(1-21-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W\Profiles\kms7245\Local%20Settings\Temporary%20Internet%20Files\OLK8D\Cost%20of%20Capital%20estimated%2012-31-03%20Preliminary%20(1-2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Energas\Amarillo\DefStudyMay01\Exhibits%20May%2001%20Amarillo.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Cases-Active\Water-Sewer\Arizona%20Water%20(15-0277)\AWC%20Workpapers\FLASH%20DRIVE%20FOR%20STAFF%20&amp;%20RUCO\Schedules\2015%20WG%20Rate%20Case%20Mode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COS\PGA\2002\May%20Fil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appriver3651005964-my.sharepoint.com/Users/jejperkins/Documents/Sussex%20Contract/Ameren/Testimony/Electric%20Co%20Ratios%20(SNL%20quarterly%20data)%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evvfil04\user07$\Evansville\SPCCRESULTS\TPPM\FBC3%20calcs%2006082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appriver3651005964-my.sharepoint.com/Users/jnelson/Box%20Sync/Projects%20-%20ScottMadden/395-001%20EPE%20TX%20ROE%20Testimony/Opposing%20Witness%20Testimony/Exhibit%20MPG-12-MPG-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Users\mhoward\Box%20Sync\Projects%20-%20ScottMadden\404-002%20SUEZ%20PA%20ROR%20Study\Rebuttal\Copy%20of%20Rebuttal%20Exhibit%20Suez%207.26.18%20RMK.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appriver3651005964-my.sharepoint.com/Users/mhoward/Box%20Sync/Projects%20-%20ScottMadden/404-002%20SUEZ%20PA%20ROR%20Study/Rebuttal/Copy%20of%20Rebuttal%20Exhibit%20Suez%207.26.18%20RM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center\Utility%20Services%20Data\13-0191%20-%20San%20Jose%20Water%20(09)(PMA)\13-0172%20-%20Missouri%20American%20(PMA)\Rebuttal\Janous'%20Corrected%20CAP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frc\Rate%20Case\Rate%20Case%20Info\RATE%20CASE%2096\SUPL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ppriver3651005964-my.sharepoint.com/Documents%20and%20Settings/jlm8149/Local%20Settings/Temporary%20Internet%20Files/OLK5C/Cost%20of%20Capital%20estimated%2012-31-04%20(1-24-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ocuments%20and%20Settings\jlm8149\Local%20Settings\Temporary%20Internet%20Files\OLK5C\Cost%20of%20Capital%20estimated%2012-31-04%20(1-24-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RA\94E3\BASE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2007%20Excel%20COS%20Programs\COSS_Book_SumCP_45a\SYSTEM_CLASS_ALLOCATION-2007-SumCP-BOOK.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buchanan\My%20Documents\bbfiles\Colorado\CO%202005-06%20GCA\AppendixA%202005-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EMP\Cash%20Working%20Capital\Cash%20Working%20Capit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bfiles\Colorado\Study%201202\AppendixA2002-12%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SharedData\PROPACCT\PACON\PPE\PJUN\PP69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Greeley\Kansas\Study%203-31-01\Kansas%20Study%203-31-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TEMPLATE\Testimony%20Templates\Econ.%20data%20&amp;%20graphs\Testimony%20draft%20to%20be%20updated\historical.Graphs-testimony%20ready-revis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ppriver3651005964-my.sharepoint.com/TEMPLATE/Testimony%20Templates/Econ.%20data%20&amp;%20graphs/Testimony%20draft%20to%20be%20updated/historical.Graphs-testimony%20ready-revis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nsultbai.local\documents\Documents%20and%20Settings\sminer\Local%20Settings\Temporary%20Internet%20Files\OLK12\Documents%20and%20Settings\sminer\My%20Documents\GCA%2050\New%20WEEKLY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ppriver3651005964-my.sharepoint.com/Users/RyanKucan/Box%20Sync/Projects%20-%20Sussex/16.1246%20Dominion%20NC%20ROE/Rebuttal%20Testimony/Supporting%20Analyses/forward%20interpolated%20yield%20curv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Users\RyanKucan\Box%20Sync\Projects%20-%20Sussex\16.1246%20Dominion%20NC%20ROE\Rebuttal%20Testimony\Supporting%20Analyses\forward%20interpolated%20yield%20curve.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appriver3651005964-my.sharepoint.com/COS/Annual%20Rpts/WY/2000/GA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COS\Annual%20Rpts\WY\2000\G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TEMPLATE\Testimony%20Templates\Econ.%20data%20&amp;%20graphs\Testimony%20draft%20to%20be%20updated\historical.Graphs-testimony%20ready-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EMPLATE\Testimony%20Templates\Econ.%20data%20&amp;%20graphs\Testimony%20draft%20to%20be%20updated\historical.Graphs-testimony%20ready-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SharedData\TaxSrvcs\INCOME\1998\1998ftr\PSC1\sched_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032r7\names.wk4"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appriver3651005964-my.sharepoint.com/Electric/2014%20Rate%20Cases/Final%20Schedules/historical.Graphs-testimony%20ready-revised%20updat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eg_Acct\OKLAHOMA\Rate%20Case%20Master%20File-OK\MFR%20by%20Letter\WP%20H's%20backup%20worksheet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Supplemental_Data_from_the_Order%2003120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cp-wpp-ap67.pepcoholdings.biz/CaseWorks/225/DirectTestimony/Library/Morin/Morin%20Exhibits%20Delmarva%20Del%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xcelenergy.com\SharedData\General-Offices-GO\INCTAX\PROVIS\Old%20Link%20Fil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rp\SharedData\TaxSrvcs\TaxDepr\fit00\Psc\psc.xlw"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072013%20RTP%20Product%20Reporting_July%20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045R8\NAMES.WK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ook1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xcelenergy.com\SharedData\General-Offices-GO\INCTAX\03RTN\TRUEUP03.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ATOK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Users\rafernandez\Downloads\Attachment%20OCC%204-11%20Vilbert%20Workpaper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Users\Keith\AppData\Local\Microsoft\Windows\Temporary%20Internet%20Files\Content.IE5\ATH1HVOP\Hevert%20Rebuttal%20Workpapers%2007-1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Revenue%20Requirements\Mid-States\VIRGINIA\2003%20AIF\2003%2009%20AIF\REVISED%202003%2009%20FILED%20AI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Users\Joshua%20Nowak\Box%20Sync\Projects\14.1122%20Ameren%20IL%20Gas%20ROE\Rebuttal\Analysis\Exhibits\Gorman%20Corrected%20DCF%20(needs%20serious%20editing).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Users\dcp.TAI-M056\AppData\Local\Microsoft\Windows\Temporary%20Internet%20Files\Content.Outlook\HI6E25ND\SPIEGEL-#266564-v3-Risk_Premium_Adjustment_Exhibits_Upd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center\usg\Utility%20Services%20Data\13-0191%20-%20San%20Jose%20Water%20(09)(PMA)\13-0172%20-%20Missouri%20American%20(PMA)\Rebuttal\Janous'%20Corrected%20CAP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Users\Dylan%20D'Ascendis\Box%20Sync\Return%20on%20Equity\ROE%20Models\Bloomberg\Bloomberg%20output\Beta%20Work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Users\Bloomberg\Box%20Sync\Return%20on%20Equity\ROE%20Models\Bloomberg\Beta%20Workboo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appriver3651005964-my.sharepoint.com/Users/Bloomberg/Box%20Sync/Return%20on%20Equity/ROE%20Models/Bloomberg/Beta%20Workbo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ppriver3651005964-my.sharepoint.com/COS/ANNLRPTS/WY/98/GAS.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appriver3651005964-my.sharepoint.com/Users/RBOld/Library/Mobile%20Documents/com~apple~CloudDocs/Green%20Mountain%20Power%202017%20Rate%20Case/Baudino%20Work%20Papers%20and%20Exhibits/192.168.1.15/ceadata/FINANC/AFUDC/AFUDC%202002/AFUDC2002%20Forecast%20All%20Cos%20Act.%20thru%20Mar.xls?E4186BD9" TargetMode="External"/><Relationship Id="rId1" Type="http://schemas.openxmlformats.org/officeDocument/2006/relationships/externalLinkPath" Target="file:///\\E4186BD9\AFUDC2002%20Forecast%20All%20Cos%20Act.%20thru%20M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Revenue%20Requirements\Mid-States\Missouri\2005%20Sept%2030\Missouri%20Study%20ending%209-3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nsultbai.local\documents\Users\MMC.BRUBAKER\Documents\AIC%20RP.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ppriver3651005964-my.sharepoint.com/TaxSrvcs/INCOME/1998/tax_pymts/summa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TaxSrvcs\INCOME\1998\tax_pymts\summar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Users\Dylan%20D'Ascendis\Box%20Sync\Projects%20-%20ScottMadden\335-003%20Aqua%20IL%20ROR%20Study\Rebuttal\Freetly%20WP%20SM%20Modifi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appriver3651005964-my.sharepoint.com/Users/igustafson/Box%20Sync/Projects%20-%20ScottMadden/676-010%20Ameren%20IL%202020%20ROE%20Testimony/Surrebuttal%20Testimony/Workpapers/Ameren%20Surrebuttal%20Workpaper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Users\Joshua%20Nowak\Box%20Sync\Projects\14.1122%20Ameren%20IL%20Gas%20ROE\Rebuttal\Analysis\Exhibits\Staff%20Corrections%20and%20Auth%20ROE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priver3651005964-my.sharepoint.com/Users/tmou/Box/Projects%20-%20ScottMadden/364-002%20ETI%202018%20Base%20Rate%20Case%20Filing%20Support/Rebuttal/Supporting%20Analysis/MPG-3%20-%20PLAY.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Volumes\HP%20v125w\FPL%202012%20Rate%20Case\Baudino%20Testimony%20and%20Work%20Papers\TREASURY%20(AVERA)%20-%20OPC%203rd%20POD.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COS\ANNLRPTS\WY\98\G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Users\mkerrigan\Box\Projects%20-%20ScottMadden\363-002%20Alaska%20Power%202020%20Rate%20Case%20Support\Rebuttal\Exhibit\D'Ascendis%20Rebuttal%20Exhibit%20APC_GL_BBLH.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aiecon\COMMON\CASES\TAI\07%20Cases\0704%20PEPCO\Schedules\Pepco%20Schedu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Users\AdamPerry\Documents\My%20Box%20Files\Return%20on%20Equity\ROE%20Models\Business%20Segment%20Data\2013\Business%20Segment%20Data%202013_5_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rp\SharedData\TaxSrvcs\INCOME\1997\ACCRUAL\CHY97ACC.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https://dav.box.com/(02800-02899)%20-%20Projects/02816%20-%20National%20Grid%20ROE%20Narragansett%20Electric-RI%20Testimony/Direct/ROE%20Supporting%20Analysis/Capital%20Structure/Capital%20Structure%20Analysis%20-%20Combination%20Proxy%20Group%203-16-2012.xlsx?C9141D11" TargetMode="External"/><Relationship Id="rId1" Type="http://schemas.openxmlformats.org/officeDocument/2006/relationships/externalLinkPath" Target="file:///\\C9141D11\Capital%20Structure%20Analysis%20-%20Combination%20Proxy%20Group%203-16-201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ppriver3651005964-my.sharepoint.com/Users/combswr/AppData/Local/Microsoft/Windows/Temporary%20Internet%20Files/Content.Outlook/PPC0MUZ5/Okla%20COS%20Model%20TYE%2012-31-2010%20(FIL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Clients\66120\2002\pen\ss\FAS%2087\2002%20Expense\March%202002\Change%205%20-%20South%20Actual%20Elections%20-%20Starting%20Poi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Users\mhoward\Box%20Sync\Projects%20-%20ScottMadden\335-005%20Aqua%20NC%20ROR%20Study\Opposition\Cooper%20Aqua%20Sub%20497%20Exhibi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east\userprofiles\MYDOCS\AjoWtrSwr\Plant&amp;AccDepr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uey\Shares\PLDocs\JAL\8975\Database\13107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Gas\MGE\MGE%20GR-2006-0422\Schedules\Direct\Atmos%20Schedul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T2746\CLOSE\96\PSC96AC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Ok%20Rate%20Case%202005\FuelPPCogenTYDec20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rp\SharedData\TaxSrvcs\TaxDepr\fe00\ch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Documents%20and%20Settings\Hannes%20Pfeifenberger\Local%20Settings\Temporary%20Internet%20Files\OLKCC\1134_Whistling_In_The_Wind\wks\Filed%20Items%20May%208%202002\1134%20Electric%202002%20DC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FINANCE\Frej\2009%20-%202010%20Utilities%20Inc%20rate%20cases\Water%20Sample\09-0548-549%20UI%20water%20sample%20non-constant%20DCF%20-%20growth%20test%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rafernandez\Downloads\ATMOS%20ROE%20Exhibits%20AEB-1%20-%20AEB-1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Documents%20and%20Settings\hevert\My%20Documents\DATA\Sussex\Model\Proxy%20group%20screen%20as%20of%2011-30-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ppriver3651005964-my.sharepoint.com/Users/Dylan%20D'Ascendis/Box%20Sync/Projects%20-%20ScottMadden/335-003%20Aqua%20IL%20ROR%20Study/Rebuttal/Freetly%20WP%20SM%20Modified.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cos1298\AJK.xlw"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center\usg\Utility%20Services%20Data\13-0194%20-%20Illinois%20Amer.%20(09)(PMA)\Exhibit%20IL%20Am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ppriver3651005964-my.sharepoint.com/RD/MTGAS/2014%20Case/2014%20RateDesignMT.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Users\ddascendis\Box%20Sync\Projects%20-%20ScottMadden\369-004%20USI%20Water%20&amp;%20Sewer%20IL%20ROR%20Study\Rebuttal\Exhibit\Final%20Exhibits%20&amp;%20elec.%20WP\PMA%20Rebuttal%20Exhibit.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uey\Shares\Documents%20and%20Settings\Mga\Local%20Settings\Temporary%20Internet%20Files\OLK1A\Selection_sk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Users\tmou\Box\Projects%20-%20ScottMadden\364-002%20ETI%202018%20Base%20Rate%20Case%20Filing%20Support\Rebuttal\Supporting%20Analysis\MPG-3%20-%20PLAY.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av.box.com/(02800-02899)%20-%20Projects/02815%20-%20National%20Grid%20ROE%20Niagara%20Mohawk-NY%20Testimony/ROE%20Supporting%20Analyses/Stay-Out%20Premium/Stay%20Out%20Premium.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032r8\NAMES.WK4"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Reg_Acct\Combs%20COS%20&amp;%20REG%20Info\MAC%20COS%20Model\ARK%20COS%20Model%20TEST%20V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Users\Jennifer%20Nelson\Box%20Sync\Projects\15.1192%20PNM%20ROE%20Testimony%20Re-filing\August%202015%20Filing\Direct%20Testimony\Supporting%20Analysis\Capital%20Structure%20Q4201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Users\dcp.TAI-M056\AppData\Local\Microsoft\Windows\Temporary%20Internet%20Files\Content.Outlook\HI6E25ND\CASES\TAI\06%20Cases\0636%20%20UNS%20Gas\UNS%20Gas%20Schedu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appriver3651005964-my.sharepoint.com/General%20Ledger%20Accounting/ADI%20Vouchers/Amanda's%20ADI%20Vouchers/FY2013/January%202013/Uploaded/010-109%20MTM%20Jan-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General%20Ledger%20Accounting\ADI%20Vouchers\Amanda's%20ADI%20Vouchers\FY2013\January%202013\Uploaded\010-109%20MTM%20Jan-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D\MTGAS\2014%20Case\2014%20RateDesignMT.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ocuments%20and%20Settings\Bruce\Local%20Settings\Temporary%20Internet%20Files\OLK66\MD%209311%20Bill%20Comp%20TBO%20v4.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OKQF11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FINANCE\Frej\2009%20-%202010%20Utilities%20Inc%20rate%20cases\Utility%20Sample\09-0548-549%20UI%20utility%20sample%20non-constant%20DCF%20growth%20test%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rp\SharedData\T1088\EXCELDOC\1997_SPS_Tax\SFAS109\LIBDEPR.XLS" TargetMode="External"/></Relationships>
</file>

<file path=xl/externalLinks/_rels/externalLink94.xml.rels><?xml version="1.0" encoding="UTF-8" standalone="yes"?>
<Relationships xmlns="http://schemas.openxmlformats.org/package/2006/relationships"><Relationship Id="rId2" Type="http://schemas.microsoft.com/office/2019/04/relationships/externalLinkLongPath" Target="/Documents%20and%20Settings/Bruce/Local%20Settings/Temporary%20Internet%20Files/OLK66/&#1053;&#1086;&#1074;&#1099;&#1081;%20&#1084;&#1086;&#1079;&#1075;&#1072;Users/timoliver/Dropbox/.dropbox.cache/2011-07-26/Staff%20DR%205-1%20Hanley%20Electronic%20Exhs%20(BRO)%20(deleted%204e2d0f62-deafd-11986140).xlsx?B320DD0F" TargetMode="External"/><Relationship Id="rId1" Type="http://schemas.openxmlformats.org/officeDocument/2006/relationships/externalLinkPath" Target="file:///\\B320DD0F\Staff%20DR%205-1%20Hanley%20Electronic%20Exhs%20(BRO)%20(deleted%204e2d0f62-deafd-11986140).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uey\Shares\PLDocs\JAL\8767\Exhibit\Selection%20-%20Wepc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frc\Rate%20Case\Rate%20Case%20Info\RATE%20CASE%2096\SUPMENT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bus_intg\Rate%20Case_01\MSFR_Wps%20&amp;%20Scheds%20to%20file\RATECAS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appriver3651005964-my.sharepoint.com/Users/bhevert/Downloads/Schedules%20MPG-5%20-%20MPG-12,%20MPG-18%20-%20MPG-19,%20and%20MPG-21.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orp\SharedData\ERICA\SFAS109\MAY9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Electri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
      <sheetName val="Gas Cost Summary"/>
      <sheetName val="MT"/>
      <sheetName val="MT Exh 3"/>
      <sheetName val="ND"/>
      <sheetName val="Margin Sharing"/>
      <sheetName val="ND Exh B"/>
      <sheetName val="SD"/>
      <sheetName val="SD Exh B"/>
      <sheetName val="ER"/>
      <sheetName val="ER Exh D"/>
      <sheetName val="WY"/>
      <sheetName val="WY Non-Core Rev Cr"/>
      <sheetName val="WY Exh 3"/>
      <sheetName val="WY Rate Sum"/>
      <sheetName val="Prepaid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VL Data"/>
      <sheetName val="Master S&amp;P Data"/>
      <sheetName val="Company List"/>
      <sheetName val="Current S&amp;P Ratings"/>
      <sheetName val="Case VL Data"/>
      <sheetName val="Case S&amp;P Ratings Direct Data"/>
    </sheetNames>
    <sheetDataSet>
      <sheetData sheetId="0">
        <row r="10">
          <cell r="A10">
            <v>37</v>
          </cell>
        </row>
        <row r="12">
          <cell r="B12" t="str">
            <v>ALE</v>
          </cell>
          <cell r="C12" t="str">
            <v>ALLETE, Inc.</v>
          </cell>
          <cell r="E12">
            <v>0.49</v>
          </cell>
          <cell r="F12">
            <v>0.8</v>
          </cell>
          <cell r="G12">
            <v>0.55400000000000005</v>
          </cell>
          <cell r="I12">
            <v>41.4</v>
          </cell>
          <cell r="J12">
            <v>47.5</v>
          </cell>
          <cell r="L12">
            <v>32.44</v>
          </cell>
          <cell r="M12">
            <v>39.75</v>
          </cell>
          <cell r="O12">
            <v>1.9</v>
          </cell>
          <cell r="P12">
            <v>2.2999999999999998</v>
          </cell>
          <cell r="R12">
            <v>2.63</v>
          </cell>
          <cell r="S12">
            <v>3.75</v>
          </cell>
          <cell r="U12">
            <v>41719</v>
          </cell>
        </row>
      </sheetData>
      <sheetData sheetId="1"/>
      <sheetData sheetId="2"/>
      <sheetData sheetId="3">
        <row r="2">
          <cell r="B2" t="str">
            <v>Corporate credit rating*</v>
          </cell>
        </row>
        <row r="3">
          <cell r="A3" t="str">
            <v>Madison Gas &amp; Electric Co.</v>
          </cell>
          <cell r="B3" t="str">
            <v>AA-/Stable/A-1+</v>
          </cell>
          <cell r="C3" t="str">
            <v>Excellent</v>
          </cell>
          <cell r="D3" t="str">
            <v>Intermediate</v>
          </cell>
          <cell r="E3" t="str">
            <v>Adequate</v>
          </cell>
        </row>
        <row r="4">
          <cell r="B4" t="str">
            <v>A+/Stable/--</v>
          </cell>
        </row>
        <row r="5">
          <cell r="B5" t="str">
            <v>A+/Stable/A-1</v>
          </cell>
        </row>
        <row r="6">
          <cell r="B6" t="str">
            <v>A+/Stable/--</v>
          </cell>
        </row>
        <row r="7">
          <cell r="B7" t="str">
            <v>A+/Stable/A-1</v>
          </cell>
        </row>
        <row r="8">
          <cell r="B8" t="str">
            <v>A+/Stable/A-1</v>
          </cell>
        </row>
        <row r="9">
          <cell r="B9" t="str">
            <v>A+/Stable/--</v>
          </cell>
        </row>
        <row r="10">
          <cell r="B10" t="str">
            <v>A+/Stable/--</v>
          </cell>
        </row>
        <row r="11">
          <cell r="B11" t="str">
            <v>A+/Stable/--</v>
          </cell>
        </row>
        <row r="12">
          <cell r="B12" t="str">
            <v>A+/Stable/A-1</v>
          </cell>
        </row>
        <row r="13">
          <cell r="B13" t="str">
            <v>A+/Stable/--</v>
          </cell>
        </row>
        <row r="14">
          <cell r="B14" t="str">
            <v>A/Stable/--</v>
          </cell>
        </row>
        <row r="15">
          <cell r="B15" t="str">
            <v>A/Stable/A-1</v>
          </cell>
        </row>
        <row r="16">
          <cell r="B16" t="str">
            <v>A/Stable/A-1</v>
          </cell>
        </row>
        <row r="17">
          <cell r="B17" t="str">
            <v>A/Stable/A-1</v>
          </cell>
        </row>
        <row r="18">
          <cell r="B18" t="str">
            <v>A/Stable/--</v>
          </cell>
        </row>
        <row r="19">
          <cell r="B19" t="str">
            <v>A/Stable/A-1</v>
          </cell>
        </row>
        <row r="20">
          <cell r="B20" t="str">
            <v>A/Stable/--</v>
          </cell>
        </row>
        <row r="21">
          <cell r="B21" t="str">
            <v>A/Stable/A-1</v>
          </cell>
        </row>
        <row r="22">
          <cell r="B22" t="str">
            <v>A/Stable/--</v>
          </cell>
        </row>
        <row r="23">
          <cell r="B23" t="str">
            <v>A/Stable/--</v>
          </cell>
        </row>
        <row r="24">
          <cell r="B24" t="str">
            <v>A/Stable/A-1</v>
          </cell>
        </row>
        <row r="25">
          <cell r="B25" t="str">
            <v>A/Stable/--</v>
          </cell>
        </row>
        <row r="26">
          <cell r="B26" t="str">
            <v>A/Negative/A-1</v>
          </cell>
        </row>
        <row r="27">
          <cell r="B27" t="str">
            <v>A/Negative/A-1</v>
          </cell>
        </row>
        <row r="28">
          <cell r="B28" t="str">
            <v>A/Negative/A-1</v>
          </cell>
        </row>
        <row r="29">
          <cell r="B29" t="str">
            <v>A/Negative/A-1</v>
          </cell>
        </row>
        <row r="30">
          <cell r="B30" t="str">
            <v>A/Negative/--</v>
          </cell>
        </row>
        <row r="31">
          <cell r="B31" t="str">
            <v>A/Negative/--</v>
          </cell>
        </row>
        <row r="32">
          <cell r="B32" t="str">
            <v>A/Negative/A-1</v>
          </cell>
        </row>
        <row r="33">
          <cell r="B33" t="str">
            <v>A-/Stable/--</v>
          </cell>
        </row>
        <row r="34">
          <cell r="B34" t="str">
            <v>A-/Stable/--</v>
          </cell>
        </row>
        <row r="35">
          <cell r="B35" t="str">
            <v>A-/Stable/A-2</v>
          </cell>
        </row>
        <row r="36">
          <cell r="B36" t="str">
            <v>A-/Stable/A-2</v>
          </cell>
        </row>
        <row r="37">
          <cell r="B37" t="str">
            <v>A-/Stable/--</v>
          </cell>
        </row>
        <row r="38">
          <cell r="B38" t="str">
            <v>A-/Stable/--</v>
          </cell>
        </row>
        <row r="39">
          <cell r="B39" t="str">
            <v>A-/Stable/A-2</v>
          </cell>
        </row>
        <row r="40">
          <cell r="B40" t="str">
            <v>A-/Stable/A-2</v>
          </cell>
        </row>
        <row r="41">
          <cell r="B41" t="str">
            <v>A-/Stable/A-2</v>
          </cell>
        </row>
        <row r="42">
          <cell r="B42" t="str">
            <v>A-/Stable/--</v>
          </cell>
        </row>
        <row r="43">
          <cell r="B43" t="str">
            <v>A-/Stable/A-2</v>
          </cell>
        </row>
        <row r="44">
          <cell r="B44" t="str">
            <v>A-/Stable/--</v>
          </cell>
        </row>
        <row r="45">
          <cell r="B45" t="str">
            <v>A-/Stable/--</v>
          </cell>
        </row>
        <row r="46">
          <cell r="B46" t="str">
            <v>A-/Stable/A-2</v>
          </cell>
        </row>
        <row r="47">
          <cell r="B47" t="str">
            <v>A-/Stable/--</v>
          </cell>
        </row>
        <row r="48">
          <cell r="B48" t="str">
            <v>A-/Stable/--</v>
          </cell>
        </row>
        <row r="49">
          <cell r="B49" t="str">
            <v>A-/Stable/--</v>
          </cell>
        </row>
        <row r="50">
          <cell r="B50" t="str">
            <v>A-/Stable/--</v>
          </cell>
        </row>
        <row r="51">
          <cell r="B51" t="str">
            <v>A-/Stable/--</v>
          </cell>
        </row>
        <row r="52">
          <cell r="B52" t="str">
            <v>A-/Stable/--</v>
          </cell>
        </row>
        <row r="53">
          <cell r="B53" t="str">
            <v>A-/Stable/--</v>
          </cell>
        </row>
        <row r="54">
          <cell r="B54" t="str">
            <v>A-/Stable/--</v>
          </cell>
        </row>
        <row r="55">
          <cell r="B55" t="str">
            <v>A-/Stable/--</v>
          </cell>
        </row>
        <row r="56">
          <cell r="B56" t="str">
            <v>A-/Stable/A-2</v>
          </cell>
        </row>
        <row r="57">
          <cell r="B57" t="str">
            <v>A-/Stable/A-2</v>
          </cell>
        </row>
        <row r="58">
          <cell r="B58" t="str">
            <v>A-/Stable/A-2</v>
          </cell>
        </row>
        <row r="59">
          <cell r="B59" t="str">
            <v>A-/Stable/A-2</v>
          </cell>
        </row>
        <row r="60">
          <cell r="B60" t="str">
            <v>A-/Stable/--</v>
          </cell>
        </row>
        <row r="61">
          <cell r="B61" t="str">
            <v>A-/Stable/A-2</v>
          </cell>
        </row>
        <row r="62">
          <cell r="B62" t="str">
            <v>A-/Stable/A-2</v>
          </cell>
        </row>
        <row r="63">
          <cell r="B63" t="str">
            <v>A-/Stable/--</v>
          </cell>
        </row>
        <row r="64">
          <cell r="B64" t="str">
            <v>A-/Stable/A-2</v>
          </cell>
        </row>
        <row r="65">
          <cell r="B65" t="str">
            <v>A-/Stable/A-2</v>
          </cell>
        </row>
        <row r="66">
          <cell r="B66" t="str">
            <v>A-/Stable/A-2</v>
          </cell>
        </row>
        <row r="67">
          <cell r="B67" t="str">
            <v>A-/Stable/A-2</v>
          </cell>
        </row>
        <row r="68">
          <cell r="B68" t="str">
            <v>A-/Stable/A-2</v>
          </cell>
        </row>
        <row r="69">
          <cell r="B69" t="str">
            <v>A-/Stable/A-2</v>
          </cell>
        </row>
        <row r="70">
          <cell r="B70" t="str">
            <v>A-/Stable/A-2</v>
          </cell>
        </row>
        <row r="71">
          <cell r="B71" t="str">
            <v>A-/Stable/A-2</v>
          </cell>
        </row>
        <row r="72">
          <cell r="B72" t="str">
            <v>A-/Stable/--</v>
          </cell>
        </row>
        <row r="73">
          <cell r="B73" t="str">
            <v>A-/Stable/A-2</v>
          </cell>
        </row>
        <row r="74">
          <cell r="B74" t="str">
            <v>A-/Stable/A-2</v>
          </cell>
        </row>
        <row r="75">
          <cell r="B75" t="str">
            <v>A-/Stable/A-2</v>
          </cell>
        </row>
        <row r="76">
          <cell r="B76" t="str">
            <v>A-/Stable/A-2</v>
          </cell>
        </row>
        <row r="77">
          <cell r="B77" t="str">
            <v>A-/Stable</v>
          </cell>
        </row>
        <row r="78">
          <cell r="B78" t="str">
            <v>A-/Stable/A-2</v>
          </cell>
        </row>
        <row r="79">
          <cell r="B79" t="str">
            <v>A-/Stable/A-2</v>
          </cell>
        </row>
        <row r="80">
          <cell r="B80" t="str">
            <v>A-/Stable/A-2</v>
          </cell>
        </row>
        <row r="81">
          <cell r="B81" t="str">
            <v>A-/Stable/--</v>
          </cell>
        </row>
        <row r="82">
          <cell r="B82" t="str">
            <v>A-/Stable/A-2</v>
          </cell>
        </row>
        <row r="83">
          <cell r="B83" t="str">
            <v>A-/Stable/A-2</v>
          </cell>
        </row>
        <row r="84">
          <cell r="B84" t="str">
            <v>A-/Stable/A-2</v>
          </cell>
        </row>
        <row r="85">
          <cell r="B85" t="str">
            <v>A-/Stable/--</v>
          </cell>
        </row>
        <row r="86">
          <cell r="B86" t="str">
            <v>A-/Stable/A-2</v>
          </cell>
        </row>
        <row r="87">
          <cell r="B87" t="str">
            <v>A-/Stable/A-2</v>
          </cell>
        </row>
        <row r="88">
          <cell r="B88" t="str">
            <v>A-/Stable/A-2</v>
          </cell>
        </row>
        <row r="89">
          <cell r="B89" t="str">
            <v>A-/Stable/A-2</v>
          </cell>
        </row>
        <row r="90">
          <cell r="B90" t="str">
            <v>A-/Stable/A-2</v>
          </cell>
        </row>
        <row r="91">
          <cell r="B91" t="str">
            <v>A-/Stable/--</v>
          </cell>
        </row>
        <row r="92">
          <cell r="B92" t="str">
            <v>A-/Stable/--</v>
          </cell>
        </row>
        <row r="93">
          <cell r="B93" t="str">
            <v>BBB+/Stable/--</v>
          </cell>
        </row>
        <row r="94">
          <cell r="B94" t="str">
            <v>BBB+/Stable/A-2</v>
          </cell>
        </row>
        <row r="95">
          <cell r="B95" t="str">
            <v>BBB+/Stable/A-2</v>
          </cell>
        </row>
        <row r="96">
          <cell r="B96" t="str">
            <v>BBB+/Stable/--</v>
          </cell>
        </row>
        <row r="97">
          <cell r="B97" t="str">
            <v>BBB+/Stable/--</v>
          </cell>
        </row>
        <row r="98">
          <cell r="B98" t="str">
            <v>BBB+/Stable/--</v>
          </cell>
        </row>
        <row r="99">
          <cell r="B99" t="str">
            <v>BBB+/Stable/--</v>
          </cell>
        </row>
        <row r="100">
          <cell r="B100" t="str">
            <v>BBB+/Stable/A-2</v>
          </cell>
        </row>
        <row r="101">
          <cell r="B101" t="str">
            <v>BBB+/Stable/--</v>
          </cell>
        </row>
        <row r="102">
          <cell r="B102" t="str">
            <v>BBB+/Stable/--</v>
          </cell>
        </row>
        <row r="103">
          <cell r="B103" t="str">
            <v>BBB+/Stable/--</v>
          </cell>
        </row>
        <row r="104">
          <cell r="B104" t="str">
            <v>BBB+/Stable/A-2</v>
          </cell>
        </row>
        <row r="105">
          <cell r="B105" t="str">
            <v>BBB+/Stable/A-2</v>
          </cell>
        </row>
        <row r="106">
          <cell r="B106" t="str">
            <v>BBB+/Stable/A-2</v>
          </cell>
        </row>
        <row r="107">
          <cell r="B107" t="str">
            <v>BBB+/Stable/--</v>
          </cell>
        </row>
        <row r="108">
          <cell r="B108" t="str">
            <v>BBB+/Stable/A-2</v>
          </cell>
        </row>
        <row r="109">
          <cell r="B109" t="str">
            <v>BBB+/Stable/A-2</v>
          </cell>
        </row>
        <row r="110">
          <cell r="B110" t="str">
            <v>BBB+/Stable/A-2</v>
          </cell>
        </row>
        <row r="111">
          <cell r="B111" t="str">
            <v>BBB+/Stable/A-2</v>
          </cell>
        </row>
        <row r="112">
          <cell r="B112" t="str">
            <v>BBB+/Stable/A-2</v>
          </cell>
        </row>
        <row r="113">
          <cell r="B113" t="str">
            <v>BBB+/Stable/A-2</v>
          </cell>
        </row>
        <row r="114">
          <cell r="B114" t="str">
            <v>BBB+/Stable/A-2</v>
          </cell>
        </row>
        <row r="115">
          <cell r="B115" t="str">
            <v>BBB+/Stable/A-2</v>
          </cell>
        </row>
        <row r="116">
          <cell r="B116" t="str">
            <v>BBB+/Stable/A-2</v>
          </cell>
        </row>
        <row r="117">
          <cell r="B117" t="str">
            <v>BBB+/Stable/A-2</v>
          </cell>
        </row>
        <row r="118">
          <cell r="B118" t="str">
            <v>BBB+/Stable/A-2</v>
          </cell>
        </row>
        <row r="119">
          <cell r="B119" t="str">
            <v>BBB+/Stable/A-2</v>
          </cell>
        </row>
        <row r="120">
          <cell r="B120" t="str">
            <v>BBB+/Stable/--</v>
          </cell>
        </row>
        <row r="121">
          <cell r="B121" t="str">
            <v>BBB+/Stable/--</v>
          </cell>
        </row>
        <row r="122">
          <cell r="B122" t="str">
            <v>BBB+/Stable/A-2</v>
          </cell>
        </row>
        <row r="123">
          <cell r="B123" t="str">
            <v>BBB+/Stable/A-2</v>
          </cell>
        </row>
        <row r="124">
          <cell r="B124" t="str">
            <v>BBB+/Stable/A-2</v>
          </cell>
        </row>
        <row r="125">
          <cell r="B125" t="str">
            <v>BBB+/Stable/--</v>
          </cell>
        </row>
        <row r="126">
          <cell r="B126" t="str">
            <v>BBB+/Stable/--</v>
          </cell>
        </row>
        <row r="127">
          <cell r="B127" t="str">
            <v>BBB+/Stable/--</v>
          </cell>
        </row>
        <row r="128">
          <cell r="B128" t="str">
            <v>BBB+/Stable/A-2</v>
          </cell>
        </row>
        <row r="129">
          <cell r="B129" t="str">
            <v>BBB+/Stable/A-2</v>
          </cell>
        </row>
        <row r="130">
          <cell r="B130" t="str">
            <v>BBB+/Stable/A-2</v>
          </cell>
        </row>
        <row r="131">
          <cell r="B131" t="str">
            <v>BBB+/Stable/A-2</v>
          </cell>
        </row>
        <row r="132">
          <cell r="B132" t="str">
            <v>BBB+/Stable/A-2</v>
          </cell>
        </row>
        <row r="133">
          <cell r="B133" t="str">
            <v>BBB+/Stable/A-2</v>
          </cell>
        </row>
        <row r="134">
          <cell r="B134" t="str">
            <v>BBB+/Stable/--</v>
          </cell>
        </row>
        <row r="135">
          <cell r="B135" t="str">
            <v>BBB+/Stable/A-2</v>
          </cell>
        </row>
        <row r="136">
          <cell r="B136" t="str">
            <v>BBB+/Stable/A-2</v>
          </cell>
        </row>
        <row r="137">
          <cell r="B137" t="str">
            <v>BBB+/Negative/A-2</v>
          </cell>
        </row>
        <row r="138">
          <cell r="B138" t="str">
            <v>BBB+/Negative/A-2</v>
          </cell>
        </row>
        <row r="139">
          <cell r="B139" t="str">
            <v>BBB+/Negative/A-2</v>
          </cell>
        </row>
        <row r="140">
          <cell r="B140" t="str">
            <v>BBB/Watch Pos/A-2</v>
          </cell>
        </row>
        <row r="141">
          <cell r="B141" t="str">
            <v>BBB/Watch Pos/A-2</v>
          </cell>
        </row>
        <row r="142">
          <cell r="B142" t="str">
            <v>BBB/Watch Pos/A-2</v>
          </cell>
        </row>
        <row r="143">
          <cell r="B143" t="str">
            <v>BBB/Positive/A-2</v>
          </cell>
        </row>
        <row r="144">
          <cell r="B144" t="str">
            <v>BBB/Positive/--</v>
          </cell>
        </row>
        <row r="145">
          <cell r="B145" t="str">
            <v>BBB/Positive/A-2</v>
          </cell>
        </row>
        <row r="146">
          <cell r="B146" t="str">
            <v>BBB/Positive/A-2</v>
          </cell>
        </row>
        <row r="147">
          <cell r="B147" t="str">
            <v>BBB/Stable/A-2</v>
          </cell>
        </row>
        <row r="148">
          <cell r="B148" t="str">
            <v>BBB/Stable/A-2</v>
          </cell>
        </row>
        <row r="149">
          <cell r="B149" t="str">
            <v>BBB/Stable/A-2</v>
          </cell>
        </row>
        <row r="150">
          <cell r="B150" t="str">
            <v>BBB/Stable/--</v>
          </cell>
        </row>
        <row r="151">
          <cell r="B151" t="str">
            <v>BBB/Stable/--</v>
          </cell>
        </row>
        <row r="152">
          <cell r="B152" t="str">
            <v>BBB/Stable/--</v>
          </cell>
        </row>
        <row r="153">
          <cell r="B153" t="str">
            <v>BBB/Stable/--</v>
          </cell>
        </row>
        <row r="154">
          <cell r="B154" t="str">
            <v>BBB/Stable/--</v>
          </cell>
        </row>
        <row r="155">
          <cell r="B155" t="str">
            <v>BBB/Stable/--</v>
          </cell>
        </row>
        <row r="156">
          <cell r="B156" t="str">
            <v>BBB/Stable/A-2</v>
          </cell>
        </row>
        <row r="157">
          <cell r="B157" t="str">
            <v>BBB/Stable/A-2</v>
          </cell>
        </row>
        <row r="158">
          <cell r="B158" t="str">
            <v>BBB/Stable/--</v>
          </cell>
        </row>
        <row r="159">
          <cell r="B159" t="str">
            <v>BBB/Stable/--</v>
          </cell>
        </row>
        <row r="160">
          <cell r="B160" t="str">
            <v>BBB/Stable/--</v>
          </cell>
        </row>
        <row r="161">
          <cell r="B161" t="str">
            <v>BBB/Stable/--</v>
          </cell>
        </row>
        <row r="162">
          <cell r="B162" t="str">
            <v>BBB/Stable/--</v>
          </cell>
        </row>
        <row r="163">
          <cell r="B163" t="str">
            <v>BBB/Stable/A-2</v>
          </cell>
        </row>
        <row r="164">
          <cell r="B164" t="str">
            <v>BBB/Stable/--</v>
          </cell>
        </row>
        <row r="165">
          <cell r="B165" t="str">
            <v>BBB/Stable/--</v>
          </cell>
        </row>
        <row r="166">
          <cell r="B166" t="str">
            <v>BBB/Stable/--</v>
          </cell>
        </row>
        <row r="167">
          <cell r="B167" t="str">
            <v>BBB/Stable/--</v>
          </cell>
        </row>
        <row r="168">
          <cell r="B168" t="str">
            <v>BBB/Stable/--</v>
          </cell>
        </row>
        <row r="169">
          <cell r="B169" t="str">
            <v>BBB/Stable/--</v>
          </cell>
        </row>
        <row r="170">
          <cell r="B170" t="str">
            <v>BBB/Stable/--</v>
          </cell>
        </row>
        <row r="171">
          <cell r="B171" t="str">
            <v>BBB/Stable/--</v>
          </cell>
        </row>
        <row r="172">
          <cell r="B172" t="str">
            <v>BBB/Stable/--</v>
          </cell>
        </row>
        <row r="173">
          <cell r="B173" t="str">
            <v>BBB/Stable/A-2</v>
          </cell>
        </row>
        <row r="174">
          <cell r="B174" t="str">
            <v>BBB/Stable/A-2</v>
          </cell>
        </row>
        <row r="175">
          <cell r="B175" t="str">
            <v>BBB/Stable/A-2</v>
          </cell>
        </row>
        <row r="176">
          <cell r="B176" t="str">
            <v>BBB/Stable/A-2</v>
          </cell>
        </row>
        <row r="177">
          <cell r="B177" t="str">
            <v>BBB/Stable/--</v>
          </cell>
        </row>
        <row r="178">
          <cell r="B178" t="str">
            <v>BBB/Stable/--</v>
          </cell>
        </row>
        <row r="179">
          <cell r="B179" t="str">
            <v>BBB/Stable/--</v>
          </cell>
        </row>
        <row r="180">
          <cell r="B180" t="str">
            <v>BBB/Stable/--</v>
          </cell>
        </row>
        <row r="181">
          <cell r="B181" t="str">
            <v>BBB/Stable/A-2</v>
          </cell>
        </row>
        <row r="182">
          <cell r="B182" t="str">
            <v>BBB/Stable/--</v>
          </cell>
        </row>
        <row r="183">
          <cell r="B183" t="str">
            <v>BBB/Stable/--</v>
          </cell>
        </row>
        <row r="184">
          <cell r="B184" t="str">
            <v>BBB/Stable/--</v>
          </cell>
        </row>
        <row r="185">
          <cell r="B185" t="str">
            <v>BBB/Stable/--</v>
          </cell>
        </row>
        <row r="186">
          <cell r="B186" t="str">
            <v>BBB/Stable/A-2</v>
          </cell>
        </row>
        <row r="187">
          <cell r="B187" t="str">
            <v>BBB/Stable/--</v>
          </cell>
        </row>
        <row r="188">
          <cell r="B188" t="str">
            <v>BBB/Stable/A-2</v>
          </cell>
        </row>
        <row r="189">
          <cell r="B189" t="str">
            <v>BBB/Stable/--</v>
          </cell>
        </row>
        <row r="190">
          <cell r="B190" t="str">
            <v>BBB/Stable/A-2</v>
          </cell>
        </row>
        <row r="191">
          <cell r="B191" t="str">
            <v>BBB/Stable/--</v>
          </cell>
        </row>
        <row r="192">
          <cell r="B192" t="str">
            <v>BBB/Stable/A-2</v>
          </cell>
        </row>
        <row r="193">
          <cell r="B193" t="str">
            <v>BBB/Stable/A-2</v>
          </cell>
        </row>
        <row r="194">
          <cell r="B194" t="str">
            <v>BBB/Stable/--</v>
          </cell>
        </row>
        <row r="195">
          <cell r="B195" t="str">
            <v>BBB/Stable/--</v>
          </cell>
        </row>
        <row r="196">
          <cell r="B196" t="str">
            <v>BBB/Stable/--</v>
          </cell>
        </row>
        <row r="197">
          <cell r="B197" t="str">
            <v>BBB-/Watch Pos/--</v>
          </cell>
        </row>
        <row r="198">
          <cell r="B198" t="str">
            <v>BBB-/Watch Pos/--</v>
          </cell>
        </row>
        <row r="199">
          <cell r="B199" t="str">
            <v>BBB-/Watch Pos/--</v>
          </cell>
        </row>
        <row r="200">
          <cell r="B200" t="str">
            <v>BBB-/Positive/--</v>
          </cell>
        </row>
        <row r="201">
          <cell r="B201" t="str">
            <v>BBB-/Positive/--</v>
          </cell>
        </row>
        <row r="202">
          <cell r="B202" t="str">
            <v>BBB-/Positive/--</v>
          </cell>
        </row>
        <row r="203">
          <cell r="B203" t="str">
            <v>BBB-/Stable/--</v>
          </cell>
        </row>
        <row r="204">
          <cell r="B204" t="str">
            <v>BBB-/Stable/--</v>
          </cell>
        </row>
        <row r="205">
          <cell r="B205" t="str">
            <v>BBB-/Stable/--</v>
          </cell>
        </row>
        <row r="206">
          <cell r="B206" t="str">
            <v>BBB-/Stable/--</v>
          </cell>
        </row>
        <row r="207">
          <cell r="B207" t="str">
            <v>BBB-/Stable/--</v>
          </cell>
        </row>
        <row r="208">
          <cell r="B208" t="str">
            <v>BBB-/Stable/--</v>
          </cell>
        </row>
        <row r="209">
          <cell r="B209" t="str">
            <v>BBB-/Stable/--</v>
          </cell>
        </row>
        <row r="210">
          <cell r="B210" t="str">
            <v>BBB-/Stable/--</v>
          </cell>
        </row>
        <row r="211">
          <cell r="B211" t="str">
            <v>BBB-/Stable/A-3</v>
          </cell>
        </row>
        <row r="212">
          <cell r="B212" t="str">
            <v>BBB-/Stable/--</v>
          </cell>
        </row>
        <row r="213">
          <cell r="B213" t="str">
            <v>BBB-/Stable/--</v>
          </cell>
        </row>
        <row r="214">
          <cell r="B214" t="str">
            <v>BBB-/Stable/--</v>
          </cell>
        </row>
        <row r="215">
          <cell r="B215" t="str">
            <v>BBB-/Stable/--</v>
          </cell>
        </row>
        <row r="216">
          <cell r="B216" t="str">
            <v>BBB-/Stable/--</v>
          </cell>
        </row>
        <row r="217">
          <cell r="B217" t="str">
            <v>BBB-/Stable/--</v>
          </cell>
        </row>
        <row r="218">
          <cell r="B218" t="str">
            <v>BBB-/Stable/A-3</v>
          </cell>
        </row>
        <row r="219">
          <cell r="B219" t="str">
            <v>BBB-/Stable/--</v>
          </cell>
        </row>
        <row r="220">
          <cell r="B220" t="str">
            <v>BBB-/Stable/A-3</v>
          </cell>
        </row>
        <row r="221">
          <cell r="B221" t="str">
            <v>BBB-/Stable/--</v>
          </cell>
        </row>
        <row r="222">
          <cell r="B222" t="str">
            <v>BBB-/Stable/--</v>
          </cell>
        </row>
        <row r="223">
          <cell r="B223" t="str">
            <v>BBB-/Stable/A-3</v>
          </cell>
        </row>
        <row r="224">
          <cell r="B224" t="str">
            <v>BBB-/Stable/--</v>
          </cell>
        </row>
        <row r="225">
          <cell r="B225" t="str">
            <v>BB+/Positive/--</v>
          </cell>
        </row>
        <row r="226">
          <cell r="B226" t="str">
            <v>BB+/Stable/--</v>
          </cell>
        </row>
        <row r="227">
          <cell r="B227" t="str">
            <v>BB+/Stable/--</v>
          </cell>
        </row>
        <row r="228">
          <cell r="B228" t="str">
            <v>BB/Stable/--</v>
          </cell>
        </row>
        <row r="229">
          <cell r="B229" t="str">
            <v>BB/Stable/--</v>
          </cell>
        </row>
      </sheetData>
      <sheetData sheetId="4"/>
      <sheetData sheetId="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1.1 Recommended Capital Str."/>
      <sheetName val="1.2 Summary of CE Models"/>
      <sheetName val="2.1 DCF Summary"/>
      <sheetName val="2.2 DCF Inad."/>
      <sheetName val="3.1 RP Summary"/>
      <sheetName val="3.2 Ind. PRPM Results"/>
      <sheetName val="3.3 Risk Premium Summary"/>
      <sheetName val="3.4 Moody's Bond Yields"/>
      <sheetName val="3.5 Bond Ratings"/>
      <sheetName val="3.6 MOODY_S&amp;P numbericl"/>
      <sheetName val="3.7 ERP Determination"/>
      <sheetName val="3.8-3.9 Beta Adjusted ERP"/>
      <sheetName val="3.12 S&amp;P RPM Study Returns"/>
      <sheetName val="3.13 Past Rate Cases Elec"/>
      <sheetName val="4.1 CAPM"/>
      <sheetName val="4.2 CAPM Notes"/>
      <sheetName val="5.2 Comp Earnings Criteria"/>
      <sheetName val="5.3 Proxy Group Equivalent"/>
      <sheetName val="6.1 CEM Summary"/>
      <sheetName val="6.2 CEM DCF"/>
      <sheetName val="6.3 CEM RPM Summary"/>
      <sheetName val="6.4 CEM RPM Bond Ratings"/>
      <sheetName val="6.5 CEM Beta Adjusted RP"/>
      <sheetName val="6.6 CEM CAPM Backup"/>
      <sheetName val="7.1 Risk Adjustment"/>
      <sheetName val="7.2 Market Cap"/>
      <sheetName val="8.1 Equity Contributions"/>
      <sheetName val="Chart 1"/>
      <sheetName val="Chart 2"/>
      <sheetName val="2.1 Proxy CapStr Summary"/>
      <sheetName val="2.2 Proxy CapStr"/>
      <sheetName val="Input"/>
      <sheetName val="Market Data"/>
      <sheetName val="Proxy Data Lookup"/>
      <sheetName val="Proxy Price Data"/>
      <sheetName val="Proxy Prices"/>
      <sheetName val="CEM Data Lookup"/>
      <sheetName val="CEM Price Data"/>
      <sheetName val="CEM PricesDivs"/>
      <sheetName val="MRP WP1"/>
      <sheetName val="MRP WP2"/>
      <sheetName val="MRP WP3"/>
      <sheetName val="ERP WP1"/>
      <sheetName val="ERP WP 2"/>
      <sheetName val="MRP ERP WP"/>
      <sheetName val="PRPM WP1"/>
      <sheetName val="3. ALE"/>
      <sheetName val="3. LNT"/>
      <sheetName val="3. AEP"/>
      <sheetName val="3. AVA"/>
      <sheetName val="3. DUK"/>
      <sheetName val="3. EIX"/>
      <sheetName val="3. ETR"/>
      <sheetName val="3. IDA"/>
      <sheetName val="3. ES"/>
      <sheetName val="3. FE"/>
      <sheetName val="3. NWE"/>
      <sheetName val="3. OGE"/>
      <sheetName val="3. OTTR"/>
      <sheetName val="3. PNW"/>
      <sheetName val="3. PNM"/>
      <sheetName val="3. POR"/>
      <sheetName val="3. X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015 (2)"/>
      <sheetName val="DATABASE"/>
      <sheetName val="010098"/>
      <sheetName val="010114"/>
      <sheetName val="13.351260"/>
      <sheetName val="13.351290"/>
      <sheetName val="020015"/>
      <sheetName val="13.149125.05"/>
      <sheetName val="13.149125.08"/>
      <sheetName val="13.149130.05"/>
      <sheetName val="13.149130.08"/>
      <sheetName val="0901BR"/>
      <sheetName val="090017"/>
      <sheetName val="090034"/>
      <sheetName val="090048"/>
      <sheetName val="1001BR"/>
      <sheetName val="100067"/>
      <sheetName val="100244"/>
      <sheetName val="100274"/>
      <sheetName val="1301BR"/>
      <sheetName val="FERC Form 1 Labor pg 354"/>
      <sheetName val="130018"/>
      <sheetName val="130025"/>
      <sheetName val="13.431560"/>
      <sheetName val="130045"/>
      <sheetName val="130058"/>
      <sheetName val="13.331900"/>
      <sheetName val="13.331100"/>
      <sheetName val="130068"/>
      <sheetName val="130078"/>
      <sheetName val="13.337100"/>
      <sheetName val="1301BR (2)"/>
      <sheetName val="140108"/>
      <sheetName val="140118"/>
      <sheetName val="150018"/>
      <sheetName val="170012"/>
      <sheetName val="170028"/>
      <sheetName val="state inc taxes paid"/>
      <sheetName val="180018"/>
      <sheetName val="180025"/>
      <sheetName val="180035"/>
      <sheetName val="aci calc"/>
      <sheetName val="180045"/>
      <sheetName val="200018"/>
      <sheetName val="corptax depr profile adjustment"/>
      <sheetName val="200025"/>
      <sheetName val="auto depr exp"/>
      <sheetName val="220018"/>
      <sheetName val="dep on royalty inc"/>
      <sheetName val="999004.825250"/>
      <sheetName val="220038"/>
      <sheetName val="Depl on Wtr Rghts"/>
      <sheetName val="240015"/>
      <sheetName val="240025"/>
      <sheetName val="250028"/>
      <sheetName val="250038"/>
      <sheetName val="13.151900"/>
      <sheetName val="250095"/>
      <sheetName val="250105"/>
      <sheetName val="250115"/>
      <sheetName val="p &amp; b capitalized"/>
      <sheetName val="2601BR"/>
      <sheetName val="260015"/>
      <sheetName val="260025"/>
      <sheetName val="XXXXXX.723850"/>
      <sheetName val="260035"/>
      <sheetName val="723835 analysis"/>
      <sheetName val="260118"/>
      <sheetName val="260568"/>
      <sheetName val="260815"/>
      <sheetName val="260828"/>
      <sheetName val="260845"/>
      <sheetName val="260855"/>
      <sheetName val="260985"/>
      <sheetName val="260995"/>
      <sheetName val="261005"/>
      <sheetName val="261028"/>
      <sheetName val="261068"/>
      <sheetName val="261105"/>
      <sheetName val="def dr recon"/>
      <sheetName val="261118"/>
      <sheetName val="261248"/>
      <sheetName val="amort pref stk exp &amp; premium"/>
      <sheetName val="cis conversion"/>
      <sheetName val="trial balance"/>
      <sheetName val="Update Dates"/>
      <sheetName val="DSM"/>
      <sheetName val="DSM Detail"/>
      <sheetName val="XXXXXX.723835"/>
      <sheetName val="Income Taxes"/>
    </sheetNames>
    <sheetDataSet>
      <sheetData sheetId="0">
        <row r="1">
          <cell r="A1" t="str">
            <v>Company_Cd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row r="1">
          <cell r="A1" t="str">
            <v>Company_Cd</v>
          </cell>
          <cell r="B1" t="str">
            <v>Company_Desc</v>
          </cell>
          <cell r="C1" t="str">
            <v>Obj_Acct</v>
          </cell>
          <cell r="D1" t="str">
            <v>Posting_Acct_Desc</v>
          </cell>
          <cell r="E1" t="str">
            <v>Dec_Act_LTD</v>
          </cell>
        </row>
        <row r="2">
          <cell r="A2" t="str">
            <v>00013</v>
          </cell>
          <cell r="B2" t="str">
            <v>Southwestern Public Service Co</v>
          </cell>
          <cell r="C2" t="str">
            <v>111100</v>
          </cell>
          <cell r="D2" t="str">
            <v>In Banks and on Hand</v>
          </cell>
          <cell r="E2">
            <v>3462309.48</v>
          </cell>
        </row>
        <row r="3">
          <cell r="A3" t="str">
            <v>00013</v>
          </cell>
          <cell r="B3" t="str">
            <v>Southwestern Public Service Co</v>
          </cell>
          <cell r="C3" t="str">
            <v>111200</v>
          </cell>
          <cell r="D3" t="str">
            <v>Service Deposits</v>
          </cell>
          <cell r="E3">
            <v>0</v>
          </cell>
        </row>
        <row r="4">
          <cell r="A4" t="str">
            <v>00013</v>
          </cell>
          <cell r="B4" t="str">
            <v>Southwestern Public Service Co</v>
          </cell>
          <cell r="C4" t="str">
            <v>111400</v>
          </cell>
          <cell r="D4" t="str">
            <v>Cash In Transit</v>
          </cell>
          <cell r="E4">
            <v>0</v>
          </cell>
        </row>
        <row r="5">
          <cell r="A5" t="str">
            <v>00013</v>
          </cell>
          <cell r="B5" t="str">
            <v>Southwestern Public Service Co</v>
          </cell>
          <cell r="C5" t="str">
            <v>111500</v>
          </cell>
          <cell r="D5" t="str">
            <v>Petty Cash Funds</v>
          </cell>
          <cell r="E5">
            <v>2668.97</v>
          </cell>
        </row>
        <row r="6">
          <cell r="A6" t="str">
            <v>00013</v>
          </cell>
          <cell r="B6" t="str">
            <v>Southwestern Public Service Co</v>
          </cell>
          <cell r="C6" t="str">
            <v>112500</v>
          </cell>
          <cell r="D6" t="str">
            <v>Working Funds</v>
          </cell>
          <cell r="E6">
            <v>6590.64</v>
          </cell>
        </row>
        <row r="7">
          <cell r="A7" t="str">
            <v>00013</v>
          </cell>
          <cell r="B7" t="str">
            <v>Southwestern Public Service Co</v>
          </cell>
          <cell r="C7" t="str">
            <v>113100</v>
          </cell>
          <cell r="D7" t="str">
            <v>Temporary Cash Investments</v>
          </cell>
          <cell r="E7">
            <v>62026988.670000002</v>
          </cell>
        </row>
        <row r="8">
          <cell r="A8" t="str">
            <v>00013</v>
          </cell>
          <cell r="B8" t="str">
            <v>Southwestern Public Service Co</v>
          </cell>
          <cell r="C8" t="str">
            <v>115100</v>
          </cell>
          <cell r="D8" t="str">
            <v>Customer A/R-Utility</v>
          </cell>
          <cell r="E8">
            <v>66695471.609999999</v>
          </cell>
        </row>
        <row r="9">
          <cell r="A9" t="str">
            <v>00013</v>
          </cell>
          <cell r="B9" t="str">
            <v>Southwestern Public Service Co</v>
          </cell>
          <cell r="C9" t="str">
            <v>115500</v>
          </cell>
          <cell r="D9" t="str">
            <v>Prov for Cust A/R-Util Accts</v>
          </cell>
          <cell r="E9">
            <v>-1784618.73</v>
          </cell>
        </row>
        <row r="10">
          <cell r="A10" t="str">
            <v>00013</v>
          </cell>
          <cell r="B10" t="str">
            <v>Southwestern Public Service Co</v>
          </cell>
          <cell r="C10" t="str">
            <v>115900</v>
          </cell>
          <cell r="D10" t="str">
            <v>Prov for Customer A/R-Other</v>
          </cell>
          <cell r="E10">
            <v>1159.73</v>
          </cell>
        </row>
        <row r="11">
          <cell r="A11" t="str">
            <v>00013</v>
          </cell>
          <cell r="B11" t="str">
            <v>Southwestern Public Service Co</v>
          </cell>
          <cell r="C11" t="str">
            <v>116300</v>
          </cell>
          <cell r="D11" t="str">
            <v>Customer A/R</v>
          </cell>
          <cell r="E11">
            <v>2621211.06</v>
          </cell>
        </row>
        <row r="12">
          <cell r="A12" t="str">
            <v>00013</v>
          </cell>
          <cell r="B12" t="str">
            <v>Southwestern Public Service Co</v>
          </cell>
          <cell r="C12" t="str">
            <v>116700</v>
          </cell>
          <cell r="D12" t="str">
            <v>Customer A/R CIS Suspense Acct</v>
          </cell>
          <cell r="E12">
            <v>-11267770.85</v>
          </cell>
        </row>
        <row r="13">
          <cell r="A13" t="str">
            <v>00013</v>
          </cell>
          <cell r="B13" t="str">
            <v>Southwestern Public Service Co</v>
          </cell>
          <cell r="C13" t="str">
            <v>117500</v>
          </cell>
          <cell r="D13" t="str">
            <v>Cust A/R - Suspense Payments</v>
          </cell>
          <cell r="E13">
            <v>0</v>
          </cell>
        </row>
        <row r="14">
          <cell r="A14" t="str">
            <v>00013</v>
          </cell>
          <cell r="B14" t="str">
            <v>Southwestern Public Service Co</v>
          </cell>
          <cell r="C14" t="str">
            <v>118400</v>
          </cell>
          <cell r="D14" t="str">
            <v>Customer Arrangements</v>
          </cell>
          <cell r="E14">
            <v>588018.81999999995</v>
          </cell>
        </row>
        <row r="15">
          <cell r="A15" t="str">
            <v>00013</v>
          </cell>
          <cell r="B15" t="str">
            <v>Southwestern Public Service Co</v>
          </cell>
          <cell r="C15" t="str">
            <v>121170</v>
          </cell>
          <cell r="D15" t="str">
            <v>Employee Loans</v>
          </cell>
          <cell r="E15">
            <v>-605.85</v>
          </cell>
        </row>
        <row r="16">
          <cell r="A16" t="str">
            <v>00013</v>
          </cell>
          <cell r="B16" t="str">
            <v>Southwestern Public Service Co</v>
          </cell>
          <cell r="C16" t="str">
            <v>121175</v>
          </cell>
          <cell r="D16" t="str">
            <v>A/R Wellness</v>
          </cell>
          <cell r="E16">
            <v>-9386.0300000000007</v>
          </cell>
        </row>
        <row r="17">
          <cell r="A17" t="str">
            <v>00013</v>
          </cell>
          <cell r="B17" t="str">
            <v>Southwestern Public Service Co</v>
          </cell>
          <cell r="C17" t="str">
            <v>121180</v>
          </cell>
          <cell r="D17" t="str">
            <v>A/R Auto Loan</v>
          </cell>
          <cell r="E17">
            <v>0</v>
          </cell>
        </row>
        <row r="18">
          <cell r="A18" t="str">
            <v>00013</v>
          </cell>
          <cell r="B18" t="str">
            <v>Southwestern Public Service Co</v>
          </cell>
          <cell r="C18" t="str">
            <v>121185</v>
          </cell>
          <cell r="D18" t="str">
            <v>A/R Heat Pump Empl Ded</v>
          </cell>
          <cell r="E18">
            <v>571682.06000000006</v>
          </cell>
        </row>
        <row r="19">
          <cell r="A19" t="str">
            <v>00013</v>
          </cell>
          <cell r="B19" t="str">
            <v>Southwestern Public Service Co</v>
          </cell>
          <cell r="C19" t="str">
            <v>121190</v>
          </cell>
          <cell r="D19" t="str">
            <v>Def Dr-Heat Pump Empl Conv All</v>
          </cell>
          <cell r="E19">
            <v>254567.96</v>
          </cell>
        </row>
        <row r="20">
          <cell r="A20" t="str">
            <v>00013</v>
          </cell>
          <cell r="B20" t="str">
            <v>Southwestern Public Service Co</v>
          </cell>
          <cell r="C20" t="str">
            <v>121510</v>
          </cell>
          <cell r="D20" t="str">
            <v>A/R Assoc Co Conversion</v>
          </cell>
          <cell r="E20">
            <v>-20384772.309999999</v>
          </cell>
        </row>
        <row r="21">
          <cell r="A21" t="str">
            <v>00013</v>
          </cell>
          <cell r="B21" t="str">
            <v>Southwestern Public Service Co</v>
          </cell>
          <cell r="C21" t="str">
            <v>121520</v>
          </cell>
          <cell r="D21" t="str">
            <v>Interco A/R-Service Billing</v>
          </cell>
          <cell r="E21">
            <v>-22099019.960000001</v>
          </cell>
        </row>
        <row r="22">
          <cell r="A22" t="str">
            <v>00013</v>
          </cell>
          <cell r="B22" t="str">
            <v>Southwestern Public Service Co</v>
          </cell>
          <cell r="C22" t="str">
            <v>121540</v>
          </cell>
          <cell r="D22" t="str">
            <v>A/R from Associated Co</v>
          </cell>
          <cell r="E22">
            <v>40727743.579999998</v>
          </cell>
        </row>
        <row r="23">
          <cell r="A23" t="str">
            <v>00013</v>
          </cell>
          <cell r="B23" t="str">
            <v>Southwestern Public Service Co</v>
          </cell>
          <cell r="C23" t="str">
            <v>121570</v>
          </cell>
          <cell r="D23" t="str">
            <v>N/R from Associated Company</v>
          </cell>
          <cell r="E23">
            <v>-0.03</v>
          </cell>
        </row>
        <row r="24">
          <cell r="A24" t="str">
            <v>00013</v>
          </cell>
          <cell r="B24" t="str">
            <v>Southwestern Public Service Co</v>
          </cell>
          <cell r="C24" t="str">
            <v>122410</v>
          </cell>
          <cell r="D24" t="str">
            <v>Interest Rec-CIS</v>
          </cell>
          <cell r="E24">
            <v>13.55</v>
          </cell>
        </row>
        <row r="25">
          <cell r="A25" t="str">
            <v>00013</v>
          </cell>
          <cell r="B25" t="str">
            <v>Southwestern Public Service Co</v>
          </cell>
          <cell r="C25" t="str">
            <v>122710</v>
          </cell>
          <cell r="D25" t="str">
            <v>Rents Rec-Miscellaneous</v>
          </cell>
          <cell r="E25">
            <v>1200</v>
          </cell>
        </row>
        <row r="26">
          <cell r="A26" t="str">
            <v>00013</v>
          </cell>
          <cell r="B26" t="str">
            <v>Southwestern Public Service Co</v>
          </cell>
          <cell r="C26" t="str">
            <v>123510</v>
          </cell>
          <cell r="D26" t="str">
            <v>Notes Rec</v>
          </cell>
          <cell r="E26">
            <v>553035.6</v>
          </cell>
        </row>
        <row r="27">
          <cell r="A27" t="str">
            <v>00013</v>
          </cell>
          <cell r="B27" t="str">
            <v>Southwestern Public Service Co</v>
          </cell>
          <cell r="C27" t="str">
            <v>123910</v>
          </cell>
          <cell r="D27" t="str">
            <v>A/R Bank Miscellaneous</v>
          </cell>
          <cell r="E27">
            <v>1128.0999999999999</v>
          </cell>
        </row>
        <row r="28">
          <cell r="A28" t="str">
            <v>00013</v>
          </cell>
          <cell r="B28" t="str">
            <v>Southwestern Public Service Co</v>
          </cell>
          <cell r="C28" t="str">
            <v>123970</v>
          </cell>
          <cell r="D28" t="str">
            <v>Other A/R-Cash Items Zip Check</v>
          </cell>
          <cell r="E28">
            <v>8287.5499999999993</v>
          </cell>
        </row>
        <row r="29">
          <cell r="A29" t="str">
            <v>00013</v>
          </cell>
          <cell r="B29" t="str">
            <v>Southwestern Public Service Co</v>
          </cell>
          <cell r="C29" t="str">
            <v>124110</v>
          </cell>
          <cell r="D29" t="str">
            <v>Other A/R Return Chcks #1 Time</v>
          </cell>
          <cell r="E29">
            <v>-219549.11</v>
          </cell>
        </row>
        <row r="30">
          <cell r="A30" t="str">
            <v>00013</v>
          </cell>
          <cell r="B30" t="str">
            <v>Southwestern Public Service Co</v>
          </cell>
          <cell r="C30" t="str">
            <v>124130</v>
          </cell>
          <cell r="D30" t="str">
            <v>Other A/R Return Chcks #2 Time</v>
          </cell>
          <cell r="E30">
            <v>-60465.77</v>
          </cell>
        </row>
        <row r="31">
          <cell r="A31" t="str">
            <v>00013</v>
          </cell>
          <cell r="B31" t="str">
            <v>Southwestern Public Service Co</v>
          </cell>
          <cell r="C31" t="str">
            <v>124160</v>
          </cell>
          <cell r="D31" t="str">
            <v>Other A/R-Agent Pay System</v>
          </cell>
          <cell r="E31">
            <v>11259.57</v>
          </cell>
        </row>
        <row r="32">
          <cell r="A32" t="str">
            <v>00013</v>
          </cell>
          <cell r="B32" t="str">
            <v>Southwestern Public Service Co</v>
          </cell>
          <cell r="C32" t="str">
            <v>124700</v>
          </cell>
          <cell r="D32" t="str">
            <v>A/R Non-Utility Miscellaneous</v>
          </cell>
          <cell r="E32">
            <v>-86352.53</v>
          </cell>
        </row>
        <row r="33">
          <cell r="A33" t="str">
            <v>00013</v>
          </cell>
          <cell r="B33" t="str">
            <v>Southwestern Public Service Co</v>
          </cell>
          <cell r="C33" t="str">
            <v>126100</v>
          </cell>
          <cell r="D33" t="str">
            <v>A/R Damage Claims</v>
          </cell>
          <cell r="E33">
            <v>70.27</v>
          </cell>
        </row>
        <row r="34">
          <cell r="A34" t="str">
            <v>00013</v>
          </cell>
          <cell r="B34" t="str">
            <v>Southwestern Public Service Co</v>
          </cell>
          <cell r="C34" t="str">
            <v>126900</v>
          </cell>
          <cell r="D34" t="str">
            <v>A/R Transmission</v>
          </cell>
          <cell r="E34">
            <v>557663.73</v>
          </cell>
        </row>
        <row r="35">
          <cell r="A35" t="str">
            <v>00013</v>
          </cell>
          <cell r="B35" t="str">
            <v>Southwestern Public Service Co</v>
          </cell>
          <cell r="C35" t="str">
            <v>128700</v>
          </cell>
          <cell r="D35" t="str">
            <v>A/R Joint Trenching</v>
          </cell>
          <cell r="E35">
            <v>0</v>
          </cell>
        </row>
        <row r="36">
          <cell r="A36" t="str">
            <v>00013</v>
          </cell>
          <cell r="B36" t="str">
            <v>Southwestern Public Service Co</v>
          </cell>
          <cell r="C36" t="str">
            <v>129200</v>
          </cell>
          <cell r="D36" t="str">
            <v>A/R Misc XEM</v>
          </cell>
          <cell r="E36">
            <v>-942525.71</v>
          </cell>
        </row>
        <row r="37">
          <cell r="A37" t="str">
            <v>00013</v>
          </cell>
          <cell r="B37" t="str">
            <v>Southwestern Public Service Co</v>
          </cell>
          <cell r="C37" t="str">
            <v>129300</v>
          </cell>
          <cell r="D37" t="str">
            <v>A/R Other Sundry-Public</v>
          </cell>
          <cell r="E37">
            <v>1629493.49</v>
          </cell>
        </row>
        <row r="38">
          <cell r="A38" t="str">
            <v>00013</v>
          </cell>
          <cell r="B38" t="str">
            <v>Southwestern Public Service Co</v>
          </cell>
          <cell r="C38" t="str">
            <v>129780</v>
          </cell>
          <cell r="D38" t="str">
            <v>A/R-ER85-477</v>
          </cell>
          <cell r="E38">
            <v>2564690.5099999998</v>
          </cell>
        </row>
        <row r="39">
          <cell r="A39" t="str">
            <v>00013</v>
          </cell>
          <cell r="B39" t="str">
            <v>Southwestern Public Service Co</v>
          </cell>
          <cell r="C39" t="str">
            <v>134000</v>
          </cell>
          <cell r="D39" t="str">
            <v>Unbilled Revenues</v>
          </cell>
          <cell r="E39">
            <v>-19839497.16</v>
          </cell>
        </row>
        <row r="40">
          <cell r="A40" t="str">
            <v>00013</v>
          </cell>
          <cell r="B40" t="str">
            <v>Southwestern Public Service Co</v>
          </cell>
          <cell r="C40" t="str">
            <v>134000</v>
          </cell>
          <cell r="D40" t="str">
            <v>Unbilled Revenues-KS</v>
          </cell>
          <cell r="E40">
            <v>103916.76</v>
          </cell>
        </row>
        <row r="41">
          <cell r="A41" t="str">
            <v>00013</v>
          </cell>
          <cell r="B41" t="str">
            <v>Southwestern Public Service Co</v>
          </cell>
          <cell r="C41" t="str">
            <v>134000</v>
          </cell>
          <cell r="D41" t="str">
            <v>Unbilled Revenues-NM</v>
          </cell>
          <cell r="E41">
            <v>26753066.079999998</v>
          </cell>
        </row>
        <row r="42">
          <cell r="A42" t="str">
            <v>00013</v>
          </cell>
          <cell r="B42" t="str">
            <v>Southwestern Public Service Co</v>
          </cell>
          <cell r="C42" t="str">
            <v>134000</v>
          </cell>
          <cell r="D42" t="str">
            <v>Unbilled Revenues-OK</v>
          </cell>
          <cell r="E42">
            <v>1184608</v>
          </cell>
        </row>
        <row r="43">
          <cell r="A43" t="str">
            <v>00013</v>
          </cell>
          <cell r="B43" t="str">
            <v>Southwestern Public Service Co</v>
          </cell>
          <cell r="C43" t="str">
            <v>134000</v>
          </cell>
          <cell r="D43" t="str">
            <v>Unbilled Revenues-TX</v>
          </cell>
          <cell r="E43">
            <v>67722178.920000002</v>
          </cell>
        </row>
        <row r="44">
          <cell r="A44" t="str">
            <v>00013</v>
          </cell>
          <cell r="B44" t="str">
            <v>Southwestern Public Service Co</v>
          </cell>
          <cell r="C44" t="str">
            <v>135115</v>
          </cell>
          <cell r="D44" t="str">
            <v>Plant M&amp;S-Constr &amp; Maint</v>
          </cell>
          <cell r="E44">
            <v>14954860.779999999</v>
          </cell>
        </row>
        <row r="45">
          <cell r="A45" t="str">
            <v>00013</v>
          </cell>
          <cell r="B45" t="str">
            <v>Southwestern Public Service Co</v>
          </cell>
          <cell r="C45" t="str">
            <v>135120</v>
          </cell>
          <cell r="D45" t="str">
            <v>Plant M&amp;S-Constr Suspense</v>
          </cell>
          <cell r="E45">
            <v>-2305262.0699999998</v>
          </cell>
        </row>
        <row r="46">
          <cell r="A46" t="str">
            <v>00013</v>
          </cell>
          <cell r="B46" t="str">
            <v>Southwestern Public Service Co</v>
          </cell>
          <cell r="C46" t="str">
            <v>135130</v>
          </cell>
          <cell r="D46" t="str">
            <v>Plant M&amp;S-Dir Chg-Inventory Ad</v>
          </cell>
          <cell r="E46">
            <v>-3772.61</v>
          </cell>
        </row>
        <row r="47">
          <cell r="A47" t="str">
            <v>00013</v>
          </cell>
          <cell r="B47" t="str">
            <v>Southwestern Public Service Co</v>
          </cell>
          <cell r="C47" t="str">
            <v>135135</v>
          </cell>
          <cell r="D47" t="str">
            <v>Plant M&amp;S-Price Variance</v>
          </cell>
          <cell r="E47">
            <v>863205.16</v>
          </cell>
        </row>
        <row r="48">
          <cell r="A48" t="str">
            <v>00013</v>
          </cell>
          <cell r="B48" t="str">
            <v>Southwestern Public Service Co</v>
          </cell>
          <cell r="C48" t="str">
            <v>138140</v>
          </cell>
          <cell r="D48" t="str">
            <v>Purchasing Cost Undist</v>
          </cell>
          <cell r="E48">
            <v>-637359.1</v>
          </cell>
        </row>
        <row r="49">
          <cell r="A49" t="str">
            <v>00013</v>
          </cell>
          <cell r="B49" t="str">
            <v>Southwestern Public Service Co</v>
          </cell>
          <cell r="C49" t="str">
            <v>138185</v>
          </cell>
          <cell r="D49" t="str">
            <v>Warehousing Cost Undist</v>
          </cell>
          <cell r="E49">
            <v>-283734.90000000002</v>
          </cell>
        </row>
        <row r="50">
          <cell r="A50" t="str">
            <v>00013</v>
          </cell>
          <cell r="B50" t="str">
            <v>Southwestern Public Service Co</v>
          </cell>
          <cell r="C50" t="str">
            <v>141100</v>
          </cell>
          <cell r="D50" t="str">
            <v>Coal Inventory</v>
          </cell>
          <cell r="E50">
            <v>-1401006.07</v>
          </cell>
        </row>
        <row r="51">
          <cell r="A51" t="str">
            <v>00013</v>
          </cell>
          <cell r="B51" t="str">
            <v>Southwestern Public Service Co</v>
          </cell>
          <cell r="C51" t="str">
            <v>142100</v>
          </cell>
          <cell r="D51" t="str">
            <v>Fuel Oil - Jones</v>
          </cell>
          <cell r="E51">
            <v>1518966</v>
          </cell>
        </row>
        <row r="52">
          <cell r="A52" t="str">
            <v>00013</v>
          </cell>
          <cell r="B52" t="str">
            <v>Southwestern Public Service Co</v>
          </cell>
          <cell r="C52" t="str">
            <v>142100</v>
          </cell>
          <cell r="D52" t="str">
            <v>Fuel Oil - Plant X</v>
          </cell>
          <cell r="E52">
            <v>1224554</v>
          </cell>
        </row>
        <row r="53">
          <cell r="A53" t="str">
            <v>00013</v>
          </cell>
          <cell r="B53" t="str">
            <v>Southwestern Public Service Co</v>
          </cell>
          <cell r="C53" t="str">
            <v>142100</v>
          </cell>
          <cell r="D53" t="str">
            <v>Fuel Oil - Tucumcari</v>
          </cell>
          <cell r="E53">
            <v>50063.64</v>
          </cell>
        </row>
        <row r="54">
          <cell r="A54" t="str">
            <v>00013</v>
          </cell>
          <cell r="B54" t="str">
            <v>Southwestern Public Service Co</v>
          </cell>
          <cell r="C54" t="str">
            <v>142100</v>
          </cell>
          <cell r="D54" t="str">
            <v>Oil Inventory</v>
          </cell>
          <cell r="E54">
            <v>-2874</v>
          </cell>
        </row>
        <row r="55">
          <cell r="A55" t="str">
            <v>00013</v>
          </cell>
          <cell r="B55" t="str">
            <v>Southwestern Public Service Co</v>
          </cell>
          <cell r="C55" t="str">
            <v>149125</v>
          </cell>
          <cell r="D55" t="str">
            <v>Def Fuel Billed/Unbilled-NM</v>
          </cell>
          <cell r="E55">
            <v>-9074440.2300000004</v>
          </cell>
        </row>
        <row r="56">
          <cell r="A56" t="str">
            <v>00013</v>
          </cell>
          <cell r="B56" t="str">
            <v>Southwestern Public Service Co</v>
          </cell>
          <cell r="C56" t="str">
            <v>149125</v>
          </cell>
          <cell r="D56" t="str">
            <v>Def Fuel Billed/Unbilled-TX</v>
          </cell>
          <cell r="E56">
            <v>-422250.61</v>
          </cell>
        </row>
        <row r="57">
          <cell r="A57" t="str">
            <v>00013</v>
          </cell>
          <cell r="B57" t="str">
            <v>Southwestern Public Service Co</v>
          </cell>
          <cell r="C57" t="str">
            <v>149130</v>
          </cell>
          <cell r="D57" t="str">
            <v>Def Fuel Unbilled-NM</v>
          </cell>
          <cell r="E57">
            <v>-6077355</v>
          </cell>
        </row>
        <row r="58">
          <cell r="A58" t="str">
            <v>00013</v>
          </cell>
          <cell r="B58" t="str">
            <v>Southwestern Public Service Co</v>
          </cell>
          <cell r="C58" t="str">
            <v>149130</v>
          </cell>
          <cell r="D58" t="str">
            <v>Def Fuel Unbilled-TX</v>
          </cell>
          <cell r="E58">
            <v>-24309420</v>
          </cell>
        </row>
        <row r="59">
          <cell r="A59" t="str">
            <v>00013</v>
          </cell>
          <cell r="B59" t="str">
            <v>Southwestern Public Service Co</v>
          </cell>
          <cell r="C59" t="str">
            <v>151100</v>
          </cell>
          <cell r="D59" t="str">
            <v>Insurance Prepaid</v>
          </cell>
          <cell r="E59">
            <v>3062924.35</v>
          </cell>
        </row>
        <row r="60">
          <cell r="A60" t="str">
            <v>00013</v>
          </cell>
          <cell r="B60" t="str">
            <v>Southwestern Public Service Co</v>
          </cell>
          <cell r="C60" t="str">
            <v>151900</v>
          </cell>
          <cell r="D60" t="str">
            <v>Prepaid VEBA Trust</v>
          </cell>
          <cell r="E60">
            <v>-37913.01</v>
          </cell>
        </row>
        <row r="61">
          <cell r="A61" t="str">
            <v>00013</v>
          </cell>
          <cell r="B61" t="str">
            <v>Southwestern Public Service Co</v>
          </cell>
          <cell r="C61" t="str">
            <v>154300</v>
          </cell>
          <cell r="D61" t="str">
            <v>Prepaid Transmission Exp</v>
          </cell>
          <cell r="E61">
            <v>3034182.34</v>
          </cell>
        </row>
        <row r="62">
          <cell r="A62" t="str">
            <v>00013</v>
          </cell>
          <cell r="B62" t="str">
            <v>Southwestern Public Service Co</v>
          </cell>
          <cell r="C62" t="str">
            <v>157900</v>
          </cell>
          <cell r="D62" t="str">
            <v>Prepaid Tax-OK</v>
          </cell>
          <cell r="E62">
            <v>-18337</v>
          </cell>
        </row>
        <row r="63">
          <cell r="A63" t="str">
            <v>00013</v>
          </cell>
          <cell r="B63" t="str">
            <v>Southwestern Public Service Co</v>
          </cell>
          <cell r="C63" t="str">
            <v>157900</v>
          </cell>
          <cell r="D63" t="str">
            <v>Prepaid Taxes</v>
          </cell>
          <cell r="E63">
            <v>18338.810000000001</v>
          </cell>
        </row>
        <row r="64">
          <cell r="A64" t="str">
            <v>00013</v>
          </cell>
          <cell r="B64" t="str">
            <v>Southwestern Public Service Co</v>
          </cell>
          <cell r="C64" t="str">
            <v>158300</v>
          </cell>
          <cell r="D64" t="str">
            <v>Other Prepaid</v>
          </cell>
          <cell r="E64">
            <v>0</v>
          </cell>
        </row>
        <row r="65">
          <cell r="A65" t="str">
            <v>00013</v>
          </cell>
          <cell r="B65" t="str">
            <v>Southwestern Public Service Co</v>
          </cell>
          <cell r="C65" t="str">
            <v>158700</v>
          </cell>
          <cell r="D65" t="str">
            <v>Special Deposits</v>
          </cell>
          <cell r="E65">
            <v>0</v>
          </cell>
        </row>
        <row r="66">
          <cell r="A66" t="str">
            <v>00013</v>
          </cell>
          <cell r="B66" t="str">
            <v>Southwestern Public Service Co</v>
          </cell>
          <cell r="C66" t="str">
            <v>158720</v>
          </cell>
          <cell r="D66" t="str">
            <v>Spec Dep-First City Natl Bank</v>
          </cell>
          <cell r="E66">
            <v>6330</v>
          </cell>
        </row>
        <row r="67">
          <cell r="A67" t="str">
            <v>00013</v>
          </cell>
          <cell r="B67" t="str">
            <v>Southwestern Public Service Co</v>
          </cell>
          <cell r="C67" t="str">
            <v>159200</v>
          </cell>
          <cell r="D67" t="str">
            <v>Other Current Assets</v>
          </cell>
          <cell r="E67">
            <v>0</v>
          </cell>
        </row>
        <row r="68">
          <cell r="A68" t="str">
            <v>00013</v>
          </cell>
          <cell r="B68" t="str">
            <v>Southwestern Public Service Co</v>
          </cell>
          <cell r="C68" t="str">
            <v>159350</v>
          </cell>
          <cell r="D68" t="str">
            <v>Federal Def Tx-Nonplant</v>
          </cell>
          <cell r="E68">
            <v>-4159510</v>
          </cell>
        </row>
        <row r="69">
          <cell r="A69" t="str">
            <v>00013</v>
          </cell>
          <cell r="B69" t="str">
            <v>Southwestern Public Service Co</v>
          </cell>
          <cell r="C69" t="str">
            <v>161025</v>
          </cell>
          <cell r="D69" t="str">
            <v>Electric-Plant in Service</v>
          </cell>
          <cell r="E69">
            <v>2561793350.6799998</v>
          </cell>
        </row>
        <row r="70">
          <cell r="A70" t="str">
            <v>00013</v>
          </cell>
          <cell r="B70" t="str">
            <v>Southwestern Public Service Co</v>
          </cell>
          <cell r="C70" t="str">
            <v>161040</v>
          </cell>
          <cell r="D70" t="str">
            <v>Elec-Plant Held for Future Use</v>
          </cell>
          <cell r="E70">
            <v>4886468.84</v>
          </cell>
        </row>
        <row r="71">
          <cell r="A71" t="str">
            <v>00013</v>
          </cell>
          <cell r="B71" t="str">
            <v>Southwestern Public Service Co</v>
          </cell>
          <cell r="C71" t="str">
            <v>161045</v>
          </cell>
          <cell r="D71" t="str">
            <v>Elec-Compl Constr Not Unitized</v>
          </cell>
          <cell r="E71">
            <v>484003615.67000002</v>
          </cell>
        </row>
        <row r="72">
          <cell r="A72" t="str">
            <v>00013</v>
          </cell>
          <cell r="B72" t="str">
            <v>Southwestern Public Service Co</v>
          </cell>
          <cell r="C72" t="str">
            <v>161050</v>
          </cell>
          <cell r="D72" t="str">
            <v>Elec-Plant Acquisition Adjust</v>
          </cell>
          <cell r="E72">
            <v>5673144.4100000001</v>
          </cell>
        </row>
        <row r="73">
          <cell r="A73" t="str">
            <v>00013</v>
          </cell>
          <cell r="B73" t="str">
            <v>Southwestern Public Service Co</v>
          </cell>
          <cell r="C73" t="str">
            <v>164100</v>
          </cell>
          <cell r="D73" t="str">
            <v>Construction Work In Progress</v>
          </cell>
          <cell r="E73">
            <v>55436094.579999998</v>
          </cell>
        </row>
        <row r="74">
          <cell r="A74" t="str">
            <v>00013</v>
          </cell>
          <cell r="B74" t="str">
            <v>Southwestern Public Service Co</v>
          </cell>
          <cell r="C74" t="str">
            <v>165000</v>
          </cell>
          <cell r="D74" t="str">
            <v>Removal Work in Progress</v>
          </cell>
          <cell r="E74">
            <v>0</v>
          </cell>
        </row>
        <row r="75">
          <cell r="A75" t="str">
            <v>00013</v>
          </cell>
          <cell r="B75" t="str">
            <v>Southwestern Public Service Co</v>
          </cell>
          <cell r="C75" t="str">
            <v>171100</v>
          </cell>
          <cell r="D75" t="str">
            <v>Depreciation</v>
          </cell>
          <cell r="E75">
            <v>-1266381336.99</v>
          </cell>
        </row>
        <row r="76">
          <cell r="A76" t="str">
            <v>00013</v>
          </cell>
          <cell r="B76" t="str">
            <v>Southwestern Public Service Co</v>
          </cell>
          <cell r="C76" t="str">
            <v>171500</v>
          </cell>
          <cell r="D76" t="str">
            <v>Depreciation for RWIP</v>
          </cell>
          <cell r="E76">
            <v>2356961.16</v>
          </cell>
        </row>
        <row r="77">
          <cell r="A77" t="str">
            <v>00013</v>
          </cell>
          <cell r="B77" t="str">
            <v>Southwestern Public Service Co</v>
          </cell>
          <cell r="C77" t="str">
            <v>171500</v>
          </cell>
          <cell r="D77" t="str">
            <v>Removal Work in Progress</v>
          </cell>
          <cell r="E77">
            <v>13136781.67</v>
          </cell>
        </row>
        <row r="78">
          <cell r="A78" t="str">
            <v>00013</v>
          </cell>
          <cell r="B78" t="str">
            <v>Southwestern Public Service Co</v>
          </cell>
          <cell r="C78" t="str">
            <v>172100</v>
          </cell>
          <cell r="D78" t="str">
            <v>Amortization</v>
          </cell>
          <cell r="E78">
            <v>-21669.39</v>
          </cell>
        </row>
        <row r="79">
          <cell r="A79" t="str">
            <v>00013</v>
          </cell>
          <cell r="B79" t="str">
            <v>Southwestern Public Service Co</v>
          </cell>
          <cell r="C79" t="str">
            <v>172110</v>
          </cell>
          <cell r="D79" t="str">
            <v>Amort Prod Steam</v>
          </cell>
          <cell r="E79">
            <v>-1004116.45</v>
          </cell>
        </row>
        <row r="80">
          <cell r="A80" t="str">
            <v>00013</v>
          </cell>
          <cell r="B80" t="str">
            <v>Southwestern Public Service Co</v>
          </cell>
          <cell r="C80" t="str">
            <v>172130</v>
          </cell>
          <cell r="D80" t="str">
            <v>Amort Prod Other Power</v>
          </cell>
          <cell r="E80">
            <v>-48.5</v>
          </cell>
        </row>
        <row r="81">
          <cell r="A81" t="str">
            <v>00013</v>
          </cell>
          <cell r="B81" t="str">
            <v>Southwestern Public Service Co</v>
          </cell>
          <cell r="C81" t="str">
            <v>172140</v>
          </cell>
          <cell r="D81" t="str">
            <v>Amort Transmission</v>
          </cell>
          <cell r="E81">
            <v>-8227496.0300000003</v>
          </cell>
        </row>
        <row r="82">
          <cell r="A82" t="str">
            <v>00013</v>
          </cell>
          <cell r="B82" t="str">
            <v>Southwestern Public Service Co</v>
          </cell>
          <cell r="C82" t="str">
            <v>172150</v>
          </cell>
          <cell r="D82" t="str">
            <v>Amort Distribution</v>
          </cell>
          <cell r="E82">
            <v>-788903.11</v>
          </cell>
        </row>
        <row r="83">
          <cell r="A83" t="str">
            <v>00013</v>
          </cell>
          <cell r="B83" t="str">
            <v>Southwestern Public Service Co</v>
          </cell>
          <cell r="C83" t="str">
            <v>172160</v>
          </cell>
          <cell r="D83" t="str">
            <v>Amort General Franchise</v>
          </cell>
          <cell r="E83">
            <v>-16242.4</v>
          </cell>
        </row>
        <row r="84">
          <cell r="A84" t="str">
            <v>00013</v>
          </cell>
          <cell r="B84" t="str">
            <v>Southwestern Public Service Co</v>
          </cell>
          <cell r="C84" t="str">
            <v>172162</v>
          </cell>
          <cell r="D84" t="str">
            <v>Amort Gen Off Remodel</v>
          </cell>
          <cell r="E84">
            <v>-3084160.73</v>
          </cell>
        </row>
        <row r="85">
          <cell r="A85" t="str">
            <v>00013</v>
          </cell>
          <cell r="B85" t="str">
            <v>Southwestern Public Service Co</v>
          </cell>
          <cell r="C85" t="str">
            <v>172164</v>
          </cell>
          <cell r="D85" t="str">
            <v>Amort Gen Software</v>
          </cell>
          <cell r="E85">
            <v>-11492430.810000001</v>
          </cell>
        </row>
        <row r="86">
          <cell r="A86" t="str">
            <v>00013</v>
          </cell>
          <cell r="B86" t="str">
            <v>Southwestern Public Service Co</v>
          </cell>
          <cell r="C86" t="str">
            <v>172190</v>
          </cell>
          <cell r="D86" t="str">
            <v>Amort Prod Steam Future Use</v>
          </cell>
          <cell r="E86">
            <v>-4026.82</v>
          </cell>
        </row>
        <row r="87">
          <cell r="A87" t="str">
            <v>00013</v>
          </cell>
          <cell r="B87" t="str">
            <v>Southwestern Public Service Co</v>
          </cell>
          <cell r="C87" t="str">
            <v>181100</v>
          </cell>
          <cell r="D87" t="str">
            <v>Plant In Service N-U</v>
          </cell>
          <cell r="E87">
            <v>102113.66</v>
          </cell>
        </row>
        <row r="88">
          <cell r="A88" t="str">
            <v>00013</v>
          </cell>
          <cell r="B88" t="str">
            <v>Southwestern Public Service Co</v>
          </cell>
          <cell r="C88" t="str">
            <v>191100</v>
          </cell>
          <cell r="D88" t="str">
            <v>Deprec Plant in Service N-U</v>
          </cell>
          <cell r="E88">
            <v>25935.77</v>
          </cell>
        </row>
        <row r="89">
          <cell r="A89" t="str">
            <v>00013</v>
          </cell>
          <cell r="B89" t="str">
            <v>Southwestern Public Service Co</v>
          </cell>
          <cell r="C89" t="str">
            <v>221100</v>
          </cell>
          <cell r="D89" t="str">
            <v>Life Insurance Investment</v>
          </cell>
          <cell r="E89">
            <v>19493.53</v>
          </cell>
        </row>
        <row r="90">
          <cell r="A90" t="str">
            <v>00013</v>
          </cell>
          <cell r="B90" t="str">
            <v>Southwestern Public Service Co</v>
          </cell>
          <cell r="C90" t="str">
            <v>223100</v>
          </cell>
          <cell r="D90" t="str">
            <v>Officer's Supp Retirement</v>
          </cell>
          <cell r="E90">
            <v>6016774.8200000003</v>
          </cell>
        </row>
        <row r="91">
          <cell r="A91" t="str">
            <v>00013</v>
          </cell>
          <cell r="B91" t="str">
            <v>Southwestern Public Service Co</v>
          </cell>
          <cell r="C91" t="str">
            <v>223500</v>
          </cell>
          <cell r="D91" t="str">
            <v>Retnd Rights in Trust-Defeas</v>
          </cell>
          <cell r="E91">
            <v>5267043.9800000004</v>
          </cell>
        </row>
        <row r="92">
          <cell r="A92" t="str">
            <v>00013</v>
          </cell>
          <cell r="B92" t="str">
            <v>Southwestern Public Service Co</v>
          </cell>
          <cell r="C92" t="str">
            <v>224300</v>
          </cell>
          <cell r="D92" t="str">
            <v>Club Memberships</v>
          </cell>
          <cell r="E92">
            <v>41804</v>
          </cell>
        </row>
        <row r="93">
          <cell r="A93" t="str">
            <v>00013</v>
          </cell>
          <cell r="B93" t="str">
            <v>Southwestern Public Service Co</v>
          </cell>
          <cell r="C93" t="str">
            <v>224500</v>
          </cell>
          <cell r="D93" t="str">
            <v>Sink Fund 6/5 Poll Control</v>
          </cell>
          <cell r="E93">
            <v>0</v>
          </cell>
        </row>
        <row r="94">
          <cell r="A94" t="str">
            <v>00013</v>
          </cell>
          <cell r="B94" t="str">
            <v>Southwestern Public Service Co</v>
          </cell>
          <cell r="C94" t="str">
            <v>233520</v>
          </cell>
          <cell r="D94" t="str">
            <v>Potter Cty-5.75%-Due 09/01/16</v>
          </cell>
          <cell r="E94">
            <v>841992.38</v>
          </cell>
        </row>
        <row r="95">
          <cell r="A95" t="str">
            <v>00013</v>
          </cell>
          <cell r="B95" t="str">
            <v>Southwestern Public Service Co</v>
          </cell>
          <cell r="C95" t="str">
            <v>233520</v>
          </cell>
          <cell r="D95" t="str">
            <v>Red River-5.2%-Due 07/01/11</v>
          </cell>
          <cell r="E95">
            <v>984006.29</v>
          </cell>
        </row>
        <row r="96">
          <cell r="A96" t="str">
            <v>00013</v>
          </cell>
          <cell r="B96" t="str">
            <v>Southwestern Public Service Co</v>
          </cell>
          <cell r="C96" t="str">
            <v>233520</v>
          </cell>
          <cell r="D96" t="str">
            <v>Red River-Swap-Due 07/01/16</v>
          </cell>
          <cell r="E96">
            <v>757099.22</v>
          </cell>
        </row>
        <row r="97">
          <cell r="A97" t="str">
            <v>00013</v>
          </cell>
          <cell r="B97" t="str">
            <v>Southwestern Public Service Co</v>
          </cell>
          <cell r="C97" t="str">
            <v>233925</v>
          </cell>
          <cell r="D97" t="str">
            <v>TOPRS-7.85%-Due 9/1/36</v>
          </cell>
          <cell r="E97">
            <v>2984980.81</v>
          </cell>
        </row>
        <row r="98">
          <cell r="A98" t="str">
            <v>00013</v>
          </cell>
          <cell r="B98" t="str">
            <v>Southwestern Public Service Co</v>
          </cell>
          <cell r="C98" t="str">
            <v>234090</v>
          </cell>
          <cell r="D98" t="str">
            <v>Sr Note-6.2%-Due 03/01/09</v>
          </cell>
          <cell r="E98">
            <v>771109.25</v>
          </cell>
        </row>
        <row r="99">
          <cell r="A99" t="str">
            <v>00013</v>
          </cell>
          <cell r="B99" t="str">
            <v>Southwestern Public Service Co</v>
          </cell>
          <cell r="C99" t="str">
            <v>234090</v>
          </cell>
          <cell r="D99" t="str">
            <v>Sr.Note-5.125%-Due 11/01/06</v>
          </cell>
          <cell r="E99">
            <v>2900000</v>
          </cell>
        </row>
        <row r="100">
          <cell r="A100" t="str">
            <v>00013</v>
          </cell>
          <cell r="B100" t="str">
            <v>Southwestern Public Service Co</v>
          </cell>
          <cell r="C100" t="str">
            <v>241525</v>
          </cell>
          <cell r="D100" t="str">
            <v>Reacq Dbt 10.9%-Due 6/90</v>
          </cell>
          <cell r="E100">
            <v>121327.27</v>
          </cell>
        </row>
        <row r="101">
          <cell r="A101" t="str">
            <v>00013</v>
          </cell>
          <cell r="B101" t="str">
            <v>Southwestern Public Service Co</v>
          </cell>
          <cell r="C101" t="str">
            <v>241525</v>
          </cell>
          <cell r="D101" t="str">
            <v>Reacq Dbt 12 3/8%-Due 2/15</v>
          </cell>
          <cell r="E101">
            <v>1731559.52</v>
          </cell>
        </row>
        <row r="102">
          <cell r="A102" t="str">
            <v>00013</v>
          </cell>
          <cell r="B102" t="str">
            <v>Southwestern Public Service Co</v>
          </cell>
          <cell r="C102" t="str">
            <v>241525</v>
          </cell>
          <cell r="D102" t="str">
            <v>Reacq Dbt 13 1/2%-Due 7/16</v>
          </cell>
          <cell r="E102">
            <v>122257.56</v>
          </cell>
        </row>
        <row r="103">
          <cell r="A103" t="str">
            <v>00013</v>
          </cell>
          <cell r="B103" t="str">
            <v>Southwestern Public Service Co</v>
          </cell>
          <cell r="C103" t="str">
            <v>241525</v>
          </cell>
          <cell r="D103" t="str">
            <v>Reacq Dbt 15 5/8%-Due 7/12</v>
          </cell>
          <cell r="E103">
            <v>2113810.61</v>
          </cell>
        </row>
        <row r="104">
          <cell r="A104" t="str">
            <v>00013</v>
          </cell>
          <cell r="B104" t="str">
            <v>Southwestern Public Service Co</v>
          </cell>
          <cell r="C104" t="str">
            <v>241525</v>
          </cell>
          <cell r="D104" t="str">
            <v>Reacq Dbt 2000 Tender/Defease</v>
          </cell>
          <cell r="E104">
            <v>16712060.300000001</v>
          </cell>
        </row>
        <row r="105">
          <cell r="A105" t="str">
            <v>00013</v>
          </cell>
          <cell r="B105" t="str">
            <v>Southwestern Public Service Co</v>
          </cell>
          <cell r="C105" t="str">
            <v>241525</v>
          </cell>
          <cell r="D105" t="str">
            <v>Reacq Dbt 7 3/4,8,14% PCO's</v>
          </cell>
          <cell r="E105">
            <v>654290.47</v>
          </cell>
        </row>
        <row r="106">
          <cell r="A106" t="str">
            <v>00013</v>
          </cell>
          <cell r="B106" t="str">
            <v>Southwestern Public Service Co</v>
          </cell>
          <cell r="C106" t="str">
            <v>241525</v>
          </cell>
          <cell r="D106" t="str">
            <v>Reacq Dbt 8.2%-Due 12/22</v>
          </cell>
          <cell r="E106">
            <v>1537979.96</v>
          </cell>
        </row>
        <row r="107">
          <cell r="A107" t="str">
            <v>00013</v>
          </cell>
          <cell r="B107" t="str">
            <v>Southwestern Public Service Co</v>
          </cell>
          <cell r="C107" t="str">
            <v>241525</v>
          </cell>
          <cell r="D107" t="str">
            <v>Reacq Dbt 8.25%-Due 7/22</v>
          </cell>
          <cell r="E107">
            <v>412309.51</v>
          </cell>
        </row>
        <row r="108">
          <cell r="A108" t="str">
            <v>00013</v>
          </cell>
          <cell r="B108" t="str">
            <v>Southwestern Public Service Co</v>
          </cell>
          <cell r="C108" t="str">
            <v>241525</v>
          </cell>
          <cell r="D108" t="str">
            <v>Reacq Dbt 8.5%-Due 2/25</v>
          </cell>
          <cell r="E108">
            <v>1730609.04</v>
          </cell>
        </row>
        <row r="109">
          <cell r="A109" t="str">
            <v>00013</v>
          </cell>
          <cell r="B109" t="str">
            <v>Southwestern Public Service Co</v>
          </cell>
          <cell r="C109" t="str">
            <v>241525</v>
          </cell>
          <cell r="D109" t="str">
            <v>Reacq Dbt 8.8,8,8 7/8,8 3/4%</v>
          </cell>
          <cell r="E109">
            <v>1264359.54</v>
          </cell>
        </row>
        <row r="110">
          <cell r="A110" t="str">
            <v>00013</v>
          </cell>
          <cell r="B110" t="str">
            <v>Southwestern Public Service Co</v>
          </cell>
          <cell r="C110" t="str">
            <v>241525</v>
          </cell>
          <cell r="D110" t="str">
            <v>Reacq Dbt 8.85%-Due 6/17</v>
          </cell>
          <cell r="E110">
            <v>1995054.94</v>
          </cell>
        </row>
        <row r="111">
          <cell r="A111" t="str">
            <v>00013</v>
          </cell>
          <cell r="B111" t="str">
            <v>Southwestern Public Service Co</v>
          </cell>
          <cell r="C111" t="str">
            <v>241525</v>
          </cell>
          <cell r="D111" t="str">
            <v>Reacq Dbt 9 1/8%-Due 4/16</v>
          </cell>
          <cell r="E111">
            <v>4522008.7300000004</v>
          </cell>
        </row>
        <row r="112">
          <cell r="A112" t="str">
            <v>00013</v>
          </cell>
          <cell r="B112" t="str">
            <v>Southwestern Public Service Co</v>
          </cell>
          <cell r="C112" t="str">
            <v>241525</v>
          </cell>
          <cell r="D112" t="str">
            <v>Reacq Dbt PCB 6 1/2%-Due 9/16</v>
          </cell>
          <cell r="E112">
            <v>342271.49</v>
          </cell>
        </row>
        <row r="113">
          <cell r="A113" t="str">
            <v>00013</v>
          </cell>
          <cell r="B113" t="str">
            <v>Southwestern Public Service Co</v>
          </cell>
          <cell r="C113" t="str">
            <v>244500</v>
          </cell>
          <cell r="D113" t="str">
            <v>Unrecovered OPEB PUC</v>
          </cell>
          <cell r="E113">
            <v>152493</v>
          </cell>
        </row>
        <row r="114">
          <cell r="A114" t="str">
            <v>00013</v>
          </cell>
          <cell r="B114" t="str">
            <v>Southwestern Public Service Co</v>
          </cell>
          <cell r="C114" t="str">
            <v>244730</v>
          </cell>
          <cell r="D114" t="str">
            <v>FERC</v>
          </cell>
          <cell r="E114">
            <v>66149454.439999998</v>
          </cell>
        </row>
        <row r="115">
          <cell r="A115" t="str">
            <v>00013</v>
          </cell>
          <cell r="B115" t="str">
            <v>Southwestern Public Service Co</v>
          </cell>
          <cell r="C115" t="str">
            <v>248200</v>
          </cell>
          <cell r="D115" t="str">
            <v>RA-Unrecov Plt/DSSM-E&amp;P-Elec</v>
          </cell>
          <cell r="E115">
            <v>-1022786.53</v>
          </cell>
        </row>
        <row r="116">
          <cell r="A116" t="str">
            <v>00013</v>
          </cell>
          <cell r="B116" t="str">
            <v>Southwestern Public Service Co</v>
          </cell>
          <cell r="C116" t="str">
            <v>248310</v>
          </cell>
          <cell r="D116" t="str">
            <v>Defr Dr-DSM TE Heat Pump Allow</v>
          </cell>
          <cell r="E116">
            <v>163167.67999999999</v>
          </cell>
        </row>
        <row r="117">
          <cell r="A117" t="str">
            <v>00013</v>
          </cell>
          <cell r="B117" t="str">
            <v>Southwestern Public Service Co</v>
          </cell>
          <cell r="C117" t="str">
            <v>248312</v>
          </cell>
          <cell r="D117" t="str">
            <v>Defd Dr-DSM Duel Fuel Heat Pum</v>
          </cell>
          <cell r="E117">
            <v>368304.31</v>
          </cell>
        </row>
        <row r="118">
          <cell r="A118" t="str">
            <v>00013</v>
          </cell>
          <cell r="B118" t="str">
            <v>Southwestern Public Service Co</v>
          </cell>
          <cell r="C118" t="str">
            <v>248314</v>
          </cell>
          <cell r="D118" t="str">
            <v>Defr Dr-DSM Add on Heat Pump</v>
          </cell>
          <cell r="E118">
            <v>8933.1200000000008</v>
          </cell>
        </row>
        <row r="119">
          <cell r="A119" t="str">
            <v>00013</v>
          </cell>
          <cell r="B119" t="str">
            <v>Southwestern Public Service Co</v>
          </cell>
          <cell r="C119" t="str">
            <v>248316</v>
          </cell>
          <cell r="D119" t="str">
            <v>Defr Dr-DSM Air Conditioning</v>
          </cell>
          <cell r="E119">
            <v>950859.86</v>
          </cell>
        </row>
        <row r="120">
          <cell r="A120" t="str">
            <v>00013</v>
          </cell>
          <cell r="B120" t="str">
            <v>Southwestern Public Service Co</v>
          </cell>
          <cell r="C120" t="str">
            <v>248318</v>
          </cell>
          <cell r="D120" t="str">
            <v>Defd Dr-DSM Low Income Allowan</v>
          </cell>
          <cell r="E120">
            <v>30902.07</v>
          </cell>
        </row>
        <row r="121">
          <cell r="A121" t="str">
            <v>00013</v>
          </cell>
          <cell r="B121" t="str">
            <v>Southwestern Public Service Co</v>
          </cell>
          <cell r="C121" t="str">
            <v>248320</v>
          </cell>
          <cell r="D121" t="str">
            <v>Defr Dr-Resid Ld Control Prog</v>
          </cell>
          <cell r="E121">
            <v>18998.46</v>
          </cell>
        </row>
        <row r="122">
          <cell r="A122" t="str">
            <v>00013</v>
          </cell>
          <cell r="B122" t="str">
            <v>Southwestern Public Service Co</v>
          </cell>
          <cell r="C122" t="str">
            <v>248322</v>
          </cell>
          <cell r="D122" t="str">
            <v>Defd Dr-DSM Design &amp; Evaluatio</v>
          </cell>
          <cell r="E122">
            <v>25314.080000000002</v>
          </cell>
        </row>
        <row r="123">
          <cell r="A123" t="str">
            <v>00013</v>
          </cell>
          <cell r="B123" t="str">
            <v>Southwestern Public Service Co</v>
          </cell>
          <cell r="C123" t="str">
            <v>248324</v>
          </cell>
          <cell r="D123" t="str">
            <v>Defr Dr-DSM Program Design</v>
          </cell>
          <cell r="E123">
            <v>15206.49</v>
          </cell>
        </row>
        <row r="124">
          <cell r="A124" t="str">
            <v>00013</v>
          </cell>
          <cell r="B124" t="str">
            <v>Southwestern Public Service Co</v>
          </cell>
          <cell r="C124" t="str">
            <v>248326</v>
          </cell>
          <cell r="D124" t="str">
            <v>Defr Dr-DSM Program Evaluation</v>
          </cell>
          <cell r="E124">
            <v>12647.14</v>
          </cell>
        </row>
        <row r="125">
          <cell r="A125" t="str">
            <v>00013</v>
          </cell>
          <cell r="B125" t="str">
            <v>Southwestern Public Service Co</v>
          </cell>
          <cell r="C125" t="str">
            <v>248328</v>
          </cell>
          <cell r="D125" t="str">
            <v>Defd Dr-DSM Training</v>
          </cell>
          <cell r="E125">
            <v>4759.55</v>
          </cell>
        </row>
        <row r="126">
          <cell r="A126" t="str">
            <v>00013</v>
          </cell>
          <cell r="B126" t="str">
            <v>Southwestern Public Service Co</v>
          </cell>
          <cell r="C126" t="str">
            <v>248330</v>
          </cell>
          <cell r="D126" t="str">
            <v>Defd Dr-DSM Irrig Demo Whls Mk</v>
          </cell>
          <cell r="E126">
            <v>6597.13</v>
          </cell>
        </row>
        <row r="127">
          <cell r="A127" t="str">
            <v>00013</v>
          </cell>
          <cell r="B127" t="str">
            <v>Southwestern Public Service Co</v>
          </cell>
          <cell r="C127" t="str">
            <v>248332</v>
          </cell>
          <cell r="D127" t="str">
            <v>Defd Dr-DSM Irrig Demo Agri Mk</v>
          </cell>
          <cell r="E127">
            <v>583.23</v>
          </cell>
        </row>
        <row r="128">
          <cell r="A128" t="str">
            <v>00013</v>
          </cell>
          <cell r="B128" t="str">
            <v>Southwestern Public Service Co</v>
          </cell>
          <cell r="C128" t="str">
            <v>248334</v>
          </cell>
          <cell r="D128" t="str">
            <v>Defd Dr-DSM Indstrl Enrgy Adt</v>
          </cell>
          <cell r="E128">
            <v>2462.61</v>
          </cell>
        </row>
        <row r="129">
          <cell r="A129" t="str">
            <v>00013</v>
          </cell>
          <cell r="B129" t="str">
            <v>Southwestern Public Service Co</v>
          </cell>
          <cell r="C129" t="str">
            <v>248338</v>
          </cell>
          <cell r="D129" t="str">
            <v>Defd Dr-DSM Screening</v>
          </cell>
          <cell r="E129">
            <v>621310.97</v>
          </cell>
        </row>
        <row r="130">
          <cell r="A130" t="str">
            <v>00013</v>
          </cell>
          <cell r="B130" t="str">
            <v>Southwestern Public Service Co</v>
          </cell>
          <cell r="C130" t="str">
            <v>250000</v>
          </cell>
          <cell r="D130" t="str">
            <v>Reg Asset-Trsf fr BS</v>
          </cell>
          <cell r="E130">
            <v>11804616.289999999</v>
          </cell>
        </row>
        <row r="131">
          <cell r="A131" t="str">
            <v>00013</v>
          </cell>
          <cell r="B131" t="str">
            <v>Southwestern Public Service Co</v>
          </cell>
          <cell r="C131" t="str">
            <v>251000</v>
          </cell>
          <cell r="D131" t="str">
            <v>Special Deposits</v>
          </cell>
          <cell r="E131">
            <v>0.47</v>
          </cell>
        </row>
        <row r="132">
          <cell r="A132" t="str">
            <v>00013</v>
          </cell>
          <cell r="B132" t="str">
            <v>Southwestern Public Service Co</v>
          </cell>
          <cell r="C132" t="str">
            <v>251100</v>
          </cell>
          <cell r="D132" t="str">
            <v>Special Deposit Interest</v>
          </cell>
          <cell r="E132">
            <v>0</v>
          </cell>
        </row>
        <row r="133">
          <cell r="A133" t="str">
            <v>00013</v>
          </cell>
          <cell r="B133" t="str">
            <v>Southwestern Public Service Co</v>
          </cell>
          <cell r="C133" t="str">
            <v>261100</v>
          </cell>
          <cell r="D133" t="str">
            <v>Prelim Survey &amp; Investig Chgs</v>
          </cell>
          <cell r="E133">
            <v>40015.879999999997</v>
          </cell>
        </row>
        <row r="134">
          <cell r="A134" t="str">
            <v>00013</v>
          </cell>
          <cell r="B134" t="str">
            <v>Southwestern Public Service Co</v>
          </cell>
          <cell r="C134" t="str">
            <v>264210</v>
          </cell>
          <cell r="D134" t="str">
            <v>Transportation Costs</v>
          </cell>
          <cell r="E134">
            <v>143675.51</v>
          </cell>
        </row>
        <row r="135">
          <cell r="A135" t="str">
            <v>00013</v>
          </cell>
          <cell r="B135" t="str">
            <v>Southwestern Public Service Co</v>
          </cell>
          <cell r="C135" t="str">
            <v>265290</v>
          </cell>
          <cell r="D135" t="str">
            <v>Payroll Related Costs</v>
          </cell>
          <cell r="E135">
            <v>1644.2</v>
          </cell>
        </row>
        <row r="136">
          <cell r="A136" t="str">
            <v>00013</v>
          </cell>
          <cell r="B136" t="str">
            <v>Southwestern Public Service Co</v>
          </cell>
          <cell r="C136" t="str">
            <v>265830</v>
          </cell>
          <cell r="D136" t="str">
            <v>I/T Costs</v>
          </cell>
          <cell r="E136">
            <v>0</v>
          </cell>
        </row>
        <row r="137">
          <cell r="A137" t="str">
            <v>00013</v>
          </cell>
          <cell r="B137" t="str">
            <v>Southwestern Public Service Co</v>
          </cell>
          <cell r="C137" t="str">
            <v>265895</v>
          </cell>
          <cell r="D137" t="str">
            <v>Outsourced Freight Paymnts</v>
          </cell>
          <cell r="E137">
            <v>97567.61</v>
          </cell>
        </row>
        <row r="138">
          <cell r="A138" t="str">
            <v>00013</v>
          </cell>
          <cell r="B138" t="str">
            <v>Southwestern Public Service Co</v>
          </cell>
          <cell r="C138" t="str">
            <v>265935</v>
          </cell>
          <cell r="D138" t="str">
            <v>Other Clearings Costs</v>
          </cell>
          <cell r="E138">
            <v>149552</v>
          </cell>
        </row>
        <row r="139">
          <cell r="A139" t="str">
            <v>00013</v>
          </cell>
          <cell r="B139" t="str">
            <v>Southwestern Public Service Co</v>
          </cell>
          <cell r="C139" t="str">
            <v>267100</v>
          </cell>
          <cell r="D139" t="str">
            <v>Prepaid Pension Costs</v>
          </cell>
          <cell r="E139">
            <v>82503039.549999997</v>
          </cell>
        </row>
        <row r="140">
          <cell r="A140" t="str">
            <v>00013</v>
          </cell>
          <cell r="B140" t="str">
            <v>Southwestern Public Service Co</v>
          </cell>
          <cell r="C140" t="str">
            <v>268110</v>
          </cell>
          <cell r="D140" t="str">
            <v>Def DR-DMS Projects</v>
          </cell>
          <cell r="E140">
            <v>0</v>
          </cell>
        </row>
        <row r="141">
          <cell r="A141" t="str">
            <v>00013</v>
          </cell>
          <cell r="B141" t="str">
            <v>Southwestern Public Service Co</v>
          </cell>
          <cell r="C141" t="str">
            <v>268200</v>
          </cell>
          <cell r="D141" t="str">
            <v>Def DR-Debt Shelf Regist 1</v>
          </cell>
          <cell r="E141">
            <v>0</v>
          </cell>
        </row>
        <row r="142">
          <cell r="A142" t="str">
            <v>00013</v>
          </cell>
          <cell r="B142" t="str">
            <v>Southwestern Public Service Co</v>
          </cell>
          <cell r="C142" t="str">
            <v>268270</v>
          </cell>
          <cell r="D142" t="str">
            <v>Def DR-Misc Job Orders</v>
          </cell>
          <cell r="E142">
            <v>26387790.399999999</v>
          </cell>
        </row>
        <row r="143">
          <cell r="A143" t="str">
            <v>00013</v>
          </cell>
          <cell r="B143" t="str">
            <v>Southwestern Public Service Co</v>
          </cell>
          <cell r="C143" t="str">
            <v>268290</v>
          </cell>
          <cell r="D143" t="str">
            <v>Def DR-Commercial Paper Disc</v>
          </cell>
          <cell r="E143">
            <v>0</v>
          </cell>
        </row>
        <row r="144">
          <cell r="A144" t="str">
            <v>00013</v>
          </cell>
          <cell r="B144" t="str">
            <v>Southwestern Public Service Co</v>
          </cell>
          <cell r="C144" t="str">
            <v>268320</v>
          </cell>
          <cell r="D144" t="str">
            <v>Def DR-Renewable Energy Prog</v>
          </cell>
          <cell r="E144">
            <v>0</v>
          </cell>
        </row>
        <row r="145">
          <cell r="A145" t="str">
            <v>00013</v>
          </cell>
          <cell r="B145" t="str">
            <v>Southwestern Public Service Co</v>
          </cell>
          <cell r="C145" t="str">
            <v>268370</v>
          </cell>
          <cell r="D145" t="str">
            <v>Def DR-Other WIP</v>
          </cell>
          <cell r="E145">
            <v>-888095.7</v>
          </cell>
        </row>
        <row r="146">
          <cell r="A146" t="str">
            <v>00013</v>
          </cell>
          <cell r="B146" t="str">
            <v>Southwestern Public Service Co</v>
          </cell>
          <cell r="C146" t="str">
            <v>268380</v>
          </cell>
          <cell r="D146" t="str">
            <v>Def DR-N/Q Contrib &amp; Match</v>
          </cell>
          <cell r="E146">
            <v>779705.72</v>
          </cell>
        </row>
        <row r="147">
          <cell r="A147" t="str">
            <v>00013</v>
          </cell>
          <cell r="B147" t="str">
            <v>Southwestern Public Service Co</v>
          </cell>
          <cell r="C147" t="str">
            <v>268400</v>
          </cell>
          <cell r="D147" t="str">
            <v>Def DR-Texas IRP</v>
          </cell>
          <cell r="E147">
            <v>145000</v>
          </cell>
        </row>
        <row r="148">
          <cell r="A148" t="str">
            <v>00013</v>
          </cell>
          <cell r="B148" t="str">
            <v>Southwestern Public Service Co</v>
          </cell>
          <cell r="C148" t="str">
            <v>268410</v>
          </cell>
          <cell r="D148" t="str">
            <v>Def DR-Intercompany Billings</v>
          </cell>
          <cell r="E148">
            <v>-19192.86</v>
          </cell>
        </row>
        <row r="149">
          <cell r="A149" t="str">
            <v>00013</v>
          </cell>
          <cell r="B149" t="str">
            <v>Southwestern Public Service Co</v>
          </cell>
          <cell r="C149" t="str">
            <v>268420</v>
          </cell>
          <cell r="D149" t="str">
            <v>Def DR-Special Billing Project</v>
          </cell>
          <cell r="E149">
            <v>-57244.81</v>
          </cell>
        </row>
        <row r="150">
          <cell r="A150" t="str">
            <v>00013</v>
          </cell>
          <cell r="B150" t="str">
            <v>Southwestern Public Service Co</v>
          </cell>
          <cell r="C150" t="str">
            <v>268900</v>
          </cell>
          <cell r="D150" t="str">
            <v>Def DR-Trsf from BS</v>
          </cell>
          <cell r="E150">
            <v>577563.25</v>
          </cell>
        </row>
        <row r="151">
          <cell r="A151" t="str">
            <v>00013</v>
          </cell>
          <cell r="B151" t="str">
            <v>Southwestern Public Service Co</v>
          </cell>
          <cell r="C151" t="str">
            <v>281050</v>
          </cell>
          <cell r="D151" t="str">
            <v>Acc Def Inc Tx-Federal Nonplan</v>
          </cell>
          <cell r="E151">
            <v>661856.32999999996</v>
          </cell>
        </row>
        <row r="152">
          <cell r="A152" t="str">
            <v>00013</v>
          </cell>
          <cell r="B152" t="str">
            <v>Southwestern Public Service Co</v>
          </cell>
          <cell r="C152" t="str">
            <v>281050</v>
          </cell>
          <cell r="D152" t="str">
            <v>Acc Def Tx-Fed Nonpl-KS</v>
          </cell>
          <cell r="E152">
            <v>-507</v>
          </cell>
        </row>
        <row r="153">
          <cell r="A153" t="str">
            <v>00013</v>
          </cell>
          <cell r="B153" t="str">
            <v>Southwestern Public Service Co</v>
          </cell>
          <cell r="C153" t="str">
            <v>281050</v>
          </cell>
          <cell r="D153" t="str">
            <v>Acc Def Tx-Fed Nonpl-NM</v>
          </cell>
          <cell r="E153">
            <v>-5217599</v>
          </cell>
        </row>
        <row r="154">
          <cell r="A154" t="str">
            <v>00013</v>
          </cell>
          <cell r="B154" t="str">
            <v>Southwestern Public Service Co</v>
          </cell>
          <cell r="C154" t="str">
            <v>281050</v>
          </cell>
          <cell r="D154" t="str">
            <v>Acc Def Tx-Fed Nonpl-OK</v>
          </cell>
          <cell r="E154">
            <v>-406276</v>
          </cell>
        </row>
        <row r="155">
          <cell r="A155" t="str">
            <v>00013</v>
          </cell>
          <cell r="B155" t="str">
            <v>Southwestern Public Service Co</v>
          </cell>
          <cell r="C155" t="str">
            <v>281050</v>
          </cell>
          <cell r="D155" t="str">
            <v>Acc Def Tx-Fed Nonpl-TX</v>
          </cell>
          <cell r="E155">
            <v>-13377045</v>
          </cell>
        </row>
        <row r="156">
          <cell r="A156" t="str">
            <v>00013</v>
          </cell>
          <cell r="B156" t="str">
            <v>Southwestern Public Service Co</v>
          </cell>
          <cell r="C156" t="str">
            <v>281660</v>
          </cell>
          <cell r="D156" t="str">
            <v>Federal Unamortized ITC</v>
          </cell>
          <cell r="E156">
            <v>2504026.2799999998</v>
          </cell>
        </row>
        <row r="157">
          <cell r="A157" t="str">
            <v>00013</v>
          </cell>
          <cell r="B157" t="str">
            <v>Southwestern Public Service Co</v>
          </cell>
          <cell r="C157" t="str">
            <v>321900</v>
          </cell>
          <cell r="D157" t="str">
            <v>Other STD</v>
          </cell>
          <cell r="E157">
            <v>0</v>
          </cell>
        </row>
        <row r="158">
          <cell r="A158" t="str">
            <v>00013</v>
          </cell>
          <cell r="B158" t="str">
            <v>Southwestern Public Service Co</v>
          </cell>
          <cell r="C158" t="str">
            <v>323100</v>
          </cell>
          <cell r="D158" t="str">
            <v>Notes Payable</v>
          </cell>
          <cell r="E158">
            <v>0</v>
          </cell>
        </row>
        <row r="159">
          <cell r="A159" t="str">
            <v>00013</v>
          </cell>
          <cell r="B159" t="str">
            <v>Southwestern Public Service Co</v>
          </cell>
          <cell r="C159" t="str">
            <v>325000</v>
          </cell>
          <cell r="D159" t="str">
            <v>Interco Balances with CR Bal</v>
          </cell>
          <cell r="E159">
            <v>-135102.16</v>
          </cell>
        </row>
        <row r="160">
          <cell r="A160" t="str">
            <v>00013</v>
          </cell>
          <cell r="B160" t="str">
            <v>Southwestern Public Service Co</v>
          </cell>
          <cell r="C160" t="str">
            <v>325500</v>
          </cell>
          <cell r="D160" t="str">
            <v>Dividends Pay to Assoc Co</v>
          </cell>
          <cell r="E160">
            <v>-20969095.57</v>
          </cell>
        </row>
        <row r="161">
          <cell r="A161" t="str">
            <v>00013</v>
          </cell>
          <cell r="B161" t="str">
            <v>Southwestern Public Service Co</v>
          </cell>
          <cell r="C161" t="str">
            <v>327100</v>
          </cell>
          <cell r="D161" t="str">
            <v>A/P Salaries and Wages</v>
          </cell>
          <cell r="E161">
            <v>-896713.12</v>
          </cell>
        </row>
        <row r="162">
          <cell r="A162" t="str">
            <v>00013</v>
          </cell>
          <cell r="B162" t="str">
            <v>Southwestern Public Service Co</v>
          </cell>
          <cell r="C162" t="str">
            <v>327900</v>
          </cell>
          <cell r="D162" t="str">
            <v>A/P Net Payrolls</v>
          </cell>
          <cell r="E162">
            <v>207764.89</v>
          </cell>
        </row>
        <row r="163">
          <cell r="A163" t="str">
            <v>00013</v>
          </cell>
          <cell r="B163" t="str">
            <v>Southwestern Public Service Co</v>
          </cell>
          <cell r="C163" t="str">
            <v>328700</v>
          </cell>
          <cell r="D163" t="str">
            <v>A/P Wage Assignments</v>
          </cell>
          <cell r="E163">
            <v>21913.19</v>
          </cell>
        </row>
        <row r="164">
          <cell r="A164" t="str">
            <v>00013</v>
          </cell>
          <cell r="B164" t="str">
            <v>Southwestern Public Service Co</v>
          </cell>
          <cell r="C164" t="str">
            <v>331100</v>
          </cell>
          <cell r="D164" t="str">
            <v>A/P Non-Union Severence</v>
          </cell>
          <cell r="E164">
            <v>-1354448</v>
          </cell>
        </row>
        <row r="165">
          <cell r="A165" t="str">
            <v>00013</v>
          </cell>
          <cell r="B165" t="str">
            <v>Southwestern Public Service Co</v>
          </cell>
          <cell r="C165" t="str">
            <v>331900</v>
          </cell>
          <cell r="D165" t="str">
            <v>A/P Merger Severence</v>
          </cell>
          <cell r="E165">
            <v>-80362.33</v>
          </cell>
        </row>
        <row r="166">
          <cell r="A166" t="str">
            <v>00013</v>
          </cell>
          <cell r="B166" t="str">
            <v>Southwestern Public Service Co</v>
          </cell>
          <cell r="C166" t="str">
            <v>333900</v>
          </cell>
          <cell r="D166" t="str">
            <v>A/P Executive Long Term Plan</v>
          </cell>
          <cell r="E166">
            <v>-104516</v>
          </cell>
        </row>
        <row r="167">
          <cell r="A167" t="str">
            <v>00013</v>
          </cell>
          <cell r="B167" t="str">
            <v>Southwestern Public Service Co</v>
          </cell>
          <cell r="C167" t="str">
            <v>334300</v>
          </cell>
          <cell r="D167" t="str">
            <v>A/P Non Union Incentive Plan</v>
          </cell>
          <cell r="E167">
            <v>-2113809</v>
          </cell>
        </row>
        <row r="168">
          <cell r="A168" t="str">
            <v>00013</v>
          </cell>
          <cell r="B168" t="str">
            <v>Southwestern Public Service Co</v>
          </cell>
          <cell r="C168" t="str">
            <v>337100</v>
          </cell>
          <cell r="D168" t="str">
            <v>A/P Vacation Liability</v>
          </cell>
          <cell r="E168">
            <v>-5430555.2699999996</v>
          </cell>
        </row>
        <row r="169">
          <cell r="A169" t="str">
            <v>00013</v>
          </cell>
          <cell r="B169" t="str">
            <v>Southwestern Public Service Co</v>
          </cell>
          <cell r="C169" t="str">
            <v>337500</v>
          </cell>
          <cell r="D169" t="str">
            <v>A/P Healthcare</v>
          </cell>
          <cell r="E169">
            <v>-67766.080000000002</v>
          </cell>
        </row>
        <row r="170">
          <cell r="A170" t="str">
            <v>00013</v>
          </cell>
          <cell r="B170" t="str">
            <v>Southwestern Public Service Co</v>
          </cell>
          <cell r="C170" t="str">
            <v>337900</v>
          </cell>
          <cell r="D170" t="str">
            <v>A/P 401K</v>
          </cell>
          <cell r="E170">
            <v>-1086356.72</v>
          </cell>
        </row>
        <row r="171">
          <cell r="A171" t="str">
            <v>00013</v>
          </cell>
          <cell r="B171" t="str">
            <v>Southwestern Public Service Co</v>
          </cell>
          <cell r="C171" t="str">
            <v>341110</v>
          </cell>
          <cell r="D171" t="str">
            <v>A/P-Federal Withholdings</v>
          </cell>
          <cell r="E171">
            <v>-530300.42000000004</v>
          </cell>
        </row>
        <row r="172">
          <cell r="A172" t="str">
            <v>00013</v>
          </cell>
          <cell r="B172" t="str">
            <v>Southwestern Public Service Co</v>
          </cell>
          <cell r="C172" t="str">
            <v>341140</v>
          </cell>
          <cell r="D172" t="str">
            <v>A/P-FICA Withholding</v>
          </cell>
          <cell r="E172">
            <v>-27186.06</v>
          </cell>
        </row>
        <row r="173">
          <cell r="A173" t="str">
            <v>00013</v>
          </cell>
          <cell r="B173" t="str">
            <v>Southwestern Public Service Co</v>
          </cell>
          <cell r="C173" t="str">
            <v>341170</v>
          </cell>
          <cell r="D173" t="str">
            <v>A/P-State W/H KS</v>
          </cell>
          <cell r="E173">
            <v>-478</v>
          </cell>
        </row>
        <row r="174">
          <cell r="A174" t="str">
            <v>00013</v>
          </cell>
          <cell r="B174" t="str">
            <v>Southwestern Public Service Co</v>
          </cell>
          <cell r="C174" t="str">
            <v>341170</v>
          </cell>
          <cell r="D174" t="str">
            <v>A/P-State W/H NM</v>
          </cell>
          <cell r="E174">
            <v>-20576.5</v>
          </cell>
        </row>
        <row r="175">
          <cell r="A175" t="str">
            <v>00013</v>
          </cell>
          <cell r="B175" t="str">
            <v>Southwestern Public Service Co</v>
          </cell>
          <cell r="C175" t="str">
            <v>341170</v>
          </cell>
          <cell r="D175" t="str">
            <v>A/P-State W/H OK</v>
          </cell>
          <cell r="E175">
            <v>-21293</v>
          </cell>
        </row>
        <row r="176">
          <cell r="A176" t="str">
            <v>00013</v>
          </cell>
          <cell r="B176" t="str">
            <v>Southwestern Public Service Co</v>
          </cell>
          <cell r="C176" t="str">
            <v>341440</v>
          </cell>
          <cell r="D176" t="str">
            <v>A/P-Credit Union</v>
          </cell>
          <cell r="E176">
            <v>-11296.62</v>
          </cell>
        </row>
        <row r="177">
          <cell r="A177" t="str">
            <v>00013</v>
          </cell>
          <cell r="B177" t="str">
            <v>Southwestern Public Service Co</v>
          </cell>
          <cell r="C177" t="str">
            <v>341530</v>
          </cell>
          <cell r="D177" t="str">
            <v>A/P-Employee Savings Bonds</v>
          </cell>
          <cell r="E177">
            <v>0</v>
          </cell>
        </row>
        <row r="178">
          <cell r="A178" t="str">
            <v>00013</v>
          </cell>
          <cell r="B178" t="str">
            <v>Southwestern Public Service Co</v>
          </cell>
          <cell r="C178" t="str">
            <v>341590</v>
          </cell>
          <cell r="D178" t="str">
            <v>A/P-Employee United Way Fund</v>
          </cell>
          <cell r="E178">
            <v>-68269.78</v>
          </cell>
        </row>
        <row r="179">
          <cell r="A179" t="str">
            <v>00013</v>
          </cell>
          <cell r="B179" t="str">
            <v>Southwestern Public Service Co</v>
          </cell>
          <cell r="C179" t="str">
            <v>341620</v>
          </cell>
          <cell r="D179" t="str">
            <v>A/P-Employee PAC</v>
          </cell>
          <cell r="E179">
            <v>-40</v>
          </cell>
        </row>
        <row r="180">
          <cell r="A180" t="str">
            <v>00013</v>
          </cell>
          <cell r="B180" t="str">
            <v>Southwestern Public Service Co</v>
          </cell>
          <cell r="C180" t="str">
            <v>341810</v>
          </cell>
          <cell r="D180" t="str">
            <v>A/P Ee Pay All GUL (Non-VEBA)</v>
          </cell>
          <cell r="E180">
            <v>571.99</v>
          </cell>
        </row>
        <row r="181">
          <cell r="A181" t="str">
            <v>00013</v>
          </cell>
          <cell r="B181" t="str">
            <v>Southwestern Public Service Co</v>
          </cell>
          <cell r="C181" t="str">
            <v>341830</v>
          </cell>
          <cell r="D181" t="str">
            <v>A/P-Pay Ded Glp, Gul (Non-Veb)</v>
          </cell>
          <cell r="E181">
            <v>0</v>
          </cell>
        </row>
        <row r="182">
          <cell r="A182" t="str">
            <v>00013</v>
          </cell>
          <cell r="B182" t="str">
            <v>Southwestern Public Service Co</v>
          </cell>
          <cell r="C182" t="str">
            <v>341860</v>
          </cell>
          <cell r="D182" t="str">
            <v>A/P-401K Prog Loans</v>
          </cell>
          <cell r="E182">
            <v>-3157.56</v>
          </cell>
        </row>
        <row r="183">
          <cell r="A183" t="str">
            <v>00013</v>
          </cell>
          <cell r="B183" t="str">
            <v>Southwestern Public Service Co</v>
          </cell>
          <cell r="C183" t="str">
            <v>341890</v>
          </cell>
          <cell r="D183" t="str">
            <v>A/P-401K Prog</v>
          </cell>
          <cell r="E183">
            <v>-70526.509999999995</v>
          </cell>
        </row>
        <row r="184">
          <cell r="A184" t="str">
            <v>00013</v>
          </cell>
          <cell r="B184" t="str">
            <v>Southwestern Public Service Co</v>
          </cell>
          <cell r="C184" t="str">
            <v>341920</v>
          </cell>
          <cell r="D184" t="str">
            <v>A/P-First Nat'l Bank Trst 401K</v>
          </cell>
          <cell r="E184">
            <v>-844330.53</v>
          </cell>
        </row>
        <row r="185">
          <cell r="A185" t="str">
            <v>00013</v>
          </cell>
          <cell r="B185" t="str">
            <v>Southwestern Public Service Co</v>
          </cell>
          <cell r="C185" t="str">
            <v>341950</v>
          </cell>
          <cell r="D185" t="str">
            <v>Union Dues</v>
          </cell>
          <cell r="E185">
            <v>67.94</v>
          </cell>
        </row>
        <row r="186">
          <cell r="A186" t="str">
            <v>00013</v>
          </cell>
          <cell r="B186" t="str">
            <v>Southwestern Public Service Co</v>
          </cell>
          <cell r="C186" t="str">
            <v>342110</v>
          </cell>
          <cell r="D186" t="str">
            <v>A/P-EE Pay All Life AD&amp;D Ins (</v>
          </cell>
          <cell r="E186">
            <v>-28157.21</v>
          </cell>
        </row>
        <row r="187">
          <cell r="A187" t="str">
            <v>00013</v>
          </cell>
          <cell r="B187" t="str">
            <v>Southwestern Public Service Co</v>
          </cell>
          <cell r="C187" t="str">
            <v>342210</v>
          </cell>
          <cell r="D187" t="str">
            <v>Scope, Cope</v>
          </cell>
          <cell r="E187">
            <v>916.5</v>
          </cell>
        </row>
        <row r="188">
          <cell r="A188" t="str">
            <v>00013</v>
          </cell>
          <cell r="B188" t="str">
            <v>Southwestern Public Service Co</v>
          </cell>
          <cell r="C188" t="str">
            <v>342230</v>
          </cell>
          <cell r="D188" t="str">
            <v>A/P-Select Contributions</v>
          </cell>
          <cell r="E188">
            <v>-19485.47</v>
          </cell>
        </row>
        <row r="189">
          <cell r="A189" t="str">
            <v>00013</v>
          </cell>
          <cell r="B189" t="str">
            <v>Southwestern Public Service Co</v>
          </cell>
          <cell r="C189" t="str">
            <v>342260</v>
          </cell>
          <cell r="D189" t="str">
            <v>A/P-EIP Empee Contrib N/Q Plan</v>
          </cell>
          <cell r="E189">
            <v>-126069.69</v>
          </cell>
        </row>
        <row r="190">
          <cell r="A190" t="str">
            <v>00013</v>
          </cell>
          <cell r="B190" t="str">
            <v>Southwestern Public Service Co</v>
          </cell>
          <cell r="C190" t="str">
            <v>342290</v>
          </cell>
          <cell r="D190" t="str">
            <v>A/P-EIP Emplyr Cont N/Q Plan</v>
          </cell>
          <cell r="E190">
            <v>7241.99</v>
          </cell>
        </row>
        <row r="191">
          <cell r="A191" t="str">
            <v>00013</v>
          </cell>
          <cell r="B191" t="str">
            <v>Southwestern Public Service Co</v>
          </cell>
          <cell r="C191" t="str">
            <v>342320</v>
          </cell>
          <cell r="D191" t="str">
            <v>A/P-EE Contrib-Union VEBA</v>
          </cell>
          <cell r="E191">
            <v>-1348244.61</v>
          </cell>
        </row>
        <row r="192">
          <cell r="A192" t="str">
            <v>00013</v>
          </cell>
          <cell r="B192" t="str">
            <v>Southwestern Public Service Co</v>
          </cell>
          <cell r="C192" t="str">
            <v>342350</v>
          </cell>
          <cell r="D192" t="str">
            <v>A/P-EE Contrib Non-Union VEBA</v>
          </cell>
          <cell r="E192">
            <v>847233.87</v>
          </cell>
        </row>
        <row r="193">
          <cell r="A193" t="str">
            <v>00013</v>
          </cell>
          <cell r="B193" t="str">
            <v>Southwestern Public Service Co</v>
          </cell>
          <cell r="C193" t="str">
            <v>351140</v>
          </cell>
          <cell r="D193" t="str">
            <v>Refunds Due to Customers</v>
          </cell>
          <cell r="E193">
            <v>-270121.14</v>
          </cell>
        </row>
        <row r="194">
          <cell r="A194" t="str">
            <v>00013</v>
          </cell>
          <cell r="B194" t="str">
            <v>Southwestern Public Service Co</v>
          </cell>
          <cell r="C194" t="str">
            <v>351260</v>
          </cell>
          <cell r="D194" t="str">
            <v>CurLiab-Rate Ref-Elec-Earn Tst</v>
          </cell>
          <cell r="E194">
            <v>-7279138</v>
          </cell>
        </row>
        <row r="195">
          <cell r="A195" t="str">
            <v>00013</v>
          </cell>
          <cell r="B195" t="str">
            <v>Southwestern Public Service Co</v>
          </cell>
          <cell r="C195" t="str">
            <v>351290</v>
          </cell>
          <cell r="D195" t="str">
            <v>Misc CurLiab-Rate-Ref Merg Sav</v>
          </cell>
          <cell r="E195">
            <v>-172538.1</v>
          </cell>
        </row>
        <row r="196">
          <cell r="A196" t="str">
            <v>00013</v>
          </cell>
          <cell r="B196" t="str">
            <v>Southwestern Public Service Co</v>
          </cell>
          <cell r="C196" t="str">
            <v>351470</v>
          </cell>
          <cell r="D196" t="str">
            <v>Misc Liab-Excess/Refund Credit</v>
          </cell>
          <cell r="E196">
            <v>-3933332.4</v>
          </cell>
        </row>
        <row r="197">
          <cell r="A197" t="str">
            <v>00013</v>
          </cell>
          <cell r="B197" t="str">
            <v>Southwestern Public Service Co</v>
          </cell>
          <cell r="C197" t="str">
            <v>355218</v>
          </cell>
          <cell r="D197" t="str">
            <v>A/P Accr Power Interchange SPS</v>
          </cell>
          <cell r="E197">
            <v>-16158711.59</v>
          </cell>
        </row>
        <row r="198">
          <cell r="A198" t="str">
            <v>00013</v>
          </cell>
          <cell r="B198" t="str">
            <v>Southwestern Public Service Co</v>
          </cell>
          <cell r="C198" t="str">
            <v>355316</v>
          </cell>
          <cell r="D198" t="str">
            <v>A/P Accrd Fuel Pur</v>
          </cell>
          <cell r="E198">
            <v>-13486217.17</v>
          </cell>
        </row>
        <row r="199">
          <cell r="A199" t="str">
            <v>00013</v>
          </cell>
          <cell r="B199" t="str">
            <v>Southwestern Public Service Co</v>
          </cell>
          <cell r="C199" t="str">
            <v>355318</v>
          </cell>
          <cell r="D199" t="str">
            <v>A/P Oper Cost Cleanese Unit 1</v>
          </cell>
          <cell r="E199">
            <v>99706.26</v>
          </cell>
        </row>
        <row r="200">
          <cell r="A200" t="str">
            <v>00013</v>
          </cell>
          <cell r="B200" t="str">
            <v>Southwestern Public Service Co</v>
          </cell>
          <cell r="C200" t="str">
            <v>355322</v>
          </cell>
          <cell r="D200" t="str">
            <v>A/P Oper Cost Cleanese Unit 2</v>
          </cell>
          <cell r="E200">
            <v>-304090.65000000002</v>
          </cell>
        </row>
        <row r="201">
          <cell r="A201" t="str">
            <v>00013</v>
          </cell>
          <cell r="B201" t="str">
            <v>Southwestern Public Service Co</v>
          </cell>
          <cell r="C201" t="str">
            <v>355324</v>
          </cell>
          <cell r="D201" t="str">
            <v>A/P Grd Valley Water Assoc</v>
          </cell>
          <cell r="E201">
            <v>-245861.96</v>
          </cell>
        </row>
        <row r="202">
          <cell r="A202" t="str">
            <v>00013</v>
          </cell>
          <cell r="B202" t="str">
            <v>Southwestern Public Service Co</v>
          </cell>
          <cell r="C202" t="str">
            <v>361260</v>
          </cell>
          <cell r="D202" t="str">
            <v>A/P Misc Liab-Uncl Transp Chks</v>
          </cell>
          <cell r="E202">
            <v>39158.15</v>
          </cell>
        </row>
        <row r="203">
          <cell r="A203" t="str">
            <v>00013</v>
          </cell>
          <cell r="B203" t="str">
            <v>Southwestern Public Service Co</v>
          </cell>
          <cell r="C203" t="str">
            <v>361290</v>
          </cell>
          <cell r="D203" t="str">
            <v>A/P Misc Liab-Uncl Right of Wa</v>
          </cell>
          <cell r="E203">
            <v>18014.13</v>
          </cell>
        </row>
        <row r="204">
          <cell r="A204" t="str">
            <v>00013</v>
          </cell>
          <cell r="B204" t="str">
            <v>Southwestern Public Service Co</v>
          </cell>
          <cell r="C204" t="str">
            <v>361350</v>
          </cell>
          <cell r="D204" t="str">
            <v>A/P Unclaimed Overpay of Cust</v>
          </cell>
          <cell r="E204">
            <v>-223921.78</v>
          </cell>
        </row>
        <row r="205">
          <cell r="A205" t="str">
            <v>00013</v>
          </cell>
          <cell r="B205" t="str">
            <v>Southwestern Public Service Co</v>
          </cell>
          <cell r="C205" t="str">
            <v>365110</v>
          </cell>
          <cell r="D205" t="str">
            <v>A/P Vouchers Payable</v>
          </cell>
          <cell r="E205">
            <v>-7173929.7599999998</v>
          </cell>
        </row>
        <row r="206">
          <cell r="A206" t="str">
            <v>00013</v>
          </cell>
          <cell r="B206" t="str">
            <v>Southwestern Public Service Co</v>
          </cell>
          <cell r="C206" t="str">
            <v>365170</v>
          </cell>
          <cell r="D206" t="str">
            <v>A/P Unvouchered Invoices</v>
          </cell>
          <cell r="E206">
            <v>-3918870.9</v>
          </cell>
        </row>
        <row r="207">
          <cell r="A207" t="str">
            <v>00013</v>
          </cell>
          <cell r="B207" t="str">
            <v>Southwestern Public Service Co</v>
          </cell>
          <cell r="C207" t="str">
            <v>365180</v>
          </cell>
          <cell r="D207" t="str">
            <v>A/P T&amp;E Card</v>
          </cell>
          <cell r="E207">
            <v>-20469.52</v>
          </cell>
        </row>
        <row r="208">
          <cell r="A208" t="str">
            <v>00013</v>
          </cell>
          <cell r="B208" t="str">
            <v>Southwestern Public Service Co</v>
          </cell>
          <cell r="C208" t="str">
            <v>365210</v>
          </cell>
          <cell r="D208" t="str">
            <v>A/P Visa Card-Unvouchered Liab</v>
          </cell>
          <cell r="E208">
            <v>126746.09</v>
          </cell>
        </row>
        <row r="209">
          <cell r="A209" t="str">
            <v>00013</v>
          </cell>
          <cell r="B209" t="str">
            <v>Southwestern Public Service Co</v>
          </cell>
          <cell r="C209" t="str">
            <v>365350</v>
          </cell>
          <cell r="D209" t="str">
            <v>A/P Employee Prepaid Premiums</v>
          </cell>
          <cell r="E209">
            <v>-34967.35</v>
          </cell>
        </row>
        <row r="210">
          <cell r="A210" t="str">
            <v>00013</v>
          </cell>
          <cell r="B210" t="str">
            <v>Southwestern Public Service Co</v>
          </cell>
          <cell r="C210" t="str">
            <v>365650</v>
          </cell>
          <cell r="D210" t="str">
            <v>A/P Curr Liab-Ubd Mesa Voucher</v>
          </cell>
          <cell r="E210">
            <v>-11221595.449999999</v>
          </cell>
        </row>
        <row r="211">
          <cell r="A211" t="str">
            <v>00013</v>
          </cell>
          <cell r="B211" t="str">
            <v>Southwestern Public Service Co</v>
          </cell>
          <cell r="C211" t="str">
            <v>365720</v>
          </cell>
          <cell r="D211" t="str">
            <v>A/P-PUC of Texas</v>
          </cell>
          <cell r="E211">
            <v>-320000</v>
          </cell>
        </row>
        <row r="212">
          <cell r="A212" t="str">
            <v>00013</v>
          </cell>
          <cell r="B212" t="str">
            <v>Southwestern Public Service Co</v>
          </cell>
          <cell r="C212" t="str">
            <v>365900</v>
          </cell>
          <cell r="D212" t="str">
            <v>A/P-IBNR Medical Claims</v>
          </cell>
          <cell r="E212">
            <v>-1215500</v>
          </cell>
        </row>
        <row r="213">
          <cell r="A213" t="str">
            <v>00013</v>
          </cell>
          <cell r="B213" t="str">
            <v>Southwestern Public Service Co</v>
          </cell>
          <cell r="C213" t="str">
            <v>369000</v>
          </cell>
          <cell r="D213" t="str">
            <v>A/P-Miscellaneous</v>
          </cell>
          <cell r="E213">
            <v>-49254.69</v>
          </cell>
        </row>
        <row r="214">
          <cell r="A214" t="str">
            <v>00013</v>
          </cell>
          <cell r="B214" t="str">
            <v>Southwestern Public Service Co</v>
          </cell>
          <cell r="C214" t="str">
            <v>369110</v>
          </cell>
          <cell r="D214" t="str">
            <v>Fran Fees-Co Match-All</v>
          </cell>
          <cell r="E214">
            <v>-898558.75</v>
          </cell>
        </row>
        <row r="215">
          <cell r="A215" t="str">
            <v>00013</v>
          </cell>
          <cell r="B215" t="str">
            <v>Southwestern Public Service Co</v>
          </cell>
          <cell r="C215" t="str">
            <v>369110</v>
          </cell>
          <cell r="D215" t="str">
            <v>Fran Fees-Cust Bill-All</v>
          </cell>
          <cell r="E215">
            <v>-626391.05000000005</v>
          </cell>
        </row>
        <row r="216">
          <cell r="A216" t="str">
            <v>00013</v>
          </cell>
          <cell r="B216" t="str">
            <v>Southwestern Public Service Co</v>
          </cell>
          <cell r="C216" t="str">
            <v>369210</v>
          </cell>
          <cell r="D216" t="str">
            <v>Sales Tax - TX</v>
          </cell>
          <cell r="E216">
            <v>-2670518.0299999998</v>
          </cell>
        </row>
        <row r="217">
          <cell r="A217" t="str">
            <v>00013</v>
          </cell>
          <cell r="B217" t="str">
            <v>Southwestern Public Service Co</v>
          </cell>
          <cell r="C217" t="str">
            <v>371140</v>
          </cell>
          <cell r="D217" t="str">
            <v>Def Cr-Cust Sec Acct</v>
          </cell>
          <cell r="E217">
            <v>-5418447.3300000001</v>
          </cell>
        </row>
        <row r="218">
          <cell r="A218" t="str">
            <v>00013</v>
          </cell>
          <cell r="B218" t="str">
            <v>Southwestern Public Service Co</v>
          </cell>
          <cell r="C218" t="str">
            <v>371150</v>
          </cell>
          <cell r="D218" t="str">
            <v>TX AC Pilot Program</v>
          </cell>
          <cell r="E218">
            <v>0</v>
          </cell>
        </row>
        <row r="219">
          <cell r="A219" t="str">
            <v>00013</v>
          </cell>
          <cell r="B219" t="str">
            <v>Southwestern Public Service Co</v>
          </cell>
          <cell r="C219" t="str">
            <v>371260</v>
          </cell>
          <cell r="D219" t="str">
            <v>Def Cr-Secur Deposit</v>
          </cell>
          <cell r="E219">
            <v>-57000</v>
          </cell>
        </row>
        <row r="220">
          <cell r="A220" t="str">
            <v>00013</v>
          </cell>
          <cell r="B220" t="str">
            <v>Southwestern Public Service Co</v>
          </cell>
          <cell r="C220" t="str">
            <v>371290</v>
          </cell>
          <cell r="D220" t="str">
            <v>Def Cr-CIS Deposits Billed</v>
          </cell>
          <cell r="E220">
            <v>-1033737.46</v>
          </cell>
        </row>
        <row r="221">
          <cell r="A221" t="str">
            <v>00013</v>
          </cell>
          <cell r="B221" t="str">
            <v>Southwestern Public Service Co</v>
          </cell>
          <cell r="C221" t="str">
            <v>371350</v>
          </cell>
          <cell r="D221" t="str">
            <v>Def Credit-Renew Energy Prog</v>
          </cell>
          <cell r="E221">
            <v>-150</v>
          </cell>
        </row>
        <row r="222">
          <cell r="A222" t="str">
            <v>00013</v>
          </cell>
          <cell r="B222" t="str">
            <v>Southwestern Public Service Co</v>
          </cell>
          <cell r="C222" t="str">
            <v>371380</v>
          </cell>
          <cell r="D222" t="str">
            <v>Def CR-Transmission Deposit</v>
          </cell>
          <cell r="E222">
            <v>0</v>
          </cell>
        </row>
        <row r="223">
          <cell r="A223" t="str">
            <v>00013</v>
          </cell>
          <cell r="B223" t="str">
            <v>Southwestern Public Service Co</v>
          </cell>
          <cell r="C223" t="str">
            <v>373100</v>
          </cell>
          <cell r="D223" t="str">
            <v>Misc Curr Liab-Caprock Elec Ln</v>
          </cell>
          <cell r="E223">
            <v>-6189039.6100000003</v>
          </cell>
        </row>
        <row r="224">
          <cell r="A224" t="str">
            <v>00013</v>
          </cell>
          <cell r="B224" t="str">
            <v>Southwestern Public Service Co</v>
          </cell>
          <cell r="C224" t="str">
            <v>373150</v>
          </cell>
          <cell r="D224" t="str">
            <v>Misc Curr Liab - Deferred Fuel</v>
          </cell>
          <cell r="E224">
            <v>0</v>
          </cell>
        </row>
        <row r="225">
          <cell r="A225" t="str">
            <v>00013</v>
          </cell>
          <cell r="B225" t="str">
            <v>Southwestern Public Service Co</v>
          </cell>
          <cell r="C225" t="str">
            <v>373150</v>
          </cell>
          <cell r="D225" t="str">
            <v>Misc Curr Liab - Dfrd Fuel-NM</v>
          </cell>
          <cell r="E225">
            <v>0</v>
          </cell>
        </row>
        <row r="226">
          <cell r="A226" t="str">
            <v>00013</v>
          </cell>
          <cell r="B226" t="str">
            <v>Southwestern Public Service Co</v>
          </cell>
          <cell r="C226" t="str">
            <v>373150</v>
          </cell>
          <cell r="D226" t="str">
            <v>Misc Curr Liab - Dfrd Fuel-TX</v>
          </cell>
          <cell r="E226">
            <v>0</v>
          </cell>
        </row>
        <row r="227">
          <cell r="A227" t="str">
            <v>00013</v>
          </cell>
          <cell r="B227" t="str">
            <v>Southwestern Public Service Co</v>
          </cell>
          <cell r="C227" t="str">
            <v>373200</v>
          </cell>
          <cell r="D227" t="str">
            <v>Misc Cur Lia-Dfrd Fl Whlsle-NM</v>
          </cell>
          <cell r="E227">
            <v>0</v>
          </cell>
        </row>
        <row r="228">
          <cell r="A228" t="str">
            <v>00013</v>
          </cell>
          <cell r="B228" t="str">
            <v>Southwestern Public Service Co</v>
          </cell>
          <cell r="C228" t="str">
            <v>373200</v>
          </cell>
          <cell r="D228" t="str">
            <v>Misc Cur Lia-Dfrd Fl Whlsle-TX</v>
          </cell>
          <cell r="E228">
            <v>0</v>
          </cell>
        </row>
        <row r="229">
          <cell r="A229" t="str">
            <v>00013</v>
          </cell>
          <cell r="B229" t="str">
            <v>Southwestern Public Service Co</v>
          </cell>
          <cell r="C229" t="str">
            <v>375200</v>
          </cell>
          <cell r="D229" t="str">
            <v>Worker's Comp &amp; Pub Liab Ins</v>
          </cell>
          <cell r="E229">
            <v>436</v>
          </cell>
        </row>
        <row r="230">
          <cell r="A230" t="str">
            <v>00013</v>
          </cell>
          <cell r="B230" t="str">
            <v>Southwestern Public Service Co</v>
          </cell>
          <cell r="C230" t="str">
            <v>375900</v>
          </cell>
          <cell r="D230" t="str">
            <v>Liab-ODD $ Adj Dflt Susp Accnt</v>
          </cell>
          <cell r="E230">
            <v>0</v>
          </cell>
        </row>
        <row r="231">
          <cell r="A231" t="str">
            <v>00013</v>
          </cell>
          <cell r="B231" t="str">
            <v>Southwestern Public Service Co</v>
          </cell>
          <cell r="C231" t="str">
            <v>376700</v>
          </cell>
          <cell r="D231" t="str">
            <v>Default Suspense Account-G/L</v>
          </cell>
          <cell r="E231">
            <v>0</v>
          </cell>
        </row>
        <row r="232">
          <cell r="A232" t="str">
            <v>00013</v>
          </cell>
          <cell r="B232" t="str">
            <v>Southwestern Public Service Co</v>
          </cell>
          <cell r="C232" t="str">
            <v>376800</v>
          </cell>
          <cell r="D232" t="str">
            <v>Curr Deriv Lblties- Treasury</v>
          </cell>
          <cell r="E232">
            <v>-1130866</v>
          </cell>
        </row>
        <row r="233">
          <cell r="A233" t="str">
            <v>00013</v>
          </cell>
          <cell r="B233" t="str">
            <v>Southwestern Public Service Co</v>
          </cell>
          <cell r="C233" t="str">
            <v>376815</v>
          </cell>
          <cell r="D233" t="str">
            <v>Co Officer Suppmntl Exp</v>
          </cell>
          <cell r="E233">
            <v>-3840997.28</v>
          </cell>
        </row>
        <row r="234">
          <cell r="A234" t="str">
            <v>00013</v>
          </cell>
          <cell r="B234" t="str">
            <v>Southwestern Public Service Co</v>
          </cell>
          <cell r="C234" t="str">
            <v>376820</v>
          </cell>
          <cell r="D234" t="str">
            <v>FERC Annual Charge</v>
          </cell>
          <cell r="E234">
            <v>0.01</v>
          </cell>
        </row>
        <row r="235">
          <cell r="A235" t="str">
            <v>00013</v>
          </cell>
          <cell r="B235" t="str">
            <v>Southwestern Public Service Co</v>
          </cell>
          <cell r="C235" t="str">
            <v>376825</v>
          </cell>
          <cell r="D235" t="str">
            <v>Tie Line Liability</v>
          </cell>
          <cell r="E235">
            <v>1879.44</v>
          </cell>
        </row>
        <row r="236">
          <cell r="A236" t="str">
            <v>00013</v>
          </cell>
          <cell r="B236" t="str">
            <v>Southwestern Public Service Co</v>
          </cell>
          <cell r="C236" t="str">
            <v>376830</v>
          </cell>
          <cell r="D236" t="str">
            <v>Reg Commission Fees-New Mexico</v>
          </cell>
          <cell r="E236">
            <v>-780000</v>
          </cell>
        </row>
        <row r="237">
          <cell r="A237" t="str">
            <v>00013</v>
          </cell>
          <cell r="B237" t="str">
            <v>Southwestern Public Service Co</v>
          </cell>
          <cell r="C237" t="str">
            <v>383110</v>
          </cell>
          <cell r="D237" t="str">
            <v>Income Taxes Federal</v>
          </cell>
          <cell r="E237">
            <v>-5670318.0700000003</v>
          </cell>
        </row>
        <row r="238">
          <cell r="A238" t="str">
            <v>00013</v>
          </cell>
          <cell r="B238" t="str">
            <v>Southwestern Public Service Co</v>
          </cell>
          <cell r="C238" t="str">
            <v>383120</v>
          </cell>
          <cell r="D238" t="str">
            <v>State Inc Tax-Kansas</v>
          </cell>
          <cell r="E238">
            <v>8050</v>
          </cell>
        </row>
        <row r="239">
          <cell r="A239" t="str">
            <v>00013</v>
          </cell>
          <cell r="B239" t="str">
            <v>Southwestern Public Service Co</v>
          </cell>
          <cell r="C239" t="str">
            <v>383120</v>
          </cell>
          <cell r="D239" t="str">
            <v>State Inc Tax-New Mexico</v>
          </cell>
          <cell r="E239">
            <v>-1268196</v>
          </cell>
        </row>
        <row r="240">
          <cell r="A240" t="str">
            <v>00013</v>
          </cell>
          <cell r="B240" t="str">
            <v>Southwestern Public Service Co</v>
          </cell>
          <cell r="C240" t="str">
            <v>383120</v>
          </cell>
          <cell r="D240" t="str">
            <v>State Inc Tax-Oklahoma</v>
          </cell>
          <cell r="E240">
            <v>-80899</v>
          </cell>
        </row>
        <row r="241">
          <cell r="A241" t="str">
            <v>00013</v>
          </cell>
          <cell r="B241" t="str">
            <v>Southwestern Public Service Co</v>
          </cell>
          <cell r="C241" t="str">
            <v>383160</v>
          </cell>
          <cell r="D241" t="str">
            <v>Federal Def Inc Tx Nonplant</v>
          </cell>
          <cell r="E241">
            <v>14227196.23</v>
          </cell>
        </row>
        <row r="242">
          <cell r="A242" t="str">
            <v>00013</v>
          </cell>
          <cell r="B242" t="str">
            <v>Southwestern Public Service Co</v>
          </cell>
          <cell r="C242" t="str">
            <v>383520</v>
          </cell>
          <cell r="D242" t="str">
            <v>Property Tax-KS</v>
          </cell>
          <cell r="E242">
            <v>-47128.43</v>
          </cell>
        </row>
        <row r="243">
          <cell r="A243" t="str">
            <v>00013</v>
          </cell>
          <cell r="B243" t="str">
            <v>Southwestern Public Service Co</v>
          </cell>
          <cell r="C243" t="str">
            <v>383520</v>
          </cell>
          <cell r="D243" t="str">
            <v>Property Tax-NM</v>
          </cell>
          <cell r="E243">
            <v>-399001.24</v>
          </cell>
        </row>
        <row r="244">
          <cell r="A244" t="str">
            <v>00013</v>
          </cell>
          <cell r="B244" t="str">
            <v>Southwestern Public Service Co</v>
          </cell>
          <cell r="C244" t="str">
            <v>383520</v>
          </cell>
          <cell r="D244" t="str">
            <v>Property Tax-OK</v>
          </cell>
          <cell r="E244">
            <v>-21587.25</v>
          </cell>
        </row>
        <row r="245">
          <cell r="A245" t="str">
            <v>00013</v>
          </cell>
          <cell r="B245" t="str">
            <v>Southwestern Public Service Co</v>
          </cell>
          <cell r="C245" t="str">
            <v>383520</v>
          </cell>
          <cell r="D245" t="str">
            <v>Property Tax-TX</v>
          </cell>
          <cell r="E245">
            <v>-23373728.890000001</v>
          </cell>
        </row>
        <row r="246">
          <cell r="A246" t="str">
            <v>00013</v>
          </cell>
          <cell r="B246" t="str">
            <v>Southwestern Public Service Co</v>
          </cell>
          <cell r="C246" t="str">
            <v>383910</v>
          </cell>
          <cell r="D246" t="str">
            <v>Fran Fees-Co Match-All City</v>
          </cell>
          <cell r="E246">
            <v>0</v>
          </cell>
        </row>
        <row r="247">
          <cell r="A247" t="str">
            <v>00013</v>
          </cell>
          <cell r="B247" t="str">
            <v>Southwestern Public Service Co</v>
          </cell>
          <cell r="C247" t="str">
            <v>383910</v>
          </cell>
          <cell r="D247" t="str">
            <v>Fran Fees-Cust Bill-All City</v>
          </cell>
          <cell r="E247">
            <v>0</v>
          </cell>
        </row>
        <row r="248">
          <cell r="A248" t="str">
            <v>00013</v>
          </cell>
          <cell r="B248" t="str">
            <v>Southwestern Public Service Co</v>
          </cell>
          <cell r="C248" t="str">
            <v>384310</v>
          </cell>
          <cell r="D248" t="str">
            <v>Sales Tax-TX</v>
          </cell>
          <cell r="E248">
            <v>827952.87</v>
          </cell>
        </row>
        <row r="249">
          <cell r="A249" t="str">
            <v>00013</v>
          </cell>
          <cell r="B249" t="str">
            <v>Southwestern Public Service Co</v>
          </cell>
          <cell r="C249" t="str">
            <v>384710</v>
          </cell>
          <cell r="D249" t="str">
            <v>State Use Tax-KS</v>
          </cell>
          <cell r="E249">
            <v>-334428.31</v>
          </cell>
        </row>
        <row r="250">
          <cell r="A250" t="str">
            <v>00013</v>
          </cell>
          <cell r="B250" t="str">
            <v>Southwestern Public Service Co</v>
          </cell>
          <cell r="C250" t="str">
            <v>384710</v>
          </cell>
          <cell r="D250" t="str">
            <v>State Use Tax-NM</v>
          </cell>
          <cell r="E250">
            <v>-92068.22</v>
          </cell>
        </row>
        <row r="251">
          <cell r="A251" t="str">
            <v>00013</v>
          </cell>
          <cell r="B251" t="str">
            <v>Southwestern Public Service Co</v>
          </cell>
          <cell r="C251" t="str">
            <v>384710</v>
          </cell>
          <cell r="D251" t="str">
            <v>State Use Tax-OK</v>
          </cell>
          <cell r="E251">
            <v>-20742.32</v>
          </cell>
        </row>
        <row r="252">
          <cell r="A252" t="str">
            <v>00013</v>
          </cell>
          <cell r="B252" t="str">
            <v>Southwestern Public Service Co</v>
          </cell>
          <cell r="C252" t="str">
            <v>384710</v>
          </cell>
          <cell r="D252" t="str">
            <v>State Use Tax-TX</v>
          </cell>
          <cell r="E252">
            <v>-572838.65</v>
          </cell>
        </row>
        <row r="253">
          <cell r="A253" t="str">
            <v>00013</v>
          </cell>
          <cell r="B253" t="str">
            <v>Southwestern Public Service Co</v>
          </cell>
          <cell r="C253" t="str">
            <v>384715</v>
          </cell>
          <cell r="D253" t="str">
            <v>Use Tax-TX</v>
          </cell>
          <cell r="E253">
            <v>-15992.8</v>
          </cell>
        </row>
        <row r="254">
          <cell r="A254" t="str">
            <v>00013</v>
          </cell>
          <cell r="B254" t="str">
            <v>Southwestern Public Service Co</v>
          </cell>
          <cell r="C254" t="str">
            <v>384715</v>
          </cell>
          <cell r="D254" t="str">
            <v>Use Tax-TX-Baily</v>
          </cell>
          <cell r="E254">
            <v>-18.010000000000002</v>
          </cell>
        </row>
        <row r="255">
          <cell r="A255" t="str">
            <v>00013</v>
          </cell>
          <cell r="B255" t="str">
            <v>Southwestern Public Service Co</v>
          </cell>
          <cell r="C255" t="str">
            <v>384715</v>
          </cell>
          <cell r="D255" t="str">
            <v>Use Tax-TX-Castro</v>
          </cell>
          <cell r="E255">
            <v>103.78</v>
          </cell>
        </row>
        <row r="256">
          <cell r="A256" t="str">
            <v>00013</v>
          </cell>
          <cell r="B256" t="str">
            <v>Southwestern Public Service Co</v>
          </cell>
          <cell r="C256" t="str">
            <v>384715</v>
          </cell>
          <cell r="D256" t="str">
            <v>Use Tax-TX-Crosby</v>
          </cell>
          <cell r="E256">
            <v>1089.45</v>
          </cell>
        </row>
        <row r="257">
          <cell r="A257" t="str">
            <v>00013</v>
          </cell>
          <cell r="B257" t="str">
            <v>Southwestern Public Service Co</v>
          </cell>
          <cell r="C257" t="str">
            <v>384715</v>
          </cell>
          <cell r="D257" t="str">
            <v>Use Tax-TX-Deaf Smith</v>
          </cell>
          <cell r="E257">
            <v>-177.8</v>
          </cell>
        </row>
        <row r="258">
          <cell r="A258" t="str">
            <v>00013</v>
          </cell>
          <cell r="B258" t="str">
            <v>Southwestern Public Service Co</v>
          </cell>
          <cell r="C258" t="str">
            <v>384715</v>
          </cell>
          <cell r="D258" t="str">
            <v>Use Tax-TX-Hale</v>
          </cell>
          <cell r="E258">
            <v>-362.62</v>
          </cell>
        </row>
        <row r="259">
          <cell r="A259" t="str">
            <v>00013</v>
          </cell>
          <cell r="B259" t="str">
            <v>Southwestern Public Service Co</v>
          </cell>
          <cell r="C259" t="str">
            <v>384715</v>
          </cell>
          <cell r="D259" t="str">
            <v>Use Tax-TX-Lubbock</v>
          </cell>
          <cell r="E259">
            <v>-7966.88</v>
          </cell>
        </row>
        <row r="260">
          <cell r="A260" t="str">
            <v>00013</v>
          </cell>
          <cell r="B260" t="str">
            <v>Southwestern Public Service Co</v>
          </cell>
          <cell r="C260" t="str">
            <v>384715</v>
          </cell>
          <cell r="D260" t="str">
            <v>Use Tax-TX-Oldham</v>
          </cell>
          <cell r="E260">
            <v>-0.06</v>
          </cell>
        </row>
        <row r="261">
          <cell r="A261" t="str">
            <v>00013</v>
          </cell>
          <cell r="B261" t="str">
            <v>Southwestern Public Service Co</v>
          </cell>
          <cell r="C261" t="str">
            <v>384720</v>
          </cell>
          <cell r="D261" t="str">
            <v>Use Tax-TX-1%-Dallas</v>
          </cell>
          <cell r="E261">
            <v>-51.91</v>
          </cell>
        </row>
        <row r="262">
          <cell r="A262" t="str">
            <v>00013</v>
          </cell>
          <cell r="B262" t="str">
            <v>Southwestern Public Service Co</v>
          </cell>
          <cell r="C262" t="str">
            <v>384720</v>
          </cell>
          <cell r="D262" t="str">
            <v>Use Tax-TX-1%-Darrozett</v>
          </cell>
          <cell r="E262">
            <v>-6.3</v>
          </cell>
        </row>
        <row r="263">
          <cell r="A263" t="str">
            <v>00013</v>
          </cell>
          <cell r="B263" t="str">
            <v>Southwestern Public Service Co</v>
          </cell>
          <cell r="C263" t="str">
            <v>384720</v>
          </cell>
          <cell r="D263" t="str">
            <v>Use Tax-TX-1%-Denver</v>
          </cell>
          <cell r="E263">
            <v>0</v>
          </cell>
        </row>
        <row r="264">
          <cell r="A264" t="str">
            <v>00013</v>
          </cell>
          <cell r="B264" t="str">
            <v>Southwestern Public Service Co</v>
          </cell>
          <cell r="C264" t="str">
            <v>384720</v>
          </cell>
          <cell r="D264" t="str">
            <v>Use Tax-TX-1%-Floydada</v>
          </cell>
          <cell r="E264">
            <v>5.22</v>
          </cell>
        </row>
        <row r="265">
          <cell r="A265" t="str">
            <v>00013</v>
          </cell>
          <cell r="B265" t="str">
            <v>Southwestern Public Service Co</v>
          </cell>
          <cell r="C265" t="str">
            <v>384720</v>
          </cell>
          <cell r="D265" t="str">
            <v>Use Tax-TX-1%-Houston</v>
          </cell>
          <cell r="E265">
            <v>-110.85</v>
          </cell>
        </row>
        <row r="266">
          <cell r="A266" t="str">
            <v>00013</v>
          </cell>
          <cell r="B266" t="str">
            <v>Southwestern Public Service Co</v>
          </cell>
          <cell r="C266" t="str">
            <v>384720</v>
          </cell>
          <cell r="D266" t="str">
            <v>Use Tax-TX-1%-Lockney</v>
          </cell>
          <cell r="E266">
            <v>4010.55</v>
          </cell>
        </row>
        <row r="267">
          <cell r="A267" t="str">
            <v>00013</v>
          </cell>
          <cell r="B267" t="str">
            <v>Southwestern Public Service Co</v>
          </cell>
          <cell r="C267" t="str">
            <v>384720</v>
          </cell>
          <cell r="D267" t="str">
            <v>Use Tax-TX-1%-Morton</v>
          </cell>
          <cell r="E267">
            <v>0</v>
          </cell>
        </row>
        <row r="268">
          <cell r="A268" t="str">
            <v>00013</v>
          </cell>
          <cell r="B268" t="str">
            <v>Southwestern Public Service Co</v>
          </cell>
          <cell r="C268" t="str">
            <v>384720</v>
          </cell>
          <cell r="D268" t="str">
            <v>Use Tax-TX-1%-Pasadena</v>
          </cell>
          <cell r="E268">
            <v>-31499.68</v>
          </cell>
        </row>
        <row r="269">
          <cell r="A269" t="str">
            <v>00013</v>
          </cell>
          <cell r="B269" t="str">
            <v>Southwestern Public Service Co</v>
          </cell>
          <cell r="C269" t="str">
            <v>384720</v>
          </cell>
          <cell r="D269" t="str">
            <v>Use Tax-TX-1%-Post</v>
          </cell>
          <cell r="E269">
            <v>1061.52</v>
          </cell>
        </row>
        <row r="270">
          <cell r="A270" t="str">
            <v>00013</v>
          </cell>
          <cell r="B270" t="str">
            <v>Southwestern Public Service Co</v>
          </cell>
          <cell r="C270" t="str">
            <v>384720</v>
          </cell>
          <cell r="D270" t="str">
            <v>Use Tax-TX-1%-Ropesville</v>
          </cell>
          <cell r="E270">
            <v>188.2</v>
          </cell>
        </row>
        <row r="271">
          <cell r="A271" t="str">
            <v>00013</v>
          </cell>
          <cell r="B271" t="str">
            <v>Southwestern Public Service Co</v>
          </cell>
          <cell r="C271" t="str">
            <v>384720</v>
          </cell>
          <cell r="D271" t="str">
            <v>Use Tax-TX-1%-Seagrave</v>
          </cell>
          <cell r="E271">
            <v>-0.75</v>
          </cell>
        </row>
        <row r="272">
          <cell r="A272" t="str">
            <v>00013</v>
          </cell>
          <cell r="B272" t="str">
            <v>Southwestern Public Service Co</v>
          </cell>
          <cell r="C272" t="str">
            <v>384720</v>
          </cell>
          <cell r="D272" t="str">
            <v>Use Tax-TX-1%-Seminole</v>
          </cell>
          <cell r="E272">
            <v>-984.84</v>
          </cell>
        </row>
        <row r="273">
          <cell r="A273" t="str">
            <v>00013</v>
          </cell>
          <cell r="B273" t="str">
            <v>Southwestern Public Service Co</v>
          </cell>
          <cell r="C273" t="str">
            <v>384720</v>
          </cell>
          <cell r="D273" t="str">
            <v>Use Tax-TX-1%-Silverton</v>
          </cell>
          <cell r="E273">
            <v>13484.79</v>
          </cell>
        </row>
        <row r="274">
          <cell r="A274" t="str">
            <v>00013</v>
          </cell>
          <cell r="B274" t="str">
            <v>Southwestern Public Service Co</v>
          </cell>
          <cell r="C274" t="str">
            <v>384720</v>
          </cell>
          <cell r="D274" t="str">
            <v>Use Tax-TX-1%-Slaton</v>
          </cell>
          <cell r="E274">
            <v>0.01</v>
          </cell>
        </row>
        <row r="275">
          <cell r="A275" t="str">
            <v>00013</v>
          </cell>
          <cell r="B275" t="str">
            <v>Southwestern Public Service Co</v>
          </cell>
          <cell r="C275" t="str">
            <v>384720</v>
          </cell>
          <cell r="D275" t="str">
            <v>Use Tax-TX-1%-Tahoka</v>
          </cell>
          <cell r="E275">
            <v>-0.9</v>
          </cell>
        </row>
        <row r="276">
          <cell r="A276" t="str">
            <v>00013</v>
          </cell>
          <cell r="B276" t="str">
            <v>Southwestern Public Service Co</v>
          </cell>
          <cell r="C276" t="str">
            <v>384720</v>
          </cell>
          <cell r="D276" t="str">
            <v>Use Tax-TX-1%-Vega</v>
          </cell>
          <cell r="E276">
            <v>337.58</v>
          </cell>
        </row>
        <row r="277">
          <cell r="A277" t="str">
            <v>00013</v>
          </cell>
          <cell r="B277" t="str">
            <v>Southwestern Public Service Co</v>
          </cell>
          <cell r="C277" t="str">
            <v>384720</v>
          </cell>
          <cell r="D277" t="str">
            <v>Use Tax-TX-1.25%-Lubbock</v>
          </cell>
          <cell r="E277">
            <v>-19379.330000000002</v>
          </cell>
        </row>
        <row r="278">
          <cell r="A278" t="str">
            <v>00013</v>
          </cell>
          <cell r="B278" t="str">
            <v>Southwestern Public Service Co</v>
          </cell>
          <cell r="C278" t="str">
            <v>384720</v>
          </cell>
          <cell r="D278" t="str">
            <v>Use Tax-TX-1.5%-Abernathy</v>
          </cell>
          <cell r="E278">
            <v>-11.71</v>
          </cell>
        </row>
        <row r="279">
          <cell r="A279" t="str">
            <v>00013</v>
          </cell>
          <cell r="B279" t="str">
            <v>Southwestern Public Service Co</v>
          </cell>
          <cell r="C279" t="str">
            <v>384720</v>
          </cell>
          <cell r="D279" t="str">
            <v>Use Tax-TX-1.5%-Arlington</v>
          </cell>
          <cell r="E279">
            <v>-0.25</v>
          </cell>
        </row>
        <row r="280">
          <cell r="A280" t="str">
            <v>00013</v>
          </cell>
          <cell r="B280" t="str">
            <v>Southwestern Public Service Co</v>
          </cell>
          <cell r="C280" t="str">
            <v>384720</v>
          </cell>
          <cell r="D280" t="str">
            <v>Use Tax-TX-1.5%-Earth</v>
          </cell>
          <cell r="E280">
            <v>49.81</v>
          </cell>
        </row>
        <row r="281">
          <cell r="A281" t="str">
            <v>00013</v>
          </cell>
          <cell r="B281" t="str">
            <v>Southwestern Public Service Co</v>
          </cell>
          <cell r="C281" t="str">
            <v>384720</v>
          </cell>
          <cell r="D281" t="str">
            <v>Use Tax-TX-1.5%-Farwell</v>
          </cell>
          <cell r="E281">
            <v>-1.33</v>
          </cell>
        </row>
        <row r="282">
          <cell r="A282" t="str">
            <v>00013</v>
          </cell>
          <cell r="B282" t="str">
            <v>Southwestern Public Service Co</v>
          </cell>
          <cell r="C282" t="str">
            <v>384720</v>
          </cell>
          <cell r="D282" t="str">
            <v>Use Tax-TX-1.5%-Hereford</v>
          </cell>
          <cell r="E282">
            <v>-489.56</v>
          </cell>
        </row>
        <row r="283">
          <cell r="A283" t="str">
            <v>00013</v>
          </cell>
          <cell r="B283" t="str">
            <v>Southwestern Public Service Co</v>
          </cell>
          <cell r="C283" t="str">
            <v>384720</v>
          </cell>
          <cell r="D283" t="str">
            <v>Use TAx-TX-1%-Canyon</v>
          </cell>
          <cell r="E283">
            <v>-387.61</v>
          </cell>
        </row>
        <row r="284">
          <cell r="A284" t="str">
            <v>00013</v>
          </cell>
          <cell r="B284" t="str">
            <v>Southwestern Public Service Co</v>
          </cell>
          <cell r="C284" t="str">
            <v>384720</v>
          </cell>
          <cell r="D284" t="str">
            <v>Use TAx-TX-1%-Claude</v>
          </cell>
          <cell r="E284">
            <v>-1.06</v>
          </cell>
        </row>
        <row r="285">
          <cell r="A285" t="str">
            <v>00013</v>
          </cell>
          <cell r="B285" t="str">
            <v>Southwestern Public Service Co</v>
          </cell>
          <cell r="C285" t="str">
            <v>384720</v>
          </cell>
          <cell r="D285" t="str">
            <v>Use Tax TX-2%-Amarillo</v>
          </cell>
          <cell r="E285">
            <v>-41381.46</v>
          </cell>
        </row>
        <row r="286">
          <cell r="A286" t="str">
            <v>00013</v>
          </cell>
          <cell r="B286" t="str">
            <v>Southwestern Public Service Co</v>
          </cell>
          <cell r="C286" t="str">
            <v>384720</v>
          </cell>
          <cell r="D286" t="str">
            <v>Use Tax-TX-1%-Austin</v>
          </cell>
          <cell r="E286">
            <v>1224.98</v>
          </cell>
        </row>
        <row r="287">
          <cell r="A287" t="str">
            <v>00013</v>
          </cell>
          <cell r="B287" t="str">
            <v>Southwestern Public Service Co</v>
          </cell>
          <cell r="C287" t="str">
            <v>384720</v>
          </cell>
          <cell r="D287" t="str">
            <v>Use Tax-TX-1%-Channing</v>
          </cell>
          <cell r="E287">
            <v>-1.06</v>
          </cell>
        </row>
        <row r="288">
          <cell r="A288" t="str">
            <v>00013</v>
          </cell>
          <cell r="B288" t="str">
            <v>Southwestern Public Service Co</v>
          </cell>
          <cell r="C288" t="str">
            <v>384720</v>
          </cell>
          <cell r="D288" t="str">
            <v>Use Tax-TX-1.5%-Levelland</v>
          </cell>
          <cell r="E288">
            <v>-852.26</v>
          </cell>
        </row>
        <row r="289">
          <cell r="A289" t="str">
            <v>00013</v>
          </cell>
          <cell r="B289" t="str">
            <v>Southwestern Public Service Co</v>
          </cell>
          <cell r="C289" t="str">
            <v>384720</v>
          </cell>
          <cell r="D289" t="str">
            <v>Use Tax-TX-1.5%-Littlefield</v>
          </cell>
          <cell r="E289">
            <v>-245.99</v>
          </cell>
        </row>
        <row r="290">
          <cell r="A290" t="str">
            <v>00013</v>
          </cell>
          <cell r="B290" t="str">
            <v>Southwestern Public Service Co</v>
          </cell>
          <cell r="C290" t="str">
            <v>384720</v>
          </cell>
          <cell r="D290" t="str">
            <v>Use Tax-TX-1.5%-Muleshoe</v>
          </cell>
          <cell r="E290">
            <v>-51.79</v>
          </cell>
        </row>
        <row r="291">
          <cell r="A291" t="str">
            <v>00013</v>
          </cell>
          <cell r="B291" t="str">
            <v>Southwestern Public Service Co</v>
          </cell>
          <cell r="C291" t="str">
            <v>384720</v>
          </cell>
          <cell r="D291" t="str">
            <v>Use Tax-TX-1.5%-Olton</v>
          </cell>
          <cell r="E291">
            <v>0</v>
          </cell>
        </row>
        <row r="292">
          <cell r="A292" t="str">
            <v>00013</v>
          </cell>
          <cell r="B292" t="str">
            <v>Southwestern Public Service Co</v>
          </cell>
          <cell r="C292" t="str">
            <v>384720</v>
          </cell>
          <cell r="D292" t="str">
            <v>Use Tax-TX-1.5%-Panhandle</v>
          </cell>
          <cell r="E292">
            <v>38.4</v>
          </cell>
        </row>
        <row r="293">
          <cell r="A293" t="str">
            <v>00013</v>
          </cell>
          <cell r="B293" t="str">
            <v>Southwestern Public Service Co</v>
          </cell>
          <cell r="C293" t="str">
            <v>384720</v>
          </cell>
          <cell r="D293" t="str">
            <v>Use Tax-TX-1.5%-Plainview</v>
          </cell>
          <cell r="E293">
            <v>-1114.29</v>
          </cell>
        </row>
        <row r="294">
          <cell r="A294" t="str">
            <v>00013</v>
          </cell>
          <cell r="B294" t="str">
            <v>Southwestern Public Service Co</v>
          </cell>
          <cell r="C294" t="str">
            <v>384720</v>
          </cell>
          <cell r="D294" t="str">
            <v>Use Tax-TX-1.5%-Ralls</v>
          </cell>
          <cell r="E294">
            <v>0</v>
          </cell>
        </row>
        <row r="295">
          <cell r="A295" t="str">
            <v>00013</v>
          </cell>
          <cell r="B295" t="str">
            <v>Southwestern Public Service Co</v>
          </cell>
          <cell r="C295" t="str">
            <v>384720</v>
          </cell>
          <cell r="D295" t="str">
            <v>Use Tax-TX-1.5%-Wheeler</v>
          </cell>
          <cell r="E295">
            <v>1239.95</v>
          </cell>
        </row>
        <row r="296">
          <cell r="A296" t="str">
            <v>00013</v>
          </cell>
          <cell r="B296" t="str">
            <v>Southwestern Public Service Co</v>
          </cell>
          <cell r="C296" t="str">
            <v>384720</v>
          </cell>
          <cell r="D296" t="str">
            <v>Use Tax-TX-2%-Borger</v>
          </cell>
          <cell r="E296">
            <v>19371.330000000002</v>
          </cell>
        </row>
        <row r="297">
          <cell r="A297" t="str">
            <v>00013</v>
          </cell>
          <cell r="B297" t="str">
            <v>Southwestern Public Service Co</v>
          </cell>
          <cell r="C297" t="str">
            <v>384720</v>
          </cell>
          <cell r="D297" t="str">
            <v>Use Tax-TX-2%-Dalhart</v>
          </cell>
          <cell r="E297">
            <v>1620.7</v>
          </cell>
        </row>
        <row r="298">
          <cell r="A298" t="str">
            <v>00013</v>
          </cell>
          <cell r="B298" t="str">
            <v>Southwestern Public Service Co</v>
          </cell>
          <cell r="C298" t="str">
            <v>384720</v>
          </cell>
          <cell r="D298" t="str">
            <v>Use Tax-TX-2%-Dumas</v>
          </cell>
          <cell r="E298">
            <v>-1385.66</v>
          </cell>
        </row>
        <row r="299">
          <cell r="A299" t="str">
            <v>00013</v>
          </cell>
          <cell r="B299" t="str">
            <v>Southwestern Public Service Co</v>
          </cell>
          <cell r="C299" t="str">
            <v>384720</v>
          </cell>
          <cell r="D299" t="str">
            <v>Use Tax-TX-2%-Friona</v>
          </cell>
          <cell r="E299">
            <v>-3.61</v>
          </cell>
        </row>
        <row r="300">
          <cell r="A300" t="str">
            <v>00013</v>
          </cell>
          <cell r="B300" t="str">
            <v>Southwestern Public Service Co</v>
          </cell>
          <cell r="C300" t="str">
            <v>384720</v>
          </cell>
          <cell r="D300" t="str">
            <v>Use Tax-TX-2%-Gruver</v>
          </cell>
          <cell r="E300">
            <v>-10.1</v>
          </cell>
        </row>
        <row r="301">
          <cell r="A301" t="str">
            <v>00013</v>
          </cell>
          <cell r="B301" t="str">
            <v>Southwestern Public Service Co</v>
          </cell>
          <cell r="C301" t="str">
            <v>384720</v>
          </cell>
          <cell r="D301" t="str">
            <v>Use Tax-TX-2%-Pampa</v>
          </cell>
          <cell r="E301">
            <v>-2501.0300000000002</v>
          </cell>
        </row>
        <row r="302">
          <cell r="A302" t="str">
            <v>00013</v>
          </cell>
          <cell r="B302" t="str">
            <v>Southwestern Public Service Co</v>
          </cell>
          <cell r="C302" t="str">
            <v>384720</v>
          </cell>
          <cell r="D302" t="str">
            <v>Use Tax-TX-2%-Perryton</v>
          </cell>
          <cell r="E302">
            <v>-115.24</v>
          </cell>
        </row>
        <row r="303">
          <cell r="A303" t="str">
            <v>00013</v>
          </cell>
          <cell r="B303" t="str">
            <v>Southwestern Public Service Co</v>
          </cell>
          <cell r="C303" t="str">
            <v>384720</v>
          </cell>
          <cell r="D303" t="str">
            <v>Use Tax-TX-2%-Spearman</v>
          </cell>
          <cell r="E303">
            <v>89.14</v>
          </cell>
        </row>
        <row r="304">
          <cell r="A304" t="str">
            <v>00013</v>
          </cell>
          <cell r="B304" t="str">
            <v>Southwestern Public Service Co</v>
          </cell>
          <cell r="C304" t="str">
            <v>384720</v>
          </cell>
          <cell r="D304" t="str">
            <v>Use Tax-Tx-1%-Midland</v>
          </cell>
          <cell r="E304">
            <v>-6.13</v>
          </cell>
        </row>
        <row r="305">
          <cell r="A305" t="str">
            <v>00013</v>
          </cell>
          <cell r="B305" t="str">
            <v>Southwestern Public Service Co</v>
          </cell>
          <cell r="C305" t="str">
            <v>384760</v>
          </cell>
          <cell r="D305" t="str">
            <v>Use Tax-Other</v>
          </cell>
          <cell r="E305">
            <v>-165333.34</v>
          </cell>
        </row>
        <row r="306">
          <cell r="A306" t="str">
            <v>00013</v>
          </cell>
          <cell r="B306" t="str">
            <v>Southwestern Public Service Co</v>
          </cell>
          <cell r="C306" t="str">
            <v>385110</v>
          </cell>
          <cell r="D306" t="str">
            <v>Employer Portion of FICA</v>
          </cell>
          <cell r="E306">
            <v>18203.07</v>
          </cell>
        </row>
        <row r="307">
          <cell r="A307" t="str">
            <v>00013</v>
          </cell>
          <cell r="B307" t="str">
            <v>Southwestern Public Service Co</v>
          </cell>
          <cell r="C307" t="str">
            <v>385120</v>
          </cell>
          <cell r="D307" t="str">
            <v>Federal Unemployment Tax</v>
          </cell>
          <cell r="E307">
            <v>-201.19</v>
          </cell>
        </row>
        <row r="308">
          <cell r="A308" t="str">
            <v>00013</v>
          </cell>
          <cell r="B308" t="str">
            <v>Southwestern Public Service Co</v>
          </cell>
          <cell r="C308" t="str">
            <v>385130</v>
          </cell>
          <cell r="D308" t="str">
            <v>State Unempl Tax-CO</v>
          </cell>
          <cell r="E308">
            <v>-1314.39</v>
          </cell>
        </row>
        <row r="309">
          <cell r="A309" t="str">
            <v>00013</v>
          </cell>
          <cell r="B309" t="str">
            <v>Southwestern Public Service Co</v>
          </cell>
          <cell r="C309" t="str">
            <v>386970</v>
          </cell>
          <cell r="D309" t="str">
            <v>Franchise Taxes - TX</v>
          </cell>
          <cell r="E309">
            <v>-3999259</v>
          </cell>
        </row>
        <row r="310">
          <cell r="A310" t="str">
            <v>00013</v>
          </cell>
          <cell r="B310" t="str">
            <v>Southwestern Public Service Co</v>
          </cell>
          <cell r="C310" t="str">
            <v>387370</v>
          </cell>
          <cell r="D310" t="str">
            <v>Potter Cty-5.75%-Due 09/01/16</v>
          </cell>
          <cell r="E310">
            <v>-1098250</v>
          </cell>
        </row>
        <row r="311">
          <cell r="A311" t="str">
            <v>00013</v>
          </cell>
          <cell r="B311" t="str">
            <v>Southwestern Public Service Co</v>
          </cell>
          <cell r="C311" t="str">
            <v>387370</v>
          </cell>
          <cell r="D311" t="str">
            <v>Red River-5.2%-Due 07/01/11</v>
          </cell>
          <cell r="E311">
            <v>-1157000</v>
          </cell>
        </row>
        <row r="312">
          <cell r="A312" t="str">
            <v>00013</v>
          </cell>
          <cell r="B312" t="str">
            <v>Southwestern Public Service Co</v>
          </cell>
          <cell r="C312" t="str">
            <v>387430</v>
          </cell>
          <cell r="D312" t="str">
            <v>TOPRS-7.85%-Due-9/1/36</v>
          </cell>
          <cell r="E312">
            <v>-654166.66</v>
          </cell>
        </row>
        <row r="313">
          <cell r="A313" t="str">
            <v>00013</v>
          </cell>
          <cell r="B313" t="str">
            <v>Southwestern Public Service Co</v>
          </cell>
          <cell r="C313" t="str">
            <v>387630</v>
          </cell>
          <cell r="D313" t="str">
            <v>Sr Note-6.2%-Due 03/01/09</v>
          </cell>
          <cell r="E313">
            <v>-2066666.68</v>
          </cell>
        </row>
        <row r="314">
          <cell r="A314" t="str">
            <v>00013</v>
          </cell>
          <cell r="B314" t="str">
            <v>Southwestern Public Service Co</v>
          </cell>
          <cell r="C314" t="str">
            <v>387630</v>
          </cell>
          <cell r="D314" t="str">
            <v>Sr.Note-5.125%-Due 11/01/06</v>
          </cell>
          <cell r="E314">
            <v>-4270833.32</v>
          </cell>
        </row>
        <row r="315">
          <cell r="A315" t="str">
            <v>00013</v>
          </cell>
          <cell r="B315" t="str">
            <v>Southwestern Public Service Co</v>
          </cell>
          <cell r="C315" t="str">
            <v>388140</v>
          </cell>
          <cell r="D315" t="str">
            <v>Short Term Notes</v>
          </cell>
          <cell r="E315">
            <v>0</v>
          </cell>
        </row>
        <row r="316">
          <cell r="A316" t="str">
            <v>00013</v>
          </cell>
          <cell r="B316" t="str">
            <v>Southwestern Public Service Co</v>
          </cell>
          <cell r="C316" t="str">
            <v>388170</v>
          </cell>
          <cell r="D316" t="str">
            <v>Customer Deposits</v>
          </cell>
          <cell r="E316">
            <v>-448886.89</v>
          </cell>
        </row>
        <row r="317">
          <cell r="A317" t="str">
            <v>00013</v>
          </cell>
          <cell r="B317" t="str">
            <v>Southwestern Public Service Co</v>
          </cell>
          <cell r="C317" t="str">
            <v>388265</v>
          </cell>
          <cell r="D317" t="str">
            <v>Def Fuel Tx-PUC-NM</v>
          </cell>
          <cell r="E317">
            <v>2091582.68</v>
          </cell>
        </row>
        <row r="318">
          <cell r="A318" t="str">
            <v>00013</v>
          </cell>
          <cell r="B318" t="str">
            <v>Southwestern Public Service Co</v>
          </cell>
          <cell r="C318" t="str">
            <v>388265</v>
          </cell>
          <cell r="D318" t="str">
            <v>Def Fuel Tx-PUC-TX</v>
          </cell>
          <cell r="E318">
            <v>1257818.8799999999</v>
          </cell>
        </row>
        <row r="319">
          <cell r="A319" t="str">
            <v>00013</v>
          </cell>
          <cell r="B319" t="str">
            <v>Southwestern Public Service Co</v>
          </cell>
          <cell r="C319" t="str">
            <v>388265</v>
          </cell>
          <cell r="D319" t="str">
            <v>Def Fuel-TX PUC</v>
          </cell>
          <cell r="E319">
            <v>756309.52</v>
          </cell>
        </row>
        <row r="320">
          <cell r="A320" t="str">
            <v>00013</v>
          </cell>
          <cell r="B320" t="str">
            <v>Southwestern Public Service Co</v>
          </cell>
          <cell r="C320" t="str">
            <v>391100</v>
          </cell>
          <cell r="D320" t="str">
            <v>Common Stock dividends</v>
          </cell>
          <cell r="E320">
            <v>0.04</v>
          </cell>
        </row>
        <row r="321">
          <cell r="A321" t="str">
            <v>00013</v>
          </cell>
          <cell r="B321" t="str">
            <v>Southwestern Public Service Co</v>
          </cell>
          <cell r="C321" t="str">
            <v>411150</v>
          </cell>
          <cell r="D321" t="str">
            <v>Acc Fed Def Plt-KS</v>
          </cell>
          <cell r="E321">
            <v>-8676</v>
          </cell>
        </row>
        <row r="322">
          <cell r="A322" t="str">
            <v>00013</v>
          </cell>
          <cell r="B322" t="str">
            <v>Southwestern Public Service Co</v>
          </cell>
          <cell r="C322" t="str">
            <v>411150</v>
          </cell>
          <cell r="D322" t="str">
            <v>Acc Fed Def Plt-NM</v>
          </cell>
          <cell r="E322">
            <v>7369030.8300000001</v>
          </cell>
        </row>
        <row r="323">
          <cell r="A323" t="str">
            <v>00013</v>
          </cell>
          <cell r="B323" t="str">
            <v>Southwestern Public Service Co</v>
          </cell>
          <cell r="C323" t="str">
            <v>411150</v>
          </cell>
          <cell r="D323" t="str">
            <v>Acc Fed Def Plt-OK</v>
          </cell>
          <cell r="E323">
            <v>-98943</v>
          </cell>
        </row>
        <row r="324">
          <cell r="A324" t="str">
            <v>00013</v>
          </cell>
          <cell r="B324" t="str">
            <v>Southwestern Public Service Co</v>
          </cell>
          <cell r="C324" t="str">
            <v>411150</v>
          </cell>
          <cell r="D324" t="str">
            <v>Acc Fed Def Plt-TX</v>
          </cell>
          <cell r="E324">
            <v>17248326</v>
          </cell>
        </row>
        <row r="325">
          <cell r="A325" t="str">
            <v>00013</v>
          </cell>
          <cell r="B325" t="str">
            <v>Southwestern Public Service Co</v>
          </cell>
          <cell r="C325" t="str">
            <v>411150</v>
          </cell>
          <cell r="D325" t="str">
            <v>Accum Federal Def Plant</v>
          </cell>
          <cell r="E325">
            <v>-401581101.49000001</v>
          </cell>
        </row>
        <row r="326">
          <cell r="A326" t="str">
            <v>00013</v>
          </cell>
          <cell r="B326" t="str">
            <v>Southwestern Public Service Co</v>
          </cell>
          <cell r="C326" t="str">
            <v>411500</v>
          </cell>
          <cell r="D326" t="str">
            <v>Accum St Plant Other-TX</v>
          </cell>
          <cell r="E326">
            <v>0</v>
          </cell>
        </row>
        <row r="327">
          <cell r="A327" t="str">
            <v>00013</v>
          </cell>
          <cell r="B327" t="str">
            <v>Southwestern Public Service Co</v>
          </cell>
          <cell r="C327" t="str">
            <v>415100</v>
          </cell>
          <cell r="D327" t="str">
            <v>Def Inv Tax Cr-Operating</v>
          </cell>
          <cell r="E327">
            <v>-4467286.8600000003</v>
          </cell>
        </row>
        <row r="328">
          <cell r="A328" t="str">
            <v>00013</v>
          </cell>
          <cell r="B328" t="str">
            <v>Southwestern Public Service Co</v>
          </cell>
          <cell r="C328" t="str">
            <v>424530</v>
          </cell>
          <cell r="D328" t="str">
            <v>Reg Liab-FAS 109-Def ITC</v>
          </cell>
          <cell r="E328">
            <v>-17077544.84</v>
          </cell>
        </row>
        <row r="329">
          <cell r="A329" t="str">
            <v>00013</v>
          </cell>
          <cell r="B329" t="str">
            <v>Southwestern Public Service Co</v>
          </cell>
          <cell r="C329" t="str">
            <v>431110</v>
          </cell>
          <cell r="D329" t="str">
            <v>Accrd Qualified Pension Costs</v>
          </cell>
          <cell r="E329">
            <v>0</v>
          </cell>
        </row>
        <row r="330">
          <cell r="A330" t="str">
            <v>00013</v>
          </cell>
          <cell r="B330" t="str">
            <v>Southwestern Public Service Co</v>
          </cell>
          <cell r="C330" t="str">
            <v>431260</v>
          </cell>
          <cell r="D330" t="str">
            <v>Accrd Qual Pens-1991 Early Out</v>
          </cell>
          <cell r="E330">
            <v>-1201.7</v>
          </cell>
        </row>
        <row r="331">
          <cell r="A331" t="str">
            <v>00013</v>
          </cell>
          <cell r="B331" t="str">
            <v>Southwestern Public Service Co</v>
          </cell>
          <cell r="C331" t="str">
            <v>431320</v>
          </cell>
          <cell r="D331" t="str">
            <v>Accrd Postretire Med-FAS 106</v>
          </cell>
          <cell r="E331">
            <v>3867237.57</v>
          </cell>
        </row>
        <row r="332">
          <cell r="A332" t="str">
            <v>00013</v>
          </cell>
          <cell r="B332" t="str">
            <v>Southwestern Public Service Co</v>
          </cell>
          <cell r="C332" t="str">
            <v>431325</v>
          </cell>
          <cell r="D332" t="str">
            <v>OPEB Lngth Life Ins</v>
          </cell>
          <cell r="E332">
            <v>-10522924.960000001</v>
          </cell>
        </row>
        <row r="333">
          <cell r="A333" t="str">
            <v>00013</v>
          </cell>
          <cell r="B333" t="str">
            <v>Southwestern Public Service Co</v>
          </cell>
          <cell r="C333" t="str">
            <v>431350</v>
          </cell>
          <cell r="D333" t="str">
            <v>Accrd Postemployment-FAS 112</v>
          </cell>
          <cell r="E333">
            <v>-157000</v>
          </cell>
        </row>
        <row r="334">
          <cell r="A334" t="str">
            <v>00013</v>
          </cell>
          <cell r="B334" t="str">
            <v>Southwestern Public Service Co</v>
          </cell>
          <cell r="C334" t="str">
            <v>431390</v>
          </cell>
          <cell r="D334" t="str">
            <v>Accum Prov-Post Empl Benefits</v>
          </cell>
          <cell r="E334">
            <v>-844260</v>
          </cell>
        </row>
        <row r="335">
          <cell r="A335" t="str">
            <v>00013</v>
          </cell>
          <cell r="B335" t="str">
            <v>Southwestern Public Service Co</v>
          </cell>
          <cell r="C335" t="str">
            <v>431410</v>
          </cell>
          <cell r="D335" t="str">
            <v>Def Comp Liabilities</v>
          </cell>
          <cell r="E335">
            <v>0</v>
          </cell>
        </row>
        <row r="336">
          <cell r="A336" t="str">
            <v>00013</v>
          </cell>
          <cell r="B336" t="str">
            <v>Southwestern Public Service Co</v>
          </cell>
          <cell r="C336" t="str">
            <v>431470</v>
          </cell>
          <cell r="D336" t="str">
            <v>Accrued Director Retire Bene</v>
          </cell>
          <cell r="E336">
            <v>-546072</v>
          </cell>
        </row>
        <row r="337">
          <cell r="A337" t="str">
            <v>00013</v>
          </cell>
          <cell r="B337" t="str">
            <v>Southwestern Public Service Co</v>
          </cell>
          <cell r="C337" t="str">
            <v>431510</v>
          </cell>
          <cell r="D337" t="str">
            <v>Misc Cur Liab-Accr Co LT Disab</v>
          </cell>
          <cell r="E337">
            <v>-5283000</v>
          </cell>
        </row>
        <row r="338">
          <cell r="A338" t="str">
            <v>00013</v>
          </cell>
          <cell r="B338" t="str">
            <v>Southwestern Public Service Co</v>
          </cell>
          <cell r="C338" t="str">
            <v>431530</v>
          </cell>
          <cell r="D338" t="str">
            <v>Oth Def Cr-Incentive Comp Plan</v>
          </cell>
          <cell r="E338">
            <v>-496131.71</v>
          </cell>
        </row>
        <row r="339">
          <cell r="A339" t="str">
            <v>00013</v>
          </cell>
          <cell r="B339" t="str">
            <v>Southwestern Public Service Co</v>
          </cell>
          <cell r="C339" t="str">
            <v>431560</v>
          </cell>
          <cell r="D339" t="str">
            <v>Def Cr-Comp Stock Award</v>
          </cell>
          <cell r="E339">
            <v>-143812.92000000001</v>
          </cell>
        </row>
        <row r="340">
          <cell r="A340" t="str">
            <v>00013</v>
          </cell>
          <cell r="B340" t="str">
            <v>Southwestern Public Service Co</v>
          </cell>
          <cell r="C340" t="str">
            <v>433350</v>
          </cell>
          <cell r="D340" t="str">
            <v>Contrib for Const Pend Coll</v>
          </cell>
          <cell r="E340">
            <v>-208204.96</v>
          </cell>
        </row>
        <row r="341">
          <cell r="A341" t="str">
            <v>00013</v>
          </cell>
          <cell r="B341" t="str">
            <v>Southwestern Public Service Co</v>
          </cell>
          <cell r="C341" t="str">
            <v>433355</v>
          </cell>
          <cell r="D341" t="str">
            <v>Def CR-Customer Suspense</v>
          </cell>
          <cell r="E341">
            <v>2.4</v>
          </cell>
        </row>
        <row r="342">
          <cell r="A342" t="str">
            <v>00013</v>
          </cell>
          <cell r="B342" t="str">
            <v>Southwestern Public Service Co</v>
          </cell>
          <cell r="C342" t="str">
            <v>433390</v>
          </cell>
          <cell r="D342" t="str">
            <v>NonCurr Deriv Lblties-Treasury</v>
          </cell>
          <cell r="E342">
            <v>-5808910</v>
          </cell>
        </row>
        <row r="343">
          <cell r="A343" t="str">
            <v>00013</v>
          </cell>
          <cell r="B343" t="str">
            <v>Southwestern Public Service Co</v>
          </cell>
          <cell r="C343" t="str">
            <v>434120</v>
          </cell>
          <cell r="D343" t="str">
            <v>Other Defrd Cr-Int Inc Defease</v>
          </cell>
          <cell r="E343">
            <v>-788702.96</v>
          </cell>
        </row>
        <row r="344">
          <cell r="A344" t="str">
            <v>00013</v>
          </cell>
          <cell r="B344" t="str">
            <v>Southwestern Public Service Co</v>
          </cell>
          <cell r="C344" t="str">
            <v>434200</v>
          </cell>
          <cell r="D344" t="str">
            <v>Other Deferred Income</v>
          </cell>
          <cell r="E344">
            <v>-225397.44</v>
          </cell>
        </row>
        <row r="345">
          <cell r="A345" t="str">
            <v>00013</v>
          </cell>
          <cell r="B345" t="str">
            <v>Southwestern Public Service Co</v>
          </cell>
          <cell r="C345" t="str">
            <v>434310</v>
          </cell>
          <cell r="D345" t="str">
            <v>Reacq Debt 6.25% Due 3/06</v>
          </cell>
          <cell r="E345">
            <v>-150603.69</v>
          </cell>
        </row>
        <row r="346">
          <cell r="A346" t="str">
            <v>00013</v>
          </cell>
          <cell r="B346" t="str">
            <v>Southwestern Public Service Co</v>
          </cell>
          <cell r="C346" t="str">
            <v>434310</v>
          </cell>
          <cell r="D346" t="str">
            <v>Reacq Debt 7.25% Due 7/04</v>
          </cell>
          <cell r="E346">
            <v>-9227.44</v>
          </cell>
        </row>
        <row r="347">
          <cell r="A347" t="str">
            <v>00013</v>
          </cell>
          <cell r="B347" t="str">
            <v>Southwestern Public Service Co</v>
          </cell>
          <cell r="C347" t="str">
            <v>438110</v>
          </cell>
          <cell r="D347" t="str">
            <v>Cst Adv Cnst-Elec -Misc</v>
          </cell>
          <cell r="E347">
            <v>34797.410000000003</v>
          </cell>
        </row>
        <row r="348">
          <cell r="A348" t="str">
            <v>00013</v>
          </cell>
          <cell r="B348" t="str">
            <v>Southwestern Public Service Co</v>
          </cell>
          <cell r="C348" t="str">
            <v>438110</v>
          </cell>
          <cell r="D348" t="str">
            <v>Cst Adv Cnst-Elec -TX</v>
          </cell>
          <cell r="E348">
            <v>-18201</v>
          </cell>
        </row>
        <row r="349">
          <cell r="A349" t="str">
            <v>00013</v>
          </cell>
          <cell r="B349" t="str">
            <v>Southwestern Public Service Co</v>
          </cell>
          <cell r="C349" t="str">
            <v>438110</v>
          </cell>
          <cell r="D349" t="str">
            <v>Cust Advances Constr-Elec</v>
          </cell>
          <cell r="E349">
            <v>-322197.8</v>
          </cell>
        </row>
        <row r="350">
          <cell r="A350" t="str">
            <v>00013</v>
          </cell>
          <cell r="B350" t="str">
            <v>Southwestern Public Service Co</v>
          </cell>
          <cell r="C350" t="str">
            <v>452040</v>
          </cell>
          <cell r="D350" t="str">
            <v>Potter Cty-5.75%-Due 09/01/16</v>
          </cell>
          <cell r="E350">
            <v>-57300000</v>
          </cell>
        </row>
        <row r="351">
          <cell r="A351" t="str">
            <v>00013</v>
          </cell>
          <cell r="B351" t="str">
            <v>Southwestern Public Service Co</v>
          </cell>
          <cell r="C351" t="str">
            <v>452040</v>
          </cell>
          <cell r="D351" t="str">
            <v>Red River-5.2%-Due 07/01/11</v>
          </cell>
          <cell r="E351">
            <v>-44500000</v>
          </cell>
        </row>
        <row r="352">
          <cell r="A352" t="str">
            <v>00013</v>
          </cell>
          <cell r="B352" t="str">
            <v>Southwestern Public Service Co</v>
          </cell>
          <cell r="C352" t="str">
            <v>452040</v>
          </cell>
          <cell r="D352" t="str">
            <v>Red River-Swap-Due 07/01/16</v>
          </cell>
          <cell r="E352">
            <v>-25000000</v>
          </cell>
        </row>
        <row r="353">
          <cell r="A353" t="str">
            <v>00013</v>
          </cell>
          <cell r="B353" t="str">
            <v>Southwestern Public Service Co</v>
          </cell>
          <cell r="C353" t="str">
            <v>453030</v>
          </cell>
          <cell r="D353" t="str">
            <v>TOPRS-7.85%-Due-9/1/36</v>
          </cell>
          <cell r="E353">
            <v>0</v>
          </cell>
        </row>
        <row r="354">
          <cell r="A354" t="str">
            <v>00013</v>
          </cell>
          <cell r="B354" t="str">
            <v>Southwestern Public Service Co</v>
          </cell>
          <cell r="C354" t="str">
            <v>455235</v>
          </cell>
          <cell r="D354" t="str">
            <v>Sr Note-6.2%-Due 03/01/09</v>
          </cell>
          <cell r="E354">
            <v>-100000000</v>
          </cell>
        </row>
        <row r="355">
          <cell r="A355" t="str">
            <v>00013</v>
          </cell>
          <cell r="B355" t="str">
            <v>Southwestern Public Service Co</v>
          </cell>
          <cell r="C355" t="str">
            <v>455235</v>
          </cell>
          <cell r="D355" t="str">
            <v>Sr.Note-5.125%-Due 11/01/06</v>
          </cell>
          <cell r="E355">
            <v>-500000000</v>
          </cell>
        </row>
        <row r="356">
          <cell r="A356" t="str">
            <v>00013</v>
          </cell>
          <cell r="B356" t="str">
            <v>Southwestern Public Service Co</v>
          </cell>
          <cell r="C356" t="str">
            <v>457600</v>
          </cell>
          <cell r="D356" t="str">
            <v>Sr Note-6.2%-Due 03/01/09</v>
          </cell>
          <cell r="E356">
            <v>110366.78</v>
          </cell>
        </row>
        <row r="357">
          <cell r="A357" t="str">
            <v>00013</v>
          </cell>
          <cell r="B357" t="str">
            <v>Southwestern Public Service Co</v>
          </cell>
          <cell r="C357" t="str">
            <v>457600</v>
          </cell>
          <cell r="D357" t="str">
            <v>Sr.Note-5.125%-Due 11/01/06</v>
          </cell>
          <cell r="E357">
            <v>1314666.28</v>
          </cell>
        </row>
        <row r="358">
          <cell r="A358" t="str">
            <v>00013</v>
          </cell>
          <cell r="B358" t="str">
            <v>Southwestern Public Service Co</v>
          </cell>
          <cell r="C358" t="str">
            <v>458010</v>
          </cell>
          <cell r="D358" t="str">
            <v>Reacq Dbt 6.5%-Due 3/06</v>
          </cell>
          <cell r="E358">
            <v>0</v>
          </cell>
        </row>
        <row r="359">
          <cell r="A359" t="str">
            <v>00013</v>
          </cell>
          <cell r="B359" t="str">
            <v>Southwestern Public Service Co</v>
          </cell>
          <cell r="C359" t="str">
            <v>458010</v>
          </cell>
          <cell r="D359" t="str">
            <v>Reacq Dbt 7.25%-due 7/04</v>
          </cell>
          <cell r="E359">
            <v>0</v>
          </cell>
        </row>
        <row r="360">
          <cell r="A360" t="str">
            <v>00013</v>
          </cell>
          <cell r="B360" t="str">
            <v>Southwestern Public Service Co</v>
          </cell>
          <cell r="C360" t="str">
            <v>461000</v>
          </cell>
          <cell r="D360" t="str">
            <v>Pref Securities of Subs Trusts</v>
          </cell>
          <cell r="E360">
            <v>-100000000</v>
          </cell>
        </row>
        <row r="361">
          <cell r="A361" t="str">
            <v>00013</v>
          </cell>
          <cell r="B361" t="str">
            <v>Southwestern Public Service Co</v>
          </cell>
          <cell r="C361" t="str">
            <v>481100</v>
          </cell>
          <cell r="D361" t="str">
            <v>Common stock</v>
          </cell>
          <cell r="E361">
            <v>-100</v>
          </cell>
        </row>
        <row r="362">
          <cell r="A362" t="str">
            <v>00013</v>
          </cell>
          <cell r="B362" t="str">
            <v>Southwestern Public Service Co</v>
          </cell>
          <cell r="C362" t="str">
            <v>481500</v>
          </cell>
          <cell r="D362" t="str">
            <v>Paid in Capital-Common Stock</v>
          </cell>
          <cell r="E362">
            <v>-414569325.63</v>
          </cell>
        </row>
        <row r="363">
          <cell r="A363" t="str">
            <v>00013</v>
          </cell>
          <cell r="B363" t="str">
            <v>Southwestern Public Service Co</v>
          </cell>
          <cell r="C363" t="str">
            <v>484600</v>
          </cell>
          <cell r="D363" t="str">
            <v>Capital Stock Exp</v>
          </cell>
          <cell r="E363">
            <v>9033434.9900000002</v>
          </cell>
        </row>
        <row r="364">
          <cell r="A364" t="str">
            <v>00013</v>
          </cell>
          <cell r="B364" t="str">
            <v>Southwestern Public Service Co</v>
          </cell>
          <cell r="C364" t="str">
            <v>486150</v>
          </cell>
          <cell r="D364" t="str">
            <v>Retained Earnings Subs-Quixx</v>
          </cell>
          <cell r="E364">
            <v>6233532.7400000002</v>
          </cell>
        </row>
        <row r="365">
          <cell r="A365" t="str">
            <v>00013</v>
          </cell>
          <cell r="B365" t="str">
            <v>Southwestern Public Service Co</v>
          </cell>
          <cell r="C365" t="str">
            <v>486150</v>
          </cell>
          <cell r="D365" t="str">
            <v>Retained Earnings Subs-UE</v>
          </cell>
          <cell r="E365">
            <v>-29089360.93</v>
          </cell>
        </row>
        <row r="366">
          <cell r="A366" t="str">
            <v>00013</v>
          </cell>
          <cell r="B366" t="str">
            <v>Southwestern Public Service Co</v>
          </cell>
          <cell r="C366" t="str">
            <v>486150</v>
          </cell>
          <cell r="D366" t="str">
            <v>Unappropriated RE-BOY</v>
          </cell>
          <cell r="E366">
            <v>-312929630.38999999</v>
          </cell>
        </row>
        <row r="367">
          <cell r="A367" t="str">
            <v>00013</v>
          </cell>
          <cell r="B367" t="str">
            <v>Southwestern Public Service Co</v>
          </cell>
          <cell r="C367" t="str">
            <v>486440</v>
          </cell>
          <cell r="D367" t="str">
            <v>Common Dividends Paid</v>
          </cell>
          <cell r="E367">
            <v>20969095.530000001</v>
          </cell>
        </row>
        <row r="368">
          <cell r="A368" t="str">
            <v>00013</v>
          </cell>
          <cell r="B368" t="str">
            <v>Southwestern Public Service Co</v>
          </cell>
          <cell r="C368" t="str">
            <v>488200</v>
          </cell>
          <cell r="D368" t="str">
            <v>Other Comp Income-Treasury</v>
          </cell>
          <cell r="E368">
            <v>4433198</v>
          </cell>
        </row>
        <row r="369">
          <cell r="A369" t="str">
            <v>00013</v>
          </cell>
          <cell r="B369" t="str">
            <v>Southwestern Public Service Co</v>
          </cell>
          <cell r="C369">
            <v>499999</v>
          </cell>
          <cell r="D369" t="str">
            <v>YTD Net Income</v>
          </cell>
          <cell r="E369">
            <v>-130100417.37</v>
          </cell>
        </row>
        <row r="370">
          <cell r="A370" t="str">
            <v>00013</v>
          </cell>
          <cell r="B370" t="str">
            <v>Southwestern Public Service Co</v>
          </cell>
          <cell r="C370" t="str">
            <v>511110</v>
          </cell>
          <cell r="D370" t="str">
            <v>Billed Revenue</v>
          </cell>
          <cell r="E370">
            <v>-238643047.30000001</v>
          </cell>
        </row>
        <row r="371">
          <cell r="A371" t="str">
            <v>00013</v>
          </cell>
          <cell r="B371" t="str">
            <v>Southwestern Public Service Co</v>
          </cell>
          <cell r="C371" t="str">
            <v>511130</v>
          </cell>
          <cell r="D371" t="str">
            <v>Unbilled Revenue</v>
          </cell>
          <cell r="E371">
            <v>1712192.92</v>
          </cell>
        </row>
        <row r="372">
          <cell r="A372" t="str">
            <v>00013</v>
          </cell>
          <cell r="B372" t="str">
            <v>Southwestern Public Service Co</v>
          </cell>
          <cell r="C372" t="str">
            <v>511210</v>
          </cell>
          <cell r="D372" t="str">
            <v>Billed Revenue</v>
          </cell>
          <cell r="E372">
            <v>-372137068.70999998</v>
          </cell>
        </row>
        <row r="373">
          <cell r="A373" t="str">
            <v>00013</v>
          </cell>
          <cell r="B373" t="str">
            <v>Southwestern Public Service Co</v>
          </cell>
          <cell r="C373" t="str">
            <v>511230</v>
          </cell>
          <cell r="D373" t="str">
            <v>Unbilled Revenue</v>
          </cell>
          <cell r="E373">
            <v>3617046.37</v>
          </cell>
        </row>
        <row r="374">
          <cell r="A374" t="str">
            <v>00013</v>
          </cell>
          <cell r="B374" t="str">
            <v>Southwestern Public Service Co</v>
          </cell>
          <cell r="C374" t="str">
            <v>511310</v>
          </cell>
          <cell r="D374" t="str">
            <v>Billed Revenue</v>
          </cell>
          <cell r="E374">
            <v>-220147539.08000001</v>
          </cell>
        </row>
        <row r="375">
          <cell r="A375" t="str">
            <v>00013</v>
          </cell>
          <cell r="B375" t="str">
            <v>Southwestern Public Service Co</v>
          </cell>
          <cell r="C375" t="str">
            <v>511330</v>
          </cell>
          <cell r="D375" t="str">
            <v>Unbilled Revenue</v>
          </cell>
          <cell r="E375">
            <v>-7120032.46</v>
          </cell>
        </row>
        <row r="376">
          <cell r="A376" t="str">
            <v>00013</v>
          </cell>
          <cell r="B376" t="str">
            <v>Southwestern Public Service Co</v>
          </cell>
          <cell r="C376" t="str">
            <v>511410</v>
          </cell>
          <cell r="D376" t="str">
            <v>Billed Revenue</v>
          </cell>
          <cell r="E376">
            <v>-4932661.97</v>
          </cell>
        </row>
        <row r="377">
          <cell r="A377" t="str">
            <v>00013</v>
          </cell>
          <cell r="B377" t="str">
            <v>Southwestern Public Service Co</v>
          </cell>
          <cell r="C377" t="str">
            <v>511430</v>
          </cell>
          <cell r="D377" t="str">
            <v>Unbilled Revenue</v>
          </cell>
          <cell r="E377">
            <v>231794.81</v>
          </cell>
        </row>
        <row r="378">
          <cell r="A378" t="str">
            <v>00013</v>
          </cell>
          <cell r="B378" t="str">
            <v>Southwestern Public Service Co</v>
          </cell>
          <cell r="C378" t="str">
            <v>511610</v>
          </cell>
          <cell r="D378" t="str">
            <v>Billed Revenue</v>
          </cell>
          <cell r="E378">
            <v>-32102390.859999999</v>
          </cell>
        </row>
        <row r="379">
          <cell r="A379" t="str">
            <v>00013</v>
          </cell>
          <cell r="B379" t="str">
            <v>Southwestern Public Service Co</v>
          </cell>
          <cell r="C379" t="str">
            <v>511630</v>
          </cell>
          <cell r="D379" t="str">
            <v>Unbilled Revenue</v>
          </cell>
          <cell r="E379">
            <v>15484927.48</v>
          </cell>
        </row>
        <row r="380">
          <cell r="A380" t="str">
            <v>00013</v>
          </cell>
          <cell r="B380" t="str">
            <v>Southwestern Public Service Co</v>
          </cell>
          <cell r="C380" t="str">
            <v>515110</v>
          </cell>
          <cell r="D380" t="str">
            <v>Billed Traditional Revenue</v>
          </cell>
          <cell r="E380">
            <v>-437453286.44</v>
          </cell>
        </row>
        <row r="381">
          <cell r="A381" t="str">
            <v>00013</v>
          </cell>
          <cell r="B381" t="str">
            <v>Southwestern Public Service Co</v>
          </cell>
          <cell r="C381" t="str">
            <v>515130</v>
          </cell>
          <cell r="D381" t="str">
            <v>Unbilled Traditional Revenue</v>
          </cell>
          <cell r="E381">
            <v>-2363480.84</v>
          </cell>
        </row>
        <row r="382">
          <cell r="A382" t="str">
            <v>00013</v>
          </cell>
          <cell r="B382" t="str">
            <v>Southwestern Public Service Co</v>
          </cell>
          <cell r="C382" t="str">
            <v>517255</v>
          </cell>
          <cell r="D382" t="str">
            <v>System Protect Chrg</v>
          </cell>
          <cell r="E382">
            <v>-3536.75</v>
          </cell>
        </row>
        <row r="383">
          <cell r="A383" t="str">
            <v>00013</v>
          </cell>
          <cell r="B383" t="str">
            <v>Southwestern Public Service Co</v>
          </cell>
          <cell r="C383" t="str">
            <v>517290</v>
          </cell>
          <cell r="D383" t="str">
            <v>Sch 3-PSC NM</v>
          </cell>
          <cell r="E383">
            <v>-678813.96</v>
          </cell>
        </row>
        <row r="384">
          <cell r="A384" t="str">
            <v>00013</v>
          </cell>
          <cell r="B384" t="str">
            <v>Southwestern Public Service Co</v>
          </cell>
          <cell r="C384" t="str">
            <v>517295</v>
          </cell>
          <cell r="D384" t="str">
            <v>Oper Reserves Spinning S5</v>
          </cell>
          <cell r="E384">
            <v>-29766.75</v>
          </cell>
        </row>
        <row r="385">
          <cell r="A385" t="str">
            <v>00013</v>
          </cell>
          <cell r="B385" t="str">
            <v>Southwestern Public Service Co</v>
          </cell>
          <cell r="C385" t="str">
            <v>517320</v>
          </cell>
          <cell r="D385" t="str">
            <v>Sch 6-PSC NM</v>
          </cell>
          <cell r="E385">
            <v>-7912</v>
          </cell>
        </row>
        <row r="386">
          <cell r="A386" t="str">
            <v>00013</v>
          </cell>
          <cell r="B386" t="str">
            <v>Southwestern Public Service Co</v>
          </cell>
          <cell r="C386" t="str">
            <v>517325</v>
          </cell>
          <cell r="D386" t="str">
            <v>Losses-PSC NM</v>
          </cell>
          <cell r="E386">
            <v>-291758.57</v>
          </cell>
        </row>
        <row r="387">
          <cell r="A387" t="str">
            <v>00013</v>
          </cell>
          <cell r="B387" t="str">
            <v>Southwestern Public Service Co</v>
          </cell>
          <cell r="C387" t="str">
            <v>517510</v>
          </cell>
          <cell r="D387" t="str">
            <v>Late Payment Fees</v>
          </cell>
          <cell r="E387">
            <v>-1131431.3700000001</v>
          </cell>
        </row>
        <row r="388">
          <cell r="A388" t="str">
            <v>00013</v>
          </cell>
          <cell r="B388" t="str">
            <v>Southwestern Public Service Co</v>
          </cell>
          <cell r="C388" t="str">
            <v>517550</v>
          </cell>
          <cell r="D388" t="str">
            <v>Other Misc Service Rev</v>
          </cell>
          <cell r="E388">
            <v>-3471544.82</v>
          </cell>
        </row>
        <row r="389">
          <cell r="A389" t="str">
            <v>00013</v>
          </cell>
          <cell r="B389" t="str">
            <v>Southwestern Public Service Co</v>
          </cell>
          <cell r="C389" t="str">
            <v>517600</v>
          </cell>
          <cell r="D389" t="str">
            <v>Shared Costs from Serv Co</v>
          </cell>
          <cell r="E389">
            <v>-255195</v>
          </cell>
        </row>
        <row r="390">
          <cell r="A390" t="str">
            <v>00013</v>
          </cell>
          <cell r="B390" t="str">
            <v>Southwestern Public Service Co</v>
          </cell>
          <cell r="C390" t="str">
            <v>517900</v>
          </cell>
          <cell r="D390" t="str">
            <v>Rental</v>
          </cell>
          <cell r="E390">
            <v>-2469192.4300000002</v>
          </cell>
        </row>
        <row r="391">
          <cell r="A391" t="str">
            <v>00013</v>
          </cell>
          <cell r="B391" t="str">
            <v>Southwestern Public Service Co</v>
          </cell>
          <cell r="C391" t="str">
            <v>518500</v>
          </cell>
          <cell r="D391" t="str">
            <v>Refunds / Customer Credits</v>
          </cell>
          <cell r="E391">
            <v>-29825212.75</v>
          </cell>
        </row>
        <row r="392">
          <cell r="A392" t="str">
            <v>00013</v>
          </cell>
          <cell r="B392" t="str">
            <v>Southwestern Public Service Co</v>
          </cell>
          <cell r="C392" t="str">
            <v>519390</v>
          </cell>
          <cell r="D392" t="str">
            <v>Other Elec Revenue</v>
          </cell>
          <cell r="E392">
            <v>-54833755.469999999</v>
          </cell>
        </row>
        <row r="393">
          <cell r="A393" t="str">
            <v>00013</v>
          </cell>
          <cell r="B393" t="str">
            <v>Southwestern Public Service Co</v>
          </cell>
          <cell r="C393" t="str">
            <v>519410</v>
          </cell>
          <cell r="D393" t="str">
            <v>Discounts-Nonrecoverable</v>
          </cell>
          <cell r="E393">
            <v>1358760.77</v>
          </cell>
        </row>
        <row r="394">
          <cell r="A394" t="str">
            <v>00013</v>
          </cell>
          <cell r="B394" t="str">
            <v>Southwestern Public Service Co</v>
          </cell>
          <cell r="C394" t="str">
            <v>519420</v>
          </cell>
          <cell r="D394" t="str">
            <v>Discounts-Recoverable</v>
          </cell>
          <cell r="E394">
            <v>120340.89</v>
          </cell>
        </row>
        <row r="395">
          <cell r="A395" t="str">
            <v>00013</v>
          </cell>
          <cell r="B395" t="str">
            <v>Southwestern Public Service Co</v>
          </cell>
          <cell r="C395" t="str">
            <v>519500</v>
          </cell>
          <cell r="D395" t="str">
            <v>Shared Costs</v>
          </cell>
          <cell r="E395">
            <v>-85065</v>
          </cell>
        </row>
        <row r="396">
          <cell r="A396" t="str">
            <v>00013</v>
          </cell>
          <cell r="B396" t="str">
            <v>Southwestern Public Service Co</v>
          </cell>
          <cell r="C396" t="str">
            <v>572100</v>
          </cell>
          <cell r="D396" t="str">
            <v>DIR-Misc Revenues</v>
          </cell>
          <cell r="E396">
            <v>0</v>
          </cell>
        </row>
        <row r="397">
          <cell r="A397" t="str">
            <v>00013</v>
          </cell>
          <cell r="B397" t="str">
            <v>Southwestern Public Service Co</v>
          </cell>
          <cell r="C397" t="str">
            <v>572100</v>
          </cell>
          <cell r="D397" t="str">
            <v>Miscellaneous Revenues</v>
          </cell>
          <cell r="E397">
            <v>0.99</v>
          </cell>
        </row>
        <row r="398">
          <cell r="A398" t="str">
            <v>00013</v>
          </cell>
          <cell r="B398" t="str">
            <v>Southwestern Public Service Co</v>
          </cell>
          <cell r="C398" t="str">
            <v>611000</v>
          </cell>
          <cell r="D398" t="str">
            <v>Gas</v>
          </cell>
          <cell r="E398">
            <v>292280162.26999998</v>
          </cell>
        </row>
        <row r="399">
          <cell r="A399" t="str">
            <v>00013</v>
          </cell>
          <cell r="B399" t="str">
            <v>Southwestern Public Service Co</v>
          </cell>
          <cell r="C399" t="str">
            <v>611000</v>
          </cell>
          <cell r="D399" t="str">
            <v>OUT-Gas</v>
          </cell>
          <cell r="E399">
            <v>-289000970.82999998</v>
          </cell>
        </row>
        <row r="400">
          <cell r="A400" t="str">
            <v>00013</v>
          </cell>
          <cell r="B400" t="str">
            <v>Southwestern Public Service Co</v>
          </cell>
          <cell r="C400" t="str">
            <v>611000</v>
          </cell>
          <cell r="D400" t="str">
            <v>DIR-Gas</v>
          </cell>
          <cell r="E400">
            <v>289000970.82999998</v>
          </cell>
        </row>
        <row r="401">
          <cell r="A401" t="str">
            <v>00013</v>
          </cell>
          <cell r="B401" t="str">
            <v>Southwestern Public Service Co</v>
          </cell>
          <cell r="C401" t="str">
            <v>611100</v>
          </cell>
          <cell r="D401" t="str">
            <v>DIR-Gas from Other Gen</v>
          </cell>
          <cell r="E401">
            <v>8034644.1500000004</v>
          </cell>
        </row>
        <row r="402">
          <cell r="A402" t="str">
            <v>00013</v>
          </cell>
          <cell r="B402" t="str">
            <v>Southwestern Public Service Co</v>
          </cell>
          <cell r="C402" t="str">
            <v>611100</v>
          </cell>
          <cell r="D402" t="str">
            <v>Gas for Other Gen</v>
          </cell>
          <cell r="E402">
            <v>8193309.6799999997</v>
          </cell>
        </row>
        <row r="403">
          <cell r="A403" t="str">
            <v>00013</v>
          </cell>
          <cell r="B403" t="str">
            <v>Southwestern Public Service Co</v>
          </cell>
          <cell r="C403" t="str">
            <v>611100</v>
          </cell>
          <cell r="D403" t="str">
            <v>OUT-Gas from Other Gen</v>
          </cell>
          <cell r="E403">
            <v>-8034644.1500000004</v>
          </cell>
        </row>
        <row r="404">
          <cell r="A404" t="str">
            <v>00013</v>
          </cell>
          <cell r="B404" t="str">
            <v>Southwestern Public Service Co</v>
          </cell>
          <cell r="C404" t="str">
            <v>612000</v>
          </cell>
          <cell r="D404" t="str">
            <v>Oil</v>
          </cell>
          <cell r="E404">
            <v>5827687</v>
          </cell>
        </row>
        <row r="405">
          <cell r="A405" t="str">
            <v>00013</v>
          </cell>
          <cell r="B405" t="str">
            <v>Southwestern Public Service Co</v>
          </cell>
          <cell r="C405" t="str">
            <v>612100</v>
          </cell>
          <cell r="D405" t="str">
            <v>Oil for Other Gen</v>
          </cell>
          <cell r="E405">
            <v>5381.7</v>
          </cell>
        </row>
        <row r="406">
          <cell r="A406" t="str">
            <v>00013</v>
          </cell>
          <cell r="B406" t="str">
            <v>Southwestern Public Service Co</v>
          </cell>
          <cell r="C406" t="str">
            <v>614000</v>
          </cell>
          <cell r="D406" t="str">
            <v>Coal</v>
          </cell>
          <cell r="E406">
            <v>217771041.22999999</v>
          </cell>
        </row>
        <row r="407">
          <cell r="A407" t="str">
            <v>00013</v>
          </cell>
          <cell r="B407" t="str">
            <v>Southwestern Public Service Co</v>
          </cell>
          <cell r="C407" t="str">
            <v>614000</v>
          </cell>
          <cell r="D407" t="str">
            <v>DIR-Coal</v>
          </cell>
          <cell r="E407">
            <v>217771041.22999999</v>
          </cell>
        </row>
        <row r="408">
          <cell r="A408" t="str">
            <v>00013</v>
          </cell>
          <cell r="B408" t="str">
            <v>Southwestern Public Service Co</v>
          </cell>
          <cell r="C408" t="str">
            <v>614000</v>
          </cell>
          <cell r="D408" t="str">
            <v>OUT-Coal</v>
          </cell>
          <cell r="E408">
            <v>-217771041.22999999</v>
          </cell>
        </row>
        <row r="409">
          <cell r="A409" t="str">
            <v>00013</v>
          </cell>
          <cell r="B409" t="str">
            <v>Southwestern Public Service Co</v>
          </cell>
          <cell r="C409" t="str">
            <v>618100</v>
          </cell>
          <cell r="D409" t="str">
            <v>Fuel Handling-Labor</v>
          </cell>
          <cell r="E409">
            <v>702.92</v>
          </cell>
        </row>
        <row r="410">
          <cell r="A410" t="str">
            <v>00013</v>
          </cell>
          <cell r="B410" t="str">
            <v>Southwestern Public Service Co</v>
          </cell>
          <cell r="C410" t="str">
            <v>618100</v>
          </cell>
          <cell r="D410" t="str">
            <v>OUT-Fuel Handling-Labor</v>
          </cell>
          <cell r="E410">
            <v>-530.35</v>
          </cell>
        </row>
        <row r="411">
          <cell r="A411" t="str">
            <v>00013</v>
          </cell>
          <cell r="B411" t="str">
            <v>Southwestern Public Service Co</v>
          </cell>
          <cell r="C411" t="str">
            <v>618300</v>
          </cell>
          <cell r="D411" t="str">
            <v>Fuel Handling-NonLabor</v>
          </cell>
          <cell r="E411">
            <v>-450013.05</v>
          </cell>
        </row>
        <row r="412">
          <cell r="A412" t="str">
            <v>00013</v>
          </cell>
          <cell r="B412" t="str">
            <v>Southwestern Public Service Co</v>
          </cell>
          <cell r="C412" t="str">
            <v>618300</v>
          </cell>
          <cell r="D412" t="str">
            <v>OUT-Fuel Handling-NonLabor</v>
          </cell>
          <cell r="E412">
            <v>-0.19</v>
          </cell>
        </row>
        <row r="413">
          <cell r="A413" t="str">
            <v>00013</v>
          </cell>
          <cell r="B413" t="str">
            <v>Southwestern Public Service Co</v>
          </cell>
          <cell r="C413" t="str">
            <v>618420</v>
          </cell>
          <cell r="D413" t="str">
            <v>DIR-Fuel Procurement-Labor</v>
          </cell>
          <cell r="E413">
            <v>264424.87</v>
          </cell>
        </row>
        <row r="414">
          <cell r="A414" t="str">
            <v>00013</v>
          </cell>
          <cell r="B414" t="str">
            <v>Southwestern Public Service Co</v>
          </cell>
          <cell r="C414" t="str">
            <v>618420</v>
          </cell>
          <cell r="D414" t="str">
            <v>IND-Fuel Procurement-Labor</v>
          </cell>
          <cell r="E414">
            <v>35005.9</v>
          </cell>
        </row>
        <row r="415">
          <cell r="A415" t="str">
            <v>00013</v>
          </cell>
          <cell r="B415" t="str">
            <v>Southwestern Public Service Co</v>
          </cell>
          <cell r="C415" t="str">
            <v>618450</v>
          </cell>
          <cell r="D415" t="str">
            <v>DIR-Fuel Procurement-NonLabor</v>
          </cell>
          <cell r="E415">
            <v>60390.5</v>
          </cell>
        </row>
        <row r="416">
          <cell r="A416" t="str">
            <v>00013</v>
          </cell>
          <cell r="B416" t="str">
            <v>Southwestern Public Service Co</v>
          </cell>
          <cell r="C416" t="str">
            <v>618450</v>
          </cell>
          <cell r="D416" t="str">
            <v>IND-Fuel Procurement-NonLabor</v>
          </cell>
          <cell r="E416">
            <v>15294.39</v>
          </cell>
        </row>
        <row r="417">
          <cell r="A417" t="str">
            <v>00013</v>
          </cell>
          <cell r="B417" t="str">
            <v>Southwestern Public Service Co</v>
          </cell>
          <cell r="C417" t="str">
            <v>618500</v>
          </cell>
          <cell r="D417" t="str">
            <v>Steam from other Sources</v>
          </cell>
          <cell r="E417">
            <v>2521295.63</v>
          </cell>
        </row>
        <row r="418">
          <cell r="A418" t="str">
            <v>00013</v>
          </cell>
          <cell r="B418" t="str">
            <v>Southwestern Public Service Co</v>
          </cell>
          <cell r="C418" t="str">
            <v>619000</v>
          </cell>
          <cell r="D418" t="str">
            <v>Defrd Elec Generation Costs</v>
          </cell>
          <cell r="E418">
            <v>113745239.08</v>
          </cell>
        </row>
        <row r="419">
          <cell r="A419" t="str">
            <v>00013</v>
          </cell>
          <cell r="B419" t="str">
            <v>Southwestern Public Service Co</v>
          </cell>
          <cell r="C419" t="str">
            <v>619500</v>
          </cell>
          <cell r="D419" t="str">
            <v>Unbilled Deferred Purchse Pwr</v>
          </cell>
          <cell r="E419">
            <v>30386775.039999999</v>
          </cell>
        </row>
        <row r="420">
          <cell r="A420" t="str">
            <v>00013</v>
          </cell>
          <cell r="B420" t="str">
            <v>Southwestern Public Service Co</v>
          </cell>
          <cell r="C420" t="str">
            <v>631000</v>
          </cell>
          <cell r="D420" t="str">
            <v>Pur Pwr-Demand</v>
          </cell>
          <cell r="E420">
            <v>19666346.890000001</v>
          </cell>
        </row>
        <row r="421">
          <cell r="A421" t="str">
            <v>00013</v>
          </cell>
          <cell r="B421" t="str">
            <v>Southwestern Public Service Co</v>
          </cell>
          <cell r="C421" t="str">
            <v>632000</v>
          </cell>
          <cell r="D421" t="str">
            <v>Pur Pwr-Energy</v>
          </cell>
          <cell r="E421">
            <v>148322510.15000001</v>
          </cell>
        </row>
        <row r="422">
          <cell r="A422" t="str">
            <v>00013</v>
          </cell>
          <cell r="B422" t="str">
            <v>Southwestern Public Service Co</v>
          </cell>
          <cell r="C422" t="str">
            <v>638100</v>
          </cell>
          <cell r="D422" t="str">
            <v>Wheeling - Retail Purchases</v>
          </cell>
          <cell r="E422">
            <v>1343608.91</v>
          </cell>
        </row>
        <row r="423">
          <cell r="A423" t="str">
            <v>00013</v>
          </cell>
          <cell r="B423" t="str">
            <v>Southwestern Public Service Co</v>
          </cell>
          <cell r="C423" t="str">
            <v>638200</v>
          </cell>
          <cell r="D423" t="str">
            <v>Wheeling - Resale ST</v>
          </cell>
          <cell r="E423">
            <v>426714.47</v>
          </cell>
        </row>
        <row r="424">
          <cell r="A424" t="str">
            <v>00013</v>
          </cell>
          <cell r="B424" t="str">
            <v>Southwestern Public Service Co</v>
          </cell>
          <cell r="C424" t="str">
            <v>638250</v>
          </cell>
          <cell r="D424" t="str">
            <v>Wheeling-Resale LT</v>
          </cell>
          <cell r="E424">
            <v>21831608.059999999</v>
          </cell>
        </row>
        <row r="425">
          <cell r="A425" t="str">
            <v>00013</v>
          </cell>
          <cell r="B425" t="str">
            <v>Southwestern Public Service Co</v>
          </cell>
          <cell r="C425" t="str">
            <v>638255</v>
          </cell>
          <cell r="D425" t="str">
            <v>System Wheeling</v>
          </cell>
          <cell r="E425">
            <v>1376727.26</v>
          </cell>
        </row>
        <row r="426">
          <cell r="A426" t="str">
            <v>00013</v>
          </cell>
          <cell r="B426" t="str">
            <v>Southwestern Public Service Co</v>
          </cell>
          <cell r="C426" t="str">
            <v>711142</v>
          </cell>
          <cell r="D426" t="str">
            <v>DIR-Productive Labor</v>
          </cell>
          <cell r="E426">
            <v>20613629.02</v>
          </cell>
        </row>
        <row r="427">
          <cell r="A427" t="str">
            <v>00013</v>
          </cell>
          <cell r="B427" t="str">
            <v>Southwestern Public Service Co</v>
          </cell>
          <cell r="C427" t="str">
            <v>711142</v>
          </cell>
          <cell r="D427" t="str">
            <v>IND-Productive Labor</v>
          </cell>
          <cell r="E427">
            <v>3061295.42</v>
          </cell>
        </row>
        <row r="428">
          <cell r="A428" t="str">
            <v>00013</v>
          </cell>
          <cell r="B428" t="str">
            <v>Southwestern Public Service Co</v>
          </cell>
          <cell r="C428" t="str">
            <v>711142</v>
          </cell>
          <cell r="D428" t="str">
            <v>OUT-Productive Labor</v>
          </cell>
          <cell r="E428">
            <v>-7939002.8899999997</v>
          </cell>
        </row>
        <row r="429">
          <cell r="A429" t="str">
            <v>00013</v>
          </cell>
          <cell r="B429" t="str">
            <v>Southwestern Public Service Co</v>
          </cell>
          <cell r="C429" t="str">
            <v>711142</v>
          </cell>
          <cell r="D429" t="str">
            <v>Productive Labor</v>
          </cell>
          <cell r="E429">
            <v>34486525.619999997</v>
          </cell>
        </row>
        <row r="430">
          <cell r="A430" t="str">
            <v>00013</v>
          </cell>
          <cell r="B430" t="str">
            <v>Southwestern Public Service Co</v>
          </cell>
          <cell r="C430" t="str">
            <v>711143</v>
          </cell>
          <cell r="D430" t="str">
            <v>DIR-Reg Labor Loading-NonProd</v>
          </cell>
          <cell r="E430">
            <v>2546697.84</v>
          </cell>
        </row>
        <row r="431">
          <cell r="A431" t="str">
            <v>00013</v>
          </cell>
          <cell r="B431" t="str">
            <v>Southwestern Public Service Co</v>
          </cell>
          <cell r="C431" t="str">
            <v>711143</v>
          </cell>
          <cell r="D431" t="str">
            <v>IND-Reg Labor Loading-NonProd</v>
          </cell>
          <cell r="E431">
            <v>1736416.9</v>
          </cell>
        </row>
        <row r="432">
          <cell r="A432" t="str">
            <v>00013</v>
          </cell>
          <cell r="B432" t="str">
            <v>Southwestern Public Service Co</v>
          </cell>
          <cell r="C432" t="str">
            <v>711143</v>
          </cell>
          <cell r="D432" t="str">
            <v>OUT-Reg Labor Loading-NonProd</v>
          </cell>
          <cell r="E432">
            <v>-1784083.81</v>
          </cell>
        </row>
        <row r="433">
          <cell r="A433" t="str">
            <v>00013</v>
          </cell>
          <cell r="B433" t="str">
            <v>Southwestern Public Service Co</v>
          </cell>
          <cell r="C433" t="str">
            <v>711143</v>
          </cell>
          <cell r="D433" t="str">
            <v>Reg Labor Loading-NonProductiv</v>
          </cell>
          <cell r="E433">
            <v>6386073.21</v>
          </cell>
        </row>
        <row r="434">
          <cell r="A434" t="str">
            <v>00013</v>
          </cell>
          <cell r="B434" t="str">
            <v>Southwestern Public Service Co</v>
          </cell>
          <cell r="C434" t="str">
            <v>711144</v>
          </cell>
          <cell r="D434" t="str">
            <v>DIR-Reg Labor Loading-Pension</v>
          </cell>
          <cell r="E434">
            <v>6808753.7999999998</v>
          </cell>
        </row>
        <row r="435">
          <cell r="A435" t="str">
            <v>00013</v>
          </cell>
          <cell r="B435" t="str">
            <v>Southwestern Public Service Co</v>
          </cell>
          <cell r="C435" t="str">
            <v>711144</v>
          </cell>
          <cell r="D435" t="str">
            <v>IND-Reg Labor Loading-Pension</v>
          </cell>
          <cell r="E435">
            <v>859678.65</v>
          </cell>
        </row>
        <row r="436">
          <cell r="A436" t="str">
            <v>00013</v>
          </cell>
          <cell r="B436" t="str">
            <v>Southwestern Public Service Co</v>
          </cell>
          <cell r="C436" t="str">
            <v>711144</v>
          </cell>
          <cell r="D436" t="str">
            <v>OUT-Reg Labor Loading-Pension</v>
          </cell>
          <cell r="E436">
            <v>-1265932.95</v>
          </cell>
        </row>
        <row r="437">
          <cell r="A437" t="str">
            <v>00013</v>
          </cell>
          <cell r="B437" t="str">
            <v>Southwestern Public Service Co</v>
          </cell>
          <cell r="C437" t="str">
            <v>711144</v>
          </cell>
          <cell r="D437" t="str">
            <v>Reg Labor Loading-Pension</v>
          </cell>
          <cell r="E437">
            <v>-5307181.79</v>
          </cell>
        </row>
        <row r="438">
          <cell r="A438" t="str">
            <v>00013</v>
          </cell>
          <cell r="B438" t="str">
            <v>Southwestern Public Service Co</v>
          </cell>
          <cell r="C438" t="str">
            <v>711145</v>
          </cell>
          <cell r="D438" t="str">
            <v>DIR-Reg Labor Loading-Insurnce</v>
          </cell>
          <cell r="E438">
            <v>0</v>
          </cell>
        </row>
        <row r="439">
          <cell r="A439" t="str">
            <v>00013</v>
          </cell>
          <cell r="B439" t="str">
            <v>Southwestern Public Service Co</v>
          </cell>
          <cell r="C439" t="str">
            <v>711145</v>
          </cell>
          <cell r="D439" t="str">
            <v>IND-Reg Labor Loading-Insurnce</v>
          </cell>
          <cell r="E439">
            <v>0</v>
          </cell>
        </row>
        <row r="440">
          <cell r="A440" t="str">
            <v>00013</v>
          </cell>
          <cell r="B440" t="str">
            <v>Southwestern Public Service Co</v>
          </cell>
          <cell r="C440" t="str">
            <v>711146</v>
          </cell>
          <cell r="D440" t="str">
            <v>Reg Labor Loading-Taxes</v>
          </cell>
          <cell r="E440">
            <v>-1194155.8600000001</v>
          </cell>
        </row>
        <row r="441">
          <cell r="A441" t="str">
            <v>00013</v>
          </cell>
          <cell r="B441" t="str">
            <v>Southwestern Public Service Co</v>
          </cell>
          <cell r="C441" t="str">
            <v>711146</v>
          </cell>
          <cell r="D441" t="str">
            <v>DIR-Reg Labor Loading-Taxes</v>
          </cell>
          <cell r="E441">
            <v>2323493.0499999998</v>
          </cell>
        </row>
        <row r="442">
          <cell r="A442" t="str">
            <v>00013</v>
          </cell>
          <cell r="B442" t="str">
            <v>Southwestern Public Service Co</v>
          </cell>
          <cell r="C442" t="str">
            <v>711146</v>
          </cell>
          <cell r="D442" t="str">
            <v>IND-Reg Labor Loading-Taxes</v>
          </cell>
          <cell r="E442">
            <v>260698.89</v>
          </cell>
        </row>
        <row r="443">
          <cell r="A443" t="str">
            <v>00013</v>
          </cell>
          <cell r="B443" t="str">
            <v>Southwestern Public Service Co</v>
          </cell>
          <cell r="C443" t="str">
            <v>711146</v>
          </cell>
          <cell r="D443" t="str">
            <v>OUT-Reg Labor Loading-Taxes</v>
          </cell>
          <cell r="E443">
            <v>-1004754.48</v>
          </cell>
        </row>
        <row r="444">
          <cell r="A444" t="str">
            <v>00013</v>
          </cell>
          <cell r="B444" t="str">
            <v>Southwestern Public Service Co</v>
          </cell>
          <cell r="C444" t="str">
            <v>711147</v>
          </cell>
          <cell r="D444" t="str">
            <v>DIR-Reg Labor PITS Translation</v>
          </cell>
          <cell r="E444">
            <v>27589.32</v>
          </cell>
        </row>
        <row r="445">
          <cell r="A445" t="str">
            <v>00013</v>
          </cell>
          <cell r="B445" t="str">
            <v>Southwestern Public Service Co</v>
          </cell>
          <cell r="C445" t="str">
            <v>711147</v>
          </cell>
          <cell r="D445" t="str">
            <v>IND-Reg Labor PITS Translation</v>
          </cell>
          <cell r="E445">
            <v>179671.38</v>
          </cell>
        </row>
        <row r="446">
          <cell r="A446" t="str">
            <v>00013</v>
          </cell>
          <cell r="B446" t="str">
            <v>Southwestern Public Service Co</v>
          </cell>
          <cell r="C446" t="str">
            <v>711147</v>
          </cell>
          <cell r="D446" t="str">
            <v>Reg Labor PITS Translation</v>
          </cell>
          <cell r="E446">
            <v>0</v>
          </cell>
        </row>
        <row r="447">
          <cell r="A447" t="str">
            <v>00013</v>
          </cell>
          <cell r="B447" t="str">
            <v>Southwestern Public Service Co</v>
          </cell>
          <cell r="C447" t="str">
            <v>711148</v>
          </cell>
          <cell r="D447" t="str">
            <v>DIR-Reg Lab Load-Rents</v>
          </cell>
          <cell r="E447">
            <v>767519.93</v>
          </cell>
        </row>
        <row r="448">
          <cell r="A448" t="str">
            <v>00013</v>
          </cell>
          <cell r="B448" t="str">
            <v>Southwestern Public Service Co</v>
          </cell>
          <cell r="C448" t="str">
            <v>711148</v>
          </cell>
          <cell r="D448" t="str">
            <v>IND-Reg Lab Load-Rents</v>
          </cell>
          <cell r="E448">
            <v>167987.16</v>
          </cell>
        </row>
        <row r="449">
          <cell r="A449" t="str">
            <v>00013</v>
          </cell>
          <cell r="B449" t="str">
            <v>Southwestern Public Service Co</v>
          </cell>
          <cell r="C449" t="str">
            <v>711148</v>
          </cell>
          <cell r="D449" t="str">
            <v>OUT-Reg Lab Load-Rents</v>
          </cell>
          <cell r="E449">
            <v>0</v>
          </cell>
        </row>
        <row r="450">
          <cell r="A450" t="str">
            <v>00013</v>
          </cell>
          <cell r="B450" t="str">
            <v>Southwestern Public Service Co</v>
          </cell>
          <cell r="C450" t="str">
            <v>711149</v>
          </cell>
          <cell r="D450" t="str">
            <v>DIR-Reg Lab Load-Inj &amp; Dam</v>
          </cell>
          <cell r="E450">
            <v>152422.26</v>
          </cell>
        </row>
        <row r="451">
          <cell r="A451" t="str">
            <v>00013</v>
          </cell>
          <cell r="B451" t="str">
            <v>Southwestern Public Service Co</v>
          </cell>
          <cell r="C451" t="str">
            <v>711149</v>
          </cell>
          <cell r="D451" t="str">
            <v>IND-Reg Lab Load-Inj &amp; Dam</v>
          </cell>
          <cell r="E451">
            <v>-73391.16</v>
          </cell>
        </row>
        <row r="452">
          <cell r="A452" t="str">
            <v>00013</v>
          </cell>
          <cell r="B452" t="str">
            <v>Southwestern Public Service Co</v>
          </cell>
          <cell r="C452" t="str">
            <v>711149</v>
          </cell>
          <cell r="D452" t="str">
            <v>OUT-Reg Lab Load-Inj &amp; Dam</v>
          </cell>
          <cell r="E452">
            <v>0</v>
          </cell>
        </row>
        <row r="453">
          <cell r="A453" t="str">
            <v>00013</v>
          </cell>
          <cell r="B453" t="str">
            <v>Southwestern Public Service Co</v>
          </cell>
          <cell r="C453" t="str">
            <v>711149</v>
          </cell>
          <cell r="D453" t="str">
            <v>Reg Labor Loading-Inj &amp; Dam</v>
          </cell>
          <cell r="E453">
            <v>0.08</v>
          </cell>
        </row>
        <row r="454">
          <cell r="A454" t="str">
            <v>00013</v>
          </cell>
          <cell r="B454" t="str">
            <v>Southwestern Public Service Co</v>
          </cell>
          <cell r="C454" t="str">
            <v>711190</v>
          </cell>
          <cell r="D454" t="str">
            <v>DIR-Overtime</v>
          </cell>
          <cell r="E454">
            <v>1730135.57</v>
          </cell>
        </row>
        <row r="455">
          <cell r="A455" t="str">
            <v>00013</v>
          </cell>
          <cell r="B455" t="str">
            <v>Southwestern Public Service Co</v>
          </cell>
          <cell r="C455" t="str">
            <v>711190</v>
          </cell>
          <cell r="D455" t="str">
            <v>IND-Overtime</v>
          </cell>
          <cell r="E455">
            <v>23021.68</v>
          </cell>
        </row>
        <row r="456">
          <cell r="A456" t="str">
            <v>00013</v>
          </cell>
          <cell r="B456" t="str">
            <v>Southwestern Public Service Co</v>
          </cell>
          <cell r="C456" t="str">
            <v>711190</v>
          </cell>
          <cell r="D456" t="str">
            <v>OUT-Overtime</v>
          </cell>
          <cell r="E456">
            <v>-1629874.43</v>
          </cell>
        </row>
        <row r="457">
          <cell r="A457" t="str">
            <v>00013</v>
          </cell>
          <cell r="B457" t="str">
            <v>Southwestern Public Service Co</v>
          </cell>
          <cell r="C457" t="str">
            <v>711190</v>
          </cell>
          <cell r="D457" t="str">
            <v>Overtime</v>
          </cell>
          <cell r="E457">
            <v>4185359.1</v>
          </cell>
        </row>
        <row r="458">
          <cell r="A458" t="str">
            <v>00013</v>
          </cell>
          <cell r="B458" t="str">
            <v>Southwestern Public Service Co</v>
          </cell>
          <cell r="C458" t="str">
            <v>711230</v>
          </cell>
          <cell r="D458" t="str">
            <v>DIR-Incentive</v>
          </cell>
          <cell r="E458">
            <v>833500</v>
          </cell>
        </row>
        <row r="459">
          <cell r="A459" t="str">
            <v>00013</v>
          </cell>
          <cell r="B459" t="str">
            <v>Southwestern Public Service Co</v>
          </cell>
          <cell r="C459" t="str">
            <v>711230</v>
          </cell>
          <cell r="D459" t="str">
            <v>IND-Incentive</v>
          </cell>
          <cell r="E459">
            <v>1081.04</v>
          </cell>
        </row>
        <row r="460">
          <cell r="A460" t="str">
            <v>00013</v>
          </cell>
          <cell r="B460" t="str">
            <v>Southwestern Public Service Co</v>
          </cell>
          <cell r="C460" t="str">
            <v>711230</v>
          </cell>
          <cell r="D460" t="str">
            <v>Incentive</v>
          </cell>
          <cell r="E460">
            <v>10378.51</v>
          </cell>
        </row>
        <row r="461">
          <cell r="A461" t="str">
            <v>00013</v>
          </cell>
          <cell r="B461" t="str">
            <v>Southwestern Public Service Co</v>
          </cell>
          <cell r="C461" t="str">
            <v>711270</v>
          </cell>
          <cell r="D461" t="str">
            <v>DIR-Other Compensation</v>
          </cell>
          <cell r="E461">
            <v>838858.26</v>
          </cell>
        </row>
        <row r="462">
          <cell r="A462" t="str">
            <v>00013</v>
          </cell>
          <cell r="B462" t="str">
            <v>Southwestern Public Service Co</v>
          </cell>
          <cell r="C462" t="str">
            <v>711270</v>
          </cell>
          <cell r="D462" t="str">
            <v>IND-Other Compensation</v>
          </cell>
          <cell r="E462">
            <v>152982.72</v>
          </cell>
        </row>
        <row r="463">
          <cell r="A463" t="str">
            <v>00013</v>
          </cell>
          <cell r="B463" t="str">
            <v>Southwestern Public Service Co</v>
          </cell>
          <cell r="C463" t="str">
            <v>711270</v>
          </cell>
          <cell r="D463" t="str">
            <v>OUT-Other Compensation</v>
          </cell>
          <cell r="E463">
            <v>-26803.85</v>
          </cell>
        </row>
        <row r="464">
          <cell r="A464" t="str">
            <v>00013</v>
          </cell>
          <cell r="B464" t="str">
            <v>Southwestern Public Service Co</v>
          </cell>
          <cell r="C464" t="str">
            <v>711270</v>
          </cell>
          <cell r="D464" t="str">
            <v>Other Compensation</v>
          </cell>
          <cell r="E464">
            <v>317311.13</v>
          </cell>
        </row>
        <row r="465">
          <cell r="A465" t="str">
            <v>00013</v>
          </cell>
          <cell r="B465" t="str">
            <v>Southwestern Public Service Co</v>
          </cell>
          <cell r="C465" t="str">
            <v>712110</v>
          </cell>
          <cell r="D465" t="str">
            <v>Contract Labor</v>
          </cell>
          <cell r="E465">
            <v>13414787.23</v>
          </cell>
        </row>
        <row r="466">
          <cell r="A466" t="str">
            <v>00013</v>
          </cell>
          <cell r="B466" t="str">
            <v>Southwestern Public Service Co</v>
          </cell>
          <cell r="C466" t="str">
            <v>712110</v>
          </cell>
          <cell r="D466" t="str">
            <v>DIR-Contract Labor</v>
          </cell>
          <cell r="E466">
            <v>7202999.9299999997</v>
          </cell>
        </row>
        <row r="467">
          <cell r="A467" t="str">
            <v>00013</v>
          </cell>
          <cell r="B467" t="str">
            <v>Southwestern Public Service Co</v>
          </cell>
          <cell r="C467" t="str">
            <v>712110</v>
          </cell>
          <cell r="D467" t="str">
            <v>IND-Contract Labor</v>
          </cell>
          <cell r="E467">
            <v>1245736.93</v>
          </cell>
        </row>
        <row r="468">
          <cell r="A468" t="str">
            <v>00013</v>
          </cell>
          <cell r="B468" t="str">
            <v>Southwestern Public Service Co</v>
          </cell>
          <cell r="C468" t="str">
            <v>712110</v>
          </cell>
          <cell r="D468" t="str">
            <v>OUT-Contract Labor</v>
          </cell>
          <cell r="E468">
            <v>-5041291.2699999996</v>
          </cell>
        </row>
        <row r="469">
          <cell r="A469" t="str">
            <v>00013</v>
          </cell>
          <cell r="B469" t="str">
            <v>Southwestern Public Service Co</v>
          </cell>
          <cell r="C469" t="str">
            <v>713000</v>
          </cell>
          <cell r="D469" t="str">
            <v>Consulting</v>
          </cell>
          <cell r="E469">
            <v>920019.05</v>
          </cell>
        </row>
        <row r="470">
          <cell r="A470" t="str">
            <v>00013</v>
          </cell>
          <cell r="B470" t="str">
            <v>Southwestern Public Service Co</v>
          </cell>
          <cell r="C470" t="str">
            <v>713000</v>
          </cell>
          <cell r="D470" t="str">
            <v>DIR-Consulting</v>
          </cell>
          <cell r="E470">
            <v>2042841.46</v>
          </cell>
        </row>
        <row r="471">
          <cell r="A471" t="str">
            <v>00013</v>
          </cell>
          <cell r="B471" t="str">
            <v>Southwestern Public Service Co</v>
          </cell>
          <cell r="C471" t="str">
            <v>713000</v>
          </cell>
          <cell r="D471" t="str">
            <v>IND-Consulting</v>
          </cell>
          <cell r="E471">
            <v>1423047.55</v>
          </cell>
        </row>
        <row r="472">
          <cell r="A472" t="str">
            <v>00013</v>
          </cell>
          <cell r="B472" t="str">
            <v>Southwestern Public Service Co</v>
          </cell>
          <cell r="C472" t="str">
            <v>713000</v>
          </cell>
          <cell r="D472" t="str">
            <v>OUT-Consulting</v>
          </cell>
          <cell r="E472">
            <v>-354802.93</v>
          </cell>
        </row>
        <row r="473">
          <cell r="A473" t="str">
            <v>00013</v>
          </cell>
          <cell r="B473" t="str">
            <v>Southwestern Public Service Co</v>
          </cell>
          <cell r="C473" t="str">
            <v>713100</v>
          </cell>
          <cell r="D473" t="str">
            <v>Consulting-Outside Legal</v>
          </cell>
          <cell r="E473">
            <v>837069.88</v>
          </cell>
        </row>
        <row r="474">
          <cell r="A474" t="str">
            <v>00013</v>
          </cell>
          <cell r="B474" t="str">
            <v>Southwestern Public Service Co</v>
          </cell>
          <cell r="C474" t="str">
            <v>714000</v>
          </cell>
          <cell r="D474" t="str">
            <v>DIR-Materials</v>
          </cell>
          <cell r="E474">
            <v>5765746.2699999996</v>
          </cell>
        </row>
        <row r="475">
          <cell r="A475" t="str">
            <v>00013</v>
          </cell>
          <cell r="B475" t="str">
            <v>Southwestern Public Service Co</v>
          </cell>
          <cell r="C475" t="str">
            <v>714000</v>
          </cell>
          <cell r="D475" t="str">
            <v>IND-Materials</v>
          </cell>
          <cell r="E475">
            <v>939838.69</v>
          </cell>
        </row>
        <row r="476">
          <cell r="A476" t="str">
            <v>00013</v>
          </cell>
          <cell r="B476" t="str">
            <v>Southwestern Public Service Co</v>
          </cell>
          <cell r="C476" t="str">
            <v>714000</v>
          </cell>
          <cell r="D476" t="str">
            <v>Materials</v>
          </cell>
          <cell r="E476">
            <v>16189029.449999999</v>
          </cell>
        </row>
        <row r="477">
          <cell r="A477" t="str">
            <v>00013</v>
          </cell>
          <cell r="B477" t="str">
            <v>Southwestern Public Service Co</v>
          </cell>
          <cell r="C477" t="str">
            <v>714000</v>
          </cell>
          <cell r="D477" t="str">
            <v>OUT-Materials</v>
          </cell>
          <cell r="E477">
            <v>-5151369.8600000003</v>
          </cell>
        </row>
        <row r="478">
          <cell r="A478" t="str">
            <v>00013</v>
          </cell>
          <cell r="B478" t="str">
            <v>Southwestern Public Service Co</v>
          </cell>
          <cell r="C478" t="str">
            <v>715200</v>
          </cell>
          <cell r="D478" t="str">
            <v>DIR-IT Hardware Purchases</v>
          </cell>
          <cell r="E478">
            <v>16737.669999999998</v>
          </cell>
        </row>
        <row r="479">
          <cell r="A479" t="str">
            <v>00013</v>
          </cell>
          <cell r="B479" t="str">
            <v>Southwestern Public Service Co</v>
          </cell>
          <cell r="C479" t="str">
            <v>715200</v>
          </cell>
          <cell r="D479" t="str">
            <v>IND-IT Hardware Purchase</v>
          </cell>
          <cell r="E479">
            <v>44825.29</v>
          </cell>
        </row>
        <row r="480">
          <cell r="A480" t="str">
            <v>00013</v>
          </cell>
          <cell r="B480" t="str">
            <v>Southwestern Public Service Co</v>
          </cell>
          <cell r="C480" t="str">
            <v>715200</v>
          </cell>
          <cell r="D480" t="str">
            <v>IT Hardware Purchases</v>
          </cell>
          <cell r="E480">
            <v>64868.54</v>
          </cell>
        </row>
        <row r="481">
          <cell r="A481" t="str">
            <v>00013</v>
          </cell>
          <cell r="B481" t="str">
            <v>Southwestern Public Service Co</v>
          </cell>
          <cell r="C481" t="str">
            <v>715200</v>
          </cell>
          <cell r="D481" t="str">
            <v>OUT-IT Hardware Purchases</v>
          </cell>
          <cell r="E481">
            <v>-2000.88</v>
          </cell>
        </row>
        <row r="482">
          <cell r="A482" t="str">
            <v>00013</v>
          </cell>
          <cell r="B482" t="str">
            <v>Southwestern Public Service Co</v>
          </cell>
          <cell r="C482" t="str">
            <v>715300</v>
          </cell>
          <cell r="D482" t="str">
            <v>DIR-Software Purchases</v>
          </cell>
          <cell r="E482">
            <v>40324.160000000003</v>
          </cell>
        </row>
        <row r="483">
          <cell r="A483" t="str">
            <v>00013</v>
          </cell>
          <cell r="B483" t="str">
            <v>Southwestern Public Service Co</v>
          </cell>
          <cell r="C483" t="str">
            <v>715300</v>
          </cell>
          <cell r="D483" t="str">
            <v>IND-Software Purchases</v>
          </cell>
          <cell r="E483">
            <v>36296.449999999997</v>
          </cell>
        </row>
        <row r="484">
          <cell r="A484" t="str">
            <v>00013</v>
          </cell>
          <cell r="B484" t="str">
            <v>Southwestern Public Service Co</v>
          </cell>
          <cell r="C484" t="str">
            <v>715300</v>
          </cell>
          <cell r="D484" t="str">
            <v>OUT-Software Purchases</v>
          </cell>
          <cell r="E484">
            <v>-31.07</v>
          </cell>
        </row>
        <row r="485">
          <cell r="A485" t="str">
            <v>00013</v>
          </cell>
          <cell r="B485" t="str">
            <v>Southwestern Public Service Co</v>
          </cell>
          <cell r="C485" t="str">
            <v>715300</v>
          </cell>
          <cell r="D485" t="str">
            <v>Software Purchases</v>
          </cell>
          <cell r="E485">
            <v>9764.59</v>
          </cell>
        </row>
        <row r="486">
          <cell r="A486" t="str">
            <v>00013</v>
          </cell>
          <cell r="B486" t="str">
            <v>Southwestern Public Service Co</v>
          </cell>
          <cell r="C486" t="str">
            <v>715500</v>
          </cell>
          <cell r="D486" t="str">
            <v>IND-Software Maintenance</v>
          </cell>
          <cell r="E486">
            <v>2863.63</v>
          </cell>
        </row>
        <row r="487">
          <cell r="A487" t="str">
            <v>00013</v>
          </cell>
          <cell r="B487" t="str">
            <v>Southwestern Public Service Co</v>
          </cell>
          <cell r="C487" t="str">
            <v>715600</v>
          </cell>
          <cell r="D487" t="str">
            <v>DIR-Personal Commun Devices</v>
          </cell>
          <cell r="E487">
            <v>541871.06000000006</v>
          </cell>
        </row>
        <row r="488">
          <cell r="A488" t="str">
            <v>00013</v>
          </cell>
          <cell r="B488" t="str">
            <v>Southwestern Public Service Co</v>
          </cell>
          <cell r="C488" t="str">
            <v>715600</v>
          </cell>
          <cell r="D488" t="str">
            <v>IND-Personal Commun Devices</v>
          </cell>
          <cell r="E488">
            <v>422120.45</v>
          </cell>
        </row>
        <row r="489">
          <cell r="A489" t="str">
            <v>00013</v>
          </cell>
          <cell r="B489" t="str">
            <v>Southwestern Public Service Co</v>
          </cell>
          <cell r="C489" t="str">
            <v>715600</v>
          </cell>
          <cell r="D489" t="str">
            <v>OUT-Personal Commun Devices</v>
          </cell>
          <cell r="E489">
            <v>-2619.29</v>
          </cell>
        </row>
        <row r="490">
          <cell r="A490" t="str">
            <v>00013</v>
          </cell>
          <cell r="B490" t="str">
            <v>Southwestern Public Service Co</v>
          </cell>
          <cell r="C490" t="str">
            <v>715600</v>
          </cell>
          <cell r="D490" t="str">
            <v>Personal Communication Devices</v>
          </cell>
          <cell r="E490">
            <v>1457859.85</v>
          </cell>
        </row>
        <row r="491">
          <cell r="A491" t="str">
            <v>00013</v>
          </cell>
          <cell r="B491" t="str">
            <v>Southwestern Public Service Co</v>
          </cell>
          <cell r="C491" t="str">
            <v>715700</v>
          </cell>
          <cell r="D491" t="str">
            <v>IND-Special Circuits or Ntwrks</v>
          </cell>
          <cell r="E491">
            <v>470.16</v>
          </cell>
        </row>
        <row r="492">
          <cell r="A492" t="str">
            <v>00013</v>
          </cell>
          <cell r="B492" t="str">
            <v>Southwestern Public Service Co</v>
          </cell>
          <cell r="C492" t="str">
            <v>715800</v>
          </cell>
          <cell r="D492" t="str">
            <v>DIR-Data Center</v>
          </cell>
          <cell r="E492">
            <v>6875445.6100000003</v>
          </cell>
        </row>
        <row r="493">
          <cell r="A493" t="str">
            <v>00013</v>
          </cell>
          <cell r="B493" t="str">
            <v>Southwestern Public Service Co</v>
          </cell>
          <cell r="C493" t="str">
            <v>715800</v>
          </cell>
          <cell r="D493" t="str">
            <v>Data Center</v>
          </cell>
          <cell r="E493">
            <v>840813.65</v>
          </cell>
        </row>
        <row r="494">
          <cell r="A494" t="str">
            <v>00013</v>
          </cell>
          <cell r="B494" t="str">
            <v>Southwestern Public Service Co</v>
          </cell>
          <cell r="C494" t="str">
            <v>715800</v>
          </cell>
          <cell r="D494" t="str">
            <v>IND-Data Center</v>
          </cell>
          <cell r="E494">
            <v>3777375.97</v>
          </cell>
        </row>
        <row r="495">
          <cell r="A495" t="str">
            <v>00013</v>
          </cell>
          <cell r="B495" t="str">
            <v>Southwestern Public Service Co</v>
          </cell>
          <cell r="C495" t="str">
            <v>715800</v>
          </cell>
          <cell r="D495" t="str">
            <v>OUT-Data Center</v>
          </cell>
          <cell r="E495">
            <v>-84.07</v>
          </cell>
        </row>
        <row r="496">
          <cell r="A496" t="str">
            <v>00013</v>
          </cell>
          <cell r="B496" t="str">
            <v>Southwestern Public Service Co</v>
          </cell>
          <cell r="C496" t="str">
            <v>721000</v>
          </cell>
          <cell r="D496" t="str">
            <v>DIR-Employee Expenses</v>
          </cell>
          <cell r="E496">
            <v>1978927.24</v>
          </cell>
        </row>
        <row r="497">
          <cell r="A497" t="str">
            <v>00013</v>
          </cell>
          <cell r="B497" t="str">
            <v>Southwestern Public Service Co</v>
          </cell>
          <cell r="C497" t="str">
            <v>721000</v>
          </cell>
          <cell r="D497" t="str">
            <v>Employee Expenses</v>
          </cell>
          <cell r="E497">
            <v>1658003.17</v>
          </cell>
        </row>
        <row r="498">
          <cell r="A498" t="str">
            <v>00013</v>
          </cell>
          <cell r="B498" t="str">
            <v>Southwestern Public Service Co</v>
          </cell>
          <cell r="C498" t="str">
            <v>721000</v>
          </cell>
          <cell r="D498" t="str">
            <v>IND-Employee Expenses</v>
          </cell>
          <cell r="E498">
            <v>1739523.92</v>
          </cell>
        </row>
        <row r="499">
          <cell r="A499" t="str">
            <v>00013</v>
          </cell>
          <cell r="B499" t="str">
            <v>Southwestern Public Service Co</v>
          </cell>
          <cell r="C499" t="str">
            <v>721000</v>
          </cell>
          <cell r="D499" t="str">
            <v>OUT-Employee Expenses</v>
          </cell>
          <cell r="E499">
            <v>-328670.5</v>
          </cell>
        </row>
        <row r="500">
          <cell r="A500" t="str">
            <v>00013</v>
          </cell>
          <cell r="B500" t="str">
            <v>Southwestern Public Service Co</v>
          </cell>
          <cell r="C500" t="str">
            <v>722000</v>
          </cell>
          <cell r="D500" t="str">
            <v>DIR-Transportation Fleet Cost</v>
          </cell>
          <cell r="E500">
            <v>1048074.96</v>
          </cell>
        </row>
        <row r="501">
          <cell r="A501" t="str">
            <v>00013</v>
          </cell>
          <cell r="B501" t="str">
            <v>Southwestern Public Service Co</v>
          </cell>
          <cell r="C501" t="str">
            <v>722000</v>
          </cell>
          <cell r="D501" t="str">
            <v>IND-Transportation Fleet</v>
          </cell>
          <cell r="E501">
            <v>26319.759999999998</v>
          </cell>
        </row>
        <row r="502">
          <cell r="A502" t="str">
            <v>00013</v>
          </cell>
          <cell r="B502" t="str">
            <v>Southwestern Public Service Co</v>
          </cell>
          <cell r="C502" t="str">
            <v>722000</v>
          </cell>
          <cell r="D502" t="str">
            <v>OUT-Transportation Fleet Cost</v>
          </cell>
          <cell r="E502">
            <v>-950170.25</v>
          </cell>
        </row>
        <row r="503">
          <cell r="A503" t="str">
            <v>00013</v>
          </cell>
          <cell r="B503" t="str">
            <v>Southwestern Public Service Co</v>
          </cell>
          <cell r="C503" t="str">
            <v>722000</v>
          </cell>
          <cell r="D503" t="str">
            <v>Transportation Fleet Cost</v>
          </cell>
          <cell r="E503">
            <v>4260689.71</v>
          </cell>
        </row>
        <row r="504">
          <cell r="A504" t="str">
            <v>00013</v>
          </cell>
          <cell r="B504" t="str">
            <v>Southwestern Public Service Co</v>
          </cell>
          <cell r="C504" t="str">
            <v>723000</v>
          </cell>
          <cell r="D504" t="str">
            <v>Dir Other Oper &amp; Mtce Exp</v>
          </cell>
          <cell r="E504">
            <v>0</v>
          </cell>
        </row>
        <row r="505">
          <cell r="A505" t="str">
            <v>00013</v>
          </cell>
          <cell r="B505" t="str">
            <v>Southwestern Public Service Co</v>
          </cell>
          <cell r="C505" t="str">
            <v>723055</v>
          </cell>
          <cell r="D505" t="str">
            <v>DIR-Fuel Handling Other Gen-NL</v>
          </cell>
          <cell r="E505">
            <v>5.0999999999999996</v>
          </cell>
        </row>
        <row r="506">
          <cell r="A506" t="str">
            <v>00013</v>
          </cell>
          <cell r="B506" t="str">
            <v>Southwestern Public Service Co</v>
          </cell>
          <cell r="C506" t="str">
            <v>723055</v>
          </cell>
          <cell r="D506" t="str">
            <v>Energy</v>
          </cell>
          <cell r="E506">
            <v>3554551.52</v>
          </cell>
        </row>
        <row r="507">
          <cell r="A507" t="str">
            <v>00013</v>
          </cell>
          <cell r="B507" t="str">
            <v>Southwestern Public Service Co</v>
          </cell>
          <cell r="C507" t="str">
            <v>723055</v>
          </cell>
          <cell r="D507" t="str">
            <v>OUT-Energy</v>
          </cell>
          <cell r="E507">
            <v>-3.61</v>
          </cell>
        </row>
        <row r="508">
          <cell r="A508" t="str">
            <v>00013</v>
          </cell>
          <cell r="B508" t="str">
            <v>Southwestern Public Service Co</v>
          </cell>
          <cell r="C508" t="str">
            <v>723060</v>
          </cell>
          <cell r="D508" t="str">
            <v>DIR - Non-Energy</v>
          </cell>
          <cell r="E508">
            <v>1.64</v>
          </cell>
        </row>
        <row r="509">
          <cell r="A509" t="str">
            <v>00013</v>
          </cell>
          <cell r="B509" t="str">
            <v>Southwestern Public Service Co</v>
          </cell>
          <cell r="C509" t="str">
            <v>723060</v>
          </cell>
          <cell r="D509" t="str">
            <v>Non-Energy</v>
          </cell>
          <cell r="E509">
            <v>-3125.44</v>
          </cell>
        </row>
        <row r="510">
          <cell r="A510" t="str">
            <v>00013</v>
          </cell>
          <cell r="B510" t="str">
            <v>Southwestern Public Service Co</v>
          </cell>
          <cell r="C510" t="str">
            <v>723060</v>
          </cell>
          <cell r="D510" t="str">
            <v>OUT-Non-Energy</v>
          </cell>
          <cell r="E510">
            <v>-1.64</v>
          </cell>
        </row>
        <row r="511">
          <cell r="A511" t="str">
            <v>00013</v>
          </cell>
          <cell r="B511" t="str">
            <v>Southwestern Public Service Co</v>
          </cell>
          <cell r="C511" t="str">
            <v>723070</v>
          </cell>
          <cell r="D511" t="str">
            <v>DIR-Misc Bad Debt Concessions</v>
          </cell>
          <cell r="E511">
            <v>702.12</v>
          </cell>
        </row>
        <row r="512">
          <cell r="A512" t="str">
            <v>00013</v>
          </cell>
          <cell r="B512" t="str">
            <v>Southwestern Public Service Co</v>
          </cell>
          <cell r="C512" t="str">
            <v>723070</v>
          </cell>
          <cell r="D512" t="str">
            <v>Misc Bad Debt-Concessions</v>
          </cell>
          <cell r="E512">
            <v>49795.34</v>
          </cell>
        </row>
        <row r="513">
          <cell r="A513" t="str">
            <v>00013</v>
          </cell>
          <cell r="B513" t="str">
            <v>Southwestern Public Service Co</v>
          </cell>
          <cell r="C513" t="str">
            <v>723070</v>
          </cell>
          <cell r="D513" t="str">
            <v>OUT-Misc Bad Debt-Concessions</v>
          </cell>
          <cell r="E513">
            <v>-702.12</v>
          </cell>
        </row>
        <row r="514">
          <cell r="A514" t="str">
            <v>00013</v>
          </cell>
          <cell r="B514" t="str">
            <v>Southwestern Public Service Co</v>
          </cell>
          <cell r="C514" t="str">
            <v>723110</v>
          </cell>
          <cell r="D514" t="str">
            <v>DIR-Space</v>
          </cell>
          <cell r="E514">
            <v>356309.73</v>
          </cell>
        </row>
        <row r="515">
          <cell r="A515" t="str">
            <v>00013</v>
          </cell>
          <cell r="B515" t="str">
            <v>Southwestern Public Service Co</v>
          </cell>
          <cell r="C515" t="str">
            <v>723110</v>
          </cell>
          <cell r="D515" t="str">
            <v>IND-Space</v>
          </cell>
          <cell r="E515">
            <v>100412.69</v>
          </cell>
        </row>
        <row r="516">
          <cell r="A516" t="str">
            <v>00013</v>
          </cell>
          <cell r="B516" t="str">
            <v>Southwestern Public Service Co</v>
          </cell>
          <cell r="C516" t="str">
            <v>723110</v>
          </cell>
          <cell r="D516" t="str">
            <v>OUT-Space</v>
          </cell>
          <cell r="E516">
            <v>-157471.42000000001</v>
          </cell>
        </row>
        <row r="517">
          <cell r="A517" t="str">
            <v>00013</v>
          </cell>
          <cell r="B517" t="str">
            <v>Southwestern Public Service Co</v>
          </cell>
          <cell r="C517" t="str">
            <v>723110</v>
          </cell>
          <cell r="D517" t="str">
            <v>Space</v>
          </cell>
          <cell r="E517">
            <v>705579.28</v>
          </cell>
        </row>
        <row r="518">
          <cell r="A518" t="str">
            <v>00013</v>
          </cell>
          <cell r="B518" t="str">
            <v>Southwestern Public Service Co</v>
          </cell>
          <cell r="C518" t="str">
            <v>723130</v>
          </cell>
          <cell r="D518" t="str">
            <v>DIR-Equipment</v>
          </cell>
          <cell r="E518">
            <v>45748.85</v>
          </cell>
        </row>
        <row r="519">
          <cell r="A519" t="str">
            <v>00013</v>
          </cell>
          <cell r="B519" t="str">
            <v>Southwestern Public Service Co</v>
          </cell>
          <cell r="C519" t="str">
            <v>723130</v>
          </cell>
          <cell r="D519" t="str">
            <v>Equipment</v>
          </cell>
          <cell r="E519">
            <v>212668.92</v>
          </cell>
        </row>
        <row r="520">
          <cell r="A520" t="str">
            <v>00013</v>
          </cell>
          <cell r="B520" t="str">
            <v>Southwestern Public Service Co</v>
          </cell>
          <cell r="C520" t="str">
            <v>723130</v>
          </cell>
          <cell r="D520" t="str">
            <v>IND-Equipment</v>
          </cell>
          <cell r="E520">
            <v>24557.200000000001</v>
          </cell>
        </row>
        <row r="521">
          <cell r="A521" t="str">
            <v>00013</v>
          </cell>
          <cell r="B521" t="str">
            <v>Southwestern Public Service Co</v>
          </cell>
          <cell r="C521" t="str">
            <v>723130</v>
          </cell>
          <cell r="D521" t="str">
            <v>OUT-Equipment</v>
          </cell>
          <cell r="E521">
            <v>-13362.76</v>
          </cell>
        </row>
        <row r="522">
          <cell r="A522" t="str">
            <v>00013</v>
          </cell>
          <cell r="B522" t="str">
            <v>Southwestern Public Service Co</v>
          </cell>
          <cell r="C522" t="str">
            <v>723150</v>
          </cell>
          <cell r="D522" t="str">
            <v>DIR-Railroad Permits</v>
          </cell>
          <cell r="E522">
            <v>12031.51</v>
          </cell>
        </row>
        <row r="523">
          <cell r="A523" t="str">
            <v>00013</v>
          </cell>
          <cell r="B523" t="str">
            <v>Southwestern Public Service Co</v>
          </cell>
          <cell r="C523" t="str">
            <v>723150</v>
          </cell>
          <cell r="D523" t="str">
            <v>IND-Railroad Permits</v>
          </cell>
          <cell r="E523">
            <v>75.06</v>
          </cell>
        </row>
        <row r="524">
          <cell r="A524" t="str">
            <v>00013</v>
          </cell>
          <cell r="B524" t="str">
            <v>Southwestern Public Service Co</v>
          </cell>
          <cell r="C524" t="str">
            <v>723150</v>
          </cell>
          <cell r="D524" t="str">
            <v>OUT-Railroad Permits</v>
          </cell>
          <cell r="E524">
            <v>-12031.51</v>
          </cell>
        </row>
        <row r="525">
          <cell r="A525" t="str">
            <v>00013</v>
          </cell>
          <cell r="B525" t="str">
            <v>Southwestern Public Service Co</v>
          </cell>
          <cell r="C525" t="str">
            <v>723150</v>
          </cell>
          <cell r="D525" t="str">
            <v>Railroad Permits</v>
          </cell>
          <cell r="E525">
            <v>38403.620000000003</v>
          </cell>
        </row>
        <row r="526">
          <cell r="A526" t="str">
            <v>00013</v>
          </cell>
          <cell r="B526" t="str">
            <v>Southwestern Public Service Co</v>
          </cell>
          <cell r="C526" t="str">
            <v>723400</v>
          </cell>
          <cell r="D526" t="str">
            <v>DIR-Postage</v>
          </cell>
          <cell r="E526">
            <v>290173.82</v>
          </cell>
        </row>
        <row r="527">
          <cell r="A527" t="str">
            <v>00013</v>
          </cell>
          <cell r="B527" t="str">
            <v>Southwestern Public Service Co</v>
          </cell>
          <cell r="C527" t="str">
            <v>723400</v>
          </cell>
          <cell r="D527" t="str">
            <v>IND-Postage</v>
          </cell>
          <cell r="E527">
            <v>75948.12</v>
          </cell>
        </row>
        <row r="528">
          <cell r="A528" t="str">
            <v>00013</v>
          </cell>
          <cell r="B528" t="str">
            <v>Southwestern Public Service Co</v>
          </cell>
          <cell r="C528" t="str">
            <v>723400</v>
          </cell>
          <cell r="D528" t="str">
            <v>OUT-Postage</v>
          </cell>
          <cell r="E528">
            <v>-622.24</v>
          </cell>
        </row>
        <row r="529">
          <cell r="A529" t="str">
            <v>00013</v>
          </cell>
          <cell r="B529" t="str">
            <v>Southwestern Public Service Co</v>
          </cell>
          <cell r="C529" t="str">
            <v>723400</v>
          </cell>
          <cell r="D529" t="str">
            <v>Postage</v>
          </cell>
          <cell r="E529">
            <v>643256.61</v>
          </cell>
        </row>
        <row r="530">
          <cell r="A530" t="str">
            <v>00013</v>
          </cell>
          <cell r="B530" t="str">
            <v>Southwestern Public Service Co</v>
          </cell>
          <cell r="C530" t="str">
            <v>723480</v>
          </cell>
          <cell r="D530" t="str">
            <v>Injuries &amp; Damages</v>
          </cell>
          <cell r="E530">
            <v>126713.60000000001</v>
          </cell>
        </row>
        <row r="531">
          <cell r="A531" t="str">
            <v>00013</v>
          </cell>
          <cell r="B531" t="str">
            <v>Southwestern Public Service Co</v>
          </cell>
          <cell r="C531" t="str">
            <v>723510</v>
          </cell>
          <cell r="D531" t="str">
            <v>Property Insurance</v>
          </cell>
          <cell r="E531">
            <v>2265260.44</v>
          </cell>
        </row>
        <row r="532">
          <cell r="A532" t="str">
            <v>00013</v>
          </cell>
          <cell r="B532" t="str">
            <v>Southwestern Public Service Co</v>
          </cell>
          <cell r="C532" t="str">
            <v>723550</v>
          </cell>
          <cell r="D532" t="str">
            <v>DIR-Other Insurance</v>
          </cell>
          <cell r="E532">
            <v>2240.0100000000002</v>
          </cell>
        </row>
        <row r="533">
          <cell r="A533" t="str">
            <v>00013</v>
          </cell>
          <cell r="B533" t="str">
            <v>Southwestern Public Service Co</v>
          </cell>
          <cell r="C533" t="str">
            <v>723550</v>
          </cell>
          <cell r="D533" t="str">
            <v>IND-Other Insurance</v>
          </cell>
          <cell r="E533">
            <v>45060.71</v>
          </cell>
        </row>
        <row r="534">
          <cell r="A534" t="str">
            <v>00013</v>
          </cell>
          <cell r="B534" t="str">
            <v>Southwestern Public Service Co</v>
          </cell>
          <cell r="C534" t="str">
            <v>723560</v>
          </cell>
          <cell r="D534" t="str">
            <v>Excess Workers Comp Insurance</v>
          </cell>
          <cell r="E534">
            <v>604023.03</v>
          </cell>
        </row>
        <row r="535">
          <cell r="A535" t="str">
            <v>00013</v>
          </cell>
          <cell r="B535" t="str">
            <v>Southwestern Public Service Co</v>
          </cell>
          <cell r="C535" t="str">
            <v>723560</v>
          </cell>
          <cell r="D535" t="str">
            <v>IND-Excess Workers Comp</v>
          </cell>
          <cell r="E535">
            <v>70217.87</v>
          </cell>
        </row>
        <row r="536">
          <cell r="A536" t="str">
            <v>00013</v>
          </cell>
          <cell r="B536" t="str">
            <v>Southwestern Public Service Co</v>
          </cell>
          <cell r="C536" t="str">
            <v>723710</v>
          </cell>
          <cell r="D536" t="str">
            <v>Brand/Image Advertising</v>
          </cell>
          <cell r="E536">
            <v>44855.85</v>
          </cell>
        </row>
        <row r="537">
          <cell r="A537" t="str">
            <v>00013</v>
          </cell>
          <cell r="B537" t="str">
            <v>Southwestern Public Service Co</v>
          </cell>
          <cell r="C537" t="str">
            <v>723710</v>
          </cell>
          <cell r="D537" t="str">
            <v>DIR-Brand/Image Advertising</v>
          </cell>
          <cell r="E537">
            <v>10384.58</v>
          </cell>
        </row>
        <row r="538">
          <cell r="A538" t="str">
            <v>00013</v>
          </cell>
          <cell r="B538" t="str">
            <v>Southwestern Public Service Co</v>
          </cell>
          <cell r="C538" t="str">
            <v>723710</v>
          </cell>
          <cell r="D538" t="str">
            <v>IND-Brand/Image Adverti</v>
          </cell>
          <cell r="E538">
            <v>814487.53</v>
          </cell>
        </row>
        <row r="539">
          <cell r="A539" t="str">
            <v>00013</v>
          </cell>
          <cell r="B539" t="str">
            <v>Southwestern Public Service Co</v>
          </cell>
          <cell r="C539" t="str">
            <v>723720</v>
          </cell>
          <cell r="D539" t="str">
            <v>DIR-Advertising - General</v>
          </cell>
          <cell r="E539">
            <v>8879.9599999999991</v>
          </cell>
        </row>
        <row r="540">
          <cell r="A540" t="str">
            <v>00013</v>
          </cell>
          <cell r="B540" t="str">
            <v>Southwestern Public Service Co</v>
          </cell>
          <cell r="C540" t="str">
            <v>723720</v>
          </cell>
          <cell r="D540" t="str">
            <v>IND-Advertising - Genrl</v>
          </cell>
          <cell r="E540">
            <v>6055.86</v>
          </cell>
        </row>
        <row r="541">
          <cell r="A541" t="str">
            <v>00013</v>
          </cell>
          <cell r="B541" t="str">
            <v>Southwestern Public Service Co</v>
          </cell>
          <cell r="C541" t="str">
            <v>723770</v>
          </cell>
          <cell r="D541" t="str">
            <v>DIR-Safety Advertising</v>
          </cell>
          <cell r="E541">
            <v>147057.94</v>
          </cell>
        </row>
        <row r="542">
          <cell r="A542" t="str">
            <v>00013</v>
          </cell>
          <cell r="B542" t="str">
            <v>Southwestern Public Service Co</v>
          </cell>
          <cell r="C542" t="str">
            <v>723770</v>
          </cell>
          <cell r="D542" t="str">
            <v>Safety Advertising</v>
          </cell>
          <cell r="E542">
            <v>7.0000000000000007E-2</v>
          </cell>
        </row>
        <row r="543">
          <cell r="A543" t="str">
            <v>00013</v>
          </cell>
          <cell r="B543" t="str">
            <v>Southwestern Public Service Co</v>
          </cell>
          <cell r="C543" t="str">
            <v>723810</v>
          </cell>
          <cell r="D543" t="str">
            <v>DIR-Professional Assoc Dues</v>
          </cell>
          <cell r="E543">
            <v>99202.61</v>
          </cell>
        </row>
        <row r="544">
          <cell r="A544" t="str">
            <v>00013</v>
          </cell>
          <cell r="B544" t="str">
            <v>Southwestern Public Service Co</v>
          </cell>
          <cell r="C544" t="str">
            <v>723810</v>
          </cell>
          <cell r="D544" t="str">
            <v>IND-Professional Assoc</v>
          </cell>
          <cell r="E544">
            <v>71769.460000000006</v>
          </cell>
        </row>
        <row r="545">
          <cell r="A545" t="str">
            <v>00013</v>
          </cell>
          <cell r="B545" t="str">
            <v>Southwestern Public Service Co</v>
          </cell>
          <cell r="C545" t="str">
            <v>723810</v>
          </cell>
          <cell r="D545" t="str">
            <v>OUT-Professional Assoc Dues</v>
          </cell>
          <cell r="E545">
            <v>-4329.45</v>
          </cell>
        </row>
        <row r="546">
          <cell r="A546" t="str">
            <v>00013</v>
          </cell>
          <cell r="B546" t="str">
            <v>Southwestern Public Service Co</v>
          </cell>
          <cell r="C546" t="str">
            <v>723810</v>
          </cell>
          <cell r="D546" t="str">
            <v>Professional Association Dues</v>
          </cell>
          <cell r="E546">
            <v>33024.160000000003</v>
          </cell>
        </row>
        <row r="547">
          <cell r="A547" t="str">
            <v>00013</v>
          </cell>
          <cell r="B547" t="str">
            <v>Southwestern Public Service Co</v>
          </cell>
          <cell r="C547" t="str">
            <v>723820</v>
          </cell>
          <cell r="D547" t="str">
            <v>DIR-Utility Association Dues</v>
          </cell>
          <cell r="E547">
            <v>23233.759999999998</v>
          </cell>
        </row>
        <row r="548">
          <cell r="A548" t="str">
            <v>00013</v>
          </cell>
          <cell r="B548" t="str">
            <v>Southwestern Public Service Co</v>
          </cell>
          <cell r="C548" t="str">
            <v>723820</v>
          </cell>
          <cell r="D548" t="str">
            <v>IND-Utility Association</v>
          </cell>
          <cell r="E548">
            <v>2502.44</v>
          </cell>
        </row>
        <row r="549">
          <cell r="A549" t="str">
            <v>00013</v>
          </cell>
          <cell r="B549" t="str">
            <v>Southwestern Public Service Co</v>
          </cell>
          <cell r="C549" t="str">
            <v>723821</v>
          </cell>
          <cell r="D549" t="str">
            <v>Electric Util Assoc Dues</v>
          </cell>
          <cell r="E549">
            <v>229315.52</v>
          </cell>
        </row>
        <row r="550">
          <cell r="A550" t="str">
            <v>00013</v>
          </cell>
          <cell r="B550" t="str">
            <v>Southwestern Public Service Co</v>
          </cell>
          <cell r="C550" t="str">
            <v>723830</v>
          </cell>
          <cell r="D550" t="str">
            <v>DIR-Donations</v>
          </cell>
          <cell r="E550">
            <v>343100.04</v>
          </cell>
        </row>
        <row r="551">
          <cell r="A551" t="str">
            <v>00013</v>
          </cell>
          <cell r="B551" t="str">
            <v>Southwestern Public Service Co</v>
          </cell>
          <cell r="C551" t="str">
            <v>723830</v>
          </cell>
          <cell r="D551" t="str">
            <v>Donations</v>
          </cell>
          <cell r="E551">
            <v>251487.26</v>
          </cell>
        </row>
        <row r="552">
          <cell r="A552" t="str">
            <v>00013</v>
          </cell>
          <cell r="B552" t="str">
            <v>Southwestern Public Service Co</v>
          </cell>
          <cell r="C552" t="str">
            <v>723830</v>
          </cell>
          <cell r="D552" t="str">
            <v>IND-Donations</v>
          </cell>
          <cell r="E552">
            <v>15607.59</v>
          </cell>
        </row>
        <row r="553">
          <cell r="A553" t="str">
            <v>00013</v>
          </cell>
          <cell r="B553" t="str">
            <v>Southwestern Public Service Co</v>
          </cell>
          <cell r="C553" t="str">
            <v>723830</v>
          </cell>
          <cell r="D553" t="str">
            <v>OUT-Donations</v>
          </cell>
          <cell r="E553">
            <v>-43100</v>
          </cell>
        </row>
        <row r="554">
          <cell r="A554" t="str">
            <v>00013</v>
          </cell>
          <cell r="B554" t="str">
            <v>Southwestern Public Service Co</v>
          </cell>
          <cell r="C554" t="str">
            <v>723835</v>
          </cell>
          <cell r="D554" t="str">
            <v>Civic &amp; Political</v>
          </cell>
          <cell r="E554">
            <v>12529.16</v>
          </cell>
        </row>
        <row r="555">
          <cell r="A555" t="str">
            <v>00013</v>
          </cell>
          <cell r="B555" t="str">
            <v>Southwestern Public Service Co</v>
          </cell>
          <cell r="C555" t="str">
            <v>723835</v>
          </cell>
          <cell r="D555" t="str">
            <v>DIR - Civic &amp; Political</v>
          </cell>
          <cell r="E555">
            <v>377784.7</v>
          </cell>
        </row>
        <row r="556">
          <cell r="A556" t="str">
            <v>00013</v>
          </cell>
          <cell r="B556" t="str">
            <v>Southwestern Public Service Co</v>
          </cell>
          <cell r="C556" t="str">
            <v>723835</v>
          </cell>
          <cell r="D556" t="str">
            <v>IND - Civic &amp; Political</v>
          </cell>
          <cell r="E556">
            <v>23232.42</v>
          </cell>
        </row>
        <row r="557">
          <cell r="A557" t="str">
            <v>00013</v>
          </cell>
          <cell r="B557" t="str">
            <v>Southwestern Public Service Co</v>
          </cell>
          <cell r="C557" t="str">
            <v>723835</v>
          </cell>
          <cell r="D557" t="str">
            <v>OUT - Civic &amp; Political</v>
          </cell>
          <cell r="E557">
            <v>-6164.81</v>
          </cell>
        </row>
        <row r="558">
          <cell r="A558" t="str">
            <v>00013</v>
          </cell>
          <cell r="B558" t="str">
            <v>Southwestern Public Service Co</v>
          </cell>
          <cell r="C558" t="str">
            <v>723845</v>
          </cell>
          <cell r="D558" t="str">
            <v>Directors Fees</v>
          </cell>
          <cell r="E558">
            <v>-189764.92</v>
          </cell>
        </row>
        <row r="559">
          <cell r="A559" t="str">
            <v>00013</v>
          </cell>
          <cell r="B559" t="str">
            <v>Southwestern Public Service Co</v>
          </cell>
          <cell r="C559" t="str">
            <v>723845</v>
          </cell>
          <cell r="D559" t="str">
            <v>IND-INDectors Fees</v>
          </cell>
          <cell r="E559">
            <v>205547.7</v>
          </cell>
        </row>
        <row r="560">
          <cell r="A560" t="str">
            <v>00013</v>
          </cell>
          <cell r="B560" t="str">
            <v>Southwestern Public Service Co</v>
          </cell>
          <cell r="C560" t="str">
            <v>723850</v>
          </cell>
          <cell r="D560" t="str">
            <v>IND-Social Service Dues</v>
          </cell>
          <cell r="E560">
            <v>20.2</v>
          </cell>
        </row>
        <row r="561">
          <cell r="A561" t="str">
            <v>00013</v>
          </cell>
          <cell r="B561" t="str">
            <v>Southwestern Public Service Co</v>
          </cell>
          <cell r="C561" t="str">
            <v>723850</v>
          </cell>
          <cell r="D561" t="str">
            <v>Social Service Dues</v>
          </cell>
          <cell r="E561">
            <v>26360.55</v>
          </cell>
        </row>
        <row r="562">
          <cell r="A562" t="str">
            <v>00013</v>
          </cell>
          <cell r="B562" t="str">
            <v>Southwestern Public Service Co</v>
          </cell>
          <cell r="C562" t="str">
            <v>723854</v>
          </cell>
          <cell r="D562" t="str">
            <v>IND-Deductions-Corp Tickets</v>
          </cell>
          <cell r="E562">
            <v>187.84</v>
          </cell>
        </row>
        <row r="563">
          <cell r="A563" t="str">
            <v>00013</v>
          </cell>
          <cell r="B563" t="str">
            <v>Southwestern Public Service Co</v>
          </cell>
          <cell r="C563" t="str">
            <v>723855</v>
          </cell>
          <cell r="D563" t="str">
            <v>IND- Other Deductions</v>
          </cell>
          <cell r="E563">
            <v>55172.29</v>
          </cell>
        </row>
        <row r="564">
          <cell r="A564" t="str">
            <v>00013</v>
          </cell>
          <cell r="B564" t="str">
            <v>Southwestern Public Service Co</v>
          </cell>
          <cell r="C564" t="str">
            <v>723875</v>
          </cell>
          <cell r="D564" t="str">
            <v>DIR - Reg Fees-Direct</v>
          </cell>
          <cell r="E564">
            <v>77998.25</v>
          </cell>
        </row>
        <row r="565">
          <cell r="A565" t="str">
            <v>00013</v>
          </cell>
          <cell r="B565" t="str">
            <v>Southwestern Public Service Co</v>
          </cell>
          <cell r="C565" t="str">
            <v>723875</v>
          </cell>
          <cell r="D565" t="str">
            <v>OUT - Reg Fees-Direct</v>
          </cell>
          <cell r="E565">
            <v>-72998.25</v>
          </cell>
        </row>
        <row r="566">
          <cell r="A566" t="str">
            <v>00013</v>
          </cell>
          <cell r="B566" t="str">
            <v>Southwestern Public Service Co</v>
          </cell>
          <cell r="C566" t="str">
            <v>723875</v>
          </cell>
          <cell r="D566" t="str">
            <v>Regulatory Fees-Direct</v>
          </cell>
          <cell r="E566">
            <v>717763.42</v>
          </cell>
        </row>
        <row r="567">
          <cell r="A567" t="str">
            <v>00013</v>
          </cell>
          <cell r="B567" t="str">
            <v>Southwestern Public Service Co</v>
          </cell>
          <cell r="C567" t="str">
            <v>723876</v>
          </cell>
          <cell r="D567" t="str">
            <v>Regulatory Fees - Indirect</v>
          </cell>
          <cell r="E567">
            <v>978394.25</v>
          </cell>
        </row>
        <row r="568">
          <cell r="A568" t="str">
            <v>00013</v>
          </cell>
          <cell r="B568" t="str">
            <v>Southwestern Public Service Co</v>
          </cell>
          <cell r="C568" t="str">
            <v>723895</v>
          </cell>
          <cell r="D568" t="str">
            <v>DIR-License Fees &amp; Permits</v>
          </cell>
          <cell r="E568">
            <v>73746.94</v>
          </cell>
        </row>
        <row r="569">
          <cell r="A569" t="str">
            <v>00013</v>
          </cell>
          <cell r="B569" t="str">
            <v>Southwestern Public Service Co</v>
          </cell>
          <cell r="C569" t="str">
            <v>723895</v>
          </cell>
          <cell r="D569" t="str">
            <v>IND-License Fees &amp; Perm</v>
          </cell>
          <cell r="E569">
            <v>2994.22</v>
          </cell>
        </row>
        <row r="570">
          <cell r="A570" t="str">
            <v>00013</v>
          </cell>
          <cell r="B570" t="str">
            <v>Southwestern Public Service Co</v>
          </cell>
          <cell r="C570" t="str">
            <v>723895</v>
          </cell>
          <cell r="D570" t="str">
            <v>License Fees &amp; Permits</v>
          </cell>
          <cell r="E570">
            <v>2115677.87</v>
          </cell>
        </row>
        <row r="571">
          <cell r="A571" t="str">
            <v>00013</v>
          </cell>
          <cell r="B571" t="str">
            <v>Southwestern Public Service Co</v>
          </cell>
          <cell r="C571" t="str">
            <v>723895</v>
          </cell>
          <cell r="D571" t="str">
            <v>OUT-License Fees &amp; Permits</v>
          </cell>
          <cell r="E571">
            <v>-7642.39</v>
          </cell>
        </row>
        <row r="572">
          <cell r="A572" t="str">
            <v>00013</v>
          </cell>
          <cell r="B572" t="str">
            <v>Southwestern Public Service Co</v>
          </cell>
          <cell r="C572" t="str">
            <v>723897</v>
          </cell>
          <cell r="D572" t="str">
            <v>Penalties</v>
          </cell>
          <cell r="E572">
            <v>-80252.91</v>
          </cell>
        </row>
        <row r="573">
          <cell r="A573" t="str">
            <v>00013</v>
          </cell>
          <cell r="B573" t="str">
            <v>Southwestern Public Service Co</v>
          </cell>
          <cell r="C573" t="str">
            <v>724000</v>
          </cell>
          <cell r="D573" t="str">
            <v>Resale Wheeling-Long Term</v>
          </cell>
          <cell r="E573">
            <v>0</v>
          </cell>
        </row>
        <row r="574">
          <cell r="A574" t="str">
            <v>00013</v>
          </cell>
          <cell r="B574" t="str">
            <v>Southwestern Public Service Co</v>
          </cell>
          <cell r="C574" t="str">
            <v>724010</v>
          </cell>
          <cell r="D574" t="str">
            <v>System Wheeling</v>
          </cell>
          <cell r="E574">
            <v>0</v>
          </cell>
        </row>
        <row r="575">
          <cell r="A575" t="str">
            <v>00013</v>
          </cell>
          <cell r="B575" t="str">
            <v>Southwestern Public Service Co</v>
          </cell>
          <cell r="C575" t="str">
            <v>724100</v>
          </cell>
          <cell r="D575" t="str">
            <v>DIR-Misc O&amp;M Credits</v>
          </cell>
          <cell r="E575">
            <v>-4114.75</v>
          </cell>
        </row>
        <row r="576">
          <cell r="A576" t="str">
            <v>00013</v>
          </cell>
          <cell r="B576" t="str">
            <v>Southwestern Public Service Co</v>
          </cell>
          <cell r="C576" t="str">
            <v>724100</v>
          </cell>
          <cell r="D576" t="str">
            <v>IND-Misc O&amp;M Credits</v>
          </cell>
          <cell r="E576">
            <v>3.63</v>
          </cell>
        </row>
        <row r="577">
          <cell r="A577" t="str">
            <v>00013</v>
          </cell>
          <cell r="B577" t="str">
            <v>Southwestern Public Service Co</v>
          </cell>
          <cell r="C577" t="str">
            <v>724100</v>
          </cell>
          <cell r="D577" t="str">
            <v>Misc O&amp;M Credits</v>
          </cell>
          <cell r="E577">
            <v>22126.71</v>
          </cell>
        </row>
        <row r="578">
          <cell r="A578" t="str">
            <v>00013</v>
          </cell>
          <cell r="B578" t="str">
            <v>Southwestern Public Service Co</v>
          </cell>
          <cell r="C578" t="str">
            <v>724100</v>
          </cell>
          <cell r="D578" t="str">
            <v>OUT-Misc O&amp;M Credits</v>
          </cell>
          <cell r="E578">
            <v>324.73</v>
          </cell>
        </row>
        <row r="579">
          <cell r="A579" t="str">
            <v>00013</v>
          </cell>
          <cell r="B579" t="str">
            <v>Southwestern Public Service Co</v>
          </cell>
          <cell r="C579" t="str">
            <v>724500</v>
          </cell>
          <cell r="D579" t="str">
            <v>Shared Costs</v>
          </cell>
          <cell r="E579">
            <v>4515675.87</v>
          </cell>
        </row>
        <row r="580">
          <cell r="A580" t="str">
            <v>00013</v>
          </cell>
          <cell r="B580" t="str">
            <v>Southwestern Public Service Co</v>
          </cell>
          <cell r="C580" t="str">
            <v>725000</v>
          </cell>
          <cell r="D580" t="str">
            <v>DIR-Other</v>
          </cell>
          <cell r="E580">
            <v>397030.13</v>
          </cell>
        </row>
        <row r="581">
          <cell r="A581" t="str">
            <v>00013</v>
          </cell>
          <cell r="B581" t="str">
            <v>Southwestern Public Service Co</v>
          </cell>
          <cell r="C581" t="str">
            <v>725000</v>
          </cell>
          <cell r="D581" t="str">
            <v>IND-Other</v>
          </cell>
          <cell r="E581">
            <v>1236196.3799999999</v>
          </cell>
        </row>
        <row r="582">
          <cell r="A582" t="str">
            <v>00013</v>
          </cell>
          <cell r="B582" t="str">
            <v>Southwestern Public Service Co</v>
          </cell>
          <cell r="C582" t="str">
            <v>725000</v>
          </cell>
          <cell r="D582" t="str">
            <v>OUT-Other</v>
          </cell>
          <cell r="E582">
            <v>-13756.84</v>
          </cell>
        </row>
        <row r="583">
          <cell r="A583" t="str">
            <v>00013</v>
          </cell>
          <cell r="B583" t="str">
            <v>Southwestern Public Service Co</v>
          </cell>
          <cell r="C583" t="str">
            <v>725000</v>
          </cell>
          <cell r="D583" t="str">
            <v>Other</v>
          </cell>
          <cell r="E583">
            <v>1616737.74</v>
          </cell>
        </row>
        <row r="584">
          <cell r="A584" t="str">
            <v>00013</v>
          </cell>
          <cell r="B584" t="str">
            <v>Southwestern Public Service Co</v>
          </cell>
          <cell r="C584" t="str">
            <v>730390</v>
          </cell>
          <cell r="D584" t="str">
            <v>CWIP Productive Labor</v>
          </cell>
          <cell r="E584">
            <v>10581259.76</v>
          </cell>
        </row>
        <row r="585">
          <cell r="A585" t="str">
            <v>00013</v>
          </cell>
          <cell r="B585" t="str">
            <v>Southwestern Public Service Co</v>
          </cell>
          <cell r="C585" t="str">
            <v>730400</v>
          </cell>
          <cell r="D585" t="str">
            <v>CWIP Loading-NonProductive</v>
          </cell>
          <cell r="E585">
            <v>1912584.39</v>
          </cell>
        </row>
        <row r="586">
          <cell r="A586" t="str">
            <v>00013</v>
          </cell>
          <cell r="B586" t="str">
            <v>Southwestern Public Service Co</v>
          </cell>
          <cell r="C586" t="str">
            <v>730400</v>
          </cell>
          <cell r="D586" t="str">
            <v>IND-CWIP Loading-NonProductive</v>
          </cell>
          <cell r="E586">
            <v>297737.57</v>
          </cell>
        </row>
        <row r="587">
          <cell r="A587" t="str">
            <v>00013</v>
          </cell>
          <cell r="B587" t="str">
            <v>Southwestern Public Service Co</v>
          </cell>
          <cell r="C587" t="str">
            <v>730500</v>
          </cell>
          <cell r="D587" t="str">
            <v>CWIP Loading-Pension</v>
          </cell>
          <cell r="E587">
            <v>4438148.63</v>
          </cell>
        </row>
        <row r="588">
          <cell r="A588" t="str">
            <v>00013</v>
          </cell>
          <cell r="B588" t="str">
            <v>Southwestern Public Service Co</v>
          </cell>
          <cell r="C588" t="str">
            <v>730600</v>
          </cell>
          <cell r="D588" t="str">
            <v>CWIP Loading-Insurance</v>
          </cell>
          <cell r="E588">
            <v>-12070.45</v>
          </cell>
        </row>
        <row r="589">
          <cell r="A589" t="str">
            <v>00013</v>
          </cell>
          <cell r="B589" t="str">
            <v>Southwestern Public Service Co</v>
          </cell>
          <cell r="C589" t="str">
            <v>730700</v>
          </cell>
          <cell r="D589" t="str">
            <v>CWIP Loading-Taxes</v>
          </cell>
          <cell r="E589">
            <v>1085994.67</v>
          </cell>
        </row>
        <row r="590">
          <cell r="A590" t="str">
            <v>00013</v>
          </cell>
          <cell r="B590" t="str">
            <v>Southwestern Public Service Co</v>
          </cell>
          <cell r="C590" t="str">
            <v>730800</v>
          </cell>
          <cell r="D590" t="str">
            <v>CWIP PITS Translation</v>
          </cell>
          <cell r="E590">
            <v>-385.5</v>
          </cell>
        </row>
        <row r="591">
          <cell r="A591" t="str">
            <v>00013</v>
          </cell>
          <cell r="B591" t="str">
            <v>Southwestern Public Service Co</v>
          </cell>
          <cell r="C591" t="str">
            <v>731100</v>
          </cell>
          <cell r="D591" t="str">
            <v>CWIP Overtime Labor</v>
          </cell>
          <cell r="E591">
            <v>1535701.23</v>
          </cell>
        </row>
        <row r="592">
          <cell r="A592" t="str">
            <v>00013</v>
          </cell>
          <cell r="B592" t="str">
            <v>Southwestern Public Service Co</v>
          </cell>
          <cell r="C592" t="str">
            <v>731200</v>
          </cell>
          <cell r="D592" t="str">
            <v>CWIP Other Compensation</v>
          </cell>
          <cell r="E592">
            <v>0</v>
          </cell>
        </row>
        <row r="593">
          <cell r="A593" t="str">
            <v>00013</v>
          </cell>
          <cell r="B593" t="str">
            <v>Southwestern Public Service Co</v>
          </cell>
          <cell r="C593" t="str">
            <v>731500</v>
          </cell>
          <cell r="D593" t="str">
            <v>CWIP Contract Labor</v>
          </cell>
          <cell r="E593">
            <v>1132466.06</v>
          </cell>
        </row>
        <row r="594">
          <cell r="A594" t="str">
            <v>00013</v>
          </cell>
          <cell r="B594" t="str">
            <v>Southwestern Public Service Co</v>
          </cell>
          <cell r="C594" t="str">
            <v>731700</v>
          </cell>
          <cell r="D594" t="str">
            <v>CWIP Consulting &amp; Outsde Vndrs</v>
          </cell>
          <cell r="E594">
            <v>27851262.989999998</v>
          </cell>
        </row>
        <row r="595">
          <cell r="A595" t="str">
            <v>00013</v>
          </cell>
          <cell r="B595" t="str">
            <v>Southwestern Public Service Co</v>
          </cell>
          <cell r="C595" t="str">
            <v>731700</v>
          </cell>
          <cell r="D595" t="str">
            <v>Consulting &amp; Outside Vendors</v>
          </cell>
          <cell r="E595">
            <v>722090.51</v>
          </cell>
        </row>
        <row r="596">
          <cell r="A596" t="str">
            <v>00013</v>
          </cell>
          <cell r="B596" t="str">
            <v>Southwestern Public Service Co</v>
          </cell>
          <cell r="C596" t="str">
            <v>731700</v>
          </cell>
          <cell r="D596" t="str">
            <v>IND-CWIP Cnsltng &amp; Outsde Vndr</v>
          </cell>
          <cell r="E596">
            <v>-72.52</v>
          </cell>
        </row>
        <row r="597">
          <cell r="A597" t="str">
            <v>00013</v>
          </cell>
          <cell r="B597" t="str">
            <v>Southwestern Public Service Co</v>
          </cell>
          <cell r="C597" t="str">
            <v>731800</v>
          </cell>
          <cell r="D597" t="str">
            <v>CWIP Materials</v>
          </cell>
          <cell r="E597">
            <v>53123174.149999999</v>
          </cell>
        </row>
        <row r="598">
          <cell r="A598" t="str">
            <v>00013</v>
          </cell>
          <cell r="B598" t="str">
            <v>Southwestern Public Service Co</v>
          </cell>
          <cell r="C598" t="str">
            <v>731800</v>
          </cell>
          <cell r="D598" t="str">
            <v>IND-CWIP Materials</v>
          </cell>
          <cell r="E598">
            <v>3650.22</v>
          </cell>
        </row>
        <row r="599">
          <cell r="A599" t="str">
            <v>00013</v>
          </cell>
          <cell r="B599" t="str">
            <v>Southwestern Public Service Co</v>
          </cell>
          <cell r="C599" t="str">
            <v>731800</v>
          </cell>
          <cell r="D599" t="str">
            <v>Materials</v>
          </cell>
          <cell r="E599">
            <v>751200.54</v>
          </cell>
        </row>
        <row r="600">
          <cell r="A600" t="str">
            <v>00013</v>
          </cell>
          <cell r="B600" t="str">
            <v>Southwestern Public Service Co</v>
          </cell>
          <cell r="C600" t="str">
            <v>732200</v>
          </cell>
          <cell r="D600" t="str">
            <v>CWIP IT Hardware Purchases</v>
          </cell>
          <cell r="E600">
            <v>301675.52000000002</v>
          </cell>
        </row>
        <row r="601">
          <cell r="A601" t="str">
            <v>00013</v>
          </cell>
          <cell r="B601" t="str">
            <v>Southwestern Public Service Co</v>
          </cell>
          <cell r="C601" t="str">
            <v>732200</v>
          </cell>
          <cell r="D601" t="str">
            <v>CWIP IT Harware Purchases</v>
          </cell>
          <cell r="E601">
            <v>30906.959999999999</v>
          </cell>
        </row>
        <row r="602">
          <cell r="A602" t="str">
            <v>00013</v>
          </cell>
          <cell r="B602" t="str">
            <v>Southwestern Public Service Co</v>
          </cell>
          <cell r="C602" t="str">
            <v>732200</v>
          </cell>
          <cell r="D602" t="str">
            <v>IND-CWIP IT Hardware Purchases</v>
          </cell>
          <cell r="E602">
            <v>602.96</v>
          </cell>
        </row>
        <row r="603">
          <cell r="A603" t="str">
            <v>00013</v>
          </cell>
          <cell r="B603" t="str">
            <v>Southwestern Public Service Co</v>
          </cell>
          <cell r="C603" t="str">
            <v>732200</v>
          </cell>
          <cell r="D603" t="str">
            <v>IND-CWIP IT Harware Purchases</v>
          </cell>
          <cell r="E603">
            <v>36660.559999999998</v>
          </cell>
        </row>
        <row r="604">
          <cell r="A604" t="str">
            <v>00013</v>
          </cell>
          <cell r="B604" t="str">
            <v>Southwestern Public Service Co</v>
          </cell>
          <cell r="C604" t="str">
            <v>732300</v>
          </cell>
          <cell r="D604" t="str">
            <v>CWIP Software Purchases</v>
          </cell>
          <cell r="E604">
            <v>752466.01</v>
          </cell>
        </row>
        <row r="605">
          <cell r="A605" t="str">
            <v>00013</v>
          </cell>
          <cell r="B605" t="str">
            <v>Southwestern Public Service Co</v>
          </cell>
          <cell r="C605" t="str">
            <v>732300</v>
          </cell>
          <cell r="D605" t="str">
            <v>IND-CWIP Software Purchases</v>
          </cell>
          <cell r="E605">
            <v>-517.4</v>
          </cell>
        </row>
        <row r="606">
          <cell r="A606" t="str">
            <v>00013</v>
          </cell>
          <cell r="B606" t="str">
            <v>Southwestern Public Service Co</v>
          </cell>
          <cell r="C606" t="str">
            <v>732390</v>
          </cell>
          <cell r="D606" t="str">
            <v>CWIP Other I/T</v>
          </cell>
          <cell r="E606">
            <v>0</v>
          </cell>
        </row>
        <row r="607">
          <cell r="A607" t="str">
            <v>00013</v>
          </cell>
          <cell r="B607" t="str">
            <v>Southwestern Public Service Co</v>
          </cell>
          <cell r="C607" t="str">
            <v>732400</v>
          </cell>
          <cell r="D607" t="str">
            <v>CWIP Employee Expenses</v>
          </cell>
          <cell r="E607">
            <v>718844.06</v>
          </cell>
        </row>
        <row r="608">
          <cell r="A608" t="str">
            <v>00013</v>
          </cell>
          <cell r="B608" t="str">
            <v>Southwestern Public Service Co</v>
          </cell>
          <cell r="C608" t="str">
            <v>732400</v>
          </cell>
          <cell r="D608" t="str">
            <v>Employee Expenses</v>
          </cell>
          <cell r="E608">
            <v>11265.98</v>
          </cell>
        </row>
        <row r="609">
          <cell r="A609" t="str">
            <v>00013</v>
          </cell>
          <cell r="B609" t="str">
            <v>Southwestern Public Service Co</v>
          </cell>
          <cell r="C609" t="str">
            <v>732400</v>
          </cell>
          <cell r="D609" t="str">
            <v>IND-CWIP Employee Expenses</v>
          </cell>
          <cell r="E609">
            <v>18869.13</v>
          </cell>
        </row>
        <row r="610">
          <cell r="A610" t="str">
            <v>00013</v>
          </cell>
          <cell r="B610" t="str">
            <v>Southwestern Public Service Co</v>
          </cell>
          <cell r="C610" t="str">
            <v>732700</v>
          </cell>
          <cell r="D610" t="str">
            <v>CWIP Transportation Fleet Cost</v>
          </cell>
          <cell r="E610">
            <v>2893830.26</v>
          </cell>
        </row>
        <row r="611">
          <cell r="A611" t="str">
            <v>00013</v>
          </cell>
          <cell r="B611" t="str">
            <v>Southwestern Public Service Co</v>
          </cell>
          <cell r="C611" t="str">
            <v>732700</v>
          </cell>
          <cell r="D611" t="str">
            <v>IND-CWIP Trans Fleet Cost</v>
          </cell>
          <cell r="E611">
            <v>62.76</v>
          </cell>
        </row>
        <row r="612">
          <cell r="A612" t="str">
            <v>00013</v>
          </cell>
          <cell r="B612" t="str">
            <v>Southwestern Public Service Co</v>
          </cell>
          <cell r="C612" t="str">
            <v>732700</v>
          </cell>
          <cell r="D612" t="str">
            <v>Transportation Fleet Cost</v>
          </cell>
          <cell r="E612">
            <v>18.18</v>
          </cell>
        </row>
        <row r="613">
          <cell r="A613" t="str">
            <v>00013</v>
          </cell>
          <cell r="B613" t="str">
            <v>Southwestern Public Service Co</v>
          </cell>
          <cell r="C613" t="str">
            <v>733000</v>
          </cell>
          <cell r="D613" t="str">
            <v>CWIP Rents Equipment</v>
          </cell>
          <cell r="E613">
            <v>109967.47</v>
          </cell>
        </row>
        <row r="614">
          <cell r="A614" t="str">
            <v>00013</v>
          </cell>
          <cell r="B614" t="str">
            <v>Southwestern Public Service Co</v>
          </cell>
          <cell r="C614" t="str">
            <v>733000</v>
          </cell>
          <cell r="D614" t="str">
            <v>Equipment</v>
          </cell>
          <cell r="E614">
            <v>5312.5</v>
          </cell>
        </row>
        <row r="615">
          <cell r="A615" t="str">
            <v>00013</v>
          </cell>
          <cell r="B615" t="str">
            <v>Southwestern Public Service Co</v>
          </cell>
          <cell r="C615" t="str">
            <v>733000</v>
          </cell>
          <cell r="D615" t="str">
            <v>IND-CWIP Rents Equipment</v>
          </cell>
          <cell r="E615">
            <v>1022.55</v>
          </cell>
        </row>
        <row r="616">
          <cell r="A616" t="str">
            <v>00013</v>
          </cell>
          <cell r="B616" t="str">
            <v>Southwestern Public Service Co</v>
          </cell>
          <cell r="C616" t="str">
            <v>733100</v>
          </cell>
          <cell r="D616" t="str">
            <v>CWIP Rents Other</v>
          </cell>
          <cell r="E616">
            <v>1474514.2</v>
          </cell>
        </row>
        <row r="617">
          <cell r="A617" t="str">
            <v>00013</v>
          </cell>
          <cell r="B617" t="str">
            <v>Southwestern Public Service Co</v>
          </cell>
          <cell r="C617" t="str">
            <v>733100</v>
          </cell>
          <cell r="D617" t="str">
            <v>IND-CWIP Rents Other</v>
          </cell>
          <cell r="E617">
            <v>4923.22</v>
          </cell>
        </row>
        <row r="618">
          <cell r="A618" t="str">
            <v>00013</v>
          </cell>
          <cell r="B618" t="str">
            <v>Southwestern Public Service Co</v>
          </cell>
          <cell r="C618" t="str">
            <v>733200</v>
          </cell>
          <cell r="D618" t="str">
            <v>CWIP Overheads</v>
          </cell>
          <cell r="E618">
            <v>3352840.15</v>
          </cell>
        </row>
        <row r="619">
          <cell r="A619" t="str">
            <v>00013</v>
          </cell>
          <cell r="B619" t="str">
            <v>Southwestern Public Service Co</v>
          </cell>
          <cell r="C619" t="str">
            <v>733300</v>
          </cell>
          <cell r="D619" t="str">
            <v>CWIP Other</v>
          </cell>
          <cell r="E619">
            <v>-119805850.95999999</v>
          </cell>
        </row>
        <row r="620">
          <cell r="A620" t="str">
            <v>00013</v>
          </cell>
          <cell r="B620" t="str">
            <v>Southwestern Public Service Co</v>
          </cell>
          <cell r="C620" t="str">
            <v>733300</v>
          </cell>
          <cell r="D620" t="str">
            <v>IND-CWIP Other</v>
          </cell>
          <cell r="E620">
            <v>932.54</v>
          </cell>
        </row>
        <row r="621">
          <cell r="A621" t="str">
            <v>00013</v>
          </cell>
          <cell r="B621" t="str">
            <v>Southwestern Public Service Co</v>
          </cell>
          <cell r="C621" t="str">
            <v>733300</v>
          </cell>
          <cell r="D621" t="str">
            <v>Other</v>
          </cell>
          <cell r="E621">
            <v>773.6</v>
          </cell>
        </row>
        <row r="622">
          <cell r="A622" t="str">
            <v>00013</v>
          </cell>
          <cell r="B622" t="str">
            <v>Southwestern Public Service Co</v>
          </cell>
          <cell r="C622" t="str">
            <v>733400</v>
          </cell>
          <cell r="D622" t="str">
            <v>Contribution in Aid of Constr</v>
          </cell>
          <cell r="E622">
            <v>-2058372.36</v>
          </cell>
        </row>
        <row r="623">
          <cell r="A623" t="str">
            <v>00013</v>
          </cell>
          <cell r="B623" t="str">
            <v>Southwestern Public Service Co</v>
          </cell>
          <cell r="C623" t="str">
            <v>733500</v>
          </cell>
          <cell r="D623" t="str">
            <v>Allowance for Funds-Const</v>
          </cell>
          <cell r="E623">
            <v>4358973.82</v>
          </cell>
        </row>
        <row r="624">
          <cell r="A624" t="str">
            <v>00013</v>
          </cell>
          <cell r="B624" t="str">
            <v>Southwestern Public Service Co</v>
          </cell>
          <cell r="C624" t="str">
            <v>733999</v>
          </cell>
          <cell r="D624" t="str">
            <v>CWIP Clearing</v>
          </cell>
          <cell r="E624">
            <v>4367261.04</v>
          </cell>
        </row>
        <row r="625">
          <cell r="A625" t="str">
            <v>00013</v>
          </cell>
          <cell r="B625" t="str">
            <v>Southwestern Public Service Co</v>
          </cell>
          <cell r="C625" t="str">
            <v>740399</v>
          </cell>
          <cell r="D625" t="str">
            <v>RWIP Productive Labor</v>
          </cell>
          <cell r="E625">
            <v>1083755.6599999999</v>
          </cell>
        </row>
        <row r="626">
          <cell r="A626" t="str">
            <v>00013</v>
          </cell>
          <cell r="B626" t="str">
            <v>Southwestern Public Service Co</v>
          </cell>
          <cell r="C626" t="str">
            <v>740400</v>
          </cell>
          <cell r="D626" t="str">
            <v>RWIP Loading-NonProductive</v>
          </cell>
          <cell r="E626">
            <v>186969.60000000001</v>
          </cell>
        </row>
        <row r="627">
          <cell r="A627" t="str">
            <v>00013</v>
          </cell>
          <cell r="B627" t="str">
            <v>Southwestern Public Service Co</v>
          </cell>
          <cell r="C627" t="str">
            <v>740500</v>
          </cell>
          <cell r="D627" t="str">
            <v>RWIP Loading-Pension</v>
          </cell>
          <cell r="E627">
            <v>428901.4</v>
          </cell>
        </row>
        <row r="628">
          <cell r="A628" t="str">
            <v>00013</v>
          </cell>
          <cell r="B628" t="str">
            <v>Southwestern Public Service Co</v>
          </cell>
          <cell r="C628" t="str">
            <v>740600</v>
          </cell>
          <cell r="D628" t="str">
            <v>RWIP Loading-Insurance</v>
          </cell>
          <cell r="E628">
            <v>6934.4</v>
          </cell>
        </row>
        <row r="629">
          <cell r="A629" t="str">
            <v>00013</v>
          </cell>
          <cell r="B629" t="str">
            <v>Southwestern Public Service Co</v>
          </cell>
          <cell r="C629" t="str">
            <v>740700</v>
          </cell>
          <cell r="D629" t="str">
            <v>RWIP Loading-Taxes</v>
          </cell>
          <cell r="E629">
            <v>108315.65</v>
          </cell>
        </row>
        <row r="630">
          <cell r="A630" t="str">
            <v>00013</v>
          </cell>
          <cell r="B630" t="str">
            <v>Southwestern Public Service Co</v>
          </cell>
          <cell r="C630" t="str">
            <v>741100</v>
          </cell>
          <cell r="D630" t="str">
            <v>RWIP Overtime Labor</v>
          </cell>
          <cell r="E630">
            <v>204615.04000000001</v>
          </cell>
        </row>
        <row r="631">
          <cell r="A631" t="str">
            <v>00013</v>
          </cell>
          <cell r="B631" t="str">
            <v>Southwestern Public Service Co</v>
          </cell>
          <cell r="C631" t="str">
            <v>741500</v>
          </cell>
          <cell r="D631" t="str">
            <v>RWIP Contract Labor</v>
          </cell>
          <cell r="E631">
            <v>268310.28999999998</v>
          </cell>
        </row>
        <row r="632">
          <cell r="A632" t="str">
            <v>00013</v>
          </cell>
          <cell r="B632" t="str">
            <v>Southwestern Public Service Co</v>
          </cell>
          <cell r="C632" t="str">
            <v>741800</v>
          </cell>
          <cell r="D632" t="str">
            <v>RWIP Materials</v>
          </cell>
          <cell r="E632">
            <v>512380.32</v>
          </cell>
        </row>
        <row r="633">
          <cell r="A633" t="str">
            <v>00013</v>
          </cell>
          <cell r="B633" t="str">
            <v>Southwestern Public Service Co</v>
          </cell>
          <cell r="C633" t="str">
            <v>742400</v>
          </cell>
          <cell r="D633" t="str">
            <v>RWIP Employee Expenses</v>
          </cell>
          <cell r="E633">
            <v>19279.98</v>
          </cell>
        </row>
        <row r="634">
          <cell r="A634" t="str">
            <v>00013</v>
          </cell>
          <cell r="B634" t="str">
            <v>Southwestern Public Service Co</v>
          </cell>
          <cell r="C634" t="str">
            <v>742700</v>
          </cell>
          <cell r="D634" t="str">
            <v>RWIP Transp Fleet Cost</v>
          </cell>
          <cell r="E634">
            <v>392879.96</v>
          </cell>
        </row>
        <row r="635">
          <cell r="A635" t="str">
            <v>00013</v>
          </cell>
          <cell r="B635" t="str">
            <v>Southwestern Public Service Co</v>
          </cell>
          <cell r="C635" t="str">
            <v>742900</v>
          </cell>
          <cell r="D635" t="str">
            <v>RWIP Salvage</v>
          </cell>
          <cell r="E635">
            <v>-3059083.21</v>
          </cell>
        </row>
        <row r="636">
          <cell r="A636" t="str">
            <v>00013</v>
          </cell>
          <cell r="B636" t="str">
            <v>Southwestern Public Service Co</v>
          </cell>
          <cell r="C636" t="str">
            <v>743200</v>
          </cell>
          <cell r="D636" t="str">
            <v>RWIP Overheads</v>
          </cell>
          <cell r="E636">
            <v>424801.98</v>
          </cell>
        </row>
        <row r="637">
          <cell r="A637" t="str">
            <v>00013</v>
          </cell>
          <cell r="B637" t="str">
            <v>Southwestern Public Service Co</v>
          </cell>
          <cell r="C637" t="str">
            <v>743300</v>
          </cell>
          <cell r="D637" t="str">
            <v>RWIP Other</v>
          </cell>
          <cell r="E637">
            <v>-1475444.18</v>
          </cell>
        </row>
        <row r="638">
          <cell r="A638" t="str">
            <v>00013</v>
          </cell>
          <cell r="B638" t="str">
            <v>Southwestern Public Service Co</v>
          </cell>
          <cell r="C638" t="str">
            <v>743999</v>
          </cell>
          <cell r="D638" t="str">
            <v>RWIP Clearing</v>
          </cell>
          <cell r="E638">
            <v>897383.11</v>
          </cell>
        </row>
        <row r="639">
          <cell r="A639" t="str">
            <v>00013</v>
          </cell>
          <cell r="B639" t="str">
            <v>Southwestern Public Service Co</v>
          </cell>
          <cell r="C639" t="str">
            <v>745055</v>
          </cell>
          <cell r="D639" t="str">
            <v>DIR-Transportation Labor</v>
          </cell>
          <cell r="E639">
            <v>174267.34</v>
          </cell>
        </row>
        <row r="640">
          <cell r="A640" t="str">
            <v>00013</v>
          </cell>
          <cell r="B640" t="str">
            <v>Southwestern Public Service Co</v>
          </cell>
          <cell r="C640" t="str">
            <v>745055</v>
          </cell>
          <cell r="D640" t="str">
            <v>OUT-Transportation Labor</v>
          </cell>
          <cell r="E640">
            <v>-26534.26</v>
          </cell>
        </row>
        <row r="641">
          <cell r="A641" t="str">
            <v>00013</v>
          </cell>
          <cell r="B641" t="str">
            <v>Southwestern Public Service Co</v>
          </cell>
          <cell r="C641" t="str">
            <v>745055</v>
          </cell>
          <cell r="D641" t="str">
            <v>Transportation Labor</v>
          </cell>
          <cell r="E641">
            <v>1251763.45</v>
          </cell>
        </row>
        <row r="642">
          <cell r="A642" t="str">
            <v>00013</v>
          </cell>
          <cell r="B642" t="str">
            <v>Southwestern Public Service Co</v>
          </cell>
          <cell r="C642" t="str">
            <v>745060</v>
          </cell>
          <cell r="D642" t="str">
            <v>DIR-Transportation Labor Load</v>
          </cell>
          <cell r="E642">
            <v>4208.33</v>
          </cell>
        </row>
        <row r="643">
          <cell r="A643" t="str">
            <v>00013</v>
          </cell>
          <cell r="B643" t="str">
            <v>Southwestern Public Service Co</v>
          </cell>
          <cell r="C643" t="str">
            <v>745060</v>
          </cell>
          <cell r="D643" t="str">
            <v>IND-Transportation Labor</v>
          </cell>
          <cell r="E643">
            <v>16962.02</v>
          </cell>
        </row>
        <row r="644">
          <cell r="A644" t="str">
            <v>00013</v>
          </cell>
          <cell r="B644" t="str">
            <v>Southwestern Public Service Co</v>
          </cell>
          <cell r="C644" t="str">
            <v>745060</v>
          </cell>
          <cell r="D644" t="str">
            <v>OUT-Transportation Labor Load</v>
          </cell>
          <cell r="E644">
            <v>2392.1799999999998</v>
          </cell>
        </row>
        <row r="645">
          <cell r="A645" t="str">
            <v>00013</v>
          </cell>
          <cell r="B645" t="str">
            <v>Southwestern Public Service Co</v>
          </cell>
          <cell r="C645" t="str">
            <v>745060</v>
          </cell>
          <cell r="D645" t="str">
            <v>Transportation Labor Loadings</v>
          </cell>
          <cell r="E645">
            <v>229203.72</v>
          </cell>
        </row>
        <row r="646">
          <cell r="A646" t="str">
            <v>00013</v>
          </cell>
          <cell r="B646" t="str">
            <v>Southwestern Public Service Co</v>
          </cell>
          <cell r="C646" t="str">
            <v>745070</v>
          </cell>
          <cell r="D646" t="str">
            <v>DIR-Transportation Non-Labor</v>
          </cell>
          <cell r="E646">
            <v>673241.68</v>
          </cell>
        </row>
        <row r="647">
          <cell r="A647" t="str">
            <v>00013</v>
          </cell>
          <cell r="B647" t="str">
            <v>Southwestern Public Service Co</v>
          </cell>
          <cell r="C647" t="str">
            <v>745070</v>
          </cell>
          <cell r="D647" t="str">
            <v>IND-Transportation Non-L</v>
          </cell>
          <cell r="E647">
            <v>7341.08</v>
          </cell>
        </row>
        <row r="648">
          <cell r="A648" t="str">
            <v>00013</v>
          </cell>
          <cell r="B648" t="str">
            <v>Southwestern Public Service Co</v>
          </cell>
          <cell r="C648" t="str">
            <v>745070</v>
          </cell>
          <cell r="D648" t="str">
            <v>OUT-Transportation Non-Labor</v>
          </cell>
          <cell r="E648">
            <v>-8316.5300000000007</v>
          </cell>
        </row>
        <row r="649">
          <cell r="A649" t="str">
            <v>00013</v>
          </cell>
          <cell r="B649" t="str">
            <v>Southwestern Public Service Co</v>
          </cell>
          <cell r="C649" t="str">
            <v>745070</v>
          </cell>
          <cell r="D649" t="str">
            <v>Transportation Non-Labor Costs</v>
          </cell>
          <cell r="E649">
            <v>-2591574.34</v>
          </cell>
        </row>
        <row r="650">
          <cell r="A650" t="str">
            <v>00013</v>
          </cell>
          <cell r="B650" t="str">
            <v>Southwestern Public Service Co</v>
          </cell>
          <cell r="C650" t="str">
            <v>745510</v>
          </cell>
          <cell r="D650" t="str">
            <v>DIR-Payroll Related Non-Labor</v>
          </cell>
          <cell r="E650">
            <v>1.5</v>
          </cell>
        </row>
        <row r="651">
          <cell r="A651" t="str">
            <v>00013</v>
          </cell>
          <cell r="B651" t="str">
            <v>Southwestern Public Service Co</v>
          </cell>
          <cell r="C651" t="str">
            <v>745510</v>
          </cell>
          <cell r="D651" t="str">
            <v>IND-Payroll Related Non-Lab</v>
          </cell>
          <cell r="E651">
            <v>0</v>
          </cell>
        </row>
        <row r="652">
          <cell r="A652" t="str">
            <v>00013</v>
          </cell>
          <cell r="B652" t="str">
            <v>Southwestern Public Service Co</v>
          </cell>
          <cell r="C652" t="str">
            <v>745510</v>
          </cell>
          <cell r="D652" t="str">
            <v>Payroll Related Non-Labor Cost</v>
          </cell>
          <cell r="E652">
            <v>1642.7</v>
          </cell>
        </row>
        <row r="653">
          <cell r="A653" t="str">
            <v>00013</v>
          </cell>
          <cell r="B653" t="str">
            <v>Southwestern Public Service Co</v>
          </cell>
          <cell r="C653" t="str">
            <v>745735</v>
          </cell>
          <cell r="D653" t="str">
            <v>DIR-I/T Labor</v>
          </cell>
          <cell r="E653">
            <v>37261.74</v>
          </cell>
        </row>
        <row r="654">
          <cell r="A654" t="str">
            <v>00013</v>
          </cell>
          <cell r="B654" t="str">
            <v>Southwestern Public Service Co</v>
          </cell>
          <cell r="C654" t="str">
            <v>745735</v>
          </cell>
          <cell r="D654" t="str">
            <v>I/T Labor</v>
          </cell>
          <cell r="E654">
            <v>302969.94</v>
          </cell>
        </row>
        <row r="655">
          <cell r="A655" t="str">
            <v>00013</v>
          </cell>
          <cell r="B655" t="str">
            <v>Southwestern Public Service Co</v>
          </cell>
          <cell r="C655" t="str">
            <v>745735</v>
          </cell>
          <cell r="D655" t="str">
            <v>OUT-I/T Labor</v>
          </cell>
          <cell r="E655">
            <v>-512.05999999999995</v>
          </cell>
        </row>
        <row r="656">
          <cell r="A656" t="str">
            <v>00013</v>
          </cell>
          <cell r="B656" t="str">
            <v>Southwestern Public Service Co</v>
          </cell>
          <cell r="C656" t="str">
            <v>745740</v>
          </cell>
          <cell r="D656" t="str">
            <v>DIR-I/T Labor Loadings</v>
          </cell>
          <cell r="E656">
            <v>96.01</v>
          </cell>
        </row>
        <row r="657">
          <cell r="A657" t="str">
            <v>00013</v>
          </cell>
          <cell r="B657" t="str">
            <v>Southwestern Public Service Co</v>
          </cell>
          <cell r="C657" t="str">
            <v>745740</v>
          </cell>
          <cell r="D657" t="str">
            <v>I/T Labor Loadings</v>
          </cell>
          <cell r="E657">
            <v>108239.54</v>
          </cell>
        </row>
        <row r="658">
          <cell r="A658" t="str">
            <v>00013</v>
          </cell>
          <cell r="B658" t="str">
            <v>Southwestern Public Service Co</v>
          </cell>
          <cell r="C658" t="str">
            <v>745740</v>
          </cell>
          <cell r="D658" t="str">
            <v>IND-I/T Labor Loadings</v>
          </cell>
          <cell r="E658">
            <v>2985.94</v>
          </cell>
        </row>
        <row r="659">
          <cell r="A659" t="str">
            <v>00013</v>
          </cell>
          <cell r="B659" t="str">
            <v>Southwestern Public Service Co</v>
          </cell>
          <cell r="C659" t="str">
            <v>745740</v>
          </cell>
          <cell r="D659" t="str">
            <v>OUT-I/T Labor Loadings</v>
          </cell>
          <cell r="E659">
            <v>-96.01</v>
          </cell>
        </row>
        <row r="660">
          <cell r="A660" t="str">
            <v>00013</v>
          </cell>
          <cell r="B660" t="str">
            <v>Southwestern Public Service Co</v>
          </cell>
          <cell r="C660" t="str">
            <v>745750</v>
          </cell>
          <cell r="D660" t="str">
            <v>DIR-I/T Non-Labor Costs</v>
          </cell>
          <cell r="E660">
            <v>-33783.75</v>
          </cell>
        </row>
        <row r="661">
          <cell r="A661" t="str">
            <v>00013</v>
          </cell>
          <cell r="B661" t="str">
            <v>Southwestern Public Service Co</v>
          </cell>
          <cell r="C661" t="str">
            <v>745750</v>
          </cell>
          <cell r="D661" t="str">
            <v>I/T Non-Labor Costs</v>
          </cell>
          <cell r="E661">
            <v>-852325.22</v>
          </cell>
        </row>
        <row r="662">
          <cell r="A662" t="str">
            <v>00013</v>
          </cell>
          <cell r="B662" t="str">
            <v>Southwestern Public Service Co</v>
          </cell>
          <cell r="C662" t="str">
            <v>745750</v>
          </cell>
          <cell r="D662" t="str">
            <v>OUT-I/T Non-Labor Costs</v>
          </cell>
          <cell r="E662">
            <v>608.07000000000005</v>
          </cell>
        </row>
        <row r="663">
          <cell r="A663" t="str">
            <v>00013</v>
          </cell>
          <cell r="B663" t="str">
            <v>Southwestern Public Service Co</v>
          </cell>
          <cell r="C663" t="str">
            <v>746290</v>
          </cell>
          <cell r="D663" t="str">
            <v>DIR-Purchasing NonLabor</v>
          </cell>
          <cell r="E663">
            <v>0</v>
          </cell>
        </row>
        <row r="664">
          <cell r="A664" t="str">
            <v>00013</v>
          </cell>
          <cell r="B664" t="str">
            <v>Southwestern Public Service Co</v>
          </cell>
          <cell r="C664" t="str">
            <v>746302</v>
          </cell>
          <cell r="D664" t="str">
            <v>DIR-Warehousing Labor</v>
          </cell>
          <cell r="E664">
            <v>828111.69</v>
          </cell>
        </row>
        <row r="665">
          <cell r="A665" t="str">
            <v>00013</v>
          </cell>
          <cell r="B665" t="str">
            <v>Southwestern Public Service Co</v>
          </cell>
          <cell r="C665" t="str">
            <v>746302</v>
          </cell>
          <cell r="D665" t="str">
            <v>OUT-Warehousing Labor</v>
          </cell>
          <cell r="E665">
            <v>-98227.82</v>
          </cell>
        </row>
        <row r="666">
          <cell r="A666" t="str">
            <v>00013</v>
          </cell>
          <cell r="B666" t="str">
            <v>Southwestern Public Service Co</v>
          </cell>
          <cell r="C666" t="str">
            <v>746302</v>
          </cell>
          <cell r="D666" t="str">
            <v>Warehousing Labor</v>
          </cell>
          <cell r="E666">
            <v>1506803.27</v>
          </cell>
        </row>
        <row r="667">
          <cell r="A667" t="str">
            <v>00013</v>
          </cell>
          <cell r="B667" t="str">
            <v>Southwestern Public Service Co</v>
          </cell>
          <cell r="C667" t="str">
            <v>746305</v>
          </cell>
          <cell r="D667" t="str">
            <v>DIR-Stores Labor Cost Loading</v>
          </cell>
          <cell r="E667">
            <v>61412.959999999999</v>
          </cell>
        </row>
        <row r="668">
          <cell r="A668" t="str">
            <v>00013</v>
          </cell>
          <cell r="B668" t="str">
            <v>Southwestern Public Service Co</v>
          </cell>
          <cell r="C668" t="str">
            <v>746305</v>
          </cell>
          <cell r="D668" t="str">
            <v>IND-Stores Labor Cost Lo</v>
          </cell>
          <cell r="E668">
            <v>72139.59</v>
          </cell>
        </row>
        <row r="669">
          <cell r="A669" t="str">
            <v>00013</v>
          </cell>
          <cell r="B669" t="str">
            <v>Southwestern Public Service Co</v>
          </cell>
          <cell r="C669" t="str">
            <v>746305</v>
          </cell>
          <cell r="D669" t="str">
            <v>OUT-Stores Labor Cost Loading</v>
          </cell>
          <cell r="E669">
            <v>-17841.03</v>
          </cell>
        </row>
        <row r="670">
          <cell r="A670" t="str">
            <v>00013</v>
          </cell>
          <cell r="B670" t="str">
            <v>Southwestern Public Service Co</v>
          </cell>
          <cell r="C670" t="str">
            <v>746305</v>
          </cell>
          <cell r="D670" t="str">
            <v>Stores Labor Cost Loading</v>
          </cell>
          <cell r="E670">
            <v>261577.09</v>
          </cell>
        </row>
        <row r="671">
          <cell r="A671" t="str">
            <v>00013</v>
          </cell>
          <cell r="B671" t="str">
            <v>Southwestern Public Service Co</v>
          </cell>
          <cell r="C671" t="str">
            <v>746310</v>
          </cell>
          <cell r="D671" t="str">
            <v>DIR-Stores Non-Labor Undist</v>
          </cell>
          <cell r="E671">
            <v>876522.51</v>
          </cell>
        </row>
        <row r="672">
          <cell r="A672" t="str">
            <v>00013</v>
          </cell>
          <cell r="B672" t="str">
            <v>Southwestern Public Service Co</v>
          </cell>
          <cell r="C672" t="str">
            <v>746310</v>
          </cell>
          <cell r="D672" t="str">
            <v>IND-Stores NonLabor Undi</v>
          </cell>
          <cell r="E672">
            <v>499207.83</v>
          </cell>
        </row>
        <row r="673">
          <cell r="A673" t="str">
            <v>00013</v>
          </cell>
          <cell r="B673" t="str">
            <v>Southwestern Public Service Co</v>
          </cell>
          <cell r="C673" t="str">
            <v>746310</v>
          </cell>
          <cell r="D673" t="str">
            <v>OUT-Stores Non-Labor Undist</v>
          </cell>
          <cell r="E673">
            <v>-29147.63</v>
          </cell>
        </row>
        <row r="674">
          <cell r="A674" t="str">
            <v>00013</v>
          </cell>
          <cell r="B674" t="str">
            <v>Southwestern Public Service Co</v>
          </cell>
          <cell r="C674" t="str">
            <v>746310</v>
          </cell>
          <cell r="D674" t="str">
            <v>Stores NonLabor Undist</v>
          </cell>
          <cell r="E674">
            <v>-4244293.3600000003</v>
          </cell>
        </row>
        <row r="675">
          <cell r="A675" t="str">
            <v>00013</v>
          </cell>
          <cell r="B675" t="str">
            <v>Southwestern Public Service Co</v>
          </cell>
          <cell r="C675" t="str">
            <v>746345</v>
          </cell>
          <cell r="D675" t="str">
            <v>Other Clearings Non-Labor</v>
          </cell>
          <cell r="E675">
            <v>132970.78</v>
          </cell>
        </row>
        <row r="676">
          <cell r="A676" t="str">
            <v>00013</v>
          </cell>
          <cell r="B676" t="str">
            <v>Southwestern Public Service Co</v>
          </cell>
          <cell r="C676" t="str">
            <v>747999</v>
          </cell>
          <cell r="D676" t="str">
            <v>Clearing Credits to BS</v>
          </cell>
          <cell r="E676">
            <v>850721.05</v>
          </cell>
        </row>
        <row r="677">
          <cell r="A677" t="str">
            <v>00013</v>
          </cell>
          <cell r="B677" t="str">
            <v>Southwestern Public Service Co</v>
          </cell>
          <cell r="C677" t="str">
            <v>748015</v>
          </cell>
          <cell r="D677" t="str">
            <v>DIR-Def DR Labor</v>
          </cell>
          <cell r="E677">
            <v>-414491.27</v>
          </cell>
        </row>
        <row r="678">
          <cell r="A678" t="str">
            <v>00013</v>
          </cell>
          <cell r="B678" t="str">
            <v>Southwestern Public Service Co</v>
          </cell>
          <cell r="C678" t="str">
            <v>748015</v>
          </cell>
          <cell r="D678" t="str">
            <v>Def DR Labor</v>
          </cell>
          <cell r="E678">
            <v>-295184.74</v>
          </cell>
        </row>
        <row r="679">
          <cell r="A679" t="str">
            <v>00013</v>
          </cell>
          <cell r="B679" t="str">
            <v>Southwestern Public Service Co</v>
          </cell>
          <cell r="C679" t="str">
            <v>748015</v>
          </cell>
          <cell r="D679" t="str">
            <v>OUT-Def DR Labor</v>
          </cell>
          <cell r="E679">
            <v>420834.27</v>
          </cell>
        </row>
        <row r="680">
          <cell r="A680" t="str">
            <v>00013</v>
          </cell>
          <cell r="B680" t="str">
            <v>Southwestern Public Service Co</v>
          </cell>
          <cell r="C680" t="str">
            <v>748020</v>
          </cell>
          <cell r="D680" t="str">
            <v>DIR-Def DR Labor Load</v>
          </cell>
          <cell r="E680">
            <v>-77826.34</v>
          </cell>
        </row>
        <row r="681">
          <cell r="A681" t="str">
            <v>00013</v>
          </cell>
          <cell r="B681" t="str">
            <v>Southwestern Public Service Co</v>
          </cell>
          <cell r="C681" t="str">
            <v>748020</v>
          </cell>
          <cell r="D681" t="str">
            <v>Def DR Labor Load</v>
          </cell>
          <cell r="E681">
            <v>158547.44</v>
          </cell>
        </row>
        <row r="682">
          <cell r="A682" t="str">
            <v>00013</v>
          </cell>
          <cell r="B682" t="str">
            <v>Southwestern Public Service Co</v>
          </cell>
          <cell r="C682" t="str">
            <v>748020</v>
          </cell>
          <cell r="D682" t="str">
            <v>IND-Def DR Labor Load</v>
          </cell>
          <cell r="E682">
            <v>7336.91</v>
          </cell>
        </row>
        <row r="683">
          <cell r="A683" t="str">
            <v>00013</v>
          </cell>
          <cell r="B683" t="str">
            <v>Southwestern Public Service Co</v>
          </cell>
          <cell r="C683" t="str">
            <v>748020</v>
          </cell>
          <cell r="D683" t="str">
            <v>OUT-Def DR Labor Load</v>
          </cell>
          <cell r="E683">
            <v>71386.960000000006</v>
          </cell>
        </row>
        <row r="684">
          <cell r="A684" t="str">
            <v>00013</v>
          </cell>
          <cell r="B684" t="str">
            <v>Southwestern Public Service Co</v>
          </cell>
          <cell r="C684" t="str">
            <v>748030</v>
          </cell>
          <cell r="D684" t="str">
            <v>DIR-Def DR Non-Labor</v>
          </cell>
          <cell r="E684">
            <v>9830330.3300000001</v>
          </cell>
        </row>
        <row r="685">
          <cell r="A685" t="str">
            <v>00013</v>
          </cell>
          <cell r="B685" t="str">
            <v>Southwestern Public Service Co</v>
          </cell>
          <cell r="C685" t="str">
            <v>748030</v>
          </cell>
          <cell r="D685" t="str">
            <v>Def DR Non-Labor</v>
          </cell>
          <cell r="E685">
            <v>5038696.3</v>
          </cell>
        </row>
        <row r="686">
          <cell r="A686" t="str">
            <v>00013</v>
          </cell>
          <cell r="B686" t="str">
            <v>Southwestern Public Service Co</v>
          </cell>
          <cell r="C686" t="str">
            <v>748030</v>
          </cell>
          <cell r="D686" t="str">
            <v>IND-Def DR Non-Labor</v>
          </cell>
          <cell r="E686">
            <v>6574.77</v>
          </cell>
        </row>
        <row r="687">
          <cell r="A687" t="str">
            <v>00013</v>
          </cell>
          <cell r="B687" t="str">
            <v>Southwestern Public Service Co</v>
          </cell>
          <cell r="C687" t="str">
            <v>748030</v>
          </cell>
          <cell r="D687" t="str">
            <v>OUTDef DR Non-Labor</v>
          </cell>
          <cell r="E687">
            <v>-7710058.6399999997</v>
          </cell>
        </row>
        <row r="688">
          <cell r="A688" t="str">
            <v>00013</v>
          </cell>
          <cell r="B688" t="str">
            <v>Southwestern Public Service Co</v>
          </cell>
          <cell r="C688" t="str">
            <v>748500</v>
          </cell>
          <cell r="D688" t="str">
            <v>Def DR Clearing</v>
          </cell>
          <cell r="E688">
            <v>-8212082.4400000004</v>
          </cell>
        </row>
        <row r="689">
          <cell r="A689" t="str">
            <v>00013</v>
          </cell>
          <cell r="B689" t="str">
            <v>Southwestern Public Service Co</v>
          </cell>
          <cell r="C689" t="str">
            <v>748500</v>
          </cell>
          <cell r="D689" t="str">
            <v>Def Dr Clearing</v>
          </cell>
          <cell r="E689">
            <v>1176232.49</v>
          </cell>
        </row>
        <row r="690">
          <cell r="A690" t="str">
            <v>00013</v>
          </cell>
          <cell r="B690" t="str">
            <v>Southwestern Public Service Co</v>
          </cell>
          <cell r="C690" t="str">
            <v>748511</v>
          </cell>
          <cell r="D690" t="str">
            <v>DIR-Regl Assets Labor</v>
          </cell>
          <cell r="E690">
            <v>73.62</v>
          </cell>
        </row>
        <row r="691">
          <cell r="A691" t="str">
            <v>00013</v>
          </cell>
          <cell r="B691" t="str">
            <v>Southwestern Public Service Co</v>
          </cell>
          <cell r="C691" t="str">
            <v>748511</v>
          </cell>
          <cell r="D691" t="str">
            <v>OUT-Regl Assets Labor</v>
          </cell>
          <cell r="E691">
            <v>-73.62</v>
          </cell>
        </row>
        <row r="692">
          <cell r="A692" t="str">
            <v>00013</v>
          </cell>
          <cell r="B692" t="str">
            <v>Southwestern Public Service Co</v>
          </cell>
          <cell r="C692" t="str">
            <v>748511</v>
          </cell>
          <cell r="D692" t="str">
            <v>Regl Assets Labor</v>
          </cell>
          <cell r="E692">
            <v>177.07</v>
          </cell>
        </row>
        <row r="693">
          <cell r="A693" t="str">
            <v>00013</v>
          </cell>
          <cell r="B693" t="str">
            <v>Southwestern Public Service Co</v>
          </cell>
          <cell r="C693" t="str">
            <v>748512</v>
          </cell>
          <cell r="D693" t="str">
            <v>Regl Assets Labor Load</v>
          </cell>
          <cell r="E693">
            <v>28.19</v>
          </cell>
        </row>
        <row r="694">
          <cell r="A694" t="str">
            <v>00013</v>
          </cell>
          <cell r="B694" t="str">
            <v>Southwestern Public Service Co</v>
          </cell>
          <cell r="C694" t="str">
            <v>748513</v>
          </cell>
          <cell r="D694" t="str">
            <v>DIR-Regl Assets Non-Labor</v>
          </cell>
          <cell r="E694">
            <v>660440.41</v>
          </cell>
        </row>
        <row r="695">
          <cell r="A695" t="str">
            <v>00013</v>
          </cell>
          <cell r="B695" t="str">
            <v>Southwestern Public Service Co</v>
          </cell>
          <cell r="C695" t="str">
            <v>748513</v>
          </cell>
          <cell r="D695" t="str">
            <v>OUT-Regl Assets Non-Labor</v>
          </cell>
          <cell r="E695">
            <v>-661249.41</v>
          </cell>
        </row>
        <row r="696">
          <cell r="A696" t="str">
            <v>00013</v>
          </cell>
          <cell r="B696" t="str">
            <v>Southwestern Public Service Co</v>
          </cell>
          <cell r="C696" t="str">
            <v>748513</v>
          </cell>
          <cell r="D696" t="str">
            <v>Regl Assets Non-Labor</v>
          </cell>
          <cell r="E696">
            <v>-360071.58</v>
          </cell>
        </row>
        <row r="697">
          <cell r="A697" t="str">
            <v>00013</v>
          </cell>
          <cell r="B697" t="str">
            <v>Southwestern Public Service Co</v>
          </cell>
          <cell r="C697" t="str">
            <v>748514</v>
          </cell>
          <cell r="D697" t="str">
            <v>Regl Assets-Amortization</v>
          </cell>
          <cell r="E697">
            <v>360521.08</v>
          </cell>
        </row>
        <row r="698">
          <cell r="A698" t="str">
            <v>00013</v>
          </cell>
          <cell r="B698" t="str">
            <v>Southwestern Public Service Co</v>
          </cell>
          <cell r="C698" t="str">
            <v>751000</v>
          </cell>
          <cell r="D698" t="str">
            <v>Depreciation</v>
          </cell>
          <cell r="E698">
            <v>77016401.400000006</v>
          </cell>
        </row>
        <row r="699">
          <cell r="A699" t="str">
            <v>00013</v>
          </cell>
          <cell r="B699" t="str">
            <v>Southwestern Public Service Co</v>
          </cell>
          <cell r="C699" t="str">
            <v>752100</v>
          </cell>
          <cell r="D699" t="str">
            <v>Intangibles</v>
          </cell>
          <cell r="E699">
            <v>11135.98</v>
          </cell>
        </row>
        <row r="700">
          <cell r="A700" t="str">
            <v>00013</v>
          </cell>
          <cell r="B700" t="str">
            <v>Southwestern Public Service Co</v>
          </cell>
          <cell r="C700" t="str">
            <v>752162</v>
          </cell>
          <cell r="D700" t="str">
            <v>Amrt Intang Office Remodel</v>
          </cell>
          <cell r="E700">
            <v>2214271.58</v>
          </cell>
        </row>
        <row r="701">
          <cell r="A701" t="str">
            <v>00013</v>
          </cell>
          <cell r="B701" t="str">
            <v>Southwestern Public Service Co</v>
          </cell>
          <cell r="C701" t="str">
            <v>752164</v>
          </cell>
          <cell r="D701" t="str">
            <v>Amrt Intang Software</v>
          </cell>
          <cell r="E701">
            <v>2054096.33</v>
          </cell>
        </row>
        <row r="702">
          <cell r="A702" t="str">
            <v>00013</v>
          </cell>
          <cell r="B702" t="str">
            <v>Southwestern Public Service Co</v>
          </cell>
          <cell r="C702" t="str">
            <v>752180</v>
          </cell>
          <cell r="D702" t="str">
            <v>Amrt Plant Acq Adj</v>
          </cell>
          <cell r="E702">
            <v>1530504.01</v>
          </cell>
        </row>
        <row r="703">
          <cell r="A703" t="str">
            <v>00013</v>
          </cell>
          <cell r="B703" t="str">
            <v>Southwestern Public Service Co</v>
          </cell>
          <cell r="C703" t="str">
            <v>752193</v>
          </cell>
          <cell r="D703" t="str">
            <v>Amort Reg Asset - DSMCA</v>
          </cell>
          <cell r="E703">
            <v>971455.91</v>
          </cell>
        </row>
        <row r="704">
          <cell r="A704" t="str">
            <v>00013</v>
          </cell>
          <cell r="B704" t="str">
            <v>Southwestern Public Service Co</v>
          </cell>
          <cell r="C704" t="str">
            <v>752194</v>
          </cell>
          <cell r="D704" t="str">
            <v>Amort Reg Elec Asst DMS E$P</v>
          </cell>
          <cell r="E704">
            <v>174000</v>
          </cell>
        </row>
        <row r="705">
          <cell r="A705" t="str">
            <v>00013</v>
          </cell>
          <cell r="B705" t="str">
            <v>Southwestern Public Service Co</v>
          </cell>
          <cell r="C705" t="str">
            <v>762000</v>
          </cell>
          <cell r="D705" t="str">
            <v>Property Taxes</v>
          </cell>
          <cell r="E705">
            <v>27994448.300000001</v>
          </cell>
        </row>
        <row r="706">
          <cell r="A706" t="str">
            <v>00013</v>
          </cell>
          <cell r="B706" t="str">
            <v>Southwestern Public Service Co</v>
          </cell>
          <cell r="C706" t="str">
            <v>764000</v>
          </cell>
          <cell r="D706" t="str">
            <v>Payroll Taxes-KS</v>
          </cell>
          <cell r="E706">
            <v>5258.54</v>
          </cell>
        </row>
        <row r="707">
          <cell r="A707" t="str">
            <v>00013</v>
          </cell>
          <cell r="B707" t="str">
            <v>Southwestern Public Service Co</v>
          </cell>
          <cell r="C707" t="str">
            <v>764000</v>
          </cell>
          <cell r="D707" t="str">
            <v>Payroll Taxes-NM</v>
          </cell>
          <cell r="E707">
            <v>549125.66</v>
          </cell>
        </row>
        <row r="708">
          <cell r="A708" t="str">
            <v>00013</v>
          </cell>
          <cell r="B708" t="str">
            <v>Southwestern Public Service Co</v>
          </cell>
          <cell r="C708" t="str">
            <v>764000</v>
          </cell>
          <cell r="D708" t="str">
            <v>Payroll Taxes-OK</v>
          </cell>
          <cell r="E708">
            <v>45845.21</v>
          </cell>
        </row>
        <row r="709">
          <cell r="A709" t="str">
            <v>00013</v>
          </cell>
          <cell r="B709" t="str">
            <v>Southwestern Public Service Co</v>
          </cell>
          <cell r="C709" t="str">
            <v>764000</v>
          </cell>
          <cell r="D709" t="str">
            <v>Payroll Taxes-TX</v>
          </cell>
          <cell r="E709">
            <v>1191975.44</v>
          </cell>
        </row>
        <row r="710">
          <cell r="A710" t="str">
            <v>00013</v>
          </cell>
          <cell r="B710" t="str">
            <v>Southwestern Public Service Co</v>
          </cell>
          <cell r="C710" t="str">
            <v>764000</v>
          </cell>
          <cell r="D710" t="str">
            <v>Payroll Taxes</v>
          </cell>
          <cell r="E710">
            <v>3222742.11</v>
          </cell>
        </row>
        <row r="711">
          <cell r="A711" t="str">
            <v>00013</v>
          </cell>
          <cell r="B711" t="str">
            <v>Southwestern Public Service Co</v>
          </cell>
          <cell r="C711" t="str">
            <v>766000</v>
          </cell>
          <cell r="D711" t="str">
            <v>DIR-Other Taxes</v>
          </cell>
          <cell r="E711">
            <v>763.46</v>
          </cell>
        </row>
        <row r="712">
          <cell r="A712" t="str">
            <v>00013</v>
          </cell>
          <cell r="B712" t="str">
            <v>Southwestern Public Service Co</v>
          </cell>
          <cell r="C712" t="str">
            <v>766000</v>
          </cell>
          <cell r="D712" t="str">
            <v>IND-Other Taxes</v>
          </cell>
          <cell r="E712">
            <v>43250.94</v>
          </cell>
        </row>
        <row r="713">
          <cell r="A713" t="str">
            <v>00013</v>
          </cell>
          <cell r="B713" t="str">
            <v>Southwestern Public Service Co</v>
          </cell>
          <cell r="C713" t="str">
            <v>766000</v>
          </cell>
          <cell r="D713" t="str">
            <v>Oth Taxes-KS</v>
          </cell>
          <cell r="E713">
            <v>45810</v>
          </cell>
        </row>
        <row r="714">
          <cell r="A714" t="str">
            <v>00013</v>
          </cell>
          <cell r="B714" t="str">
            <v>Southwestern Public Service Co</v>
          </cell>
          <cell r="C714" t="str">
            <v>766000</v>
          </cell>
          <cell r="D714" t="str">
            <v>Oth Taxes-NM</v>
          </cell>
          <cell r="E714">
            <v>2110500</v>
          </cell>
        </row>
        <row r="715">
          <cell r="A715" t="str">
            <v>00013</v>
          </cell>
          <cell r="B715" t="str">
            <v>Southwestern Public Service Co</v>
          </cell>
          <cell r="C715" t="str">
            <v>766000</v>
          </cell>
          <cell r="D715" t="str">
            <v>Oth Taxes-OK</v>
          </cell>
          <cell r="E715">
            <v>231500</v>
          </cell>
        </row>
        <row r="716">
          <cell r="A716" t="str">
            <v>00013</v>
          </cell>
          <cell r="B716" t="str">
            <v>Southwestern Public Service Co</v>
          </cell>
          <cell r="C716" t="str">
            <v>766000</v>
          </cell>
          <cell r="D716" t="str">
            <v>Oth Taxes-TX</v>
          </cell>
          <cell r="E716">
            <v>34250263.469999999</v>
          </cell>
        </row>
        <row r="717">
          <cell r="A717" t="str">
            <v>00013</v>
          </cell>
          <cell r="B717" t="str">
            <v>Southwestern Public Service Co</v>
          </cell>
          <cell r="C717" t="str">
            <v>766000</v>
          </cell>
          <cell r="D717" t="str">
            <v>Other Taxes</v>
          </cell>
          <cell r="E717">
            <v>-21308305.289999999</v>
          </cell>
        </row>
        <row r="718">
          <cell r="A718" t="str">
            <v>00013</v>
          </cell>
          <cell r="B718" t="str">
            <v>Southwestern Public Service Co</v>
          </cell>
          <cell r="C718" t="str">
            <v>770100</v>
          </cell>
          <cell r="D718" t="str">
            <v>DIR-Special Charges-Severance</v>
          </cell>
          <cell r="E718">
            <v>3022698.99</v>
          </cell>
        </row>
        <row r="719">
          <cell r="A719" t="str">
            <v>00013</v>
          </cell>
          <cell r="B719" t="str">
            <v>Southwestern Public Service Co</v>
          </cell>
          <cell r="C719" t="str">
            <v>770100</v>
          </cell>
          <cell r="D719" t="str">
            <v>Special Charges-Severance</v>
          </cell>
          <cell r="E719">
            <v>1489550.16</v>
          </cell>
        </row>
        <row r="720">
          <cell r="A720" t="str">
            <v>00013</v>
          </cell>
          <cell r="B720" t="str">
            <v>Southwestern Public Service Co</v>
          </cell>
          <cell r="C720" t="str">
            <v>821300</v>
          </cell>
          <cell r="D720" t="str">
            <v>DIR-Int Inc-Miscellaneous</v>
          </cell>
          <cell r="E720">
            <v>-505.3</v>
          </cell>
        </row>
        <row r="721">
          <cell r="A721" t="str">
            <v>00013</v>
          </cell>
          <cell r="B721" t="str">
            <v>Southwestern Public Service Co</v>
          </cell>
          <cell r="C721" t="str">
            <v>821300</v>
          </cell>
          <cell r="D721" t="str">
            <v>Int Inc-Miscellaneous</v>
          </cell>
          <cell r="E721">
            <v>-7893516.2699999996</v>
          </cell>
        </row>
        <row r="722">
          <cell r="A722" t="str">
            <v>00013</v>
          </cell>
          <cell r="B722" t="str">
            <v>Southwestern Public Service Co</v>
          </cell>
          <cell r="C722" t="str">
            <v>821300</v>
          </cell>
          <cell r="D722" t="str">
            <v>OUT-Int Inc-Miscellaneous</v>
          </cell>
          <cell r="E722">
            <v>505.29</v>
          </cell>
        </row>
        <row r="723">
          <cell r="A723" t="str">
            <v>00013</v>
          </cell>
          <cell r="B723" t="str">
            <v>Southwestern Public Service Co</v>
          </cell>
          <cell r="C723" t="str">
            <v>821400</v>
          </cell>
          <cell r="D723" t="str">
            <v>Int Inc-Assoc Companies</v>
          </cell>
          <cell r="E723">
            <v>-2577218.7400000002</v>
          </cell>
        </row>
        <row r="724">
          <cell r="A724" t="str">
            <v>00013</v>
          </cell>
          <cell r="B724" t="str">
            <v>Southwestern Public Service Co</v>
          </cell>
          <cell r="C724" t="str">
            <v>823000</v>
          </cell>
          <cell r="D724" t="str">
            <v>Gain/Loss on Disp of Assets</v>
          </cell>
          <cell r="E724">
            <v>-1349392.45</v>
          </cell>
        </row>
        <row r="725">
          <cell r="A725" t="str">
            <v>00013</v>
          </cell>
          <cell r="B725" t="str">
            <v>Southwestern Public Service Co</v>
          </cell>
          <cell r="C725" t="str">
            <v>824050</v>
          </cell>
          <cell r="D725" t="str">
            <v>AFCE-Equity</v>
          </cell>
          <cell r="E725">
            <v>1423.75</v>
          </cell>
        </row>
        <row r="726">
          <cell r="A726" t="str">
            <v>00013</v>
          </cell>
          <cell r="B726" t="str">
            <v>Southwestern Public Service Co</v>
          </cell>
          <cell r="C726" t="str">
            <v>825200</v>
          </cell>
          <cell r="D726" t="str">
            <v>Rental Income</v>
          </cell>
          <cell r="E726">
            <v>623.6</v>
          </cell>
        </row>
        <row r="727">
          <cell r="A727" t="str">
            <v>00013</v>
          </cell>
          <cell r="B727" t="str">
            <v>Southwestern Public Service Co</v>
          </cell>
          <cell r="C727" t="str">
            <v>825250</v>
          </cell>
          <cell r="D727" t="str">
            <v>IND-Misc Non-Oper Income</v>
          </cell>
          <cell r="E727">
            <v>-44.95</v>
          </cell>
        </row>
        <row r="728">
          <cell r="A728" t="str">
            <v>00013</v>
          </cell>
          <cell r="B728" t="str">
            <v>Southwestern Public Service Co</v>
          </cell>
          <cell r="C728" t="str">
            <v>825250</v>
          </cell>
          <cell r="D728" t="str">
            <v>Misc Non-Operating Income</v>
          </cell>
          <cell r="E728">
            <v>-7578.23</v>
          </cell>
        </row>
        <row r="729">
          <cell r="A729" t="str">
            <v>00013</v>
          </cell>
          <cell r="B729" t="str">
            <v>Southwestern Public Service Co</v>
          </cell>
          <cell r="C729" t="str">
            <v>830200</v>
          </cell>
          <cell r="D729" t="str">
            <v>IND-Life Ins &amp; Wealth-Op Exp</v>
          </cell>
          <cell r="E729">
            <v>11607.96</v>
          </cell>
        </row>
        <row r="730">
          <cell r="A730" t="str">
            <v>00013</v>
          </cell>
          <cell r="B730" t="str">
            <v>Southwestern Public Service Co</v>
          </cell>
          <cell r="C730" t="str">
            <v>861220</v>
          </cell>
          <cell r="D730" t="str">
            <v>Potter Cty-5.75%-Due 09/01/16</v>
          </cell>
          <cell r="E730">
            <v>3207709.62</v>
          </cell>
        </row>
        <row r="731">
          <cell r="A731" t="str">
            <v>00013</v>
          </cell>
          <cell r="B731" t="str">
            <v>Southwestern Public Service Co</v>
          </cell>
          <cell r="C731" t="str">
            <v>861220</v>
          </cell>
          <cell r="D731" t="str">
            <v>Red River-5.2%-Due 07/01/11</v>
          </cell>
          <cell r="E731">
            <v>2314000.06</v>
          </cell>
        </row>
        <row r="732">
          <cell r="A732" t="str">
            <v>00013</v>
          </cell>
          <cell r="B732" t="str">
            <v>Southwestern Public Service Co</v>
          </cell>
          <cell r="C732" t="str">
            <v>861220</v>
          </cell>
          <cell r="D732" t="str">
            <v>Red River-Swap-Due 07/01/16</v>
          </cell>
          <cell r="E732">
            <v>2076884.06</v>
          </cell>
        </row>
        <row r="733">
          <cell r="A733" t="str">
            <v>00013</v>
          </cell>
          <cell r="B733" t="str">
            <v>Southwestern Public Service Co</v>
          </cell>
          <cell r="C733" t="str">
            <v>861280</v>
          </cell>
          <cell r="D733" t="str">
            <v>TOPRS-7.85%-Due 9/1/36</v>
          </cell>
          <cell r="E733">
            <v>7850000.2599999998</v>
          </cell>
        </row>
        <row r="734">
          <cell r="A734" t="str">
            <v>00013</v>
          </cell>
          <cell r="B734" t="str">
            <v>Southwestern Public Service Co</v>
          </cell>
          <cell r="C734" t="str">
            <v>861400</v>
          </cell>
          <cell r="D734" t="str">
            <v>Sr Note-6.2%-Due 03/01/09</v>
          </cell>
          <cell r="E734">
            <v>6182777.7199999997</v>
          </cell>
        </row>
        <row r="735">
          <cell r="A735" t="str">
            <v>00013</v>
          </cell>
          <cell r="B735" t="str">
            <v>Southwestern Public Service Co</v>
          </cell>
          <cell r="C735" t="str">
            <v>861400</v>
          </cell>
          <cell r="D735" t="str">
            <v>Sr.Note-5.125%-Due 11/01/06</v>
          </cell>
          <cell r="E735">
            <v>4270833.28</v>
          </cell>
        </row>
        <row r="736">
          <cell r="A736" t="str">
            <v>00013</v>
          </cell>
          <cell r="B736" t="str">
            <v>Southwestern Public Service Co</v>
          </cell>
          <cell r="C736" t="str">
            <v>862220</v>
          </cell>
          <cell r="D736" t="str">
            <v>DIR-Interest to Associated Co</v>
          </cell>
          <cell r="E736">
            <v>252686.61</v>
          </cell>
        </row>
        <row r="737">
          <cell r="A737" t="str">
            <v>00013</v>
          </cell>
          <cell r="B737" t="str">
            <v>Southwestern Public Service Co</v>
          </cell>
          <cell r="C737" t="str">
            <v>862500</v>
          </cell>
          <cell r="D737" t="str">
            <v>DIR-Miscellaneous</v>
          </cell>
          <cell r="E737">
            <v>2743972.83</v>
          </cell>
        </row>
        <row r="738">
          <cell r="A738" t="str">
            <v>00013</v>
          </cell>
          <cell r="B738" t="str">
            <v>Southwestern Public Service Co</v>
          </cell>
          <cell r="C738" t="str">
            <v>862500</v>
          </cell>
          <cell r="D738" t="str">
            <v>IND-Miscellaneous</v>
          </cell>
          <cell r="E738">
            <v>-11.18</v>
          </cell>
        </row>
        <row r="739">
          <cell r="A739" t="str">
            <v>00013</v>
          </cell>
          <cell r="B739" t="str">
            <v>Southwestern Public Service Co</v>
          </cell>
          <cell r="C739" t="str">
            <v>862500</v>
          </cell>
          <cell r="D739" t="str">
            <v>Miscellaneous</v>
          </cell>
          <cell r="E739">
            <v>29505901.02</v>
          </cell>
        </row>
        <row r="740">
          <cell r="A740" t="str">
            <v>00013</v>
          </cell>
          <cell r="B740" t="str">
            <v>Southwestern Public Service Co</v>
          </cell>
          <cell r="C740" t="str">
            <v>862500</v>
          </cell>
          <cell r="D740" t="str">
            <v>OUT-Miscellaneous</v>
          </cell>
          <cell r="E740">
            <v>-2742459.94</v>
          </cell>
        </row>
        <row r="741">
          <cell r="A741" t="str">
            <v>00013</v>
          </cell>
          <cell r="B741" t="str">
            <v>Southwestern Public Service Co</v>
          </cell>
          <cell r="C741" t="str">
            <v>863220</v>
          </cell>
          <cell r="D741" t="str">
            <v>Potter Cty-5.75%-Due 09/01/16</v>
          </cell>
          <cell r="E741">
            <v>31161.39</v>
          </cell>
        </row>
        <row r="742">
          <cell r="A742" t="str">
            <v>00013</v>
          </cell>
          <cell r="B742" t="str">
            <v>Southwestern Public Service Co</v>
          </cell>
          <cell r="C742" t="str">
            <v>863220</v>
          </cell>
          <cell r="D742" t="str">
            <v>Potter Cty-5.75%-due 09/01/16</v>
          </cell>
          <cell r="E742">
            <v>26247.21</v>
          </cell>
        </row>
        <row r="743">
          <cell r="A743" t="str">
            <v>00013</v>
          </cell>
          <cell r="B743" t="str">
            <v>Southwestern Public Service Co</v>
          </cell>
          <cell r="C743" t="str">
            <v>863220</v>
          </cell>
          <cell r="D743" t="str">
            <v>Red River-5.2%-Due 07/01/11</v>
          </cell>
          <cell r="E743">
            <v>103579.2</v>
          </cell>
        </row>
        <row r="744">
          <cell r="A744" t="str">
            <v>00013</v>
          </cell>
          <cell r="B744" t="str">
            <v>Southwestern Public Service Co</v>
          </cell>
          <cell r="C744" t="str">
            <v>863220</v>
          </cell>
          <cell r="D744" t="str">
            <v>Red River-Swap-Due 07/01/16</v>
          </cell>
          <cell r="E744">
            <v>95905.09</v>
          </cell>
        </row>
        <row r="745">
          <cell r="A745" t="str">
            <v>00013</v>
          </cell>
          <cell r="B745" t="str">
            <v>Southwestern Public Service Co</v>
          </cell>
          <cell r="C745" t="str">
            <v>863260</v>
          </cell>
          <cell r="D745" t="str">
            <v>TOPRS-7.85%-Due 9/1/36</v>
          </cell>
          <cell r="E745">
            <v>86105.279999999999</v>
          </cell>
        </row>
        <row r="746">
          <cell r="A746" t="str">
            <v>00013</v>
          </cell>
          <cell r="B746" t="str">
            <v>Southwestern Public Service Co</v>
          </cell>
          <cell r="C746" t="str">
            <v>863525</v>
          </cell>
          <cell r="D746" t="str">
            <v>Sr Note-6.2%-Due 03/01/09</v>
          </cell>
          <cell r="E746">
            <v>122996.53</v>
          </cell>
        </row>
        <row r="747">
          <cell r="A747" t="str">
            <v>00013</v>
          </cell>
          <cell r="B747" t="str">
            <v>Southwestern Public Service Co</v>
          </cell>
          <cell r="C747" t="str">
            <v>863525</v>
          </cell>
          <cell r="D747" t="str">
            <v>Sr.Note-5.125%-Due 11/01/06</v>
          </cell>
          <cell r="E747">
            <v>145333.72</v>
          </cell>
        </row>
        <row r="748">
          <cell r="A748" t="str">
            <v>00013</v>
          </cell>
          <cell r="B748" t="str">
            <v>Southwestern Public Service Co</v>
          </cell>
          <cell r="C748" t="str">
            <v>863625</v>
          </cell>
          <cell r="D748" t="str">
            <v>Reacq Dbt 15 5/8%-Due 7/12</v>
          </cell>
          <cell r="E748">
            <v>72300</v>
          </cell>
        </row>
        <row r="749">
          <cell r="A749" t="str">
            <v>00013</v>
          </cell>
          <cell r="B749" t="str">
            <v>Southwestern Public Service Co</v>
          </cell>
          <cell r="C749" t="str">
            <v>863625</v>
          </cell>
          <cell r="D749" t="str">
            <v>Reacq Dbt 2000 Tender/Defease</v>
          </cell>
          <cell r="E749">
            <v>303228.02</v>
          </cell>
        </row>
        <row r="750">
          <cell r="A750" t="str">
            <v>00013</v>
          </cell>
          <cell r="B750" t="str">
            <v>Southwestern Public Service Co</v>
          </cell>
          <cell r="C750" t="str">
            <v>863625</v>
          </cell>
          <cell r="D750" t="str">
            <v>Reacq Dbt 6 1/2%&amp;6 5/8-Due9/16</v>
          </cell>
          <cell r="E750">
            <v>12308.4</v>
          </cell>
        </row>
        <row r="751">
          <cell r="A751" t="str">
            <v>00013</v>
          </cell>
          <cell r="B751" t="str">
            <v>Southwestern Public Service Co</v>
          </cell>
          <cell r="C751" t="str">
            <v>863625</v>
          </cell>
          <cell r="D751" t="str">
            <v>Reacq Dbt 7 3/4,8,14% PCO's</v>
          </cell>
          <cell r="E751">
            <v>36316.550000000003</v>
          </cell>
        </row>
        <row r="752">
          <cell r="A752" t="str">
            <v>00013</v>
          </cell>
          <cell r="B752" t="str">
            <v>Southwestern Public Service Co</v>
          </cell>
          <cell r="C752" t="str">
            <v>863625</v>
          </cell>
          <cell r="D752" t="str">
            <v>Reacq Dbt 8.2%-Due 12/22</v>
          </cell>
          <cell r="E752">
            <v>43958.99</v>
          </cell>
        </row>
        <row r="753">
          <cell r="A753" t="str">
            <v>00013</v>
          </cell>
          <cell r="B753" t="str">
            <v>Southwestern Public Service Co</v>
          </cell>
          <cell r="C753" t="str">
            <v>863625</v>
          </cell>
          <cell r="D753" t="str">
            <v>Reacq Dbt 8.25%-Due 7/22</v>
          </cell>
          <cell r="E753">
            <v>11903.99</v>
          </cell>
        </row>
        <row r="754">
          <cell r="A754" t="str">
            <v>00013</v>
          </cell>
          <cell r="B754" t="str">
            <v>Southwestern Public Service Co</v>
          </cell>
          <cell r="C754" t="str">
            <v>863625</v>
          </cell>
          <cell r="D754" t="str">
            <v>Reacq Dbt 8.5%-Due 2/25</v>
          </cell>
          <cell r="E754">
            <v>39532.800000000003</v>
          </cell>
        </row>
        <row r="755">
          <cell r="A755" t="str">
            <v>00013</v>
          </cell>
          <cell r="B755" t="str">
            <v>Southwestern Public Service Co</v>
          </cell>
          <cell r="C755" t="str">
            <v>863625</v>
          </cell>
          <cell r="D755" t="str">
            <v>Reacq Dbt 8.8,8,8 7/8,8 3/4%</v>
          </cell>
          <cell r="E755">
            <v>266678.75</v>
          </cell>
        </row>
        <row r="756">
          <cell r="A756" t="str">
            <v>00013</v>
          </cell>
          <cell r="B756" t="str">
            <v>Southwestern Public Service Co</v>
          </cell>
          <cell r="C756" t="str">
            <v>863625</v>
          </cell>
          <cell r="D756" t="str">
            <v>Reacq Dbt 8.85%-Due 6/17</v>
          </cell>
          <cell r="E756">
            <v>51316.81</v>
          </cell>
        </row>
        <row r="757">
          <cell r="A757" t="str">
            <v>00013</v>
          </cell>
          <cell r="B757" t="str">
            <v>Southwestern Public Service Co</v>
          </cell>
          <cell r="C757" t="str">
            <v>863625</v>
          </cell>
          <cell r="D757" t="str">
            <v>Reacq Dbt 9 1/8%-Due 4/16</v>
          </cell>
          <cell r="E757">
            <v>126050.42</v>
          </cell>
        </row>
        <row r="758">
          <cell r="A758" t="str">
            <v>00013</v>
          </cell>
          <cell r="B758" t="str">
            <v>Southwestern Public Service Co</v>
          </cell>
          <cell r="C758" t="str">
            <v>863625</v>
          </cell>
          <cell r="D758" t="str">
            <v>Reacq Dbt 10.9%-Due 6/90</v>
          </cell>
          <cell r="E758">
            <v>4488</v>
          </cell>
        </row>
        <row r="759">
          <cell r="A759" t="str">
            <v>00013</v>
          </cell>
          <cell r="B759" t="str">
            <v>Southwestern Public Service Co</v>
          </cell>
          <cell r="C759" t="str">
            <v>863625</v>
          </cell>
          <cell r="D759" t="str">
            <v>Reacq Dbt 12 3/8%-Due 2/15</v>
          </cell>
          <cell r="E759">
            <v>69787.22</v>
          </cell>
        </row>
        <row r="760">
          <cell r="A760" t="str">
            <v>00013</v>
          </cell>
          <cell r="B760" t="str">
            <v>Southwestern Public Service Co</v>
          </cell>
          <cell r="C760" t="str">
            <v>863625</v>
          </cell>
          <cell r="D760" t="str">
            <v>Reacq Dbt 13 1/2%-Due 7/16</v>
          </cell>
          <cell r="E760">
            <v>4446</v>
          </cell>
        </row>
        <row r="761">
          <cell r="A761" t="str">
            <v>00013</v>
          </cell>
          <cell r="B761" t="str">
            <v>Southwestern Public Service Co</v>
          </cell>
          <cell r="C761" t="str">
            <v>863695</v>
          </cell>
          <cell r="D761" t="str">
            <v>Reacq Dbt 6.5%-Due 3/06</v>
          </cell>
          <cell r="E761">
            <v>-36144.019999999997</v>
          </cell>
        </row>
        <row r="762">
          <cell r="A762" t="str">
            <v>00013</v>
          </cell>
          <cell r="B762" t="str">
            <v>Southwestern Public Service Co</v>
          </cell>
          <cell r="C762" t="str">
            <v>863695</v>
          </cell>
          <cell r="D762" t="str">
            <v>Reacq Dbt 7.25%-Due 7/04</v>
          </cell>
          <cell r="E762">
            <v>-3691.19</v>
          </cell>
        </row>
        <row r="763">
          <cell r="A763" t="str">
            <v>00013</v>
          </cell>
          <cell r="B763" t="str">
            <v>Southwestern Public Service Co</v>
          </cell>
          <cell r="C763" t="str">
            <v>864000</v>
          </cell>
          <cell r="D763" t="str">
            <v>AFDC Borrowed Funds</v>
          </cell>
          <cell r="E763">
            <v>-4359557.84</v>
          </cell>
        </row>
        <row r="764">
          <cell r="A764" t="str">
            <v>00013</v>
          </cell>
          <cell r="B764" t="str">
            <v>Southwestern Public Service Co</v>
          </cell>
          <cell r="C764" t="str">
            <v>911100</v>
          </cell>
          <cell r="D764" t="str">
            <v>Federal Income Taxes</v>
          </cell>
          <cell r="E764">
            <v>92172847</v>
          </cell>
        </row>
        <row r="765">
          <cell r="A765" t="str">
            <v>00013</v>
          </cell>
          <cell r="B765" t="str">
            <v>Southwestern Public Service Co</v>
          </cell>
          <cell r="C765" t="str">
            <v>911200</v>
          </cell>
          <cell r="D765" t="str">
            <v>Curr St Inc Taxes-KS</v>
          </cell>
          <cell r="E765">
            <v>22689</v>
          </cell>
        </row>
        <row r="766">
          <cell r="A766" t="str">
            <v>00013</v>
          </cell>
          <cell r="B766" t="str">
            <v>Southwestern Public Service Co</v>
          </cell>
          <cell r="C766" t="str">
            <v>911200</v>
          </cell>
          <cell r="D766" t="str">
            <v>Curr St Inc Taxes-NM</v>
          </cell>
          <cell r="E766">
            <v>4900476</v>
          </cell>
        </row>
        <row r="767">
          <cell r="A767" t="str">
            <v>00013</v>
          </cell>
          <cell r="B767" t="str">
            <v>Southwestern Public Service Co</v>
          </cell>
          <cell r="C767" t="str">
            <v>911200</v>
          </cell>
          <cell r="D767" t="str">
            <v>Curr St Inc Taxes-OK</v>
          </cell>
          <cell r="E767">
            <v>297889</v>
          </cell>
        </row>
        <row r="768">
          <cell r="A768" t="str">
            <v>00013</v>
          </cell>
          <cell r="B768" t="str">
            <v>Southwestern Public Service Co</v>
          </cell>
          <cell r="C768" t="str">
            <v>912100</v>
          </cell>
          <cell r="D768" t="str">
            <v>Federal Non-Oper Income Tax</v>
          </cell>
          <cell r="E768">
            <v>3475578</v>
          </cell>
        </row>
        <row r="769">
          <cell r="A769" t="str">
            <v>00013</v>
          </cell>
          <cell r="B769" t="str">
            <v>Southwestern Public Service Co</v>
          </cell>
          <cell r="C769" t="str">
            <v>921100</v>
          </cell>
          <cell r="D769" t="str">
            <v>Fed Oper Def Inc-KS</v>
          </cell>
          <cell r="E769">
            <v>9183</v>
          </cell>
        </row>
        <row r="770">
          <cell r="A770" t="str">
            <v>00013</v>
          </cell>
          <cell r="B770" t="str">
            <v>Southwestern Public Service Co</v>
          </cell>
          <cell r="C770" t="str">
            <v>921100</v>
          </cell>
          <cell r="D770" t="str">
            <v>Fed Oper Def Inc-NM</v>
          </cell>
          <cell r="E770">
            <v>-6931570.8300000001</v>
          </cell>
        </row>
        <row r="771">
          <cell r="A771" t="str">
            <v>00013</v>
          </cell>
          <cell r="B771" t="str">
            <v>Southwestern Public Service Co</v>
          </cell>
          <cell r="C771" t="str">
            <v>921100</v>
          </cell>
          <cell r="D771" t="str">
            <v>Fed Oper Def Inc-OK</v>
          </cell>
          <cell r="E771">
            <v>430035</v>
          </cell>
        </row>
        <row r="772">
          <cell r="A772" t="str">
            <v>00013</v>
          </cell>
          <cell r="B772" t="str">
            <v>Southwestern Public Service Co</v>
          </cell>
          <cell r="C772" t="str">
            <v>921100</v>
          </cell>
          <cell r="D772" t="str">
            <v>Fed Oper Def Inc-TX</v>
          </cell>
          <cell r="E772">
            <v>-23846000</v>
          </cell>
        </row>
        <row r="773">
          <cell r="A773" t="str">
            <v>00013</v>
          </cell>
          <cell r="B773" t="str">
            <v>Southwestern Public Service Co</v>
          </cell>
          <cell r="C773" t="str">
            <v>921100</v>
          </cell>
          <cell r="D773" t="str">
            <v>Federal Oper Def Income Taxes</v>
          </cell>
          <cell r="E773">
            <v>893947</v>
          </cell>
        </row>
        <row r="774">
          <cell r="A774" t="str">
            <v>00013</v>
          </cell>
          <cell r="B774" t="str">
            <v>Southwestern Public Service Co</v>
          </cell>
          <cell r="C774" t="str">
            <v>931000</v>
          </cell>
          <cell r="D774" t="str">
            <v>Investment Tx CR-NM</v>
          </cell>
          <cell r="E774">
            <v>-38706.480000000003</v>
          </cell>
        </row>
        <row r="775">
          <cell r="A775" t="str">
            <v>00013</v>
          </cell>
          <cell r="B775" t="str">
            <v>Southwestern Public Service Co</v>
          </cell>
          <cell r="C775" t="str">
            <v>931000</v>
          </cell>
          <cell r="D775" t="str">
            <v>Investment Tx CR-OK</v>
          </cell>
          <cell r="E775">
            <v>-6805.92</v>
          </cell>
        </row>
        <row r="776">
          <cell r="A776" t="str">
            <v>00013</v>
          </cell>
          <cell r="B776" t="str">
            <v>Southwestern Public Service Co</v>
          </cell>
          <cell r="C776" t="str">
            <v>931000</v>
          </cell>
          <cell r="D776" t="str">
            <v>Investment Tx CR-TX</v>
          </cell>
          <cell r="E776">
            <v>-204864.48</v>
          </cell>
        </row>
        <row r="777">
          <cell r="A777" t="str">
            <v>00013</v>
          </cell>
          <cell r="B777" t="str">
            <v>Southwestern Public Service Co</v>
          </cell>
          <cell r="C777" t="str">
            <v>940000</v>
          </cell>
          <cell r="D777" t="str">
            <v>Extraordinary Items-Net of Tax</v>
          </cell>
          <cell r="E777">
            <v>-11820689.880000001</v>
          </cell>
        </row>
        <row r="778">
          <cell r="A778" t="str">
            <v>check-total</v>
          </cell>
          <cell r="E778">
            <v>-130100417.37000048</v>
          </cell>
        </row>
      </sheetData>
      <sheetData sheetId="85"/>
      <sheetData sheetId="86"/>
      <sheetData sheetId="87"/>
      <sheetData sheetId="88" refreshError="1"/>
      <sheetData sheetId="8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Portion"/>
      <sheetName val="EMC Portion"/>
      <sheetName val="Current JE"/>
      <sheetName val="Prior Period"/>
      <sheetName val="Amort Sch"/>
      <sheetName val="Contracts"/>
      <sheetName val="AA-Balance Sheet"/>
      <sheetName val="summary 98_1"/>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xy Group Ticker"/>
      <sheetName val="Exhibit List"/>
      <sheetName val="Summary"/>
      <sheetName val="2 (1)"/>
      <sheetName val="2 (2)"/>
      <sheetName val="2 (3)"/>
      <sheetName val="3"/>
      <sheetName val="4 (1)"/>
      <sheetName val="4 (2)"/>
      <sheetName val="4 (3)"/>
      <sheetName val="5"/>
      <sheetName val="6 (1)"/>
      <sheetName val="6 (2)"/>
      <sheetName val="7 (1)"/>
      <sheetName val="7 (2)"/>
      <sheetName val="7 (3,4)"/>
      <sheetName val="8"/>
      <sheetName val="9"/>
      <sheetName val="10"/>
      <sheetName val="Utility Proxy Group"/>
      <sheetName val="Proxy Group Risk Measures"/>
      <sheetName val="Stock Price (Combination)"/>
      <sheetName val="Stock Price (Non-Utility)"/>
      <sheetName val="2012 05 Market DCF"/>
      <sheetName val="Bond Yields"/>
      <sheetName val="Yield Spread"/>
      <sheetName val="Size Premium"/>
      <sheetName val="Ordinal Ratings"/>
      <sheetName val="Value Line Data"/>
      <sheetName val="CS Data-Operating Cos"/>
      <sheetName val="CS Data"/>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1">
          <cell r="C1" t="str">
            <v>ALE</v>
          </cell>
          <cell r="D1" t="str">
            <v>LNT</v>
          </cell>
          <cell r="E1" t="str">
            <v>AEE</v>
          </cell>
          <cell r="F1" t="str">
            <v>AVA</v>
          </cell>
          <cell r="G1" t="str">
            <v>BKH</v>
          </cell>
          <cell r="H1" t="str">
            <v>DTE</v>
          </cell>
          <cell r="I1" t="str">
            <v>EDE</v>
          </cell>
          <cell r="J1" t="str">
            <v>EXC</v>
          </cell>
          <cell r="K1" t="str">
            <v>NWE</v>
          </cell>
          <cell r="L1" t="str">
            <v>PCG</v>
          </cell>
          <cell r="M1" t="str">
            <v>PPL</v>
          </cell>
          <cell r="N1" t="str">
            <v>PEG</v>
          </cell>
          <cell r="O1" t="str">
            <v>SCG</v>
          </cell>
          <cell r="P1" t="str">
            <v>SRE</v>
          </cell>
          <cell r="Q1" t="str">
            <v>TE</v>
          </cell>
          <cell r="R1" t="str">
            <v>UIL</v>
          </cell>
        </row>
        <row r="2">
          <cell r="C2">
            <v>39.979999999999997</v>
          </cell>
          <cell r="D2">
            <v>43.9</v>
          </cell>
          <cell r="E2">
            <v>32.369999999999997</v>
          </cell>
          <cell r="F2">
            <v>25.55</v>
          </cell>
          <cell r="G2">
            <v>32.14</v>
          </cell>
          <cell r="H2">
            <v>55.76</v>
          </cell>
          <cell r="I2">
            <v>19.98</v>
          </cell>
          <cell r="J2">
            <v>38.53</v>
          </cell>
          <cell r="K2">
            <v>34.799999999999997</v>
          </cell>
          <cell r="L2">
            <v>44.43</v>
          </cell>
          <cell r="M2">
            <v>27.35</v>
          </cell>
          <cell r="N2">
            <v>31.64</v>
          </cell>
          <cell r="O2">
            <v>45.67</v>
          </cell>
          <cell r="P2">
            <v>64.92</v>
          </cell>
          <cell r="Q2">
            <v>17.850000000000001</v>
          </cell>
          <cell r="R2">
            <v>33.369999999999997</v>
          </cell>
        </row>
        <row r="3">
          <cell r="C3">
            <v>40.450000000000003</v>
          </cell>
          <cell r="D3">
            <v>44.66</v>
          </cell>
          <cell r="E3">
            <v>32.43</v>
          </cell>
          <cell r="F3">
            <v>25.68</v>
          </cell>
          <cell r="G3">
            <v>32.200000000000003</v>
          </cell>
          <cell r="H3">
            <v>56.15</v>
          </cell>
          <cell r="I3">
            <v>19.97</v>
          </cell>
          <cell r="J3">
            <v>38.82</v>
          </cell>
          <cell r="K3">
            <v>34.840000000000003</v>
          </cell>
          <cell r="L3">
            <v>44.37</v>
          </cell>
          <cell r="M3">
            <v>27.25</v>
          </cell>
          <cell r="N3">
            <v>31.5</v>
          </cell>
          <cell r="O3">
            <v>45.87</v>
          </cell>
          <cell r="P3">
            <v>64.45</v>
          </cell>
          <cell r="Q3">
            <v>17.989999999999998</v>
          </cell>
          <cell r="R3">
            <v>33.61</v>
          </cell>
        </row>
        <row r="4">
          <cell r="C4">
            <v>40.67</v>
          </cell>
          <cell r="D4">
            <v>45.24</v>
          </cell>
          <cell r="E4">
            <v>32.69</v>
          </cell>
          <cell r="F4">
            <v>26</v>
          </cell>
          <cell r="G4">
            <v>32.54</v>
          </cell>
          <cell r="H4">
            <v>56.31</v>
          </cell>
          <cell r="I4">
            <v>20.21</v>
          </cell>
          <cell r="J4">
            <v>39.28</v>
          </cell>
          <cell r="K4">
            <v>35.29</v>
          </cell>
          <cell r="L4">
            <v>44.11</v>
          </cell>
          <cell r="M4">
            <v>27.46</v>
          </cell>
          <cell r="N4">
            <v>31.39</v>
          </cell>
          <cell r="O4">
            <v>45.97</v>
          </cell>
          <cell r="P4">
            <v>63.88</v>
          </cell>
          <cell r="Q4">
            <v>17.850000000000001</v>
          </cell>
          <cell r="R4">
            <v>34.229999999999997</v>
          </cell>
        </row>
        <row r="5">
          <cell r="C5">
            <v>41.15</v>
          </cell>
          <cell r="D5">
            <v>45.33</v>
          </cell>
          <cell r="E5">
            <v>33</v>
          </cell>
          <cell r="F5">
            <v>26.35</v>
          </cell>
          <cell r="G5">
            <v>33.08</v>
          </cell>
          <cell r="H5">
            <v>56.8</v>
          </cell>
          <cell r="I5">
            <v>20.37</v>
          </cell>
          <cell r="J5">
            <v>39.299999999999997</v>
          </cell>
          <cell r="K5">
            <v>35.4</v>
          </cell>
          <cell r="L5">
            <v>44.19</v>
          </cell>
          <cell r="M5">
            <v>27.58</v>
          </cell>
          <cell r="N5">
            <v>31.47</v>
          </cell>
          <cell r="O5">
            <v>46.37</v>
          </cell>
          <cell r="P5">
            <v>65.06</v>
          </cell>
          <cell r="Q5">
            <v>17.98</v>
          </cell>
          <cell r="R5">
            <v>34.46</v>
          </cell>
        </row>
        <row r="6">
          <cell r="C6">
            <v>41.21</v>
          </cell>
          <cell r="D6">
            <v>45.24</v>
          </cell>
          <cell r="E6">
            <v>32.79</v>
          </cell>
          <cell r="F6">
            <v>26.44</v>
          </cell>
          <cell r="G6">
            <v>33.01</v>
          </cell>
          <cell r="H6">
            <v>56.38</v>
          </cell>
          <cell r="I6">
            <v>20.52</v>
          </cell>
          <cell r="J6">
            <v>39.01</v>
          </cell>
          <cell r="K6">
            <v>35.520000000000003</v>
          </cell>
          <cell r="L6">
            <v>44.18</v>
          </cell>
          <cell r="M6">
            <v>27.35</v>
          </cell>
          <cell r="N6">
            <v>31.15</v>
          </cell>
          <cell r="O6">
            <v>46.12</v>
          </cell>
          <cell r="P6">
            <v>64.739999999999995</v>
          </cell>
          <cell r="Q6">
            <v>18.02</v>
          </cell>
          <cell r="R6">
            <v>34.369999999999997</v>
          </cell>
        </row>
        <row r="7">
          <cell r="C7">
            <v>41.3</v>
          </cell>
          <cell r="D7">
            <v>45.17</v>
          </cell>
          <cell r="E7">
            <v>32.76</v>
          </cell>
          <cell r="F7">
            <v>26.45</v>
          </cell>
          <cell r="G7">
            <v>33.1</v>
          </cell>
          <cell r="H7">
            <v>56.4</v>
          </cell>
          <cell r="I7">
            <v>20.57</v>
          </cell>
          <cell r="J7">
            <v>38.92</v>
          </cell>
          <cell r="K7">
            <v>35.33</v>
          </cell>
          <cell r="L7">
            <v>43.88</v>
          </cell>
          <cell r="M7">
            <v>27.31</v>
          </cell>
          <cell r="N7">
            <v>31.19</v>
          </cell>
          <cell r="O7">
            <v>46.12</v>
          </cell>
          <cell r="P7">
            <v>64.8</v>
          </cell>
          <cell r="Q7">
            <v>17.940000000000001</v>
          </cell>
          <cell r="R7">
            <v>34.299999999999997</v>
          </cell>
        </row>
        <row r="8">
          <cell r="C8">
            <v>41.13</v>
          </cell>
          <cell r="D8">
            <v>44.78</v>
          </cell>
          <cell r="E8">
            <v>32.54</v>
          </cell>
          <cell r="F8">
            <v>26.37</v>
          </cell>
          <cell r="G8">
            <v>33.18</v>
          </cell>
          <cell r="H8">
            <v>56.53</v>
          </cell>
          <cell r="I8">
            <v>20.36</v>
          </cell>
          <cell r="J8">
            <v>38.590000000000003</v>
          </cell>
          <cell r="K8">
            <v>35.11</v>
          </cell>
          <cell r="L8">
            <v>43.65</v>
          </cell>
          <cell r="M8">
            <v>27.38</v>
          </cell>
          <cell r="N8">
            <v>30.95</v>
          </cell>
          <cell r="O8">
            <v>45.85</v>
          </cell>
          <cell r="P8">
            <v>63.91</v>
          </cell>
          <cell r="Q8">
            <v>17.88</v>
          </cell>
          <cell r="R8">
            <v>34.29</v>
          </cell>
        </row>
        <row r="9">
          <cell r="C9">
            <v>41.06</v>
          </cell>
          <cell r="D9">
            <v>45</v>
          </cell>
          <cell r="E9">
            <v>32.29</v>
          </cell>
          <cell r="F9">
            <v>26.23</v>
          </cell>
          <cell r="G9">
            <v>33.08</v>
          </cell>
          <cell r="H9">
            <v>56.24</v>
          </cell>
          <cell r="I9">
            <v>20.41</v>
          </cell>
          <cell r="J9">
            <v>38.159999999999997</v>
          </cell>
          <cell r="K9">
            <v>34.75</v>
          </cell>
          <cell r="L9">
            <v>43.54</v>
          </cell>
          <cell r="M9">
            <v>27.09</v>
          </cell>
          <cell r="N9">
            <v>30.55</v>
          </cell>
          <cell r="O9">
            <v>45.64</v>
          </cell>
          <cell r="P9">
            <v>64.12</v>
          </cell>
          <cell r="Q9">
            <v>17.8</v>
          </cell>
          <cell r="R9">
            <v>33.94</v>
          </cell>
        </row>
        <row r="10">
          <cell r="C10">
            <v>40.89</v>
          </cell>
          <cell r="D10">
            <v>44.68</v>
          </cell>
          <cell r="E10">
            <v>31.93</v>
          </cell>
          <cell r="F10">
            <v>26.06</v>
          </cell>
          <cell r="G10">
            <v>32.6</v>
          </cell>
          <cell r="H10">
            <v>55.98</v>
          </cell>
          <cell r="I10">
            <v>20.329999999999998</v>
          </cell>
          <cell r="J10">
            <v>37.94</v>
          </cell>
          <cell r="K10">
            <v>34.270000000000003</v>
          </cell>
          <cell r="L10">
            <v>43.48</v>
          </cell>
          <cell r="M10">
            <v>27.27</v>
          </cell>
          <cell r="N10">
            <v>30.4</v>
          </cell>
          <cell r="O10">
            <v>45.59</v>
          </cell>
          <cell r="P10">
            <v>64.09</v>
          </cell>
          <cell r="Q10">
            <v>17.8</v>
          </cell>
          <cell r="R10">
            <v>33.53</v>
          </cell>
        </row>
        <row r="11">
          <cell r="C11">
            <v>40.35</v>
          </cell>
          <cell r="D11">
            <v>44.04</v>
          </cell>
          <cell r="E11">
            <v>31.43</v>
          </cell>
          <cell r="F11">
            <v>25.7</v>
          </cell>
          <cell r="G11">
            <v>32.28</v>
          </cell>
          <cell r="H11">
            <v>55.27</v>
          </cell>
          <cell r="I11">
            <v>20.04</v>
          </cell>
          <cell r="J11">
            <v>37.69</v>
          </cell>
          <cell r="K11">
            <v>33.979999999999997</v>
          </cell>
          <cell r="L11">
            <v>43.09</v>
          </cell>
          <cell r="M11">
            <v>27.06</v>
          </cell>
          <cell r="N11">
            <v>30.35</v>
          </cell>
          <cell r="O11">
            <v>45.18</v>
          </cell>
          <cell r="P11">
            <v>63.46</v>
          </cell>
          <cell r="Q11">
            <v>17.649999999999999</v>
          </cell>
          <cell r="R11">
            <v>33.18</v>
          </cell>
        </row>
        <row r="12">
          <cell r="C12">
            <v>40.590000000000003</v>
          </cell>
          <cell r="D12">
            <v>44.17</v>
          </cell>
          <cell r="E12">
            <v>31.68</v>
          </cell>
          <cell r="F12">
            <v>25.95</v>
          </cell>
          <cell r="G12">
            <v>32.72</v>
          </cell>
          <cell r="H12">
            <v>55.46</v>
          </cell>
          <cell r="I12">
            <v>20.2</v>
          </cell>
          <cell r="J12">
            <v>37.75</v>
          </cell>
          <cell r="K12">
            <v>34.380000000000003</v>
          </cell>
          <cell r="L12">
            <v>43.2</v>
          </cell>
          <cell r="M12">
            <v>27.15</v>
          </cell>
          <cell r="N12">
            <v>30.41</v>
          </cell>
          <cell r="O12">
            <v>45.59</v>
          </cell>
          <cell r="P12">
            <v>64.510000000000005</v>
          </cell>
          <cell r="Q12">
            <v>17.850000000000001</v>
          </cell>
          <cell r="R12">
            <v>33.5</v>
          </cell>
        </row>
        <row r="13">
          <cell r="C13">
            <v>40.08</v>
          </cell>
          <cell r="D13">
            <v>43.47</v>
          </cell>
          <cell r="E13">
            <v>31.29</v>
          </cell>
          <cell r="F13">
            <v>25.58</v>
          </cell>
          <cell r="G13">
            <v>32.340000000000003</v>
          </cell>
          <cell r="H13">
            <v>54.72</v>
          </cell>
          <cell r="I13">
            <v>19.79</v>
          </cell>
          <cell r="J13">
            <v>37.61</v>
          </cell>
          <cell r="K13">
            <v>34.14</v>
          </cell>
          <cell r="L13">
            <v>42.79</v>
          </cell>
          <cell r="M13">
            <v>26.9</v>
          </cell>
          <cell r="N13">
            <v>30.08</v>
          </cell>
          <cell r="O13">
            <v>44.86</v>
          </cell>
          <cell r="P13">
            <v>63.51</v>
          </cell>
          <cell r="Q13">
            <v>17.73</v>
          </cell>
          <cell r="R13">
            <v>33.29</v>
          </cell>
        </row>
        <row r="14">
          <cell r="C14">
            <v>40.299999999999997</v>
          </cell>
          <cell r="D14">
            <v>43.51</v>
          </cell>
          <cell r="E14">
            <v>31.49</v>
          </cell>
          <cell r="F14">
            <v>25.77</v>
          </cell>
          <cell r="G14">
            <v>32.57</v>
          </cell>
          <cell r="H14">
            <v>55.13</v>
          </cell>
          <cell r="I14">
            <v>19.84</v>
          </cell>
          <cell r="J14">
            <v>37.65</v>
          </cell>
          <cell r="K14">
            <v>34.409999999999997</v>
          </cell>
          <cell r="L14">
            <v>42.9</v>
          </cell>
          <cell r="M14">
            <v>26.9</v>
          </cell>
          <cell r="N14">
            <v>30.1</v>
          </cell>
          <cell r="O14">
            <v>44.84</v>
          </cell>
          <cell r="P14">
            <v>63.45</v>
          </cell>
          <cell r="Q14">
            <v>17.61</v>
          </cell>
          <cell r="R14">
            <v>33.56</v>
          </cell>
        </row>
        <row r="15">
          <cell r="C15">
            <v>40.69</v>
          </cell>
          <cell r="D15">
            <v>43.64</v>
          </cell>
          <cell r="E15">
            <v>31.86</v>
          </cell>
          <cell r="F15">
            <v>25.91</v>
          </cell>
          <cell r="G15">
            <v>32.97</v>
          </cell>
          <cell r="H15">
            <v>55.36</v>
          </cell>
          <cell r="I15">
            <v>20.22</v>
          </cell>
          <cell r="J15">
            <v>38.07</v>
          </cell>
          <cell r="K15">
            <v>34.659999999999997</v>
          </cell>
          <cell r="L15">
            <v>43.08</v>
          </cell>
          <cell r="M15">
            <v>27.09</v>
          </cell>
          <cell r="N15">
            <v>30.32</v>
          </cell>
          <cell r="O15">
            <v>44.95</v>
          </cell>
          <cell r="P15">
            <v>64.03</v>
          </cell>
          <cell r="Q15">
            <v>17.61</v>
          </cell>
          <cell r="R15">
            <v>33.75</v>
          </cell>
        </row>
        <row r="16">
          <cell r="C16">
            <v>40.340000000000003</v>
          </cell>
          <cell r="D16">
            <v>43.15</v>
          </cell>
          <cell r="E16">
            <v>31.64</v>
          </cell>
          <cell r="F16">
            <v>25.63</v>
          </cell>
          <cell r="G16">
            <v>32.619999999999997</v>
          </cell>
          <cell r="H16">
            <v>55.01</v>
          </cell>
          <cell r="I16">
            <v>20.11</v>
          </cell>
          <cell r="J16">
            <v>37.81</v>
          </cell>
          <cell r="K16">
            <v>34.44</v>
          </cell>
          <cell r="L16">
            <v>43.01</v>
          </cell>
          <cell r="M16">
            <v>26.93</v>
          </cell>
          <cell r="N16">
            <v>30.02</v>
          </cell>
          <cell r="O16">
            <v>44.36</v>
          </cell>
          <cell r="P16">
            <v>63.18</v>
          </cell>
          <cell r="Q16">
            <v>17.36</v>
          </cell>
          <cell r="R16">
            <v>33.590000000000003</v>
          </cell>
        </row>
        <row r="17">
          <cell r="C17">
            <v>39.92</v>
          </cell>
          <cell r="D17">
            <v>42.81</v>
          </cell>
          <cell r="E17">
            <v>31.47</v>
          </cell>
          <cell r="F17">
            <v>25.35</v>
          </cell>
          <cell r="G17">
            <v>32.299999999999997</v>
          </cell>
          <cell r="H17">
            <v>54.25</v>
          </cell>
          <cell r="I17">
            <v>19.61</v>
          </cell>
          <cell r="J17">
            <v>37.49</v>
          </cell>
          <cell r="K17">
            <v>34.19</v>
          </cell>
          <cell r="L17">
            <v>42.26</v>
          </cell>
          <cell r="M17">
            <v>26.77</v>
          </cell>
          <cell r="N17">
            <v>29.69</v>
          </cell>
          <cell r="O17">
            <v>44.28</v>
          </cell>
          <cell r="P17">
            <v>62.39</v>
          </cell>
          <cell r="Q17">
            <v>17.18</v>
          </cell>
          <cell r="R17">
            <v>33.39</v>
          </cell>
        </row>
        <row r="18">
          <cell r="C18">
            <v>40.11</v>
          </cell>
          <cell r="D18">
            <v>42.84</v>
          </cell>
          <cell r="E18">
            <v>31.56</v>
          </cell>
          <cell r="F18">
            <v>25.38</v>
          </cell>
          <cell r="G18">
            <v>32.5</v>
          </cell>
          <cell r="H18">
            <v>54.52</v>
          </cell>
          <cell r="I18">
            <v>19.649999999999999</v>
          </cell>
          <cell r="J18">
            <v>37.89</v>
          </cell>
          <cell r="K18">
            <v>34.31</v>
          </cell>
          <cell r="L18">
            <v>42.65</v>
          </cell>
          <cell r="M18">
            <v>27.1</v>
          </cell>
          <cell r="N18">
            <v>29.41</v>
          </cell>
          <cell r="O18">
            <v>44.4</v>
          </cell>
          <cell r="P18">
            <v>62.89</v>
          </cell>
          <cell r="Q18">
            <v>17.329999999999998</v>
          </cell>
          <cell r="R18">
            <v>33.51</v>
          </cell>
        </row>
        <row r="19">
          <cell r="C19">
            <v>40.06</v>
          </cell>
          <cell r="D19">
            <v>42.35</v>
          </cell>
          <cell r="E19">
            <v>31.47</v>
          </cell>
          <cell r="F19">
            <v>25.24</v>
          </cell>
          <cell r="G19">
            <v>32.21</v>
          </cell>
          <cell r="H19">
            <v>54.12</v>
          </cell>
          <cell r="I19">
            <v>19.68</v>
          </cell>
          <cell r="J19">
            <v>38.18</v>
          </cell>
          <cell r="K19">
            <v>34.19</v>
          </cell>
          <cell r="L19">
            <v>42.19</v>
          </cell>
          <cell r="M19">
            <v>27.07</v>
          </cell>
          <cell r="N19">
            <v>29.36</v>
          </cell>
          <cell r="O19">
            <v>44</v>
          </cell>
          <cell r="P19">
            <v>62.68</v>
          </cell>
          <cell r="Q19">
            <v>17.11</v>
          </cell>
          <cell r="R19">
            <v>33.409999999999997</v>
          </cell>
        </row>
        <row r="20">
          <cell r="C20">
            <v>40.049999999999997</v>
          </cell>
          <cell r="D20">
            <v>42.31</v>
          </cell>
          <cell r="E20">
            <v>31.39</v>
          </cell>
          <cell r="F20">
            <v>25.04</v>
          </cell>
          <cell r="G20">
            <v>32.26</v>
          </cell>
          <cell r="H20">
            <v>53.83</v>
          </cell>
          <cell r="I20">
            <v>19.63</v>
          </cell>
          <cell r="J20">
            <v>38.01</v>
          </cell>
          <cell r="K20">
            <v>34.369999999999997</v>
          </cell>
          <cell r="L20">
            <v>42.04</v>
          </cell>
          <cell r="M20">
            <v>27.06</v>
          </cell>
          <cell r="N20">
            <v>29.09</v>
          </cell>
          <cell r="O20">
            <v>44.01</v>
          </cell>
          <cell r="P20">
            <v>62</v>
          </cell>
          <cell r="Q20">
            <v>16.93</v>
          </cell>
          <cell r="R20">
            <v>33.369999999999997</v>
          </cell>
        </row>
        <row r="21">
          <cell r="C21">
            <v>40.6</v>
          </cell>
          <cell r="D21">
            <v>42.97</v>
          </cell>
          <cell r="E21">
            <v>31.92</v>
          </cell>
          <cell r="F21">
            <v>25.31</v>
          </cell>
          <cell r="G21">
            <v>32.85</v>
          </cell>
          <cell r="H21">
            <v>54.48</v>
          </cell>
          <cell r="I21">
            <v>19.78</v>
          </cell>
          <cell r="J21">
            <v>38.229999999999997</v>
          </cell>
          <cell r="K21">
            <v>35</v>
          </cell>
          <cell r="L21">
            <v>42.55</v>
          </cell>
          <cell r="M21">
            <v>27.66</v>
          </cell>
          <cell r="N21">
            <v>29.53</v>
          </cell>
          <cell r="O21">
            <v>44.77</v>
          </cell>
          <cell r="P21">
            <v>62.29</v>
          </cell>
          <cell r="Q21">
            <v>17.14</v>
          </cell>
          <cell r="R21">
            <v>33.9</v>
          </cell>
        </row>
        <row r="22">
          <cell r="C22">
            <v>40.869999999999997</v>
          </cell>
          <cell r="D22">
            <v>42.98</v>
          </cell>
          <cell r="E22">
            <v>32.090000000000003</v>
          </cell>
          <cell r="F22">
            <v>25.46</v>
          </cell>
          <cell r="G22">
            <v>33.369999999999997</v>
          </cell>
          <cell r="H22">
            <v>54.78</v>
          </cell>
          <cell r="I22">
            <v>20.010000000000002</v>
          </cell>
          <cell r="J22">
            <v>38.369999999999997</v>
          </cell>
          <cell r="K22">
            <v>35.33</v>
          </cell>
          <cell r="L22">
            <v>42.88</v>
          </cell>
          <cell r="M22">
            <v>27.63</v>
          </cell>
          <cell r="N22">
            <v>29.71</v>
          </cell>
          <cell r="O22">
            <v>45.05</v>
          </cell>
          <cell r="P22">
            <v>62.43</v>
          </cell>
          <cell r="Q22">
            <v>17.29</v>
          </cell>
          <cell r="R22">
            <v>34.15</v>
          </cell>
        </row>
        <row r="23">
          <cell r="C23">
            <v>41.45</v>
          </cell>
          <cell r="D23">
            <v>43.33</v>
          </cell>
          <cell r="E23">
            <v>32.32</v>
          </cell>
          <cell r="F23">
            <v>25.7</v>
          </cell>
          <cell r="G23">
            <v>34.01</v>
          </cell>
          <cell r="H23">
            <v>55.19</v>
          </cell>
          <cell r="I23">
            <v>20.170000000000002</v>
          </cell>
          <cell r="J23">
            <v>38.89</v>
          </cell>
          <cell r="K23">
            <v>35.549999999999997</v>
          </cell>
          <cell r="L23">
            <v>43.28</v>
          </cell>
          <cell r="M23">
            <v>27.89</v>
          </cell>
          <cell r="N23">
            <v>30.21</v>
          </cell>
          <cell r="O23">
            <v>45.2</v>
          </cell>
          <cell r="P23">
            <v>62.16</v>
          </cell>
          <cell r="Q23">
            <v>17.489999999999998</v>
          </cell>
          <cell r="R23">
            <v>34.619999999999997</v>
          </cell>
        </row>
        <row r="24">
          <cell r="C24">
            <v>41.68</v>
          </cell>
          <cell r="D24">
            <v>43.45</v>
          </cell>
          <cell r="E24">
            <v>32.409999999999997</v>
          </cell>
          <cell r="F24">
            <v>25.83</v>
          </cell>
          <cell r="G24">
            <v>34.07</v>
          </cell>
          <cell r="H24">
            <v>55.22</v>
          </cell>
          <cell r="I24">
            <v>20.38</v>
          </cell>
          <cell r="J24">
            <v>38.93</v>
          </cell>
          <cell r="K24">
            <v>35.81</v>
          </cell>
          <cell r="L24">
            <v>43.19</v>
          </cell>
          <cell r="M24">
            <v>28.17</v>
          </cell>
          <cell r="N24">
            <v>30.39</v>
          </cell>
          <cell r="O24">
            <v>45.34</v>
          </cell>
          <cell r="P24">
            <v>62.28</v>
          </cell>
          <cell r="Q24">
            <v>17.57</v>
          </cell>
          <cell r="R24">
            <v>34.950000000000003</v>
          </cell>
        </row>
        <row r="25">
          <cell r="C25">
            <v>41.81</v>
          </cell>
          <cell r="D25">
            <v>43.34</v>
          </cell>
          <cell r="E25">
            <v>32.5</v>
          </cell>
          <cell r="F25">
            <v>25.97</v>
          </cell>
          <cell r="G25">
            <v>34.22</v>
          </cell>
          <cell r="H25">
            <v>55.2</v>
          </cell>
          <cell r="I25">
            <v>20.57</v>
          </cell>
          <cell r="J25">
            <v>39.21</v>
          </cell>
          <cell r="K25">
            <v>35.92</v>
          </cell>
          <cell r="L25">
            <v>43.49</v>
          </cell>
          <cell r="M25">
            <v>28.2</v>
          </cell>
          <cell r="N25">
            <v>30.62</v>
          </cell>
          <cell r="O25">
            <v>45.6</v>
          </cell>
          <cell r="P25">
            <v>61.14</v>
          </cell>
          <cell r="Q25">
            <v>17.59</v>
          </cell>
          <cell r="R25">
            <v>35.200000000000003</v>
          </cell>
        </row>
        <row r="26">
          <cell r="C26">
            <v>41.49</v>
          </cell>
          <cell r="D26">
            <v>43.32</v>
          </cell>
          <cell r="E26">
            <v>32.58</v>
          </cell>
          <cell r="F26">
            <v>25.58</v>
          </cell>
          <cell r="G26">
            <v>33.53</v>
          </cell>
          <cell r="H26">
            <v>55.03</v>
          </cell>
          <cell r="I26">
            <v>20.350000000000001</v>
          </cell>
          <cell r="J26">
            <v>39.21</v>
          </cell>
          <cell r="K26">
            <v>35.46</v>
          </cell>
          <cell r="L26">
            <v>43.41</v>
          </cell>
          <cell r="M26">
            <v>28.26</v>
          </cell>
          <cell r="N26">
            <v>30.61</v>
          </cell>
          <cell r="O26">
            <v>45.61</v>
          </cell>
          <cell r="P26">
            <v>59.96</v>
          </cell>
          <cell r="Q26">
            <v>17.55</v>
          </cell>
          <cell r="R26">
            <v>34.76</v>
          </cell>
        </row>
        <row r="27">
          <cell r="C27">
            <v>41.49</v>
          </cell>
          <cell r="D27">
            <v>43.6</v>
          </cell>
          <cell r="E27">
            <v>32.14</v>
          </cell>
          <cell r="F27">
            <v>25.57</v>
          </cell>
          <cell r="G27">
            <v>33.6</v>
          </cell>
          <cell r="H27">
            <v>54.86</v>
          </cell>
          <cell r="I27">
            <v>20.12</v>
          </cell>
          <cell r="J27">
            <v>39.119999999999997</v>
          </cell>
          <cell r="K27">
            <v>35.340000000000003</v>
          </cell>
          <cell r="L27">
            <v>42.99</v>
          </cell>
          <cell r="M27">
            <v>28.01</v>
          </cell>
          <cell r="N27">
            <v>30.25</v>
          </cell>
          <cell r="O27">
            <v>45.65</v>
          </cell>
          <cell r="P27">
            <v>59.25</v>
          </cell>
          <cell r="Q27">
            <v>17.63</v>
          </cell>
          <cell r="R27">
            <v>34.869999999999997</v>
          </cell>
        </row>
        <row r="28">
          <cell r="C28">
            <v>41.31</v>
          </cell>
          <cell r="D28">
            <v>43.17</v>
          </cell>
          <cell r="E28">
            <v>31.99</v>
          </cell>
          <cell r="F28">
            <v>25.48</v>
          </cell>
          <cell r="G28">
            <v>33.630000000000003</v>
          </cell>
          <cell r="H28">
            <v>54.82</v>
          </cell>
          <cell r="I28">
            <v>20.21</v>
          </cell>
          <cell r="J28">
            <v>38.85</v>
          </cell>
          <cell r="K28">
            <v>35.229999999999997</v>
          </cell>
          <cell r="L28">
            <v>42.86</v>
          </cell>
          <cell r="M28">
            <v>27.92</v>
          </cell>
          <cell r="N28">
            <v>30.11</v>
          </cell>
          <cell r="O28">
            <v>45.36</v>
          </cell>
          <cell r="P28">
            <v>58.36</v>
          </cell>
          <cell r="Q28">
            <v>17.64</v>
          </cell>
          <cell r="R28">
            <v>34.729999999999997</v>
          </cell>
        </row>
        <row r="29">
          <cell r="C29">
            <v>41.49</v>
          </cell>
          <cell r="D29">
            <v>43.16</v>
          </cell>
          <cell r="E29">
            <v>32.47</v>
          </cell>
          <cell r="F29">
            <v>25.44</v>
          </cell>
          <cell r="G29">
            <v>33.89</v>
          </cell>
          <cell r="H29">
            <v>55.34</v>
          </cell>
          <cell r="I29">
            <v>20.399999999999999</v>
          </cell>
          <cell r="J29">
            <v>39.090000000000003</v>
          </cell>
          <cell r="K29">
            <v>35.450000000000003</v>
          </cell>
          <cell r="L29">
            <v>43.72</v>
          </cell>
          <cell r="M29">
            <v>28.16</v>
          </cell>
          <cell r="N29">
            <v>30.24</v>
          </cell>
          <cell r="O29">
            <v>45.34</v>
          </cell>
          <cell r="P29">
            <v>59.05</v>
          </cell>
          <cell r="Q29">
            <v>17.72</v>
          </cell>
          <cell r="R29">
            <v>34.880000000000003</v>
          </cell>
        </row>
        <row r="30">
          <cell r="C30">
            <v>41.42</v>
          </cell>
          <cell r="D30">
            <v>43.25</v>
          </cell>
          <cell r="E30">
            <v>32.18</v>
          </cell>
          <cell r="F30">
            <v>25.34</v>
          </cell>
          <cell r="G30">
            <v>33.68</v>
          </cell>
          <cell r="H30">
            <v>55.44</v>
          </cell>
          <cell r="I30">
            <v>20.420000000000002</v>
          </cell>
          <cell r="J30">
            <v>38.979999999999997</v>
          </cell>
          <cell r="K30">
            <v>35.36</v>
          </cell>
          <cell r="L30">
            <v>43.6</v>
          </cell>
          <cell r="M30">
            <v>27.74</v>
          </cell>
          <cell r="N30">
            <v>29.98</v>
          </cell>
          <cell r="O30">
            <v>45.2</v>
          </cell>
          <cell r="P30">
            <v>58.62</v>
          </cell>
          <cell r="Q30">
            <v>17.75</v>
          </cell>
          <cell r="R30">
            <v>34.659999999999997</v>
          </cell>
        </row>
        <row r="31">
          <cell r="C31">
            <v>40.869999999999997</v>
          </cell>
          <cell r="D31">
            <v>42.29</v>
          </cell>
          <cell r="E31">
            <v>31.77</v>
          </cell>
          <cell r="F31">
            <v>24.99</v>
          </cell>
          <cell r="G31">
            <v>33.25</v>
          </cell>
          <cell r="H31">
            <v>54.66</v>
          </cell>
          <cell r="I31">
            <v>20.170000000000002</v>
          </cell>
          <cell r="J31">
            <v>38.840000000000003</v>
          </cell>
          <cell r="K31">
            <v>34.869999999999997</v>
          </cell>
          <cell r="L31">
            <v>43.39</v>
          </cell>
          <cell r="M31">
            <v>27.67</v>
          </cell>
          <cell r="N31">
            <v>29.67</v>
          </cell>
          <cell r="O31">
            <v>44.61</v>
          </cell>
          <cell r="P31">
            <v>58.13</v>
          </cell>
          <cell r="Q31">
            <v>17.53</v>
          </cell>
          <cell r="R31">
            <v>34.450000000000003</v>
          </cell>
        </row>
        <row r="32">
          <cell r="C32" t="str">
            <v xml:space="preserve">           </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row>
        <row r="33">
          <cell r="C33">
            <v>40.826999999999998</v>
          </cell>
          <cell r="D33">
            <v>43.705000000000005</v>
          </cell>
          <cell r="E33">
            <v>32.081666666666671</v>
          </cell>
          <cell r="F33">
            <v>25.71166666666668</v>
          </cell>
          <cell r="G33">
            <v>32.993333333333332</v>
          </cell>
          <cell r="H33">
            <v>55.308</v>
          </cell>
          <cell r="I33">
            <v>20.135666666666665</v>
          </cell>
          <cell r="J33">
            <v>38.480666666666664</v>
          </cell>
          <cell r="K33">
            <v>34.923333333333332</v>
          </cell>
          <cell r="L33">
            <v>43.279999999999994</v>
          </cell>
          <cell r="M33">
            <v>27.445999999999991</v>
          </cell>
          <cell r="N33">
            <v>30.346333333333337</v>
          </cell>
          <cell r="O33">
            <v>45.246666666666655</v>
          </cell>
          <cell r="P33">
            <v>62.524666666666675</v>
          </cell>
          <cell r="Q33">
            <v>17.612333333333332</v>
          </cell>
          <cell r="R33">
            <v>34.060666666666663</v>
          </cell>
        </row>
      </sheetData>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h End Current Month"/>
      <sheetName val="Rev End Current Month"/>
      <sheetName val="Cust End Current Month"/>
      <sheetName val="kWh WeatherImpact"/>
      <sheetName val="kWh WeatherNormalized"/>
      <sheetName val="Summary Page"/>
      <sheetName val="new summary"/>
      <sheetName val="(1)Summary Download"/>
      <sheetName val="(2)Summary Download PivotTable"/>
      <sheetName val="(3)Access BW data"/>
      <sheetName val="(4)Rate Code Template"/>
      <sheetName val="(5)Revenue Sales by Rate Class"/>
      <sheetName val="(6)Revenue Vol by Rate Class"/>
      <sheetName val="(7)Revenue Counts By Rate Class"/>
      <sheetName val="(8)Vance calc1"/>
      <sheetName val="(9)Paris calc1"/>
      <sheetName val="(10)Short calc1"/>
      <sheetName val="(11)kwh"/>
      <sheetName val="(12)rev"/>
      <sheetName val="(13)Customers"/>
      <sheetName val="(14)RTPRevSle"/>
      <sheetName val="(14A) ArkRTP BILL"/>
      <sheetName val="(15)revenues"/>
      <sheetName val="(16)Demand Response  "/>
      <sheetName val="(17)WFEC"/>
      <sheetName val="(18)OMPA"/>
      <sheetName val="By Class"/>
      <sheetName val="(19)curtailment"/>
      <sheetName val="(20)OPER REV &amp; MWH SALES (GAAP)"/>
      <sheetName val="(22) CTUA Block 4 Summary"/>
      <sheetName val="Sheet1"/>
      <sheetName val="Sheet2"/>
    </sheetNames>
    <sheetDataSet>
      <sheetData sheetId="0"/>
      <sheetData sheetId="1"/>
      <sheetData sheetId="2"/>
      <sheetData sheetId="3"/>
      <sheetData sheetId="4"/>
      <sheetData sheetId="5"/>
      <sheetData sheetId="6"/>
      <sheetData sheetId="7">
        <row r="2">
          <cell r="B2" t="str">
            <v>Report Creation Date:</v>
          </cell>
        </row>
        <row r="4">
          <cell r="B4" t="str">
            <v>Period:</v>
          </cell>
        </row>
        <row r="5">
          <cell r="B5">
            <v>0</v>
          </cell>
        </row>
        <row r="6">
          <cell r="B6" t="str">
            <v>Period</v>
          </cell>
        </row>
        <row r="7">
          <cell r="B7" t="str">
            <v>2013-12</v>
          </cell>
        </row>
        <row r="8">
          <cell r="B8" t="str">
            <v>2013-12</v>
          </cell>
        </row>
        <row r="9">
          <cell r="B9" t="str">
            <v>2013-12</v>
          </cell>
        </row>
        <row r="10">
          <cell r="B10" t="str">
            <v>2013-12</v>
          </cell>
        </row>
        <row r="11">
          <cell r="B11" t="str">
            <v>2013-12</v>
          </cell>
        </row>
        <row r="12">
          <cell r="B12" t="str">
            <v>2013-12</v>
          </cell>
        </row>
        <row r="13">
          <cell r="B13" t="str">
            <v>2013-12</v>
          </cell>
        </row>
        <row r="14">
          <cell r="B14" t="str">
            <v>2013-12</v>
          </cell>
        </row>
        <row r="15">
          <cell r="B15" t="str">
            <v>2013-12</v>
          </cell>
        </row>
        <row r="16">
          <cell r="B16" t="str">
            <v>2013-12</v>
          </cell>
        </row>
        <row r="17">
          <cell r="B17" t="str">
            <v>2013-12</v>
          </cell>
        </row>
        <row r="18">
          <cell r="B18" t="str">
            <v>2013-12</v>
          </cell>
        </row>
        <row r="19">
          <cell r="B19" t="str">
            <v>2013-12</v>
          </cell>
        </row>
        <row r="20">
          <cell r="B20" t="str">
            <v>2013-12</v>
          </cell>
        </row>
        <row r="21">
          <cell r="B21" t="str">
            <v>2013-12</v>
          </cell>
        </row>
        <row r="22">
          <cell r="B22" t="str">
            <v>2013-12</v>
          </cell>
        </row>
        <row r="23">
          <cell r="B23" t="str">
            <v>2013-12</v>
          </cell>
        </row>
        <row r="24">
          <cell r="B24" t="str">
            <v>2013-12</v>
          </cell>
        </row>
        <row r="25">
          <cell r="B25" t="str">
            <v>2013-12</v>
          </cell>
        </row>
        <row r="26">
          <cell r="B26" t="str">
            <v>2013-12</v>
          </cell>
        </row>
        <row r="27">
          <cell r="B27" t="str">
            <v>2013-12</v>
          </cell>
        </row>
        <row r="28">
          <cell r="B28" t="str">
            <v>2013-12</v>
          </cell>
        </row>
        <row r="29">
          <cell r="B29" t="str">
            <v>2013-12</v>
          </cell>
        </row>
        <row r="30">
          <cell r="B30" t="str">
            <v>2013-12</v>
          </cell>
        </row>
        <row r="31">
          <cell r="B31" t="str">
            <v>2013-12</v>
          </cell>
        </row>
        <row r="32">
          <cell r="B32" t="str">
            <v>2013-12</v>
          </cell>
        </row>
        <row r="33">
          <cell r="B33" t="str">
            <v>2013-12</v>
          </cell>
        </row>
        <row r="34">
          <cell r="B34" t="str">
            <v>2013-12</v>
          </cell>
        </row>
        <row r="35">
          <cell r="B35" t="str">
            <v>2013-12</v>
          </cell>
        </row>
        <row r="36">
          <cell r="B36" t="str">
            <v>2013-12</v>
          </cell>
        </row>
        <row r="37">
          <cell r="B37" t="str">
            <v>2013-12</v>
          </cell>
        </row>
        <row r="38">
          <cell r="B38" t="str">
            <v>2013-12</v>
          </cell>
        </row>
        <row r="39">
          <cell r="B39" t="str">
            <v>2013-12</v>
          </cell>
        </row>
        <row r="40">
          <cell r="B40" t="str">
            <v>2013-12</v>
          </cell>
        </row>
        <row r="41">
          <cell r="B41" t="str">
            <v>2013-12</v>
          </cell>
        </row>
        <row r="42">
          <cell r="B42" t="str">
            <v>2013-12</v>
          </cell>
        </row>
        <row r="43">
          <cell r="B43" t="str">
            <v>2013-12</v>
          </cell>
        </row>
        <row r="44">
          <cell r="B44" t="str">
            <v>2013-12</v>
          </cell>
        </row>
        <row r="45">
          <cell r="B45" t="str">
            <v>2013-12</v>
          </cell>
        </row>
        <row r="46">
          <cell r="B46" t="str">
            <v>2013-12</v>
          </cell>
        </row>
        <row r="47">
          <cell r="B47" t="str">
            <v>2013-12</v>
          </cell>
        </row>
        <row r="48">
          <cell r="B48" t="str">
            <v>2013-12</v>
          </cell>
        </row>
        <row r="49">
          <cell r="B49" t="str">
            <v>2013-12</v>
          </cell>
        </row>
        <row r="50">
          <cell r="B50" t="str">
            <v>2013-12</v>
          </cell>
        </row>
        <row r="51">
          <cell r="B51" t="str">
            <v>2013-12</v>
          </cell>
        </row>
        <row r="52">
          <cell r="B52" t="str">
            <v>2013-12</v>
          </cell>
        </row>
        <row r="53">
          <cell r="B53" t="str">
            <v>2013-12</v>
          </cell>
        </row>
        <row r="54">
          <cell r="B54" t="str">
            <v>2013-12</v>
          </cell>
        </row>
        <row r="55">
          <cell r="B55" t="str">
            <v>2013-12</v>
          </cell>
        </row>
        <row r="56">
          <cell r="B56" t="str">
            <v>2013-12</v>
          </cell>
        </row>
        <row r="57">
          <cell r="B57" t="str">
            <v>2013-12</v>
          </cell>
        </row>
        <row r="58">
          <cell r="B58" t="str">
            <v>2013-12</v>
          </cell>
        </row>
        <row r="59">
          <cell r="B59" t="str">
            <v>2013-12</v>
          </cell>
        </row>
        <row r="60">
          <cell r="B60" t="str">
            <v>2013-12</v>
          </cell>
        </row>
        <row r="61">
          <cell r="B61" t="str">
            <v>2013-12</v>
          </cell>
        </row>
        <row r="62">
          <cell r="B62" t="str">
            <v>2013-12</v>
          </cell>
        </row>
        <row r="63">
          <cell r="B63" t="str">
            <v>2013-12</v>
          </cell>
        </row>
        <row r="64">
          <cell r="B64" t="str">
            <v>2013-12</v>
          </cell>
        </row>
        <row r="65">
          <cell r="B65" t="str">
            <v>2013-12</v>
          </cell>
        </row>
        <row r="66">
          <cell r="B66" t="str">
            <v>2013-12</v>
          </cell>
        </row>
        <row r="67">
          <cell r="B67" t="str">
            <v>2013-12</v>
          </cell>
        </row>
        <row r="68">
          <cell r="B68" t="str">
            <v>2013-12</v>
          </cell>
        </row>
        <row r="69">
          <cell r="B69" t="str">
            <v>2013-12</v>
          </cell>
        </row>
        <row r="70">
          <cell r="B70" t="str">
            <v>2013-12</v>
          </cell>
        </row>
        <row r="71">
          <cell r="B71" t="str">
            <v>2013-12</v>
          </cell>
        </row>
        <row r="72">
          <cell r="B72" t="str">
            <v>2013-12</v>
          </cell>
        </row>
        <row r="73">
          <cell r="B73" t="str">
            <v>2013-12</v>
          </cell>
        </row>
        <row r="74">
          <cell r="B74" t="str">
            <v>2013-12</v>
          </cell>
        </row>
        <row r="75">
          <cell r="B75" t="str">
            <v>2013-12</v>
          </cell>
        </row>
        <row r="76">
          <cell r="B76" t="str">
            <v>2013-12</v>
          </cell>
        </row>
        <row r="77">
          <cell r="B77" t="str">
            <v>2013-12</v>
          </cell>
        </row>
        <row r="78">
          <cell r="B78" t="str">
            <v>2013-12</v>
          </cell>
        </row>
        <row r="79">
          <cell r="B79" t="str">
            <v>2013-12</v>
          </cell>
        </row>
        <row r="80">
          <cell r="B80" t="str">
            <v>2013-12</v>
          </cell>
        </row>
        <row r="81">
          <cell r="B81" t="str">
            <v>2013-12</v>
          </cell>
        </row>
        <row r="82">
          <cell r="B82" t="str">
            <v>2013-12</v>
          </cell>
        </row>
        <row r="83">
          <cell r="B83" t="str">
            <v>2013-12</v>
          </cell>
        </row>
        <row r="84">
          <cell r="B84" t="str">
            <v>2013-12</v>
          </cell>
        </row>
        <row r="85">
          <cell r="B85" t="str">
            <v>2013-12</v>
          </cell>
        </row>
        <row r="86">
          <cell r="B86" t="str">
            <v>2013-12</v>
          </cell>
        </row>
        <row r="87">
          <cell r="B87" t="str">
            <v>2013-12</v>
          </cell>
        </row>
        <row r="88">
          <cell r="B88" t="str">
            <v>2013-12</v>
          </cell>
        </row>
        <row r="89">
          <cell r="B89" t="str">
            <v>2013-12</v>
          </cell>
        </row>
        <row r="90">
          <cell r="B90" t="str">
            <v>2013-12</v>
          </cell>
        </row>
        <row r="91">
          <cell r="B91" t="str">
            <v>2013-12</v>
          </cell>
        </row>
        <row r="92">
          <cell r="B92" t="str">
            <v>2013-12</v>
          </cell>
        </row>
        <row r="93">
          <cell r="B93" t="str">
            <v>2013-12</v>
          </cell>
        </row>
        <row r="94">
          <cell r="B94" t="str">
            <v>2013-12</v>
          </cell>
        </row>
        <row r="95">
          <cell r="B95" t="str">
            <v>2013-12</v>
          </cell>
        </row>
        <row r="96">
          <cell r="B96" t="str">
            <v>2013-12</v>
          </cell>
        </row>
        <row r="97">
          <cell r="B97" t="str">
            <v>2013-12</v>
          </cell>
        </row>
        <row r="98">
          <cell r="B98" t="str">
            <v>2013-12</v>
          </cell>
        </row>
        <row r="99">
          <cell r="B99" t="str">
            <v>2013-12</v>
          </cell>
        </row>
        <row r="100">
          <cell r="B100" t="str">
            <v>2013-12</v>
          </cell>
        </row>
        <row r="101">
          <cell r="B101" t="str">
            <v>2013-12</v>
          </cell>
        </row>
        <row r="102">
          <cell r="B102" t="str">
            <v>2013-12</v>
          </cell>
        </row>
        <row r="103">
          <cell r="B103" t="str">
            <v>2013-12</v>
          </cell>
        </row>
        <row r="104">
          <cell r="B104" t="str">
            <v>2013-12</v>
          </cell>
        </row>
        <row r="105">
          <cell r="B105" t="str">
            <v>2013-12</v>
          </cell>
        </row>
        <row r="106">
          <cell r="B106" t="str">
            <v>2013-12</v>
          </cell>
        </row>
        <row r="107">
          <cell r="B107" t="str">
            <v>2013-12</v>
          </cell>
        </row>
        <row r="108">
          <cell r="B108" t="str">
            <v>2013-12</v>
          </cell>
        </row>
        <row r="109">
          <cell r="B109" t="str">
            <v>2013-12</v>
          </cell>
        </row>
        <row r="110">
          <cell r="B110" t="str">
            <v>2013-12</v>
          </cell>
        </row>
        <row r="111">
          <cell r="B111" t="str">
            <v>2013-12</v>
          </cell>
        </row>
        <row r="112">
          <cell r="B112" t="str">
            <v>2013-12</v>
          </cell>
        </row>
        <row r="113">
          <cell r="B113" t="str">
            <v>2013-12</v>
          </cell>
        </row>
        <row r="114">
          <cell r="B114" t="str">
            <v>2013-12</v>
          </cell>
        </row>
        <row r="115">
          <cell r="B115" t="str">
            <v>2013-12</v>
          </cell>
        </row>
        <row r="116">
          <cell r="B116" t="str">
            <v>2013-12</v>
          </cell>
        </row>
        <row r="117">
          <cell r="B117" t="str">
            <v>2013-12</v>
          </cell>
        </row>
        <row r="118">
          <cell r="B118" t="str">
            <v>2013-12</v>
          </cell>
        </row>
        <row r="119">
          <cell r="B119" t="str">
            <v>2013-12</v>
          </cell>
        </row>
        <row r="120">
          <cell r="B120" t="str">
            <v>2013-12</v>
          </cell>
        </row>
        <row r="121">
          <cell r="B121" t="str">
            <v>2013-12</v>
          </cell>
        </row>
        <row r="122">
          <cell r="B122" t="str">
            <v>2013-12</v>
          </cell>
        </row>
        <row r="123">
          <cell r="B123" t="str">
            <v>2013-12</v>
          </cell>
        </row>
        <row r="124">
          <cell r="B124" t="str">
            <v>2013-12</v>
          </cell>
        </row>
        <row r="125">
          <cell r="B125" t="str">
            <v>2013-12</v>
          </cell>
        </row>
        <row r="126">
          <cell r="B126" t="str">
            <v>2013-12</v>
          </cell>
        </row>
        <row r="127">
          <cell r="B127" t="str">
            <v>2013-12</v>
          </cell>
        </row>
        <row r="128">
          <cell r="B128" t="str">
            <v>2013-12</v>
          </cell>
        </row>
        <row r="129">
          <cell r="B129" t="str">
            <v>2013-12</v>
          </cell>
        </row>
        <row r="130">
          <cell r="B130" t="str">
            <v>2013-12</v>
          </cell>
        </row>
        <row r="131">
          <cell r="B131" t="str">
            <v>2013-12</v>
          </cell>
        </row>
        <row r="132">
          <cell r="B132" t="str">
            <v>2013-12</v>
          </cell>
        </row>
        <row r="133">
          <cell r="B133" t="str">
            <v>2013-12</v>
          </cell>
        </row>
        <row r="134">
          <cell r="B134" t="str">
            <v>2013-12</v>
          </cell>
        </row>
        <row r="135">
          <cell r="B135" t="str">
            <v>2013-12</v>
          </cell>
        </row>
        <row r="136">
          <cell r="B136" t="str">
            <v>2013-12</v>
          </cell>
        </row>
        <row r="137">
          <cell r="B137" t="str">
            <v>2013-12</v>
          </cell>
        </row>
        <row r="138">
          <cell r="B138" t="str">
            <v>2013-12</v>
          </cell>
        </row>
        <row r="139">
          <cell r="B139" t="str">
            <v>2013-12</v>
          </cell>
        </row>
        <row r="140">
          <cell r="B140" t="str">
            <v>2013-12</v>
          </cell>
        </row>
        <row r="141">
          <cell r="B141" t="str">
            <v>2013-12</v>
          </cell>
        </row>
        <row r="142">
          <cell r="B142" t="str">
            <v>2013-12</v>
          </cell>
        </row>
        <row r="143">
          <cell r="B143" t="str">
            <v>2013-12</v>
          </cell>
        </row>
        <row r="144">
          <cell r="B144" t="str">
            <v>2013-12</v>
          </cell>
        </row>
        <row r="145">
          <cell r="B145" t="str">
            <v>2013-12</v>
          </cell>
        </row>
        <row r="146">
          <cell r="B146" t="str">
            <v>2013-12</v>
          </cell>
        </row>
        <row r="147">
          <cell r="B147" t="str">
            <v>2013-12</v>
          </cell>
        </row>
        <row r="148">
          <cell r="B148" t="str">
            <v>2013-12</v>
          </cell>
        </row>
        <row r="149">
          <cell r="B149" t="str">
            <v>2013-12</v>
          </cell>
        </row>
        <row r="150">
          <cell r="B150" t="str">
            <v>2013-12</v>
          </cell>
        </row>
        <row r="151">
          <cell r="B151" t="str">
            <v>2013-12</v>
          </cell>
        </row>
        <row r="152">
          <cell r="B152" t="str">
            <v>2013-12</v>
          </cell>
        </row>
        <row r="153">
          <cell r="B153" t="str">
            <v>2013-12</v>
          </cell>
        </row>
        <row r="154">
          <cell r="B154" t="str">
            <v>2013-12</v>
          </cell>
        </row>
        <row r="155">
          <cell r="B155" t="str">
            <v>2013-12</v>
          </cell>
        </row>
        <row r="156">
          <cell r="B156" t="str">
            <v>2013-12</v>
          </cell>
        </row>
        <row r="157">
          <cell r="B157" t="str">
            <v>2013-12</v>
          </cell>
        </row>
        <row r="158">
          <cell r="B158" t="str">
            <v>2013-12</v>
          </cell>
        </row>
        <row r="159">
          <cell r="B159" t="str">
            <v>2013-12</v>
          </cell>
        </row>
        <row r="160">
          <cell r="B160" t="str">
            <v>2013-12</v>
          </cell>
        </row>
        <row r="161">
          <cell r="B161" t="str">
            <v>2013-12</v>
          </cell>
        </row>
        <row r="162">
          <cell r="B162" t="str">
            <v>2013-12</v>
          </cell>
        </row>
        <row r="163">
          <cell r="B163" t="str">
            <v>2013-12</v>
          </cell>
        </row>
        <row r="164">
          <cell r="B164" t="str">
            <v>2013-12</v>
          </cell>
        </row>
        <row r="165">
          <cell r="B165" t="str">
            <v>2013-12</v>
          </cell>
        </row>
        <row r="166">
          <cell r="B166" t="str">
            <v>2013-12</v>
          </cell>
        </row>
        <row r="167">
          <cell r="B167" t="str">
            <v>2013-12</v>
          </cell>
        </row>
        <row r="168">
          <cell r="B168" t="str">
            <v>2013-12</v>
          </cell>
        </row>
        <row r="169">
          <cell r="B169" t="str">
            <v>2013-12</v>
          </cell>
        </row>
        <row r="170">
          <cell r="B170" t="str">
            <v>2013-12</v>
          </cell>
        </row>
        <row r="171">
          <cell r="B171" t="str">
            <v>2013-12</v>
          </cell>
        </row>
        <row r="172">
          <cell r="B172" t="str">
            <v>2013-12</v>
          </cell>
        </row>
        <row r="173">
          <cell r="B173" t="str">
            <v>2013-12</v>
          </cell>
        </row>
        <row r="174">
          <cell r="B174" t="str">
            <v>2013-12</v>
          </cell>
        </row>
        <row r="175">
          <cell r="B175" t="str">
            <v>2013-12</v>
          </cell>
        </row>
        <row r="176">
          <cell r="B176" t="str">
            <v>2013-12</v>
          </cell>
        </row>
        <row r="177">
          <cell r="B177" t="str">
            <v>2013-12</v>
          </cell>
        </row>
        <row r="178">
          <cell r="B178" t="str">
            <v>2013-12</v>
          </cell>
        </row>
        <row r="179">
          <cell r="B179" t="str">
            <v>2013-12</v>
          </cell>
        </row>
        <row r="180">
          <cell r="B180" t="str">
            <v>2013-12</v>
          </cell>
        </row>
        <row r="181">
          <cell r="B181" t="str">
            <v>2013-12</v>
          </cell>
        </row>
        <row r="182">
          <cell r="B182" t="str">
            <v>2013-12</v>
          </cell>
        </row>
        <row r="183">
          <cell r="B183" t="str">
            <v>2013-12</v>
          </cell>
        </row>
        <row r="184">
          <cell r="B184" t="str">
            <v>2013-12</v>
          </cell>
        </row>
        <row r="185">
          <cell r="B185" t="str">
            <v>2013-12</v>
          </cell>
        </row>
        <row r="186">
          <cell r="B186" t="str">
            <v>2013-12</v>
          </cell>
        </row>
        <row r="187">
          <cell r="B187" t="str">
            <v>2013-12</v>
          </cell>
        </row>
        <row r="188">
          <cell r="B188" t="str">
            <v>2013-12</v>
          </cell>
        </row>
        <row r="189">
          <cell r="B189" t="str">
            <v>2013-12</v>
          </cell>
        </row>
        <row r="190">
          <cell r="B190" t="str">
            <v>2013-12</v>
          </cell>
        </row>
        <row r="191">
          <cell r="B191" t="str">
            <v>2013-12</v>
          </cell>
        </row>
        <row r="192">
          <cell r="B192" t="str">
            <v>2013-12</v>
          </cell>
        </row>
        <row r="193">
          <cell r="B193" t="str">
            <v>2013-12</v>
          </cell>
        </row>
        <row r="194">
          <cell r="B194" t="str">
            <v>2013-12</v>
          </cell>
        </row>
        <row r="195">
          <cell r="B195" t="str">
            <v>2013-12</v>
          </cell>
        </row>
        <row r="196">
          <cell r="B196" t="str">
            <v>2013-12</v>
          </cell>
        </row>
        <row r="197">
          <cell r="B197" t="str">
            <v>2013-12</v>
          </cell>
        </row>
        <row r="198">
          <cell r="B198" t="str">
            <v>2013-12</v>
          </cell>
        </row>
        <row r="199">
          <cell r="B199" t="str">
            <v>2013-12</v>
          </cell>
        </row>
        <row r="200">
          <cell r="B200" t="str">
            <v>2013-12</v>
          </cell>
        </row>
        <row r="201">
          <cell r="B201" t="str">
            <v>2013-12</v>
          </cell>
        </row>
        <row r="202">
          <cell r="B202" t="str">
            <v>2013-12</v>
          </cell>
        </row>
        <row r="203">
          <cell r="B203" t="str">
            <v>2013-12</v>
          </cell>
        </row>
        <row r="204">
          <cell r="B204" t="str">
            <v>2013-12</v>
          </cell>
        </row>
        <row r="205">
          <cell r="B205" t="str">
            <v>2013-12</v>
          </cell>
        </row>
        <row r="206">
          <cell r="B206" t="str">
            <v>2013-12</v>
          </cell>
        </row>
        <row r="207">
          <cell r="B207" t="str">
            <v>2013-12</v>
          </cell>
        </row>
        <row r="208">
          <cell r="B208" t="str">
            <v>2013-12</v>
          </cell>
        </row>
        <row r="209">
          <cell r="B209" t="str">
            <v>2013-12</v>
          </cell>
        </row>
        <row r="210">
          <cell r="B210" t="str">
            <v>2013-12</v>
          </cell>
        </row>
        <row r="211">
          <cell r="B211" t="str">
            <v>2013-12</v>
          </cell>
        </row>
        <row r="212">
          <cell r="B212" t="str">
            <v>2013-12</v>
          </cell>
        </row>
        <row r="213">
          <cell r="B213" t="str">
            <v>2013-12</v>
          </cell>
        </row>
        <row r="214">
          <cell r="B214" t="str">
            <v>2013-12</v>
          </cell>
        </row>
        <row r="215">
          <cell r="B215" t="str">
            <v>2013-12</v>
          </cell>
        </row>
        <row r="216">
          <cell r="B216" t="str">
            <v>2013-12</v>
          </cell>
        </row>
        <row r="217">
          <cell r="B217" t="str">
            <v>2013-12</v>
          </cell>
        </row>
        <row r="218">
          <cell r="B218" t="str">
            <v>2013-12</v>
          </cell>
        </row>
        <row r="219">
          <cell r="B219" t="str">
            <v>2013-12</v>
          </cell>
        </row>
        <row r="220">
          <cell r="B220" t="str">
            <v>2013-12</v>
          </cell>
        </row>
        <row r="221">
          <cell r="B221" t="str">
            <v>2013-12</v>
          </cell>
        </row>
        <row r="222">
          <cell r="B222" t="str">
            <v>2013-12</v>
          </cell>
        </row>
        <row r="223">
          <cell r="B223" t="str">
            <v>2013-12</v>
          </cell>
        </row>
        <row r="224">
          <cell r="B224" t="str">
            <v>2013-12</v>
          </cell>
        </row>
        <row r="225">
          <cell r="B225" t="str">
            <v>2013-12</v>
          </cell>
        </row>
        <row r="226">
          <cell r="B226" t="str">
            <v>2013-12</v>
          </cell>
        </row>
        <row r="227">
          <cell r="B227" t="str">
            <v>2013-12</v>
          </cell>
        </row>
        <row r="228">
          <cell r="B228" t="str">
            <v>2013-12</v>
          </cell>
        </row>
        <row r="229">
          <cell r="B229" t="str">
            <v>2013-12</v>
          </cell>
        </row>
        <row r="230">
          <cell r="B230" t="str">
            <v>2013-12</v>
          </cell>
        </row>
        <row r="231">
          <cell r="B231" t="str">
            <v>2013-12</v>
          </cell>
        </row>
        <row r="232">
          <cell r="B232" t="str">
            <v>2013-12</v>
          </cell>
        </row>
        <row r="233">
          <cell r="B233" t="str">
            <v>2013-12</v>
          </cell>
        </row>
        <row r="234">
          <cell r="B234" t="str">
            <v>2013-12</v>
          </cell>
        </row>
        <row r="235">
          <cell r="B235" t="str">
            <v>2013-12</v>
          </cell>
        </row>
        <row r="236">
          <cell r="B236" t="str">
            <v>2013-12</v>
          </cell>
        </row>
        <row r="237">
          <cell r="B237" t="str">
            <v>2013-12</v>
          </cell>
        </row>
        <row r="238">
          <cell r="B238" t="str">
            <v>2013-12</v>
          </cell>
        </row>
        <row r="239">
          <cell r="B239" t="str">
            <v>2013-12</v>
          </cell>
        </row>
        <row r="240">
          <cell r="B240" t="str">
            <v>2013-12</v>
          </cell>
        </row>
        <row r="241">
          <cell r="B241" t="str">
            <v>2013-12</v>
          </cell>
        </row>
        <row r="242">
          <cell r="B242" t="str">
            <v>2013-12</v>
          </cell>
        </row>
        <row r="243">
          <cell r="B243" t="str">
            <v>2013-12</v>
          </cell>
        </row>
        <row r="244">
          <cell r="B244" t="str">
            <v>2013-12</v>
          </cell>
        </row>
        <row r="245">
          <cell r="B245" t="str">
            <v>2013-12</v>
          </cell>
        </row>
        <row r="246">
          <cell r="B246" t="str">
            <v>2013-12</v>
          </cell>
        </row>
        <row r="247">
          <cell r="B247" t="str">
            <v>2013-12</v>
          </cell>
        </row>
        <row r="248">
          <cell r="B248" t="str">
            <v>2013-12</v>
          </cell>
        </row>
        <row r="249">
          <cell r="B249" t="str">
            <v>2013-12</v>
          </cell>
        </row>
        <row r="250">
          <cell r="B250" t="str">
            <v>2013-12</v>
          </cell>
        </row>
        <row r="251">
          <cell r="B251" t="str">
            <v>2013-12</v>
          </cell>
        </row>
        <row r="252">
          <cell r="B252" t="str">
            <v>2013-12</v>
          </cell>
        </row>
        <row r="253">
          <cell r="B253" t="str">
            <v>2013-12</v>
          </cell>
        </row>
        <row r="254">
          <cell r="B254" t="str">
            <v>2013-12</v>
          </cell>
        </row>
        <row r="255">
          <cell r="B255" t="str">
            <v>2013-12</v>
          </cell>
        </row>
        <row r="256">
          <cell r="B256" t="str">
            <v>2013-12</v>
          </cell>
        </row>
        <row r="257">
          <cell r="B257" t="str">
            <v>2013-12</v>
          </cell>
        </row>
        <row r="258">
          <cell r="B258" t="str">
            <v>2013-12</v>
          </cell>
        </row>
        <row r="259">
          <cell r="B259" t="str">
            <v>2013-12</v>
          </cell>
        </row>
        <row r="260">
          <cell r="B260" t="str">
            <v>2013-12</v>
          </cell>
        </row>
        <row r="261">
          <cell r="B261" t="str">
            <v>2013-12</v>
          </cell>
        </row>
        <row r="262">
          <cell r="B262" t="str">
            <v>2013-12</v>
          </cell>
        </row>
        <row r="263">
          <cell r="B263" t="str">
            <v>2013-12</v>
          </cell>
        </row>
        <row r="264">
          <cell r="B264" t="str">
            <v>2013-12</v>
          </cell>
        </row>
        <row r="265">
          <cell r="B265" t="str">
            <v>2013-12</v>
          </cell>
        </row>
        <row r="266">
          <cell r="B266" t="str">
            <v>2013-12</v>
          </cell>
        </row>
        <row r="267">
          <cell r="B267" t="str">
            <v>2013-12</v>
          </cell>
        </row>
        <row r="268">
          <cell r="B268" t="str">
            <v>2013-12</v>
          </cell>
        </row>
        <row r="269">
          <cell r="B269" t="str">
            <v>2013-12</v>
          </cell>
        </row>
        <row r="270">
          <cell r="B270" t="str">
            <v>2013-12</v>
          </cell>
        </row>
        <row r="271">
          <cell r="B271" t="str">
            <v>2013-12</v>
          </cell>
        </row>
        <row r="272">
          <cell r="B272" t="str">
            <v>2013-12</v>
          </cell>
        </row>
        <row r="273">
          <cell r="B273" t="str">
            <v>2013-12</v>
          </cell>
        </row>
        <row r="274">
          <cell r="B274" t="str">
            <v>2013-12</v>
          </cell>
        </row>
        <row r="275">
          <cell r="B275" t="str">
            <v>2013-12</v>
          </cell>
        </row>
        <row r="276">
          <cell r="B276" t="str">
            <v>2013-12</v>
          </cell>
        </row>
        <row r="277">
          <cell r="B277" t="str">
            <v>2013-12</v>
          </cell>
        </row>
        <row r="278">
          <cell r="B278" t="str">
            <v>2013-12</v>
          </cell>
        </row>
        <row r="279">
          <cell r="B279" t="str">
            <v>2013-12</v>
          </cell>
        </row>
        <row r="280">
          <cell r="B280" t="str">
            <v>2013-12</v>
          </cell>
        </row>
        <row r="281">
          <cell r="B281" t="str">
            <v>2013-12</v>
          </cell>
        </row>
        <row r="282">
          <cell r="B282" t="str">
            <v>2013-12</v>
          </cell>
        </row>
        <row r="283">
          <cell r="B283" t="str">
            <v>2013-12</v>
          </cell>
        </row>
        <row r="284">
          <cell r="B284" t="str">
            <v>2013-12</v>
          </cell>
        </row>
        <row r="285">
          <cell r="B285" t="str">
            <v>2013-12</v>
          </cell>
        </row>
        <row r="286">
          <cell r="B286" t="str">
            <v>2013-12</v>
          </cell>
        </row>
        <row r="287">
          <cell r="B287" t="str">
            <v>2013-12</v>
          </cell>
        </row>
        <row r="288">
          <cell r="B288" t="str">
            <v>2013-12</v>
          </cell>
        </row>
        <row r="289">
          <cell r="B289" t="str">
            <v>2013-12</v>
          </cell>
        </row>
        <row r="290">
          <cell r="B290" t="str">
            <v>2013-12</v>
          </cell>
        </row>
        <row r="291">
          <cell r="B291" t="str">
            <v>2013-12</v>
          </cell>
        </row>
        <row r="292">
          <cell r="B292" t="str">
            <v>2013-12</v>
          </cell>
        </row>
        <row r="293">
          <cell r="B293" t="str">
            <v>2013-12</v>
          </cell>
        </row>
        <row r="294">
          <cell r="B294" t="str">
            <v>2013-12</v>
          </cell>
        </row>
        <row r="295">
          <cell r="B295" t="str">
            <v>2013-12</v>
          </cell>
        </row>
        <row r="296">
          <cell r="B296" t="str">
            <v>2013-12</v>
          </cell>
        </row>
        <row r="297">
          <cell r="B297" t="str">
            <v>2013-12</v>
          </cell>
        </row>
        <row r="298">
          <cell r="B298" t="str">
            <v>2013-12</v>
          </cell>
        </row>
        <row r="299">
          <cell r="B299" t="str">
            <v>2013-12</v>
          </cell>
        </row>
        <row r="300">
          <cell r="B300" t="str">
            <v>2013-12</v>
          </cell>
        </row>
        <row r="301">
          <cell r="B301" t="str">
            <v>2013-12</v>
          </cell>
        </row>
        <row r="302">
          <cell r="B302" t="str">
            <v>2013-12</v>
          </cell>
        </row>
        <row r="303">
          <cell r="B303" t="str">
            <v>2013-12</v>
          </cell>
        </row>
        <row r="304">
          <cell r="B304" t="str">
            <v>2013-12</v>
          </cell>
        </row>
        <row r="305">
          <cell r="B305" t="str">
            <v>2013-12</v>
          </cell>
        </row>
        <row r="306">
          <cell r="B306" t="str">
            <v>2013-12</v>
          </cell>
        </row>
        <row r="307">
          <cell r="B307" t="str">
            <v>2013-12</v>
          </cell>
        </row>
        <row r="308">
          <cell r="B308" t="str">
            <v>2013-12</v>
          </cell>
        </row>
        <row r="309">
          <cell r="B309" t="str">
            <v>2013-12</v>
          </cell>
        </row>
        <row r="310">
          <cell r="B310" t="str">
            <v>2013-12</v>
          </cell>
        </row>
        <row r="311">
          <cell r="B311" t="str">
            <v>2013-12</v>
          </cell>
        </row>
        <row r="312">
          <cell r="B312" t="str">
            <v>2013-12</v>
          </cell>
        </row>
        <row r="313">
          <cell r="B313" t="str">
            <v>2013-12</v>
          </cell>
        </row>
        <row r="314">
          <cell r="B314" t="str">
            <v>2013-12</v>
          </cell>
        </row>
        <row r="315">
          <cell r="B315" t="str">
            <v>2013-12</v>
          </cell>
        </row>
        <row r="316">
          <cell r="B316" t="str">
            <v>2013-12</v>
          </cell>
        </row>
        <row r="317">
          <cell r="B317" t="str">
            <v>2013-12</v>
          </cell>
        </row>
        <row r="318">
          <cell r="B318" t="str">
            <v>2013-12</v>
          </cell>
        </row>
        <row r="319">
          <cell r="B319" t="str">
            <v>2013-12</v>
          </cell>
        </row>
        <row r="320">
          <cell r="B320" t="str">
            <v>2013-12</v>
          </cell>
        </row>
        <row r="321">
          <cell r="B321" t="str">
            <v>2013-12</v>
          </cell>
        </row>
        <row r="322">
          <cell r="B322" t="str">
            <v>2013-12</v>
          </cell>
        </row>
        <row r="323">
          <cell r="B323" t="str">
            <v>2013-12</v>
          </cell>
        </row>
        <row r="324">
          <cell r="B324" t="str">
            <v>2013-12</v>
          </cell>
        </row>
        <row r="325">
          <cell r="B325" t="str">
            <v>2013-12</v>
          </cell>
        </row>
        <row r="326">
          <cell r="B326" t="str">
            <v>2013-12</v>
          </cell>
        </row>
        <row r="327">
          <cell r="B327" t="str">
            <v>2013-12</v>
          </cell>
        </row>
        <row r="328">
          <cell r="B328" t="str">
            <v>2013-12</v>
          </cell>
        </row>
        <row r="329">
          <cell r="B329" t="str">
            <v>2013-12</v>
          </cell>
        </row>
        <row r="330">
          <cell r="B330" t="str">
            <v>2013-12</v>
          </cell>
        </row>
        <row r="331">
          <cell r="B331" t="str">
            <v>2013-12</v>
          </cell>
        </row>
        <row r="332">
          <cell r="B332" t="str">
            <v>2013-12</v>
          </cell>
        </row>
        <row r="333">
          <cell r="B333" t="str">
            <v>2013-12</v>
          </cell>
        </row>
        <row r="334">
          <cell r="B334" t="str">
            <v>2013-12</v>
          </cell>
        </row>
        <row r="335">
          <cell r="B335" t="str">
            <v>2013-12</v>
          </cell>
        </row>
        <row r="336">
          <cell r="B336" t="str">
            <v>2013-12</v>
          </cell>
        </row>
        <row r="337">
          <cell r="B337" t="str">
            <v>2013-12</v>
          </cell>
        </row>
        <row r="338">
          <cell r="B338" t="str">
            <v>2013-12</v>
          </cell>
        </row>
        <row r="339">
          <cell r="B339" t="str">
            <v>2013-12</v>
          </cell>
        </row>
        <row r="340">
          <cell r="B340" t="str">
            <v>2013-12</v>
          </cell>
        </row>
        <row r="341">
          <cell r="B341" t="str">
            <v>2013-12</v>
          </cell>
        </row>
        <row r="342">
          <cell r="B342" t="str">
            <v>2013-12</v>
          </cell>
        </row>
        <row r="343">
          <cell r="B343" t="str">
            <v>2013-12</v>
          </cell>
        </row>
        <row r="344">
          <cell r="B344" t="str">
            <v>2013-12</v>
          </cell>
        </row>
        <row r="345">
          <cell r="B345" t="str">
            <v>2013-12</v>
          </cell>
        </row>
        <row r="346">
          <cell r="B346" t="str">
            <v>2013-12</v>
          </cell>
        </row>
        <row r="347">
          <cell r="B347" t="str">
            <v>2013-12</v>
          </cell>
        </row>
        <row r="348">
          <cell r="B348" t="str">
            <v>2013-12</v>
          </cell>
        </row>
        <row r="349">
          <cell r="B349" t="str">
            <v>2013-12</v>
          </cell>
        </row>
        <row r="350">
          <cell r="B350" t="str">
            <v>2013-12</v>
          </cell>
        </row>
        <row r="351">
          <cell r="B351" t="str">
            <v>2013-12</v>
          </cell>
        </row>
        <row r="352">
          <cell r="B352" t="str">
            <v>2013-12</v>
          </cell>
        </row>
        <row r="353">
          <cell r="B353" t="str">
            <v>2013-12</v>
          </cell>
        </row>
        <row r="354">
          <cell r="B354" t="str">
            <v>2013-12</v>
          </cell>
        </row>
        <row r="355">
          <cell r="B355" t="str">
            <v>2013-12</v>
          </cell>
        </row>
        <row r="356">
          <cell r="B356" t="str">
            <v>2013-12</v>
          </cell>
        </row>
        <row r="357">
          <cell r="B357" t="str">
            <v>2013-12</v>
          </cell>
        </row>
        <row r="358">
          <cell r="B358" t="str">
            <v>2013-12</v>
          </cell>
        </row>
        <row r="359">
          <cell r="B359" t="str">
            <v>2013-12</v>
          </cell>
        </row>
        <row r="360">
          <cell r="B360" t="str">
            <v>2013-12</v>
          </cell>
        </row>
        <row r="361">
          <cell r="B361" t="str">
            <v>2013-12</v>
          </cell>
        </row>
        <row r="362">
          <cell r="B362" t="str">
            <v>2013-12</v>
          </cell>
        </row>
        <row r="363">
          <cell r="B363" t="str">
            <v>2013-12</v>
          </cell>
        </row>
        <row r="364">
          <cell r="B364" t="str">
            <v>2013-12</v>
          </cell>
        </row>
        <row r="365">
          <cell r="B365" t="str">
            <v>2013-12</v>
          </cell>
        </row>
        <row r="366">
          <cell r="B366" t="str">
            <v>2013-12</v>
          </cell>
        </row>
        <row r="367">
          <cell r="B367" t="str">
            <v>2013-12</v>
          </cell>
        </row>
        <row r="368">
          <cell r="B368" t="str">
            <v>2013-12</v>
          </cell>
        </row>
        <row r="369">
          <cell r="B369" t="str">
            <v>2013-12</v>
          </cell>
        </row>
        <row r="370">
          <cell r="B370" t="str">
            <v>2013-12</v>
          </cell>
        </row>
        <row r="371">
          <cell r="B371" t="str">
            <v>2013-12</v>
          </cell>
        </row>
        <row r="372">
          <cell r="B372" t="str">
            <v>2013-12</v>
          </cell>
        </row>
        <row r="373">
          <cell r="B373" t="str">
            <v>2013-12</v>
          </cell>
        </row>
        <row r="374">
          <cell r="B374" t="str">
            <v>2013-12</v>
          </cell>
        </row>
        <row r="375">
          <cell r="B375" t="str">
            <v>2013-12</v>
          </cell>
        </row>
        <row r="376">
          <cell r="B376" t="str">
            <v>2013-12</v>
          </cell>
        </row>
        <row r="377">
          <cell r="B377" t="str">
            <v>2013-12</v>
          </cell>
        </row>
        <row r="378">
          <cell r="B378" t="str">
            <v>2013-12</v>
          </cell>
        </row>
        <row r="379">
          <cell r="B379" t="str">
            <v>2013-12</v>
          </cell>
        </row>
        <row r="380">
          <cell r="B380" t="str">
            <v>2013-12</v>
          </cell>
        </row>
        <row r="381">
          <cell r="B381" t="str">
            <v>2013-12</v>
          </cell>
        </row>
        <row r="382">
          <cell r="B382" t="str">
            <v>2013-12</v>
          </cell>
        </row>
        <row r="383">
          <cell r="B383" t="str">
            <v>2013-12</v>
          </cell>
        </row>
        <row r="384">
          <cell r="B384" t="str">
            <v>2013-12</v>
          </cell>
        </row>
        <row r="385">
          <cell r="B385" t="str">
            <v>2013-12</v>
          </cell>
        </row>
        <row r="386">
          <cell r="B386" t="str">
            <v>2013-12</v>
          </cell>
        </row>
        <row r="387">
          <cell r="B387" t="str">
            <v>2013-12</v>
          </cell>
        </row>
        <row r="388">
          <cell r="B388" t="str">
            <v>2013-12</v>
          </cell>
        </row>
        <row r="389">
          <cell r="B389" t="str">
            <v>2013-12</v>
          </cell>
        </row>
        <row r="390">
          <cell r="B390" t="str">
            <v>2013-12</v>
          </cell>
        </row>
        <row r="391">
          <cell r="B391" t="str">
            <v>2013-12</v>
          </cell>
        </row>
        <row r="392">
          <cell r="B392" t="str">
            <v>2013-12</v>
          </cell>
        </row>
        <row r="393">
          <cell r="B393" t="str">
            <v>2013-12</v>
          </cell>
        </row>
        <row r="394">
          <cell r="B394" t="str">
            <v>2013-12</v>
          </cell>
        </row>
        <row r="395">
          <cell r="B395" t="str">
            <v>2013-12</v>
          </cell>
        </row>
        <row r="396">
          <cell r="B396" t="str">
            <v>2013-12</v>
          </cell>
        </row>
        <row r="397">
          <cell r="B397" t="str">
            <v>2013-12</v>
          </cell>
        </row>
        <row r="398">
          <cell r="B398" t="str">
            <v>2013-12</v>
          </cell>
        </row>
        <row r="399">
          <cell r="B399" t="str">
            <v>2013-12</v>
          </cell>
        </row>
        <row r="400">
          <cell r="B400" t="str">
            <v>2013-12</v>
          </cell>
        </row>
        <row r="401">
          <cell r="B401" t="str">
            <v>2013-12</v>
          </cell>
        </row>
        <row r="402">
          <cell r="B402" t="str">
            <v>2013-12</v>
          </cell>
        </row>
        <row r="403">
          <cell r="B403" t="str">
            <v>2013-12</v>
          </cell>
        </row>
        <row r="404">
          <cell r="B404" t="str">
            <v>2013-12</v>
          </cell>
        </row>
        <row r="405">
          <cell r="B405" t="str">
            <v>2013-12</v>
          </cell>
        </row>
        <row r="406">
          <cell r="B406" t="str">
            <v>2013-12</v>
          </cell>
        </row>
        <row r="407">
          <cell r="B407" t="str">
            <v>2013-12</v>
          </cell>
        </row>
        <row r="408">
          <cell r="B408" t="str">
            <v>2013-12</v>
          </cell>
        </row>
        <row r="409">
          <cell r="B409" t="str">
            <v>2013-12</v>
          </cell>
        </row>
        <row r="410">
          <cell r="B410" t="str">
            <v>2013-12</v>
          </cell>
        </row>
        <row r="411">
          <cell r="B411" t="str">
            <v>2013-12</v>
          </cell>
        </row>
        <row r="412">
          <cell r="B412" t="str">
            <v>2013-12</v>
          </cell>
        </row>
        <row r="413">
          <cell r="B413" t="str">
            <v>2013-12</v>
          </cell>
        </row>
        <row r="414">
          <cell r="B414" t="str">
            <v>2013-12</v>
          </cell>
        </row>
        <row r="415">
          <cell r="B415" t="str">
            <v>2013-12</v>
          </cell>
        </row>
        <row r="416">
          <cell r="B416" t="str">
            <v>2013-12</v>
          </cell>
        </row>
        <row r="417">
          <cell r="B417" t="str">
            <v>2013-12</v>
          </cell>
        </row>
        <row r="418">
          <cell r="B418" t="str">
            <v>2013-12</v>
          </cell>
        </row>
        <row r="419">
          <cell r="B419" t="str">
            <v>2013-12</v>
          </cell>
        </row>
        <row r="420">
          <cell r="B420" t="str">
            <v>2013-12</v>
          </cell>
        </row>
        <row r="421">
          <cell r="B421" t="str">
            <v>2013-12</v>
          </cell>
        </row>
        <row r="422">
          <cell r="B422" t="str">
            <v>2013-12</v>
          </cell>
        </row>
        <row r="423">
          <cell r="B423" t="str">
            <v>2013-12</v>
          </cell>
        </row>
        <row r="424">
          <cell r="B424" t="str">
            <v>2013-12</v>
          </cell>
        </row>
        <row r="425">
          <cell r="B425" t="str">
            <v>2013-12</v>
          </cell>
        </row>
        <row r="426">
          <cell r="B426" t="str">
            <v>2013-12</v>
          </cell>
        </row>
        <row r="427">
          <cell r="B427" t="str">
            <v>2013-12</v>
          </cell>
        </row>
        <row r="428">
          <cell r="B428" t="str">
            <v>2013-12</v>
          </cell>
        </row>
        <row r="429">
          <cell r="B429" t="str">
            <v>2013-12</v>
          </cell>
        </row>
        <row r="430">
          <cell r="B430" t="str">
            <v>2013-12</v>
          </cell>
        </row>
        <row r="431">
          <cell r="B431" t="str">
            <v>2013-12</v>
          </cell>
        </row>
        <row r="432">
          <cell r="B432" t="str">
            <v>2013-12</v>
          </cell>
        </row>
        <row r="433">
          <cell r="B433" t="str">
            <v>2013-12</v>
          </cell>
        </row>
        <row r="434">
          <cell r="B434" t="str">
            <v>2013-12</v>
          </cell>
        </row>
        <row r="435">
          <cell r="B435" t="str">
            <v>2013-12</v>
          </cell>
        </row>
        <row r="436">
          <cell r="B436" t="str">
            <v>2013-12</v>
          </cell>
        </row>
        <row r="437">
          <cell r="B437" t="str">
            <v>2013-12</v>
          </cell>
        </row>
        <row r="438">
          <cell r="B438" t="str">
            <v>2013-12</v>
          </cell>
        </row>
        <row r="439">
          <cell r="B439" t="str">
            <v>2013-12</v>
          </cell>
        </row>
        <row r="440">
          <cell r="B440" t="str">
            <v>2013-12</v>
          </cell>
        </row>
        <row r="441">
          <cell r="B441" t="str">
            <v>2013-12</v>
          </cell>
        </row>
        <row r="442">
          <cell r="B442" t="str">
            <v>2013-12</v>
          </cell>
        </row>
        <row r="443">
          <cell r="B443" t="str">
            <v>2013-12</v>
          </cell>
        </row>
        <row r="444">
          <cell r="B444" t="str">
            <v>2013-12</v>
          </cell>
        </row>
        <row r="445">
          <cell r="B445" t="str">
            <v>2013-12</v>
          </cell>
        </row>
        <row r="446">
          <cell r="B446" t="str">
            <v>2013-12</v>
          </cell>
        </row>
        <row r="447">
          <cell r="B447" t="str">
            <v>2013-12</v>
          </cell>
        </row>
        <row r="448">
          <cell r="B448" t="str">
            <v>2013-12</v>
          </cell>
        </row>
        <row r="449">
          <cell r="B449" t="str">
            <v>2013-12</v>
          </cell>
        </row>
        <row r="450">
          <cell r="B450" t="str">
            <v>2013-12</v>
          </cell>
        </row>
        <row r="451">
          <cell r="B451" t="str">
            <v>2013-12</v>
          </cell>
        </row>
        <row r="452">
          <cell r="B452" t="str">
            <v>2013-12</v>
          </cell>
        </row>
        <row r="453">
          <cell r="B453" t="str">
            <v>2013-12</v>
          </cell>
        </row>
        <row r="454">
          <cell r="B454" t="str">
            <v>2013-12</v>
          </cell>
        </row>
        <row r="455">
          <cell r="B455" t="str">
            <v>2013-12</v>
          </cell>
        </row>
        <row r="456">
          <cell r="B456" t="str">
            <v>2013-12</v>
          </cell>
        </row>
        <row r="457">
          <cell r="B457" t="str">
            <v>2013-12</v>
          </cell>
        </row>
        <row r="458">
          <cell r="B458" t="str">
            <v>2013-12</v>
          </cell>
        </row>
        <row r="459">
          <cell r="B459" t="str">
            <v>2013-12</v>
          </cell>
        </row>
        <row r="460">
          <cell r="B460" t="str">
            <v>2013-12</v>
          </cell>
        </row>
        <row r="461">
          <cell r="B461" t="str">
            <v>2013-12</v>
          </cell>
        </row>
        <row r="462">
          <cell r="B462" t="str">
            <v>2013-12</v>
          </cell>
        </row>
        <row r="463">
          <cell r="B463" t="str">
            <v>2013-12</v>
          </cell>
        </row>
        <row r="464">
          <cell r="B464" t="str">
            <v>2013-12</v>
          </cell>
        </row>
        <row r="465">
          <cell r="B465" t="str">
            <v>2013-12</v>
          </cell>
        </row>
        <row r="466">
          <cell r="B466" t="str">
            <v>2013-12</v>
          </cell>
        </row>
        <row r="467">
          <cell r="B467" t="str">
            <v>2013-12</v>
          </cell>
        </row>
        <row r="468">
          <cell r="B468" t="str">
            <v>2013-12</v>
          </cell>
        </row>
        <row r="469">
          <cell r="B469" t="str">
            <v>2013-12</v>
          </cell>
        </row>
        <row r="470">
          <cell r="B470" t="str">
            <v>2013-12</v>
          </cell>
        </row>
        <row r="471">
          <cell r="B471" t="str">
            <v>2013-12</v>
          </cell>
        </row>
        <row r="472">
          <cell r="B472" t="str">
            <v>2013-12</v>
          </cell>
        </row>
        <row r="473">
          <cell r="B473" t="str">
            <v>2013-12</v>
          </cell>
        </row>
        <row r="474">
          <cell r="B474" t="str">
            <v>2013-12</v>
          </cell>
        </row>
        <row r="475">
          <cell r="B475" t="str">
            <v>2013-12</v>
          </cell>
        </row>
        <row r="476">
          <cell r="B476" t="str">
            <v>2013-12</v>
          </cell>
        </row>
        <row r="477">
          <cell r="B477" t="str">
            <v>2013-12</v>
          </cell>
        </row>
        <row r="478">
          <cell r="B478" t="str">
            <v>2013-12</v>
          </cell>
        </row>
        <row r="479">
          <cell r="B479" t="str">
            <v>2013-12</v>
          </cell>
        </row>
        <row r="480">
          <cell r="B480" t="str">
            <v>2013-12</v>
          </cell>
        </row>
        <row r="481">
          <cell r="B481" t="str">
            <v>2013-12</v>
          </cell>
        </row>
        <row r="482">
          <cell r="B482" t="str">
            <v>2013-12</v>
          </cell>
        </row>
        <row r="483">
          <cell r="B483" t="str">
            <v>2013-12</v>
          </cell>
        </row>
        <row r="484">
          <cell r="B484" t="str">
            <v>2013-12</v>
          </cell>
        </row>
        <row r="485">
          <cell r="B485" t="str">
            <v>2013-12</v>
          </cell>
        </row>
        <row r="486">
          <cell r="B486" t="str">
            <v>2013-12</v>
          </cell>
        </row>
        <row r="487">
          <cell r="B487" t="str">
            <v>2013-12</v>
          </cell>
        </row>
        <row r="488">
          <cell r="B488" t="str">
            <v>2013-12</v>
          </cell>
        </row>
        <row r="489">
          <cell r="B489" t="str">
            <v>2013-12</v>
          </cell>
        </row>
        <row r="490">
          <cell r="B490" t="str">
            <v>2013-12</v>
          </cell>
        </row>
        <row r="491">
          <cell r="B491" t="str">
            <v>2013-12</v>
          </cell>
        </row>
        <row r="492">
          <cell r="B492" t="str">
            <v>2013-12</v>
          </cell>
        </row>
        <row r="493">
          <cell r="B493" t="str">
            <v>2013-12</v>
          </cell>
        </row>
        <row r="494">
          <cell r="B494" t="str">
            <v>2013-12</v>
          </cell>
        </row>
        <row r="495">
          <cell r="B495" t="str">
            <v>2013-12</v>
          </cell>
        </row>
        <row r="496">
          <cell r="B496" t="str">
            <v>2013-12</v>
          </cell>
        </row>
        <row r="497">
          <cell r="B497" t="str">
            <v>2013-12</v>
          </cell>
        </row>
        <row r="498">
          <cell r="B498" t="str">
            <v>2013-12</v>
          </cell>
        </row>
        <row r="499">
          <cell r="B499" t="str">
            <v>2013-12</v>
          </cell>
        </row>
        <row r="500">
          <cell r="B500" t="str">
            <v>2013-12</v>
          </cell>
        </row>
        <row r="501">
          <cell r="B501" t="str">
            <v>2013-12</v>
          </cell>
        </row>
        <row r="502">
          <cell r="B502" t="str">
            <v>2013-12</v>
          </cell>
        </row>
        <row r="503">
          <cell r="B503" t="str">
            <v>2013-12</v>
          </cell>
        </row>
        <row r="504">
          <cell r="B504" t="str">
            <v>2013-12</v>
          </cell>
        </row>
        <row r="505">
          <cell r="B505" t="str">
            <v>2013-12</v>
          </cell>
        </row>
        <row r="506">
          <cell r="B506" t="str">
            <v>2013-12</v>
          </cell>
        </row>
        <row r="507">
          <cell r="B507" t="str">
            <v>2013-12</v>
          </cell>
        </row>
        <row r="508">
          <cell r="B508" t="str">
            <v>2013-12</v>
          </cell>
        </row>
        <row r="509">
          <cell r="B509" t="str">
            <v>2013-12</v>
          </cell>
        </row>
        <row r="510">
          <cell r="B510" t="str">
            <v>2013-12</v>
          </cell>
        </row>
        <row r="511">
          <cell r="B511" t="str">
            <v>2013-12</v>
          </cell>
        </row>
        <row r="512">
          <cell r="B512" t="str">
            <v>2013-12</v>
          </cell>
        </row>
        <row r="513">
          <cell r="B513" t="str">
            <v>2013-12</v>
          </cell>
        </row>
        <row r="514">
          <cell r="B514" t="str">
            <v>2013-12</v>
          </cell>
        </row>
        <row r="515">
          <cell r="B515" t="str">
            <v>2013-12</v>
          </cell>
        </row>
        <row r="516">
          <cell r="B516" t="str">
            <v>2013-12</v>
          </cell>
        </row>
        <row r="517">
          <cell r="B517" t="str">
            <v>2013-12</v>
          </cell>
        </row>
        <row r="518">
          <cell r="B518" t="str">
            <v>2013-12</v>
          </cell>
        </row>
        <row r="519">
          <cell r="B519" t="str">
            <v>2013-12</v>
          </cell>
        </row>
        <row r="520">
          <cell r="B520" t="str">
            <v>2013-12</v>
          </cell>
        </row>
        <row r="521">
          <cell r="B521" t="str">
            <v>2013-12</v>
          </cell>
        </row>
        <row r="522">
          <cell r="B522" t="str">
            <v>2013-12</v>
          </cell>
        </row>
        <row r="523">
          <cell r="B523" t="str">
            <v>2013-12</v>
          </cell>
        </row>
        <row r="524">
          <cell r="B524" t="str">
            <v>2013-12</v>
          </cell>
        </row>
        <row r="525">
          <cell r="B525" t="str">
            <v>2013-12</v>
          </cell>
        </row>
        <row r="526">
          <cell r="B526" t="str">
            <v>2013-12</v>
          </cell>
        </row>
        <row r="527">
          <cell r="B527" t="str">
            <v>2013-12</v>
          </cell>
        </row>
        <row r="528">
          <cell r="B528" t="str">
            <v>2013-12</v>
          </cell>
        </row>
        <row r="529">
          <cell r="B529" t="str">
            <v>2013-12</v>
          </cell>
        </row>
        <row r="530">
          <cell r="B530" t="str">
            <v>2013-12</v>
          </cell>
        </row>
        <row r="531">
          <cell r="B531" t="str">
            <v>2013-12</v>
          </cell>
        </row>
        <row r="532">
          <cell r="B532" t="str">
            <v>2013-12</v>
          </cell>
        </row>
        <row r="533">
          <cell r="B533" t="str">
            <v>2013-12</v>
          </cell>
        </row>
        <row r="534">
          <cell r="B534" t="str">
            <v>2013-12</v>
          </cell>
        </row>
        <row r="535">
          <cell r="B535" t="str">
            <v>2013-12</v>
          </cell>
        </row>
        <row r="536">
          <cell r="B536" t="str">
            <v>2013-12</v>
          </cell>
        </row>
        <row r="537">
          <cell r="B537" t="str">
            <v>2013-12</v>
          </cell>
        </row>
        <row r="538">
          <cell r="B538" t="str">
            <v>2013-12</v>
          </cell>
        </row>
        <row r="539">
          <cell r="B539" t="str">
            <v>2013-12</v>
          </cell>
        </row>
        <row r="540">
          <cell r="B540" t="str">
            <v>2013-12</v>
          </cell>
        </row>
        <row r="541">
          <cell r="B541" t="str">
            <v>2013-12</v>
          </cell>
        </row>
        <row r="542">
          <cell r="B542" t="str">
            <v>2013-12</v>
          </cell>
        </row>
        <row r="543">
          <cell r="B543" t="str">
            <v>2013-12</v>
          </cell>
        </row>
        <row r="544">
          <cell r="B544" t="str">
            <v>2013-12</v>
          </cell>
        </row>
        <row r="545">
          <cell r="B545" t="str">
            <v>2013-12</v>
          </cell>
        </row>
        <row r="546">
          <cell r="B546" t="str">
            <v>2013-12</v>
          </cell>
        </row>
        <row r="547">
          <cell r="B547" t="str">
            <v>2013-12</v>
          </cell>
        </row>
        <row r="548">
          <cell r="B548" t="str">
            <v>2013-12</v>
          </cell>
        </row>
        <row r="549">
          <cell r="B549" t="str">
            <v>2013-12</v>
          </cell>
        </row>
        <row r="550">
          <cell r="B550" t="str">
            <v>2013-12</v>
          </cell>
        </row>
        <row r="551">
          <cell r="B551" t="str">
            <v>2013-12</v>
          </cell>
        </row>
        <row r="552">
          <cell r="B552" t="str">
            <v>2013-12</v>
          </cell>
        </row>
        <row r="553">
          <cell r="B553" t="str">
            <v>2013-12</v>
          </cell>
        </row>
        <row r="554">
          <cell r="B554" t="str">
            <v>2013-12</v>
          </cell>
        </row>
        <row r="555">
          <cell r="B555" t="str">
            <v>2013-12</v>
          </cell>
        </row>
        <row r="556">
          <cell r="B556" t="str">
            <v>2013-12</v>
          </cell>
        </row>
        <row r="557">
          <cell r="B557" t="str">
            <v>2013-12</v>
          </cell>
        </row>
        <row r="558">
          <cell r="B558" t="str">
            <v>2013-12</v>
          </cell>
        </row>
        <row r="559">
          <cell r="B559" t="str">
            <v>2013-12</v>
          </cell>
        </row>
        <row r="560">
          <cell r="B560" t="str">
            <v>2013-12</v>
          </cell>
        </row>
        <row r="561">
          <cell r="B561" t="str">
            <v>2013-12</v>
          </cell>
        </row>
        <row r="562">
          <cell r="B562" t="str">
            <v>2013-12</v>
          </cell>
        </row>
        <row r="563">
          <cell r="B563" t="str">
            <v>2013-12</v>
          </cell>
        </row>
        <row r="564">
          <cell r="B564" t="str">
            <v>2013-12</v>
          </cell>
        </row>
        <row r="565">
          <cell r="B565" t="str">
            <v>2013-12</v>
          </cell>
        </row>
        <row r="566">
          <cell r="B566" t="str">
            <v>2013-12</v>
          </cell>
        </row>
        <row r="567">
          <cell r="B567" t="str">
            <v>2013-12</v>
          </cell>
        </row>
        <row r="568">
          <cell r="B568" t="str">
            <v>2013-12</v>
          </cell>
        </row>
        <row r="569">
          <cell r="B569" t="str">
            <v>2013-12</v>
          </cell>
        </row>
        <row r="570">
          <cell r="B570" t="str">
            <v>2013-12</v>
          </cell>
        </row>
        <row r="571">
          <cell r="B571" t="str">
            <v>2013-12</v>
          </cell>
        </row>
        <row r="572">
          <cell r="B572" t="str">
            <v>2013-12</v>
          </cell>
        </row>
        <row r="573">
          <cell r="B573" t="str">
            <v>2013-12</v>
          </cell>
        </row>
        <row r="574">
          <cell r="B574" t="str">
            <v>2013-12</v>
          </cell>
        </row>
        <row r="575">
          <cell r="B575" t="str">
            <v>2013-12</v>
          </cell>
        </row>
        <row r="576">
          <cell r="B576" t="str">
            <v>2013-12</v>
          </cell>
        </row>
        <row r="577">
          <cell r="B577" t="str">
            <v>2013-12</v>
          </cell>
        </row>
        <row r="578">
          <cell r="B578" t="str">
            <v>2013-12</v>
          </cell>
        </row>
        <row r="579">
          <cell r="B579" t="str">
            <v>2013-12</v>
          </cell>
        </row>
        <row r="580">
          <cell r="B580" t="str">
            <v>2013-12</v>
          </cell>
        </row>
        <row r="581">
          <cell r="B581" t="str">
            <v>2013-12</v>
          </cell>
        </row>
        <row r="582">
          <cell r="B582" t="str">
            <v>2013-12</v>
          </cell>
        </row>
        <row r="583">
          <cell r="B583" t="str">
            <v>2013-12</v>
          </cell>
        </row>
        <row r="584">
          <cell r="B584" t="str">
            <v>2013-12</v>
          </cell>
        </row>
        <row r="585">
          <cell r="B585" t="str">
            <v>2013-12</v>
          </cell>
        </row>
        <row r="586">
          <cell r="B586" t="str">
            <v>2013-12</v>
          </cell>
        </row>
        <row r="587">
          <cell r="B587" t="str">
            <v>2013-12</v>
          </cell>
        </row>
        <row r="588">
          <cell r="B588" t="str">
            <v>2013-12</v>
          </cell>
        </row>
        <row r="589">
          <cell r="B589" t="str">
            <v>2013-12</v>
          </cell>
        </row>
        <row r="590">
          <cell r="B590" t="str">
            <v>2013-12</v>
          </cell>
        </row>
        <row r="591">
          <cell r="B591" t="str">
            <v>2013-12</v>
          </cell>
        </row>
        <row r="592">
          <cell r="B592" t="str">
            <v>2013-12</v>
          </cell>
        </row>
        <row r="593">
          <cell r="B593" t="str">
            <v>2013-12</v>
          </cell>
        </row>
        <row r="594">
          <cell r="B594" t="str">
            <v>2013-12</v>
          </cell>
        </row>
        <row r="595">
          <cell r="B595" t="str">
            <v>2013-12</v>
          </cell>
        </row>
        <row r="596">
          <cell r="B596" t="str">
            <v>2013-12</v>
          </cell>
        </row>
        <row r="597">
          <cell r="B597" t="str">
            <v>2013-12</v>
          </cell>
        </row>
        <row r="598">
          <cell r="B598" t="str">
            <v>2013-12</v>
          </cell>
        </row>
        <row r="599">
          <cell r="B599" t="str">
            <v>2013-12</v>
          </cell>
        </row>
        <row r="600">
          <cell r="B600" t="str">
            <v>2013-12</v>
          </cell>
        </row>
        <row r="601">
          <cell r="B601" t="str">
            <v>2013-12</v>
          </cell>
        </row>
        <row r="602">
          <cell r="B602" t="str">
            <v>2013-12</v>
          </cell>
        </row>
        <row r="603">
          <cell r="B603" t="str">
            <v>2013-12</v>
          </cell>
        </row>
        <row r="604">
          <cell r="B604" t="str">
            <v>2013-12</v>
          </cell>
        </row>
        <row r="605">
          <cell r="B605" t="str">
            <v>2013-12</v>
          </cell>
        </row>
        <row r="606">
          <cell r="B606" t="str">
            <v>2013-12</v>
          </cell>
        </row>
        <row r="607">
          <cell r="B607" t="str">
            <v>2013-12</v>
          </cell>
        </row>
        <row r="608">
          <cell r="B608" t="str">
            <v>2013-12</v>
          </cell>
        </row>
        <row r="609">
          <cell r="B609" t="str">
            <v>2013-12</v>
          </cell>
        </row>
        <row r="610">
          <cell r="B610" t="str">
            <v>2013-12</v>
          </cell>
        </row>
        <row r="611">
          <cell r="B611" t="str">
            <v>2013-12</v>
          </cell>
        </row>
        <row r="612">
          <cell r="B612" t="str">
            <v>2013-12</v>
          </cell>
        </row>
        <row r="613">
          <cell r="B613" t="str">
            <v>2013-12</v>
          </cell>
        </row>
        <row r="614">
          <cell r="B614" t="str">
            <v>2013-12</v>
          </cell>
        </row>
        <row r="615">
          <cell r="B615" t="str">
            <v>2013-12</v>
          </cell>
        </row>
        <row r="616">
          <cell r="B616" t="str">
            <v>2013-12</v>
          </cell>
        </row>
        <row r="617">
          <cell r="B617" t="str">
            <v>2013-12</v>
          </cell>
        </row>
        <row r="618">
          <cell r="B618" t="str">
            <v>2013-12</v>
          </cell>
        </row>
        <row r="619">
          <cell r="B619" t="str">
            <v>2013-12</v>
          </cell>
        </row>
        <row r="620">
          <cell r="B620" t="str">
            <v>2013-12</v>
          </cell>
        </row>
        <row r="621">
          <cell r="B621" t="str">
            <v>2013-12</v>
          </cell>
        </row>
        <row r="622">
          <cell r="B622" t="str">
            <v>2013-12</v>
          </cell>
        </row>
        <row r="623">
          <cell r="B623" t="str">
            <v>2013-12</v>
          </cell>
        </row>
        <row r="624">
          <cell r="B624" t="str">
            <v>2013-12</v>
          </cell>
        </row>
        <row r="625">
          <cell r="B625" t="str">
            <v>2013-12</v>
          </cell>
        </row>
        <row r="626">
          <cell r="B626" t="str">
            <v>2013-12</v>
          </cell>
        </row>
        <row r="627">
          <cell r="B627" t="str">
            <v>2013-12</v>
          </cell>
        </row>
        <row r="628">
          <cell r="B628" t="str">
            <v>2013-12</v>
          </cell>
        </row>
        <row r="629">
          <cell r="B629" t="str">
            <v>2013-12</v>
          </cell>
        </row>
        <row r="630">
          <cell r="B630" t="str">
            <v>2013-12</v>
          </cell>
        </row>
        <row r="631">
          <cell r="B631" t="str">
            <v>2013-12</v>
          </cell>
        </row>
        <row r="632">
          <cell r="B632" t="str">
            <v>2013-12</v>
          </cell>
        </row>
        <row r="633">
          <cell r="B633" t="str">
            <v>2013-12</v>
          </cell>
        </row>
        <row r="634">
          <cell r="B634" t="str">
            <v>2013-12</v>
          </cell>
        </row>
        <row r="635">
          <cell r="B635" t="str">
            <v>2013-12</v>
          </cell>
        </row>
        <row r="636">
          <cell r="B636" t="str">
            <v>2013-12</v>
          </cell>
        </row>
        <row r="637">
          <cell r="B637" t="str">
            <v>2013-12</v>
          </cell>
        </row>
        <row r="638">
          <cell r="B638" t="str">
            <v>2013-12</v>
          </cell>
        </row>
        <row r="639">
          <cell r="B639" t="str">
            <v>2013-12</v>
          </cell>
        </row>
        <row r="640">
          <cell r="B640" t="str">
            <v>2013-12</v>
          </cell>
        </row>
        <row r="641">
          <cell r="B641" t="str">
            <v>2013-12</v>
          </cell>
        </row>
        <row r="642">
          <cell r="B642" t="str">
            <v>2013-12</v>
          </cell>
        </row>
        <row r="643">
          <cell r="B643" t="str">
            <v>2013-12</v>
          </cell>
        </row>
        <row r="644">
          <cell r="B644" t="str">
            <v>2013-12</v>
          </cell>
        </row>
        <row r="645">
          <cell r="B645" t="str">
            <v>2013-12</v>
          </cell>
        </row>
        <row r="646">
          <cell r="B646" t="str">
            <v>2013-12</v>
          </cell>
        </row>
        <row r="647">
          <cell r="B647" t="str">
            <v>2013-12</v>
          </cell>
        </row>
        <row r="648">
          <cell r="B648" t="str">
            <v>2013-12</v>
          </cell>
        </row>
        <row r="649">
          <cell r="B649" t="str">
            <v>2013-12</v>
          </cell>
        </row>
        <row r="650">
          <cell r="B650" t="str">
            <v>2013-12</v>
          </cell>
        </row>
        <row r="651">
          <cell r="B651" t="str">
            <v>2013-12</v>
          </cell>
        </row>
        <row r="652">
          <cell r="B652" t="str">
            <v>2013-12</v>
          </cell>
        </row>
        <row r="653">
          <cell r="B653" t="str">
            <v>2013-12</v>
          </cell>
        </row>
        <row r="654">
          <cell r="B654" t="str">
            <v>2013-12</v>
          </cell>
        </row>
        <row r="655">
          <cell r="B655" t="str">
            <v>2013-12</v>
          </cell>
        </row>
        <row r="656">
          <cell r="B656" t="str">
            <v>2013-12</v>
          </cell>
        </row>
        <row r="657">
          <cell r="B657" t="str">
            <v>2013-12</v>
          </cell>
        </row>
        <row r="658">
          <cell r="B658" t="str">
            <v>2013-12</v>
          </cell>
        </row>
        <row r="659">
          <cell r="B659" t="str">
            <v>2013-12</v>
          </cell>
        </row>
        <row r="660">
          <cell r="B660" t="str">
            <v>2013-12</v>
          </cell>
        </row>
        <row r="661">
          <cell r="B661" t="str">
            <v>2013-12</v>
          </cell>
        </row>
        <row r="662">
          <cell r="B662" t="str">
            <v>2013-12</v>
          </cell>
        </row>
        <row r="663">
          <cell r="B663" t="str">
            <v>2013-12</v>
          </cell>
        </row>
        <row r="664">
          <cell r="B664" t="str">
            <v>2013-12</v>
          </cell>
        </row>
        <row r="665">
          <cell r="B665" t="str">
            <v>2013-12</v>
          </cell>
        </row>
        <row r="666">
          <cell r="B666" t="str">
            <v>2013-12</v>
          </cell>
        </row>
        <row r="667">
          <cell r="B667" t="str">
            <v>2013-12</v>
          </cell>
        </row>
        <row r="668">
          <cell r="B668" t="str">
            <v>2013-12</v>
          </cell>
        </row>
        <row r="669">
          <cell r="B669" t="str">
            <v>2013-12</v>
          </cell>
        </row>
        <row r="670">
          <cell r="B670" t="str">
            <v>2013-12</v>
          </cell>
        </row>
        <row r="671">
          <cell r="B671" t="str">
            <v>2013-12</v>
          </cell>
        </row>
        <row r="672">
          <cell r="B672" t="str">
            <v>2013-12</v>
          </cell>
        </row>
        <row r="673">
          <cell r="B673" t="str">
            <v>2013-12</v>
          </cell>
        </row>
        <row r="674">
          <cell r="B674" t="str">
            <v>2013-12</v>
          </cell>
        </row>
        <row r="675">
          <cell r="B675" t="str">
            <v>2013-12</v>
          </cell>
        </row>
        <row r="676">
          <cell r="B676" t="str">
            <v>2013-12</v>
          </cell>
        </row>
        <row r="677">
          <cell r="B677" t="str">
            <v>2013-12</v>
          </cell>
        </row>
        <row r="678">
          <cell r="B678" t="str">
            <v>2013-12</v>
          </cell>
        </row>
        <row r="679">
          <cell r="B679" t="str">
            <v>2013-12</v>
          </cell>
        </row>
        <row r="680">
          <cell r="B680" t="str">
            <v>2013-12</v>
          </cell>
        </row>
        <row r="681">
          <cell r="B681" t="str">
            <v>2013-12</v>
          </cell>
        </row>
        <row r="682">
          <cell r="B682" t="str">
            <v>2013-12</v>
          </cell>
        </row>
        <row r="683">
          <cell r="B683" t="str">
            <v>2013-12</v>
          </cell>
        </row>
        <row r="684">
          <cell r="B684" t="str">
            <v>2013-12</v>
          </cell>
        </row>
        <row r="685">
          <cell r="B685" t="str">
            <v>2013-12</v>
          </cell>
        </row>
        <row r="686">
          <cell r="B686" t="str">
            <v>2013-12</v>
          </cell>
        </row>
        <row r="687">
          <cell r="B687" t="str">
            <v>2013-12</v>
          </cell>
        </row>
        <row r="688">
          <cell r="B688" t="str">
            <v>2013-12</v>
          </cell>
        </row>
        <row r="689">
          <cell r="B689" t="str">
            <v>2013-12</v>
          </cell>
        </row>
        <row r="690">
          <cell r="B690" t="str">
            <v>2013-12</v>
          </cell>
        </row>
        <row r="691">
          <cell r="B691" t="str">
            <v>2013-12</v>
          </cell>
        </row>
        <row r="692">
          <cell r="B692" t="str">
            <v>2013-12</v>
          </cell>
        </row>
        <row r="693">
          <cell r="B693" t="str">
            <v>2013-12</v>
          </cell>
        </row>
        <row r="694">
          <cell r="B694" t="str">
            <v>2013-12</v>
          </cell>
        </row>
        <row r="695">
          <cell r="B695" t="str">
            <v>2013-12</v>
          </cell>
        </row>
        <row r="696">
          <cell r="B696" t="str">
            <v>2013-12</v>
          </cell>
        </row>
        <row r="697">
          <cell r="B697" t="str">
            <v>2013-12</v>
          </cell>
        </row>
        <row r="698">
          <cell r="B698" t="str">
            <v>2013-12</v>
          </cell>
        </row>
        <row r="699">
          <cell r="B699" t="str">
            <v>2013-12</v>
          </cell>
        </row>
        <row r="700">
          <cell r="B700" t="str">
            <v>2013-12</v>
          </cell>
        </row>
        <row r="701">
          <cell r="B701" t="str">
            <v>2013-12</v>
          </cell>
        </row>
        <row r="702">
          <cell r="B702" t="str">
            <v>2013-12</v>
          </cell>
        </row>
        <row r="703">
          <cell r="B703" t="str">
            <v>2013-12</v>
          </cell>
        </row>
        <row r="704">
          <cell r="B704" t="str">
            <v>2013-12</v>
          </cell>
        </row>
        <row r="705">
          <cell r="B705" t="str">
            <v>2013-12</v>
          </cell>
        </row>
        <row r="706">
          <cell r="B706" t="str">
            <v>2013-12</v>
          </cell>
        </row>
        <row r="707">
          <cell r="B707" t="str">
            <v>2013-12</v>
          </cell>
        </row>
        <row r="708">
          <cell r="B708" t="str">
            <v>2013-12</v>
          </cell>
        </row>
        <row r="709">
          <cell r="B709" t="str">
            <v>2013-12</v>
          </cell>
        </row>
        <row r="710">
          <cell r="B710" t="str">
            <v>2013-12</v>
          </cell>
        </row>
        <row r="711">
          <cell r="B711" t="str">
            <v>2013-12</v>
          </cell>
        </row>
        <row r="712">
          <cell r="B712" t="str">
            <v>2013-12</v>
          </cell>
        </row>
        <row r="713">
          <cell r="B713" t="str">
            <v>2013-12</v>
          </cell>
        </row>
        <row r="714">
          <cell r="B714" t="str">
            <v>2013-12</v>
          </cell>
        </row>
        <row r="715">
          <cell r="B715" t="str">
            <v>2013-12</v>
          </cell>
        </row>
        <row r="716">
          <cell r="B716" t="str">
            <v>2013-12</v>
          </cell>
        </row>
        <row r="717">
          <cell r="B717" t="str">
            <v>2013-12</v>
          </cell>
        </row>
        <row r="718">
          <cell r="B718" t="str">
            <v>2013-12</v>
          </cell>
        </row>
        <row r="719">
          <cell r="B719" t="str">
            <v>2013-12</v>
          </cell>
        </row>
        <row r="720">
          <cell r="B720" t="str">
            <v>2013-12</v>
          </cell>
        </row>
        <row r="721">
          <cell r="B721" t="str">
            <v>2013-12</v>
          </cell>
        </row>
        <row r="722">
          <cell r="B722" t="str">
            <v>2013-12</v>
          </cell>
        </row>
        <row r="723">
          <cell r="B723" t="str">
            <v>2013-12</v>
          </cell>
        </row>
        <row r="724">
          <cell r="B724" t="str">
            <v>2013-12</v>
          </cell>
        </row>
        <row r="725">
          <cell r="B725" t="str">
            <v>2013-12</v>
          </cell>
        </row>
        <row r="726">
          <cell r="B726" t="str">
            <v>2013-12</v>
          </cell>
        </row>
        <row r="727">
          <cell r="B727" t="str">
            <v>2013-12</v>
          </cell>
        </row>
        <row r="728">
          <cell r="B728" t="str">
            <v>2013-12</v>
          </cell>
        </row>
        <row r="729">
          <cell r="B729" t="str">
            <v>2013-12</v>
          </cell>
        </row>
        <row r="730">
          <cell r="B730" t="str">
            <v>2013-12</v>
          </cell>
        </row>
        <row r="731">
          <cell r="B731" t="str">
            <v>2013-12</v>
          </cell>
        </row>
        <row r="732">
          <cell r="B732" t="str">
            <v>2013-12</v>
          </cell>
        </row>
        <row r="733">
          <cell r="B733" t="str">
            <v>2013-12</v>
          </cell>
        </row>
        <row r="734">
          <cell r="B734" t="str">
            <v>2013-12</v>
          </cell>
        </row>
        <row r="735">
          <cell r="B735" t="str">
            <v>2013-12</v>
          </cell>
        </row>
        <row r="736">
          <cell r="B736" t="str">
            <v>2013-12</v>
          </cell>
        </row>
        <row r="737">
          <cell r="B737" t="str">
            <v>2013-12</v>
          </cell>
        </row>
        <row r="738">
          <cell r="B738" t="str">
            <v>2013-12</v>
          </cell>
        </row>
        <row r="739">
          <cell r="B739" t="str">
            <v>2013-12</v>
          </cell>
        </row>
        <row r="740">
          <cell r="B740" t="str">
            <v>2013-12</v>
          </cell>
        </row>
        <row r="741">
          <cell r="B741" t="str">
            <v>2013-12</v>
          </cell>
        </row>
        <row r="742">
          <cell r="B742" t="str">
            <v>2013-12</v>
          </cell>
        </row>
        <row r="743">
          <cell r="B743" t="str">
            <v>2013-12</v>
          </cell>
        </row>
        <row r="744">
          <cell r="B744" t="str">
            <v>2013-12</v>
          </cell>
        </row>
        <row r="745">
          <cell r="B745" t="str">
            <v>2013-12</v>
          </cell>
        </row>
        <row r="746">
          <cell r="B746" t="str">
            <v>2013-12</v>
          </cell>
        </row>
        <row r="747">
          <cell r="B747" t="str">
            <v>2013-12</v>
          </cell>
        </row>
        <row r="748">
          <cell r="B748" t="str">
            <v>2013-12</v>
          </cell>
        </row>
        <row r="749">
          <cell r="B749" t="str">
            <v>2013-12</v>
          </cell>
        </row>
        <row r="750">
          <cell r="B750" t="str">
            <v>2013-12</v>
          </cell>
        </row>
        <row r="751">
          <cell r="B751" t="str">
            <v>2013-12</v>
          </cell>
        </row>
        <row r="752">
          <cell r="B752" t="str">
            <v>2013-12</v>
          </cell>
        </row>
        <row r="753">
          <cell r="B753" t="str">
            <v>2013-12</v>
          </cell>
        </row>
        <row r="754">
          <cell r="B754" t="str">
            <v>2013-12</v>
          </cell>
        </row>
        <row r="755">
          <cell r="B755" t="str">
            <v>2013-12</v>
          </cell>
        </row>
        <row r="756">
          <cell r="B756" t="str">
            <v>2013-12</v>
          </cell>
        </row>
        <row r="757">
          <cell r="B757" t="str">
            <v>2013-12</v>
          </cell>
        </row>
        <row r="758">
          <cell r="B758" t="str">
            <v>2013-12</v>
          </cell>
        </row>
        <row r="759">
          <cell r="B759" t="str">
            <v>2013-12</v>
          </cell>
        </row>
        <row r="760">
          <cell r="B760" t="str">
            <v>2013-12</v>
          </cell>
        </row>
        <row r="761">
          <cell r="B761" t="str">
            <v>2013-12</v>
          </cell>
        </row>
        <row r="762">
          <cell r="B762" t="str">
            <v>2013-12</v>
          </cell>
        </row>
        <row r="763">
          <cell r="B763" t="str">
            <v>2013-12</v>
          </cell>
        </row>
        <row r="764">
          <cell r="B764" t="str">
            <v>2013-12</v>
          </cell>
        </row>
        <row r="765">
          <cell r="B765" t="str">
            <v>2013-12</v>
          </cell>
        </row>
        <row r="766">
          <cell r="B766" t="str">
            <v>2013-12</v>
          </cell>
        </row>
        <row r="767">
          <cell r="B767" t="str">
            <v>2013-12</v>
          </cell>
        </row>
        <row r="768">
          <cell r="B768" t="str">
            <v>2013-12</v>
          </cell>
        </row>
        <row r="769">
          <cell r="B769" t="str">
            <v>2013-12</v>
          </cell>
        </row>
        <row r="770">
          <cell r="B770" t="str">
            <v>2013-12</v>
          </cell>
        </row>
        <row r="771">
          <cell r="B771" t="str">
            <v>2013-12</v>
          </cell>
        </row>
        <row r="772">
          <cell r="B772" t="str">
            <v>2013-12</v>
          </cell>
        </row>
        <row r="773">
          <cell r="B773" t="str">
            <v>2013-12</v>
          </cell>
        </row>
        <row r="774">
          <cell r="B774" t="str">
            <v>2013-12</v>
          </cell>
        </row>
        <row r="775">
          <cell r="B775" t="str">
            <v>2013-12</v>
          </cell>
        </row>
        <row r="776">
          <cell r="B776" t="str">
            <v>2013-12</v>
          </cell>
        </row>
        <row r="777">
          <cell r="B777" t="str">
            <v>2013-12</v>
          </cell>
        </row>
        <row r="778">
          <cell r="B778" t="str">
            <v>2013-12</v>
          </cell>
        </row>
        <row r="779">
          <cell r="B779" t="str">
            <v>2013-12</v>
          </cell>
        </row>
        <row r="780">
          <cell r="B780" t="str">
            <v>2013-12</v>
          </cell>
        </row>
        <row r="781">
          <cell r="B781" t="str">
            <v>2013-12</v>
          </cell>
        </row>
        <row r="782">
          <cell r="B782" t="str">
            <v>2013-12</v>
          </cell>
        </row>
        <row r="783">
          <cell r="B783" t="str">
            <v>2013-12</v>
          </cell>
        </row>
        <row r="784">
          <cell r="B784" t="str">
            <v>2013-12</v>
          </cell>
        </row>
        <row r="785">
          <cell r="B785" t="str">
            <v>2013-12</v>
          </cell>
        </row>
        <row r="786">
          <cell r="B786" t="str">
            <v>2013-12</v>
          </cell>
        </row>
        <row r="787">
          <cell r="B787" t="str">
            <v>2013-12</v>
          </cell>
        </row>
        <row r="788">
          <cell r="B788" t="str">
            <v>2013-12</v>
          </cell>
        </row>
        <row r="789">
          <cell r="B789" t="str">
            <v>2013-12</v>
          </cell>
        </row>
        <row r="790">
          <cell r="B790" t="str">
            <v>2013-12</v>
          </cell>
        </row>
        <row r="791">
          <cell r="B791" t="str">
            <v>2013-12</v>
          </cell>
        </row>
        <row r="792">
          <cell r="B792" t="str">
            <v>2013-12</v>
          </cell>
        </row>
        <row r="793">
          <cell r="B793" t="str">
            <v>2013-12</v>
          </cell>
        </row>
        <row r="794">
          <cell r="B794" t="str">
            <v>2013-12</v>
          </cell>
        </row>
        <row r="795">
          <cell r="B795" t="str">
            <v>2013-12</v>
          </cell>
        </row>
        <row r="796">
          <cell r="B796" t="str">
            <v>2013-12</v>
          </cell>
        </row>
        <row r="797">
          <cell r="B797" t="str">
            <v>2013-12</v>
          </cell>
        </row>
        <row r="798">
          <cell r="B798" t="str">
            <v>2013-12</v>
          </cell>
        </row>
        <row r="799">
          <cell r="B799" t="str">
            <v>2013-12</v>
          </cell>
        </row>
        <row r="800">
          <cell r="B800" t="str">
            <v>2013-12</v>
          </cell>
        </row>
        <row r="801">
          <cell r="B801" t="str">
            <v>2013-12</v>
          </cell>
        </row>
        <row r="802">
          <cell r="B802" t="str">
            <v>2013-12</v>
          </cell>
        </row>
        <row r="803">
          <cell r="B803" t="str">
            <v>2013-12</v>
          </cell>
        </row>
        <row r="804">
          <cell r="B804" t="str">
            <v>2013-12</v>
          </cell>
        </row>
        <row r="805">
          <cell r="B805" t="str">
            <v>2013-12</v>
          </cell>
        </row>
        <row r="806">
          <cell r="B806" t="str">
            <v>2013-12</v>
          </cell>
        </row>
        <row r="807">
          <cell r="B807" t="str">
            <v>2013-12</v>
          </cell>
        </row>
        <row r="808">
          <cell r="B808" t="str">
            <v>2013-12</v>
          </cell>
        </row>
        <row r="809">
          <cell r="B809" t="str">
            <v>2013-12</v>
          </cell>
        </row>
        <row r="810">
          <cell r="B810" t="str">
            <v>2013-12</v>
          </cell>
        </row>
        <row r="811">
          <cell r="B811" t="str">
            <v>2013-12</v>
          </cell>
        </row>
        <row r="812">
          <cell r="B812" t="str">
            <v>2013-12</v>
          </cell>
        </row>
        <row r="813">
          <cell r="B813" t="str">
            <v>2013-12</v>
          </cell>
        </row>
        <row r="814">
          <cell r="B814" t="str">
            <v>2013-12</v>
          </cell>
        </row>
        <row r="815">
          <cell r="B815" t="str">
            <v>2013-12</v>
          </cell>
        </row>
        <row r="816">
          <cell r="B816" t="str">
            <v>2013-12</v>
          </cell>
        </row>
        <row r="817">
          <cell r="B817" t="str">
            <v>2013-12</v>
          </cell>
        </row>
        <row r="818">
          <cell r="B818" t="str">
            <v>2013-12</v>
          </cell>
        </row>
        <row r="819">
          <cell r="B819" t="str">
            <v>2013-12</v>
          </cell>
        </row>
        <row r="820">
          <cell r="B820" t="str">
            <v>2013-12</v>
          </cell>
        </row>
        <row r="821">
          <cell r="B821" t="str">
            <v>2013-12</v>
          </cell>
        </row>
        <row r="822">
          <cell r="B822" t="str">
            <v>2013-12</v>
          </cell>
        </row>
        <row r="823">
          <cell r="B823" t="str">
            <v>2013-12</v>
          </cell>
        </row>
        <row r="824">
          <cell r="B824" t="str">
            <v>2013-12</v>
          </cell>
        </row>
        <row r="825">
          <cell r="B825" t="str">
            <v>2013-12</v>
          </cell>
        </row>
        <row r="826">
          <cell r="B826" t="str">
            <v>2013-12</v>
          </cell>
        </row>
        <row r="827">
          <cell r="B827" t="str">
            <v>2013-12</v>
          </cell>
        </row>
        <row r="828">
          <cell r="B828" t="str">
            <v>2013-12</v>
          </cell>
        </row>
        <row r="829">
          <cell r="B829" t="str">
            <v>2013-12</v>
          </cell>
        </row>
        <row r="830">
          <cell r="B830" t="str">
            <v>2013-12</v>
          </cell>
        </row>
        <row r="831">
          <cell r="B831" t="str">
            <v>2013-12</v>
          </cell>
        </row>
        <row r="832">
          <cell r="B832" t="str">
            <v>2013-12</v>
          </cell>
        </row>
        <row r="833">
          <cell r="B833" t="str">
            <v>2013-12</v>
          </cell>
        </row>
        <row r="834">
          <cell r="B834" t="str">
            <v>2013-12</v>
          </cell>
        </row>
        <row r="835">
          <cell r="B835" t="str">
            <v>2013-12</v>
          </cell>
        </row>
        <row r="836">
          <cell r="B836" t="str">
            <v>2013-12</v>
          </cell>
        </row>
        <row r="837">
          <cell r="B837" t="str">
            <v>2013-12</v>
          </cell>
        </row>
        <row r="838">
          <cell r="B838" t="str">
            <v>2013-12</v>
          </cell>
        </row>
        <row r="839">
          <cell r="B839" t="str">
            <v>2013-12</v>
          </cell>
        </row>
        <row r="840">
          <cell r="B840" t="str">
            <v>2013-12</v>
          </cell>
        </row>
        <row r="841">
          <cell r="B841" t="str">
            <v>2013-12</v>
          </cell>
        </row>
        <row r="842">
          <cell r="B842" t="str">
            <v>2013-12</v>
          </cell>
        </row>
        <row r="843">
          <cell r="B843" t="str">
            <v>2013-12</v>
          </cell>
        </row>
        <row r="844">
          <cell r="B844" t="str">
            <v>2013-12</v>
          </cell>
        </row>
        <row r="845">
          <cell r="B845" t="str">
            <v>2013-12</v>
          </cell>
        </row>
        <row r="846">
          <cell r="B846" t="str">
            <v>2013-12</v>
          </cell>
        </row>
        <row r="847">
          <cell r="B847" t="str">
            <v>2013-12</v>
          </cell>
        </row>
        <row r="848">
          <cell r="B848" t="str">
            <v>2013-12</v>
          </cell>
        </row>
        <row r="849">
          <cell r="B849" t="str">
            <v>2013-12</v>
          </cell>
        </row>
        <row r="850">
          <cell r="B850" t="str">
            <v>2013-12</v>
          </cell>
        </row>
        <row r="851">
          <cell r="B851" t="str">
            <v>2013-12</v>
          </cell>
        </row>
        <row r="852">
          <cell r="B852" t="str">
            <v>2013-12</v>
          </cell>
        </row>
        <row r="853">
          <cell r="B853" t="str">
            <v>2013-12</v>
          </cell>
        </row>
        <row r="854">
          <cell r="B854" t="str">
            <v>2013-12</v>
          </cell>
        </row>
        <row r="855">
          <cell r="B855" t="str">
            <v>2013-12</v>
          </cell>
        </row>
        <row r="856">
          <cell r="B856" t="str">
            <v>2013-12</v>
          </cell>
        </row>
        <row r="857">
          <cell r="B857" t="str">
            <v>2013-12</v>
          </cell>
        </row>
        <row r="858">
          <cell r="B858" t="str">
            <v>2013-12</v>
          </cell>
        </row>
        <row r="859">
          <cell r="B859" t="str">
            <v>2013-12</v>
          </cell>
        </row>
        <row r="860">
          <cell r="B860" t="str">
            <v>2013-12</v>
          </cell>
        </row>
        <row r="861">
          <cell r="B861" t="str">
            <v>2013-12</v>
          </cell>
        </row>
        <row r="862">
          <cell r="B862" t="str">
            <v>2013-12</v>
          </cell>
        </row>
        <row r="863">
          <cell r="B863" t="str">
            <v>2013-12</v>
          </cell>
        </row>
        <row r="864">
          <cell r="B864" t="str">
            <v>2013-12</v>
          </cell>
        </row>
        <row r="865">
          <cell r="B865" t="str">
            <v>2013-12</v>
          </cell>
        </row>
        <row r="866">
          <cell r="B866" t="str">
            <v>2013-12</v>
          </cell>
        </row>
        <row r="867">
          <cell r="B867" t="str">
            <v>2013-12</v>
          </cell>
        </row>
        <row r="868">
          <cell r="B868" t="str">
            <v>2013-12</v>
          </cell>
        </row>
        <row r="869">
          <cell r="B869" t="str">
            <v>2013-12</v>
          </cell>
        </row>
        <row r="870">
          <cell r="B870" t="str">
            <v>2013-12</v>
          </cell>
        </row>
        <row r="871">
          <cell r="B871" t="str">
            <v>2013-12</v>
          </cell>
        </row>
        <row r="872">
          <cell r="B872" t="str">
            <v>2013-12</v>
          </cell>
        </row>
        <row r="873">
          <cell r="B873" t="str">
            <v>2013-12</v>
          </cell>
        </row>
        <row r="874">
          <cell r="B874" t="str">
            <v>2013-12</v>
          </cell>
        </row>
        <row r="875">
          <cell r="B875" t="str">
            <v>2013-12</v>
          </cell>
        </row>
        <row r="876">
          <cell r="B876" t="str">
            <v>2013-12</v>
          </cell>
        </row>
        <row r="877">
          <cell r="B877" t="str">
            <v>2013-12</v>
          </cell>
        </row>
        <row r="878">
          <cell r="B878" t="str">
            <v>2013-12</v>
          </cell>
        </row>
        <row r="879">
          <cell r="B879" t="str">
            <v>2013-12</v>
          </cell>
        </row>
        <row r="880">
          <cell r="B880" t="str">
            <v>2013-12</v>
          </cell>
        </row>
        <row r="881">
          <cell r="B881" t="str">
            <v>2013-12</v>
          </cell>
        </row>
        <row r="882">
          <cell r="B882" t="str">
            <v>2013-12</v>
          </cell>
        </row>
        <row r="883">
          <cell r="B883" t="str">
            <v>2013-12</v>
          </cell>
        </row>
        <row r="884">
          <cell r="B884" t="str">
            <v>2013-12</v>
          </cell>
        </row>
        <row r="885">
          <cell r="B885" t="str">
            <v>2013-12</v>
          </cell>
        </row>
        <row r="886">
          <cell r="B886" t="str">
            <v>2013-12</v>
          </cell>
        </row>
        <row r="887">
          <cell r="B887" t="str">
            <v>2013-12</v>
          </cell>
        </row>
        <row r="888">
          <cell r="B888" t="str">
            <v>2013-12</v>
          </cell>
        </row>
        <row r="889">
          <cell r="B889" t="str">
            <v>2013-12</v>
          </cell>
        </row>
        <row r="890">
          <cell r="B890" t="str">
            <v>2013-12</v>
          </cell>
        </row>
        <row r="891">
          <cell r="B891" t="str">
            <v>2013-12</v>
          </cell>
        </row>
        <row r="892">
          <cell r="B892" t="str">
            <v>2013-12</v>
          </cell>
        </row>
        <row r="893">
          <cell r="B893" t="str">
            <v>2013-12</v>
          </cell>
        </row>
        <row r="894">
          <cell r="B894" t="str">
            <v>2013-12</v>
          </cell>
        </row>
        <row r="895">
          <cell r="B895" t="str">
            <v>2013-12</v>
          </cell>
        </row>
        <row r="896">
          <cell r="B896" t="str">
            <v>2013-12</v>
          </cell>
        </row>
        <row r="897">
          <cell r="B897" t="str">
            <v>2013-12</v>
          </cell>
        </row>
        <row r="898">
          <cell r="B898" t="str">
            <v>2013-12</v>
          </cell>
        </row>
        <row r="899">
          <cell r="B899" t="str">
            <v>2013-12</v>
          </cell>
        </row>
        <row r="900">
          <cell r="B900" t="str">
            <v>2013-12</v>
          </cell>
        </row>
        <row r="901">
          <cell r="B901" t="str">
            <v>2013-12</v>
          </cell>
        </row>
        <row r="902">
          <cell r="B902" t="str">
            <v>2013-12</v>
          </cell>
        </row>
        <row r="903">
          <cell r="B903" t="str">
            <v>2013-12</v>
          </cell>
        </row>
        <row r="904">
          <cell r="B904" t="str">
            <v>2013-12</v>
          </cell>
        </row>
        <row r="905">
          <cell r="B905" t="str">
            <v>2013-12</v>
          </cell>
        </row>
        <row r="906">
          <cell r="B906" t="str">
            <v>2013-12</v>
          </cell>
        </row>
        <row r="907">
          <cell r="B907" t="str">
            <v>2013-12</v>
          </cell>
        </row>
        <row r="908">
          <cell r="B908" t="str">
            <v>2013-12</v>
          </cell>
        </row>
        <row r="909">
          <cell r="B909" t="str">
            <v>2013-12</v>
          </cell>
        </row>
        <row r="910">
          <cell r="B910" t="str">
            <v>2013-12</v>
          </cell>
        </row>
        <row r="911">
          <cell r="B911" t="str">
            <v>2013-12</v>
          </cell>
        </row>
        <row r="912">
          <cell r="B912" t="str">
            <v>2013-12</v>
          </cell>
        </row>
        <row r="913">
          <cell r="B913" t="str">
            <v>2013-12</v>
          </cell>
        </row>
        <row r="914">
          <cell r="B914" t="str">
            <v>2013-12</v>
          </cell>
        </row>
        <row r="915">
          <cell r="B915" t="str">
            <v>2013-12</v>
          </cell>
        </row>
        <row r="916">
          <cell r="B916" t="str">
            <v>2013-12</v>
          </cell>
        </row>
        <row r="917">
          <cell r="B917" t="str">
            <v>2013-12</v>
          </cell>
        </row>
        <row r="918">
          <cell r="B918" t="str">
            <v>2013-12</v>
          </cell>
        </row>
        <row r="919">
          <cell r="B919" t="str">
            <v>2013-12</v>
          </cell>
        </row>
        <row r="920">
          <cell r="B920" t="str">
            <v>2013-12</v>
          </cell>
        </row>
        <row r="921">
          <cell r="B921" t="str">
            <v>2013-12</v>
          </cell>
        </row>
        <row r="922">
          <cell r="B922" t="str">
            <v>2013-12</v>
          </cell>
        </row>
        <row r="923">
          <cell r="B923" t="str">
            <v>2013-12</v>
          </cell>
        </row>
        <row r="924">
          <cell r="B924" t="str">
            <v>2013-12</v>
          </cell>
        </row>
        <row r="925">
          <cell r="B925" t="str">
            <v>2013-12</v>
          </cell>
        </row>
        <row r="926">
          <cell r="B926" t="str">
            <v>2013-12</v>
          </cell>
        </row>
        <row r="927">
          <cell r="B927" t="str">
            <v>2013-12</v>
          </cell>
        </row>
        <row r="928">
          <cell r="B928" t="str">
            <v>2013-12</v>
          </cell>
        </row>
        <row r="929">
          <cell r="B929" t="str">
            <v>2013-12</v>
          </cell>
        </row>
        <row r="930">
          <cell r="B930" t="str">
            <v>2013-12</v>
          </cell>
        </row>
        <row r="931">
          <cell r="B931" t="str">
            <v>2013-12</v>
          </cell>
        </row>
        <row r="932">
          <cell r="B932" t="str">
            <v>2013-12</v>
          </cell>
        </row>
        <row r="933">
          <cell r="B933" t="str">
            <v>2013-12</v>
          </cell>
        </row>
        <row r="934">
          <cell r="B934" t="str">
            <v>2013-12</v>
          </cell>
        </row>
        <row r="935">
          <cell r="B935" t="str">
            <v>2013-12</v>
          </cell>
        </row>
        <row r="936">
          <cell r="B936" t="str">
            <v>2013-12</v>
          </cell>
        </row>
        <row r="937">
          <cell r="B937" t="str">
            <v>2013-12</v>
          </cell>
        </row>
        <row r="938">
          <cell r="B938" t="str">
            <v>2013-12</v>
          </cell>
        </row>
        <row r="939">
          <cell r="B939" t="str">
            <v>2013-12</v>
          </cell>
        </row>
        <row r="940">
          <cell r="B940" t="str">
            <v>2013-12</v>
          </cell>
        </row>
        <row r="941">
          <cell r="B941" t="str">
            <v>2013-12</v>
          </cell>
        </row>
        <row r="942">
          <cell r="B942" t="str">
            <v>2013-12</v>
          </cell>
        </row>
        <row r="943">
          <cell r="B943" t="str">
            <v>2013-12</v>
          </cell>
        </row>
        <row r="944">
          <cell r="B944" t="str">
            <v>2013-12</v>
          </cell>
        </row>
        <row r="945">
          <cell r="B945" t="str">
            <v>2013-12</v>
          </cell>
        </row>
        <row r="946">
          <cell r="B946" t="str">
            <v>2013-12</v>
          </cell>
        </row>
        <row r="947">
          <cell r="B947" t="str">
            <v>2013-12</v>
          </cell>
        </row>
        <row r="948">
          <cell r="B948" t="str">
            <v>2013-12</v>
          </cell>
        </row>
        <row r="949">
          <cell r="B949" t="str">
            <v>2013-12</v>
          </cell>
        </row>
        <row r="950">
          <cell r="B950" t="str">
            <v>2013-12</v>
          </cell>
        </row>
        <row r="951">
          <cell r="B951" t="str">
            <v>2013-12</v>
          </cell>
        </row>
        <row r="952">
          <cell r="B952" t="str">
            <v>2013-12</v>
          </cell>
        </row>
        <row r="953">
          <cell r="B953" t="str">
            <v>2013-12</v>
          </cell>
        </row>
        <row r="954">
          <cell r="B954" t="str">
            <v>2013-12</v>
          </cell>
        </row>
        <row r="955">
          <cell r="B955" t="str">
            <v>2013-12</v>
          </cell>
        </row>
        <row r="956">
          <cell r="B956" t="str">
            <v>2013-12</v>
          </cell>
        </row>
        <row r="957">
          <cell r="B957" t="str">
            <v>2013-12</v>
          </cell>
        </row>
        <row r="958">
          <cell r="B958" t="str">
            <v>2013-12</v>
          </cell>
        </row>
        <row r="959">
          <cell r="B959" t="str">
            <v>2013-12</v>
          </cell>
        </row>
        <row r="960">
          <cell r="B960" t="str">
            <v>2013-12</v>
          </cell>
        </row>
        <row r="961">
          <cell r="B961" t="str">
            <v>2013-12</v>
          </cell>
        </row>
        <row r="962">
          <cell r="B962" t="str">
            <v>2013-12</v>
          </cell>
        </row>
        <row r="963">
          <cell r="B963" t="str">
            <v>2013-12</v>
          </cell>
        </row>
        <row r="964">
          <cell r="B964" t="str">
            <v>2013-12</v>
          </cell>
        </row>
        <row r="965">
          <cell r="B965" t="str">
            <v>2013-12</v>
          </cell>
        </row>
        <row r="966">
          <cell r="B966" t="str">
            <v>2013-12</v>
          </cell>
        </row>
        <row r="967">
          <cell r="B967" t="str">
            <v>2013-12</v>
          </cell>
        </row>
        <row r="968">
          <cell r="B968" t="str">
            <v>2013-12</v>
          </cell>
        </row>
        <row r="969">
          <cell r="B969" t="str">
            <v>2013-12</v>
          </cell>
        </row>
        <row r="970">
          <cell r="B970" t="str">
            <v>2013-12</v>
          </cell>
        </row>
        <row r="971">
          <cell r="B971" t="str">
            <v>2013-12</v>
          </cell>
        </row>
        <row r="972">
          <cell r="B972" t="str">
            <v>2013-12</v>
          </cell>
        </row>
        <row r="973">
          <cell r="B973" t="str">
            <v>2013-12</v>
          </cell>
        </row>
        <row r="974">
          <cell r="B974" t="str">
            <v>2013-12</v>
          </cell>
        </row>
        <row r="975">
          <cell r="B975" t="str">
            <v>2013-12</v>
          </cell>
        </row>
        <row r="976">
          <cell r="B976" t="str">
            <v>2013-12</v>
          </cell>
        </row>
        <row r="977">
          <cell r="B977" t="str">
            <v>2013-12</v>
          </cell>
        </row>
        <row r="978">
          <cell r="B978" t="str">
            <v>2013-12</v>
          </cell>
        </row>
        <row r="979">
          <cell r="B979" t="str">
            <v>2013-12</v>
          </cell>
        </row>
        <row r="980">
          <cell r="B980" t="str">
            <v>2013-12</v>
          </cell>
        </row>
        <row r="981">
          <cell r="B981" t="str">
            <v>2013-12</v>
          </cell>
        </row>
        <row r="982">
          <cell r="B982" t="str">
            <v>2013-12</v>
          </cell>
        </row>
        <row r="983">
          <cell r="B983" t="str">
            <v>2013-12</v>
          </cell>
        </row>
        <row r="984">
          <cell r="B984" t="str">
            <v>2013-12</v>
          </cell>
        </row>
        <row r="985">
          <cell r="B985" t="str">
            <v>2013-12</v>
          </cell>
        </row>
        <row r="986">
          <cell r="B986" t="str">
            <v>2013-12</v>
          </cell>
        </row>
        <row r="987">
          <cell r="B987" t="str">
            <v>2013-12</v>
          </cell>
        </row>
        <row r="988">
          <cell r="B988" t="str">
            <v>2013-12</v>
          </cell>
        </row>
        <row r="989">
          <cell r="B989" t="str">
            <v>2013-12</v>
          </cell>
        </row>
        <row r="990">
          <cell r="B990" t="str">
            <v>2013-12</v>
          </cell>
        </row>
        <row r="991">
          <cell r="B991" t="str">
            <v>2013-12</v>
          </cell>
        </row>
        <row r="992">
          <cell r="B992" t="str">
            <v>2013-12</v>
          </cell>
        </row>
        <row r="993">
          <cell r="B993" t="str">
            <v>2013-12</v>
          </cell>
        </row>
        <row r="994">
          <cell r="B994" t="str">
            <v>2013-12</v>
          </cell>
        </row>
        <row r="995">
          <cell r="B995" t="str">
            <v>2013-12</v>
          </cell>
        </row>
        <row r="996">
          <cell r="B996" t="str">
            <v>2013-12</v>
          </cell>
        </row>
        <row r="997">
          <cell r="B997" t="str">
            <v>2013-12</v>
          </cell>
        </row>
        <row r="998">
          <cell r="B998" t="str">
            <v>2013-12</v>
          </cell>
        </row>
        <row r="999">
          <cell r="B999" t="str">
            <v>2013-12</v>
          </cell>
        </row>
        <row r="1000">
          <cell r="B1000" t="str">
            <v>2013-12</v>
          </cell>
        </row>
        <row r="1001">
          <cell r="B1001" t="str">
            <v>2013-12</v>
          </cell>
        </row>
        <row r="1002">
          <cell r="B1002" t="str">
            <v>2013-12</v>
          </cell>
        </row>
        <row r="1003">
          <cell r="B1003" t="str">
            <v>2013-12</v>
          </cell>
        </row>
        <row r="1004">
          <cell r="B1004" t="str">
            <v>2013-12</v>
          </cell>
        </row>
        <row r="1005">
          <cell r="B1005" t="str">
            <v>2013-12</v>
          </cell>
        </row>
        <row r="1006">
          <cell r="B1006" t="str">
            <v>2013-12</v>
          </cell>
        </row>
        <row r="1007">
          <cell r="B1007" t="str">
            <v>2013-12</v>
          </cell>
        </row>
        <row r="1008">
          <cell r="B1008" t="str">
            <v>2013-12</v>
          </cell>
        </row>
        <row r="1009">
          <cell r="B1009" t="str">
            <v>2013-12</v>
          </cell>
        </row>
        <row r="1010">
          <cell r="B1010" t="str">
            <v>2013-12</v>
          </cell>
        </row>
        <row r="1011">
          <cell r="B1011" t="str">
            <v>2013-12</v>
          </cell>
        </row>
        <row r="1012">
          <cell r="B1012" t="str">
            <v>2013-12</v>
          </cell>
        </row>
        <row r="1013">
          <cell r="B1013" t="str">
            <v>2013-12</v>
          </cell>
        </row>
        <row r="1014">
          <cell r="B1014" t="str">
            <v>2013-12</v>
          </cell>
        </row>
        <row r="1015">
          <cell r="B1015" t="str">
            <v>2013-12</v>
          </cell>
        </row>
        <row r="1016">
          <cell r="B1016" t="str">
            <v>2013-12</v>
          </cell>
        </row>
        <row r="1017">
          <cell r="B1017" t="str">
            <v>2013-12</v>
          </cell>
        </row>
        <row r="1018">
          <cell r="B1018" t="str">
            <v>2013-12</v>
          </cell>
        </row>
        <row r="1019">
          <cell r="B1019" t="str">
            <v>2013-12</v>
          </cell>
        </row>
        <row r="1020">
          <cell r="B1020" t="str">
            <v>2013-12</v>
          </cell>
        </row>
        <row r="1021">
          <cell r="B1021" t="str">
            <v>2013-12</v>
          </cell>
        </row>
        <row r="1022">
          <cell r="B1022" t="str">
            <v>2013-12</v>
          </cell>
        </row>
        <row r="1023">
          <cell r="B1023" t="str">
            <v>2013-12</v>
          </cell>
        </row>
        <row r="1024">
          <cell r="B1024" t="str">
            <v>2013-12</v>
          </cell>
        </row>
        <row r="1025">
          <cell r="B1025" t="str">
            <v>2013-12</v>
          </cell>
        </row>
        <row r="1026">
          <cell r="B1026" t="str">
            <v>2013-12</v>
          </cell>
        </row>
        <row r="1027">
          <cell r="B1027" t="str">
            <v>2013-12</v>
          </cell>
        </row>
        <row r="1028">
          <cell r="B1028" t="str">
            <v>2013-12</v>
          </cell>
        </row>
        <row r="1029">
          <cell r="B1029" t="str">
            <v>2013-12</v>
          </cell>
        </row>
        <row r="1030">
          <cell r="B1030" t="str">
            <v>2013-12</v>
          </cell>
        </row>
        <row r="1031">
          <cell r="B1031" t="str">
            <v>2013-12</v>
          </cell>
        </row>
        <row r="1032">
          <cell r="B1032" t="str">
            <v>2013-12</v>
          </cell>
        </row>
        <row r="1033">
          <cell r="B1033" t="str">
            <v>2013-12</v>
          </cell>
        </row>
        <row r="1034">
          <cell r="B1034" t="str">
            <v>2013-12</v>
          </cell>
        </row>
        <row r="1035">
          <cell r="B1035" t="str">
            <v>2013-12</v>
          </cell>
        </row>
        <row r="1036">
          <cell r="B1036" t="str">
            <v>2013-12</v>
          </cell>
        </row>
        <row r="1037">
          <cell r="B1037" t="str">
            <v>2013-12</v>
          </cell>
        </row>
        <row r="1038">
          <cell r="B1038" t="str">
            <v>2013-12</v>
          </cell>
        </row>
        <row r="1039">
          <cell r="B1039" t="str">
            <v>2013-12</v>
          </cell>
        </row>
        <row r="1040">
          <cell r="B1040" t="str">
            <v>2013-12</v>
          </cell>
        </row>
        <row r="1041">
          <cell r="B1041" t="str">
            <v>2013-12</v>
          </cell>
        </row>
        <row r="1042">
          <cell r="B1042" t="str">
            <v>2013-12</v>
          </cell>
        </row>
        <row r="1043">
          <cell r="B1043" t="str">
            <v>2013-12</v>
          </cell>
        </row>
        <row r="1044">
          <cell r="B1044" t="str">
            <v>2013-12</v>
          </cell>
        </row>
        <row r="1045">
          <cell r="B1045" t="str">
            <v>2013-12</v>
          </cell>
        </row>
        <row r="1046">
          <cell r="B1046" t="str">
            <v>2013-12</v>
          </cell>
        </row>
        <row r="1047">
          <cell r="B1047" t="str">
            <v>2013-12</v>
          </cell>
        </row>
        <row r="1048">
          <cell r="B1048" t="str">
            <v>2013-12</v>
          </cell>
        </row>
        <row r="1049">
          <cell r="B1049" t="str">
            <v>2013-12</v>
          </cell>
        </row>
        <row r="1050">
          <cell r="B1050" t="str">
            <v>2013-12</v>
          </cell>
        </row>
        <row r="1051">
          <cell r="B1051" t="str">
            <v>2013-12</v>
          </cell>
        </row>
        <row r="1052">
          <cell r="B1052" t="str">
            <v>2013-12</v>
          </cell>
        </row>
        <row r="1053">
          <cell r="B1053" t="str">
            <v>2013-12</v>
          </cell>
        </row>
        <row r="1054">
          <cell r="B1054" t="str">
            <v>2013-12</v>
          </cell>
        </row>
        <row r="1055">
          <cell r="B1055" t="str">
            <v>2013-12</v>
          </cell>
        </row>
        <row r="1056">
          <cell r="B1056" t="str">
            <v>2013-12</v>
          </cell>
        </row>
        <row r="1057">
          <cell r="B1057" t="str">
            <v>2013-12</v>
          </cell>
        </row>
        <row r="1058">
          <cell r="B1058" t="str">
            <v>2013-12</v>
          </cell>
        </row>
        <row r="1059">
          <cell r="B1059" t="str">
            <v>2013-12</v>
          </cell>
        </row>
        <row r="1060">
          <cell r="B1060" t="str">
            <v>2013-12</v>
          </cell>
        </row>
        <row r="1061">
          <cell r="B1061" t="str">
            <v>2013-12</v>
          </cell>
        </row>
        <row r="1062">
          <cell r="B1062" t="str">
            <v>2013-12</v>
          </cell>
        </row>
        <row r="1063">
          <cell r="B1063" t="str">
            <v>2013-12</v>
          </cell>
        </row>
        <row r="1064">
          <cell r="B1064" t="str">
            <v>2013-12</v>
          </cell>
        </row>
        <row r="1065">
          <cell r="B1065" t="str">
            <v>2013-12</v>
          </cell>
        </row>
        <row r="1066">
          <cell r="B1066" t="str">
            <v>2013-12</v>
          </cell>
        </row>
        <row r="1067">
          <cell r="B1067" t="str">
            <v>2013-12</v>
          </cell>
        </row>
        <row r="1068">
          <cell r="B1068" t="str">
            <v>2013-12</v>
          </cell>
        </row>
        <row r="1069">
          <cell r="B1069" t="str">
            <v>2013-12</v>
          </cell>
        </row>
        <row r="1070">
          <cell r="B1070" t="str">
            <v>2013-12</v>
          </cell>
        </row>
        <row r="1071">
          <cell r="B1071" t="str">
            <v>2013-12</v>
          </cell>
        </row>
        <row r="1072">
          <cell r="B1072" t="str">
            <v>2013-12</v>
          </cell>
        </row>
        <row r="1073">
          <cell r="B1073" t="str">
            <v>2013-12</v>
          </cell>
        </row>
        <row r="1074">
          <cell r="B1074" t="str">
            <v>2013-12</v>
          </cell>
        </row>
        <row r="1075">
          <cell r="B1075" t="str">
            <v>2013-12</v>
          </cell>
        </row>
        <row r="1076">
          <cell r="B1076" t="str">
            <v>2013-12</v>
          </cell>
        </row>
        <row r="1077">
          <cell r="B1077" t="str">
            <v>2013-12</v>
          </cell>
        </row>
        <row r="1078">
          <cell r="B1078" t="str">
            <v>2013-12</v>
          </cell>
        </row>
        <row r="1079">
          <cell r="B1079" t="str">
            <v>2013-12</v>
          </cell>
        </row>
        <row r="1080">
          <cell r="B1080" t="str">
            <v>2013-12</v>
          </cell>
        </row>
        <row r="1081">
          <cell r="B1081" t="str">
            <v>2013-12</v>
          </cell>
        </row>
        <row r="1082">
          <cell r="B1082" t="str">
            <v>2013-12</v>
          </cell>
        </row>
        <row r="1083">
          <cell r="B1083" t="str">
            <v>2013-12</v>
          </cell>
        </row>
        <row r="1084">
          <cell r="B1084" t="str">
            <v>2013-12</v>
          </cell>
        </row>
        <row r="1085">
          <cell r="B1085" t="str">
            <v>2013-12</v>
          </cell>
        </row>
        <row r="1086">
          <cell r="B1086" t="str">
            <v>2013-12</v>
          </cell>
        </row>
        <row r="1087">
          <cell r="B1087" t="str">
            <v>2013-12</v>
          </cell>
        </row>
        <row r="1088">
          <cell r="B1088" t="str">
            <v>2013-12</v>
          </cell>
        </row>
        <row r="1089">
          <cell r="B1089" t="str">
            <v>2013-12</v>
          </cell>
        </row>
        <row r="1090">
          <cell r="B1090" t="str">
            <v>2013-12</v>
          </cell>
        </row>
        <row r="1091">
          <cell r="B1091" t="str">
            <v>2013-12</v>
          </cell>
        </row>
        <row r="1092">
          <cell r="B1092" t="str">
            <v>2013-12</v>
          </cell>
        </row>
        <row r="1093">
          <cell r="B1093" t="str">
            <v>2013-12</v>
          </cell>
        </row>
        <row r="1094">
          <cell r="B1094" t="str">
            <v>2013-12</v>
          </cell>
        </row>
        <row r="1095">
          <cell r="B1095" t="str">
            <v>2013-12</v>
          </cell>
        </row>
        <row r="1096">
          <cell r="B1096" t="str">
            <v>2013-12</v>
          </cell>
        </row>
        <row r="1097">
          <cell r="B1097" t="str">
            <v>2013-12</v>
          </cell>
        </row>
        <row r="1098">
          <cell r="B1098" t="str">
            <v>2013-12</v>
          </cell>
        </row>
        <row r="1099">
          <cell r="B1099" t="str">
            <v>2013-12</v>
          </cell>
        </row>
        <row r="1100">
          <cell r="B1100" t="str">
            <v>2013-12</v>
          </cell>
        </row>
        <row r="1101">
          <cell r="B1101" t="str">
            <v>2013-12</v>
          </cell>
        </row>
        <row r="1102">
          <cell r="B1102" t="str">
            <v>2013-12</v>
          </cell>
        </row>
        <row r="1103">
          <cell r="B1103" t="str">
            <v>2013-12</v>
          </cell>
        </row>
        <row r="1104">
          <cell r="B1104" t="str">
            <v>2013-12</v>
          </cell>
        </row>
        <row r="1105">
          <cell r="B1105" t="str">
            <v>2013-12</v>
          </cell>
        </row>
        <row r="1106">
          <cell r="B1106" t="str">
            <v>2013-12</v>
          </cell>
        </row>
        <row r="1107">
          <cell r="B1107" t="str">
            <v>2013-12</v>
          </cell>
        </row>
        <row r="1108">
          <cell r="B1108" t="str">
            <v>2013-12</v>
          </cell>
        </row>
        <row r="1109">
          <cell r="B1109" t="str">
            <v>2013-12</v>
          </cell>
        </row>
        <row r="1110">
          <cell r="B1110" t="str">
            <v>2013-12</v>
          </cell>
        </row>
        <row r="1111">
          <cell r="B1111" t="str">
            <v>2013-12</v>
          </cell>
        </row>
        <row r="1112">
          <cell r="B1112" t="str">
            <v>2013-12</v>
          </cell>
        </row>
        <row r="1113">
          <cell r="B1113" t="str">
            <v>2013-12</v>
          </cell>
        </row>
        <row r="1114">
          <cell r="B1114" t="str">
            <v>2013-12</v>
          </cell>
        </row>
        <row r="1115">
          <cell r="B1115" t="str">
            <v>2013-12</v>
          </cell>
        </row>
        <row r="1116">
          <cell r="B1116" t="str">
            <v>2013-12</v>
          </cell>
        </row>
        <row r="1117">
          <cell r="B1117" t="str">
            <v>2013-12</v>
          </cell>
        </row>
        <row r="1118">
          <cell r="B1118" t="str">
            <v>2013-12</v>
          </cell>
        </row>
        <row r="1119">
          <cell r="B1119" t="str">
            <v>2013-12</v>
          </cell>
        </row>
        <row r="1120">
          <cell r="B1120" t="str">
            <v>2013-12</v>
          </cell>
        </row>
        <row r="1121">
          <cell r="B1121" t="str">
            <v>2013-12</v>
          </cell>
        </row>
        <row r="1122">
          <cell r="B1122" t="str">
            <v>2013-12</v>
          </cell>
        </row>
        <row r="1123">
          <cell r="B1123" t="str">
            <v>2013-12</v>
          </cell>
        </row>
        <row r="1124">
          <cell r="B1124" t="str">
            <v>2013-12</v>
          </cell>
        </row>
        <row r="1125">
          <cell r="B1125" t="str">
            <v>2013-12</v>
          </cell>
        </row>
        <row r="1126">
          <cell r="B1126" t="str">
            <v>2013-12</v>
          </cell>
        </row>
        <row r="1127">
          <cell r="B1127" t="str">
            <v>2013-12</v>
          </cell>
        </row>
        <row r="1128">
          <cell r="B1128" t="str">
            <v>2013-12</v>
          </cell>
        </row>
        <row r="1129">
          <cell r="B1129" t="str">
            <v>2013-12</v>
          </cell>
        </row>
        <row r="1130">
          <cell r="B1130" t="str">
            <v>2013-12</v>
          </cell>
        </row>
        <row r="1131">
          <cell r="B1131" t="str">
            <v>2013-12</v>
          </cell>
        </row>
        <row r="1132">
          <cell r="B1132" t="str">
            <v>2013-12</v>
          </cell>
        </row>
        <row r="1133">
          <cell r="B1133" t="str">
            <v>2013-12</v>
          </cell>
        </row>
        <row r="1134">
          <cell r="B1134" t="str">
            <v>2013-12</v>
          </cell>
        </row>
        <row r="1135">
          <cell r="B1135" t="str">
            <v>2013-12</v>
          </cell>
        </row>
        <row r="1136">
          <cell r="B1136" t="str">
            <v>2013-12</v>
          </cell>
        </row>
        <row r="1137">
          <cell r="B1137" t="str">
            <v>2013-12</v>
          </cell>
        </row>
        <row r="1138">
          <cell r="B1138" t="str">
            <v>2013-12</v>
          </cell>
        </row>
        <row r="1139">
          <cell r="B1139" t="str">
            <v>2013-12</v>
          </cell>
        </row>
        <row r="1140">
          <cell r="B1140" t="str">
            <v>2013-12</v>
          </cell>
        </row>
        <row r="1141">
          <cell r="B1141" t="str">
            <v>2013-12</v>
          </cell>
        </row>
        <row r="1142">
          <cell r="B1142" t="str">
            <v>2013-12</v>
          </cell>
        </row>
        <row r="1143">
          <cell r="B1143" t="str">
            <v>2013-12</v>
          </cell>
        </row>
        <row r="1144">
          <cell r="B1144" t="str">
            <v>2013-12</v>
          </cell>
        </row>
        <row r="1145">
          <cell r="B1145" t="str">
            <v>2013-12</v>
          </cell>
        </row>
        <row r="1146">
          <cell r="B1146" t="str">
            <v>2013-12</v>
          </cell>
        </row>
        <row r="1147">
          <cell r="B1147" t="str">
            <v>2013-12</v>
          </cell>
        </row>
        <row r="1148">
          <cell r="B1148" t="str">
            <v>2013-12</v>
          </cell>
        </row>
        <row r="1149">
          <cell r="B1149" t="str">
            <v>2013-12</v>
          </cell>
        </row>
        <row r="1150">
          <cell r="B1150" t="str">
            <v>2013-12</v>
          </cell>
        </row>
        <row r="1151">
          <cell r="B1151" t="str">
            <v>2013-12</v>
          </cell>
        </row>
        <row r="1152">
          <cell r="B1152" t="str">
            <v>2013-12</v>
          </cell>
        </row>
        <row r="1153">
          <cell r="B1153" t="str">
            <v>2013-12</v>
          </cell>
        </row>
        <row r="1154">
          <cell r="B1154" t="str">
            <v>2013-12</v>
          </cell>
        </row>
        <row r="1155">
          <cell r="B1155" t="str">
            <v>2013-12</v>
          </cell>
        </row>
        <row r="1156">
          <cell r="B1156" t="str">
            <v>2013-12</v>
          </cell>
        </row>
        <row r="1157">
          <cell r="B1157" t="str">
            <v>2013-12</v>
          </cell>
        </row>
        <row r="1158">
          <cell r="B1158" t="str">
            <v>2013-12</v>
          </cell>
        </row>
        <row r="1159">
          <cell r="B1159" t="str">
            <v>2013-12</v>
          </cell>
        </row>
        <row r="1160">
          <cell r="B1160" t="str">
            <v>2013-12</v>
          </cell>
        </row>
        <row r="1161">
          <cell r="B1161" t="str">
            <v>2013-12</v>
          </cell>
        </row>
        <row r="1162">
          <cell r="B1162" t="str">
            <v>2013-12</v>
          </cell>
        </row>
        <row r="1163">
          <cell r="B1163" t="str">
            <v>2013-12</v>
          </cell>
        </row>
        <row r="1164">
          <cell r="B1164" t="str">
            <v>2013-12</v>
          </cell>
        </row>
        <row r="1165">
          <cell r="B1165" t="str">
            <v>2013-12</v>
          </cell>
        </row>
        <row r="1166">
          <cell r="B1166" t="str">
            <v>2013-12</v>
          </cell>
        </row>
        <row r="1167">
          <cell r="B1167" t="str">
            <v>2013-12</v>
          </cell>
        </row>
        <row r="1168">
          <cell r="B1168" t="str">
            <v>2013-12</v>
          </cell>
        </row>
        <row r="1169">
          <cell r="B1169" t="str">
            <v>2013-12</v>
          </cell>
        </row>
        <row r="1170">
          <cell r="B1170" t="str">
            <v>2013-12</v>
          </cell>
        </row>
        <row r="1171">
          <cell r="B1171" t="str">
            <v>2013-12</v>
          </cell>
        </row>
        <row r="1172">
          <cell r="B1172" t="str">
            <v>2013-12</v>
          </cell>
        </row>
        <row r="1173">
          <cell r="B1173" t="str">
            <v>2013-12</v>
          </cell>
        </row>
        <row r="1174">
          <cell r="B1174" t="str">
            <v>2013-12</v>
          </cell>
        </row>
        <row r="1175">
          <cell r="B1175" t="str">
            <v>2013-12</v>
          </cell>
        </row>
        <row r="1176">
          <cell r="B1176" t="str">
            <v>2013-12</v>
          </cell>
        </row>
        <row r="1177">
          <cell r="B1177" t="str">
            <v>2013-12</v>
          </cell>
        </row>
        <row r="1178">
          <cell r="B1178" t="str">
            <v>2013-12</v>
          </cell>
        </row>
        <row r="1179">
          <cell r="B1179" t="str">
            <v>2013-12</v>
          </cell>
        </row>
        <row r="1180">
          <cell r="B1180" t="str">
            <v>2013-12</v>
          </cell>
        </row>
        <row r="1181">
          <cell r="B1181" t="str">
            <v>2013-12</v>
          </cell>
        </row>
        <row r="1182">
          <cell r="B1182" t="str">
            <v>2013-12</v>
          </cell>
        </row>
        <row r="1183">
          <cell r="B1183" t="str">
            <v>2013-12</v>
          </cell>
        </row>
        <row r="1184">
          <cell r="B1184" t="str">
            <v>2013-12</v>
          </cell>
        </row>
        <row r="1185">
          <cell r="B1185" t="str">
            <v>2013-12</v>
          </cell>
        </row>
        <row r="1186">
          <cell r="B1186" t="str">
            <v>2013-12</v>
          </cell>
        </row>
        <row r="1187">
          <cell r="B1187" t="str">
            <v>2013-12</v>
          </cell>
        </row>
        <row r="1188">
          <cell r="B1188" t="str">
            <v>2013-12</v>
          </cell>
        </row>
        <row r="1189">
          <cell r="B1189" t="str">
            <v>2013-12</v>
          </cell>
        </row>
        <row r="1190">
          <cell r="B1190" t="str">
            <v>2013-12</v>
          </cell>
        </row>
        <row r="1191">
          <cell r="B1191" t="str">
            <v>2013-12</v>
          </cell>
        </row>
        <row r="1192">
          <cell r="B1192" t="str">
            <v>2013-12</v>
          </cell>
        </row>
        <row r="1193">
          <cell r="B1193" t="str">
            <v>2013-12</v>
          </cell>
        </row>
        <row r="1194">
          <cell r="B1194" t="str">
            <v>2013-12</v>
          </cell>
        </row>
        <row r="1195">
          <cell r="B1195" t="str">
            <v>2013-12</v>
          </cell>
        </row>
        <row r="1196">
          <cell r="B1196" t="str">
            <v>2013-12</v>
          </cell>
        </row>
        <row r="1197">
          <cell r="B1197" t="str">
            <v>2013-12</v>
          </cell>
        </row>
        <row r="1198">
          <cell r="B1198" t="str">
            <v>2013-12</v>
          </cell>
        </row>
        <row r="1199">
          <cell r="B1199" t="str">
            <v>2013-12</v>
          </cell>
        </row>
        <row r="1200">
          <cell r="B1200" t="str">
            <v>2013-12</v>
          </cell>
        </row>
        <row r="1201">
          <cell r="B1201" t="str">
            <v>2013-12</v>
          </cell>
        </row>
        <row r="1202">
          <cell r="B1202" t="str">
            <v>2013-12</v>
          </cell>
        </row>
        <row r="1203">
          <cell r="B1203" t="str">
            <v>2013-12</v>
          </cell>
        </row>
        <row r="1204">
          <cell r="B1204" t="str">
            <v>2013-12</v>
          </cell>
        </row>
        <row r="1205">
          <cell r="B1205" t="str">
            <v>2013-12</v>
          </cell>
        </row>
        <row r="1206">
          <cell r="B1206" t="str">
            <v>2013-12</v>
          </cell>
        </row>
        <row r="1207">
          <cell r="B1207" t="str">
            <v>2013-12</v>
          </cell>
        </row>
        <row r="1208">
          <cell r="B1208" t="str">
            <v>2013-12</v>
          </cell>
        </row>
        <row r="1209">
          <cell r="B1209" t="str">
            <v>2013-12</v>
          </cell>
        </row>
        <row r="1210">
          <cell r="B1210" t="str">
            <v>2013-12</v>
          </cell>
        </row>
        <row r="1211">
          <cell r="B1211" t="str">
            <v>2013-12</v>
          </cell>
        </row>
        <row r="1212">
          <cell r="B1212" t="str">
            <v>2013-12</v>
          </cell>
        </row>
        <row r="1213">
          <cell r="B1213" t="str">
            <v>2013-12</v>
          </cell>
        </row>
        <row r="1214">
          <cell r="B1214" t="str">
            <v>2013-12</v>
          </cell>
        </row>
        <row r="1215">
          <cell r="B1215" t="str">
            <v>2013-12</v>
          </cell>
        </row>
        <row r="1216">
          <cell r="B1216" t="str">
            <v>2013-12</v>
          </cell>
        </row>
        <row r="1217">
          <cell r="B1217" t="str">
            <v>2013-12</v>
          </cell>
        </row>
        <row r="1218">
          <cell r="B1218" t="str">
            <v>2013-12</v>
          </cell>
        </row>
        <row r="1219">
          <cell r="B1219" t="str">
            <v>2013-12</v>
          </cell>
        </row>
        <row r="1220">
          <cell r="B1220" t="str">
            <v>2013-12</v>
          </cell>
        </row>
        <row r="1221">
          <cell r="B1221" t="str">
            <v>2013-12</v>
          </cell>
        </row>
        <row r="1222">
          <cell r="B1222" t="str">
            <v>2013-12</v>
          </cell>
        </row>
        <row r="1223">
          <cell r="B1223" t="str">
            <v>2013-12</v>
          </cell>
        </row>
        <row r="1224">
          <cell r="B1224" t="str">
            <v>2013-12</v>
          </cell>
        </row>
        <row r="1225">
          <cell r="B1225" t="str">
            <v>2013-12</v>
          </cell>
        </row>
        <row r="1226">
          <cell r="B1226" t="str">
            <v>2013-12</v>
          </cell>
        </row>
        <row r="1227">
          <cell r="B1227" t="str">
            <v>2013-12</v>
          </cell>
        </row>
        <row r="1228">
          <cell r="B1228" t="str">
            <v>2013-12</v>
          </cell>
        </row>
        <row r="1229">
          <cell r="B1229" t="str">
            <v>2013-12</v>
          </cell>
        </row>
        <row r="1230">
          <cell r="B1230" t="str">
            <v>2013-12</v>
          </cell>
        </row>
        <row r="1231">
          <cell r="B1231" t="str">
            <v>2013-12</v>
          </cell>
        </row>
        <row r="1232">
          <cell r="B1232" t="str">
            <v>2013-12</v>
          </cell>
        </row>
        <row r="1233">
          <cell r="B1233" t="str">
            <v>2013-12</v>
          </cell>
        </row>
        <row r="1234">
          <cell r="B1234" t="str">
            <v>2013-12</v>
          </cell>
        </row>
        <row r="1235">
          <cell r="B1235" t="str">
            <v>2013-12</v>
          </cell>
        </row>
        <row r="1236">
          <cell r="B1236" t="str">
            <v>2013-12</v>
          </cell>
        </row>
        <row r="1237">
          <cell r="B1237" t="str">
            <v>2013-12</v>
          </cell>
        </row>
        <row r="1238">
          <cell r="B1238" t="str">
            <v>2013-12</v>
          </cell>
        </row>
        <row r="1239">
          <cell r="B1239" t="str">
            <v>2013-12</v>
          </cell>
        </row>
        <row r="1240">
          <cell r="B1240" t="str">
            <v>2013-12</v>
          </cell>
        </row>
        <row r="1241">
          <cell r="B1241" t="str">
            <v>2013-12</v>
          </cell>
        </row>
        <row r="1242">
          <cell r="B1242" t="str">
            <v>2013-12</v>
          </cell>
        </row>
        <row r="1243">
          <cell r="B1243" t="str">
            <v>2013-12</v>
          </cell>
        </row>
        <row r="1244">
          <cell r="B1244" t="str">
            <v>2013-12</v>
          </cell>
        </row>
        <row r="1245">
          <cell r="B1245" t="str">
            <v>2013-12</v>
          </cell>
        </row>
        <row r="1246">
          <cell r="B1246" t="str">
            <v>2013-12</v>
          </cell>
        </row>
        <row r="1247">
          <cell r="B1247" t="str">
            <v>2013-12</v>
          </cell>
        </row>
        <row r="1248">
          <cell r="B1248" t="str">
            <v>2013-12</v>
          </cell>
        </row>
        <row r="1249">
          <cell r="B1249" t="str">
            <v>2013-12</v>
          </cell>
        </row>
        <row r="1250">
          <cell r="B1250" t="str">
            <v>2013-12</v>
          </cell>
        </row>
        <row r="1251">
          <cell r="B1251" t="str">
            <v>2013-12</v>
          </cell>
        </row>
        <row r="1252">
          <cell r="B1252" t="str">
            <v>2013-12</v>
          </cell>
        </row>
        <row r="1253">
          <cell r="B1253" t="str">
            <v>2013-12</v>
          </cell>
        </row>
        <row r="1254">
          <cell r="B1254" t="str">
            <v>2013-12</v>
          </cell>
        </row>
        <row r="1255">
          <cell r="B1255" t="str">
            <v>2013-12</v>
          </cell>
        </row>
        <row r="1256">
          <cell r="B1256" t="str">
            <v>2013-12</v>
          </cell>
        </row>
        <row r="1257">
          <cell r="B1257" t="str">
            <v>2013-12</v>
          </cell>
        </row>
        <row r="1258">
          <cell r="B1258" t="str">
            <v>2013-12</v>
          </cell>
        </row>
        <row r="1259">
          <cell r="B1259" t="str">
            <v>2013-12</v>
          </cell>
        </row>
        <row r="1260">
          <cell r="B1260" t="str">
            <v>2013-12</v>
          </cell>
        </row>
        <row r="1261">
          <cell r="B1261" t="str">
            <v>2013-12</v>
          </cell>
        </row>
        <row r="1262">
          <cell r="B1262" t="str">
            <v>2013-12</v>
          </cell>
        </row>
        <row r="1263">
          <cell r="B1263" t="str">
            <v>2013-12</v>
          </cell>
        </row>
        <row r="1264">
          <cell r="B1264" t="str">
            <v>2013-12</v>
          </cell>
        </row>
        <row r="1265">
          <cell r="B1265" t="str">
            <v>2013-12</v>
          </cell>
        </row>
        <row r="1266">
          <cell r="B1266" t="str">
            <v>2013-12</v>
          </cell>
        </row>
        <row r="1267">
          <cell r="B1267" t="str">
            <v>2013-12</v>
          </cell>
        </row>
        <row r="1268">
          <cell r="B1268" t="str">
            <v>2013-12</v>
          </cell>
        </row>
        <row r="1269">
          <cell r="B1269" t="str">
            <v>2013-12</v>
          </cell>
        </row>
        <row r="1270">
          <cell r="B1270" t="str">
            <v>2013-12</v>
          </cell>
        </row>
        <row r="1271">
          <cell r="B1271" t="str">
            <v>2013-12</v>
          </cell>
        </row>
        <row r="1272">
          <cell r="B1272" t="str">
            <v>2013-12</v>
          </cell>
        </row>
        <row r="1273">
          <cell r="B1273" t="str">
            <v>2013-12</v>
          </cell>
        </row>
        <row r="1274">
          <cell r="B1274" t="str">
            <v>2013-12</v>
          </cell>
        </row>
        <row r="1275">
          <cell r="B1275" t="str">
            <v>2013-12</v>
          </cell>
        </row>
        <row r="1276">
          <cell r="B1276" t="str">
            <v>2013-12</v>
          </cell>
        </row>
        <row r="1277">
          <cell r="B1277" t="str">
            <v>2013-12</v>
          </cell>
        </row>
        <row r="1278">
          <cell r="B1278" t="str">
            <v>2013-12</v>
          </cell>
        </row>
        <row r="1279">
          <cell r="B1279" t="str">
            <v>2013-12</v>
          </cell>
        </row>
        <row r="1280">
          <cell r="B1280" t="str">
            <v>2013-12</v>
          </cell>
        </row>
        <row r="1281">
          <cell r="B1281" t="str">
            <v>2013-12</v>
          </cell>
        </row>
        <row r="1282">
          <cell r="B1282" t="str">
            <v>2013-12</v>
          </cell>
        </row>
        <row r="1283">
          <cell r="B1283" t="str">
            <v>2013-12</v>
          </cell>
        </row>
        <row r="1284">
          <cell r="B1284" t="str">
            <v>2013-12</v>
          </cell>
        </row>
        <row r="1285">
          <cell r="B1285" t="str">
            <v>2013-12</v>
          </cell>
        </row>
        <row r="1286">
          <cell r="B1286" t="str">
            <v>2013-12</v>
          </cell>
        </row>
        <row r="1287">
          <cell r="B1287" t="str">
            <v>2013-12</v>
          </cell>
        </row>
        <row r="1288">
          <cell r="B1288" t="str">
            <v>2013-12</v>
          </cell>
        </row>
        <row r="1289">
          <cell r="B1289" t="str">
            <v>2013-12</v>
          </cell>
        </row>
        <row r="1290">
          <cell r="B1290" t="str">
            <v>2013-12</v>
          </cell>
        </row>
        <row r="1291">
          <cell r="B1291" t="str">
            <v>2013-12</v>
          </cell>
        </row>
        <row r="1292">
          <cell r="B1292" t="str">
            <v>2013-12</v>
          </cell>
        </row>
        <row r="1293">
          <cell r="B1293" t="str">
            <v>2013-12</v>
          </cell>
        </row>
        <row r="1294">
          <cell r="B1294" t="str">
            <v>2013-12</v>
          </cell>
        </row>
        <row r="1295">
          <cell r="B1295" t="str">
            <v>2013-12</v>
          </cell>
        </row>
        <row r="1296">
          <cell r="B1296" t="str">
            <v>2013-12</v>
          </cell>
        </row>
        <row r="1297">
          <cell r="B1297" t="str">
            <v>2013-12</v>
          </cell>
        </row>
        <row r="1298">
          <cell r="B1298" t="str">
            <v>2013-12</v>
          </cell>
        </row>
        <row r="1299">
          <cell r="B1299" t="str">
            <v>2013-12</v>
          </cell>
        </row>
        <row r="1300">
          <cell r="B1300" t="str">
            <v>2013-12</v>
          </cell>
        </row>
        <row r="1301">
          <cell r="B1301" t="str">
            <v>2013-12</v>
          </cell>
        </row>
        <row r="1302">
          <cell r="B1302" t="str">
            <v>2013-12</v>
          </cell>
        </row>
        <row r="1303">
          <cell r="B1303" t="str">
            <v>2013-12</v>
          </cell>
        </row>
        <row r="1304">
          <cell r="B1304" t="str">
            <v>2013-12</v>
          </cell>
        </row>
        <row r="1305">
          <cell r="B1305" t="str">
            <v>2013-12</v>
          </cell>
        </row>
        <row r="1306">
          <cell r="B1306" t="str">
            <v>2013-12</v>
          </cell>
        </row>
        <row r="1307">
          <cell r="B1307" t="str">
            <v>2013-12</v>
          </cell>
        </row>
        <row r="1308">
          <cell r="B1308" t="str">
            <v>2013-12</v>
          </cell>
        </row>
        <row r="1309">
          <cell r="B1309" t="str">
            <v>2013-12</v>
          </cell>
        </row>
        <row r="1310">
          <cell r="B1310" t="str">
            <v>2013-12</v>
          </cell>
        </row>
        <row r="1311">
          <cell r="B1311" t="str">
            <v>2013-12</v>
          </cell>
        </row>
        <row r="1312">
          <cell r="B1312" t="str">
            <v>2013-12</v>
          </cell>
        </row>
        <row r="1313">
          <cell r="B1313" t="str">
            <v>2013-12</v>
          </cell>
        </row>
        <row r="1314">
          <cell r="B1314" t="str">
            <v>2013-12</v>
          </cell>
        </row>
        <row r="1315">
          <cell r="B1315" t="str">
            <v>2013-12</v>
          </cell>
        </row>
        <row r="1316">
          <cell r="B1316" t="str">
            <v>2013-12</v>
          </cell>
        </row>
        <row r="1317">
          <cell r="B1317" t="str">
            <v>2013-12</v>
          </cell>
        </row>
        <row r="1318">
          <cell r="B1318" t="str">
            <v>2013-12</v>
          </cell>
        </row>
        <row r="1319">
          <cell r="B1319" t="str">
            <v>2013-12</v>
          </cell>
        </row>
        <row r="1320">
          <cell r="B1320" t="str">
            <v>2013-12</v>
          </cell>
        </row>
        <row r="1321">
          <cell r="B1321" t="str">
            <v>2013-12</v>
          </cell>
        </row>
        <row r="1322">
          <cell r="B1322" t="str">
            <v>2013-12</v>
          </cell>
        </row>
        <row r="1323">
          <cell r="B1323" t="str">
            <v>2013-12</v>
          </cell>
        </row>
        <row r="1324">
          <cell r="B1324" t="str">
            <v>2013-12</v>
          </cell>
        </row>
        <row r="1325">
          <cell r="B1325" t="str">
            <v>2013-12</v>
          </cell>
        </row>
        <row r="1326">
          <cell r="B1326" t="str">
            <v>2013-12</v>
          </cell>
        </row>
        <row r="1327">
          <cell r="B1327" t="str">
            <v>2013-12</v>
          </cell>
        </row>
        <row r="1328">
          <cell r="B1328" t="str">
            <v>2013-12</v>
          </cell>
        </row>
        <row r="1329">
          <cell r="B1329" t="str">
            <v>2013-12</v>
          </cell>
        </row>
        <row r="1330">
          <cell r="B1330" t="str">
            <v>2013-12</v>
          </cell>
        </row>
        <row r="1331">
          <cell r="B1331" t="str">
            <v>2013-12</v>
          </cell>
        </row>
        <row r="1332">
          <cell r="B1332" t="str">
            <v>2013-12</v>
          </cell>
        </row>
        <row r="1333">
          <cell r="B1333" t="str">
            <v>2013-12</v>
          </cell>
        </row>
        <row r="1334">
          <cell r="B1334" t="str">
            <v>2013-12</v>
          </cell>
        </row>
        <row r="1335">
          <cell r="B1335" t="str">
            <v>2013-12</v>
          </cell>
        </row>
        <row r="1336">
          <cell r="B1336" t="str">
            <v>2013-12</v>
          </cell>
        </row>
        <row r="1337">
          <cell r="B1337" t="str">
            <v>2013-12</v>
          </cell>
        </row>
        <row r="1338">
          <cell r="B1338" t="str">
            <v>2013-12</v>
          </cell>
        </row>
        <row r="1339">
          <cell r="B1339" t="str">
            <v>2013-12</v>
          </cell>
        </row>
        <row r="1340">
          <cell r="B1340" t="str">
            <v>2013-12</v>
          </cell>
        </row>
        <row r="1341">
          <cell r="B1341" t="str">
            <v>2013-12</v>
          </cell>
        </row>
        <row r="1342">
          <cell r="B1342" t="str">
            <v>2013-12</v>
          </cell>
        </row>
        <row r="1343">
          <cell r="B1343" t="str">
            <v>2013-12</v>
          </cell>
        </row>
        <row r="1344">
          <cell r="B1344" t="str">
            <v>2013-12</v>
          </cell>
        </row>
        <row r="1345">
          <cell r="B1345" t="str">
            <v>2013-12</v>
          </cell>
        </row>
        <row r="1346">
          <cell r="B1346" t="str">
            <v>2013-12</v>
          </cell>
        </row>
        <row r="1347">
          <cell r="B1347" t="str">
            <v>2013-12</v>
          </cell>
        </row>
        <row r="1348">
          <cell r="B1348" t="str">
            <v>2013-12</v>
          </cell>
        </row>
        <row r="1349">
          <cell r="B1349" t="str">
            <v>2013-12</v>
          </cell>
        </row>
        <row r="1350">
          <cell r="B1350" t="str">
            <v>2013-12</v>
          </cell>
        </row>
        <row r="1351">
          <cell r="B1351" t="str">
            <v>2013-12</v>
          </cell>
        </row>
        <row r="1352">
          <cell r="B1352" t="str">
            <v>2013-12</v>
          </cell>
        </row>
        <row r="1353">
          <cell r="B1353" t="str">
            <v>2013-12</v>
          </cell>
        </row>
        <row r="1354">
          <cell r="B1354" t="str">
            <v>2013-12</v>
          </cell>
        </row>
        <row r="1355">
          <cell r="B1355" t="str">
            <v>2013-12</v>
          </cell>
        </row>
        <row r="1356">
          <cell r="B1356" t="str">
            <v>2013-12</v>
          </cell>
        </row>
        <row r="1357">
          <cell r="B1357" t="str">
            <v>2013-12</v>
          </cell>
        </row>
        <row r="1358">
          <cell r="B1358" t="str">
            <v>2013-12</v>
          </cell>
        </row>
        <row r="1359">
          <cell r="B1359" t="str">
            <v>2013-12</v>
          </cell>
        </row>
        <row r="1360">
          <cell r="B1360" t="str">
            <v>2013-12</v>
          </cell>
        </row>
        <row r="1361">
          <cell r="B1361" t="str">
            <v>2013-12</v>
          </cell>
        </row>
        <row r="1362">
          <cell r="B1362" t="str">
            <v>2013-12</v>
          </cell>
        </row>
        <row r="1363">
          <cell r="B1363" t="str">
            <v>2013-12</v>
          </cell>
        </row>
        <row r="1364">
          <cell r="B1364" t="str">
            <v>2013-12</v>
          </cell>
        </row>
        <row r="1365">
          <cell r="B1365" t="str">
            <v>2013-12</v>
          </cell>
        </row>
        <row r="1366">
          <cell r="B1366" t="str">
            <v>2013-12</v>
          </cell>
        </row>
        <row r="1367">
          <cell r="B1367" t="str">
            <v>2013-12</v>
          </cell>
        </row>
        <row r="1368">
          <cell r="B1368" t="str">
            <v>2013-12</v>
          </cell>
        </row>
        <row r="1369">
          <cell r="B1369" t="str">
            <v>2013-12</v>
          </cell>
        </row>
        <row r="1370">
          <cell r="B1370" t="str">
            <v>2013-12</v>
          </cell>
        </row>
        <row r="1371">
          <cell r="B1371" t="str">
            <v>2013-12</v>
          </cell>
        </row>
        <row r="1372">
          <cell r="B1372" t="str">
            <v>2013-12</v>
          </cell>
        </row>
        <row r="1373">
          <cell r="B1373" t="str">
            <v>2013-12</v>
          </cell>
        </row>
        <row r="1374">
          <cell r="B1374" t="str">
            <v>2013-12</v>
          </cell>
        </row>
        <row r="1375">
          <cell r="B1375" t="str">
            <v>2013-12</v>
          </cell>
        </row>
        <row r="1376">
          <cell r="B1376" t="str">
            <v>2013-12</v>
          </cell>
        </row>
        <row r="1377">
          <cell r="B1377" t="str">
            <v>2013-12</v>
          </cell>
        </row>
        <row r="1378">
          <cell r="B1378" t="str">
            <v>2013-12</v>
          </cell>
        </row>
        <row r="1379">
          <cell r="B1379" t="str">
            <v>2013-12</v>
          </cell>
        </row>
        <row r="1380">
          <cell r="B1380" t="str">
            <v>2013-12</v>
          </cell>
        </row>
        <row r="1381">
          <cell r="B1381" t="str">
            <v>2013-12</v>
          </cell>
        </row>
        <row r="1382">
          <cell r="B1382" t="str">
            <v>2013-12</v>
          </cell>
        </row>
        <row r="1383">
          <cell r="B1383" t="str">
            <v>2013-12</v>
          </cell>
        </row>
        <row r="1384">
          <cell r="B1384" t="str">
            <v>2013-12</v>
          </cell>
        </row>
        <row r="1385">
          <cell r="B1385" t="str">
            <v>2013-12</v>
          </cell>
        </row>
        <row r="1386">
          <cell r="B1386" t="str">
            <v>2013-12</v>
          </cell>
        </row>
        <row r="1387">
          <cell r="B1387" t="str">
            <v>2013-12</v>
          </cell>
        </row>
        <row r="1388">
          <cell r="B1388" t="str">
            <v>2013-12</v>
          </cell>
        </row>
        <row r="1389">
          <cell r="B1389" t="str">
            <v>2013-12</v>
          </cell>
        </row>
        <row r="1390">
          <cell r="B1390" t="str">
            <v>2013-12</v>
          </cell>
        </row>
        <row r="1391">
          <cell r="B1391" t="str">
            <v>2013-12</v>
          </cell>
        </row>
        <row r="1392">
          <cell r="B1392" t="str">
            <v>2013-12</v>
          </cell>
        </row>
        <row r="1393">
          <cell r="B1393" t="str">
            <v>2013-12</v>
          </cell>
        </row>
        <row r="1394">
          <cell r="B1394" t="str">
            <v>2013-12</v>
          </cell>
        </row>
        <row r="1395">
          <cell r="B1395" t="str">
            <v>2013-12</v>
          </cell>
        </row>
        <row r="1396">
          <cell r="B1396" t="str">
            <v>2013-12</v>
          </cell>
        </row>
        <row r="1397">
          <cell r="B1397" t="str">
            <v>2013-12</v>
          </cell>
        </row>
        <row r="1398">
          <cell r="B1398" t="str">
            <v>2013-12</v>
          </cell>
        </row>
        <row r="1399">
          <cell r="B1399" t="str">
            <v>2013-12</v>
          </cell>
        </row>
        <row r="1400">
          <cell r="B1400" t="str">
            <v>2013-12</v>
          </cell>
        </row>
        <row r="1401">
          <cell r="B1401" t="str">
            <v>2013-12</v>
          </cell>
        </row>
        <row r="1402">
          <cell r="B1402" t="str">
            <v>2013-12</v>
          </cell>
        </row>
        <row r="1403">
          <cell r="B1403" t="str">
            <v>2013-12</v>
          </cell>
        </row>
        <row r="1404">
          <cell r="B1404" t="str">
            <v>2013-12</v>
          </cell>
        </row>
        <row r="1405">
          <cell r="B1405" t="str">
            <v>2013-12</v>
          </cell>
        </row>
        <row r="1406">
          <cell r="B1406" t="str">
            <v>2013-12</v>
          </cell>
        </row>
        <row r="1407">
          <cell r="B1407" t="str">
            <v>2013-12</v>
          </cell>
        </row>
        <row r="1408">
          <cell r="B1408" t="str">
            <v>2013-12</v>
          </cell>
        </row>
        <row r="1409">
          <cell r="B1409" t="str">
            <v>2013-12</v>
          </cell>
        </row>
        <row r="1410">
          <cell r="B1410" t="str">
            <v>2013-12</v>
          </cell>
        </row>
        <row r="1411">
          <cell r="B1411" t="str">
            <v>2013-12</v>
          </cell>
        </row>
        <row r="1412">
          <cell r="B1412" t="str">
            <v>2013-12</v>
          </cell>
        </row>
        <row r="1413">
          <cell r="B1413" t="str">
            <v>2013-12</v>
          </cell>
        </row>
        <row r="1414">
          <cell r="B1414" t="str">
            <v>2013-12</v>
          </cell>
        </row>
        <row r="1415">
          <cell r="B1415" t="str">
            <v>2013-12</v>
          </cell>
        </row>
        <row r="1416">
          <cell r="B1416" t="str">
            <v>2013-12</v>
          </cell>
        </row>
        <row r="1417">
          <cell r="B1417" t="str">
            <v>2013-12</v>
          </cell>
        </row>
        <row r="1418">
          <cell r="B1418" t="str">
            <v>2013-12</v>
          </cell>
        </row>
        <row r="1419">
          <cell r="B1419" t="str">
            <v>2013-12</v>
          </cell>
        </row>
        <row r="1420">
          <cell r="B1420" t="str">
            <v>2013-12</v>
          </cell>
        </row>
        <row r="1421">
          <cell r="B1421" t="str">
            <v>2013-12</v>
          </cell>
        </row>
        <row r="1422">
          <cell r="B1422" t="str">
            <v>2013-12</v>
          </cell>
        </row>
        <row r="1423">
          <cell r="B1423" t="str">
            <v>2013-12</v>
          </cell>
        </row>
        <row r="1424">
          <cell r="B1424" t="str">
            <v>2013-12</v>
          </cell>
        </row>
        <row r="1425">
          <cell r="B1425" t="str">
            <v>2013-12</v>
          </cell>
        </row>
        <row r="1426">
          <cell r="B1426" t="str">
            <v>2013-12</v>
          </cell>
        </row>
        <row r="1427">
          <cell r="B1427" t="str">
            <v>2013-12</v>
          </cell>
        </row>
        <row r="1428">
          <cell r="B1428" t="str">
            <v>2013-12</v>
          </cell>
        </row>
        <row r="1429">
          <cell r="B1429" t="str">
            <v>2013-12</v>
          </cell>
        </row>
        <row r="1430">
          <cell r="B1430" t="str">
            <v>2013-12</v>
          </cell>
        </row>
        <row r="1431">
          <cell r="B1431" t="str">
            <v>2013-12</v>
          </cell>
        </row>
        <row r="1432">
          <cell r="B1432" t="str">
            <v>2013-12</v>
          </cell>
        </row>
        <row r="1433">
          <cell r="B1433" t="str">
            <v>2013-12</v>
          </cell>
        </row>
        <row r="1434">
          <cell r="B1434" t="str">
            <v>2013-12</v>
          </cell>
        </row>
        <row r="1435">
          <cell r="B1435" t="str">
            <v>2013-12</v>
          </cell>
        </row>
        <row r="1436">
          <cell r="B1436" t="str">
            <v>2013-12</v>
          </cell>
        </row>
        <row r="1437">
          <cell r="B1437" t="str">
            <v>2013-12</v>
          </cell>
        </row>
        <row r="1438">
          <cell r="B1438" t="str">
            <v>2013-12</v>
          </cell>
        </row>
        <row r="1439">
          <cell r="B1439" t="str">
            <v>2013-12</v>
          </cell>
        </row>
        <row r="1440">
          <cell r="B1440" t="str">
            <v>2013-12</v>
          </cell>
        </row>
        <row r="1441">
          <cell r="B1441" t="str">
            <v>2013-12</v>
          </cell>
        </row>
        <row r="1442">
          <cell r="B1442" t="str">
            <v>2013-12</v>
          </cell>
        </row>
        <row r="1443">
          <cell r="B1443" t="str">
            <v>2013-12</v>
          </cell>
        </row>
        <row r="1444">
          <cell r="B1444" t="str">
            <v>2013-12</v>
          </cell>
        </row>
        <row r="1445">
          <cell r="B1445" t="str">
            <v>2013-12</v>
          </cell>
        </row>
        <row r="1446">
          <cell r="B1446" t="str">
            <v>2013-12</v>
          </cell>
        </row>
        <row r="1447">
          <cell r="B1447" t="str">
            <v>2013-12</v>
          </cell>
        </row>
        <row r="1448">
          <cell r="B1448" t="str">
            <v>2013-12</v>
          </cell>
        </row>
        <row r="1449">
          <cell r="B1449" t="str">
            <v>2013-12</v>
          </cell>
        </row>
        <row r="1450">
          <cell r="B1450" t="str">
            <v>2013-12</v>
          </cell>
        </row>
        <row r="1451">
          <cell r="B1451" t="str">
            <v>2013-12</v>
          </cell>
        </row>
        <row r="1452">
          <cell r="B1452" t="str">
            <v>2013-12</v>
          </cell>
        </row>
        <row r="1453">
          <cell r="B1453" t="str">
            <v>2013-12</v>
          </cell>
        </row>
        <row r="1454">
          <cell r="B1454" t="str">
            <v>2013-12</v>
          </cell>
        </row>
        <row r="1455">
          <cell r="B1455" t="str">
            <v>2013-12</v>
          </cell>
        </row>
        <row r="1456">
          <cell r="B1456" t="str">
            <v>2013-12</v>
          </cell>
        </row>
        <row r="1457">
          <cell r="B1457" t="str">
            <v>2013-12</v>
          </cell>
        </row>
        <row r="1458">
          <cell r="B1458" t="str">
            <v>2013-12</v>
          </cell>
        </row>
        <row r="1459">
          <cell r="B1459" t="str">
            <v>2013-12</v>
          </cell>
        </row>
        <row r="1460">
          <cell r="B1460" t="str">
            <v>2013-12</v>
          </cell>
        </row>
        <row r="1461">
          <cell r="B1461" t="str">
            <v>2013-12</v>
          </cell>
        </row>
        <row r="1462">
          <cell r="B1462" t="str">
            <v>2013-12</v>
          </cell>
        </row>
        <row r="1463">
          <cell r="B1463" t="str">
            <v>2013-12</v>
          </cell>
        </row>
        <row r="1464">
          <cell r="B1464" t="str">
            <v>2013-12</v>
          </cell>
        </row>
        <row r="1465">
          <cell r="B1465" t="str">
            <v>2013-12</v>
          </cell>
        </row>
        <row r="1466">
          <cell r="B1466" t="str">
            <v>2013-12</v>
          </cell>
        </row>
        <row r="1467">
          <cell r="B1467" t="str">
            <v>2013-12</v>
          </cell>
        </row>
        <row r="1468">
          <cell r="B1468" t="str">
            <v>2013-12</v>
          </cell>
        </row>
        <row r="1469">
          <cell r="B1469" t="str">
            <v>2013-12</v>
          </cell>
        </row>
        <row r="1470">
          <cell r="B1470" t="str">
            <v>2013-12</v>
          </cell>
        </row>
        <row r="1471">
          <cell r="B1471" t="str">
            <v>2013-12</v>
          </cell>
        </row>
        <row r="1472">
          <cell r="B1472" t="str">
            <v>2013-12</v>
          </cell>
        </row>
        <row r="1473">
          <cell r="B1473" t="str">
            <v>2013-12</v>
          </cell>
        </row>
        <row r="1474">
          <cell r="B1474" t="str">
            <v>2013-12</v>
          </cell>
        </row>
        <row r="1475">
          <cell r="B1475" t="str">
            <v>2013-12</v>
          </cell>
        </row>
        <row r="1476">
          <cell r="B1476" t="str">
            <v>2013-12</v>
          </cell>
        </row>
        <row r="1477">
          <cell r="B1477" t="str">
            <v>2013-12</v>
          </cell>
        </row>
        <row r="1478">
          <cell r="B1478" t="str">
            <v>2013-12</v>
          </cell>
        </row>
        <row r="1479">
          <cell r="B1479" t="str">
            <v>2013-12</v>
          </cell>
        </row>
        <row r="1480">
          <cell r="B1480" t="str">
            <v>2013-12</v>
          </cell>
        </row>
        <row r="1481">
          <cell r="B1481" t="str">
            <v>2013-12</v>
          </cell>
        </row>
        <row r="1482">
          <cell r="B1482" t="str">
            <v>2013-12</v>
          </cell>
        </row>
        <row r="1483">
          <cell r="B1483" t="str">
            <v>2013-12</v>
          </cell>
        </row>
        <row r="1484">
          <cell r="B1484" t="str">
            <v>2013-12</v>
          </cell>
        </row>
        <row r="1485">
          <cell r="B1485" t="str">
            <v>2013-12</v>
          </cell>
        </row>
        <row r="1486">
          <cell r="B1486" t="str">
            <v>2013-12</v>
          </cell>
        </row>
        <row r="1487">
          <cell r="B1487" t="str">
            <v>2013-12</v>
          </cell>
        </row>
        <row r="1488">
          <cell r="B1488" t="str">
            <v>2013-12</v>
          </cell>
        </row>
        <row r="1489">
          <cell r="B1489" t="str">
            <v>2013-12</v>
          </cell>
        </row>
        <row r="1490">
          <cell r="B1490" t="str">
            <v>2013-12</v>
          </cell>
        </row>
        <row r="1491">
          <cell r="B1491" t="str">
            <v>2013-12</v>
          </cell>
        </row>
        <row r="1492">
          <cell r="B1492" t="str">
            <v>2013-12</v>
          </cell>
        </row>
        <row r="1493">
          <cell r="B1493" t="str">
            <v>2013-12</v>
          </cell>
        </row>
        <row r="1494">
          <cell r="B1494" t="str">
            <v>2013-12</v>
          </cell>
        </row>
        <row r="1495">
          <cell r="B1495" t="str">
            <v>2013-12</v>
          </cell>
        </row>
        <row r="1496">
          <cell r="B1496" t="str">
            <v>2013-12</v>
          </cell>
        </row>
        <row r="1497">
          <cell r="B1497" t="str">
            <v>2013-12</v>
          </cell>
        </row>
        <row r="1498">
          <cell r="B1498" t="str">
            <v>2013-12</v>
          </cell>
        </row>
        <row r="1499">
          <cell r="B1499" t="str">
            <v>2013-12</v>
          </cell>
        </row>
        <row r="1500">
          <cell r="B1500" t="str">
            <v>2013-12</v>
          </cell>
        </row>
        <row r="1501">
          <cell r="B1501" t="str">
            <v>2013-12</v>
          </cell>
        </row>
        <row r="1502">
          <cell r="B1502" t="str">
            <v>2013-12</v>
          </cell>
        </row>
        <row r="1503">
          <cell r="B1503" t="str">
            <v>2013-12</v>
          </cell>
        </row>
        <row r="1504">
          <cell r="B1504" t="str">
            <v>2013-12</v>
          </cell>
        </row>
        <row r="1505">
          <cell r="B1505" t="str">
            <v>2013-12</v>
          </cell>
        </row>
        <row r="1506">
          <cell r="B1506" t="str">
            <v>2013-12</v>
          </cell>
        </row>
        <row r="1507">
          <cell r="B1507" t="str">
            <v>2013-12</v>
          </cell>
        </row>
        <row r="1508">
          <cell r="B1508" t="str">
            <v>2013-12</v>
          </cell>
        </row>
        <row r="1509">
          <cell r="B1509" t="str">
            <v>2013-12</v>
          </cell>
        </row>
        <row r="1510">
          <cell r="B1510" t="str">
            <v>2013-12</v>
          </cell>
        </row>
        <row r="1511">
          <cell r="B1511" t="str">
            <v>2013-12</v>
          </cell>
        </row>
        <row r="1512">
          <cell r="B1512" t="str">
            <v>2013-12</v>
          </cell>
        </row>
        <row r="1513">
          <cell r="B1513" t="str">
            <v>2013-12</v>
          </cell>
        </row>
        <row r="1514">
          <cell r="B1514" t="str">
            <v>2013-12</v>
          </cell>
        </row>
        <row r="1515">
          <cell r="B1515" t="str">
            <v>2013-12</v>
          </cell>
        </row>
        <row r="1516">
          <cell r="B1516" t="str">
            <v>2013-12</v>
          </cell>
        </row>
        <row r="1517">
          <cell r="B1517" t="str">
            <v>2013-12</v>
          </cell>
        </row>
        <row r="1518">
          <cell r="B1518" t="str">
            <v>2013-12</v>
          </cell>
        </row>
        <row r="1519">
          <cell r="B1519" t="str">
            <v>2013-12</v>
          </cell>
        </row>
        <row r="1520">
          <cell r="B1520" t="str">
            <v>2013-12</v>
          </cell>
        </row>
        <row r="1521">
          <cell r="B1521" t="str">
            <v>2013-12</v>
          </cell>
        </row>
        <row r="1522">
          <cell r="B1522" t="str">
            <v>2013-12</v>
          </cell>
        </row>
        <row r="1523">
          <cell r="B1523" t="str">
            <v>2013-12</v>
          </cell>
        </row>
        <row r="1524">
          <cell r="B1524" t="str">
            <v>2013-12</v>
          </cell>
        </row>
        <row r="1525">
          <cell r="B1525" t="str">
            <v>2013-12</v>
          </cell>
        </row>
        <row r="1526">
          <cell r="B1526" t="str">
            <v>2013-12</v>
          </cell>
        </row>
        <row r="1527">
          <cell r="B1527" t="str">
            <v>2013-12</v>
          </cell>
        </row>
        <row r="1528">
          <cell r="B1528" t="str">
            <v>2013-12</v>
          </cell>
        </row>
        <row r="1529">
          <cell r="B1529" t="str">
            <v>2013-12</v>
          </cell>
        </row>
        <row r="1530">
          <cell r="B1530" t="str">
            <v>2013-12</v>
          </cell>
        </row>
        <row r="1531">
          <cell r="B1531" t="str">
            <v>2013-12</v>
          </cell>
        </row>
        <row r="1532">
          <cell r="B1532" t="str">
            <v>2013-12</v>
          </cell>
        </row>
        <row r="1533">
          <cell r="B1533" t="str">
            <v>2013-12</v>
          </cell>
        </row>
        <row r="1534">
          <cell r="B1534" t="str">
            <v>2013-12</v>
          </cell>
        </row>
        <row r="1535">
          <cell r="B1535" t="str">
            <v>2013-12</v>
          </cell>
        </row>
        <row r="1536">
          <cell r="B1536" t="str">
            <v>2013-12</v>
          </cell>
        </row>
        <row r="1537">
          <cell r="B1537" t="str">
            <v>2013-12</v>
          </cell>
        </row>
        <row r="1538">
          <cell r="B1538" t="str">
            <v>2013-12</v>
          </cell>
        </row>
        <row r="1539">
          <cell r="B1539" t="str">
            <v>2013-12</v>
          </cell>
        </row>
        <row r="1540">
          <cell r="B1540" t="str">
            <v>2013-12</v>
          </cell>
        </row>
        <row r="1541">
          <cell r="B1541" t="str">
            <v>2013-12</v>
          </cell>
        </row>
        <row r="1542">
          <cell r="B1542" t="str">
            <v>2013-12</v>
          </cell>
        </row>
        <row r="1543">
          <cell r="B1543" t="str">
            <v>2013-12</v>
          </cell>
        </row>
        <row r="1544">
          <cell r="B1544" t="str">
            <v>2013-12</v>
          </cell>
        </row>
        <row r="1545">
          <cell r="B1545" t="str">
            <v>2013-12</v>
          </cell>
        </row>
        <row r="1546">
          <cell r="B1546" t="str">
            <v>2013-12</v>
          </cell>
        </row>
        <row r="1547">
          <cell r="B1547" t="str">
            <v>2013-12</v>
          </cell>
        </row>
        <row r="1548">
          <cell r="B1548" t="str">
            <v>2013-12</v>
          </cell>
        </row>
        <row r="1549">
          <cell r="B1549" t="str">
            <v>2013-12</v>
          </cell>
        </row>
        <row r="1550">
          <cell r="B1550" t="str">
            <v>2013-12</v>
          </cell>
        </row>
        <row r="1551">
          <cell r="B1551" t="str">
            <v>2013-12</v>
          </cell>
        </row>
        <row r="1552">
          <cell r="B1552" t="str">
            <v>2013-12</v>
          </cell>
        </row>
        <row r="1553">
          <cell r="B1553" t="str">
            <v>2013-12</v>
          </cell>
        </row>
        <row r="1554">
          <cell r="B1554" t="str">
            <v>2013-12</v>
          </cell>
        </row>
        <row r="1555">
          <cell r="B1555" t="str">
            <v>2013-12</v>
          </cell>
        </row>
        <row r="1556">
          <cell r="B1556" t="str">
            <v>2013-12</v>
          </cell>
        </row>
        <row r="1557">
          <cell r="B1557" t="str">
            <v>2013-12</v>
          </cell>
        </row>
        <row r="1558">
          <cell r="B1558" t="str">
            <v>2013-12</v>
          </cell>
        </row>
        <row r="1559">
          <cell r="B1559" t="str">
            <v>2013-12</v>
          </cell>
        </row>
        <row r="1560">
          <cell r="B1560">
            <v>0</v>
          </cell>
        </row>
        <row r="1561">
          <cell r="B1561">
            <v>0</v>
          </cell>
        </row>
      </sheetData>
      <sheetData sheetId="8"/>
      <sheetData sheetId="9"/>
      <sheetData sheetId="10">
        <row r="2">
          <cell r="A2" t="str">
            <v>W</v>
          </cell>
        </row>
      </sheetData>
      <sheetData sheetId="11"/>
      <sheetData sheetId="12"/>
      <sheetData sheetId="13"/>
      <sheetData sheetId="14"/>
      <sheetData sheetId="15"/>
      <sheetData sheetId="16"/>
      <sheetData sheetId="17"/>
      <sheetData sheetId="18"/>
      <sheetData sheetId="19"/>
      <sheetData sheetId="20">
        <row r="29">
          <cell r="E29">
            <v>29421499.280000251</v>
          </cell>
        </row>
      </sheetData>
      <sheetData sheetId="21">
        <row r="17">
          <cell r="I17">
            <v>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TOPrs"/>
      <sheetName val="Int Rate Hedging-1"/>
      <sheetName val="Int Rate Hedg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TOPrs"/>
      <sheetName val="Int Rate Hedging-1"/>
      <sheetName val="Int Rate Hedg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L"/>
      <sheetName val="INDX"/>
      <sheetName val="A1"/>
      <sheetName val="A2"/>
      <sheetName val="A3"/>
      <sheetName val="A4"/>
      <sheetName val="A5"/>
      <sheetName val="B1"/>
      <sheetName val="B2"/>
      <sheetName val="B2.1"/>
      <sheetName val="B3"/>
      <sheetName val="B4"/>
      <sheetName val="B5"/>
      <sheetName val="B5.1"/>
      <sheetName val="C1"/>
      <sheetName val="C2"/>
      <sheetName val="C2.1"/>
      <sheetName val="C3"/>
      <sheetName val="D1"/>
      <sheetName val="D2"/>
      <sheetName val="D3"/>
      <sheetName val="D4"/>
      <sheetName val="E1"/>
      <sheetName val="E2"/>
      <sheetName val="E3"/>
      <sheetName val="E4"/>
      <sheetName val="E5"/>
      <sheetName val="E6"/>
      <sheetName val="E7"/>
      <sheetName val="E8"/>
      <sheetName val="E9"/>
      <sheetName val="F1"/>
      <sheetName val="F2"/>
      <sheetName val="F3"/>
      <sheetName val="F4"/>
      <sheetName val="G1"/>
      <sheetName val="G2"/>
      <sheetName val="G3"/>
      <sheetName val="G4"/>
      <sheetName val="G5"/>
      <sheetName val="G6"/>
      <sheetName val="G7"/>
      <sheetName val="H1"/>
      <sheetName val="H2"/>
      <sheetName val="H3"/>
      <sheetName val="H4"/>
      <sheetName val="H5"/>
      <sheetName val="RATES"/>
    </sheetNames>
    <sheetDataSet>
      <sheetData sheetId="0">
        <row r="8">
          <cell r="C8">
            <v>42004</v>
          </cell>
        </row>
        <row r="9">
          <cell r="C9">
            <v>41639</v>
          </cell>
        </row>
        <row r="10">
          <cell r="C10">
            <v>41274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
      <sheetName val="Gas Cost Summary"/>
      <sheetName val="MT"/>
      <sheetName val="MT Exh 3"/>
      <sheetName val="ND"/>
      <sheetName val="Margin Sharing"/>
      <sheetName val="ND Exh B"/>
      <sheetName val="SD"/>
      <sheetName val="SD Exh B"/>
      <sheetName val="ER"/>
      <sheetName val="ER Exh D"/>
      <sheetName val="WY"/>
      <sheetName val="WY Non-Core Rev Cr"/>
      <sheetName val="WY Exh 3"/>
      <sheetName val="WY Rate Sum"/>
      <sheetName val="Prepaid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ers"/>
      <sheetName val="Summary Charts"/>
      <sheetName val="Summary capex to depreciation"/>
      <sheetName val="Chart1 (3)"/>
      <sheetName val="Chart1 (2)"/>
      <sheetName val="Summary Equity %"/>
      <sheetName val="Summary Equity % (2)"/>
      <sheetName val="Summary LT Debt %"/>
      <sheetName val="Summary ST Debt %"/>
      <sheetName val="Summary Preferred %"/>
      <sheetName val="SNL Data"/>
      <sheetName val="Definitions"/>
      <sheetName val="Summary Equity % (3)"/>
    </sheetNames>
    <sheetDataSet>
      <sheetData sheetId="0" refreshError="1">
        <row r="6">
          <cell r="A6" t="str">
            <v>AES Corporation</v>
          </cell>
          <cell r="B6">
            <v>4055465</v>
          </cell>
          <cell r="C6" t="str">
            <v>AES</v>
          </cell>
          <cell r="D6" t="str">
            <v>AES Corp.</v>
          </cell>
        </row>
        <row r="7">
          <cell r="A7" t="str">
            <v>ALLETE, Inc.</v>
          </cell>
          <cell r="B7">
            <v>4022309</v>
          </cell>
          <cell r="C7" t="str">
            <v>ALE</v>
          </cell>
          <cell r="D7" t="str">
            <v>ALLETE Inc.</v>
          </cell>
        </row>
        <row r="8">
          <cell r="A8" t="str">
            <v>Alliant Energy Corporation</v>
          </cell>
          <cell r="B8">
            <v>4057038</v>
          </cell>
          <cell r="C8" t="str">
            <v>LNT</v>
          </cell>
          <cell r="D8" t="str">
            <v>Alliant Energy</v>
          </cell>
        </row>
        <row r="9">
          <cell r="A9" t="str">
            <v>Ameren Corporation</v>
          </cell>
          <cell r="B9">
            <v>4007308</v>
          </cell>
          <cell r="C9" t="str">
            <v>AEE</v>
          </cell>
          <cell r="D9" t="str">
            <v>Ameren Corp.</v>
          </cell>
        </row>
        <row r="10">
          <cell r="A10" t="str">
            <v>American Electric Power Company, Inc.</v>
          </cell>
          <cell r="B10">
            <v>4006321</v>
          </cell>
          <cell r="C10" t="str">
            <v>AEP</v>
          </cell>
          <cell r="D10" t="str">
            <v>American Electric Power Co.</v>
          </cell>
        </row>
        <row r="11">
          <cell r="A11" t="str">
            <v>Atlantic Power Corporation</v>
          </cell>
          <cell r="B11">
            <v>4098671</v>
          </cell>
          <cell r="C11" t="str">
            <v>ATP</v>
          </cell>
          <cell r="D11" t="str">
            <v>Atlantic Power Corp.</v>
          </cell>
        </row>
        <row r="12">
          <cell r="A12" t="str">
            <v>Avista Corporation</v>
          </cell>
          <cell r="B12">
            <v>4057075</v>
          </cell>
          <cell r="C12" t="str">
            <v>AVA</v>
          </cell>
          <cell r="D12" t="str">
            <v>Avista Corp.</v>
          </cell>
        </row>
        <row r="13">
          <cell r="A13" t="str">
            <v>Black Hills Corporation</v>
          </cell>
          <cell r="B13">
            <v>4010420</v>
          </cell>
          <cell r="C13" t="str">
            <v>BKH</v>
          </cell>
          <cell r="D13" t="str">
            <v>Black Hills Corp</v>
          </cell>
        </row>
        <row r="14">
          <cell r="A14" t="str">
            <v>Calpine Corporation</v>
          </cell>
          <cell r="B14">
            <v>4056958</v>
          </cell>
          <cell r="C14" t="str">
            <v>CPN</v>
          </cell>
          <cell r="D14" t="str">
            <v>Calpine Corp.</v>
          </cell>
        </row>
        <row r="15">
          <cell r="A15" t="str">
            <v>CenterPoint Energy, Inc.</v>
          </cell>
          <cell r="B15">
            <v>4074390</v>
          </cell>
          <cell r="C15" t="str">
            <v>CNP</v>
          </cell>
          <cell r="D15" t="str">
            <v>CenterPoint Energy Inc.</v>
          </cell>
        </row>
        <row r="16">
          <cell r="A16" t="str">
            <v>CH Energy Group, Inc.</v>
          </cell>
          <cell r="B16">
            <v>4057039</v>
          </cell>
          <cell r="C16" t="str">
            <v>CHG</v>
          </cell>
          <cell r="D16" t="str">
            <v>CH Energy Group Inc.</v>
          </cell>
        </row>
        <row r="17">
          <cell r="A17" t="str">
            <v>Chesapeake Utilities Corporation</v>
          </cell>
          <cell r="B17">
            <v>4057113</v>
          </cell>
          <cell r="C17" t="str">
            <v>CPK</v>
          </cell>
          <cell r="D17" t="str">
            <v>Chesapeake Utilities Corp.</v>
          </cell>
        </row>
        <row r="18">
          <cell r="A18" t="str">
            <v>Cleco Corporation</v>
          </cell>
          <cell r="B18">
            <v>4056937</v>
          </cell>
          <cell r="C18" t="str">
            <v>CNL</v>
          </cell>
          <cell r="D18" t="str">
            <v>Cleco Corp.</v>
          </cell>
        </row>
        <row r="19">
          <cell r="A19" t="str">
            <v>CMS Energy Corporation</v>
          </cell>
          <cell r="B19">
            <v>4004172</v>
          </cell>
          <cell r="C19" t="str">
            <v>CMS</v>
          </cell>
          <cell r="D19" t="str">
            <v>CMS Energy Corp.</v>
          </cell>
        </row>
        <row r="20">
          <cell r="A20" t="str">
            <v>Consolidated Edison, Inc.</v>
          </cell>
          <cell r="B20">
            <v>4057041</v>
          </cell>
          <cell r="C20" t="str">
            <v>ED</v>
          </cell>
          <cell r="D20" t="str">
            <v>Consolidated Edison Inc.</v>
          </cell>
        </row>
        <row r="21">
          <cell r="A21" t="str">
            <v>Covanta Holding Corporation</v>
          </cell>
          <cell r="B21">
            <v>103347</v>
          </cell>
          <cell r="C21" t="str">
            <v>CVA</v>
          </cell>
          <cell r="D21" t="str">
            <v>Covanta Holding Corp.</v>
          </cell>
        </row>
        <row r="22">
          <cell r="A22" t="str">
            <v>Dominion Resources, Inc.</v>
          </cell>
          <cell r="B22">
            <v>4001616</v>
          </cell>
          <cell r="C22" t="str">
            <v>D</v>
          </cell>
          <cell r="D22" t="str">
            <v>Dominion Resources Inc.</v>
          </cell>
        </row>
        <row r="23">
          <cell r="A23" t="str">
            <v>DTE Energy Company</v>
          </cell>
          <cell r="B23">
            <v>4057044</v>
          </cell>
          <cell r="C23" t="str">
            <v>DTE</v>
          </cell>
          <cell r="D23" t="str">
            <v>DTE Energy Co.</v>
          </cell>
        </row>
        <row r="24">
          <cell r="A24" t="str">
            <v>Duke Energy Corporation</v>
          </cell>
          <cell r="B24">
            <v>4121470</v>
          </cell>
          <cell r="C24" t="str">
            <v>DUK</v>
          </cell>
          <cell r="D24" t="str">
            <v>Duke Energy Corp</v>
          </cell>
        </row>
        <row r="25">
          <cell r="A25" t="str">
            <v>Dynegy Inc.</v>
          </cell>
          <cell r="B25">
            <v>4057069</v>
          </cell>
          <cell r="C25" t="str">
            <v>DYN</v>
          </cell>
          <cell r="D25" t="str">
            <v>Dynegy Inc.</v>
          </cell>
        </row>
        <row r="26">
          <cell r="A26" t="str">
            <v>Edison International</v>
          </cell>
          <cell r="B26">
            <v>4056943</v>
          </cell>
          <cell r="C26" t="str">
            <v>EIX</v>
          </cell>
          <cell r="D26" t="str">
            <v>Edison International</v>
          </cell>
        </row>
        <row r="27">
          <cell r="A27" t="str">
            <v>El Paso Electric Company</v>
          </cell>
          <cell r="B27">
            <v>4056994</v>
          </cell>
          <cell r="C27" t="str">
            <v>EE</v>
          </cell>
          <cell r="D27" t="str">
            <v>El Paso Electric Co.</v>
          </cell>
        </row>
        <row r="28">
          <cell r="A28" t="str">
            <v>Empire District Electric Company</v>
          </cell>
          <cell r="B28">
            <v>3005475</v>
          </cell>
          <cell r="C28" t="str">
            <v>EDE</v>
          </cell>
          <cell r="D28" t="str">
            <v>Empire District Electric Co.</v>
          </cell>
        </row>
        <row r="29">
          <cell r="A29" t="str">
            <v>Entergy Corporation</v>
          </cell>
          <cell r="B29">
            <v>4007889</v>
          </cell>
          <cell r="C29" t="str">
            <v>ETR</v>
          </cell>
          <cell r="D29" t="str">
            <v>Entergy Corp.</v>
          </cell>
        </row>
        <row r="30">
          <cell r="A30" t="str">
            <v>Exelon Corporation</v>
          </cell>
          <cell r="B30">
            <v>4057056</v>
          </cell>
          <cell r="C30" t="str">
            <v>EXC</v>
          </cell>
          <cell r="D30" t="str">
            <v>Exelon Corp.</v>
          </cell>
        </row>
        <row r="31">
          <cell r="A31" t="str">
            <v>FirstEnergy Corp.</v>
          </cell>
          <cell r="B31">
            <v>4056944</v>
          </cell>
          <cell r="C31" t="str">
            <v>FE</v>
          </cell>
          <cell r="D31" t="str">
            <v>FirstEnergy Corp.</v>
          </cell>
        </row>
        <row r="32">
          <cell r="A32" t="str">
            <v>GenOn Energy, Inc.</v>
          </cell>
          <cell r="B32">
            <v>4057383</v>
          </cell>
          <cell r="D32" t="str">
            <v>GenOn Energy Inc</v>
          </cell>
        </row>
        <row r="33">
          <cell r="A33" t="str">
            <v>Great Plains Energy Inc.</v>
          </cell>
          <cell r="B33">
            <v>4057005</v>
          </cell>
          <cell r="C33" t="str">
            <v>GXP</v>
          </cell>
          <cell r="D33" t="str">
            <v>Great Plains Energy</v>
          </cell>
        </row>
        <row r="34">
          <cell r="A34" t="str">
            <v>Hawaiian Electric Industries, Inc.</v>
          </cell>
          <cell r="B34">
            <v>1031123</v>
          </cell>
          <cell r="C34" t="str">
            <v>HE</v>
          </cell>
          <cell r="D34" t="str">
            <v>Hawaiian Electric Industries</v>
          </cell>
        </row>
        <row r="35">
          <cell r="A35" t="str">
            <v>IDACORP, Inc.</v>
          </cell>
          <cell r="B35">
            <v>4056949</v>
          </cell>
          <cell r="C35" t="str">
            <v>IDA</v>
          </cell>
          <cell r="D35" t="str">
            <v>IDACORP Inc.</v>
          </cell>
        </row>
        <row r="36">
          <cell r="A36" t="str">
            <v>Integrys Energy Group, Inc.</v>
          </cell>
          <cell r="B36">
            <v>4057067</v>
          </cell>
          <cell r="C36" t="str">
            <v>TEG</v>
          </cell>
          <cell r="D36" t="str">
            <v>Integrys Energy Group Inc.</v>
          </cell>
        </row>
        <row r="37">
          <cell r="A37" t="str">
            <v>ITC Holdings Corp.</v>
          </cell>
          <cell r="B37">
            <v>4099990</v>
          </cell>
          <cell r="C37" t="str">
            <v>ITC</v>
          </cell>
          <cell r="D37" t="str">
            <v>ITC Holdings Corp.</v>
          </cell>
        </row>
        <row r="38">
          <cell r="A38" t="str">
            <v>MDU Resources Group, Inc.</v>
          </cell>
          <cell r="B38">
            <v>4010692</v>
          </cell>
          <cell r="C38" t="str">
            <v>MDU</v>
          </cell>
          <cell r="D38" t="str">
            <v>MDU Resources Group Inc.</v>
          </cell>
        </row>
        <row r="39">
          <cell r="A39" t="str">
            <v>MGE Energy, Inc.</v>
          </cell>
          <cell r="B39">
            <v>4072883</v>
          </cell>
          <cell r="C39" t="str">
            <v>MGEE</v>
          </cell>
          <cell r="D39" t="str">
            <v>MGE Energy Inc</v>
          </cell>
        </row>
        <row r="40">
          <cell r="A40" t="str">
            <v>NextEra Energy, Inc.</v>
          </cell>
          <cell r="B40">
            <v>3010401</v>
          </cell>
          <cell r="C40" t="str">
            <v>NEE</v>
          </cell>
          <cell r="D40" t="str">
            <v>NextEra Energy Inc.</v>
          </cell>
        </row>
        <row r="41">
          <cell r="A41" t="str">
            <v>NiSource Inc.</v>
          </cell>
          <cell r="B41">
            <v>4057051</v>
          </cell>
          <cell r="C41" t="str">
            <v>NI</v>
          </cell>
          <cell r="D41" t="str">
            <v>NiSource Inc.</v>
          </cell>
        </row>
        <row r="42">
          <cell r="A42" t="str">
            <v>Northeast Utilities</v>
          </cell>
          <cell r="B42">
            <v>4057052</v>
          </cell>
          <cell r="C42" t="str">
            <v>NU</v>
          </cell>
          <cell r="D42" t="str">
            <v>Northeast Utilities</v>
          </cell>
        </row>
        <row r="43">
          <cell r="A43" t="str">
            <v>NorthWestern Corporation</v>
          </cell>
          <cell r="B43">
            <v>4057053</v>
          </cell>
          <cell r="C43" t="str">
            <v>NWE</v>
          </cell>
          <cell r="D43" t="str">
            <v>NorthWestern Corp.</v>
          </cell>
        </row>
        <row r="44">
          <cell r="A44" t="str">
            <v>NRG Energy, Inc.</v>
          </cell>
          <cell r="B44">
            <v>4057436</v>
          </cell>
          <cell r="C44" t="str">
            <v>NRG</v>
          </cell>
          <cell r="D44" t="str">
            <v>NRG Energy Inc.</v>
          </cell>
        </row>
        <row r="45">
          <cell r="A45" t="str">
            <v>NV Energy, Inc.</v>
          </cell>
          <cell r="B45">
            <v>4057063</v>
          </cell>
          <cell r="C45" t="str">
            <v>NVE</v>
          </cell>
          <cell r="D45" t="str">
            <v>NV Energy</v>
          </cell>
        </row>
        <row r="46">
          <cell r="A46" t="str">
            <v>OGE Energy Corp.</v>
          </cell>
          <cell r="B46">
            <v>4057055</v>
          </cell>
          <cell r="C46" t="str">
            <v>OGE</v>
          </cell>
          <cell r="D46" t="str">
            <v>OGE Energy Corp.</v>
          </cell>
        </row>
        <row r="47">
          <cell r="A47" t="str">
            <v>Ormat Technologies, Inc.</v>
          </cell>
          <cell r="B47">
            <v>4087066</v>
          </cell>
          <cell r="C47" t="str">
            <v>ORA</v>
          </cell>
          <cell r="D47" t="str">
            <v>Ormat Technologies Inc.</v>
          </cell>
        </row>
        <row r="48">
          <cell r="A48" t="str">
            <v>Otter Tail Corporation</v>
          </cell>
          <cell r="B48">
            <v>4057017</v>
          </cell>
          <cell r="C48" t="str">
            <v>OTTR</v>
          </cell>
          <cell r="D48" t="str">
            <v>Otter Tail Corp.</v>
          </cell>
        </row>
        <row r="49">
          <cell r="A49" t="str">
            <v>Pepco Holdings, Inc.</v>
          </cell>
          <cell r="B49">
            <v>4078763</v>
          </cell>
          <cell r="C49" t="str">
            <v>POM</v>
          </cell>
          <cell r="D49" t="str">
            <v>Pepco Holdings Inc.</v>
          </cell>
        </row>
        <row r="50">
          <cell r="A50" t="str">
            <v>PG&amp;E Corporation</v>
          </cell>
          <cell r="B50">
            <v>4057057</v>
          </cell>
          <cell r="C50" t="str">
            <v>PCG</v>
          </cell>
          <cell r="D50" t="str">
            <v>PG&amp;E Corp.</v>
          </cell>
        </row>
        <row r="51">
          <cell r="A51" t="str">
            <v>Pinnacle West Capital Corporation</v>
          </cell>
          <cell r="B51">
            <v>4056951</v>
          </cell>
          <cell r="C51" t="str">
            <v>PNW</v>
          </cell>
          <cell r="D51" t="str">
            <v>Pinnacle West Capital Corp.</v>
          </cell>
        </row>
        <row r="52">
          <cell r="A52" t="str">
            <v>PNM Resources, Inc.</v>
          </cell>
          <cell r="B52">
            <v>4006880</v>
          </cell>
          <cell r="C52" t="str">
            <v>PNM</v>
          </cell>
          <cell r="D52" t="str">
            <v>PNM Resources Inc.</v>
          </cell>
        </row>
        <row r="53">
          <cell r="A53" t="str">
            <v>Portland General Electric Company</v>
          </cell>
          <cell r="B53">
            <v>4057019</v>
          </cell>
          <cell r="C53" t="str">
            <v>POR</v>
          </cell>
          <cell r="D53" t="str">
            <v>Portland General Electric Co.</v>
          </cell>
        </row>
        <row r="54">
          <cell r="A54" t="str">
            <v>PPL Corporation</v>
          </cell>
          <cell r="B54">
            <v>4057058</v>
          </cell>
          <cell r="C54" t="str">
            <v>PPL</v>
          </cell>
          <cell r="D54" t="str">
            <v>PPL Corp.</v>
          </cell>
        </row>
        <row r="55">
          <cell r="A55" t="str">
            <v>Public Service Enterprise Group Incorporated</v>
          </cell>
          <cell r="B55">
            <v>4050911</v>
          </cell>
          <cell r="C55" t="str">
            <v>PEG</v>
          </cell>
          <cell r="D55" t="str">
            <v>Public Svc Enterprise Group</v>
          </cell>
        </row>
        <row r="56">
          <cell r="A56" t="str">
            <v>SCANA Corporation</v>
          </cell>
          <cell r="B56">
            <v>4057061</v>
          </cell>
          <cell r="C56" t="str">
            <v>SCG</v>
          </cell>
          <cell r="D56" t="str">
            <v>SCANA Corp.</v>
          </cell>
        </row>
        <row r="57">
          <cell r="A57" t="str">
            <v>Sempra Energy</v>
          </cell>
          <cell r="B57">
            <v>4057062</v>
          </cell>
          <cell r="C57" t="str">
            <v>SRE</v>
          </cell>
          <cell r="D57" t="str">
            <v>Sempra Energy</v>
          </cell>
        </row>
        <row r="58">
          <cell r="A58" t="str">
            <v>Southern Company</v>
          </cell>
          <cell r="B58">
            <v>4004298</v>
          </cell>
          <cell r="C58" t="str">
            <v>SO</v>
          </cell>
          <cell r="D58" t="str">
            <v>Southern Co.</v>
          </cell>
        </row>
        <row r="59">
          <cell r="A59" t="str">
            <v>TECO Energy, Inc.</v>
          </cell>
          <cell r="B59">
            <v>3010780</v>
          </cell>
          <cell r="C59" t="str">
            <v>TE</v>
          </cell>
          <cell r="D59" t="str">
            <v>TECO Energy Inc.</v>
          </cell>
        </row>
        <row r="60">
          <cell r="A60" t="str">
            <v>UGI Corporation</v>
          </cell>
          <cell r="B60">
            <v>4057537</v>
          </cell>
          <cell r="C60" t="str">
            <v>UGI</v>
          </cell>
          <cell r="D60" t="str">
            <v>UGI Corp.</v>
          </cell>
        </row>
        <row r="61">
          <cell r="A61" t="str">
            <v>UIL Holdings Corporation</v>
          </cell>
          <cell r="B61">
            <v>4057523</v>
          </cell>
          <cell r="C61" t="str">
            <v>UIL</v>
          </cell>
          <cell r="D61" t="str">
            <v>UIL Holdings Corp.</v>
          </cell>
        </row>
        <row r="62">
          <cell r="A62" t="str">
            <v>Unitil Corporation</v>
          </cell>
          <cell r="B62">
            <v>4056953</v>
          </cell>
          <cell r="C62" t="str">
            <v>UTL</v>
          </cell>
          <cell r="D62" t="str">
            <v>Unitil Corp.</v>
          </cell>
        </row>
        <row r="63">
          <cell r="A63" t="str">
            <v>UNS Energy Corporation</v>
          </cell>
          <cell r="B63">
            <v>4056952</v>
          </cell>
          <cell r="C63" t="str">
            <v>UNS</v>
          </cell>
          <cell r="D63" t="str">
            <v>UNS Energy Corp.</v>
          </cell>
        </row>
        <row r="64">
          <cell r="A64" t="str">
            <v>Vectren Corporation</v>
          </cell>
          <cell r="B64">
            <v>4057065</v>
          </cell>
          <cell r="C64" t="str">
            <v>VVC</v>
          </cell>
          <cell r="D64" t="str">
            <v>Vectren Corp.</v>
          </cell>
        </row>
        <row r="65">
          <cell r="A65" t="str">
            <v>Westar Energy, Inc.</v>
          </cell>
          <cell r="B65">
            <v>4057066</v>
          </cell>
          <cell r="C65" t="str">
            <v>WR</v>
          </cell>
          <cell r="D65" t="str">
            <v>Westar Energy Inc.</v>
          </cell>
        </row>
        <row r="66">
          <cell r="A66" t="str">
            <v>Wisconsin Energy Corporation</v>
          </cell>
          <cell r="B66">
            <v>4009725</v>
          </cell>
          <cell r="C66" t="str">
            <v>WEC</v>
          </cell>
          <cell r="D66" t="str">
            <v>Wisconsin Energy Corp.</v>
          </cell>
        </row>
        <row r="67">
          <cell r="A67" t="str">
            <v>Xcel Energy Inc.</v>
          </cell>
          <cell r="B67">
            <v>4025308</v>
          </cell>
          <cell r="C67" t="str">
            <v>XEL</v>
          </cell>
          <cell r="D67" t="str">
            <v>Xcel Energy Inc.</v>
          </cell>
        </row>
      </sheetData>
      <sheetData sheetId="1"/>
      <sheetData sheetId="2" refreshError="1"/>
      <sheetData sheetId="3" refreshError="1"/>
      <sheetData sheetId="4"/>
      <sheetData sheetId="5"/>
      <sheetData sheetId="6"/>
      <sheetData sheetId="7"/>
      <sheetData sheetId="8"/>
      <sheetData sheetId="9">
        <row r="157">
          <cell r="A157" t="str">
            <v>AEP Texas Central Company</v>
          </cell>
        </row>
      </sheetData>
      <sheetData sheetId="10">
        <row r="157">
          <cell r="A157" t="str">
            <v>AEP Texas Central Company</v>
          </cell>
        </row>
      </sheetData>
      <sheetData sheetId="11">
        <row r="6">
          <cell r="A6" t="str">
            <v>AES Corporation</v>
          </cell>
        </row>
      </sheetData>
      <sheetData sheetId="12">
        <row r="6">
          <cell r="A6" t="str">
            <v>AES Corporation</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oiler diagram"/>
      <sheetName val="Turbine Cycle"/>
      <sheetName val="Unit Performance"/>
      <sheetName val="Steam Turbine"/>
      <sheetName val="N2calcs"/>
      <sheetName val="Condensate"/>
      <sheetName val="Feedwater"/>
      <sheetName val="Condenser"/>
      <sheetName val="Boiler"/>
      <sheetName val="Pulverizers"/>
      <sheetName val="Input Template"/>
      <sheetName val="DCS Input Data"/>
      <sheetName val="Other Input Data"/>
      <sheetName val="Flow Calcs"/>
      <sheetName val="Derived &amp; Overwrite Data"/>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G4" t="str">
            <v>=PHDGetData("192.168.32.16", C4, 'DCS Input Data'!$E$1, 'DCS Input Data'!$E$2, "", "Average", "OVERALL REDUCTION", 0, "Before", UNI_RET_TAG+UNI_RET_DESC+UNI_RET_UNIT+UNI_RET_TIME+UNI_RET_VALUE+UNI_RET_CONF, UNI_NOTHING)</v>
          </cell>
          <cell r="H4" t="str">
            <v>INWG</v>
          </cell>
          <cell r="I4" t="str">
            <v>WEST WALL FURNACE PRESS</v>
          </cell>
          <cell r="J4" t="str">
            <v>Average</v>
          </cell>
          <cell r="K4">
            <v>38906.708333333336</v>
          </cell>
          <cell r="L4">
            <v>-0.99725507570637595</v>
          </cell>
          <cell r="M4">
            <v>100</v>
          </cell>
        </row>
        <row r="5">
          <cell r="G5" t="str">
            <v>=PHDGetData("192.168.32.16", C5, 'DCS Input Data'!$E$1, 'DCS Input Data'!$E$2, "", "Average", "OVERALL REDUCTION", 0, "Before", UNI_RET_TAG+UNI_RET_DESC+UNI_RET_UNIT+UNI_RET_TIME+UNI_RET_VALUE+UNI_RET_CONF, UNI_NOTHING)</v>
          </cell>
          <cell r="H5" t="str">
            <v>INWG</v>
          </cell>
          <cell r="I5" t="str">
            <v>NORTH WALL FURNACE PRESS</v>
          </cell>
          <cell r="J5" t="str">
            <v>Average</v>
          </cell>
          <cell r="K5">
            <v>38906.708333333336</v>
          </cell>
          <cell r="L5">
            <v>-1.02364278766844</v>
          </cell>
          <cell r="M5">
            <v>100</v>
          </cell>
        </row>
        <row r="6">
          <cell r="G6" t="str">
            <v>=PHDGetData("192.168.32.16", C6, 'DCS Input Data'!$E$1, 'DCS Input Data'!$E$2, "", "Average", "OVERALL REDUCTION", 0, "Before", UNI_RET_TAG+UNI_RET_DESC+UNI_RET_UNIT+UNI_RET_TIME+UNI_RET_VALUE+UNI_RET_CONF, UNI_NOTHING)</v>
          </cell>
          <cell r="H6" t="str">
            <v>INWG</v>
          </cell>
          <cell r="I6" t="str">
            <v>EAST WALL FURNACE PRESS</v>
          </cell>
          <cell r="J6" t="str">
            <v>Average</v>
          </cell>
          <cell r="K6">
            <v>38906.708333333336</v>
          </cell>
          <cell r="L6">
            <v>-0.96745171141293318</v>
          </cell>
          <cell r="M6">
            <v>100</v>
          </cell>
        </row>
        <row r="7">
          <cell r="G7" t="str">
            <v>=PHDGetData("192.168.32.16", C7, 'DCS Input Data'!$E$1, 'DCS Input Data'!$E$2, "", "Average", "OVERALL REDUCTION", 0, "Before", UNI_RET_TAG+UNI_RET_DESC+UNI_RET_UNIT+UNI_RET_TIME+UNI_RET_VALUE+UNI_RET_CONF, UNI_NOTHING)</v>
          </cell>
          <cell r="H7" t="str">
            <v>DEGF</v>
          </cell>
          <cell r="I7" t="str">
            <v>OUTSIDE AIR TEMPERATURE</v>
          </cell>
          <cell r="J7" t="str">
            <v>Average</v>
          </cell>
          <cell r="K7">
            <v>38906.708333333336</v>
          </cell>
          <cell r="L7">
            <v>83.403022766113281</v>
          </cell>
          <cell r="M7">
            <v>100</v>
          </cell>
        </row>
        <row r="8">
          <cell r="G8" t="str">
            <v>=PHDGetData("192.168.32.16", C8, 'DCS Input Data'!$E$1, 'DCS Input Data'!$E$2, "", "Average", "OVERALL REDUCTION", 0, "Before", UNI_RET_TAG+UNI_RET_DESC+UNI_RET_UNIT+UNI_RET_TIME+UNI_RET_VALUE+UNI_RET_CONF, UNI_NOTHING)</v>
          </cell>
          <cell r="H8" t="str">
            <v>INHG</v>
          </cell>
          <cell r="I8" t="str">
            <v>BAROMETRIC PRESSURE</v>
          </cell>
          <cell r="J8" t="str">
            <v>Average</v>
          </cell>
          <cell r="K8">
            <v>38906.708333333336</v>
          </cell>
          <cell r="L8">
            <v>29.748920440673828</v>
          </cell>
          <cell r="M8">
            <v>0</v>
          </cell>
        </row>
        <row r="9">
          <cell r="G9" t="str">
            <v>=PHDGetData("192.168.32.16", C9, 'DCS Input Data'!$E$1, 'DCS Input Data'!$E$2, "", "Average", "OVERALL REDUCTION", 0, "Before", UNI_RET_TAG+UNI_RET_DESC+UNI_RET_UNIT+UNI_RET_TIME+UNI_RET_VALUE+UNI_RET_CONF, UNI_NOTHING)</v>
          </cell>
          <cell r="H9" t="str">
            <v>INWG</v>
          </cell>
          <cell r="I9" t="str">
            <v>FDF3A DISCHARGE AIR PRES</v>
          </cell>
          <cell r="J9" t="str">
            <v>Average</v>
          </cell>
          <cell r="K9">
            <v>38906.708333333336</v>
          </cell>
          <cell r="L9">
            <v>14.806483777364095</v>
          </cell>
          <cell r="M9">
            <v>100</v>
          </cell>
        </row>
        <row r="10">
          <cell r="G10" t="str">
            <v>=PHDGetData("192.168.32.16", C10, 'DCS Input Data'!$E$1, 'DCS Input Data'!$E$2, "", "Average", "OVERALL REDUCTION", 0, "Before", UNI_RET_TAG+UNI_RET_DESC+UNI_RET_UNIT+UNI_RET_TIME+UNI_RET_VALUE+UNI_RET_CONF, UNI_NOTHING)</v>
          </cell>
          <cell r="H10" t="str">
            <v>INWG</v>
          </cell>
          <cell r="I10" t="str">
            <v>FDF3B DISCHARGE AIR PRES</v>
          </cell>
          <cell r="J10" t="str">
            <v>Average</v>
          </cell>
          <cell r="K10">
            <v>38906.708333333336</v>
          </cell>
          <cell r="L10">
            <v>16.163140646616618</v>
          </cell>
          <cell r="M10">
            <v>100</v>
          </cell>
        </row>
        <row r="11">
          <cell r="G11" t="str">
            <v>=PHDGetData("192.168.32.16", C11, 'DCS Input Data'!$E$1, 'DCS Input Data'!$E$2, "", "Average", "OVERALL REDUCTION", 0, "Before", UNI_RET_TAG+UNI_RET_DESC+UNI_RET_UNIT+UNI_RET_TIME+UNI_RET_VALUE+UNI_RET_CONF, UNI_NOTHING)</v>
          </cell>
          <cell r="H11" t="str">
            <v>DEGF</v>
          </cell>
          <cell r="I11" t="str">
            <v>AIRHTR 3A IN AIR TEMP</v>
          </cell>
          <cell r="J11" t="str">
            <v>Average</v>
          </cell>
          <cell r="K11">
            <v>38906.708333333336</v>
          </cell>
          <cell r="L11">
            <v>153.42111358642578</v>
          </cell>
          <cell r="M11">
            <v>100</v>
          </cell>
        </row>
        <row r="12">
          <cell r="G12" t="str">
            <v>=PHDGetData("192.168.32.16", C12, 'DCS Input Data'!$E$1, 'DCS Input Data'!$E$2, "", "Average", "OVERALL REDUCTION", 0, "Before", UNI_RET_TAG+UNI_RET_DESC+UNI_RET_UNIT+UNI_RET_TIME+UNI_RET_VALUE+UNI_RET_CONF, UNI_NOTHING)</v>
          </cell>
          <cell r="H12" t="str">
            <v>DEGF</v>
          </cell>
          <cell r="I12" t="str">
            <v>AIRHTR 3B IN AIR TEMP</v>
          </cell>
          <cell r="J12" t="str">
            <v>Average</v>
          </cell>
          <cell r="K12">
            <v>38906.708333333336</v>
          </cell>
          <cell r="L12">
            <v>135.09381052652995</v>
          </cell>
          <cell r="M12">
            <v>100</v>
          </cell>
        </row>
        <row r="13">
          <cell r="G13" t="str">
            <v>=PHDGetData("192.168.32.16", C13, 'DCS Input Data'!$E$1, 'DCS Input Data'!$E$2, "", "Average", "OVERALL REDUCTION", 0, "Before", UNI_RET_TAG+UNI_RET_DESC+UNI_RET_UNIT+UNI_RET_TIME+UNI_RET_VALUE+UNI_RET_CONF, UNI_NOTHING)</v>
          </cell>
          <cell r="H13" t="str">
            <v>INWG</v>
          </cell>
          <cell r="I13" t="str">
            <v>AIR PRHTR 3A INL AIR PRS</v>
          </cell>
          <cell r="J13" t="str">
            <v>Average</v>
          </cell>
          <cell r="K13">
            <v>38906.708333333336</v>
          </cell>
          <cell r="L13">
            <v>12.675439929962158</v>
          </cell>
          <cell r="M13">
            <v>100</v>
          </cell>
        </row>
        <row r="14">
          <cell r="G14" t="str">
            <v>=PHDGetData("192.168.32.16", C14, 'DCS Input Data'!$E$1, 'DCS Input Data'!$E$2, "", "Average", "OVERALL REDUCTION", 0, "Before", UNI_RET_TAG+UNI_RET_DESC+UNI_RET_UNIT+UNI_RET_TIME+UNI_RET_VALUE+UNI_RET_CONF, UNI_NOTHING)</v>
          </cell>
          <cell r="H14" t="str">
            <v>INWG</v>
          </cell>
          <cell r="I14" t="str">
            <v>AIR PRHTR 3B INL AIR PRS</v>
          </cell>
          <cell r="J14" t="str">
            <v>Average</v>
          </cell>
          <cell r="K14">
            <v>38906.708333333336</v>
          </cell>
          <cell r="L14">
            <v>11.591273260116576</v>
          </cell>
          <cell r="M14">
            <v>100</v>
          </cell>
        </row>
        <row r="15">
          <cell r="G15" t="str">
            <v>=PHDGetData("192.168.32.16", C15, 'DCS Input Data'!$E$1, 'DCS Input Data'!$E$2, "", "Average", "OVERALL REDUCTION", 0, "Before", UNI_RET_TAG+UNI_RET_DESC+UNI_RET_UNIT+UNI_RET_TIME+UNI_RET_VALUE+UNI_RET_CONF, UNI_NOTHING)</v>
          </cell>
          <cell r="H15" t="str">
            <v>DEGF</v>
          </cell>
          <cell r="I15" t="str">
            <v>WINDBOX AIR TEMPERATURE</v>
          </cell>
          <cell r="J15" t="str">
            <v>Average</v>
          </cell>
          <cell r="K15">
            <v>38906.708333333336</v>
          </cell>
          <cell r="L15">
            <v>553.41475423177087</v>
          </cell>
          <cell r="M15">
            <v>100</v>
          </cell>
        </row>
        <row r="16">
          <cell r="G16" t="str">
            <v>=PHDGetData("192.168.32.16", C16, 'DCS Input Data'!$E$1, 'DCS Input Data'!$E$2, "", "Average", "OVERALL REDUCTION", 0, "Before", UNI_RET_TAG+UNI_RET_DESC+UNI_RET_UNIT+UNI_RET_TIME+UNI_RET_VALUE+UNI_RET_CONF, UNI_NOTHING)</v>
          </cell>
          <cell r="H16" t="str">
            <v>DEGF</v>
          </cell>
          <cell r="I16" t="str">
            <v>WINDBOX AIR TEMPERATURE</v>
          </cell>
          <cell r="J16" t="str">
            <v>Average</v>
          </cell>
          <cell r="K16">
            <v>38906.708333333336</v>
          </cell>
          <cell r="L16">
            <v>553.41475423177087</v>
          </cell>
          <cell r="M16">
            <v>100</v>
          </cell>
        </row>
        <row r="17">
          <cell r="G17" t="str">
            <v>=PHDGetData("192.168.32.16", C17, 'DCS Input Data'!$E$1, 'DCS Input Data'!$E$2, "", "Average", "OVERALL REDUCTION", 0, "Before", UNI_RET_TAG+UNI_RET_DESC+UNI_RET_UNIT+UNI_RET_TIME+UNI_RET_VALUE+UNI_RET_CONF, UNI_NOTHING)</v>
          </cell>
          <cell r="H17" t="str">
            <v>INWG</v>
          </cell>
          <cell r="I17" t="str">
            <v>WINDBOX AIR PRESSURE</v>
          </cell>
          <cell r="J17" t="str">
            <v>Average</v>
          </cell>
          <cell r="K17">
            <v>38906.708333333336</v>
          </cell>
          <cell r="L17">
            <v>4.7926596959431969</v>
          </cell>
          <cell r="M17">
            <v>100</v>
          </cell>
        </row>
        <row r="18">
          <cell r="G18" t="str">
            <v>=PHDGetData("192.168.32.16", C18, 'DCS Input Data'!$E$1, 'DCS Input Data'!$E$2, "", "Average", "OVERALL REDUCTION", 0, "Before", UNI_RET_TAG+UNI_RET_DESC+UNI_RET_UNIT+UNI_RET_TIME+UNI_RET_VALUE+UNI_RET_CONF, UNI_NOTHING)</v>
          </cell>
          <cell r="H18" t="str">
            <v>INWG</v>
          </cell>
          <cell r="I18" t="str">
            <v>WINDBOX AIR PRESSURE</v>
          </cell>
          <cell r="J18" t="str">
            <v>Average</v>
          </cell>
          <cell r="K18">
            <v>38906.708333333336</v>
          </cell>
          <cell r="L18">
            <v>4.7926596959431969</v>
          </cell>
          <cell r="M18">
            <v>100</v>
          </cell>
        </row>
        <row r="19">
          <cell r="G19" t="str">
            <v>=PHDGetData("192.168.32.16", C19, 'DCS Input Data'!$E$1, 'DCS Input Data'!$E$2, "", "Average", "OVERALL REDUCTION", 0, "Before", UNI_RET_TAG+UNI_RET_DESC+UNI_RET_UNIT+UNI_RET_TIME+UNI_RET_VALUE+UNI_RET_CONF, UNI_NOTHING)</v>
          </cell>
          <cell r="H19" t="str">
            <v>INWG</v>
          </cell>
          <cell r="I19" t="str">
            <v>REHEATER OUT FLUGAS PRES</v>
          </cell>
          <cell r="J19" t="str">
            <v>Average</v>
          </cell>
          <cell r="K19">
            <v>38906.708333333336</v>
          </cell>
          <cell r="L19">
            <v>-2.6296175161997479</v>
          </cell>
          <cell r="M19">
            <v>100</v>
          </cell>
        </row>
        <row r="20">
          <cell r="G20" t="str">
            <v>=PHDGetData("192.168.32.16", C20, 'DCS Input Data'!$E$1, 'DCS Input Data'!$E$2, "", "Average", "OVERALL REDUCTION", 0, "Before", UNI_RET_TAG+UNI_RET_DESC+UNI_RET_UNIT+UNI_RET_TIME+UNI_RET_VALUE+UNI_RET_CONF, UNI_NOTHING)</v>
          </cell>
          <cell r="H20" t="str">
            <v>INWG</v>
          </cell>
          <cell r="I20" t="str">
            <v>PSH OUTLET FLUGAS PRESS</v>
          </cell>
          <cell r="J20" t="str">
            <v>Average</v>
          </cell>
          <cell r="K20">
            <v>38906.708333333336</v>
          </cell>
          <cell r="L20">
            <v>-5.0025520801544188</v>
          </cell>
          <cell r="M20">
            <v>100</v>
          </cell>
        </row>
        <row r="21">
          <cell r="G21" t="str">
            <v>=PHDGetData("192.168.32.16", C21, 'DCS Input Data'!$E$1, 'DCS Input Data'!$E$2, "", "Average", "OVERALL REDUCTION", 0, "Before", UNI_RET_TAG+UNI_RET_DESC+UNI_RET_UNIT+UNI_RET_TIME+UNI_RET_VALUE+UNI_RET_CONF, UNI_NOTHING)</v>
          </cell>
          <cell r="H21" t="str">
            <v>DEGF</v>
          </cell>
          <cell r="I21" t="str">
            <v>GAS TEMP TO HEATER 3A</v>
          </cell>
          <cell r="J21" t="str">
            <v>Average</v>
          </cell>
          <cell r="K21">
            <v>38906.708333333336</v>
          </cell>
          <cell r="L21">
            <v>493.22729226006402</v>
          </cell>
          <cell r="M21">
            <v>100</v>
          </cell>
        </row>
        <row r="22">
          <cell r="G22" t="str">
            <v>=PHDGetData("192.168.32.16", C22, 'DCS Input Data'!$E$1, 'DCS Input Data'!$E$2, "", "Average", "OVERALL REDUCTION", 0, "Before", UNI_RET_TAG+UNI_RET_DESC+UNI_RET_UNIT+UNI_RET_TIME+UNI_RET_VALUE+UNI_RET_CONF, UNI_NOTHING)</v>
          </cell>
          <cell r="H22" t="str">
            <v>DEGF</v>
          </cell>
          <cell r="I22" t="str">
            <v>GAS TEMP TO HEATER 3A</v>
          </cell>
          <cell r="J22" t="str">
            <v>Average</v>
          </cell>
          <cell r="K22">
            <v>38906.708333333336</v>
          </cell>
          <cell r="L22">
            <v>634.86115188598637</v>
          </cell>
          <cell r="M22">
            <v>100</v>
          </cell>
        </row>
        <row r="23">
          <cell r="G23" t="str">
            <v>=PHDGetData("192.168.32.16", C23, 'DCS Input Data'!$E$1, 'DCS Input Data'!$E$2, "", "Average", "OVERALL REDUCTION", 0, "Before", UNI_RET_TAG+UNI_RET_DESC+UNI_RET_UNIT+UNI_RET_TIME+UNI_RET_VALUE+UNI_RET_CONF, UNI_NOTHING)</v>
          </cell>
          <cell r="H23" t="str">
            <v>DEGF</v>
          </cell>
          <cell r="I23" t="str">
            <v>GAS TEMP TO HEATER 3A</v>
          </cell>
          <cell r="J23" t="str">
            <v>Average</v>
          </cell>
          <cell r="K23">
            <v>38906.708333333336</v>
          </cell>
          <cell r="L23">
            <v>631.56646728515625</v>
          </cell>
          <cell r="M23">
            <v>0</v>
          </cell>
        </row>
        <row r="24">
          <cell r="G24" t="str">
            <v>=PHDGetData("192.168.32.16", C24, 'DCS Input Data'!$E$1, 'DCS Input Data'!$E$2, "", "Average", "OVERALL REDUCTION", 0, "Before", UNI_RET_TAG+UNI_RET_DESC+UNI_RET_UNIT+UNI_RET_TIME+UNI_RET_VALUE+UNI_RET_CONF, UNI_NOTHING)</v>
          </cell>
          <cell r="H24" t="str">
            <v>DEGF</v>
          </cell>
          <cell r="I24" t="str">
            <v>GAS TEMP TO HEATER 3B</v>
          </cell>
          <cell r="J24" t="str">
            <v>Average</v>
          </cell>
          <cell r="K24">
            <v>38906.708333333336</v>
          </cell>
          <cell r="L24">
            <v>630.2879638671875</v>
          </cell>
          <cell r="M24">
            <v>0</v>
          </cell>
        </row>
        <row r="25">
          <cell r="G25" t="str">
            <v>=PHDGetData("192.168.32.16", C25, 'DCS Input Data'!$E$1, 'DCS Input Data'!$E$2, "", "Average", "OVERALL REDUCTION", 0, "Before", UNI_RET_TAG+UNI_RET_DESC+UNI_RET_UNIT+UNI_RET_TIME+UNI_RET_VALUE+UNI_RET_CONF, UNI_NOTHING)</v>
          </cell>
          <cell r="H25" t="str">
            <v>DEGF</v>
          </cell>
          <cell r="I25" t="str">
            <v>GAS TEMP TO HEATER 3B</v>
          </cell>
          <cell r="J25" t="str">
            <v>Average</v>
          </cell>
          <cell r="K25">
            <v>38906.708333333336</v>
          </cell>
          <cell r="L25">
            <v>626.08676147460938</v>
          </cell>
          <cell r="M25">
            <v>0</v>
          </cell>
        </row>
        <row r="26">
          <cell r="G26" t="str">
            <v>=PHDGetData("192.168.32.16", C26, 'DCS Input Data'!$E$1, 'DCS Input Data'!$E$2, "", "Average", "OVERALL REDUCTION", 0, "Before", UNI_RET_TAG+UNI_RET_DESC+UNI_RET_UNIT+UNI_RET_TIME+UNI_RET_VALUE+UNI_RET_CONF, UNI_NOTHING)</v>
          </cell>
          <cell r="H26" t="str">
            <v>DEGF</v>
          </cell>
          <cell r="I26" t="str">
            <v>GAS TEMP TO HEATER 3B</v>
          </cell>
          <cell r="J26" t="str">
            <v>Average</v>
          </cell>
          <cell r="K26">
            <v>38906.708333333336</v>
          </cell>
          <cell r="L26">
            <v>630.99860790676541</v>
          </cell>
          <cell r="M26">
            <v>100</v>
          </cell>
        </row>
        <row r="27">
          <cell r="G27" t="str">
            <v>=PHDGetData("192.168.32.16", C27, 'DCS Input Data'!$E$1, 'DCS Input Data'!$E$2, "", "Average", "OVERALL REDUCTION", 0, "Before", UNI_RET_TAG+UNI_RET_DESC+UNI_RET_UNIT+UNI_RET_TIME+UNI_RET_VALUE+UNI_RET_CONF, UNI_NOTHING)</v>
          </cell>
          <cell r="H27" t="str">
            <v>DEGF</v>
          </cell>
          <cell r="I27" t="str">
            <v>GAS TEMP TO HEATER 3B</v>
          </cell>
          <cell r="J27" t="str">
            <v>Average</v>
          </cell>
          <cell r="K27">
            <v>38906.708333333336</v>
          </cell>
          <cell r="L27">
            <v>634.14891815185547</v>
          </cell>
          <cell r="M27">
            <v>100</v>
          </cell>
        </row>
        <row r="28">
          <cell r="G28" t="str">
            <v>=PHDGetData("192.168.32.16", C28, 'DCS Input Data'!$E$1, 'DCS Input Data'!$E$2, "", "Average", "OVERALL REDUCTION", 0, "Before", UNI_RET_TAG+UNI_RET_DESC+UNI_RET_UNIT+UNI_RET_TIME+UNI_RET_VALUE+UNI_RET_CONF, UNI_NOTHING)</v>
          </cell>
          <cell r="H28" t="str">
            <v>DEGF</v>
          </cell>
          <cell r="I28" t="str">
            <v>GAS TEMP TO HEATER 3B</v>
          </cell>
          <cell r="J28" t="str">
            <v>Average</v>
          </cell>
          <cell r="K28">
            <v>38906.708333333336</v>
          </cell>
          <cell r="L28">
            <v>630.61977767944336</v>
          </cell>
          <cell r="M28">
            <v>100</v>
          </cell>
        </row>
        <row r="29">
          <cell r="G29" t="str">
            <v>=PHDGetData("192.168.32.16", C29, 'DCS Input Data'!$E$1, 'DCS Input Data'!$E$2, "", "Average", "OVERALL REDUCTION", 0, "Before", UNI_RET_TAG+UNI_RET_DESC+UNI_RET_UNIT+UNI_RET_TIME+UNI_RET_VALUE+UNI_RET_CONF, UNI_NOTHING)</v>
          </cell>
          <cell r="H29" t="str">
            <v>INWG</v>
          </cell>
          <cell r="I29" t="str">
            <v>AIR PRHT 3B IN FLUGAS PR</v>
          </cell>
          <cell r="J29" t="str">
            <v>Average</v>
          </cell>
          <cell r="K29">
            <v>38906.708333333336</v>
          </cell>
          <cell r="L29">
            <v>17.935299587249755</v>
          </cell>
          <cell r="M29">
            <v>100</v>
          </cell>
        </row>
        <row r="30">
          <cell r="G30" t="str">
            <v>=PHDGetData("192.168.32.16", C30, 'DCS Input Data'!$E$1, 'DCS Input Data'!$E$2, "", "Average", "OVERALL REDUCTION", 0, "Before", UNI_RET_TAG+UNI_RET_DESC+UNI_RET_UNIT+UNI_RET_TIME+UNI_RET_VALUE+UNI_RET_CONF, UNI_NOTHING)</v>
          </cell>
          <cell r="H30" t="str">
            <v>INWG</v>
          </cell>
          <cell r="I30" t="str">
            <v>AIR PRHT 3B IN FLUGAS PR</v>
          </cell>
          <cell r="J30" t="str">
            <v>Average</v>
          </cell>
          <cell r="K30">
            <v>38906.708333333336</v>
          </cell>
          <cell r="L30">
            <v>18.165007527669271</v>
          </cell>
          <cell r="M30">
            <v>100</v>
          </cell>
        </row>
        <row r="31">
          <cell r="G31" t="str">
            <v>=PHDGetData("192.168.32.16", C31, 'DCS Input Data'!$E$1, 'DCS Input Data'!$E$2, "", "Average", "OVERALL REDUCTION", 0, "Before", UNI_RET_TAG+UNI_RET_DESC+UNI_RET_UNIT+UNI_RET_TIME+UNI_RET_VALUE+UNI_RET_CONF, UNI_NOTHING)</v>
          </cell>
          <cell r="H31" t="str">
            <v>DEGF</v>
          </cell>
          <cell r="I31" t="str">
            <v>AIRHTR 3A OT FLUGAS TEMP</v>
          </cell>
          <cell r="J31" t="str">
            <v>Average</v>
          </cell>
          <cell r="K31">
            <v>38906.708333333336</v>
          </cell>
          <cell r="L31">
            <v>306.41910807291669</v>
          </cell>
          <cell r="M31">
            <v>100</v>
          </cell>
        </row>
        <row r="32">
          <cell r="G32" t="str">
            <v>=PHDGetData("192.168.32.16", C32, 'DCS Input Data'!$E$1, 'DCS Input Data'!$E$2, "", "Average", "OVERALL REDUCTION", 0, "Before", UNI_RET_TAG+UNI_RET_DESC+UNI_RET_UNIT+UNI_RET_TIME+UNI_RET_VALUE+UNI_RET_CONF, UNI_NOTHING)</v>
          </cell>
          <cell r="H32" t="str">
            <v>DEGF</v>
          </cell>
          <cell r="I32" t="str">
            <v>AIRHTR 3B OT FLUGAS TEMP</v>
          </cell>
          <cell r="J32" t="str">
            <v>Average</v>
          </cell>
          <cell r="K32">
            <v>38906.708333333336</v>
          </cell>
          <cell r="L32">
            <v>324.7740427652995</v>
          </cell>
          <cell r="M32">
            <v>100</v>
          </cell>
        </row>
        <row r="33">
          <cell r="G33" t="str">
            <v>=PHDGetData("192.168.32.16", C33, 'DCS Input Data'!$E$1, 'DCS Input Data'!$E$2, "", "Average", "OVERALL REDUCTION", 0, "Before", UNI_RET_TAG+UNI_RET_DESC+UNI_RET_UNIT+UNI_RET_TIME+UNI_RET_VALUE+UNI_RET_CONF, UNI_NOTHING)</v>
          </cell>
          <cell r="H33" t="str">
            <v>INWG</v>
          </cell>
          <cell r="I33" t="str">
            <v>AIR PRHT 3A OT FLUGAS PR</v>
          </cell>
          <cell r="J33" t="str">
            <v>Average</v>
          </cell>
          <cell r="K33">
            <v>38906.708333333336</v>
          </cell>
          <cell r="L33">
            <v>26.869386831919353</v>
          </cell>
          <cell r="M33">
            <v>100</v>
          </cell>
        </row>
        <row r="34">
          <cell r="G34" t="str">
            <v>=PHDGetData("192.168.32.16", C34, 'DCS Input Data'!$E$1, 'DCS Input Data'!$E$2, "", "Average", "OVERALL REDUCTION", 0, "Before", UNI_RET_TAG+UNI_RET_DESC+UNI_RET_UNIT+UNI_RET_TIME+UNI_RET_VALUE+UNI_RET_CONF, UNI_NOTHING)</v>
          </cell>
          <cell r="H34" t="str">
            <v>INWG</v>
          </cell>
          <cell r="I34" t="str">
            <v>AIR HTR 3B OUT FLUE GAS</v>
          </cell>
          <cell r="J34" t="str">
            <v>Average</v>
          </cell>
          <cell r="K34">
            <v>38906.708333333336</v>
          </cell>
          <cell r="L34">
            <v>28.401844120025636</v>
          </cell>
          <cell r="M34">
            <v>100</v>
          </cell>
        </row>
        <row r="35">
          <cell r="G35" t="str">
            <v>=PHDGetData("192.168.32.16", C35, 'DCS Input Data'!$E$1, 'DCS Input Data'!$E$2, "", "Average", "OVERALL REDUCTION", 0, "Before", UNI_RET_TAG+UNI_RET_DESC+UNI_RET_UNIT+UNI_RET_TIME+UNI_RET_VALUE+UNI_RET_CONF, UNI_NOTHING)</v>
          </cell>
          <cell r="H35" t="str">
            <v>DEGF</v>
          </cell>
          <cell r="I35" t="str">
            <v>COND PUMP 3A SUCT TEMP</v>
          </cell>
          <cell r="J35" t="str">
            <v>Average</v>
          </cell>
          <cell r="K35">
            <v>38906.708333333336</v>
          </cell>
          <cell r="L35">
            <v>122.45210647583008</v>
          </cell>
          <cell r="M35">
            <v>100</v>
          </cell>
        </row>
        <row r="36">
          <cell r="G36" t="str">
            <v>=PHDGetData("192.168.32.16", C36, 'DCS Input Data'!$E$1, 'DCS Input Data'!$E$2, "", "Average", "OVERALL REDUCTION", 0, "Before", UNI_RET_TAG+UNI_RET_DESC+UNI_RET_UNIT+UNI_RET_TIME+UNI_RET_VALUE+UNI_RET_CONF, UNI_NOTHING)</v>
          </cell>
          <cell r="H36" t="str">
            <v>DEGF</v>
          </cell>
          <cell r="I36" t="str">
            <v>COND PUMP 3B SUCT TEMP</v>
          </cell>
          <cell r="J36" t="str">
            <v>Average</v>
          </cell>
          <cell r="K36">
            <v>38906.708333333336</v>
          </cell>
          <cell r="L36">
            <v>122.33963012695313</v>
          </cell>
          <cell r="M36">
            <v>100</v>
          </cell>
        </row>
        <row r="37">
          <cell r="G37" t="str">
            <v>=PHDGetData("192.168.32.16", C37, 'DCS Input Data'!$E$1, 'DCS Input Data'!$E$2, "", "Average", "OVERALL REDUCTION", 0, "Before", UNI_RET_TAG+UNI_RET_DESC+UNI_RET_UNIT+UNI_RET_TIME+UNI_RET_VALUE+UNI_RET_CONF, UNI_NOTHING)</v>
          </cell>
          <cell r="H37" t="str">
            <v>PSIG</v>
          </cell>
          <cell r="I37" t="str">
            <v>CONDENSATE HEADER PRESS</v>
          </cell>
          <cell r="J37" t="str">
            <v>Average</v>
          </cell>
          <cell r="K37">
            <v>38906.708333333336</v>
          </cell>
          <cell r="L37">
            <v>355.62936808268228</v>
          </cell>
          <cell r="M37">
            <v>100</v>
          </cell>
        </row>
        <row r="38">
          <cell r="G38" t="str">
            <v>=PHDGetData("192.168.32.16", C38, 'DCS Input Data'!$E$1, 'DCS Input Data'!$E$2, "", "Average", "OVERALL REDUCTION", 0, "Before", UNI_RET_TAG+UNI_RET_DESC+UNI_RET_UNIT+UNI_RET_TIME+UNI_RET_VALUE+UNI_RET_CONF, UNI_NOTHING)</v>
          </cell>
          <cell r="H38" t="str">
            <v>DEGF</v>
          </cell>
          <cell r="I38" t="str">
            <v>FWHTR 36 COND IN TEMP</v>
          </cell>
          <cell r="J38" t="str">
            <v>Average</v>
          </cell>
          <cell r="K38">
            <v>38906.708333333336</v>
          </cell>
          <cell r="L38">
            <v>124.36077880859375</v>
          </cell>
          <cell r="M38">
            <v>100</v>
          </cell>
        </row>
        <row r="39">
          <cell r="G39" t="str">
            <v>=PHDGetData("192.168.32.16", C39, 'DCS Input Data'!$E$1, 'DCS Input Data'!$E$2, "", "Average", "OVERALL REDUCTION", 0, "Before", UNI_RET_TAG+UNI_RET_DESC+UNI_RET_UNIT+UNI_RET_TIME+UNI_RET_VALUE+UNI_RET_CONF, UNI_NOTHING)</v>
          </cell>
          <cell r="H39" t="str">
            <v>DEGF</v>
          </cell>
          <cell r="I39" t="str">
            <v>FWHTR 35 COND IN TEMP</v>
          </cell>
          <cell r="J39" t="str">
            <v>Average</v>
          </cell>
          <cell r="K39">
            <v>38906.708333333336</v>
          </cell>
          <cell r="L39">
            <v>177.51473185221354</v>
          </cell>
          <cell r="M39">
            <v>100</v>
          </cell>
        </row>
        <row r="40">
          <cell r="G40" t="str">
            <v>=PHDGetData("192.168.32.16", C40, 'DCS Input Data'!$E$1, 'DCS Input Data'!$E$2, "", "Average", "OVERALL REDUCTION", 0, "Before", UNI_RET_TAG+UNI_RET_DESC+UNI_RET_UNIT+UNI_RET_TIME+UNI_RET_VALUE+UNI_RET_CONF, UNI_NOTHING)</v>
          </cell>
          <cell r="H40" t="str">
            <v>DEGF</v>
          </cell>
          <cell r="I40" t="str">
            <v>FWHTR 34 COND IN TEMP</v>
          </cell>
          <cell r="J40" t="str">
            <v>Average</v>
          </cell>
          <cell r="K40">
            <v>38906.708333333336</v>
          </cell>
          <cell r="L40">
            <v>242.40965627034504</v>
          </cell>
          <cell r="M40">
            <v>100</v>
          </cell>
        </row>
        <row r="41">
          <cell r="G41" t="str">
            <v>=PHDGetData("192.168.32.16", C41, 'DCS Input Data'!$E$1, 'DCS Input Data'!$E$2, "", "Average", "OVERALL REDUCTION", 0, "Before", UNI_RET_TAG+UNI_RET_DESC+UNI_RET_UNIT+UNI_RET_TIME+UNI_RET_VALUE+UNI_RET_CONF, UNI_NOTHING)</v>
          </cell>
          <cell r="H41" t="str">
            <v>DEGF</v>
          </cell>
          <cell r="I41" t="str">
            <v>DEAREATOR COND IN TEMP</v>
          </cell>
          <cell r="J41" t="str">
            <v>Average</v>
          </cell>
          <cell r="K41">
            <v>38906.708333333336</v>
          </cell>
          <cell r="L41">
            <v>299.61233673095705</v>
          </cell>
          <cell r="M41">
            <v>100</v>
          </cell>
        </row>
        <row r="42">
          <cell r="G42" t="str">
            <v>=PHDGetData("192.168.32.16", C42, 'DCS Input Data'!$E$1, 'DCS Input Data'!$E$2, "", "Average", "OVERALL REDUCTION", 0, "Before", UNI_RET_TAG+UNI_RET_DESC+UNI_RET_UNIT+UNI_RET_TIME+UNI_RET_VALUE+UNI_RET_CONF, UNI_NOTHING)</v>
          </cell>
          <cell r="H42" t="str">
            <v>DEGF</v>
          </cell>
          <cell r="I42" t="str">
            <v>DEA OUTLET WATER TEMP</v>
          </cell>
          <cell r="J42" t="str">
            <v>Average</v>
          </cell>
          <cell r="K42">
            <v>38906.708333333336</v>
          </cell>
          <cell r="L42">
            <v>376.0406463623047</v>
          </cell>
          <cell r="M42">
            <v>100</v>
          </cell>
        </row>
        <row r="43">
          <cell r="G43" t="str">
            <v>=PHDGetData("192.168.32.16", C43, 'DCS Input Data'!$E$1, 'DCS Input Data'!$E$2, "", "Average", "OVERALL REDUCTION", 0, "Before", UNI_RET_TAG+UNI_RET_DESC+UNI_RET_UNIT+UNI_RET_TIME+UNI_RET_VALUE+UNI_RET_CONF, UNI_NOTHING)</v>
          </cell>
          <cell r="H43" t="str">
            <v>KPPH</v>
          </cell>
          <cell r="I43" t="str">
            <v>WATER TO DEAREATOR FLOW</v>
          </cell>
          <cell r="J43" t="str">
            <v>Average</v>
          </cell>
          <cell r="K43">
            <v>38906.708333333336</v>
          </cell>
          <cell r="L43">
            <v>1738.2004007975261</v>
          </cell>
          <cell r="M43">
            <v>100</v>
          </cell>
        </row>
        <row r="45">
          <cell r="G45" t="str">
            <v>=PHDGetData("192.168.32.16", C45, 'DCS Input Data'!$E$1, 'DCS Input Data'!$E$2, "", "Average", "OVERALL REDUCTION", 0, "Before", UNI_RET_TAG+UNI_RET_DESC+UNI_RET_UNIT+UNI_RET_TIME+UNI_RET_VALUE+UNI_RET_CONF, UNI_NOTHING)</v>
          </cell>
          <cell r="H45" t="str">
            <v>DEGF</v>
          </cell>
          <cell r="I45" t="str">
            <v>BFP3 DISCHARGE FW TEMP</v>
          </cell>
          <cell r="J45" t="str">
            <v>Average</v>
          </cell>
          <cell r="K45">
            <v>38906.708333333336</v>
          </cell>
          <cell r="L45">
            <v>383.11655324300131</v>
          </cell>
          <cell r="M45">
            <v>100</v>
          </cell>
        </row>
        <row r="46">
          <cell r="G46" t="str">
            <v>=PHDGetData("192.168.32.16", C46, 'DCS Input Data'!$E$1, 'DCS Input Data'!$E$2, "", "Average", "OVERALL REDUCTION", 0, "Before", UNI_RET_TAG+UNI_RET_DESC+UNI_RET_UNIT+UNI_RET_TIME+UNI_RET_VALUE+UNI_RET_CONF, UNI_NOTHING)</v>
          </cell>
          <cell r="H46" t="str">
            <v>DEGF</v>
          </cell>
          <cell r="I46" t="str">
            <v>FWHTR 32 FEEDWTR IN TEMP</v>
          </cell>
          <cell r="J46" t="str">
            <v>Average</v>
          </cell>
          <cell r="K46">
            <v>38906.708333333336</v>
          </cell>
          <cell r="L46">
            <v>383.65053812662762</v>
          </cell>
          <cell r="M46">
            <v>100</v>
          </cell>
        </row>
        <row r="47">
          <cell r="G47" t="str">
            <v>=PHDGetData("192.168.32.16", C47, 'DCS Input Data'!$E$1, 'DCS Input Data'!$E$2, "", "Average", "OVERALL REDUCTION", 0, "Before", UNI_RET_TAG+UNI_RET_DESC+UNI_RET_UNIT+UNI_RET_TIME+UNI_RET_VALUE+UNI_RET_CONF, UNI_NOTHING)</v>
          </cell>
          <cell r="H47" t="str">
            <v>DEGF</v>
          </cell>
          <cell r="I47" t="str">
            <v>FWHTR 31 FEEDWTR IN TEMP</v>
          </cell>
          <cell r="J47" t="str">
            <v>Average</v>
          </cell>
          <cell r="K47">
            <v>38906.708333333336</v>
          </cell>
          <cell r="L47">
            <v>408.49393717447919</v>
          </cell>
          <cell r="M47">
            <v>100</v>
          </cell>
        </row>
        <row r="48">
          <cell r="G48" t="str">
            <v>=PHDGetData("192.168.32.16", C48, 'DCS Input Data'!$E$1, 'DCS Input Data'!$E$2, "", "Average", "OVERALL REDUCTION", 0, "Before", UNI_RET_TAG+UNI_RET_DESC+UNI_RET_UNIT+UNI_RET_TIME+UNI_RET_VALUE+UNI_RET_CONF, UNI_NOTHING)</v>
          </cell>
          <cell r="H48" t="str">
            <v>DEGF</v>
          </cell>
          <cell r="I48" t="str">
            <v>FWHTR 31 OUTLET FW TEMP</v>
          </cell>
          <cell r="J48" t="str">
            <v>Average</v>
          </cell>
          <cell r="K48">
            <v>38906.708333333336</v>
          </cell>
          <cell r="L48">
            <v>467.27963155110677</v>
          </cell>
          <cell r="M48">
            <v>100</v>
          </cell>
        </row>
        <row r="49">
          <cell r="G49" t="str">
            <v>=PHDGetData("192.168.32.16", C49, 'DCS Input Data'!$E$1, 'DCS Input Data'!$E$2, "", "Average", "OVERALL REDUCTION", 0, "Before", UNI_RET_TAG+UNI_RET_DESC+UNI_RET_UNIT+UNI_RET_TIME+UNI_RET_VALUE+UNI_RET_CONF, UNI_NOTHING)</v>
          </cell>
          <cell r="H49" t="str">
            <v>DEGF</v>
          </cell>
          <cell r="I49" t="str">
            <v>ECON FEEDWATER IN TEMP</v>
          </cell>
          <cell r="J49" t="str">
            <v>Average</v>
          </cell>
          <cell r="K49">
            <v>38906.708333333336</v>
          </cell>
          <cell r="L49">
            <v>460.05247141520181</v>
          </cell>
          <cell r="M49">
            <v>100</v>
          </cell>
        </row>
        <row r="50">
          <cell r="G50" t="str">
            <v>=PHDGetData("192.168.32.16", C50, 'DCS Input Data'!$E$1, 'DCS Input Data'!$E$2, "", "Average", "OVERALL REDUCTION", 0, "Before", UNI_RET_TAG+UNI_RET_DESC+UNI_RET_UNIT+UNI_RET_TIME+UNI_RET_VALUE+UNI_RET_CONF, UNI_NOTHING)</v>
          </cell>
          <cell r="H50" t="str">
            <v>DEGF</v>
          </cell>
          <cell r="I50" t="str">
            <v>ECON FW EAST OUT TEMP</v>
          </cell>
          <cell r="J50" t="str">
            <v>Average</v>
          </cell>
          <cell r="K50">
            <v>38906.708333333336</v>
          </cell>
          <cell r="L50">
            <v>527.09891866048179</v>
          </cell>
          <cell r="M50">
            <v>100</v>
          </cell>
        </row>
        <row r="51">
          <cell r="G51" t="str">
            <v>=PHDGetData("192.168.32.16", C51, 'DCS Input Data'!$E$1, 'DCS Input Data'!$E$2, "", "Average", "OVERALL REDUCTION", 0, "Before", UNI_RET_TAG+UNI_RET_DESC+UNI_RET_UNIT+UNI_RET_TIME+UNI_RET_VALUE+UNI_RET_CONF, UNI_NOTHING)</v>
          </cell>
          <cell r="H51" t="str">
            <v>DEGF</v>
          </cell>
          <cell r="I51" t="str">
            <v>ECON FW WEST OUT TEMP</v>
          </cell>
          <cell r="J51" t="str">
            <v>Average</v>
          </cell>
          <cell r="K51">
            <v>38906.708333333336</v>
          </cell>
          <cell r="L51">
            <v>512.24968109130862</v>
          </cell>
          <cell r="M51">
            <v>100</v>
          </cell>
        </row>
        <row r="52">
          <cell r="G52" t="str">
            <v>=PHDGetData("192.168.32.16", C52, 'DCS Input Data'!$E$1, 'DCS Input Data'!$E$2, "", "Average", "OVERALL REDUCTION", 0, "Before", UNI_RET_TAG+UNI_RET_DESC+UNI_RET_UNIT+UNI_RET_TIME+UNI_RET_VALUE+UNI_RET_CONF, UNI_NOTHING)</v>
          </cell>
          <cell r="H52" t="str">
            <v>PSIG</v>
          </cell>
          <cell r="I52" t="str">
            <v>BFP DISCHARGE PRESSURE</v>
          </cell>
          <cell r="J52" t="str">
            <v>Average</v>
          </cell>
          <cell r="K52">
            <v>38906.708333333336</v>
          </cell>
          <cell r="L52">
            <v>2291.588651529948</v>
          </cell>
          <cell r="M52">
            <v>100</v>
          </cell>
        </row>
        <row r="53">
          <cell r="G53" t="str">
            <v>=PHDGetData("192.168.32.16", C53, 'DCS Input Data'!$E$1, 'DCS Input Data'!$E$2, "", "Average", "OVERALL REDUCTION", 0, "Before", UNI_RET_TAG+UNI_RET_DESC+UNI_RET_UNIT+UNI_RET_TIME+UNI_RET_VALUE+UNI_RET_CONF, UNI_NOTHING)</v>
          </cell>
          <cell r="H53" t="str">
            <v>PSIG</v>
          </cell>
          <cell r="I53" t="str">
            <v>ECON INLET FW PRESSURE</v>
          </cell>
          <cell r="J53" t="str">
            <v>Average</v>
          </cell>
          <cell r="K53">
            <v>38906.708333333336</v>
          </cell>
          <cell r="L53">
            <v>2212.6755696614582</v>
          </cell>
          <cell r="M53">
            <v>100</v>
          </cell>
        </row>
        <row r="54">
          <cell r="G54" t="str">
            <v>=PHDGetData("192.168.32.16", C54, 'DCS Input Data'!$E$1, 'DCS Input Data'!$E$2, "", "Average", "OVERALL REDUCTION", 0, "Before", UNI_RET_TAG+UNI_RET_DESC+UNI_RET_UNIT+UNI_RET_TIME+UNI_RET_VALUE+UNI_RET_CONF, UNI_NOTHING)</v>
          </cell>
          <cell r="H54" t="str">
            <v>KPPH</v>
          </cell>
          <cell r="I54" t="str">
            <v>FEEDWATER FLOW XMTR B</v>
          </cell>
          <cell r="J54" t="str">
            <v>Average</v>
          </cell>
          <cell r="K54">
            <v>38906.708333333336</v>
          </cell>
          <cell r="L54">
            <v>1965.1762430826823</v>
          </cell>
          <cell r="M54">
            <v>100</v>
          </cell>
        </row>
        <row r="55">
          <cell r="G55" t="str">
            <v>=PHDGetData("192.168.32.16", C55, 'DCS Input Data'!$E$1, 'DCS Input Data'!$E$2, "", "Average", "OVERALL REDUCTION", 0, "Before", UNI_RET_TAG+UNI_RET_DESC+UNI_RET_UNIT+UNI_RET_TIME+UNI_RET_VALUE+UNI_RET_CONF, UNI_NOTHING)</v>
          </cell>
          <cell r="H55" t="str">
            <v>INHG</v>
          </cell>
          <cell r="I55" t="str">
            <v>CONDENSER BACKPRESSURE</v>
          </cell>
          <cell r="J55" t="str">
            <v>Average</v>
          </cell>
          <cell r="K55">
            <v>38906.708333333336</v>
          </cell>
          <cell r="L55">
            <v>3.3569846153259277</v>
          </cell>
          <cell r="M55">
            <v>100</v>
          </cell>
        </row>
        <row r="56">
          <cell r="G56" t="str">
            <v>=PHDGetData("192.168.32.16", C56, 'DCS Input Data'!$E$1, 'DCS Input Data'!$E$2, "", "Average", "OVERALL REDUCTION", 0, "Before", UNI_RET_TAG+UNI_RET_DESC+UNI_RET_UNIT+UNI_RET_TIME+UNI_RET_VALUE+UNI_RET_CONF, UNI_NOTHING)</v>
          </cell>
          <cell r="H56" t="str">
            <v>MW</v>
          </cell>
          <cell r="I56" t="str">
            <v>GEN GROSS MW</v>
          </cell>
          <cell r="J56" t="str">
            <v>Average</v>
          </cell>
          <cell r="K56">
            <v>38906.708333333336</v>
          </cell>
          <cell r="L56">
            <v>284.99747645060222</v>
          </cell>
          <cell r="M56">
            <v>100</v>
          </cell>
        </row>
        <row r="57">
          <cell r="G57" t="str">
            <v>=PHDGetData("192.168.32.16", C57, 'DCS Input Data'!$E$1, 'DCS Input Data'!$E$2, "", "Average", "OVERALL REDUCTION", 0, "Before", UNI_RET_TAG+UNI_RET_DESC+UNI_RET_UNIT+UNI_RET_TIME+UNI_RET_VALUE+UNI_RET_CONF, UNI_NOTHING)</v>
          </cell>
          <cell r="H57" t="str">
            <v>MVAR</v>
          </cell>
          <cell r="I57" t="str">
            <v>GENERATOR MEGAVARS</v>
          </cell>
          <cell r="J57" t="str">
            <v>Average</v>
          </cell>
          <cell r="K57">
            <v>38906.708333333336</v>
          </cell>
          <cell r="L57">
            <v>86.843930816650385</v>
          </cell>
          <cell r="M57">
            <v>100</v>
          </cell>
        </row>
        <row r="58">
          <cell r="G58" t="str">
            <v>=PHDGetData("192.168.32.16", C58, 'DCS Input Data'!$E$1, 'DCS Input Data'!$E$2, "", "Average", "OVERALL REDUCTION", 0, "Before", UNI_RET_TAG+UNI_RET_DESC+UNI_RET_UNIT+UNI_RET_TIME+UNI_RET_VALUE+UNI_RET_CONF, UNI_NOTHING)</v>
          </cell>
          <cell r="H58" t="str">
            <v>MW</v>
          </cell>
          <cell r="I58" t="str">
            <v>UNIT AUX. XFMR MEGAWATTS</v>
          </cell>
          <cell r="J58" t="str">
            <v>Average</v>
          </cell>
          <cell r="K58">
            <v>38906.708333333336</v>
          </cell>
          <cell r="L58">
            <v>9.6129369735717773</v>
          </cell>
          <cell r="M58">
            <v>100</v>
          </cell>
        </row>
        <row r="59">
          <cell r="G59" t="str">
            <v>=PHDGetData("192.168.32.16", C59, 'DCS Input Data'!$E$1, 'DCS Input Data'!$E$2, "", "Average", "OVERALL REDUCTION", 0, "Before", UNI_RET_TAG+UNI_RET_DESC+UNI_RET_UNIT+UNI_RET_TIME+UNI_RET_VALUE+UNI_RET_CONF, UNI_NOTHING)</v>
          </cell>
          <cell r="H59" t="str">
            <v>MW</v>
          </cell>
          <cell r="I59" t="str">
            <v>R.S. XFMR MEGAWATTS</v>
          </cell>
          <cell r="J59" t="str">
            <v>Average</v>
          </cell>
          <cell r="K59">
            <v>38906.708333333336</v>
          </cell>
          <cell r="L59">
            <v>0.15234375</v>
          </cell>
          <cell r="M59">
            <v>100</v>
          </cell>
        </row>
        <row r="60">
          <cell r="G60" t="str">
            <v>=PHDGetData("192.168.32.16", C60, 'DCS Input Data'!$E$1, 'DCS Input Data'!$E$2, "", "Average", "OVERALL REDUCTION", 0, "Before", UNI_RET_TAG+UNI_RET_DESC+UNI_RET_UNIT+UNI_RET_TIME+UNI_RET_VALUE+UNI_RET_CONF, UNI_NOTHING)</v>
          </cell>
          <cell r="H60" t="str">
            <v>DEGF</v>
          </cell>
          <cell r="I60" t="str">
            <v>PULV 3A COAL-AIR TEMP</v>
          </cell>
          <cell r="J60" t="str">
            <v>Average</v>
          </cell>
          <cell r="K60">
            <v>38906.708333333336</v>
          </cell>
          <cell r="L60">
            <v>144.98988444010416</v>
          </cell>
          <cell r="M60">
            <v>100</v>
          </cell>
        </row>
        <row r="61">
          <cell r="G61" t="str">
            <v>=PHDGetData("192.168.32.16", C61, 'DCS Input Data'!$E$1, 'DCS Input Data'!$E$2, "", "Average", "OVERALL REDUCTION", 0, "Before", UNI_RET_TAG+UNI_RET_DESC+UNI_RET_UNIT+UNI_RET_TIME+UNI_RET_VALUE+UNI_RET_CONF, UNI_NOTHING)</v>
          </cell>
          <cell r="H61" t="str">
            <v>DEGF</v>
          </cell>
          <cell r="I61" t="str">
            <v>PULV 3B COAL-AIR TEMP</v>
          </cell>
          <cell r="J61" t="str">
            <v>Average</v>
          </cell>
          <cell r="K61">
            <v>38906.708333333336</v>
          </cell>
          <cell r="L61">
            <v>145.00868326822916</v>
          </cell>
          <cell r="M61">
            <v>100</v>
          </cell>
        </row>
        <row r="62">
          <cell r="G62" t="str">
            <v>=PHDGetData("192.168.32.16", C62, 'DCS Input Data'!$E$1, 'DCS Input Data'!$E$2, "", "Average", "OVERALL REDUCTION", 0, "Before", UNI_RET_TAG+UNI_RET_DESC+UNI_RET_UNIT+UNI_RET_TIME+UNI_RET_VALUE+UNI_RET_CONF, UNI_NOTHING)</v>
          </cell>
          <cell r="H62" t="str">
            <v>DEGF</v>
          </cell>
          <cell r="I62" t="str">
            <v>PULV 3C COAL-AIR TEMP</v>
          </cell>
          <cell r="J62" t="str">
            <v>Average</v>
          </cell>
          <cell r="K62">
            <v>38906.708333333336</v>
          </cell>
          <cell r="L62">
            <v>144.98954925537109</v>
          </cell>
          <cell r="M62">
            <v>100</v>
          </cell>
        </row>
        <row r="63">
          <cell r="G63" t="str">
            <v>=PHDGetData("192.168.32.16", C63, 'DCS Input Data'!$E$1, 'DCS Input Data'!$E$2, "", "Average", "OVERALL REDUCTION", 0, "Before", UNI_RET_TAG+UNI_RET_DESC+UNI_RET_UNIT+UNI_RET_TIME+UNI_RET_VALUE+UNI_RET_CONF, UNI_NOTHING)</v>
          </cell>
          <cell r="H63" t="str">
            <v>DEGF</v>
          </cell>
          <cell r="I63" t="str">
            <v>PULV 3D COAL-AIR TEMP</v>
          </cell>
          <cell r="J63" t="str">
            <v>Average</v>
          </cell>
          <cell r="K63">
            <v>38906.708333333336</v>
          </cell>
          <cell r="L63">
            <v>144.95888773600259</v>
          </cell>
          <cell r="M63">
            <v>100</v>
          </cell>
        </row>
        <row r="64">
          <cell r="G64" t="str">
            <v>=PHDGetData("192.168.32.16", C64, 'DCS Input Data'!$E$1, 'DCS Input Data'!$E$2, "", "Average", "OVERALL REDUCTION", 0, "Before", UNI_RET_TAG+UNI_RET_DESC+UNI_RET_UNIT+UNI_RET_TIME+UNI_RET_VALUE+UNI_RET_CONF, UNI_NOTHING)</v>
          </cell>
          <cell r="H64" t="str">
            <v>DEGF</v>
          </cell>
          <cell r="I64" t="str">
            <v>PULV 3E COAL-AIR TEMP</v>
          </cell>
          <cell r="J64" t="str">
            <v>Average</v>
          </cell>
          <cell r="K64">
            <v>38906.708333333336</v>
          </cell>
          <cell r="L64">
            <v>144.93505401611327</v>
          </cell>
          <cell r="M64">
            <v>100</v>
          </cell>
        </row>
        <row r="65">
          <cell r="G65" t="str">
            <v>=PHDGetData("192.168.32.16", C65, 'DCS Input Data'!$E$1, 'DCS Input Data'!$E$2, "", "Average", "OVERALL REDUCTION", 0, "Before", UNI_RET_TAG+UNI_RET_DESC+UNI_RET_UNIT+UNI_RET_TIME+UNI_RET_VALUE+UNI_RET_CONF, UNI_NOTHING)</v>
          </cell>
          <cell r="H65" t="str">
            <v>DEGF</v>
          </cell>
          <cell r="I65" t="str">
            <v>PULV 3F COAL-AIR TEMP</v>
          </cell>
          <cell r="J65" t="str">
            <v>Average</v>
          </cell>
          <cell r="K65">
            <v>38906.708333333336</v>
          </cell>
          <cell r="L65">
            <v>145.03139979044596</v>
          </cell>
          <cell r="M65">
            <v>100</v>
          </cell>
        </row>
        <row r="66">
          <cell r="G66" t="str">
            <v>=PHDGetData("192.168.32.16", C66, 'DCS Input Data'!$E$1, 'DCS Input Data'!$E$2, "", "Average", "OVERALL REDUCTION", 0, "Before", UNI_RET_TAG+UNI_RET_DESC+UNI_RET_UNIT+UNI_RET_TIME+UNI_RET_VALUE+UNI_RET_CONF, UNI_NOTHING)</v>
          </cell>
          <cell r="H66" t="str">
            <v>INWG</v>
          </cell>
          <cell r="I66" t="str">
            <v>PA 3A DIFFERENTIAL PRESS</v>
          </cell>
          <cell r="J66" t="str">
            <v>Average</v>
          </cell>
          <cell r="K66">
            <v>38906.708333333336</v>
          </cell>
          <cell r="L66">
            <v>3.3180253065956964</v>
          </cell>
          <cell r="M66">
            <v>100</v>
          </cell>
        </row>
        <row r="67">
          <cell r="G67" t="str">
            <v>=PHDGetData("192.168.32.16", C67, 'DCS Input Data'!$E$1, 'DCS Input Data'!$E$2, "", "Average", "OVERALL REDUCTION", 0, "Before", UNI_RET_TAG+UNI_RET_DESC+UNI_RET_UNIT+UNI_RET_TIME+UNI_RET_VALUE+UNI_RET_CONF, UNI_NOTHING)</v>
          </cell>
          <cell r="H67" t="str">
            <v>INWG</v>
          </cell>
          <cell r="I67" t="str">
            <v>PA 3B DIFFERENTIAL PRESS</v>
          </cell>
          <cell r="J67" t="str">
            <v>Average</v>
          </cell>
          <cell r="K67">
            <v>38906.708333333336</v>
          </cell>
          <cell r="L67">
            <v>3.8710552112923726</v>
          </cell>
          <cell r="M67">
            <v>100</v>
          </cell>
        </row>
        <row r="68">
          <cell r="G68" t="str">
            <v>=PHDGetData("192.168.32.16", C68, 'DCS Input Data'!$E$1, 'DCS Input Data'!$E$2, "", "Average", "OVERALL REDUCTION", 0, "Before", UNI_RET_TAG+UNI_RET_DESC+UNI_RET_UNIT+UNI_RET_TIME+UNI_RET_VALUE+UNI_RET_CONF, UNI_NOTHING)</v>
          </cell>
          <cell r="H68" t="str">
            <v>INWG</v>
          </cell>
          <cell r="I68" t="str">
            <v>PA 3C DIFFERENTIAL PRESS</v>
          </cell>
          <cell r="J68" t="str">
            <v>Average</v>
          </cell>
          <cell r="K68">
            <v>38906.708333333336</v>
          </cell>
          <cell r="L68">
            <v>3.4785076389047833</v>
          </cell>
          <cell r="M68">
            <v>100</v>
          </cell>
        </row>
        <row r="69">
          <cell r="G69" t="str">
            <v>=PHDGetData("192.168.32.16", C69, 'DCS Input Data'!$E$1, 'DCS Input Data'!$E$2, "", "Average", "OVERALL REDUCTION", 0, "Before", UNI_RET_TAG+UNI_RET_DESC+UNI_RET_UNIT+UNI_RET_TIME+UNI_RET_VALUE+UNI_RET_CONF, UNI_NOTHING)</v>
          </cell>
          <cell r="H69" t="str">
            <v>INWG</v>
          </cell>
          <cell r="I69" t="str">
            <v>PA 3D DIFFERENTIAL PRESS</v>
          </cell>
          <cell r="J69" t="str">
            <v>Average</v>
          </cell>
          <cell r="K69">
            <v>38906.708333333336</v>
          </cell>
          <cell r="L69">
            <v>3.3232305966483224</v>
          </cell>
          <cell r="M69">
            <v>100</v>
          </cell>
        </row>
        <row r="70">
          <cell r="G70" t="str">
            <v>=PHDGetData("192.168.32.16", C70, 'DCS Input Data'!$E$1, 'DCS Input Data'!$E$2, "", "Average", "OVERALL REDUCTION", 0, "Before", UNI_RET_TAG+UNI_RET_DESC+UNI_RET_UNIT+UNI_RET_TIME+UNI_RET_VALUE+UNI_RET_CONF, UNI_NOTHING)</v>
          </cell>
          <cell r="H70" t="str">
            <v>INWG</v>
          </cell>
          <cell r="I70" t="str">
            <v>PA 3E DIFFERENTIAL PRESS</v>
          </cell>
          <cell r="J70" t="str">
            <v>Average</v>
          </cell>
          <cell r="K70">
            <v>38906.708333333336</v>
          </cell>
          <cell r="L70">
            <v>3.4321974341736898</v>
          </cell>
          <cell r="M70">
            <v>100</v>
          </cell>
        </row>
        <row r="71">
          <cell r="G71" t="str">
            <v>=PHDGetData("192.168.32.16", C71, 'DCS Input Data'!$E$1, 'DCS Input Data'!$E$2, "", "Average", "OVERALL REDUCTION", 0, "Before", UNI_RET_TAG+UNI_RET_DESC+UNI_RET_UNIT+UNI_RET_TIME+UNI_RET_VALUE+UNI_RET_CONF, UNI_NOTHING)</v>
          </cell>
          <cell r="H71" t="str">
            <v>INWG</v>
          </cell>
          <cell r="I71" t="str">
            <v>PA 3F DIFFERENTIAL PRESS</v>
          </cell>
          <cell r="J71" t="str">
            <v>Average</v>
          </cell>
          <cell r="K71">
            <v>38906.708333333336</v>
          </cell>
          <cell r="L71">
            <v>2.9299862276845507</v>
          </cell>
          <cell r="M71">
            <v>100</v>
          </cell>
        </row>
        <row r="72">
          <cell r="G72" t="str">
            <v>=PHDGetData("192.168.32.16", C72, 'DCS Input Data'!$E$1, 'DCS Input Data'!$E$2, "", "Average", "OVERALL REDUCTION", 0, "Before", UNI_RET_TAG+UNI_RET_DESC+UNI_RET_UNIT+UNI_RET_TIME+UNI_RET_VALUE+UNI_RET_CONF, UNI_NOTHING)</v>
          </cell>
          <cell r="H72" t="str">
            <v>INWG</v>
          </cell>
          <cell r="I72" t="str">
            <v>PULV3A DIFFERENTIAL PRES</v>
          </cell>
          <cell r="J72" t="str">
            <v>Average</v>
          </cell>
          <cell r="K72">
            <v>38906.708333333336</v>
          </cell>
          <cell r="L72">
            <v>16.416795333226521</v>
          </cell>
          <cell r="M72">
            <v>100</v>
          </cell>
        </row>
        <row r="73">
          <cell r="G73" t="str">
            <v>=PHDGetData("192.168.32.16", C73, 'DCS Input Data'!$E$1, 'DCS Input Data'!$E$2, "", "Average", "OVERALL REDUCTION", 0, "Before", UNI_RET_TAG+UNI_RET_DESC+UNI_RET_UNIT+UNI_RET_TIME+UNI_RET_VALUE+UNI_RET_CONF, UNI_NOTHING)</v>
          </cell>
          <cell r="H73" t="str">
            <v>INWG</v>
          </cell>
          <cell r="I73" t="str">
            <v>PULV3B DIFFERENTIAL PRES</v>
          </cell>
          <cell r="J73" t="str">
            <v>Average</v>
          </cell>
          <cell r="K73">
            <v>38906.708333333336</v>
          </cell>
          <cell r="L73">
            <v>14.571684659851922</v>
          </cell>
          <cell r="M73">
            <v>100</v>
          </cell>
        </row>
        <row r="74">
          <cell r="G74" t="str">
            <v>=PHDGetData("192.168.32.16", C74, 'DCS Input Data'!$E$1, 'DCS Input Data'!$E$2, "", "Average", "OVERALL REDUCTION", 0, "Before", UNI_RET_TAG+UNI_RET_DESC+UNI_RET_UNIT+UNI_RET_TIME+UNI_RET_VALUE+UNI_RET_CONF, UNI_NOTHING)</v>
          </cell>
          <cell r="H74" t="str">
            <v>INWG</v>
          </cell>
          <cell r="I74" t="str">
            <v>PULV3C DIFFERENTIAL PRES</v>
          </cell>
          <cell r="J74" t="str">
            <v>Average</v>
          </cell>
          <cell r="K74">
            <v>38906.708333333336</v>
          </cell>
          <cell r="L74">
            <v>16.595012377103171</v>
          </cell>
          <cell r="M74">
            <v>100</v>
          </cell>
        </row>
        <row r="75">
          <cell r="G75" t="str">
            <v>=PHDGetData("192.168.32.16", C75, 'DCS Input Data'!$E$1, 'DCS Input Data'!$E$2, "", "Average", "OVERALL REDUCTION", 0, "Before", UNI_RET_TAG+UNI_RET_DESC+UNI_RET_UNIT+UNI_RET_TIME+UNI_RET_VALUE+UNI_RET_CONF, UNI_NOTHING)</v>
          </cell>
          <cell r="H75" t="str">
            <v>INWG</v>
          </cell>
          <cell r="I75" t="str">
            <v>PULV3D DIFFERENTIAL PRES</v>
          </cell>
          <cell r="J75" t="str">
            <v>Average</v>
          </cell>
          <cell r="K75">
            <v>38906.708333333336</v>
          </cell>
          <cell r="L75">
            <v>18.168851028548346</v>
          </cell>
          <cell r="M75">
            <v>100</v>
          </cell>
        </row>
        <row r="76">
          <cell r="G76" t="str">
            <v>=PHDGetData("192.168.32.16", C76, 'DCS Input Data'!$E$1, 'DCS Input Data'!$E$2, "", "Average", "OVERALL REDUCTION", 0, "Before", UNI_RET_TAG+UNI_RET_DESC+UNI_RET_UNIT+UNI_RET_TIME+UNI_RET_VALUE+UNI_RET_CONF, UNI_NOTHING)</v>
          </cell>
          <cell r="H76" t="str">
            <v>INWG</v>
          </cell>
          <cell r="I76" t="str">
            <v>PULV3E DIFFERENTIAL PRES</v>
          </cell>
          <cell r="J76" t="str">
            <v>Average</v>
          </cell>
          <cell r="K76">
            <v>38906.708333333336</v>
          </cell>
          <cell r="L76">
            <v>16.136294860310024</v>
          </cell>
          <cell r="M76">
            <v>100</v>
          </cell>
        </row>
        <row r="77">
          <cell r="G77" t="str">
            <v>=PHDGetData("192.168.32.16", C77, 'DCS Input Data'!$E$1, 'DCS Input Data'!$E$2, "", "Average", "OVERALL REDUCTION", 0, "Before", UNI_RET_TAG+UNI_RET_DESC+UNI_RET_UNIT+UNI_RET_TIME+UNI_RET_VALUE+UNI_RET_CONF, UNI_NOTHING)</v>
          </cell>
          <cell r="H77" t="str">
            <v>INWG</v>
          </cell>
          <cell r="I77" t="str">
            <v>PULV3F DIFFERENTIAL PRES</v>
          </cell>
          <cell r="J77" t="str">
            <v>Average</v>
          </cell>
          <cell r="K77">
            <v>38906.708333333336</v>
          </cell>
          <cell r="L77">
            <v>15.985525180763668</v>
          </cell>
          <cell r="M77">
            <v>100</v>
          </cell>
        </row>
        <row r="78">
          <cell r="G78" t="str">
            <v>=PHDGetData("192.168.32.16", C78, 'DCS Input Data'!$E$1, 'DCS Input Data'!$E$2, "", "Average", "OVERALL REDUCTION", 0, "Before", UNI_RET_TAG+UNI_RET_DESC+UNI_RET_UNIT+UNI_RET_TIME+UNI_RET_VALUE+UNI_RET_CONF, UNI_NOTHING)</v>
          </cell>
          <cell r="H78" t="str">
            <v>INWG</v>
          </cell>
          <cell r="I78" t="str">
            <v>PULV 3A DISCHARGE PRESS</v>
          </cell>
          <cell r="J78" t="str">
            <v>Average</v>
          </cell>
          <cell r="K78">
            <v>38906.708333333336</v>
          </cell>
          <cell r="L78">
            <v>19.128575715488857</v>
          </cell>
          <cell r="M78">
            <v>100</v>
          </cell>
        </row>
        <row r="79">
          <cell r="G79" t="str">
            <v>=PHDGetData("192.168.32.16", C79, 'DCS Input Data'!$E$1, 'DCS Input Data'!$E$2, "", "Average", "OVERALL REDUCTION", 0, "Before", UNI_RET_TAG+UNI_RET_DESC+UNI_RET_UNIT+UNI_RET_TIME+UNI_RET_VALUE+UNI_RET_CONF, UNI_NOTHING)</v>
          </cell>
          <cell r="H79" t="str">
            <v>INWG</v>
          </cell>
          <cell r="I79" t="str">
            <v>PULV 3B DISCHARGE PRESS</v>
          </cell>
          <cell r="J79" t="str">
            <v>Average</v>
          </cell>
          <cell r="K79">
            <v>38906.708333333336</v>
          </cell>
          <cell r="L79">
            <v>15.970614976618025</v>
          </cell>
          <cell r="M79">
            <v>100</v>
          </cell>
        </row>
        <row r="80">
          <cell r="G80" t="str">
            <v>=PHDGetData("192.168.32.16", C80, 'DCS Input Data'!$E$1, 'DCS Input Data'!$E$2, "", "Average", "OVERALL REDUCTION", 0, "Before", UNI_RET_TAG+UNI_RET_DESC+UNI_RET_UNIT+UNI_RET_TIME+UNI_RET_VALUE+UNI_RET_CONF, UNI_NOTHING)</v>
          </cell>
          <cell r="H80" t="str">
            <v>INWG</v>
          </cell>
          <cell r="I80" t="str">
            <v>PULV 3C DISCHARGE PRESS</v>
          </cell>
          <cell r="J80" t="str">
            <v>Average</v>
          </cell>
          <cell r="K80">
            <v>38906.708333333336</v>
          </cell>
          <cell r="L80">
            <v>12.355793483257294</v>
          </cell>
          <cell r="M80">
            <v>100</v>
          </cell>
        </row>
        <row r="81">
          <cell r="G81" t="str">
            <v>=PHDGetData("192.168.32.16", C81, 'DCS Input Data'!$E$1, 'DCS Input Data'!$E$2, "", "Average", "OVERALL REDUCTION", 0, "Before", UNI_RET_TAG+UNI_RET_DESC+UNI_RET_UNIT+UNI_RET_TIME+UNI_RET_VALUE+UNI_RET_CONF, UNI_NOTHING)</v>
          </cell>
          <cell r="H81" t="str">
            <v>INWG</v>
          </cell>
          <cell r="I81" t="str">
            <v>PULV 3D DISCHARGE PRESS</v>
          </cell>
          <cell r="J81" t="str">
            <v>Average</v>
          </cell>
          <cell r="K81">
            <v>38906.708333333336</v>
          </cell>
          <cell r="L81">
            <v>12.397278325557709</v>
          </cell>
          <cell r="M81">
            <v>100</v>
          </cell>
        </row>
        <row r="82">
          <cell r="G82" t="str">
            <v>=PHDGetData("192.168.32.16", C82, 'DCS Input Data'!$E$1, 'DCS Input Data'!$E$2, "", "Average", "OVERALL REDUCTION", 0, "Before", UNI_RET_TAG+UNI_RET_DESC+UNI_RET_UNIT+UNI_RET_TIME+UNI_RET_VALUE+UNI_RET_CONF, UNI_NOTHING)</v>
          </cell>
          <cell r="H82" t="str">
            <v>INWG</v>
          </cell>
          <cell r="I82" t="str">
            <v>PULV 3E DISCHARGE PRESS</v>
          </cell>
          <cell r="J82" t="str">
            <v>Average</v>
          </cell>
          <cell r="K82">
            <v>38906.708333333336</v>
          </cell>
          <cell r="L82">
            <v>15.110181508594088</v>
          </cell>
          <cell r="M82">
            <v>100</v>
          </cell>
        </row>
        <row r="83">
          <cell r="G83" t="str">
            <v>=PHDGetData("192.168.32.16", C83, 'DCS Input Data'!$E$1, 'DCS Input Data'!$E$2, "", "Average", "OVERALL REDUCTION", 0, "Before", UNI_RET_TAG+UNI_RET_DESC+UNI_RET_UNIT+UNI_RET_TIME+UNI_RET_VALUE+UNI_RET_CONF, UNI_NOTHING)</v>
          </cell>
          <cell r="H83" t="str">
            <v>INWG</v>
          </cell>
          <cell r="I83" t="str">
            <v>PULV 3F DISCHARGE PRESS</v>
          </cell>
          <cell r="J83" t="str">
            <v>Average</v>
          </cell>
          <cell r="K83">
            <v>38906.708333333336</v>
          </cell>
          <cell r="L83">
            <v>16.062703793048858</v>
          </cell>
          <cell r="M83">
            <v>100</v>
          </cell>
        </row>
        <row r="84">
          <cell r="G84" t="str">
            <v>=PHDGetData("192.168.32.16", C84, 'DCS Input Data'!$E$1, 'DCS Input Data'!$E$2, "", "Average", "OVERALL REDUCTION", 0, "Before", UNI_RET_TAG+UNI_RET_DESC+UNI_RET_UNIT+UNI_RET_TIME+UNI_RET_VALUE+UNI_RET_CONF, UNI_NOTHING)</v>
          </cell>
          <cell r="H84" t="str">
            <v>DEGF</v>
          </cell>
          <cell r="I84" t="str">
            <v>PULV 3A INLET AIR TEMP</v>
          </cell>
          <cell r="J84" t="str">
            <v>Average</v>
          </cell>
          <cell r="K84">
            <v>38906.708333333336</v>
          </cell>
          <cell r="L84">
            <v>370.68718450758195</v>
          </cell>
          <cell r="M84">
            <v>100</v>
          </cell>
        </row>
        <row r="85">
          <cell r="G85" t="str">
            <v>=PHDGetData("192.168.32.16", C85, 'DCS Input Data'!$E$1, 'DCS Input Data'!$E$2, "", "Average", "OVERALL REDUCTION", 0, "Before", UNI_RET_TAG+UNI_RET_DESC+UNI_RET_UNIT+UNI_RET_TIME+UNI_RET_VALUE+UNI_RET_CONF, UNI_NOTHING)</v>
          </cell>
          <cell r="H85" t="str">
            <v>DEGF</v>
          </cell>
          <cell r="I85" t="str">
            <v>PULV 3B INLET AIR TEMP</v>
          </cell>
          <cell r="J85" t="str">
            <v>Average</v>
          </cell>
          <cell r="K85">
            <v>38906.708333333336</v>
          </cell>
          <cell r="L85">
            <v>384.75917995876733</v>
          </cell>
          <cell r="M85">
            <v>100</v>
          </cell>
        </row>
        <row r="86">
          <cell r="G86" t="str">
            <v>=PHDGetData("192.168.32.16", C86, 'DCS Input Data'!$E$1, 'DCS Input Data'!$E$2, "", "Average", "OVERALL REDUCTION", 0, "Before", UNI_RET_TAG+UNI_RET_DESC+UNI_RET_UNIT+UNI_RET_TIME+UNI_RET_VALUE+UNI_RET_CONF, UNI_NOTHING)</v>
          </cell>
          <cell r="H86" t="str">
            <v>DEGF</v>
          </cell>
          <cell r="I86" t="str">
            <v>PULV 3C INLET AIR TEMP</v>
          </cell>
          <cell r="J86" t="str">
            <v>Average</v>
          </cell>
          <cell r="K86">
            <v>38906.708333333336</v>
          </cell>
          <cell r="L86">
            <v>362.7864525095622</v>
          </cell>
          <cell r="M86">
            <v>100</v>
          </cell>
        </row>
        <row r="87">
          <cell r="G87" t="str">
            <v>=PHDGetData("192.168.32.16", C87, 'DCS Input Data'!$E$1, 'DCS Input Data'!$E$2, "", "Average", "OVERALL REDUCTION", 0, "Before", UNI_RET_TAG+UNI_RET_DESC+UNI_RET_UNIT+UNI_RET_TIME+UNI_RET_VALUE+UNI_RET_CONF, UNI_NOTHING)</v>
          </cell>
          <cell r="H87" t="str">
            <v>DEGF</v>
          </cell>
          <cell r="I87" t="str">
            <v>PULV 3D INLET AIR TEMP</v>
          </cell>
          <cell r="J87" t="str">
            <v>Average</v>
          </cell>
          <cell r="K87">
            <v>38906.708333333336</v>
          </cell>
          <cell r="L87">
            <v>347.67297812567818</v>
          </cell>
          <cell r="M87">
            <v>100</v>
          </cell>
        </row>
        <row r="88">
          <cell r="G88" t="str">
            <v>=PHDGetData("192.168.32.16", C88, 'DCS Input Data'!$E$1, 'DCS Input Data'!$E$2, "", "Average", "OVERALL REDUCTION", 0, "Before", UNI_RET_TAG+UNI_RET_DESC+UNI_RET_UNIT+UNI_RET_TIME+UNI_RET_VALUE+UNI_RET_CONF, UNI_NOTHING)</v>
          </cell>
          <cell r="H88" t="str">
            <v>DEGF</v>
          </cell>
          <cell r="I88" t="str">
            <v>PULV 3E INLET AIR TEMP</v>
          </cell>
          <cell r="J88" t="str">
            <v>Average</v>
          </cell>
          <cell r="K88">
            <v>38906.708333333336</v>
          </cell>
          <cell r="L88">
            <v>379.98283512539336</v>
          </cell>
          <cell r="M88">
            <v>100</v>
          </cell>
        </row>
        <row r="89">
          <cell r="G89" t="str">
            <v>=PHDGetData("192.168.32.16", C89, 'DCS Input Data'!$E$1, 'DCS Input Data'!$E$2, "", "Average", "OVERALL REDUCTION", 0, "Before", UNI_RET_TAG+UNI_RET_DESC+UNI_RET_UNIT+UNI_RET_TIME+UNI_RET_VALUE+UNI_RET_CONF, UNI_NOTHING)</v>
          </cell>
          <cell r="H89" t="str">
            <v>DEGF</v>
          </cell>
          <cell r="I89" t="str">
            <v>PULV 3F INLET AIR TEMP</v>
          </cell>
          <cell r="J89" t="str">
            <v>Average</v>
          </cell>
          <cell r="K89">
            <v>38906.708333333336</v>
          </cell>
          <cell r="L89">
            <v>344.53559794108071</v>
          </cell>
          <cell r="M89">
            <v>100</v>
          </cell>
        </row>
        <row r="91">
          <cell r="G91" t="str">
            <v>=PHDGetData("192.168.32.16", C91, 'DCS Input Data'!$E$1, 'DCS Input Data'!$E$2, "", "Average", "OVERALL REDUCTION", 0, "Before", UNI_RET_TAG+UNI_RET_DESC+UNI_RET_UNIT+UNI_RET_TIME+UNI_RET_VALUE+UNI_RET_CONF, UNI_NOTHING)</v>
          </cell>
          <cell r="I91" t="str">
            <v>EAST O2 PROBES AVERAGE</v>
          </cell>
          <cell r="J91" t="str">
            <v>Average</v>
          </cell>
          <cell r="K91">
            <v>38906.708333333336</v>
          </cell>
          <cell r="L91">
            <v>3.8464500029881794</v>
          </cell>
          <cell r="M91">
            <v>100</v>
          </cell>
        </row>
        <row r="92">
          <cell r="G92" t="str">
            <v>=PHDGetData("192.168.32.16", C92, 'DCS Input Data'!$E$1, 'DCS Input Data'!$E$2, "", "Average", "OVERALL REDUCTION", 0, "Before", UNI_RET_TAG+UNI_RET_DESC+UNI_RET_UNIT+UNI_RET_TIME+UNI_RET_VALUE+UNI_RET_CONF, UNI_NOTHING)</v>
          </cell>
          <cell r="I92" t="str">
            <v>WEST O2 PROBES AVERAGE</v>
          </cell>
          <cell r="J92" t="str">
            <v>Average</v>
          </cell>
          <cell r="K92">
            <v>38906.708333333336</v>
          </cell>
          <cell r="L92">
            <v>3.0162073612213134</v>
          </cell>
          <cell r="M92">
            <v>100</v>
          </cell>
        </row>
        <row r="93">
          <cell r="G93" t="str">
            <v>=PHDGetData("192.168.32.16", C93, 'DCS Input Data'!$E$1, 'DCS Input Data'!$E$2, "", "Average", "OVERALL REDUCTION", 0, "Before", UNI_RET_TAG+UNI_RET_DESC+UNI_RET_UNIT+UNI_RET_TIME+UNI_RET_VALUE+UNI_RET_CONF, UNI_NOTHING)</v>
          </cell>
          <cell r="H93" t="str">
            <v>%</v>
          </cell>
          <cell r="I93" t="str">
            <v>T/G CTL VALVE POSITION</v>
          </cell>
          <cell r="J93" t="str">
            <v>Average</v>
          </cell>
          <cell r="K93">
            <v>38906.708333333336</v>
          </cell>
          <cell r="L93">
            <v>27.008220672607422</v>
          </cell>
          <cell r="M93">
            <v>100</v>
          </cell>
        </row>
        <row r="94">
          <cell r="G94" t="str">
            <v>=PHDGetData("192.168.32.16", C94, 'DCS Input Data'!$E$1, 'DCS Input Data'!$E$2, "", "Average", "OVERALL REDUCTION", 0, "Before", UNI_RET_TAG+UNI_RET_DESC+UNI_RET_UNIT+UNI_RET_TIME+UNI_RET_VALUE+UNI_RET_CONF, UNI_NOTHING)</v>
          </cell>
          <cell r="H94" t="str">
            <v>DEGF</v>
          </cell>
          <cell r="I94" t="str">
            <v>T/G CROSSOVER STEAM TEMP</v>
          </cell>
          <cell r="J94" t="str">
            <v>Average</v>
          </cell>
          <cell r="K94">
            <v>38906.708333333336</v>
          </cell>
          <cell r="L94">
            <v>750.55668538411453</v>
          </cell>
          <cell r="M94">
            <v>100</v>
          </cell>
        </row>
        <row r="95">
          <cell r="G95" t="str">
            <v>=PHDGetData("192.168.32.16", C95, 'DCS Input Data'!$E$1, 'DCS Input Data'!$E$2, "", "Average", "OVERALL REDUCTION", 0, "Before", UNI_RET_TAG+UNI_RET_DESC+UNI_RET_UNIT+UNI_RET_TIME+UNI_RET_VALUE+UNI_RET_CONF, UNI_NOTHING)</v>
          </cell>
          <cell r="H95" t="str">
            <v>PSIG</v>
          </cell>
          <cell r="I95" t="str">
            <v>TG CROSSOVER STEAM PRESS</v>
          </cell>
          <cell r="J95" t="str">
            <v>Average</v>
          </cell>
          <cell r="K95">
            <v>38906.708333333336</v>
          </cell>
          <cell r="L95">
            <v>176.78438262939454</v>
          </cell>
          <cell r="M95">
            <v>100</v>
          </cell>
        </row>
        <row r="98">
          <cell r="G98" t="str">
            <v>=PHDGetData("192.168.32.16", C98, 'DCS Input Data'!$E$1, 'DCS Input Data'!$E$2, "", "Average", "OVERALL REDUCTION", 0, "Before", UNI_RET_TAG+UNI_RET_DESC+UNI_RET_UNIT+UNI_RET_TIME+UNI_RET_VALUE+UNI_RET_CONF, UNI_NOTHING)</v>
          </cell>
          <cell r="H98" t="str">
            <v>PSIG</v>
          </cell>
          <cell r="I98" t="str">
            <v>AIRHTR COIL STM HDR PRES</v>
          </cell>
          <cell r="J98" t="str">
            <v>Average</v>
          </cell>
          <cell r="K98">
            <v>38906.708333333336</v>
          </cell>
          <cell r="L98">
            <v>171.28646825154621</v>
          </cell>
          <cell r="M98">
            <v>100</v>
          </cell>
        </row>
        <row r="99">
          <cell r="G99" t="str">
            <v>=PHDGetData("192.168.32.16", C99, 'DCS Input Data'!$E$1, 'DCS Input Data'!$E$2, "", "Average", "OVERALL REDUCTION", 0, "Before", UNI_RET_TAG+UNI_RET_DESC+UNI_RET_UNIT+UNI_RET_TIME+UNI_RET_VALUE+UNI_RET_CONF, UNI_NOTHING)</v>
          </cell>
          <cell r="H99" t="str">
            <v>DEGF</v>
          </cell>
          <cell r="I99" t="str">
            <v>EAST SSH OUTLET STM TEMP</v>
          </cell>
          <cell r="J99" t="str">
            <v>Average</v>
          </cell>
          <cell r="K99">
            <v>38906.708333333336</v>
          </cell>
          <cell r="L99">
            <v>999.94743245442703</v>
          </cell>
          <cell r="M99">
            <v>100</v>
          </cell>
        </row>
        <row r="100">
          <cell r="G100" t="str">
            <v>=PHDGetData("192.168.32.16", C100, 'DCS Input Data'!$E$1, 'DCS Input Data'!$E$2, "", "Average", "OVERALL REDUCTION", 0, "Before", UNI_RET_TAG+UNI_RET_DESC+UNI_RET_UNIT+UNI_RET_TIME+UNI_RET_VALUE+UNI_RET_CONF, UNI_NOTHING)</v>
          </cell>
          <cell r="H100" t="str">
            <v>DEGF</v>
          </cell>
          <cell r="I100" t="str">
            <v>WEST SSH OUTLET STM TEMP</v>
          </cell>
          <cell r="J100" t="str">
            <v>Average</v>
          </cell>
          <cell r="K100">
            <v>38906.708333333336</v>
          </cell>
          <cell r="L100">
            <v>1014.6622914632161</v>
          </cell>
          <cell r="M100">
            <v>100</v>
          </cell>
        </row>
        <row r="101">
          <cell r="G101" t="str">
            <v>=PHDGetData("192.168.32.16", C101, 'DCS Input Data'!$E$1, 'DCS Input Data'!$E$2, "", "Average", "OVERALL REDUCTION", 0, "Before", UNI_RET_TAG+UNI_RET_DESC+UNI_RET_UNIT+UNI_RET_TIME+UNI_RET_VALUE+UNI_RET_CONF, UNI_NOTHING)</v>
          </cell>
          <cell r="H101" t="str">
            <v>DEGF</v>
          </cell>
          <cell r="I101" t="str">
            <v>CIRC WTR INLET EAST TEMP</v>
          </cell>
          <cell r="J101" t="str">
            <v>Average</v>
          </cell>
          <cell r="K101">
            <v>38906.708333333336</v>
          </cell>
          <cell r="L101">
            <v>74.921546936035156</v>
          </cell>
          <cell r="M101">
            <v>100</v>
          </cell>
        </row>
        <row r="102">
          <cell r="G102" t="str">
            <v>=PHDGetData("192.168.32.16", C102, 'DCS Input Data'!$E$1, 'DCS Input Data'!$E$2, "", "Average", "OVERALL REDUCTION", 0, "Before", UNI_RET_TAG+UNI_RET_DESC+UNI_RET_UNIT+UNI_RET_TIME+UNI_RET_VALUE+UNI_RET_CONF, UNI_NOTHING)</v>
          </cell>
          <cell r="H102" t="str">
            <v>DEGF</v>
          </cell>
          <cell r="I102" t="str">
            <v>CIRC WTR INLET WEST TEMP</v>
          </cell>
          <cell r="J102" t="str">
            <v>Average</v>
          </cell>
          <cell r="K102">
            <v>38906.708333333336</v>
          </cell>
          <cell r="L102">
            <v>73.593116760253906</v>
          </cell>
          <cell r="M102">
            <v>100</v>
          </cell>
        </row>
        <row r="103">
          <cell r="G103" t="str">
            <v>=PHDGetData("192.168.32.16", C103, 'DCS Input Data'!$E$1, 'DCS Input Data'!$E$2, "", "Average", "OVERALL REDUCTION", 0, "Before", UNI_RET_TAG+UNI_RET_DESC+UNI_RET_UNIT+UNI_RET_TIME+UNI_RET_VALUE+UNI_RET_CONF, UNI_NOTHING)</v>
          </cell>
          <cell r="H103" t="str">
            <v>DEGF</v>
          </cell>
          <cell r="I103" t="str">
            <v>CIRC WTR OTLET EAST TEMP</v>
          </cell>
          <cell r="J103" t="str">
            <v>Average</v>
          </cell>
          <cell r="K103">
            <v>38906.708333333336</v>
          </cell>
          <cell r="L103">
            <v>100.86188507080078</v>
          </cell>
          <cell r="M103">
            <v>100</v>
          </cell>
        </row>
        <row r="104">
          <cell r="G104" t="str">
            <v>=PHDGetData("192.168.32.16", C104, 'DCS Input Data'!$E$1, 'DCS Input Data'!$E$2, "", "Average", "OVERALL REDUCTION", 0, "Before", UNI_RET_TAG+UNI_RET_DESC+UNI_RET_UNIT+UNI_RET_TIME+UNI_RET_VALUE+UNI_RET_CONF, UNI_NOTHING)</v>
          </cell>
          <cell r="H104" t="str">
            <v>DEGF</v>
          </cell>
          <cell r="I104" t="str">
            <v>CIRC WTR OTLET WEST TEMP</v>
          </cell>
          <cell r="J104" t="str">
            <v>Average</v>
          </cell>
          <cell r="K104">
            <v>38906.708333333336</v>
          </cell>
          <cell r="L104">
            <v>119.06674677530924</v>
          </cell>
          <cell r="M104">
            <v>100</v>
          </cell>
        </row>
        <row r="105">
          <cell r="G105" t="str">
            <v>=PHDGetData("192.168.32.16", C105, 'DCS Input Data'!$E$1, 'DCS Input Data'!$E$2, "", "Average", "OVERALL REDUCTION", 0, "Before", UNI_RET_TAG+UNI_RET_DESC+UNI_RET_UNIT+UNI_RET_TIME+UNI_RET_VALUE+UNI_RET_CONF, UNI_NOTHING)</v>
          </cell>
          <cell r="H105" t="str">
            <v>DEGF</v>
          </cell>
          <cell r="I105" t="str">
            <v>FWHTR 31 SHEL DRAIN TEMP</v>
          </cell>
          <cell r="J105" t="str">
            <v>Average</v>
          </cell>
          <cell r="K105">
            <v>38906.708333333336</v>
          </cell>
          <cell r="L105">
            <v>416.87876434326171</v>
          </cell>
          <cell r="M105">
            <v>100</v>
          </cell>
        </row>
        <row r="106">
          <cell r="G106" t="str">
            <v>=PHDGetData("192.168.32.16", C106, 'DCS Input Data'!$E$1, 'DCS Input Data'!$E$2, "", "Average", "OVERALL REDUCTION", 0, "Before", UNI_RET_TAG+UNI_RET_DESC+UNI_RET_UNIT+UNI_RET_TIME+UNI_RET_VALUE+UNI_RET_CONF, UNI_NOTHING)</v>
          </cell>
          <cell r="H106" t="str">
            <v>DEGF</v>
          </cell>
          <cell r="I106" t="str">
            <v>FWHTR 32 SHEL DRAIN TEMP</v>
          </cell>
          <cell r="J106" t="str">
            <v>Average</v>
          </cell>
          <cell r="K106">
            <v>38906.708333333336</v>
          </cell>
          <cell r="L106">
            <v>391.81073557535808</v>
          </cell>
          <cell r="M106">
            <v>100</v>
          </cell>
        </row>
        <row r="107">
          <cell r="G107" t="str">
            <v>=PHDGetData("192.168.32.16", C107, 'DCS Input Data'!$E$1, 'DCS Input Data'!$E$2, "", "Average", "OVERALL REDUCTION", 0, "Before", UNI_RET_TAG+UNI_RET_DESC+UNI_RET_UNIT+UNI_RET_TIME+UNI_RET_VALUE+UNI_RET_CONF, UNI_NOTHING)</v>
          </cell>
          <cell r="H107" t="str">
            <v>DEGF</v>
          </cell>
          <cell r="I107" t="str">
            <v>FWHTR 34 SHEL DRAIN TEMP</v>
          </cell>
          <cell r="J107" t="str">
            <v>Average</v>
          </cell>
          <cell r="K107">
            <v>38906.708333333336</v>
          </cell>
          <cell r="L107">
            <v>253.11979395548502</v>
          </cell>
          <cell r="M107">
            <v>100</v>
          </cell>
        </row>
        <row r="108">
          <cell r="G108" t="str">
            <v>=PHDGetData("192.168.32.16", C108, 'DCS Input Data'!$E$1, 'DCS Input Data'!$E$2, "", "Average", "OVERALL REDUCTION", 0, "Before", UNI_RET_TAG+UNI_RET_DESC+UNI_RET_UNIT+UNI_RET_TIME+UNI_RET_VALUE+UNI_RET_CONF, UNI_NOTHING)</v>
          </cell>
          <cell r="H108" t="str">
            <v>DEGF</v>
          </cell>
          <cell r="I108" t="str">
            <v>FWHTR 35 SHEL DRAIN TEMP</v>
          </cell>
          <cell r="J108" t="str">
            <v>Average</v>
          </cell>
          <cell r="K108">
            <v>38906.708333333336</v>
          </cell>
          <cell r="L108">
            <v>197.5989959716797</v>
          </cell>
          <cell r="M108">
            <v>100</v>
          </cell>
        </row>
        <row r="109">
          <cell r="G109" t="str">
            <v>=PHDGetData("192.168.32.16", C109, 'DCS Input Data'!$E$1, 'DCS Input Data'!$E$2, "", "Average", "OVERALL REDUCTION", 0, "Before", UNI_RET_TAG+UNI_RET_DESC+UNI_RET_UNIT+UNI_RET_TIME+UNI_RET_VALUE+UNI_RET_CONF, UNI_NOTHING)</v>
          </cell>
          <cell r="H109" t="str">
            <v>DEGF</v>
          </cell>
          <cell r="I109" t="str">
            <v>FWHTR 36 SHEL DRAIN TEMP</v>
          </cell>
          <cell r="J109" t="str">
            <v>Average</v>
          </cell>
          <cell r="K109">
            <v>38906.708333333336</v>
          </cell>
          <cell r="L109">
            <v>141.56617075602213</v>
          </cell>
          <cell r="M109">
            <v>100</v>
          </cell>
        </row>
        <row r="110">
          <cell r="G110" t="str">
            <v>=PHDGetData("192.168.32.16", C110, 'DCS Input Data'!$E$1, 'DCS Input Data'!$E$2, "", "Average", "OVERALL REDUCTION", 0, "Before", UNI_RET_TAG+UNI_RET_DESC+UNI_RET_UNIT+UNI_RET_TIME+UNI_RET_VALUE+UNI_RET_CONF, UNI_NOTHING)</v>
          </cell>
          <cell r="H110" t="str">
            <v>PSIG</v>
          </cell>
          <cell r="I110" t="str">
            <v>FWHTR 31 SHELL PRESSURE</v>
          </cell>
          <cell r="J110" t="str">
            <v>Average</v>
          </cell>
          <cell r="K110">
            <v>38906.708333333336</v>
          </cell>
          <cell r="L110">
            <v>517.74528503417969</v>
          </cell>
          <cell r="M110">
            <v>100</v>
          </cell>
        </row>
        <row r="111">
          <cell r="G111" t="str">
            <v>=PHDGetData("192.168.32.16", C111, 'DCS Input Data'!$E$1, 'DCS Input Data'!$E$2, "", "Average", "OVERALL REDUCTION", 0, "Before", UNI_RET_TAG+UNI_RET_DESC+UNI_RET_UNIT+UNI_RET_TIME+UNI_RET_VALUE+UNI_RET_CONF, UNI_NOTHING)</v>
          </cell>
          <cell r="H111" t="str">
            <v>PSIG</v>
          </cell>
          <cell r="I111" t="str">
            <v>FWHTR 32 SHELL PRESSURE</v>
          </cell>
          <cell r="J111" t="str">
            <v>Average</v>
          </cell>
          <cell r="K111">
            <v>38906.708333333336</v>
          </cell>
          <cell r="L111">
            <v>204.53239440917969</v>
          </cell>
          <cell r="M111">
            <v>50</v>
          </cell>
        </row>
        <row r="112">
          <cell r="G112" t="str">
            <v>=PHDGetData("192.168.32.16", C112, 'DCS Input Data'!$E$1, 'DCS Input Data'!$E$2, "", "Average", "OVERALL REDUCTION", 0, "Before", UNI_RET_TAG+UNI_RET_DESC+UNI_RET_UNIT+UNI_RET_TIME+UNI_RET_VALUE+UNI_RET_CONF, UNI_NOTHING)</v>
          </cell>
          <cell r="H112" t="str">
            <v>PSIG</v>
          </cell>
          <cell r="I112" t="str">
            <v>FWHTR 34 SHELL PRESSURE</v>
          </cell>
          <cell r="J112" t="str">
            <v>Average</v>
          </cell>
          <cell r="K112">
            <v>38906.708333333336</v>
          </cell>
          <cell r="L112">
            <v>57.130633672078453</v>
          </cell>
          <cell r="M112">
            <v>100</v>
          </cell>
        </row>
        <row r="113">
          <cell r="G113" t="str">
            <v>=PHDGetData("192.168.32.16", C113, 'DCS Input Data'!$E$1, 'DCS Input Data'!$E$2, "", "Average", "OVERALL REDUCTION", 0, "Before", UNI_RET_TAG+UNI_RET_DESC+UNI_RET_UNIT+UNI_RET_TIME+UNI_RET_VALUE+UNI_RET_CONF, UNI_NOTHING)</v>
          </cell>
          <cell r="H113" t="str">
            <v>PSIG</v>
          </cell>
          <cell r="I113" t="str">
            <v>FWHTR 35 SHELL PRESSURE</v>
          </cell>
          <cell r="J113" t="str">
            <v>Average</v>
          </cell>
          <cell r="K113">
            <v>38906.708333333336</v>
          </cell>
          <cell r="L113">
            <v>14.204614909489949</v>
          </cell>
          <cell r="M113">
            <v>100</v>
          </cell>
        </row>
        <row r="114">
          <cell r="G114" t="str">
            <v>=PHDGetData("192.168.32.16", C114, 'DCS Input Data'!$E$1, 'DCS Input Data'!$E$2, "", "Average", "OVERALL REDUCTION", 0, "Before", UNI_RET_TAG+UNI_RET_DESC+UNI_RET_UNIT+UNI_RET_TIME+UNI_RET_VALUE+UNI_RET_CONF, UNI_NOTHING)</v>
          </cell>
          <cell r="H114" t="str">
            <v>PSIG</v>
          </cell>
          <cell r="I114" t="str">
            <v>FWHTR 36 SHELL PRESSURE</v>
          </cell>
          <cell r="J114" t="str">
            <v>Average</v>
          </cell>
          <cell r="K114">
            <v>38906.708333333336</v>
          </cell>
          <cell r="L114">
            <v>-5.6392261187235517</v>
          </cell>
          <cell r="M114">
            <v>100</v>
          </cell>
        </row>
        <row r="115">
          <cell r="G115" t="str">
            <v>=PHDGetData("192.168.32.16", C115, 'DCS Input Data'!$E$1, 'DCS Input Data'!$E$2, "", "Average", "OVERALL REDUCTION", 0, "Before", UNI_RET_TAG+UNI_RET_DESC+UNI_RET_UNIT+UNI_RET_TIME+UNI_RET_VALUE+UNI_RET_CONF, UNI_NOTHING)</v>
          </cell>
          <cell r="H115" t="str">
            <v>PSIG</v>
          </cell>
          <cell r="I115" t="str">
            <v>DEAERATOR PRESSURE</v>
          </cell>
          <cell r="J115" t="str">
            <v>Average</v>
          </cell>
          <cell r="K115">
            <v>38906.708333333336</v>
          </cell>
          <cell r="L115">
            <v>176.31618169148763</v>
          </cell>
          <cell r="M115">
            <v>100</v>
          </cell>
        </row>
        <row r="116">
          <cell r="G116" t="str">
            <v>=PHDGetData("192.168.32.16", C116, 'DCS Input Data'!$E$1, 'DCS Input Data'!$E$2, "", "Average", "OVERALL REDUCTION", 0, "Before", UNI_RET_TAG+UNI_RET_DESC+UNI_RET_UNIT+UNI_RET_TIME+UNI_RET_VALUE+UNI_RET_CONF, UNI_NOTHING)</v>
          </cell>
          <cell r="H116" t="str">
            <v>DEGF</v>
          </cell>
          <cell r="I116" t="str">
            <v>PSH EAST OUTLET STM TEMP</v>
          </cell>
          <cell r="J116" t="str">
            <v>Average</v>
          </cell>
          <cell r="K116">
            <v>38906.708333333336</v>
          </cell>
          <cell r="L116">
            <v>795.27960815429685</v>
          </cell>
          <cell r="M116">
            <v>100</v>
          </cell>
        </row>
        <row r="117">
          <cell r="G117" t="str">
            <v>=PHDGetData("192.168.32.16", C117, 'DCS Input Data'!$E$1, 'DCS Input Data'!$E$2, "", "Average", "OVERALL REDUCTION", 0, "Before", UNI_RET_TAG+UNI_RET_DESC+UNI_RET_UNIT+UNI_RET_TIME+UNI_RET_VALUE+UNI_RET_CONF, UNI_NOTHING)</v>
          </cell>
          <cell r="H117" t="str">
            <v>DEGF</v>
          </cell>
          <cell r="I117" t="str">
            <v>PSH WEST OUTLET STM TEMP</v>
          </cell>
          <cell r="J117" t="str">
            <v>Average</v>
          </cell>
          <cell r="K117">
            <v>38906.708333333336</v>
          </cell>
          <cell r="L117">
            <v>793.41291402180991</v>
          </cell>
          <cell r="M117">
            <v>100</v>
          </cell>
        </row>
        <row r="118">
          <cell r="G118" t="str">
            <v>=PHDGetData("192.168.32.16", C118, 'DCS Input Data'!$E$1, 'DCS Input Data'!$E$2, "", "Average", "OVERALL REDUCTION", 0, "Before", UNI_RET_TAG+UNI_RET_DESC+UNI_RET_UNIT+UNI_RET_TIME+UNI_RET_VALUE+UNI_RET_CONF, UNI_NOTHING)</v>
          </cell>
          <cell r="H118" t="str">
            <v>DEGF</v>
          </cell>
          <cell r="I118" t="str">
            <v>REHEATER INLET STM TEMP</v>
          </cell>
          <cell r="J118" t="str">
            <v>Average</v>
          </cell>
          <cell r="K118">
            <v>38906.708333333336</v>
          </cell>
          <cell r="L118">
            <v>660.42949625651045</v>
          </cell>
          <cell r="M118">
            <v>100</v>
          </cell>
        </row>
        <row r="119">
          <cell r="G119" t="str">
            <v>=PHDGetData("192.168.32.16", C119, 'DCS Input Data'!$E$1, 'DCS Input Data'!$E$2, "", "Average", "OVERALL REDUCTION", 0, "Before", UNI_RET_TAG+UNI_RET_DESC+UNI_RET_UNIT+UNI_RET_TIME+UNI_RET_VALUE+UNI_RET_CONF, UNI_NOTHING)</v>
          </cell>
          <cell r="H119" t="str">
            <v>DEGF</v>
          </cell>
          <cell r="I119" t="str">
            <v>#1 EXTRACTION STEAM TEMP</v>
          </cell>
          <cell r="J119" t="str">
            <v>Average</v>
          </cell>
          <cell r="K119">
            <v>38906.708333333336</v>
          </cell>
          <cell r="L119">
            <v>696.42658487955725</v>
          </cell>
          <cell r="M119">
            <v>100</v>
          </cell>
        </row>
        <row r="120">
          <cell r="G120" t="str">
            <v>=PHDGetData("192.168.32.16", C120, 'DCS Input Data'!$E$1, 'DCS Input Data'!$E$2, "", "Average", "OVERALL REDUCTION", 0, "Before", UNI_RET_TAG+UNI_RET_DESC+UNI_RET_UNIT+UNI_RET_TIME+UNI_RET_VALUE+UNI_RET_CONF, UNI_NOTHING)</v>
          </cell>
          <cell r="H120" t="str">
            <v>DEGF</v>
          </cell>
          <cell r="I120" t="str">
            <v>#2 EXTRACTION STEAM TEMP</v>
          </cell>
          <cell r="J120" t="str">
            <v>Average</v>
          </cell>
          <cell r="K120">
            <v>38906.708333333336</v>
          </cell>
          <cell r="L120">
            <v>917.67985127766929</v>
          </cell>
          <cell r="M120">
            <v>100</v>
          </cell>
        </row>
        <row r="121">
          <cell r="G121" t="str">
            <v>=PHDGetData("192.168.32.16", C121, 'DCS Input Data'!$E$1, 'DCS Input Data'!$E$2, "", "Average", "OVERALL REDUCTION", 0, "Before", UNI_RET_TAG+UNI_RET_DESC+UNI_RET_UNIT+UNI_RET_TIME+UNI_RET_VALUE+UNI_RET_CONF, UNI_NOTHING)</v>
          </cell>
          <cell r="H121" t="str">
            <v>DEGF</v>
          </cell>
          <cell r="I121" t="str">
            <v>#2 EXTRACTION STEAM TEMP</v>
          </cell>
          <cell r="J121" t="str">
            <v>Average</v>
          </cell>
          <cell r="K121">
            <v>38906.708333333336</v>
          </cell>
          <cell r="L121">
            <v>721.77181091308591</v>
          </cell>
          <cell r="M121">
            <v>100</v>
          </cell>
        </row>
        <row r="122">
          <cell r="G122" t="str">
            <v>=PHDGetData("192.168.32.16", C122, 'DCS Input Data'!$E$1, 'DCS Input Data'!$E$2, "", "Average", "OVERALL REDUCTION", 0, "Before", UNI_RET_TAG+UNI_RET_DESC+UNI_RET_UNIT+UNI_RET_TIME+UNI_RET_VALUE+UNI_RET_CONF, UNI_NOTHING)</v>
          </cell>
          <cell r="H122" t="str">
            <v>DEGF</v>
          </cell>
          <cell r="I122" t="str">
            <v>#4 EXTRACTION STEAM TEMP</v>
          </cell>
          <cell r="J122" t="str">
            <v>Average</v>
          </cell>
          <cell r="K122">
            <v>38906.708333333336</v>
          </cell>
          <cell r="L122">
            <v>600.72200520833337</v>
          </cell>
          <cell r="M122">
            <v>100</v>
          </cell>
        </row>
        <row r="123">
          <cell r="G123" t="str">
            <v>=PHDGetData("192.168.32.16", C123, 'DCS Input Data'!$E$1, 'DCS Input Data'!$E$2, "", "Average", "OVERALL REDUCTION", 0, "Before", UNI_RET_TAG+UNI_RET_DESC+UNI_RET_UNIT+UNI_RET_TIME+UNI_RET_VALUE+UNI_RET_CONF, UNI_NOTHING)</v>
          </cell>
          <cell r="H123" t="str">
            <v>DEGF</v>
          </cell>
          <cell r="I123" t="str">
            <v>#5 NORTH EXT STEAM TEMP</v>
          </cell>
          <cell r="J123" t="str">
            <v>Average</v>
          </cell>
          <cell r="K123">
            <v>38906.708333333336</v>
          </cell>
          <cell r="L123">
            <v>390.57306009928385</v>
          </cell>
          <cell r="M123">
            <v>100</v>
          </cell>
        </row>
        <row r="124">
          <cell r="G124" t="str">
            <v>=PHDGetData("192.168.32.16", C124, 'DCS Input Data'!$E$1, 'DCS Input Data'!$E$2, "", "Average", "OVERALL REDUCTION", 0, "Before", UNI_RET_TAG+UNI_RET_DESC+UNI_RET_UNIT+UNI_RET_TIME+UNI_RET_VALUE+UNI_RET_CONF, UNI_NOTHING)</v>
          </cell>
          <cell r="H124" t="str">
            <v>DEGF</v>
          </cell>
          <cell r="I124" t="str">
            <v>#5 SOUTH EXT STEAM TEMP</v>
          </cell>
          <cell r="J124" t="str">
            <v>Average</v>
          </cell>
          <cell r="K124">
            <v>38906.708333333336</v>
          </cell>
          <cell r="L124">
            <v>128.35981648763021</v>
          </cell>
          <cell r="M124">
            <v>100</v>
          </cell>
        </row>
        <row r="125">
          <cell r="G125" t="str">
            <v>=PHDGetData("192.168.32.16", C125, 'DCS Input Data'!$E$1, 'DCS Input Data'!$E$2, "", "Average", "OVERALL REDUCTION", 0, "Before", UNI_RET_TAG+UNI_RET_DESC+UNI_RET_UNIT+UNI_RET_TIME+UNI_RET_VALUE+UNI_RET_CONF, UNI_NOTHING)</v>
          </cell>
          <cell r="H125" t="str">
            <v>DEGF</v>
          </cell>
          <cell r="I125" t="str">
            <v>#6 NORTH EXT STEAM TEMP</v>
          </cell>
          <cell r="J125" t="str">
            <v>Average</v>
          </cell>
          <cell r="K125">
            <v>38906.708333333336</v>
          </cell>
          <cell r="L125">
            <v>511.35676574707031</v>
          </cell>
          <cell r="M125">
            <v>0</v>
          </cell>
        </row>
        <row r="126">
          <cell r="G126" t="str">
            <v>=PHDGetData("192.168.32.16", C126, 'DCS Input Data'!$E$1, 'DCS Input Data'!$E$2, "", "Average", "OVERALL REDUCTION", 0, "Before", UNI_RET_TAG+UNI_RET_DESC+UNI_RET_UNIT+UNI_RET_TIME+UNI_RET_VALUE+UNI_RET_CONF, UNI_NOTHING)</v>
          </cell>
          <cell r="H126" t="str">
            <v>DEGF</v>
          </cell>
          <cell r="I126" t="str">
            <v>#6 SOUTH EXT STEAM TEMP</v>
          </cell>
          <cell r="J126" t="str">
            <v>Average</v>
          </cell>
          <cell r="K126">
            <v>38906.708333333336</v>
          </cell>
          <cell r="L126">
            <v>182.15686721801757</v>
          </cell>
          <cell r="M126">
            <v>100</v>
          </cell>
        </row>
        <row r="127">
          <cell r="G127" t="str">
            <v>=PHDGetData("192.168.32.16", C127, 'DCS Input Data'!$E$1, 'DCS Input Data'!$E$2, "", "Average", "OVERALL REDUCTION", 0, "Before", UNI_RET_TAG+UNI_RET_DESC+UNI_RET_UNIT+UNI_RET_TIME+UNI_RET_VALUE+UNI_RET_CONF, UNI_NOTHING)</v>
          </cell>
          <cell r="H127" t="str">
            <v>DEGF</v>
          </cell>
          <cell r="I127" t="str">
            <v>BFPT EXHAUST STEAM TEMP</v>
          </cell>
          <cell r="J127" t="str">
            <v>Average</v>
          </cell>
          <cell r="K127">
            <v>38906.708333333336</v>
          </cell>
          <cell r="L127">
            <v>88.0443115234375</v>
          </cell>
          <cell r="M127">
            <v>0</v>
          </cell>
        </row>
        <row r="128">
          <cell r="G128" t="str">
            <v>=PHDGetData("192.168.32.16", C128, 'DCS Input Data'!$E$1, 'DCS Input Data'!$E$2, "", "Average", "OVERALL REDUCTION", 0, "Before", UNI_RET_TAG+UNI_RET_DESC+UNI_RET_UNIT+UNI_RET_TIME+UNI_RET_VALUE+UNI_RET_CONF, UNI_NOTHING)</v>
          </cell>
          <cell r="H128" t="str">
            <v>PSIG</v>
          </cell>
          <cell r="I128" t="str">
            <v>MAIN/THROTTLE STM PRESS</v>
          </cell>
          <cell r="J128" t="str">
            <v>Average</v>
          </cell>
          <cell r="K128">
            <v>38906.708333333336</v>
          </cell>
          <cell r="L128">
            <v>1859.3792683919271</v>
          </cell>
          <cell r="M128">
            <v>100</v>
          </cell>
        </row>
        <row r="129">
          <cell r="G129" t="str">
            <v>=PHDGetData("192.168.32.16", C129, 'DCS Input Data'!$E$1, 'DCS Input Data'!$E$2, "", "Average", "OVERALL REDUCTION", 0, "Before", UNI_RET_TAG+UNI_RET_DESC+UNI_RET_UNIT+UNI_RET_TIME+UNI_RET_VALUE+UNI_RET_CONF, UNI_NOTHING)</v>
          </cell>
          <cell r="H129" t="str">
            <v>PSIG</v>
          </cell>
          <cell r="I129" t="str">
            <v>MAIN/THROTTLE STM PRESS</v>
          </cell>
          <cell r="J129" t="str">
            <v>Average</v>
          </cell>
          <cell r="K129">
            <v>38906.708333333336</v>
          </cell>
          <cell r="L129">
            <v>1859.3792683919271</v>
          </cell>
          <cell r="M129">
            <v>100</v>
          </cell>
        </row>
        <row r="130">
          <cell r="G130" t="str">
            <v>=PHDGetData("192.168.32.16", C130, 'DCS Input Data'!$E$1, 'DCS Input Data'!$E$2, "", "Average", "OVERALL REDUCTION", 0, "Before", UNI_RET_TAG+UNI_RET_DESC+UNI_RET_UNIT+UNI_RET_TIME+UNI_RET_VALUE+UNI_RET_CONF, UNI_NOTHING)</v>
          </cell>
          <cell r="H130" t="str">
            <v>PSIG</v>
          </cell>
          <cell r="I130" t="str">
            <v>TG STEAM CHEST PRESSURE</v>
          </cell>
          <cell r="J130" t="str">
            <v>Average</v>
          </cell>
          <cell r="K130">
            <v>38906.708333333336</v>
          </cell>
          <cell r="L130">
            <v>1817.1361043294271</v>
          </cell>
          <cell r="M130">
            <v>100</v>
          </cell>
        </row>
        <row r="132">
          <cell r="G132" t="str">
            <v>=PHDGetData("192.168.32.16", C132, 'DCS Input Data'!$E$1, 'DCS Input Data'!$E$2, "", "Average", "OVERALL REDUCTION", 0, "Before", UNI_RET_TAG+UNI_RET_DESC+UNI_RET_UNIT+UNI_RET_TIME+UNI_RET_VALUE+UNI_RET_CONF, UNI_NOTHING)</v>
          </cell>
          <cell r="H132" t="str">
            <v>PSIG</v>
          </cell>
          <cell r="I132" t="str">
            <v>COLD REHEAT STEAM PRESS</v>
          </cell>
          <cell r="J132" t="str">
            <v>Average</v>
          </cell>
          <cell r="K132">
            <v>38906.708333333336</v>
          </cell>
          <cell r="L132">
            <v>464.42897796630859</v>
          </cell>
          <cell r="M132">
            <v>100</v>
          </cell>
        </row>
        <row r="133">
          <cell r="G133" t="str">
            <v>=PHDGetData("192.168.32.16", C133, 'DCS Input Data'!$E$1, 'DCS Input Data'!$E$2, "", "Average", "OVERALL REDUCTION", 0, "Before", UNI_RET_TAG+UNI_RET_DESC+UNI_RET_UNIT+UNI_RET_TIME+UNI_RET_VALUE+UNI_RET_CONF, UNI_NOTHING)</v>
          </cell>
          <cell r="H133" t="str">
            <v>PSIG</v>
          </cell>
          <cell r="I133" t="str">
            <v>HOT REHEAT STEAM PRESS</v>
          </cell>
          <cell r="J133" t="str">
            <v>Average</v>
          </cell>
          <cell r="K133">
            <v>38906.708333333336</v>
          </cell>
          <cell r="L133">
            <v>384.33855895996095</v>
          </cell>
          <cell r="M133">
            <v>100</v>
          </cell>
        </row>
        <row r="134">
          <cell r="G134" t="str">
            <v>=PHDGetData("192.168.32.16", C134, 'DCS Input Data'!$E$1, 'DCS Input Data'!$E$2, "", "Average", "OVERALL REDUCTION", 0, "Before", UNI_RET_TAG+UNI_RET_DESC+UNI_RET_UNIT+UNI_RET_TIME+UNI_RET_VALUE+UNI_RET_CONF, UNI_NOTHING)</v>
          </cell>
          <cell r="H134" t="str">
            <v>PSIG</v>
          </cell>
          <cell r="I134" t="str">
            <v>TG REHEAT BOWL STM PRESS</v>
          </cell>
          <cell r="J134" t="str">
            <v>Average</v>
          </cell>
          <cell r="K134">
            <v>38906.708333333336</v>
          </cell>
          <cell r="L134">
            <v>494.93151499430337</v>
          </cell>
          <cell r="M134">
            <v>100</v>
          </cell>
        </row>
        <row r="135">
          <cell r="G135" t="str">
            <v>=PHDGetData("192.168.32.16", C135, 'DCS Input Data'!$E$1, 'DCS Input Data'!$E$2, "", "Average", "OVERALL REDUCTION", 0, "Before", UNI_RET_TAG+UNI_RET_DESC+UNI_RET_UNIT+UNI_RET_TIME+UNI_RET_VALUE+UNI_RET_CONF, UNI_NOTHING)</v>
          </cell>
          <cell r="H135" t="str">
            <v>DEGF</v>
          </cell>
          <cell r="I135" t="str">
            <v>T/G TURB EXH HOOD TEMP</v>
          </cell>
          <cell r="J135" t="str">
            <v>Average</v>
          </cell>
          <cell r="K135">
            <v>38906.708333333336</v>
          </cell>
          <cell r="L135">
            <v>116.58630765279135</v>
          </cell>
          <cell r="M135">
            <v>100</v>
          </cell>
        </row>
        <row r="136">
          <cell r="G136" t="str">
            <v>=PHDGetData("192.168.32.16", C136, 'DCS Input Data'!$E$1, 'DCS Input Data'!$E$2, "", "Average", "OVERALL REDUCTION", 0, "Before", UNI_RET_TAG+UNI_RET_DESC+UNI_RET_UNIT+UNI_RET_TIME+UNI_RET_VALUE+UNI_RET_CONF, UNI_NOTHING)</v>
          </cell>
          <cell r="H136" t="str">
            <v>KPPH</v>
          </cell>
          <cell r="I136" t="str">
            <v>AH 3A COILS STM FLOW RTE</v>
          </cell>
          <cell r="J136" t="str">
            <v>Average</v>
          </cell>
          <cell r="K136">
            <v>38906.708333333336</v>
          </cell>
          <cell r="L136">
            <v>25.944014517466226</v>
          </cell>
          <cell r="M136">
            <v>100</v>
          </cell>
        </row>
        <row r="137">
          <cell r="G137" t="str">
            <v>=PHDGetData("192.168.32.16", C137, 'DCS Input Data'!$E$1, 'DCS Input Data'!$E$2, "", "Average", "OVERALL REDUCTION", 0, "Before", UNI_RET_TAG+UNI_RET_DESC+UNI_RET_UNIT+UNI_RET_TIME+UNI_RET_VALUE+UNI_RET_CONF, UNI_NOTHING)</v>
          </cell>
          <cell r="H137" t="str">
            <v>DEGF</v>
          </cell>
          <cell r="I137" t="str">
            <v>AH 3A COILS SUP STM TEMP</v>
          </cell>
          <cell r="J137" t="str">
            <v>Average</v>
          </cell>
          <cell r="K137">
            <v>38906.708333333336</v>
          </cell>
          <cell r="L137">
            <v>711.72681376139326</v>
          </cell>
          <cell r="M137">
            <v>100</v>
          </cell>
        </row>
        <row r="138">
          <cell r="G138" t="str">
            <v>=PHDGetData("192.168.32.16", C138, 'DCS Input Data'!$E$1, 'DCS Input Data'!$E$2, "", "Average", "OVERALL REDUCTION", 0, "Before", UNI_RET_TAG+UNI_RET_DESC+UNI_RET_UNIT+UNI_RET_TIME+UNI_RET_VALUE+UNI_RET_CONF, UNI_NOTHING)</v>
          </cell>
          <cell r="H138" t="str">
            <v>DEGF</v>
          </cell>
          <cell r="I138" t="str">
            <v>SH STM SPRAY WATER TEMP</v>
          </cell>
          <cell r="J138" t="str">
            <v>Average</v>
          </cell>
          <cell r="K138">
            <v>38906.708333333336</v>
          </cell>
          <cell r="L138">
            <v>384.67290598551432</v>
          </cell>
          <cell r="M138">
            <v>100</v>
          </cell>
        </row>
        <row r="139">
          <cell r="G139" t="str">
            <v>=PHDGetData("192.168.32.16", C139, 'DCS Input Data'!$E$1, 'DCS Input Data'!$E$2, "", "Average", "OVERALL REDUCTION", 0, "Before", UNI_RET_TAG+UNI_RET_DESC+UNI_RET_UNIT+UNI_RET_TIME+UNI_RET_VALUE+UNI_RET_CONF, UNI_NOTHING)</v>
          </cell>
          <cell r="H139" t="str">
            <v>PSIG</v>
          </cell>
          <cell r="I139" t="str">
            <v>SUPRHT SPRAY WATER PRESS</v>
          </cell>
          <cell r="J139" t="str">
            <v>Average</v>
          </cell>
          <cell r="K139">
            <v>38906.708333333336</v>
          </cell>
          <cell r="L139">
            <v>2434.70947265625</v>
          </cell>
          <cell r="M139">
            <v>100</v>
          </cell>
        </row>
        <row r="140">
          <cell r="G140" t="str">
            <v>=PHDGetData("192.168.32.16", C140, 'DCS Input Data'!$E$1, 'DCS Input Data'!$E$2, "", "Average", "OVERALL REDUCTION", 0, "Before", UNI_RET_TAG+UNI_RET_DESC+UNI_RET_UNIT+UNI_RET_TIME+UNI_RET_VALUE+UNI_RET_CONF, UNI_NOTHING)</v>
          </cell>
          <cell r="H140" t="str">
            <v>KPPH</v>
          </cell>
          <cell r="I140" t="str">
            <v>SUPERHEAT SPRAY WTR FLOW</v>
          </cell>
          <cell r="J140" t="str">
            <v>Average</v>
          </cell>
          <cell r="K140">
            <v>38906.708333333336</v>
          </cell>
          <cell r="L140">
            <v>74.52121276855469</v>
          </cell>
          <cell r="M140">
            <v>100</v>
          </cell>
        </row>
        <row r="141">
          <cell r="G141" t="str">
            <v>=PHDGetData("192.168.32.16", C141, 'DCS Input Data'!$E$1, 'DCS Input Data'!$E$2, "", "Average", "OVERALL REDUCTION", 0, "Before", UNI_RET_TAG+UNI_RET_DESC+UNI_RET_UNIT+UNI_RET_TIME+UNI_RET_VALUE+UNI_RET_CONF, UNI_NOTHING)</v>
          </cell>
          <cell r="H141" t="str">
            <v>DEGF</v>
          </cell>
          <cell r="I141" t="str">
            <v>RH STM SPRAY WATER TEMP</v>
          </cell>
          <cell r="J141" t="str">
            <v>Average</v>
          </cell>
          <cell r="K141">
            <v>38906.708333333336</v>
          </cell>
          <cell r="L141">
            <v>379.7891805013021</v>
          </cell>
          <cell r="M141">
            <v>100</v>
          </cell>
        </row>
        <row r="142">
          <cell r="G142" t="str">
            <v>=PHDGetData("192.168.32.16", C142, 'DCS Input Data'!$E$1, 'DCS Input Data'!$E$2, "", "Average", "OVERALL REDUCTION", 0, "Before", UNI_RET_TAG+UNI_RET_DESC+UNI_RET_UNIT+UNI_RET_TIME+UNI_RET_VALUE+UNI_RET_CONF, UNI_NOTHING)</v>
          </cell>
          <cell r="H142" t="str">
            <v>PSIG</v>
          </cell>
          <cell r="I142" t="str">
            <v>REHEAT SPRAY WATER PRESS</v>
          </cell>
          <cell r="J142" t="str">
            <v>Average</v>
          </cell>
          <cell r="K142">
            <v>38906.708333333336</v>
          </cell>
          <cell r="L142">
            <v>1002.2320058186849</v>
          </cell>
          <cell r="M142">
            <v>100</v>
          </cell>
        </row>
        <row r="143">
          <cell r="G143" t="str">
            <v>=PHDGetData("192.168.32.16", C143, 'DCS Input Data'!$E$1, 'DCS Input Data'!$E$2, "", "Average", "OVERALL REDUCTION", 0, "Before", UNI_RET_TAG+UNI_RET_DESC+UNI_RET_UNIT+UNI_RET_TIME+UNI_RET_VALUE+UNI_RET_CONF, UNI_NOTHING)</v>
          </cell>
          <cell r="H143" t="str">
            <v>KPPH</v>
          </cell>
          <cell r="I143" t="str">
            <v>REHEAT SPRAY WATER FLOW</v>
          </cell>
          <cell r="J143" t="str">
            <v>Average</v>
          </cell>
          <cell r="K143">
            <v>38906.708333333336</v>
          </cell>
          <cell r="L143">
            <v>36.328792126973468</v>
          </cell>
          <cell r="M143">
            <v>100</v>
          </cell>
        </row>
        <row r="144">
          <cell r="G144" t="str">
            <v>=PHDGetData("192.168.32.16", C144, 'DCS Input Data'!$E$1, 'DCS Input Data'!$E$2, "", "Average", "OVERALL REDUCTION", 0, "Before", UNI_RET_TAG+UNI_RET_DESC+UNI_RET_UNIT+UNI_RET_TIME+UNI_RET_VALUE+UNI_RET_CONF, UNI_NOTHING)</v>
          </cell>
          <cell r="H144" t="str">
            <v>DEGF</v>
          </cell>
          <cell r="I144" t="str">
            <v>MAIN/THROTTLE STEAM TEMP</v>
          </cell>
          <cell r="J144" t="str">
            <v>Average</v>
          </cell>
          <cell r="K144">
            <v>38906.708333333336</v>
          </cell>
          <cell r="L144">
            <v>996.37730407714844</v>
          </cell>
          <cell r="M144">
            <v>100</v>
          </cell>
        </row>
        <row r="145">
          <cell r="G145" t="str">
            <v>=PHDGetData("192.168.32.16", C145, 'DCS Input Data'!$E$1, 'DCS Input Data'!$E$2, "", "Average", "OVERALL REDUCTION", 0, "Before", UNI_RET_TAG+UNI_RET_DESC+UNI_RET_UNIT+UNI_RET_TIME+UNI_RET_VALUE+UNI_RET_CONF, UNI_NOTHING)</v>
          </cell>
          <cell r="H145" t="str">
            <v>DEGF</v>
          </cell>
          <cell r="I145" t="str">
            <v>COLD RH STM AT TURB TEMP</v>
          </cell>
          <cell r="J145" t="str">
            <v>Average</v>
          </cell>
          <cell r="K145">
            <v>38906.708333333336</v>
          </cell>
          <cell r="L145">
            <v>697.18106689453123</v>
          </cell>
          <cell r="M145">
            <v>100</v>
          </cell>
        </row>
        <row r="146">
          <cell r="G146" t="str">
            <v>=PHDGetData("192.168.32.16", C146, 'DCS Input Data'!$E$1, 'DCS Input Data'!$E$2, "", "Average", "OVERALL REDUCTION", 0, "Before", UNI_RET_TAG+UNI_RET_DESC+UNI_RET_UNIT+UNI_RET_TIME+UNI_RET_VALUE+UNI_RET_CONF, UNI_NOTHING)</v>
          </cell>
          <cell r="H146" t="str">
            <v>DEGF</v>
          </cell>
          <cell r="I146" t="str">
            <v>RH STM TEMP</v>
          </cell>
          <cell r="J146" t="str">
            <v>Average</v>
          </cell>
          <cell r="K146">
            <v>38906.708333333336</v>
          </cell>
          <cell r="L146">
            <v>1002.6955362955729</v>
          </cell>
          <cell r="M146">
            <v>100</v>
          </cell>
        </row>
        <row r="147">
          <cell r="G147" t="str">
            <v>=PHDGetData("192.168.32.16", C147, 'DCS Input Data'!$E$1, 'DCS Input Data'!$E$2, "", "Average", "OVERALL REDUCTION", 0, "Before", UNI_RET_TAG+UNI_RET_DESC+UNI_RET_UNIT+UNI_RET_TIME+UNI_RET_VALUE+UNI_RET_CONF, UNI_NOTHING)</v>
          </cell>
          <cell r="H147" t="str">
            <v>PSIG</v>
          </cell>
          <cell r="I147" t="str">
            <v>BOILER STM DRUM PRESS B</v>
          </cell>
          <cell r="J147" t="str">
            <v>Average</v>
          </cell>
          <cell r="K147">
            <v>38906.708333333336</v>
          </cell>
          <cell r="L147">
            <v>2100.8529907226562</v>
          </cell>
          <cell r="M147">
            <v>100</v>
          </cell>
        </row>
        <row r="148">
          <cell r="G148" t="str">
            <v>=PHDGetData("192.168.32.16", C148, 'DCS Input Data'!$E$1, 'DCS Input Data'!$E$2, "", "Average", "OVERALL REDUCTION", 0, "Before", UNI_RET_TAG+UNI_RET_DESC+UNI_RET_UNIT+UNI_RET_TIME+UNI_RET_VALUE+UNI_RET_CONF, UNI_NOTHING)</v>
          </cell>
          <cell r="H148" t="str">
            <v>PSIG</v>
          </cell>
          <cell r="I148" t="str">
            <v>BOILER STM DRUM PRESS C</v>
          </cell>
          <cell r="J148" t="str">
            <v>Average</v>
          </cell>
          <cell r="K148">
            <v>38906.708333333336</v>
          </cell>
          <cell r="L148">
            <v>2104.613496907552</v>
          </cell>
          <cell r="M148">
            <v>100</v>
          </cell>
        </row>
      </sheetData>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MPG-12"/>
      <sheetName val="Exhibit MPG-13"/>
      <sheetName val="Exhibit MPG-14"/>
      <sheetName val="Exhibit MPG-11 Gas"/>
      <sheetName val="Exhibit MPG-12 Gas"/>
      <sheetName val="Exhibit MPG-15"/>
      <sheetName val="Exhibit MPG-16a"/>
      <sheetName val="Exhibit MPG-16b"/>
      <sheetName val="Exhibit MPG-16c"/>
      <sheetName val="Yields (WP)"/>
      <sheetName val="Yields Table (WP)"/>
      <sheetName val="Monthly Yields (WP)"/>
      <sheetName val="Annual Yields (WP)"/>
      <sheetName val="Bond Yields (WP)"/>
      <sheetName val="Elec. Authorized Returns Graph"/>
      <sheetName val="Gas Authorized Returns Graph"/>
      <sheetName val="Authorized Returns G &amp; E"/>
    </sheetNames>
    <sheetDataSet>
      <sheetData sheetId="0">
        <row r="1">
          <cell r="A1" t="str">
            <v>El Paso Electric Company</v>
          </cell>
        </row>
      </sheetData>
      <sheetData sheetId="1"/>
      <sheetData sheetId="2"/>
      <sheetData sheetId="3"/>
      <sheetData sheetId="4"/>
      <sheetData sheetId="5"/>
      <sheetData sheetId="6"/>
      <sheetData sheetId="7"/>
      <sheetData sheetId="8"/>
      <sheetData sheetId="9"/>
      <sheetData sheetId="10"/>
      <sheetData sheetId="11"/>
      <sheetData sheetId="12">
        <row r="6">
          <cell r="B6">
            <v>0.11298333333333332</v>
          </cell>
        </row>
      </sheetData>
      <sheetData sheetId="13"/>
      <sheetData sheetId="14"/>
      <sheetData sheetId="15"/>
      <sheetData sheetId="1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9 DCF Inad."/>
      <sheetName val="Sch 10 Leverage Formula"/>
      <sheetName val="Sch 11 page cite 57"/>
      <sheetName val="Sch 12 p1 Hist CAPM Correct"/>
      <sheetName val="Sch 12 p2 Proj CAPM Correct"/>
      <sheetName val="Sch 13 Size Study"/>
      <sheetName val="Sch 14 R-Squared"/>
      <sheetName val="Sch 17"/>
      <sheetName val="Chart 1"/>
      <sheetName val="Table 1"/>
      <sheetName val="Charts 2 &amp; 3 page cite 51"/>
      <sheetName val="Sch 2 WP1"/>
      <sheetName val="Sch 2 WP2"/>
      <sheetName val="Sch 2 WP3"/>
      <sheetName val="Sch 2 WP4"/>
      <sheetName val="Sch 2 WP5"/>
      <sheetName val="Sch 2 WP6"/>
      <sheetName val="Sch 2 WP7"/>
      <sheetName val="Sch 2 WP8"/>
      <sheetName val="Sch 17 WP1"/>
      <sheetName val="Sch 17 WP2"/>
      <sheetName val="Chart 3 WP"/>
      <sheetName val="3. AWR"/>
      <sheetName val="3. AWK"/>
      <sheetName val="3. WTR"/>
      <sheetName val="3. CWT"/>
      <sheetName val="3. MSEX"/>
      <sheetName val="3. YORW"/>
    </sheetNames>
    <sheetDataSet>
      <sheetData sheetId="0">
        <row r="1">
          <cell r="A1" t="str">
            <v>SUEZ Water Pennsylvania Inc.</v>
          </cell>
        </row>
      </sheetData>
      <sheetData sheetId="1">
        <row r="9">
          <cell r="AD9" t="str">
            <v>American States Water</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ow r="19">
          <cell r="E19">
            <v>5.2485101070438404E-2</v>
          </cell>
        </row>
      </sheetData>
      <sheetData sheetId="12" refreshError="1"/>
      <sheetData sheetId="13" refreshError="1"/>
      <sheetData sheetId="14" refreshError="1"/>
      <sheetData sheetId="15" refreshError="1"/>
      <sheetData sheetId="16" refreshError="1"/>
      <sheetData sheetId="17" refreshError="1"/>
      <sheetData sheetId="18">
        <row r="11">
          <cell r="E11">
            <v>7.2599999999999998E-2</v>
          </cell>
        </row>
      </sheetData>
      <sheetData sheetId="19"/>
      <sheetData sheetId="20" refreshError="1"/>
      <sheetData sheetId="21" refreshError="1"/>
      <sheetData sheetId="22">
        <row r="12">
          <cell r="C12">
            <v>321363000</v>
          </cell>
        </row>
      </sheetData>
      <sheetData sheetId="23">
        <row r="12">
          <cell r="C12">
            <v>6812000000</v>
          </cell>
        </row>
      </sheetData>
      <sheetData sheetId="24">
        <row r="12">
          <cell r="C12">
            <v>2143127000</v>
          </cell>
        </row>
      </sheetData>
      <sheetData sheetId="25">
        <row r="12">
          <cell r="C12">
            <v>547633000</v>
          </cell>
        </row>
      </sheetData>
      <sheetData sheetId="26">
        <row r="12">
          <cell r="C12">
            <v>145910000</v>
          </cell>
        </row>
      </sheetData>
      <sheetData sheetId="27">
        <row r="12">
          <cell r="C12">
            <v>90142000</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9 DCF Inad."/>
      <sheetName val="Sch 10 Leverage Formula"/>
      <sheetName val="Sch 11 page cite 57"/>
      <sheetName val="Sch 12 p1 Hist CAPM Correct"/>
      <sheetName val="Sch 12 p2 Proj CAPM Correct"/>
      <sheetName val="Sch 13 Size Study"/>
      <sheetName val="Sch 14 R-Squared"/>
      <sheetName val="Sch 17"/>
      <sheetName val="Chart 1"/>
      <sheetName val="Table 1"/>
      <sheetName val="Charts 2 &amp; 3 page cite 51"/>
      <sheetName val="Sch 2 WP1"/>
      <sheetName val="Sch 2 WP2"/>
      <sheetName val="Sch 2 WP3"/>
      <sheetName val="Sch 2 WP4"/>
      <sheetName val="Sch 2 WP5"/>
      <sheetName val="Sch 2 WP6"/>
      <sheetName val="Sch 2 WP7"/>
      <sheetName val="Sch 2 WP8"/>
      <sheetName val="Sch 17 WP1"/>
      <sheetName val="Sch 17 WP2"/>
      <sheetName val="Chart 3 WP"/>
      <sheetName val="3. AWR"/>
      <sheetName val="3. AWK"/>
      <sheetName val="3. WTR"/>
      <sheetName val="3. CWT"/>
      <sheetName val="3. MSEX"/>
      <sheetName val="3. YORW"/>
    </sheetNames>
    <sheetDataSet>
      <sheetData sheetId="0">
        <row r="1">
          <cell r="A1" t="str">
            <v>SUEZ Water Pennsylvania Inc.</v>
          </cell>
        </row>
      </sheetData>
      <sheetData sheetId="1">
        <row r="9">
          <cell r="AD9" t="str">
            <v>American States Water</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ow r="19">
          <cell r="E19">
            <v>5.2485101070438404E-2</v>
          </cell>
        </row>
      </sheetData>
      <sheetData sheetId="12" refreshError="1"/>
      <sheetData sheetId="13" refreshError="1"/>
      <sheetData sheetId="14" refreshError="1"/>
      <sheetData sheetId="15" refreshError="1"/>
      <sheetData sheetId="16" refreshError="1"/>
      <sheetData sheetId="17" refreshError="1"/>
      <sheetData sheetId="18">
        <row r="11">
          <cell r="E11">
            <v>7.2599999999999998E-2</v>
          </cell>
        </row>
      </sheetData>
      <sheetData sheetId="19"/>
      <sheetData sheetId="20" refreshError="1"/>
      <sheetData sheetId="21" refreshError="1"/>
      <sheetData sheetId="22">
        <row r="12">
          <cell r="C12">
            <v>321363000</v>
          </cell>
        </row>
      </sheetData>
      <sheetData sheetId="23">
        <row r="12">
          <cell r="C12">
            <v>6812000000</v>
          </cell>
        </row>
      </sheetData>
      <sheetData sheetId="24">
        <row r="12">
          <cell r="C12">
            <v>2143127000</v>
          </cell>
        </row>
      </sheetData>
      <sheetData sheetId="25">
        <row r="12">
          <cell r="C12">
            <v>547633000</v>
          </cell>
        </row>
      </sheetData>
      <sheetData sheetId="26">
        <row r="12">
          <cell r="C12">
            <v>145910000</v>
          </cell>
        </row>
      </sheetData>
      <sheetData sheetId="27">
        <row r="12">
          <cell r="C12">
            <v>90142000</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s>
    <sheetDataSet>
      <sheetData sheetId="0"/>
      <sheetData sheetId="1">
        <row r="18">
          <cell r="B18" t="str">
            <v>Traditional Capital Asset Pricing Model (4)</v>
          </cell>
        </row>
        <row r="19">
          <cell r="B19" t="str">
            <v>Traditional Capital Asset Pricing Model (4)</v>
          </cell>
        </row>
        <row r="20">
          <cell r="A20" t="str">
            <v>MIEC Witness Janous' Water Proxy Group</v>
          </cell>
        </row>
        <row r="21">
          <cell r="A21" t="str">
            <v>MIEC Witness Janous' Water Proxy Group</v>
          </cell>
          <cell r="C21">
            <v>1.05</v>
          </cell>
          <cell r="E21">
            <v>7.46</v>
          </cell>
          <cell r="F21" t="str">
            <v>%</v>
          </cell>
          <cell r="I21">
            <v>12.56</v>
          </cell>
          <cell r="J21" t="str">
            <v>%</v>
          </cell>
        </row>
        <row r="22">
          <cell r="A22" t="str">
            <v>American States Water Co.</v>
          </cell>
          <cell r="C22">
            <v>1.05</v>
          </cell>
          <cell r="E22">
            <v>7.46</v>
          </cell>
          <cell r="F22" t="str">
            <v>%</v>
          </cell>
          <cell r="I22">
            <v>12.24</v>
          </cell>
          <cell r="J22" t="str">
            <v>%</v>
          </cell>
        </row>
        <row r="23">
          <cell r="A23" t="str">
            <v>Aqua America, Inc.</v>
          </cell>
          <cell r="C23">
            <v>0.95</v>
          </cell>
          <cell r="E23">
            <v>6.75</v>
          </cell>
          <cell r="I23">
            <v>11.53</v>
          </cell>
        </row>
        <row r="24">
          <cell r="A24" t="str">
            <v>California Water Service Group</v>
          </cell>
          <cell r="C24">
            <v>1.1499999999999999</v>
          </cell>
          <cell r="E24">
            <v>8.17</v>
          </cell>
          <cell r="I24">
            <v>12.95</v>
          </cell>
        </row>
        <row r="25">
          <cell r="A25" t="str">
            <v xml:space="preserve">Connecticut Water Serive Corp. </v>
          </cell>
          <cell r="C25">
            <v>0.85</v>
          </cell>
          <cell r="E25">
            <v>6.04</v>
          </cell>
          <cell r="I25">
            <v>10.82</v>
          </cell>
        </row>
        <row r="26">
          <cell r="A26" t="str">
            <v>Middlesex Water Company</v>
          </cell>
          <cell r="C26">
            <v>0.9</v>
          </cell>
          <cell r="E26">
            <v>6.39</v>
          </cell>
          <cell r="I26">
            <v>11.17</v>
          </cell>
        </row>
        <row r="27">
          <cell r="A27" t="str">
            <v xml:space="preserve">SJW Corp.           </v>
          </cell>
          <cell r="C27">
            <v>1.1499999999999999</v>
          </cell>
          <cell r="E27">
            <v>8.17</v>
          </cell>
          <cell r="I27">
            <v>12.95</v>
          </cell>
        </row>
        <row r="28">
          <cell r="A28" t="str">
            <v xml:space="preserve">Southwest Water Company     </v>
          </cell>
          <cell r="C28">
            <v>1.05</v>
          </cell>
          <cell r="E28">
            <v>7.46</v>
          </cell>
          <cell r="I28">
            <v>12.24</v>
          </cell>
        </row>
        <row r="29">
          <cell r="A29" t="str">
            <v>York Water Company</v>
          </cell>
          <cell r="C29">
            <v>0.5</v>
          </cell>
          <cell r="E29">
            <v>3.55</v>
          </cell>
          <cell r="I29">
            <v>8.33</v>
          </cell>
        </row>
        <row r="30">
          <cell r="A30" t="str">
            <v>Average</v>
          </cell>
          <cell r="C30">
            <v>0.95</v>
          </cell>
          <cell r="E30">
            <v>6.75</v>
          </cell>
          <cell r="F30" t="str">
            <v>%</v>
          </cell>
          <cell r="I30">
            <v>11.85</v>
          </cell>
          <cell r="J30" t="str">
            <v>%</v>
          </cell>
        </row>
        <row r="31">
          <cell r="A31" t="str">
            <v>Average</v>
          </cell>
          <cell r="C31">
            <v>0.95</v>
          </cell>
          <cell r="E31">
            <v>6.75</v>
          </cell>
          <cell r="F31" t="str">
            <v>%</v>
          </cell>
          <cell r="I31">
            <v>11.53</v>
          </cell>
          <cell r="J31" t="str">
            <v>%</v>
          </cell>
        </row>
        <row r="33">
          <cell r="A33" t="str">
            <v>MIEC Witness Janous' Gas Distribution Proxy Group</v>
          </cell>
        </row>
        <row r="34">
          <cell r="A34" t="str">
            <v>MIEC Witness Janous' Gas Distribution Proxy Group</v>
          </cell>
          <cell r="C34">
            <v>0.85</v>
          </cell>
          <cell r="E34">
            <v>6.04</v>
          </cell>
          <cell r="F34" t="str">
            <v>%</v>
          </cell>
          <cell r="I34">
            <v>11.14</v>
          </cell>
          <cell r="J34" t="str">
            <v>%</v>
          </cell>
        </row>
        <row r="35">
          <cell r="A35" t="str">
            <v>AGL Resources, Inc.</v>
          </cell>
          <cell r="C35">
            <v>0.85</v>
          </cell>
          <cell r="E35">
            <v>6.04</v>
          </cell>
          <cell r="F35" t="str">
            <v>%</v>
          </cell>
          <cell r="I35">
            <v>10.82</v>
          </cell>
          <cell r="J35" t="str">
            <v>%</v>
          </cell>
        </row>
        <row r="36">
          <cell r="A36" t="str">
            <v>Atmos Energy Corp.</v>
          </cell>
          <cell r="C36">
            <v>0.85</v>
          </cell>
          <cell r="E36">
            <v>6.04</v>
          </cell>
          <cell r="I36">
            <v>10.82</v>
          </cell>
        </row>
        <row r="37">
          <cell r="A37" t="str">
            <v>Laclede Group, Inc.</v>
          </cell>
          <cell r="C37">
            <v>0.9</v>
          </cell>
          <cell r="E37">
            <v>6.39</v>
          </cell>
          <cell r="I37">
            <v>11.17</v>
          </cell>
        </row>
        <row r="38">
          <cell r="A38" t="str">
            <v>New Jersey Resources Corp.</v>
          </cell>
          <cell r="C38">
            <v>0.85</v>
          </cell>
          <cell r="E38">
            <v>6.04</v>
          </cell>
          <cell r="I38">
            <v>10.82</v>
          </cell>
        </row>
        <row r="39">
          <cell r="A39" t="str">
            <v>NICOR Inc.</v>
          </cell>
          <cell r="C39">
            <v>0.95</v>
          </cell>
          <cell r="E39">
            <v>6.75</v>
          </cell>
          <cell r="I39">
            <v>11.53</v>
          </cell>
        </row>
        <row r="40">
          <cell r="A40" t="str">
            <v>Northwest Natural Gas Company</v>
          </cell>
          <cell r="C40">
            <v>0.8</v>
          </cell>
          <cell r="E40">
            <v>5.68</v>
          </cell>
          <cell r="I40">
            <v>10.46</v>
          </cell>
        </row>
        <row r="41">
          <cell r="A41" t="str">
            <v>Piedmont Natural Gas Co., Inc.</v>
          </cell>
          <cell r="C41">
            <v>0.85</v>
          </cell>
          <cell r="E41">
            <v>6.04</v>
          </cell>
          <cell r="I41">
            <v>10.82</v>
          </cell>
        </row>
        <row r="42">
          <cell r="A42" t="str">
            <v>South Jersey Industries, Inc.</v>
          </cell>
          <cell r="C42">
            <v>0.85</v>
          </cell>
          <cell r="E42">
            <v>6.04</v>
          </cell>
          <cell r="I42">
            <v>10.82</v>
          </cell>
        </row>
        <row r="43">
          <cell r="A43" t="str">
            <v>Southwest Gas Corporation</v>
          </cell>
          <cell r="C43">
            <v>0.9</v>
          </cell>
          <cell r="E43">
            <v>6.39</v>
          </cell>
          <cell r="I43">
            <v>11.17</v>
          </cell>
        </row>
        <row r="44">
          <cell r="A44" t="str">
            <v xml:space="preserve">WGL Holdings, Inc.   </v>
          </cell>
          <cell r="C44">
            <v>0.9</v>
          </cell>
          <cell r="E44">
            <v>6.39</v>
          </cell>
          <cell r="I44">
            <v>11.17</v>
          </cell>
        </row>
        <row r="45">
          <cell r="A45" t="str">
            <v>Average</v>
          </cell>
          <cell r="C45">
            <v>0.87</v>
          </cell>
          <cell r="E45">
            <v>6.18</v>
          </cell>
          <cell r="F45" t="str">
            <v>%</v>
          </cell>
          <cell r="I45">
            <v>11.28</v>
          </cell>
          <cell r="J45" t="str">
            <v>%</v>
          </cell>
        </row>
        <row r="46">
          <cell r="A46" t="str">
            <v>Average</v>
          </cell>
          <cell r="C46">
            <v>0.87</v>
          </cell>
          <cell r="E46">
            <v>6.18</v>
          </cell>
          <cell r="F46" t="str">
            <v>%</v>
          </cell>
          <cell r="I46">
            <v>10.96</v>
          </cell>
          <cell r="J46" t="str">
            <v>%</v>
          </cell>
        </row>
        <row r="49">
          <cell r="B49" t="str">
            <v>Empirical Capital Asset Pricing Model (5)</v>
          </cell>
        </row>
        <row r="50">
          <cell r="A50" t="str">
            <v>MIEC Witness Janous' Water Proxy Group</v>
          </cell>
          <cell r="B50" t="str">
            <v>Empirical Capital Asset Pricing Model (5)</v>
          </cell>
        </row>
        <row r="51">
          <cell r="A51" t="str">
            <v>MIEC Witness Janous' Water Proxy Group</v>
          </cell>
        </row>
        <row r="53">
          <cell r="A53" t="str">
            <v>American States Water Co.</v>
          </cell>
          <cell r="C53">
            <v>1.05</v>
          </cell>
          <cell r="E53">
            <v>7.37</v>
          </cell>
          <cell r="F53" t="str">
            <v>%</v>
          </cell>
          <cell r="I53">
            <v>12.47</v>
          </cell>
          <cell r="J53" t="str">
            <v>%</v>
          </cell>
        </row>
        <row r="54">
          <cell r="A54" t="str">
            <v>American States Water Co.</v>
          </cell>
          <cell r="C54">
            <v>1.05</v>
          </cell>
          <cell r="E54">
            <v>7.37</v>
          </cell>
          <cell r="F54" t="str">
            <v>%</v>
          </cell>
          <cell r="I54">
            <v>12.15</v>
          </cell>
          <cell r="J54" t="str">
            <v>%</v>
          </cell>
        </row>
        <row r="55">
          <cell r="A55" t="str">
            <v>Aqua America, Inc.</v>
          </cell>
          <cell r="C55">
            <v>0.95</v>
          </cell>
          <cell r="E55">
            <v>6.83</v>
          </cell>
          <cell r="I55">
            <v>11.61</v>
          </cell>
        </row>
        <row r="56">
          <cell r="A56" t="str">
            <v>California Water Service Group</v>
          </cell>
          <cell r="C56">
            <v>1.1499999999999999</v>
          </cell>
          <cell r="E56">
            <v>7.9</v>
          </cell>
          <cell r="I56">
            <v>12.68</v>
          </cell>
        </row>
        <row r="57">
          <cell r="A57" t="str">
            <v xml:space="preserve">Connecticut Water Serive Corp. </v>
          </cell>
          <cell r="C57">
            <v>0.85</v>
          </cell>
          <cell r="E57">
            <v>6.3</v>
          </cell>
          <cell r="I57">
            <v>11.08</v>
          </cell>
        </row>
        <row r="58">
          <cell r="A58" t="str">
            <v>Middlesex Water Company</v>
          </cell>
          <cell r="C58">
            <v>0.9</v>
          </cell>
          <cell r="E58">
            <v>6.57</v>
          </cell>
          <cell r="I58">
            <v>11.35</v>
          </cell>
        </row>
        <row r="59">
          <cell r="A59" t="str">
            <v xml:space="preserve">SJW Corp.           </v>
          </cell>
          <cell r="C59">
            <v>1.1499999999999999</v>
          </cell>
          <cell r="E59">
            <v>7.9</v>
          </cell>
          <cell r="I59">
            <v>12.68</v>
          </cell>
        </row>
        <row r="60">
          <cell r="A60" t="str">
            <v xml:space="preserve">Southwest Water Company     </v>
          </cell>
          <cell r="C60">
            <v>1.05</v>
          </cell>
          <cell r="E60">
            <v>7.37</v>
          </cell>
          <cell r="I60">
            <v>12.15</v>
          </cell>
        </row>
        <row r="61">
          <cell r="A61" t="str">
            <v>York Water Company</v>
          </cell>
          <cell r="C61">
            <v>0.5</v>
          </cell>
          <cell r="E61">
            <v>4.4400000000000004</v>
          </cell>
          <cell r="I61">
            <v>9.2200000000000006</v>
          </cell>
        </row>
        <row r="62">
          <cell r="A62" t="str">
            <v>Average</v>
          </cell>
          <cell r="C62">
            <v>0.95</v>
          </cell>
          <cell r="E62">
            <v>6.84</v>
          </cell>
          <cell r="F62" t="str">
            <v>%</v>
          </cell>
          <cell r="I62">
            <v>11.94</v>
          </cell>
          <cell r="J62" t="str">
            <v>%</v>
          </cell>
        </row>
        <row r="63">
          <cell r="A63" t="str">
            <v>Average</v>
          </cell>
          <cell r="C63">
            <v>0.95</v>
          </cell>
          <cell r="E63">
            <v>6.84</v>
          </cell>
          <cell r="F63" t="str">
            <v>%</v>
          </cell>
          <cell r="I63">
            <v>11.62</v>
          </cell>
          <cell r="J63" t="str">
            <v>%</v>
          </cell>
        </row>
        <row r="66">
          <cell r="A66" t="str">
            <v>MIEC Witness Janous' Gas Distribution Proxy Group</v>
          </cell>
        </row>
        <row r="67">
          <cell r="A67" t="str">
            <v>MIEC Witness Janous' Gas Distribution Proxy Group</v>
          </cell>
          <cell r="C67">
            <v>0.85</v>
          </cell>
          <cell r="E67">
            <v>6.3</v>
          </cell>
          <cell r="F67" t="str">
            <v>%</v>
          </cell>
          <cell r="I67">
            <v>11.4</v>
          </cell>
        </row>
        <row r="68">
          <cell r="A68" t="str">
            <v>AGL Resources, Inc.</v>
          </cell>
          <cell r="C68">
            <v>0.85</v>
          </cell>
          <cell r="E68">
            <v>6.3</v>
          </cell>
          <cell r="F68" t="str">
            <v>%</v>
          </cell>
          <cell r="I68">
            <v>11.08</v>
          </cell>
        </row>
        <row r="69">
          <cell r="A69" t="str">
            <v>Atmos Energy Corp.</v>
          </cell>
          <cell r="C69">
            <v>0.85</v>
          </cell>
          <cell r="E69">
            <v>6.3</v>
          </cell>
          <cell r="I69">
            <v>11.08</v>
          </cell>
        </row>
        <row r="70">
          <cell r="A70" t="str">
            <v>Laclede Group, Inc.</v>
          </cell>
          <cell r="C70">
            <v>0.9</v>
          </cell>
          <cell r="E70">
            <v>6.57</v>
          </cell>
          <cell r="I70">
            <v>11.35</v>
          </cell>
        </row>
        <row r="71">
          <cell r="A71" t="str">
            <v>New Jersey Resources Corp.</v>
          </cell>
          <cell r="C71">
            <v>0.85</v>
          </cell>
          <cell r="E71">
            <v>6.3</v>
          </cell>
          <cell r="I71">
            <v>11.08</v>
          </cell>
        </row>
        <row r="72">
          <cell r="A72" t="str">
            <v>NICOR Inc.</v>
          </cell>
          <cell r="C72">
            <v>0.95</v>
          </cell>
          <cell r="E72">
            <v>6.83</v>
          </cell>
          <cell r="I72">
            <v>11.61</v>
          </cell>
        </row>
        <row r="73">
          <cell r="A73" t="str">
            <v>Northwest Natural Gas Company</v>
          </cell>
          <cell r="C73">
            <v>0.8</v>
          </cell>
          <cell r="E73">
            <v>6.04</v>
          </cell>
          <cell r="I73">
            <v>10.82</v>
          </cell>
        </row>
        <row r="74">
          <cell r="A74" t="str">
            <v>Piedmont Natural Gas Co., Inc.</v>
          </cell>
          <cell r="C74">
            <v>0.85</v>
          </cell>
          <cell r="E74">
            <v>6.3</v>
          </cell>
          <cell r="I74">
            <v>11.08</v>
          </cell>
        </row>
        <row r="75">
          <cell r="A75" t="str">
            <v>South Jersey Industries, Inc.</v>
          </cell>
          <cell r="C75">
            <v>0.85</v>
          </cell>
          <cell r="E75">
            <v>6.3</v>
          </cell>
          <cell r="I75">
            <v>11.08</v>
          </cell>
        </row>
        <row r="76">
          <cell r="A76" t="str">
            <v>Southwest Gas Corporation</v>
          </cell>
          <cell r="C76">
            <v>0.9</v>
          </cell>
          <cell r="E76">
            <v>6.57</v>
          </cell>
          <cell r="I76">
            <v>11.35</v>
          </cell>
        </row>
        <row r="77">
          <cell r="A77" t="str">
            <v xml:space="preserve">WGL Holdings, Inc.   </v>
          </cell>
          <cell r="C77">
            <v>0.9</v>
          </cell>
          <cell r="E77">
            <v>6.57</v>
          </cell>
          <cell r="I77">
            <v>11.35</v>
          </cell>
        </row>
        <row r="78">
          <cell r="A78" t="str">
            <v>Average</v>
          </cell>
          <cell r="C78">
            <v>0.87</v>
          </cell>
          <cell r="E78">
            <v>6.41</v>
          </cell>
          <cell r="F78" t="str">
            <v>%</v>
          </cell>
          <cell r="I78">
            <v>11.51</v>
          </cell>
          <cell r="J78" t="str">
            <v>%</v>
          </cell>
        </row>
        <row r="79">
          <cell r="A79" t="str">
            <v>Average</v>
          </cell>
          <cell r="C79">
            <v>0.87</v>
          </cell>
          <cell r="E79">
            <v>6.41</v>
          </cell>
          <cell r="F79" t="str">
            <v>%</v>
          </cell>
          <cell r="I79">
            <v>11.19</v>
          </cell>
          <cell r="J79" t="str">
            <v>%</v>
          </cell>
        </row>
      </sheetData>
      <sheetData sheetId="2">
        <row r="1">
          <cell r="A1">
            <v>39708</v>
          </cell>
        </row>
      </sheetData>
      <sheetData sheetId="3"/>
      <sheetData sheetId="4"/>
      <sheetData sheetId="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ECT_A"/>
      <sheetName val="WP_B1"/>
      <sheetName val="WP_B2"/>
      <sheetName val="WP_B4"/>
      <sheetName val="WP_B5"/>
      <sheetName val="WP_B6"/>
      <sheetName val="WP_B6.1"/>
      <sheetName val="WP_B6.2"/>
      <sheetName val="WP_B7"/>
      <sheetName val="WP_B8"/>
      <sheetName val="WP_B9"/>
      <sheetName val="WP_C1"/>
      <sheetName val="WP_C1.1"/>
      <sheetName val="WP_C1.2"/>
      <sheetName val="WP_C2"/>
      <sheetName val="WP_C3"/>
      <sheetName val="WP_C4"/>
      <sheetName val="WP_C4a"/>
      <sheetName val="WP_C4.1"/>
      <sheetName val="WP_C4.2"/>
      <sheetName val="WP_C4.3"/>
      <sheetName val="WP_C5"/>
      <sheetName val="WP_C6"/>
      <sheetName val="WP_C7"/>
      <sheetName val="WP_C8"/>
      <sheetName val="WP_C9"/>
      <sheetName val="WP_C10"/>
      <sheetName val="WP_C11"/>
      <sheetName val="WP_C12"/>
      <sheetName val="WP_C13"/>
      <sheetName val="WP_C14"/>
      <sheetName val="WP_D1"/>
      <sheetName val="WP_D2"/>
      <sheetName val="WP_E1 "/>
      <sheetName val="WP_E1.1"/>
      <sheetName val="WP_E2"/>
      <sheetName val="WP_E3"/>
      <sheetName val="WP_E4"/>
      <sheetName val="WP_E5"/>
      <sheetName val="WP_F1"/>
      <sheetName val="WP_F-2"/>
      <sheetName val="WP_F-2-1"/>
      <sheetName val="WP_F-2-2"/>
      <sheetName val="WP_F-3"/>
      <sheetName val="WP_F-3-1"/>
      <sheetName val="WP_F-3-2"/>
      <sheetName val="WP_F-4"/>
      <sheetName val="WP_F-4.1"/>
      <sheetName val="WP_F-4.2"/>
      <sheetName val="WP_F-5"/>
      <sheetName val="WP_F-6"/>
      <sheetName val="WP_F-7"/>
      <sheetName val="WP B3"/>
      <sheetName val="WP B6.2 Attachmt"/>
      <sheetName val="WP C-1-1"/>
      <sheetName val="WP_C-1-2"/>
      <sheetName val="WP's E"/>
      <sheetName val="WP_C1_1"/>
      <sheetName val="WP_C1_2"/>
      <sheetName val="WP_E2_Detail"/>
    </sheetNames>
    <sheetDataSet>
      <sheetData sheetId="0"/>
      <sheetData sheetId="1"/>
      <sheetData sheetId="2"/>
      <sheetData sheetId="3"/>
      <sheetData sheetId="4"/>
      <sheetData sheetId="5">
        <row r="14">
          <cell r="B14" t="str">
            <v>1.</v>
          </cell>
          <cell r="D14" t="str">
            <v>December 1994</v>
          </cell>
          <cell r="F14">
            <v>24941476.600000001</v>
          </cell>
          <cell r="H14">
            <v>1866801.99</v>
          </cell>
          <cell r="J14">
            <v>26808278.59</v>
          </cell>
        </row>
        <row r="15">
          <cell r="B15" t="str">
            <v>2.</v>
          </cell>
          <cell r="D15" t="str">
            <v>January 1995</v>
          </cell>
          <cell r="F15">
            <v>25485000.73</v>
          </cell>
          <cell r="H15">
            <v>1814996.68</v>
          </cell>
          <cell r="J15">
            <v>27299997.41</v>
          </cell>
        </row>
        <row r="16">
          <cell r="B16" t="str">
            <v>3.</v>
          </cell>
          <cell r="D16" t="str">
            <v>February 1995</v>
          </cell>
          <cell r="F16">
            <v>24987449.539999999</v>
          </cell>
          <cell r="H16">
            <v>1814532.74</v>
          </cell>
          <cell r="J16">
            <v>26801982.279999997</v>
          </cell>
        </row>
        <row r="17">
          <cell r="B17" t="str">
            <v>4.</v>
          </cell>
          <cell r="D17" t="str">
            <v>March 1995</v>
          </cell>
          <cell r="F17">
            <v>25178482.41</v>
          </cell>
          <cell r="H17">
            <v>2163538.5099999998</v>
          </cell>
          <cell r="J17">
            <v>27342020.920000002</v>
          </cell>
        </row>
        <row r="18">
          <cell r="B18" t="str">
            <v>5.</v>
          </cell>
          <cell r="D18" t="str">
            <v>April 1995</v>
          </cell>
          <cell r="F18">
            <v>24197150.059999999</v>
          </cell>
          <cell r="H18">
            <v>2279739.9700000002</v>
          </cell>
          <cell r="J18">
            <v>26476890.029999997</v>
          </cell>
        </row>
        <row r="19">
          <cell r="B19" t="str">
            <v>6.</v>
          </cell>
          <cell r="D19" t="str">
            <v>May 1995</v>
          </cell>
          <cell r="F19">
            <v>23165235.16</v>
          </cell>
          <cell r="H19">
            <v>2343292.67</v>
          </cell>
          <cell r="J19">
            <v>25508527.829999998</v>
          </cell>
        </row>
        <row r="20">
          <cell r="B20" t="str">
            <v>7.</v>
          </cell>
          <cell r="D20" t="str">
            <v>June 1995</v>
          </cell>
          <cell r="F20">
            <v>21010269.390000001</v>
          </cell>
          <cell r="H20">
            <v>2226928.59</v>
          </cell>
          <cell r="J20">
            <v>23237197.98</v>
          </cell>
        </row>
        <row r="21">
          <cell r="B21" t="str">
            <v>8.</v>
          </cell>
          <cell r="D21" t="str">
            <v>July 1995</v>
          </cell>
          <cell r="F21">
            <v>19948585.600000001</v>
          </cell>
          <cell r="H21">
            <v>2104992.17</v>
          </cell>
          <cell r="J21">
            <v>22053577.770000003</v>
          </cell>
        </row>
        <row r="22">
          <cell r="B22" t="str">
            <v>9.</v>
          </cell>
          <cell r="D22" t="str">
            <v>August 1995</v>
          </cell>
          <cell r="F22">
            <v>18877211.559999999</v>
          </cell>
          <cell r="H22">
            <v>1470401.39</v>
          </cell>
          <cell r="J22">
            <v>20347612.949999999</v>
          </cell>
        </row>
        <row r="23">
          <cell r="B23" t="str">
            <v>10.</v>
          </cell>
          <cell r="D23" t="str">
            <v>September 1995</v>
          </cell>
          <cell r="F23">
            <v>18181226.510000002</v>
          </cell>
          <cell r="H23">
            <v>1189428.6499999999</v>
          </cell>
          <cell r="J23">
            <v>19370655.16</v>
          </cell>
        </row>
        <row r="24">
          <cell r="B24" t="str">
            <v>11.</v>
          </cell>
          <cell r="D24" t="str">
            <v>October 1995</v>
          </cell>
          <cell r="F24">
            <v>17322422.190000001</v>
          </cell>
          <cell r="H24">
            <v>832329.37</v>
          </cell>
          <cell r="J24">
            <v>18154751.560000002</v>
          </cell>
        </row>
        <row r="25">
          <cell r="B25" t="str">
            <v>12.</v>
          </cell>
          <cell r="D25" t="str">
            <v>November 1995</v>
          </cell>
          <cell r="F25">
            <v>16855400.690000001</v>
          </cell>
          <cell r="H25">
            <v>1273455.75</v>
          </cell>
          <cell r="J25">
            <v>18128856.440000001</v>
          </cell>
        </row>
        <row r="26">
          <cell r="B26" t="str">
            <v>13.</v>
          </cell>
          <cell r="D26" t="str">
            <v>December 1995</v>
          </cell>
          <cell r="F26">
            <v>17102940.969999999</v>
          </cell>
          <cell r="H26">
            <v>1752853.75</v>
          </cell>
          <cell r="J26">
            <v>18855794.719999999</v>
          </cell>
        </row>
        <row r="28">
          <cell r="B28" t="str">
            <v>14.</v>
          </cell>
          <cell r="D28" t="str">
            <v>13 month average</v>
          </cell>
          <cell r="F28">
            <v>21327142.416153844</v>
          </cell>
          <cell r="H28">
            <v>1779484.0176923077</v>
          </cell>
          <cell r="J28">
            <v>23106626.433846153</v>
          </cell>
        </row>
      </sheetData>
      <sheetData sheetId="6"/>
      <sheetData sheetId="7"/>
      <sheetData sheetId="8"/>
      <sheetData sheetId="9"/>
      <sheetData sheetId="10"/>
      <sheetData sheetId="11">
        <row r="31">
          <cell r="F31" t="str">
            <v>Group</v>
          </cell>
          <cell r="H31" t="str">
            <v>Workers</v>
          </cell>
          <cell r="J31" t="str">
            <v>Rate</v>
          </cell>
          <cell r="L31" t="str">
            <v>Post Retirement</v>
          </cell>
          <cell r="N31" t="str">
            <v>Post Retirement</v>
          </cell>
          <cell r="P31" t="str">
            <v>Incentive</v>
          </cell>
          <cell r="R31" t="str">
            <v>Severance</v>
          </cell>
        </row>
        <row r="32">
          <cell r="D32" t="str">
            <v>Month</v>
          </cell>
          <cell r="F32" t="str">
            <v>Dental</v>
          </cell>
          <cell r="H32" t="str">
            <v>Comp</v>
          </cell>
          <cell r="J32" t="str">
            <v>Refunds</v>
          </cell>
          <cell r="L32" t="str">
            <v>Medical</v>
          </cell>
          <cell r="N32" t="str">
            <v>Life</v>
          </cell>
          <cell r="P32" t="str">
            <v>Compensation</v>
          </cell>
          <cell r="R32" t="str">
            <v>Compensation</v>
          </cell>
        </row>
        <row r="33">
          <cell r="F33" t="str">
            <v>Life Insurance</v>
          </cell>
          <cell r="H33" t="str">
            <v>Compensation</v>
          </cell>
          <cell r="J33" t="str">
            <v>Compensation</v>
          </cell>
          <cell r="L33" t="str">
            <v>Medical</v>
          </cell>
          <cell r="N33" t="str">
            <v>Dental</v>
          </cell>
          <cell r="P33" t="str">
            <v>Liability</v>
          </cell>
        </row>
        <row r="34">
          <cell r="B34" t="str">
            <v>15.</v>
          </cell>
          <cell r="D34" t="str">
            <v>December 1994</v>
          </cell>
          <cell r="F34">
            <v>30358.33</v>
          </cell>
          <cell r="H34">
            <v>5170388.96</v>
          </cell>
          <cell r="J34">
            <v>2970183.74</v>
          </cell>
          <cell r="L34">
            <v>0</v>
          </cell>
          <cell r="N34">
            <v>32447.89</v>
          </cell>
          <cell r="P34">
            <v>400000</v>
          </cell>
          <cell r="R34">
            <v>1441439</v>
          </cell>
        </row>
        <row r="35">
          <cell r="B35" t="str">
            <v>16.</v>
          </cell>
          <cell r="D35" t="str">
            <v>January 1995</v>
          </cell>
          <cell r="F35">
            <v>33319.870000000003</v>
          </cell>
          <cell r="H35">
            <v>5151038.8099999996</v>
          </cell>
          <cell r="J35">
            <v>2970184.74</v>
          </cell>
          <cell r="L35">
            <v>18265.27</v>
          </cell>
          <cell r="N35">
            <v>43220.53</v>
          </cell>
          <cell r="P35">
            <v>441667</v>
          </cell>
          <cell r="R35">
            <v>1177844</v>
          </cell>
        </row>
        <row r="36">
          <cell r="B36" t="str">
            <v>17.</v>
          </cell>
          <cell r="D36" t="str">
            <v>February 1995</v>
          </cell>
          <cell r="F36">
            <v>45759.4</v>
          </cell>
          <cell r="H36">
            <v>5755217.0899999999</v>
          </cell>
          <cell r="J36">
            <v>2970184.74</v>
          </cell>
          <cell r="L36">
            <v>-48260.160000000003</v>
          </cell>
          <cell r="N36">
            <v>47433.53</v>
          </cell>
          <cell r="P36">
            <v>483334</v>
          </cell>
          <cell r="R36">
            <v>994287.87</v>
          </cell>
        </row>
        <row r="37">
          <cell r="B37" t="str">
            <v>18.</v>
          </cell>
          <cell r="D37" t="str">
            <v>March 1995</v>
          </cell>
          <cell r="F37">
            <v>52402.04</v>
          </cell>
          <cell r="H37">
            <v>5652991.3499999996</v>
          </cell>
          <cell r="J37">
            <v>2000000</v>
          </cell>
          <cell r="L37">
            <v>-244097.81</v>
          </cell>
          <cell r="N37">
            <v>-3894.47</v>
          </cell>
          <cell r="P37">
            <v>36161</v>
          </cell>
          <cell r="R37">
            <v>875794.72</v>
          </cell>
        </row>
        <row r="38">
          <cell r="B38" t="str">
            <v>19.</v>
          </cell>
          <cell r="D38" t="str">
            <v>April 1995</v>
          </cell>
          <cell r="F38">
            <v>73487.13</v>
          </cell>
          <cell r="H38">
            <v>5480393.5300000003</v>
          </cell>
          <cell r="J38">
            <v>2000000</v>
          </cell>
          <cell r="L38">
            <v>-360241.96</v>
          </cell>
          <cell r="N38">
            <v>-36243.19</v>
          </cell>
          <cell r="P38">
            <v>77828</v>
          </cell>
          <cell r="R38">
            <v>816363.78</v>
          </cell>
        </row>
        <row r="39">
          <cell r="B39" t="str">
            <v>20.</v>
          </cell>
          <cell r="D39" t="str">
            <v>May 1995</v>
          </cell>
          <cell r="F39">
            <v>67667.02</v>
          </cell>
          <cell r="H39">
            <v>5490327.5300000003</v>
          </cell>
          <cell r="J39">
            <v>2000000</v>
          </cell>
          <cell r="L39">
            <v>-592392.78</v>
          </cell>
          <cell r="N39">
            <v>38756.81</v>
          </cell>
          <cell r="P39">
            <v>119495</v>
          </cell>
          <cell r="R39">
            <v>793188.66</v>
          </cell>
        </row>
        <row r="40">
          <cell r="B40" t="str">
            <v>21.</v>
          </cell>
          <cell r="D40" t="str">
            <v>June 1995</v>
          </cell>
          <cell r="F40">
            <v>83440.09</v>
          </cell>
          <cell r="H40">
            <v>5622117.9500000002</v>
          </cell>
          <cell r="J40">
            <v>4650000</v>
          </cell>
          <cell r="L40">
            <v>-646602.88</v>
          </cell>
          <cell r="N40">
            <v>-11678.11</v>
          </cell>
          <cell r="P40">
            <v>161161</v>
          </cell>
          <cell r="R40">
            <v>782547.16</v>
          </cell>
        </row>
        <row r="41">
          <cell r="B41" t="str">
            <v>22.</v>
          </cell>
          <cell r="D41" t="str">
            <v>July 1995</v>
          </cell>
          <cell r="F41">
            <v>86127.38</v>
          </cell>
          <cell r="H41">
            <v>5450518.1500000004</v>
          </cell>
          <cell r="J41">
            <v>4650000</v>
          </cell>
          <cell r="L41">
            <v>-427867.11</v>
          </cell>
          <cell r="N41">
            <v>-34648.35</v>
          </cell>
          <cell r="P41">
            <v>202828</v>
          </cell>
          <cell r="R41">
            <v>778673.28</v>
          </cell>
        </row>
        <row r="42">
          <cell r="B42" t="str">
            <v>23.</v>
          </cell>
          <cell r="D42" t="str">
            <v>August 1995</v>
          </cell>
          <cell r="F42">
            <v>95197.93</v>
          </cell>
          <cell r="H42">
            <v>5872340.1600000001</v>
          </cell>
          <cell r="J42">
            <v>4650000</v>
          </cell>
          <cell r="L42">
            <v>-501333.55</v>
          </cell>
          <cell r="N42">
            <v>-46707.63</v>
          </cell>
          <cell r="P42">
            <v>333334</v>
          </cell>
          <cell r="R42">
            <v>777543.63</v>
          </cell>
        </row>
        <row r="43">
          <cell r="B43" t="str">
            <v>24.</v>
          </cell>
          <cell r="D43" t="str">
            <v>September 1995</v>
          </cell>
          <cell r="F43">
            <v>94530.13</v>
          </cell>
          <cell r="H43">
            <v>5795458.7300000004</v>
          </cell>
          <cell r="J43">
            <v>5050000</v>
          </cell>
          <cell r="L43">
            <v>-608582.40000000002</v>
          </cell>
          <cell r="N43">
            <v>-79414.7</v>
          </cell>
          <cell r="P43">
            <v>375000</v>
          </cell>
          <cell r="R43">
            <v>776193.63</v>
          </cell>
        </row>
        <row r="44">
          <cell r="B44" t="str">
            <v>25.</v>
          </cell>
          <cell r="D44" t="str">
            <v>October 1995</v>
          </cell>
          <cell r="F44">
            <v>115083.46</v>
          </cell>
          <cell r="H44">
            <v>5758658.5700000003</v>
          </cell>
          <cell r="J44">
            <v>5050000</v>
          </cell>
          <cell r="L44">
            <v>-687945.5</v>
          </cell>
          <cell r="N44">
            <v>-18529.939999999999</v>
          </cell>
          <cell r="P44">
            <v>416667</v>
          </cell>
          <cell r="R44">
            <v>774931.63</v>
          </cell>
        </row>
        <row r="45">
          <cell r="B45" t="str">
            <v>26.</v>
          </cell>
          <cell r="D45" t="str">
            <v>November 1995</v>
          </cell>
          <cell r="F45">
            <v>91129.83</v>
          </cell>
          <cell r="H45">
            <v>5610187.6900000004</v>
          </cell>
          <cell r="J45">
            <v>5111916</v>
          </cell>
          <cell r="L45">
            <v>-413312.39</v>
          </cell>
          <cell r="N45">
            <v>-17650.78</v>
          </cell>
          <cell r="P45">
            <v>458334</v>
          </cell>
          <cell r="R45">
            <v>774616.13</v>
          </cell>
        </row>
        <row r="46">
          <cell r="B46" t="str">
            <v>27.</v>
          </cell>
          <cell r="D46" t="str">
            <v>December 1995</v>
          </cell>
          <cell r="F46">
            <v>66275.490000000005</v>
          </cell>
          <cell r="H46">
            <v>5563949.29</v>
          </cell>
          <cell r="J46">
            <v>2650000</v>
          </cell>
          <cell r="L46">
            <v>0</v>
          </cell>
          <cell r="N46">
            <v>54223.18</v>
          </cell>
          <cell r="P46">
            <v>500000</v>
          </cell>
          <cell r="R46">
            <v>80300.63</v>
          </cell>
        </row>
        <row r="47">
          <cell r="B47" t="str">
            <v>26.</v>
          </cell>
          <cell r="D47" t="str">
            <v>August 2001</v>
          </cell>
          <cell r="F47">
            <v>195363</v>
          </cell>
          <cell r="H47">
            <v>2249518</v>
          </cell>
          <cell r="J47">
            <v>11788</v>
          </cell>
          <cell r="L47">
            <v>-232854</v>
          </cell>
          <cell r="N47">
            <v>100128</v>
          </cell>
          <cell r="P47">
            <v>705960</v>
          </cell>
        </row>
        <row r="48">
          <cell r="B48" t="str">
            <v>28.</v>
          </cell>
          <cell r="D48" t="str">
            <v>13 month average</v>
          </cell>
          <cell r="F48">
            <v>71906.007692307685</v>
          </cell>
          <cell r="H48">
            <v>5567199.0623076921</v>
          </cell>
          <cell r="J48">
            <v>3594036.0938461539</v>
          </cell>
          <cell r="L48">
            <v>-347105.48230769229</v>
          </cell>
          <cell r="N48">
            <v>-2514.2484615384619</v>
          </cell>
          <cell r="P48">
            <v>308139.15384615387</v>
          </cell>
          <cell r="R48">
            <v>834132.62461538496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refreshError="1"/>
      <sheetData sheetId="59"/>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Sheet1"/>
      <sheetName val="TOPrs"/>
      <sheetName val="Annual Exp 2003"/>
      <sheetName val="Int Rate Hedg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Capitalization"/>
      <sheetName val="Pfd Stock"/>
      <sheetName val="WCLTD"/>
      <sheetName val="MTN-C"/>
      <sheetName val="MTN-D"/>
      <sheetName val="92 EIRR"/>
      <sheetName val="93 EIRR"/>
      <sheetName val="Mates A"/>
      <sheetName val="Mates B"/>
      <sheetName val="94 EIRR"/>
      <sheetName val="98 EIRR A&amp;B"/>
      <sheetName val="Sheet1"/>
      <sheetName val="TOPrs"/>
      <sheetName val="Annual Exp 2003"/>
      <sheetName val="Int Rate Hedg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sheetName val="Per Books"/>
      <sheetName val="Current Rates"/>
      <sheetName val="Projected"/>
      <sheetName val="Fuel Cost"/>
      <sheetName val="Rate 10"/>
      <sheetName val="Rate 11"/>
      <sheetName val="Rate 13"/>
      <sheetName val="Rate 16"/>
      <sheetName val="Rate 20"/>
      <sheetName val="Rate 22"/>
      <sheetName val="Rate 25"/>
      <sheetName val="Rate 26"/>
      <sheetName val="Rate 27"/>
      <sheetName val="Rate 29"/>
      <sheetName val="Rate 30"/>
      <sheetName val="Rate 31"/>
      <sheetName val="Rate 34"/>
      <sheetName val="Rate 39"/>
      <sheetName val="Rate 40"/>
      <sheetName val="Rate 41"/>
      <sheetName val="Rate 48"/>
      <sheetName val="Rate 50"/>
      <sheetName val="Rate 52"/>
      <sheetName val="Rate 56"/>
      <sheetName val="Rate 95"/>
      <sheetName val="Adj Factors"/>
      <sheetName val="ST-9 Demand"/>
      <sheetName val="Primary Service Accts"/>
      <sheetName val="Primary_Secondary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llocators"/>
      <sheetName val="coss"/>
      <sheetName val="SCexGW"/>
      <sheetName val="hold_study"/>
      <sheetName val="LOOKUPTABLE"/>
      <sheetName val="rateincr_exhibit"/>
      <sheetName val="Exhibit_C"/>
      <sheetName val="ExhC_support"/>
      <sheetName val="MISC"/>
      <sheetName val="Sheet1"/>
      <sheetName val="print_macros"/>
    </sheetNames>
    <sheetDataSet>
      <sheetData sheetId="0">
        <row r="3">
          <cell r="B3" t="str">
            <v>NORTH</v>
          </cell>
        </row>
      </sheetData>
      <sheetData sheetId="1" refreshError="1"/>
      <sheetData sheetId="2">
        <row r="3">
          <cell r="A3" t="str">
            <v>DUKE ENERGY CAROLINAS, LLC</v>
          </cell>
        </row>
      </sheetData>
      <sheetData sheetId="3" refreshError="1"/>
      <sheetData sheetId="4" refreshError="1"/>
      <sheetData sheetId="5">
        <row r="49">
          <cell r="A49" t="str">
            <v>AG1</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Notes"/>
      <sheetName val="Variables"/>
      <sheetName val="Report"/>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802"/>
      <sheetName val="FEDERAL"/>
    </sheetNames>
    <sheetDataSet>
      <sheetData sheetId="0" refreshError="1">
        <row r="1">
          <cell r="AG1" t="str">
            <v>/AAWYSIWYG.ADN~~IWYSIWYG~Q</v>
          </cell>
        </row>
        <row r="2">
          <cell r="A2" t="str">
            <v xml:space="preserve">      1480 WELTON, INC.</v>
          </cell>
          <cell r="H2" t="str">
            <v xml:space="preserve">    PROPERTY, PLANT AND EQUIPMENT AT</v>
          </cell>
          <cell r="P2" t="str">
            <v>FEBRUARY 28, 1995</v>
          </cell>
        </row>
        <row r="5">
          <cell r="C5" t="str">
            <v>PLANT</v>
          </cell>
          <cell r="F5" t="str">
            <v>BALANCE</v>
          </cell>
          <cell r="Q5" t="str">
            <v>BALANCE</v>
          </cell>
        </row>
        <row r="6">
          <cell r="C6" t="str">
            <v>ACCT</v>
          </cell>
          <cell r="F6" t="str">
            <v>FIRST OF YEAR</v>
          </cell>
          <cell r="I6" t="str">
            <v>ADDITIONS</v>
          </cell>
          <cell r="L6" t="str">
            <v>RETIREMENTS</v>
          </cell>
          <cell r="O6" t="str">
            <v>TRANSFERS</v>
          </cell>
          <cell r="Q6" t="str">
            <v>YEAR TO DATE</v>
          </cell>
        </row>
        <row r="7">
          <cell r="A7" t="str">
            <v>*** INTANGIBLE PLANT ***</v>
          </cell>
        </row>
        <row r="9">
          <cell r="A9" t="str">
            <v>FRANCHISES AND CONSENTS</v>
          </cell>
          <cell r="C9" t="str">
            <v>2401</v>
          </cell>
          <cell r="E9" t="str">
            <v>$</v>
          </cell>
          <cell r="F9">
            <v>603</v>
          </cell>
          <cell r="H9" t="str">
            <v>$</v>
          </cell>
          <cell r="I9">
            <v>0</v>
          </cell>
          <cell r="K9" t="str">
            <v>$</v>
          </cell>
          <cell r="L9">
            <v>0</v>
          </cell>
          <cell r="N9" t="str">
            <v>$</v>
          </cell>
          <cell r="O9">
            <v>0</v>
          </cell>
          <cell r="P9" t="str">
            <v>$</v>
          </cell>
          <cell r="Q9">
            <v>603</v>
          </cell>
        </row>
        <row r="11">
          <cell r="A11" t="str">
            <v>*** GENERAL PLANT ***</v>
          </cell>
        </row>
        <row r="13">
          <cell r="A13" t="str">
            <v>LAND OWNED IN FEE (ND)</v>
          </cell>
          <cell r="C13" t="str">
            <v>2489.1</v>
          </cell>
          <cell r="F13">
            <v>6694046</v>
          </cell>
          <cell r="I13">
            <v>0</v>
          </cell>
          <cell r="L13">
            <v>0</v>
          </cell>
          <cell r="O13">
            <v>0</v>
          </cell>
          <cell r="Q13">
            <v>6694046</v>
          </cell>
        </row>
        <row r="14">
          <cell r="A14" t="str">
            <v>STRUCTURES AND IMPROVEMENTS</v>
          </cell>
          <cell r="C14" t="str">
            <v>2490</v>
          </cell>
          <cell r="F14">
            <v>6815384</v>
          </cell>
          <cell r="I14">
            <v>0</v>
          </cell>
          <cell r="L14">
            <v>0</v>
          </cell>
          <cell r="O14">
            <v>0</v>
          </cell>
          <cell r="Q14">
            <v>6815384</v>
          </cell>
        </row>
        <row r="15">
          <cell r="A15" t="str">
            <v>BUILDINGS</v>
          </cell>
          <cell r="C15" t="str">
            <v>2490.B</v>
          </cell>
          <cell r="F15">
            <v>26029191</v>
          </cell>
          <cell r="I15">
            <v>0</v>
          </cell>
          <cell r="L15">
            <v>0</v>
          </cell>
          <cell r="O15">
            <v>0</v>
          </cell>
          <cell r="Q15">
            <v>26029191</v>
          </cell>
        </row>
        <row r="16">
          <cell r="A16" t="str">
            <v>TOOLS, SHOP, &amp; GARAGE EQUIPMENT</v>
          </cell>
          <cell r="C16" t="str">
            <v>2494</v>
          </cell>
          <cell r="F16">
            <v>15481149</v>
          </cell>
          <cell r="I16">
            <v>0</v>
          </cell>
          <cell r="L16">
            <v>0</v>
          </cell>
          <cell r="O16">
            <v>0</v>
          </cell>
          <cell r="Q16">
            <v>15481149</v>
          </cell>
        </row>
        <row r="17">
          <cell r="A17" t="str">
            <v>COMMUNICATION EQUIPMENT</v>
          </cell>
          <cell r="C17" t="str">
            <v>2497</v>
          </cell>
          <cell r="F17">
            <v>13270</v>
          </cell>
          <cell r="I17">
            <v>0</v>
          </cell>
          <cell r="L17">
            <v>0</v>
          </cell>
          <cell r="O17">
            <v>0</v>
          </cell>
          <cell r="Q17">
            <v>13270</v>
          </cell>
        </row>
        <row r="18">
          <cell r="A18" t="str">
            <v>MISCELLANEOUS EQUIPMENT</v>
          </cell>
          <cell r="C18" t="str">
            <v>2498</v>
          </cell>
          <cell r="F18">
            <v>41508</v>
          </cell>
          <cell r="I18">
            <v>0</v>
          </cell>
          <cell r="L18">
            <v>0</v>
          </cell>
          <cell r="O18">
            <v>0</v>
          </cell>
          <cell r="Q18">
            <v>41508</v>
          </cell>
        </row>
        <row r="19">
          <cell r="A19" t="str">
            <v xml:space="preserve">     TOTAL GENERAL PLANT</v>
          </cell>
          <cell r="E19" t="str">
            <v>$</v>
          </cell>
          <cell r="F19">
            <v>55074548</v>
          </cell>
          <cell r="H19" t="str">
            <v>$</v>
          </cell>
          <cell r="I19">
            <v>0</v>
          </cell>
          <cell r="K19" t="str">
            <v>$</v>
          </cell>
          <cell r="L19">
            <v>0</v>
          </cell>
          <cell r="N19" t="str">
            <v>$</v>
          </cell>
          <cell r="O19">
            <v>0</v>
          </cell>
          <cell r="P19" t="str">
            <v>$</v>
          </cell>
          <cell r="Q19">
            <v>55074548</v>
          </cell>
        </row>
        <row r="21">
          <cell r="A21" t="str">
            <v xml:space="preserve">          TOTAL PLANT ACCOUNT 101</v>
          </cell>
          <cell r="E21" t="str">
            <v>$</v>
          </cell>
          <cell r="F21">
            <v>55075151</v>
          </cell>
          <cell r="H21" t="str">
            <v>$</v>
          </cell>
          <cell r="I21">
            <v>0</v>
          </cell>
          <cell r="K21" t="str">
            <v>$</v>
          </cell>
          <cell r="L21">
            <v>0</v>
          </cell>
          <cell r="N21" t="str">
            <v>$</v>
          </cell>
          <cell r="O21">
            <v>0</v>
          </cell>
          <cell r="P21" t="str">
            <v>$</v>
          </cell>
          <cell r="Q21">
            <v>55075151</v>
          </cell>
        </row>
        <row r="23">
          <cell r="A23" t="str">
            <v>*** NON UTILITY PLANT ***</v>
          </cell>
        </row>
        <row r="25">
          <cell r="A25" t="str">
            <v>LAND OWNED IN FEE (ND)</v>
          </cell>
          <cell r="C25" t="str">
            <v>3120.1</v>
          </cell>
          <cell r="E25" t="str">
            <v>$</v>
          </cell>
          <cell r="F25">
            <v>1609888</v>
          </cell>
          <cell r="H25" t="str">
            <v>$</v>
          </cell>
          <cell r="I25">
            <v>0</v>
          </cell>
          <cell r="K25" t="str">
            <v>$</v>
          </cell>
          <cell r="L25">
            <v>0</v>
          </cell>
          <cell r="N25" t="str">
            <v>$</v>
          </cell>
          <cell r="O25">
            <v>0</v>
          </cell>
          <cell r="P25" t="str">
            <v>$</v>
          </cell>
          <cell r="Q25">
            <v>1609888</v>
          </cell>
        </row>
        <row r="28">
          <cell r="A28" t="str">
            <v xml:space="preserve">     TOTAL PLANT</v>
          </cell>
          <cell r="E28" t="str">
            <v>$</v>
          </cell>
          <cell r="F28">
            <v>56685039</v>
          </cell>
          <cell r="H28" t="str">
            <v>$</v>
          </cell>
          <cell r="I28">
            <v>0</v>
          </cell>
          <cell r="K28" t="str">
            <v>$</v>
          </cell>
          <cell r="L28">
            <v>0</v>
          </cell>
          <cell r="N28" t="str">
            <v>$</v>
          </cell>
          <cell r="O28">
            <v>0</v>
          </cell>
          <cell r="P28" t="str">
            <v>$</v>
          </cell>
          <cell r="Q28">
            <v>56685039</v>
          </cell>
        </row>
        <row r="30">
          <cell r="A30" t="str">
            <v>*** CONSTRUCTION WORK IN PROGRESS ***</v>
          </cell>
        </row>
        <row r="32">
          <cell r="F32" t="str">
            <v>BALANCE</v>
          </cell>
          <cell r="Q32" t="str">
            <v>BALANCE</v>
          </cell>
        </row>
        <row r="33">
          <cell r="F33" t="str">
            <v>FIRST OF YEAR</v>
          </cell>
          <cell r="I33" t="str">
            <v>EXPENDITURES</v>
          </cell>
          <cell r="L33" t="str">
            <v>CLEARANCES</v>
          </cell>
          <cell r="O33" t="str">
            <v>NET CHANGE</v>
          </cell>
          <cell r="Q33" t="str">
            <v>YEAR TO DATE</v>
          </cell>
        </row>
        <row r="36">
          <cell r="A36" t="str">
            <v xml:space="preserve">COMMON </v>
          </cell>
          <cell r="E36" t="str">
            <v>$</v>
          </cell>
          <cell r="F36">
            <v>30142</v>
          </cell>
          <cell r="H36" t="str">
            <v>$</v>
          </cell>
          <cell r="I36">
            <v>0</v>
          </cell>
          <cell r="K36" t="str">
            <v>$</v>
          </cell>
          <cell r="L36">
            <v>0</v>
          </cell>
          <cell r="N36" t="str">
            <v>$</v>
          </cell>
          <cell r="O36">
            <v>0</v>
          </cell>
          <cell r="P36" t="str">
            <v>$</v>
          </cell>
          <cell r="Q36">
            <v>30142</v>
          </cell>
        </row>
        <row r="38">
          <cell r="A38" t="str">
            <v xml:space="preserve">      TOTAL PROPERTY, PLANT, &amp; EQUIPMENT</v>
          </cell>
          <cell r="E38" t="str">
            <v>$</v>
          </cell>
          <cell r="F38">
            <v>56715181</v>
          </cell>
          <cell r="P38" t="str">
            <v>$</v>
          </cell>
          <cell r="Q38">
            <v>56715181</v>
          </cell>
        </row>
        <row r="40">
          <cell r="A40" t="str">
            <v>() REVERSAL OR CREDIT</v>
          </cell>
        </row>
        <row r="42">
          <cell r="A42" t="str">
            <v>PREPARED BY THE PROPERTY ACCOUNTING DEPARTMENT</v>
          </cell>
        </row>
        <row r="43">
          <cell r="A43">
            <v>34971.665780787036</v>
          </cell>
        </row>
        <row r="45">
          <cell r="A45" t="str">
            <v>cc:   A.A. &amp; CO.</v>
          </cell>
          <cell r="C45" t="str">
            <v xml:space="preserve">      Budget Department</v>
          </cell>
        </row>
        <row r="46">
          <cell r="A46" t="str">
            <v xml:space="preserve">      Corporate Taxes</v>
          </cell>
          <cell r="C46" t="str">
            <v xml:space="preserve">      Financial Accounting</v>
          </cell>
        </row>
        <row r="47">
          <cell r="A47" t="str">
            <v xml:space="preserve">      Property &amp; Local Taxes</v>
          </cell>
          <cell r="C47" t="str">
            <v xml:space="preserve">      Rate Department</v>
          </cell>
        </row>
        <row r="48">
          <cell r="A48" t="str">
            <v xml:space="preserve">      Depreciation Accounting</v>
          </cell>
          <cell r="C48" t="str">
            <v xml:space="preserve">      Martha Palomar - 600</v>
          </cell>
          <cell r="L48" t="str">
            <v>REPORT NO. 1480-2</v>
          </cell>
          <cell r="Q48" t="str">
            <v>PAGE 1 OF 1</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9">
          <cell r="E29">
            <v>8.3450884513631737E-2</v>
          </cell>
        </row>
        <row r="31">
          <cell r="E31">
            <v>0.68700349864976129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cell r="E30">
            <v>16.73</v>
          </cell>
          <cell r="G30">
            <v>15.75</v>
          </cell>
          <cell r="K30">
            <v>12</v>
          </cell>
          <cell r="O30">
            <v>2.5099999999999998</v>
          </cell>
          <cell r="P30">
            <v>1.5206571858163132</v>
          </cell>
          <cell r="R30">
            <v>8.4</v>
          </cell>
        </row>
        <row r="31">
          <cell r="C31">
            <v>14.22</v>
          </cell>
          <cell r="E31">
            <v>16.72</v>
          </cell>
          <cell r="G31">
            <v>16.559999999999999</v>
          </cell>
          <cell r="K31">
            <v>12</v>
          </cell>
          <cell r="O31">
            <v>2.4999999999999982</v>
          </cell>
          <cell r="P31">
            <v>1.5206571858163132</v>
          </cell>
          <cell r="R31">
            <v>7.6</v>
          </cell>
        </row>
        <row r="32">
          <cell r="C32">
            <v>13.53</v>
          </cell>
          <cell r="E32">
            <v>16.07</v>
          </cell>
          <cell r="G32">
            <v>16.5</v>
          </cell>
          <cell r="K32">
            <v>12</v>
          </cell>
          <cell r="O32">
            <v>2.5400000000000009</v>
          </cell>
          <cell r="P32">
            <v>1.5206571858163132</v>
          </cell>
          <cell r="R32">
            <v>6.8</v>
          </cell>
        </row>
        <row r="33">
          <cell r="C33">
            <v>13.37</v>
          </cell>
          <cell r="E33">
            <v>15.82</v>
          </cell>
          <cell r="G33">
            <v>16.5</v>
          </cell>
          <cell r="K33">
            <v>12</v>
          </cell>
          <cell r="O33">
            <v>2.4500000000000011</v>
          </cell>
          <cell r="P33">
            <v>1.5206571858163132</v>
          </cell>
          <cell r="R33">
            <v>6.5</v>
          </cell>
        </row>
        <row r="34">
          <cell r="C34">
            <v>13.24</v>
          </cell>
          <cell r="E34">
            <v>15.6</v>
          </cell>
          <cell r="G34">
            <v>16.5</v>
          </cell>
          <cell r="K34">
            <v>12</v>
          </cell>
          <cell r="O34">
            <v>2.3599999999999994</v>
          </cell>
          <cell r="P34">
            <v>1.5206571858163132</v>
          </cell>
          <cell r="R34">
            <v>6.7</v>
          </cell>
        </row>
        <row r="35">
          <cell r="C35">
            <v>13.92</v>
          </cell>
          <cell r="E35">
            <v>16.18</v>
          </cell>
          <cell r="G35">
            <v>16.5</v>
          </cell>
          <cell r="K35">
            <v>12</v>
          </cell>
          <cell r="O35">
            <v>2.2599999999999998</v>
          </cell>
          <cell r="P35">
            <v>1.5206571858163132</v>
          </cell>
          <cell r="R35">
            <v>7.1</v>
          </cell>
        </row>
        <row r="36">
          <cell r="C36">
            <v>13.55</v>
          </cell>
          <cell r="E36">
            <v>16.04</v>
          </cell>
          <cell r="G36">
            <v>16.260000000000002</v>
          </cell>
          <cell r="K36">
            <v>11</v>
          </cell>
          <cell r="O36">
            <v>2.4899999999999984</v>
          </cell>
          <cell r="P36">
            <v>1.5206571858163132</v>
          </cell>
          <cell r="R36">
            <v>6.4</v>
          </cell>
        </row>
        <row r="37">
          <cell r="C37">
            <v>12.77</v>
          </cell>
          <cell r="E37">
            <v>15.22</v>
          </cell>
          <cell r="G37">
            <v>14.39</v>
          </cell>
          <cell r="K37">
            <v>10</v>
          </cell>
          <cell r="O37">
            <v>2.4500000000000011</v>
          </cell>
          <cell r="P37">
            <v>1.5206571858163132</v>
          </cell>
          <cell r="R37">
            <v>5.9</v>
          </cell>
        </row>
        <row r="38">
          <cell r="C38">
            <v>12.07</v>
          </cell>
          <cell r="E38">
            <v>14.56</v>
          </cell>
          <cell r="G38">
            <v>13.5</v>
          </cell>
          <cell r="K38">
            <v>9.5</v>
          </cell>
          <cell r="O38">
            <v>2.4900000000000002</v>
          </cell>
          <cell r="P38">
            <v>1.5206571858163132</v>
          </cell>
          <cell r="R38">
            <v>5</v>
          </cell>
        </row>
        <row r="39">
          <cell r="C39">
            <v>11.17</v>
          </cell>
          <cell r="E39">
            <v>13.88</v>
          </cell>
          <cell r="G39">
            <v>12.52</v>
          </cell>
          <cell r="K39">
            <v>9</v>
          </cell>
          <cell r="O39">
            <v>2.7100000000000009</v>
          </cell>
          <cell r="P39">
            <v>1.5206571858163132</v>
          </cell>
          <cell r="R39">
            <v>5.0999999999999996</v>
          </cell>
        </row>
        <row r="40">
          <cell r="C40">
            <v>10.54</v>
          </cell>
          <cell r="E40">
            <v>13.58</v>
          </cell>
          <cell r="G40">
            <v>11.85</v>
          </cell>
          <cell r="K40">
            <v>9</v>
          </cell>
          <cell r="O40">
            <v>3.0400000000000009</v>
          </cell>
          <cell r="P40">
            <v>1.5206571858163132</v>
          </cell>
          <cell r="R40">
            <v>4.5999999999999996</v>
          </cell>
        </row>
        <row r="41">
          <cell r="C41">
            <v>10.54</v>
          </cell>
          <cell r="E41">
            <v>13.55</v>
          </cell>
          <cell r="G41">
            <v>11.5</v>
          </cell>
          <cell r="K41">
            <v>8.5</v>
          </cell>
          <cell r="O41">
            <v>3.0100000000000016</v>
          </cell>
          <cell r="P41">
            <v>1.5206571858163132</v>
          </cell>
          <cell r="R41">
            <v>3.8</v>
          </cell>
        </row>
        <row r="42">
          <cell r="B42" t="str">
            <v>83</v>
          </cell>
          <cell r="C42">
            <v>10.63</v>
          </cell>
          <cell r="E42">
            <v>13.46</v>
          </cell>
          <cell r="G42">
            <v>11.16</v>
          </cell>
          <cell r="K42">
            <v>8.5</v>
          </cell>
          <cell r="O42">
            <v>2.83</v>
          </cell>
          <cell r="P42">
            <v>1.5206571858163132</v>
          </cell>
          <cell r="R42">
            <v>3.7</v>
          </cell>
        </row>
        <row r="43">
          <cell r="C43">
            <v>10.88</v>
          </cell>
          <cell r="E43">
            <v>13.6</v>
          </cell>
          <cell r="G43">
            <v>10.98</v>
          </cell>
          <cell r="K43">
            <v>8.5</v>
          </cell>
          <cell r="O43">
            <v>2.7199999999999989</v>
          </cell>
          <cell r="P43">
            <v>1.5206571858163132</v>
          </cell>
          <cell r="R43">
            <v>3.5</v>
          </cell>
        </row>
        <row r="44">
          <cell r="C44">
            <v>10.63</v>
          </cell>
          <cell r="E44">
            <v>13.28</v>
          </cell>
          <cell r="G44">
            <v>10.5</v>
          </cell>
          <cell r="K44">
            <v>8.5</v>
          </cell>
          <cell r="O44">
            <v>2.6499999999999986</v>
          </cell>
          <cell r="P44">
            <v>1.5206571858163132</v>
          </cell>
          <cell r="R44">
            <v>3.6</v>
          </cell>
        </row>
        <row r="45">
          <cell r="C45">
            <v>10.48</v>
          </cell>
          <cell r="E45">
            <v>13.03</v>
          </cell>
          <cell r="G45">
            <v>10.5</v>
          </cell>
          <cell r="K45">
            <v>8.5</v>
          </cell>
          <cell r="O45">
            <v>2.5499999999999989</v>
          </cell>
          <cell r="P45">
            <v>1.5206571858163132</v>
          </cell>
          <cell r="R45">
            <v>3.9</v>
          </cell>
        </row>
        <row r="46">
          <cell r="C46">
            <v>10.53</v>
          </cell>
          <cell r="E46">
            <v>13</v>
          </cell>
          <cell r="G46">
            <v>10.5</v>
          </cell>
          <cell r="K46">
            <v>8.5</v>
          </cell>
          <cell r="O46">
            <v>2.4700000000000006</v>
          </cell>
          <cell r="P46">
            <v>1.5206571858163132</v>
          </cell>
          <cell r="R46">
            <v>3.5</v>
          </cell>
        </row>
        <row r="47">
          <cell r="C47">
            <v>10.93</v>
          </cell>
          <cell r="E47">
            <v>13.17</v>
          </cell>
          <cell r="G47">
            <v>10.5</v>
          </cell>
          <cell r="K47">
            <v>8.5</v>
          </cell>
          <cell r="O47">
            <v>2.2400000000000002</v>
          </cell>
          <cell r="P47">
            <v>1.5206571858163132</v>
          </cell>
          <cell r="R47">
            <v>2.6</v>
          </cell>
        </row>
        <row r="48">
          <cell r="C48">
            <v>11.4</v>
          </cell>
          <cell r="E48">
            <v>13.28</v>
          </cell>
          <cell r="G48">
            <v>10.5</v>
          </cell>
          <cell r="K48">
            <v>8.5</v>
          </cell>
          <cell r="O48">
            <v>1.879999999999999</v>
          </cell>
          <cell r="P48">
            <v>1.5206571858163132</v>
          </cell>
          <cell r="R48">
            <v>2.5</v>
          </cell>
        </row>
        <row r="49">
          <cell r="C49">
            <v>11.82</v>
          </cell>
          <cell r="E49">
            <v>13.5</v>
          </cell>
          <cell r="G49">
            <v>10.89</v>
          </cell>
          <cell r="K49">
            <v>8.5</v>
          </cell>
          <cell r="O49">
            <v>1.6799999999999997</v>
          </cell>
          <cell r="P49">
            <v>1.5206571858163132</v>
          </cell>
          <cell r="R49">
            <v>2.6</v>
          </cell>
        </row>
        <row r="50">
          <cell r="C50">
            <v>11.63</v>
          </cell>
          <cell r="E50">
            <v>13.35</v>
          </cell>
          <cell r="G50">
            <v>11</v>
          </cell>
          <cell r="K50">
            <v>8.5</v>
          </cell>
          <cell r="O50">
            <v>1.7199999999999989</v>
          </cell>
          <cell r="P50">
            <v>1.5206571858163132</v>
          </cell>
          <cell r="R50">
            <v>2.9</v>
          </cell>
        </row>
        <row r="51">
          <cell r="C51">
            <v>11.58</v>
          </cell>
          <cell r="E51">
            <v>13.19</v>
          </cell>
          <cell r="G51">
            <v>11</v>
          </cell>
          <cell r="K51">
            <v>8.5</v>
          </cell>
          <cell r="O51">
            <v>1.6099999999999994</v>
          </cell>
          <cell r="P51">
            <v>1.5206571858163132</v>
          </cell>
          <cell r="R51">
            <v>2.9</v>
          </cell>
        </row>
        <row r="52">
          <cell r="C52">
            <v>11.75</v>
          </cell>
          <cell r="E52">
            <v>13.33</v>
          </cell>
          <cell r="G52">
            <v>11</v>
          </cell>
          <cell r="K52">
            <v>8.5</v>
          </cell>
          <cell r="O52">
            <v>1.58</v>
          </cell>
          <cell r="P52">
            <v>1.5206571858163132</v>
          </cell>
          <cell r="R52">
            <v>3.3</v>
          </cell>
        </row>
        <row r="53">
          <cell r="C53">
            <v>11.88</v>
          </cell>
          <cell r="E53">
            <v>13.48</v>
          </cell>
          <cell r="G53">
            <v>11</v>
          </cell>
          <cell r="K53">
            <v>8.5</v>
          </cell>
          <cell r="O53">
            <v>1.5999999999999996</v>
          </cell>
          <cell r="P53">
            <v>1.5206571858163132</v>
          </cell>
          <cell r="R53">
            <v>3.8</v>
          </cell>
        </row>
        <row r="54">
          <cell r="B54" t="str">
            <v>84</v>
          </cell>
          <cell r="C54">
            <v>11.75</v>
          </cell>
          <cell r="E54">
            <v>13.4</v>
          </cell>
          <cell r="G54">
            <v>11</v>
          </cell>
          <cell r="K54">
            <v>8.5</v>
          </cell>
          <cell r="O54">
            <v>1.6500000000000004</v>
          </cell>
          <cell r="P54">
            <v>1.5206571858163132</v>
          </cell>
          <cell r="R54">
            <v>4.2</v>
          </cell>
        </row>
        <row r="55">
          <cell r="C55">
            <v>11.95</v>
          </cell>
          <cell r="E55">
            <v>13.5</v>
          </cell>
          <cell r="G55">
            <v>11</v>
          </cell>
          <cell r="K55">
            <v>8.5</v>
          </cell>
          <cell r="O55">
            <v>1.5500000000000007</v>
          </cell>
          <cell r="P55">
            <v>1.5206571858163132</v>
          </cell>
          <cell r="R55">
            <v>4.5999999999999996</v>
          </cell>
        </row>
        <row r="56">
          <cell r="C56">
            <v>12.38</v>
          </cell>
          <cell r="E56">
            <v>14.03</v>
          </cell>
          <cell r="G56">
            <v>11.21</v>
          </cell>
          <cell r="K56">
            <v>8.5</v>
          </cell>
          <cell r="O56">
            <v>1.6499999999999986</v>
          </cell>
          <cell r="P56">
            <v>1.5206571858163132</v>
          </cell>
          <cell r="R56">
            <v>4.8</v>
          </cell>
        </row>
        <row r="57">
          <cell r="C57">
            <v>12.65</v>
          </cell>
          <cell r="E57">
            <v>14.3</v>
          </cell>
          <cell r="G57">
            <v>11.93</v>
          </cell>
          <cell r="K57">
            <v>9</v>
          </cell>
          <cell r="O57">
            <v>1.6500000000000004</v>
          </cell>
          <cell r="P57">
            <v>1.5206571858163132</v>
          </cell>
          <cell r="R57">
            <v>4.5999999999999996</v>
          </cell>
        </row>
        <row r="58">
          <cell r="C58">
            <v>13.43</v>
          </cell>
          <cell r="E58">
            <v>14.95</v>
          </cell>
          <cell r="G58">
            <v>12.39</v>
          </cell>
          <cell r="K58">
            <v>9</v>
          </cell>
          <cell r="O58">
            <v>1.5199999999999996</v>
          </cell>
          <cell r="P58">
            <v>1.5206571858163132</v>
          </cell>
          <cell r="R58">
            <v>4.2</v>
          </cell>
        </row>
        <row r="59">
          <cell r="C59">
            <v>13.44</v>
          </cell>
          <cell r="E59">
            <v>15.16</v>
          </cell>
          <cell r="G59">
            <v>12.6</v>
          </cell>
          <cell r="K59">
            <v>9</v>
          </cell>
          <cell r="O59">
            <v>1.7200000000000006</v>
          </cell>
          <cell r="P59">
            <v>1.5206571858163132</v>
          </cell>
          <cell r="R59">
            <v>4.2</v>
          </cell>
        </row>
        <row r="60">
          <cell r="C60">
            <v>13.21</v>
          </cell>
          <cell r="E60">
            <v>14.92</v>
          </cell>
          <cell r="G60">
            <v>13</v>
          </cell>
          <cell r="K60">
            <v>9</v>
          </cell>
          <cell r="O60">
            <v>1.7099999999999991</v>
          </cell>
          <cell r="P60">
            <v>1.5206571858163132</v>
          </cell>
          <cell r="R60">
            <v>4.2</v>
          </cell>
        </row>
        <row r="61">
          <cell r="C61">
            <v>12.54</v>
          </cell>
          <cell r="E61">
            <v>14.29</v>
          </cell>
          <cell r="G61">
            <v>13</v>
          </cell>
          <cell r="K61">
            <v>9</v>
          </cell>
          <cell r="O61">
            <v>1.75</v>
          </cell>
          <cell r="P61">
            <v>1.5206571858163132</v>
          </cell>
          <cell r="R61">
            <v>4.3</v>
          </cell>
        </row>
        <row r="62">
          <cell r="C62">
            <v>12.29</v>
          </cell>
          <cell r="E62">
            <v>14.04</v>
          </cell>
          <cell r="G62">
            <v>12.97</v>
          </cell>
          <cell r="K62">
            <v>9</v>
          </cell>
          <cell r="O62">
            <v>1.75</v>
          </cell>
          <cell r="P62">
            <v>1.5206571858163132</v>
          </cell>
          <cell r="R62">
            <v>4.3</v>
          </cell>
        </row>
        <row r="63">
          <cell r="C63">
            <v>11.98</v>
          </cell>
          <cell r="E63">
            <v>13.68</v>
          </cell>
          <cell r="G63">
            <v>12.58</v>
          </cell>
          <cell r="K63">
            <v>9</v>
          </cell>
          <cell r="O63">
            <v>1.6999999999999993</v>
          </cell>
          <cell r="P63">
            <v>1.5206571858163132</v>
          </cell>
          <cell r="R63">
            <v>4.3</v>
          </cell>
        </row>
        <row r="64">
          <cell r="C64">
            <v>11.56</v>
          </cell>
          <cell r="E64">
            <v>13.15</v>
          </cell>
          <cell r="G64">
            <v>11.77</v>
          </cell>
          <cell r="K64">
            <v>8.5</v>
          </cell>
          <cell r="O64">
            <v>1.5899999999999999</v>
          </cell>
          <cell r="P64">
            <v>1.5206571858163132</v>
          </cell>
          <cell r="R64">
            <v>4.0999999999999996</v>
          </cell>
        </row>
        <row r="65">
          <cell r="C65">
            <v>11.52</v>
          </cell>
          <cell r="E65">
            <v>12.96</v>
          </cell>
          <cell r="G65">
            <v>11.06</v>
          </cell>
          <cell r="K65">
            <v>8</v>
          </cell>
          <cell r="O65">
            <v>1.4400000000000013</v>
          </cell>
          <cell r="P65">
            <v>1.5206571858163132</v>
          </cell>
          <cell r="R65">
            <v>3.9</v>
          </cell>
        </row>
        <row r="66">
          <cell r="B66" t="str">
            <v>85</v>
          </cell>
          <cell r="C66">
            <v>11.45</v>
          </cell>
          <cell r="E66">
            <v>12.88</v>
          </cell>
          <cell r="G66">
            <v>10.61</v>
          </cell>
          <cell r="K66">
            <v>8</v>
          </cell>
          <cell r="O66">
            <v>1.4300000000000015</v>
          </cell>
          <cell r="P66">
            <v>1.5206571858163132</v>
          </cell>
          <cell r="R66">
            <v>3.5</v>
          </cell>
        </row>
        <row r="67">
          <cell r="C67">
            <v>11.47</v>
          </cell>
          <cell r="E67">
            <v>13</v>
          </cell>
          <cell r="G67">
            <v>10.5</v>
          </cell>
          <cell r="K67">
            <v>8</v>
          </cell>
          <cell r="O67">
            <v>1.5299999999999994</v>
          </cell>
          <cell r="P67">
            <v>1.5206571858163132</v>
          </cell>
          <cell r="R67">
            <v>3.5</v>
          </cell>
        </row>
        <row r="68">
          <cell r="C68">
            <v>11.81</v>
          </cell>
          <cell r="E68">
            <v>13.66</v>
          </cell>
          <cell r="G68">
            <v>10.5</v>
          </cell>
          <cell r="K68">
            <v>8</v>
          </cell>
          <cell r="O68">
            <v>1.8499999999999996</v>
          </cell>
          <cell r="P68">
            <v>1.5206571858163132</v>
          </cell>
          <cell r="R68">
            <v>3.7</v>
          </cell>
        </row>
        <row r="69">
          <cell r="C69">
            <v>11.47</v>
          </cell>
          <cell r="E69">
            <v>13.42</v>
          </cell>
          <cell r="G69">
            <v>10.5</v>
          </cell>
          <cell r="K69">
            <v>8</v>
          </cell>
          <cell r="O69">
            <v>1.9499999999999993</v>
          </cell>
          <cell r="P69">
            <v>1.5206571858163132</v>
          </cell>
          <cell r="R69">
            <v>3.7</v>
          </cell>
        </row>
        <row r="70">
          <cell r="C70">
            <v>11.05</v>
          </cell>
          <cell r="E70">
            <v>12.89</v>
          </cell>
          <cell r="G70">
            <v>10.31</v>
          </cell>
          <cell r="K70">
            <v>7.5</v>
          </cell>
          <cell r="O70">
            <v>1.8399999999999999</v>
          </cell>
          <cell r="P70">
            <v>1.5206571858163132</v>
          </cell>
          <cell r="R70">
            <v>3.8</v>
          </cell>
        </row>
        <row r="71">
          <cell r="C71">
            <v>10.44</v>
          </cell>
          <cell r="E71">
            <v>11.91</v>
          </cell>
          <cell r="G71">
            <v>9.7799999999999994</v>
          </cell>
          <cell r="K71">
            <v>7.5</v>
          </cell>
          <cell r="O71">
            <v>1.4700000000000006</v>
          </cell>
          <cell r="P71">
            <v>1.5206571858163132</v>
          </cell>
          <cell r="R71">
            <v>3.8</v>
          </cell>
        </row>
        <row r="72">
          <cell r="C72">
            <v>10.5</v>
          </cell>
          <cell r="E72">
            <v>11.88</v>
          </cell>
          <cell r="G72">
            <v>9.5</v>
          </cell>
          <cell r="K72">
            <v>7.5</v>
          </cell>
          <cell r="O72">
            <v>1.3800000000000008</v>
          </cell>
          <cell r="P72">
            <v>1.5206571858163132</v>
          </cell>
          <cell r="R72">
            <v>3.6</v>
          </cell>
        </row>
        <row r="73">
          <cell r="C73">
            <v>10.56</v>
          </cell>
          <cell r="E73">
            <v>11.93</v>
          </cell>
          <cell r="G73">
            <v>9.5</v>
          </cell>
          <cell r="K73">
            <v>7.5</v>
          </cell>
          <cell r="O73">
            <v>1.3699999999999992</v>
          </cell>
          <cell r="P73">
            <v>1.5206571858163132</v>
          </cell>
          <cell r="R73">
            <v>3.3</v>
          </cell>
        </row>
        <row r="74">
          <cell r="C74">
            <v>10.61</v>
          </cell>
          <cell r="E74">
            <v>11.95</v>
          </cell>
          <cell r="G74">
            <v>9.5</v>
          </cell>
          <cell r="K74">
            <v>7.5</v>
          </cell>
          <cell r="O74">
            <v>1.3399999999999999</v>
          </cell>
          <cell r="P74">
            <v>1.5206571858163132</v>
          </cell>
          <cell r="R74">
            <v>3.1</v>
          </cell>
        </row>
        <row r="75">
          <cell r="C75">
            <v>10.5</v>
          </cell>
          <cell r="E75">
            <v>11.84</v>
          </cell>
          <cell r="G75">
            <v>9.5</v>
          </cell>
          <cell r="K75">
            <v>7.5</v>
          </cell>
          <cell r="O75">
            <v>1.3399999999999999</v>
          </cell>
          <cell r="P75">
            <v>1.5206571858163132</v>
          </cell>
          <cell r="R75">
            <v>3.2</v>
          </cell>
        </row>
        <row r="76">
          <cell r="C76">
            <v>10.06</v>
          </cell>
          <cell r="E76">
            <v>11.33</v>
          </cell>
          <cell r="G76">
            <v>9.5</v>
          </cell>
          <cell r="K76">
            <v>7.5</v>
          </cell>
          <cell r="O76">
            <v>1.2699999999999996</v>
          </cell>
          <cell r="P76">
            <v>1.5206571858163132</v>
          </cell>
          <cell r="R76">
            <v>3.5</v>
          </cell>
        </row>
        <row r="77">
          <cell r="C77">
            <v>9.5399999999999991</v>
          </cell>
          <cell r="E77">
            <v>10.82</v>
          </cell>
          <cell r="G77">
            <v>9.5</v>
          </cell>
          <cell r="K77">
            <v>7.5</v>
          </cell>
          <cell r="O77">
            <v>1.2800000000000011</v>
          </cell>
          <cell r="P77">
            <v>1.5206571858163132</v>
          </cell>
          <cell r="R77">
            <v>3.8</v>
          </cell>
        </row>
        <row r="78">
          <cell r="B78" t="str">
            <v>86</v>
          </cell>
          <cell r="C78">
            <v>9.4</v>
          </cell>
          <cell r="E78">
            <v>10.66</v>
          </cell>
          <cell r="G78">
            <v>9.5</v>
          </cell>
          <cell r="K78">
            <v>7.5</v>
          </cell>
          <cell r="O78">
            <v>1.2599999999999998</v>
          </cell>
          <cell r="P78">
            <v>1.5206571858163132</v>
          </cell>
          <cell r="R78">
            <v>3.9</v>
          </cell>
        </row>
        <row r="79">
          <cell r="C79">
            <v>8.93</v>
          </cell>
          <cell r="E79">
            <v>10.16</v>
          </cell>
          <cell r="G79">
            <v>9.5</v>
          </cell>
          <cell r="K79">
            <v>7.5</v>
          </cell>
          <cell r="O79">
            <v>1.2300000000000004</v>
          </cell>
          <cell r="P79">
            <v>1.5206571858163132</v>
          </cell>
          <cell r="R79">
            <v>3.1</v>
          </cell>
        </row>
        <row r="80">
          <cell r="C80">
            <v>7.96</v>
          </cell>
          <cell r="E80">
            <v>9.33</v>
          </cell>
          <cell r="G80">
            <v>9.1</v>
          </cell>
          <cell r="K80">
            <v>7</v>
          </cell>
          <cell r="O80">
            <v>1.37</v>
          </cell>
          <cell r="P80">
            <v>1.5206571858163132</v>
          </cell>
          <cell r="R80">
            <v>2.2999999999999998</v>
          </cell>
        </row>
        <row r="81">
          <cell r="C81">
            <v>7.39</v>
          </cell>
          <cell r="E81">
            <v>9.02</v>
          </cell>
          <cell r="G81">
            <v>8.83</v>
          </cell>
          <cell r="K81">
            <v>6.5</v>
          </cell>
          <cell r="O81">
            <v>1.63</v>
          </cell>
          <cell r="P81">
            <v>1.5206571858163132</v>
          </cell>
          <cell r="R81">
            <v>1.6</v>
          </cell>
        </row>
        <row r="82">
          <cell r="C82">
            <v>7.52</v>
          </cell>
          <cell r="E82">
            <v>9.52</v>
          </cell>
          <cell r="G82">
            <v>8.5</v>
          </cell>
          <cell r="K82">
            <v>6.5</v>
          </cell>
          <cell r="O82">
            <v>2</v>
          </cell>
          <cell r="P82">
            <v>1.5206571858163132</v>
          </cell>
          <cell r="R82">
            <v>1.5</v>
          </cell>
        </row>
        <row r="83">
          <cell r="C83">
            <v>7.57</v>
          </cell>
          <cell r="E83">
            <v>9.51</v>
          </cell>
          <cell r="G83">
            <v>8.5</v>
          </cell>
          <cell r="K83">
            <v>6.5</v>
          </cell>
          <cell r="O83">
            <v>1.9399999999999995</v>
          </cell>
          <cell r="P83">
            <v>1.5206571858163132</v>
          </cell>
          <cell r="R83">
            <v>1.8</v>
          </cell>
        </row>
        <row r="84">
          <cell r="C84">
            <v>7.27</v>
          </cell>
          <cell r="E84">
            <v>9.19</v>
          </cell>
          <cell r="G84">
            <v>8.16</v>
          </cell>
          <cell r="K84">
            <v>6</v>
          </cell>
          <cell r="O84">
            <v>1.92</v>
          </cell>
          <cell r="P84">
            <v>1.5206571858163132</v>
          </cell>
          <cell r="R84">
            <v>1.6</v>
          </cell>
        </row>
        <row r="85">
          <cell r="C85">
            <v>7.33</v>
          </cell>
          <cell r="E85">
            <v>9.15</v>
          </cell>
          <cell r="G85">
            <v>7.9</v>
          </cell>
          <cell r="K85">
            <v>5.5</v>
          </cell>
          <cell r="O85">
            <v>1.8200000000000003</v>
          </cell>
          <cell r="P85">
            <v>1.5206571858163132</v>
          </cell>
          <cell r="R85">
            <v>1.6</v>
          </cell>
        </row>
        <row r="86">
          <cell r="C86">
            <v>7.62</v>
          </cell>
          <cell r="E86">
            <v>9.42</v>
          </cell>
          <cell r="G86">
            <v>7.5</v>
          </cell>
          <cell r="K86">
            <v>5.5</v>
          </cell>
          <cell r="O86">
            <v>1.7999999999999998</v>
          </cell>
          <cell r="P86">
            <v>1.5206571858163132</v>
          </cell>
          <cell r="R86">
            <v>1.8</v>
          </cell>
        </row>
        <row r="87">
          <cell r="C87">
            <v>7.7</v>
          </cell>
          <cell r="E87">
            <v>9.39</v>
          </cell>
          <cell r="G87">
            <v>7.5</v>
          </cell>
          <cell r="K87">
            <v>5.5</v>
          </cell>
          <cell r="O87">
            <v>1.6900000000000004</v>
          </cell>
          <cell r="P87">
            <v>1.5206571858163132</v>
          </cell>
          <cell r="R87">
            <v>1.5</v>
          </cell>
        </row>
        <row r="88">
          <cell r="C88">
            <v>7.52</v>
          </cell>
          <cell r="E88">
            <v>9.15</v>
          </cell>
          <cell r="G88">
            <v>7.5</v>
          </cell>
          <cell r="K88">
            <v>5.5</v>
          </cell>
          <cell r="O88">
            <v>1.6300000000000008</v>
          </cell>
          <cell r="P88">
            <v>1.5206571858163132</v>
          </cell>
          <cell r="R88">
            <v>1.3</v>
          </cell>
        </row>
        <row r="89">
          <cell r="C89">
            <v>7.37</v>
          </cell>
          <cell r="E89">
            <v>8.9600000000000009</v>
          </cell>
          <cell r="G89">
            <v>7.5</v>
          </cell>
          <cell r="K89">
            <v>5.5</v>
          </cell>
          <cell r="O89">
            <v>1.5900000000000007</v>
          </cell>
          <cell r="P89">
            <v>1.5206571858163132</v>
          </cell>
          <cell r="R89">
            <v>1.1000000000000001</v>
          </cell>
        </row>
        <row r="90">
          <cell r="B90">
            <v>87</v>
          </cell>
          <cell r="C90">
            <v>7.39</v>
          </cell>
          <cell r="E90">
            <v>8.77</v>
          </cell>
          <cell r="G90">
            <v>7.5</v>
          </cell>
          <cell r="K90">
            <v>5.5</v>
          </cell>
          <cell r="O90">
            <v>1.38</v>
          </cell>
          <cell r="P90">
            <v>1.5206571858163132</v>
          </cell>
          <cell r="R90">
            <v>1.5</v>
          </cell>
        </row>
        <row r="91">
          <cell r="C91">
            <v>7.54</v>
          </cell>
          <cell r="E91">
            <v>8.81</v>
          </cell>
          <cell r="G91">
            <v>7.5</v>
          </cell>
          <cell r="K91">
            <v>5.5</v>
          </cell>
          <cell r="O91">
            <v>1.2700000000000005</v>
          </cell>
          <cell r="P91">
            <v>1.5206571858163132</v>
          </cell>
          <cell r="R91">
            <v>2.1</v>
          </cell>
        </row>
        <row r="92">
          <cell r="C92">
            <v>7.55</v>
          </cell>
          <cell r="E92">
            <v>8.75</v>
          </cell>
          <cell r="G92">
            <v>7.5</v>
          </cell>
          <cell r="K92">
            <v>5.5</v>
          </cell>
          <cell r="O92">
            <v>1.2000000000000002</v>
          </cell>
          <cell r="P92">
            <v>1.5206571858163132</v>
          </cell>
          <cell r="R92">
            <v>3</v>
          </cell>
        </row>
        <row r="93">
          <cell r="C93">
            <v>8.25</v>
          </cell>
          <cell r="E93">
            <v>9.3000000000000007</v>
          </cell>
          <cell r="G93">
            <v>7.75</v>
          </cell>
          <cell r="K93">
            <v>5.5</v>
          </cell>
          <cell r="O93">
            <v>1.0500000000000007</v>
          </cell>
          <cell r="P93">
            <v>1.5206571858163132</v>
          </cell>
          <cell r="R93">
            <v>3.8</v>
          </cell>
        </row>
        <row r="94">
          <cell r="C94">
            <v>8.7799999999999994</v>
          </cell>
          <cell r="E94">
            <v>9.82</v>
          </cell>
          <cell r="G94">
            <v>8.14</v>
          </cell>
          <cell r="K94">
            <v>5.5</v>
          </cell>
          <cell r="O94">
            <v>1.0400000000000009</v>
          </cell>
          <cell r="P94">
            <v>1.5206571858163132</v>
          </cell>
          <cell r="R94">
            <v>3.9</v>
          </cell>
        </row>
        <row r="95">
          <cell r="C95">
            <v>8.57</v>
          </cell>
          <cell r="E95">
            <v>9.8699999999999992</v>
          </cell>
          <cell r="G95">
            <v>8.25</v>
          </cell>
          <cell r="K95">
            <v>5.5</v>
          </cell>
          <cell r="O95">
            <v>1.2999999999999989</v>
          </cell>
          <cell r="P95">
            <v>1.5206571858163132</v>
          </cell>
          <cell r="R95">
            <v>3.7</v>
          </cell>
        </row>
        <row r="96">
          <cell r="C96">
            <v>8.64</v>
          </cell>
          <cell r="E96">
            <v>10.01</v>
          </cell>
          <cell r="G96">
            <v>8.25</v>
          </cell>
          <cell r="K96">
            <v>5.5</v>
          </cell>
          <cell r="O96">
            <v>1.3699999999999992</v>
          </cell>
          <cell r="P96">
            <v>1.5206571858163132</v>
          </cell>
          <cell r="R96">
            <v>3.9</v>
          </cell>
        </row>
        <row r="97">
          <cell r="C97">
            <v>8.9700000000000006</v>
          </cell>
          <cell r="E97">
            <v>10.33</v>
          </cell>
          <cell r="G97">
            <v>8.25</v>
          </cell>
          <cell r="K97">
            <v>5.5</v>
          </cell>
          <cell r="O97">
            <v>1.3599999999999994</v>
          </cell>
          <cell r="P97">
            <v>1.5206571858163132</v>
          </cell>
          <cell r="R97">
            <v>4.3</v>
          </cell>
        </row>
        <row r="98">
          <cell r="C98">
            <v>9.59</v>
          </cell>
          <cell r="E98">
            <v>11</v>
          </cell>
          <cell r="G98">
            <v>8.6999999999999993</v>
          </cell>
          <cell r="K98">
            <v>6</v>
          </cell>
          <cell r="O98">
            <v>1.4100000000000001</v>
          </cell>
          <cell r="P98">
            <v>1.5206571858163132</v>
          </cell>
          <cell r="R98">
            <v>4.4000000000000004</v>
          </cell>
        </row>
        <row r="99">
          <cell r="C99">
            <v>9.61</v>
          </cell>
          <cell r="E99">
            <v>11.32</v>
          </cell>
          <cell r="G99">
            <v>9.07</v>
          </cell>
          <cell r="K99">
            <v>6</v>
          </cell>
          <cell r="O99">
            <v>1.7100000000000009</v>
          </cell>
          <cell r="P99">
            <v>1.5206571858163132</v>
          </cell>
          <cell r="R99">
            <v>4.5</v>
          </cell>
        </row>
        <row r="100">
          <cell r="C100">
            <v>8.9499999999999993</v>
          </cell>
          <cell r="E100">
            <v>10.82</v>
          </cell>
          <cell r="G100">
            <v>8.7799999999999994</v>
          </cell>
          <cell r="K100">
            <v>6</v>
          </cell>
          <cell r="O100">
            <v>1.870000000000001</v>
          </cell>
          <cell r="P100">
            <v>1.5206571858163132</v>
          </cell>
          <cell r="R100">
            <v>4.5</v>
          </cell>
        </row>
        <row r="101">
          <cell r="C101">
            <v>9.1199999999999992</v>
          </cell>
          <cell r="E101">
            <v>10.99</v>
          </cell>
          <cell r="G101">
            <v>8.75</v>
          </cell>
          <cell r="K101">
            <v>6</v>
          </cell>
          <cell r="O101">
            <v>1.870000000000001</v>
          </cell>
          <cell r="P101">
            <v>1.5206571858163132</v>
          </cell>
          <cell r="R101">
            <v>4.4000000000000004</v>
          </cell>
        </row>
        <row r="102">
          <cell r="B102" t="str">
            <v>88</v>
          </cell>
          <cell r="C102">
            <v>8.83</v>
          </cell>
          <cell r="E102">
            <v>10.75</v>
          </cell>
          <cell r="G102">
            <v>8.75</v>
          </cell>
          <cell r="K102">
            <v>6</v>
          </cell>
          <cell r="O102">
            <v>1.92</v>
          </cell>
          <cell r="P102">
            <v>1.5206571858163132</v>
          </cell>
          <cell r="R102">
            <v>4</v>
          </cell>
        </row>
        <row r="103">
          <cell r="C103">
            <v>8.43</v>
          </cell>
          <cell r="E103">
            <v>10.11</v>
          </cell>
          <cell r="G103">
            <v>8.51</v>
          </cell>
          <cell r="K103">
            <v>6</v>
          </cell>
          <cell r="O103">
            <v>1.6799999999999997</v>
          </cell>
          <cell r="P103">
            <v>1.5206571858163132</v>
          </cell>
          <cell r="R103">
            <v>3.9</v>
          </cell>
        </row>
        <row r="104">
          <cell r="C104">
            <v>8.6300000000000008</v>
          </cell>
          <cell r="E104">
            <v>10.11</v>
          </cell>
          <cell r="G104">
            <v>8.5</v>
          </cell>
          <cell r="K104">
            <v>6</v>
          </cell>
          <cell r="O104">
            <v>1.4799999999999986</v>
          </cell>
          <cell r="P104">
            <v>1.5206571858163132</v>
          </cell>
          <cell r="R104">
            <v>3.9</v>
          </cell>
        </row>
        <row r="105">
          <cell r="C105">
            <v>8.9499999999999993</v>
          </cell>
          <cell r="E105">
            <v>10.53</v>
          </cell>
          <cell r="G105">
            <v>8.5</v>
          </cell>
          <cell r="K105">
            <v>6</v>
          </cell>
          <cell r="O105">
            <v>1.58</v>
          </cell>
          <cell r="P105">
            <v>1.5206571858163132</v>
          </cell>
          <cell r="R105">
            <v>3.9</v>
          </cell>
        </row>
        <row r="106">
          <cell r="C106">
            <v>9.23</v>
          </cell>
          <cell r="E106">
            <v>10.75</v>
          </cell>
          <cell r="G106">
            <v>8.84</v>
          </cell>
          <cell r="K106">
            <v>6</v>
          </cell>
          <cell r="O106">
            <v>1.5199999999999996</v>
          </cell>
          <cell r="P106">
            <v>1.5206571858163132</v>
          </cell>
          <cell r="R106">
            <v>3.9</v>
          </cell>
        </row>
        <row r="107">
          <cell r="C107">
            <v>9</v>
          </cell>
          <cell r="E107">
            <v>10.71</v>
          </cell>
          <cell r="G107">
            <v>9</v>
          </cell>
          <cell r="K107">
            <v>6</v>
          </cell>
          <cell r="O107">
            <v>1.7100000000000009</v>
          </cell>
          <cell r="P107">
            <v>1.5206571858163132</v>
          </cell>
          <cell r="R107">
            <v>4</v>
          </cell>
        </row>
        <row r="108">
          <cell r="C108">
            <v>9.14</v>
          </cell>
          <cell r="E108">
            <v>10.96</v>
          </cell>
          <cell r="G108">
            <v>9.2899999999999991</v>
          </cell>
          <cell r="K108">
            <v>6</v>
          </cell>
          <cell r="O108">
            <v>1.8200000000000003</v>
          </cell>
          <cell r="P108">
            <v>1.5206571858163132</v>
          </cell>
          <cell r="R108">
            <v>4.0999999999999996</v>
          </cell>
        </row>
        <row r="109">
          <cell r="C109">
            <v>9.32</v>
          </cell>
          <cell r="E109">
            <v>11.09</v>
          </cell>
          <cell r="G109">
            <v>9.84</v>
          </cell>
          <cell r="K109">
            <v>6.5</v>
          </cell>
          <cell r="O109">
            <v>1.7699999999999996</v>
          </cell>
          <cell r="P109">
            <v>1.5206571858163132</v>
          </cell>
          <cell r="R109">
            <v>4</v>
          </cell>
        </row>
        <row r="110">
          <cell r="C110">
            <v>9.06</v>
          </cell>
          <cell r="E110">
            <v>10.56</v>
          </cell>
          <cell r="G110">
            <v>10</v>
          </cell>
          <cell r="K110">
            <v>6.5</v>
          </cell>
          <cell r="O110">
            <v>1.5</v>
          </cell>
          <cell r="P110">
            <v>1.5206571858163132</v>
          </cell>
          <cell r="R110">
            <v>4.2</v>
          </cell>
        </row>
        <row r="111">
          <cell r="C111">
            <v>8.89</v>
          </cell>
          <cell r="E111">
            <v>9.92</v>
          </cell>
          <cell r="G111">
            <v>10</v>
          </cell>
          <cell r="K111">
            <v>6.5</v>
          </cell>
          <cell r="O111">
            <v>1.0299999999999994</v>
          </cell>
          <cell r="P111">
            <v>1.5206571858163132</v>
          </cell>
          <cell r="R111">
            <v>4.2</v>
          </cell>
        </row>
        <row r="112">
          <cell r="C112">
            <v>9.02</v>
          </cell>
          <cell r="E112">
            <v>9.89</v>
          </cell>
          <cell r="G112">
            <v>10.050000000000001</v>
          </cell>
          <cell r="K112">
            <v>6.5</v>
          </cell>
          <cell r="O112">
            <v>0.87000000000000099</v>
          </cell>
          <cell r="P112">
            <v>1.5206571858163132</v>
          </cell>
          <cell r="R112">
            <v>4.2</v>
          </cell>
        </row>
        <row r="113">
          <cell r="C113">
            <v>9.01</v>
          </cell>
          <cell r="E113">
            <v>10.02</v>
          </cell>
          <cell r="G113">
            <v>10.5</v>
          </cell>
          <cell r="K113">
            <v>6.5</v>
          </cell>
          <cell r="O113">
            <v>1.0099999999999998</v>
          </cell>
          <cell r="P113">
            <v>1.5206571858163132</v>
          </cell>
          <cell r="R113">
            <v>4.4000000000000004</v>
          </cell>
        </row>
        <row r="114">
          <cell r="B114" t="str">
            <v>89</v>
          </cell>
          <cell r="C114">
            <v>8.93</v>
          </cell>
          <cell r="E114">
            <v>10.02</v>
          </cell>
          <cell r="G114">
            <v>10.5</v>
          </cell>
          <cell r="K114">
            <v>6.5</v>
          </cell>
          <cell r="O114">
            <v>1.0899999999999999</v>
          </cell>
          <cell r="P114">
            <v>1.5206571858163132</v>
          </cell>
          <cell r="R114">
            <v>4.7</v>
          </cell>
        </row>
        <row r="115">
          <cell r="C115">
            <v>9.01</v>
          </cell>
          <cell r="E115">
            <v>10.02</v>
          </cell>
          <cell r="G115">
            <v>10.93</v>
          </cell>
          <cell r="K115">
            <v>7</v>
          </cell>
          <cell r="O115">
            <v>1.0099999999999998</v>
          </cell>
          <cell r="P115">
            <v>1.5206571858163132</v>
          </cell>
          <cell r="R115">
            <v>4.8</v>
          </cell>
        </row>
        <row r="116">
          <cell r="C116">
            <v>9.17</v>
          </cell>
          <cell r="E116">
            <v>10.16</v>
          </cell>
          <cell r="G116">
            <v>11.5</v>
          </cell>
          <cell r="K116">
            <v>7</v>
          </cell>
          <cell r="O116">
            <v>0.99000000000000021</v>
          </cell>
          <cell r="P116">
            <v>1.5206571858163132</v>
          </cell>
          <cell r="R116">
            <v>5</v>
          </cell>
        </row>
        <row r="117">
          <cell r="C117">
            <v>9.0299999999999994</v>
          </cell>
          <cell r="E117">
            <v>10.14</v>
          </cell>
          <cell r="G117">
            <v>11.5</v>
          </cell>
          <cell r="K117">
            <v>7</v>
          </cell>
          <cell r="O117">
            <v>1.1100000000000012</v>
          </cell>
          <cell r="P117">
            <v>1.5206571858163132</v>
          </cell>
          <cell r="R117">
            <v>5.0999999999999996</v>
          </cell>
        </row>
        <row r="118">
          <cell r="C118">
            <v>8.83</v>
          </cell>
          <cell r="E118">
            <v>9.92</v>
          </cell>
          <cell r="G118">
            <v>11.5</v>
          </cell>
          <cell r="K118">
            <v>7</v>
          </cell>
          <cell r="O118">
            <v>1.0899999999999999</v>
          </cell>
          <cell r="P118">
            <v>1.5206571858163132</v>
          </cell>
          <cell r="R118">
            <v>5.4</v>
          </cell>
        </row>
        <row r="119">
          <cell r="C119">
            <v>8.27</v>
          </cell>
          <cell r="E119">
            <v>9.49</v>
          </cell>
          <cell r="G119">
            <v>11.07</v>
          </cell>
          <cell r="K119">
            <v>7</v>
          </cell>
          <cell r="O119">
            <v>1.2200000000000006</v>
          </cell>
          <cell r="P119">
            <v>1.5206571858163132</v>
          </cell>
          <cell r="R119">
            <v>5.2</v>
          </cell>
        </row>
        <row r="120">
          <cell r="C120">
            <v>8.08</v>
          </cell>
          <cell r="E120">
            <v>9.34</v>
          </cell>
          <cell r="G120">
            <v>10.98</v>
          </cell>
          <cell r="K120">
            <v>7</v>
          </cell>
          <cell r="O120">
            <v>1.2599999999999998</v>
          </cell>
          <cell r="P120">
            <v>1.5206571858163132</v>
          </cell>
          <cell r="R120">
            <v>5</v>
          </cell>
        </row>
        <row r="121">
          <cell r="C121">
            <v>8.1199999999999992</v>
          </cell>
          <cell r="E121">
            <v>9.3699999999999992</v>
          </cell>
          <cell r="G121">
            <v>10.5</v>
          </cell>
          <cell r="K121">
            <v>7</v>
          </cell>
          <cell r="O121">
            <v>1.25</v>
          </cell>
          <cell r="P121">
            <v>1.5206571858163132</v>
          </cell>
          <cell r="R121">
            <v>4.7</v>
          </cell>
        </row>
        <row r="122">
          <cell r="C122">
            <v>8.15</v>
          </cell>
          <cell r="E122">
            <v>9.43</v>
          </cell>
          <cell r="G122">
            <v>10.5</v>
          </cell>
          <cell r="K122">
            <v>7</v>
          </cell>
          <cell r="O122">
            <v>1.2799999999999994</v>
          </cell>
          <cell r="P122">
            <v>1.5206571858163132</v>
          </cell>
          <cell r="R122">
            <v>4.3</v>
          </cell>
        </row>
        <row r="123">
          <cell r="C123">
            <v>8</v>
          </cell>
          <cell r="E123">
            <v>9.3699999999999992</v>
          </cell>
          <cell r="G123">
            <v>10.5</v>
          </cell>
          <cell r="K123">
            <v>7</v>
          </cell>
          <cell r="O123">
            <v>1.3699999999999992</v>
          </cell>
          <cell r="P123">
            <v>1.5206571858163132</v>
          </cell>
          <cell r="R123">
            <v>4.5</v>
          </cell>
        </row>
        <row r="124">
          <cell r="C124">
            <v>7.9</v>
          </cell>
          <cell r="E124">
            <v>9.33</v>
          </cell>
          <cell r="G124">
            <v>10.5</v>
          </cell>
          <cell r="K124">
            <v>7</v>
          </cell>
          <cell r="O124">
            <v>1.4299999999999997</v>
          </cell>
          <cell r="P124">
            <v>1.5206571858163132</v>
          </cell>
          <cell r="R124">
            <v>4.7</v>
          </cell>
        </row>
        <row r="125">
          <cell r="C125">
            <v>7.9</v>
          </cell>
          <cell r="E125">
            <v>9.31</v>
          </cell>
          <cell r="G125">
            <v>10.5</v>
          </cell>
          <cell r="K125">
            <v>7</v>
          </cell>
          <cell r="O125">
            <v>1.4100000000000001</v>
          </cell>
          <cell r="P125">
            <v>1.5206571858163132</v>
          </cell>
          <cell r="R125">
            <v>4.5999999999999996</v>
          </cell>
        </row>
        <row r="126">
          <cell r="B126" t="str">
            <v>90</v>
          </cell>
          <cell r="C126">
            <v>8.26</v>
          </cell>
          <cell r="E126">
            <v>9.44</v>
          </cell>
          <cell r="G126">
            <v>10.11</v>
          </cell>
          <cell r="K126">
            <v>7</v>
          </cell>
          <cell r="O126">
            <v>1.1799999999999997</v>
          </cell>
          <cell r="P126">
            <v>1.5206571858163132</v>
          </cell>
          <cell r="R126">
            <v>5.2</v>
          </cell>
        </row>
        <row r="127">
          <cell r="C127">
            <v>8.5</v>
          </cell>
          <cell r="E127">
            <v>9.66</v>
          </cell>
          <cell r="G127">
            <v>10</v>
          </cell>
          <cell r="K127">
            <v>7</v>
          </cell>
          <cell r="O127">
            <v>1.1600000000000001</v>
          </cell>
          <cell r="P127">
            <v>1.5206571858163132</v>
          </cell>
          <cell r="R127">
            <v>5.3</v>
          </cell>
        </row>
        <row r="128">
          <cell r="C128">
            <v>8.56</v>
          </cell>
          <cell r="E128">
            <v>9.75</v>
          </cell>
          <cell r="G128">
            <v>10</v>
          </cell>
          <cell r="K128">
            <v>7</v>
          </cell>
          <cell r="O128">
            <v>1.1899999999999995</v>
          </cell>
          <cell r="P128">
            <v>1.5206571858163132</v>
          </cell>
          <cell r="R128">
            <v>5.2</v>
          </cell>
        </row>
        <row r="129">
          <cell r="C129">
            <v>8.76</v>
          </cell>
          <cell r="E129">
            <v>9.8699999999999992</v>
          </cell>
          <cell r="G129">
            <v>10</v>
          </cell>
          <cell r="K129">
            <v>7</v>
          </cell>
          <cell r="O129">
            <v>1.1099999999999994</v>
          </cell>
          <cell r="P129">
            <v>1.5206571858163132</v>
          </cell>
          <cell r="R129">
            <v>4.7</v>
          </cell>
        </row>
        <row r="130">
          <cell r="C130">
            <v>8.73</v>
          </cell>
          <cell r="E130">
            <v>9.89</v>
          </cell>
          <cell r="G130">
            <v>10</v>
          </cell>
          <cell r="K130">
            <v>7</v>
          </cell>
          <cell r="O130">
            <v>1.1600000000000001</v>
          </cell>
          <cell r="P130">
            <v>1.5206571858163132</v>
          </cell>
          <cell r="R130">
            <v>4.4000000000000004</v>
          </cell>
        </row>
        <row r="131">
          <cell r="C131">
            <v>8.4600000000000009</v>
          </cell>
          <cell r="E131">
            <v>9.69</v>
          </cell>
          <cell r="G131">
            <v>10</v>
          </cell>
          <cell r="K131">
            <v>7</v>
          </cell>
          <cell r="O131">
            <v>1.2299999999999986</v>
          </cell>
          <cell r="P131">
            <v>1.5206571858163132</v>
          </cell>
          <cell r="R131">
            <v>4.7</v>
          </cell>
        </row>
        <row r="132">
          <cell r="C132">
            <v>8.5</v>
          </cell>
          <cell r="E132">
            <v>9.66</v>
          </cell>
          <cell r="G132">
            <v>10</v>
          </cell>
          <cell r="K132">
            <v>7</v>
          </cell>
          <cell r="O132">
            <v>1.1600000000000001</v>
          </cell>
          <cell r="P132">
            <v>1.5206571858163132</v>
          </cell>
          <cell r="R132">
            <v>4.8</v>
          </cell>
        </row>
        <row r="133">
          <cell r="C133">
            <v>8.86</v>
          </cell>
          <cell r="E133">
            <v>9.84</v>
          </cell>
          <cell r="G133">
            <v>10</v>
          </cell>
          <cell r="K133">
            <v>7</v>
          </cell>
          <cell r="O133">
            <v>0.98000000000000043</v>
          </cell>
          <cell r="P133">
            <v>1.5206571858163132</v>
          </cell>
          <cell r="R133">
            <v>5.6</v>
          </cell>
        </row>
        <row r="134">
          <cell r="C134">
            <v>9.0299999999999994</v>
          </cell>
          <cell r="E134">
            <v>10.01</v>
          </cell>
          <cell r="G134">
            <v>10</v>
          </cell>
          <cell r="K134">
            <v>7</v>
          </cell>
          <cell r="O134">
            <v>0.98000000000000043</v>
          </cell>
          <cell r="P134">
            <v>1.5206571858163132</v>
          </cell>
          <cell r="R134">
            <v>6.2</v>
          </cell>
        </row>
        <row r="135">
          <cell r="C135">
            <v>8.86</v>
          </cell>
          <cell r="E135">
            <v>9.94</v>
          </cell>
          <cell r="G135">
            <v>10</v>
          </cell>
          <cell r="K135">
            <v>7</v>
          </cell>
          <cell r="O135">
            <v>1.08</v>
          </cell>
          <cell r="P135">
            <v>1.5206571858163132</v>
          </cell>
          <cell r="R135">
            <v>6.3</v>
          </cell>
        </row>
        <row r="136">
          <cell r="C136">
            <v>8.5399999999999991</v>
          </cell>
          <cell r="E136">
            <v>9.76</v>
          </cell>
          <cell r="G136">
            <v>10</v>
          </cell>
          <cell r="K136">
            <v>7</v>
          </cell>
          <cell r="O136">
            <v>1.2200000000000006</v>
          </cell>
          <cell r="P136">
            <v>1.5206571858163132</v>
          </cell>
          <cell r="R136">
            <v>6.3</v>
          </cell>
        </row>
        <row r="137">
          <cell r="C137">
            <v>8.24</v>
          </cell>
          <cell r="E137">
            <v>9.57</v>
          </cell>
          <cell r="G137">
            <v>10</v>
          </cell>
          <cell r="K137">
            <v>6.5</v>
          </cell>
          <cell r="O137">
            <v>1.33</v>
          </cell>
          <cell r="P137">
            <v>1.5206571858163132</v>
          </cell>
          <cell r="R137">
            <v>6.1</v>
          </cell>
        </row>
        <row r="138">
          <cell r="B138" t="str">
            <v>91</v>
          </cell>
          <cell r="C138">
            <v>8.27</v>
          </cell>
          <cell r="E138">
            <v>9.56</v>
          </cell>
          <cell r="G138">
            <v>9.52</v>
          </cell>
          <cell r="K138">
            <v>6.5</v>
          </cell>
          <cell r="O138">
            <v>1.2900000000000009</v>
          </cell>
          <cell r="P138">
            <v>1.5206571858163132</v>
          </cell>
          <cell r="R138">
            <v>5.7</v>
          </cell>
        </row>
        <row r="139">
          <cell r="C139">
            <v>8.0299999999999994</v>
          </cell>
          <cell r="E139">
            <v>9.31</v>
          </cell>
          <cell r="G139">
            <v>9.0500000000000007</v>
          </cell>
          <cell r="K139">
            <v>6</v>
          </cell>
          <cell r="O139">
            <v>1.2800000000000011</v>
          </cell>
          <cell r="P139">
            <v>1.5206571858163132</v>
          </cell>
          <cell r="R139">
            <v>5.3</v>
          </cell>
        </row>
        <row r="140">
          <cell r="C140">
            <v>8.2899999999999991</v>
          </cell>
          <cell r="E140">
            <v>9.39</v>
          </cell>
          <cell r="G140">
            <v>9</v>
          </cell>
          <cell r="K140">
            <v>6</v>
          </cell>
          <cell r="O140">
            <v>1.1000000000000014</v>
          </cell>
          <cell r="P140">
            <v>1.5206571858163132</v>
          </cell>
          <cell r="R140">
            <v>4.9000000000000004</v>
          </cell>
        </row>
        <row r="141">
          <cell r="C141">
            <v>8.2100000000000009</v>
          </cell>
          <cell r="E141">
            <v>9.3000000000000007</v>
          </cell>
          <cell r="G141">
            <v>9</v>
          </cell>
          <cell r="K141">
            <v>5.5</v>
          </cell>
          <cell r="O141">
            <v>1.0899999999999999</v>
          </cell>
          <cell r="P141">
            <v>1.5206571858163132</v>
          </cell>
          <cell r="R141">
            <v>4.9000000000000004</v>
          </cell>
        </row>
        <row r="142">
          <cell r="C142">
            <v>8.27</v>
          </cell>
          <cell r="E142">
            <v>9.2899999999999991</v>
          </cell>
          <cell r="G142">
            <v>8.5</v>
          </cell>
          <cell r="K142">
            <v>5.5</v>
          </cell>
          <cell r="O142">
            <v>1.0199999999999996</v>
          </cell>
          <cell r="P142">
            <v>1.5206571858163132</v>
          </cell>
          <cell r="R142">
            <v>5</v>
          </cell>
        </row>
        <row r="143">
          <cell r="C143">
            <v>8.4700000000000006</v>
          </cell>
          <cell r="E143">
            <v>9.44</v>
          </cell>
          <cell r="G143">
            <v>8.5</v>
          </cell>
          <cell r="K143">
            <v>5.5</v>
          </cell>
          <cell r="O143">
            <v>0.96999999999999886</v>
          </cell>
          <cell r="P143">
            <v>1.5206571858163132</v>
          </cell>
          <cell r="R143">
            <v>4.7</v>
          </cell>
        </row>
        <row r="144">
          <cell r="C144">
            <v>8.4499999999999993</v>
          </cell>
          <cell r="E144">
            <v>9.4</v>
          </cell>
          <cell r="G144">
            <v>8.5</v>
          </cell>
          <cell r="K144">
            <v>5.5</v>
          </cell>
          <cell r="O144">
            <v>0.95000000000000107</v>
          </cell>
          <cell r="P144">
            <v>1.5206571858163132</v>
          </cell>
          <cell r="R144">
            <v>4.4000000000000004</v>
          </cell>
        </row>
        <row r="145">
          <cell r="C145">
            <v>8.14</v>
          </cell>
          <cell r="E145">
            <v>9.16</v>
          </cell>
          <cell r="G145">
            <v>8.5</v>
          </cell>
          <cell r="K145">
            <v>5.5</v>
          </cell>
          <cell r="O145">
            <v>1.0199999999999996</v>
          </cell>
          <cell r="P145">
            <v>1.5206571858163132</v>
          </cell>
          <cell r="R145">
            <v>3.8</v>
          </cell>
        </row>
        <row r="146">
          <cell r="C146">
            <v>7.95</v>
          </cell>
          <cell r="E146">
            <v>9.0299999999999994</v>
          </cell>
          <cell r="G146">
            <v>8.1999999999999993</v>
          </cell>
          <cell r="K146">
            <v>5</v>
          </cell>
          <cell r="O146">
            <v>1.0799999999999992</v>
          </cell>
          <cell r="P146">
            <v>1.5206571858163132</v>
          </cell>
          <cell r="R146">
            <v>3.4</v>
          </cell>
        </row>
        <row r="147">
          <cell r="C147">
            <v>7.93</v>
          </cell>
          <cell r="E147">
            <v>8.99</v>
          </cell>
          <cell r="G147">
            <v>8</v>
          </cell>
          <cell r="K147">
            <v>5</v>
          </cell>
          <cell r="O147">
            <v>1.0600000000000005</v>
          </cell>
          <cell r="P147">
            <v>1.5206571858163132</v>
          </cell>
          <cell r="R147">
            <v>2.9</v>
          </cell>
        </row>
        <row r="148">
          <cell r="C148">
            <v>7.92</v>
          </cell>
          <cell r="E148">
            <v>8.93</v>
          </cell>
          <cell r="G148">
            <v>7.58</v>
          </cell>
          <cell r="K148">
            <v>5</v>
          </cell>
          <cell r="O148">
            <v>1.0099999999999998</v>
          </cell>
          <cell r="P148">
            <v>1.5206571858163132</v>
          </cell>
          <cell r="R148">
            <v>3</v>
          </cell>
        </row>
        <row r="149">
          <cell r="C149">
            <v>7.7</v>
          </cell>
          <cell r="E149">
            <v>8.76</v>
          </cell>
          <cell r="G149">
            <v>7.21</v>
          </cell>
          <cell r="K149">
            <v>4.5</v>
          </cell>
          <cell r="O149">
            <v>1.0599999999999996</v>
          </cell>
          <cell r="P149">
            <v>1.5206571858163132</v>
          </cell>
          <cell r="R149">
            <v>3.1</v>
          </cell>
        </row>
        <row r="150">
          <cell r="B150" t="str">
            <v>92</v>
          </cell>
          <cell r="C150">
            <v>7.58</v>
          </cell>
          <cell r="E150">
            <v>8.67</v>
          </cell>
          <cell r="G150">
            <v>6.5</v>
          </cell>
          <cell r="K150">
            <v>3.5</v>
          </cell>
          <cell r="O150">
            <v>1.0899999999999999</v>
          </cell>
          <cell r="P150">
            <v>1.5206571858163132</v>
          </cell>
          <cell r="R150">
            <v>2.6</v>
          </cell>
        </row>
        <row r="151">
          <cell r="C151">
            <v>7.85</v>
          </cell>
          <cell r="E151">
            <v>8.77</v>
          </cell>
          <cell r="G151">
            <v>6.5</v>
          </cell>
          <cell r="K151">
            <v>3.5</v>
          </cell>
          <cell r="O151">
            <v>0.91999999999999993</v>
          </cell>
          <cell r="P151">
            <v>1.5206571858163132</v>
          </cell>
          <cell r="R151">
            <v>2.8</v>
          </cell>
        </row>
        <row r="152">
          <cell r="C152">
            <v>7.97</v>
          </cell>
          <cell r="E152">
            <v>8.84</v>
          </cell>
          <cell r="G152">
            <v>6.5</v>
          </cell>
          <cell r="K152">
            <v>3.5</v>
          </cell>
          <cell r="O152">
            <v>0.87000000000000011</v>
          </cell>
          <cell r="P152">
            <v>1.5206571858163132</v>
          </cell>
          <cell r="R152">
            <v>3.2</v>
          </cell>
        </row>
        <row r="153">
          <cell r="C153">
            <v>7.96</v>
          </cell>
          <cell r="E153">
            <v>8.7899999999999991</v>
          </cell>
          <cell r="G153">
            <v>6.5</v>
          </cell>
          <cell r="K153">
            <v>3.5</v>
          </cell>
          <cell r="O153">
            <v>0.82999999999999918</v>
          </cell>
          <cell r="P153">
            <v>1.5206571858163132</v>
          </cell>
          <cell r="R153">
            <v>3.2</v>
          </cell>
        </row>
        <row r="154">
          <cell r="C154">
            <v>7.89</v>
          </cell>
          <cell r="E154">
            <v>8.7200000000000006</v>
          </cell>
          <cell r="G154">
            <v>6.5</v>
          </cell>
          <cell r="K154">
            <v>3.5</v>
          </cell>
          <cell r="O154">
            <v>0.83000000000000096</v>
          </cell>
          <cell r="P154">
            <v>1.5206571858163132</v>
          </cell>
          <cell r="R154">
            <v>3</v>
          </cell>
        </row>
        <row r="155">
          <cell r="C155">
            <v>7.84</v>
          </cell>
          <cell r="E155">
            <v>8.64</v>
          </cell>
          <cell r="G155">
            <v>6.5</v>
          </cell>
          <cell r="K155">
            <v>3.5</v>
          </cell>
          <cell r="O155">
            <v>0.80000000000000071</v>
          </cell>
          <cell r="P155">
            <v>1.5206571858163132</v>
          </cell>
          <cell r="R155">
            <v>3.1</v>
          </cell>
        </row>
        <row r="156">
          <cell r="C156">
            <v>7.6</v>
          </cell>
          <cell r="E156">
            <v>8.4600000000000009</v>
          </cell>
          <cell r="G156">
            <v>6.02</v>
          </cell>
          <cell r="K156">
            <v>3</v>
          </cell>
          <cell r="O156">
            <v>0.86000000000000121</v>
          </cell>
          <cell r="P156">
            <v>1.5206571858163132</v>
          </cell>
          <cell r="R156">
            <v>3.2</v>
          </cell>
        </row>
        <row r="157">
          <cell r="C157">
            <v>7.39</v>
          </cell>
          <cell r="E157">
            <v>8.34</v>
          </cell>
          <cell r="G157">
            <v>6</v>
          </cell>
          <cell r="K157">
            <v>3</v>
          </cell>
          <cell r="O157">
            <v>0.95000000000000018</v>
          </cell>
          <cell r="P157">
            <v>1.5206571858163132</v>
          </cell>
          <cell r="R157">
            <v>3.1</v>
          </cell>
        </row>
        <row r="158">
          <cell r="C158">
            <v>7.34</v>
          </cell>
          <cell r="E158">
            <v>8.32</v>
          </cell>
          <cell r="G158">
            <v>6</v>
          </cell>
          <cell r="K158">
            <v>3</v>
          </cell>
          <cell r="O158">
            <v>0.98000000000000043</v>
          </cell>
          <cell r="P158">
            <v>1.5206571858163132</v>
          </cell>
          <cell r="R158">
            <v>3</v>
          </cell>
        </row>
        <row r="159">
          <cell r="C159">
            <v>7.53</v>
          </cell>
          <cell r="E159">
            <v>8.44</v>
          </cell>
          <cell r="G159">
            <v>6</v>
          </cell>
          <cell r="K159">
            <v>3</v>
          </cell>
          <cell r="O159">
            <v>0.90999999999999925</v>
          </cell>
          <cell r="P159">
            <v>1.5206571858163132</v>
          </cell>
          <cell r="R159">
            <v>3.2</v>
          </cell>
        </row>
        <row r="160">
          <cell r="C160">
            <v>7.61</v>
          </cell>
          <cell r="E160">
            <v>8.5299999999999994</v>
          </cell>
          <cell r="G160">
            <v>6</v>
          </cell>
          <cell r="K160">
            <v>3</v>
          </cell>
          <cell r="O160">
            <v>0.91999999999999904</v>
          </cell>
          <cell r="P160">
            <v>1.5206571858163132</v>
          </cell>
          <cell r="R160">
            <v>3</v>
          </cell>
        </row>
        <row r="161">
          <cell r="C161">
            <v>7.44</v>
          </cell>
          <cell r="E161">
            <v>8.36</v>
          </cell>
          <cell r="G161">
            <v>6</v>
          </cell>
          <cell r="K161">
            <v>3</v>
          </cell>
          <cell r="O161">
            <v>0.91999999999999904</v>
          </cell>
          <cell r="P161">
            <v>1.5206571858163132</v>
          </cell>
          <cell r="R161">
            <v>2.9</v>
          </cell>
        </row>
        <row r="162">
          <cell r="B162" t="str">
            <v>93</v>
          </cell>
          <cell r="C162">
            <v>7.34</v>
          </cell>
          <cell r="E162">
            <v>8.23</v>
          </cell>
          <cell r="G162">
            <v>6</v>
          </cell>
          <cell r="K162">
            <v>3</v>
          </cell>
          <cell r="O162">
            <v>0.89000000000000057</v>
          </cell>
          <cell r="P162">
            <v>1.5206571858163132</v>
          </cell>
          <cell r="R162">
            <v>3.3</v>
          </cell>
        </row>
        <row r="163">
          <cell r="C163">
            <v>7.09</v>
          </cell>
          <cell r="E163">
            <v>8</v>
          </cell>
          <cell r="G163">
            <v>6</v>
          </cell>
          <cell r="K163">
            <v>3</v>
          </cell>
          <cell r="O163">
            <v>0.91000000000000014</v>
          </cell>
          <cell r="P163">
            <v>1.5206571858163132</v>
          </cell>
          <cell r="R163">
            <v>3.2</v>
          </cell>
        </row>
        <row r="164">
          <cell r="C164">
            <v>6.82</v>
          </cell>
          <cell r="E164">
            <v>7.85</v>
          </cell>
          <cell r="G164">
            <v>6</v>
          </cell>
          <cell r="K164">
            <v>3</v>
          </cell>
          <cell r="O164">
            <v>1.0299999999999994</v>
          </cell>
          <cell r="P164">
            <v>1.5206571858163132</v>
          </cell>
          <cell r="R164">
            <v>3.1</v>
          </cell>
        </row>
        <row r="165">
          <cell r="C165">
            <v>6.85</v>
          </cell>
          <cell r="E165">
            <v>7.76</v>
          </cell>
          <cell r="G165">
            <v>6</v>
          </cell>
          <cell r="K165">
            <v>3</v>
          </cell>
          <cell r="O165">
            <v>0.91000000000000014</v>
          </cell>
          <cell r="P165">
            <v>1.5206571858163132</v>
          </cell>
          <cell r="R165">
            <v>3.2</v>
          </cell>
        </row>
        <row r="166">
          <cell r="C166">
            <v>6.92</v>
          </cell>
          <cell r="E166">
            <v>7.78</v>
          </cell>
          <cell r="G166">
            <v>6</v>
          </cell>
          <cell r="K166">
            <v>3</v>
          </cell>
          <cell r="O166">
            <v>0.86000000000000032</v>
          </cell>
          <cell r="P166">
            <v>1.5206571858163132</v>
          </cell>
          <cell r="R166">
            <v>3.2</v>
          </cell>
        </row>
        <row r="167">
          <cell r="C167">
            <v>6.81</v>
          </cell>
          <cell r="E167">
            <v>7.68</v>
          </cell>
          <cell r="G167">
            <v>6</v>
          </cell>
          <cell r="K167">
            <v>3</v>
          </cell>
          <cell r="O167">
            <v>0.87000000000000011</v>
          </cell>
          <cell r="P167">
            <v>1.5206571858163132</v>
          </cell>
          <cell r="R167">
            <v>3</v>
          </cell>
        </row>
        <row r="168">
          <cell r="C168">
            <v>6.63</v>
          </cell>
          <cell r="E168">
            <v>7.53</v>
          </cell>
          <cell r="G168">
            <v>6</v>
          </cell>
          <cell r="K168">
            <v>3</v>
          </cell>
          <cell r="O168">
            <v>0.90000000000000036</v>
          </cell>
          <cell r="P168">
            <v>1.5206571858163132</v>
          </cell>
          <cell r="R168">
            <v>2.8</v>
          </cell>
        </row>
        <row r="169">
          <cell r="C169">
            <v>6.32</v>
          </cell>
          <cell r="E169">
            <v>7.21</v>
          </cell>
          <cell r="G169">
            <v>6</v>
          </cell>
          <cell r="K169">
            <v>3</v>
          </cell>
          <cell r="O169">
            <v>0.88999999999999968</v>
          </cell>
          <cell r="P169">
            <v>1.5206571858163132</v>
          </cell>
          <cell r="R169">
            <v>2.8</v>
          </cell>
        </row>
        <row r="170">
          <cell r="C170">
            <v>6</v>
          </cell>
          <cell r="E170">
            <v>7.01</v>
          </cell>
          <cell r="G170">
            <v>6</v>
          </cell>
          <cell r="K170">
            <v>3</v>
          </cell>
          <cell r="O170">
            <v>1.0099999999999998</v>
          </cell>
          <cell r="P170">
            <v>1.5206571858163132</v>
          </cell>
          <cell r="R170">
            <v>2.7</v>
          </cell>
        </row>
        <row r="171">
          <cell r="C171">
            <v>5.94</v>
          </cell>
          <cell r="E171">
            <v>6.99</v>
          </cell>
          <cell r="G171">
            <v>6</v>
          </cell>
          <cell r="K171">
            <v>3</v>
          </cell>
          <cell r="O171">
            <v>1.0499999999999998</v>
          </cell>
          <cell r="P171">
            <v>1.5206571858163132</v>
          </cell>
          <cell r="R171">
            <v>2.8</v>
          </cell>
        </row>
        <row r="172">
          <cell r="C172">
            <v>6.21</v>
          </cell>
          <cell r="E172">
            <v>7.3</v>
          </cell>
          <cell r="G172">
            <v>6</v>
          </cell>
          <cell r="K172">
            <v>3</v>
          </cell>
          <cell r="O172">
            <v>1.0899999999999999</v>
          </cell>
          <cell r="P172">
            <v>1.5206571858163132</v>
          </cell>
          <cell r="R172">
            <v>2.7</v>
          </cell>
        </row>
        <row r="173">
          <cell r="C173">
            <v>6.25</v>
          </cell>
          <cell r="E173">
            <v>7.33</v>
          </cell>
          <cell r="G173">
            <v>6</v>
          </cell>
          <cell r="K173">
            <v>3</v>
          </cell>
          <cell r="O173">
            <v>1.08</v>
          </cell>
          <cell r="P173">
            <v>1.5206571858163132</v>
          </cell>
          <cell r="R173">
            <v>2.7</v>
          </cell>
        </row>
        <row r="174">
          <cell r="B174" t="str">
            <v>94</v>
          </cell>
          <cell r="C174">
            <v>6.29</v>
          </cell>
          <cell r="E174">
            <v>7.31</v>
          </cell>
          <cell r="G174">
            <v>6</v>
          </cell>
          <cell r="K174">
            <v>3</v>
          </cell>
          <cell r="O174">
            <v>1.0199999999999996</v>
          </cell>
          <cell r="P174">
            <v>1.5206571858163132</v>
          </cell>
          <cell r="R174">
            <v>2.5</v>
          </cell>
        </row>
        <row r="175">
          <cell r="C175">
            <v>6.49</v>
          </cell>
          <cell r="E175">
            <v>7.44</v>
          </cell>
          <cell r="G175">
            <v>6</v>
          </cell>
          <cell r="K175">
            <v>3</v>
          </cell>
          <cell r="O175">
            <v>0.95000000000000018</v>
          </cell>
          <cell r="P175">
            <v>1.5206571858163132</v>
          </cell>
          <cell r="R175">
            <v>2.5</v>
          </cell>
        </row>
        <row r="176">
          <cell r="C176">
            <v>6.91</v>
          </cell>
          <cell r="E176">
            <v>7.83</v>
          </cell>
          <cell r="G176">
            <v>6.06</v>
          </cell>
          <cell r="K176">
            <v>3</v>
          </cell>
          <cell r="O176">
            <v>0.91999999999999993</v>
          </cell>
          <cell r="P176">
            <v>1.5206571858163132</v>
          </cell>
          <cell r="R176">
            <v>2.5</v>
          </cell>
        </row>
        <row r="177">
          <cell r="C177">
            <v>7.27</v>
          </cell>
          <cell r="E177">
            <v>8.1999999999999993</v>
          </cell>
          <cell r="G177">
            <v>6.45</v>
          </cell>
          <cell r="K177">
            <v>3</v>
          </cell>
          <cell r="O177">
            <v>0.92999999999999972</v>
          </cell>
          <cell r="P177">
            <v>1.5206571858163132</v>
          </cell>
          <cell r="R177">
            <v>2.4</v>
          </cell>
        </row>
        <row r="178">
          <cell r="C178">
            <v>7.41</v>
          </cell>
          <cell r="E178">
            <v>8.32</v>
          </cell>
          <cell r="G178">
            <v>6.99</v>
          </cell>
          <cell r="K178">
            <v>3</v>
          </cell>
          <cell r="O178">
            <v>0.91000000000000014</v>
          </cell>
          <cell r="P178">
            <v>1.5206571858163132</v>
          </cell>
          <cell r="R178">
            <v>2.2999999999999998</v>
          </cell>
        </row>
        <row r="179">
          <cell r="C179">
            <v>7.4</v>
          </cell>
          <cell r="E179">
            <v>8.31</v>
          </cell>
          <cell r="G179">
            <v>7.25</v>
          </cell>
          <cell r="K179">
            <v>3.5</v>
          </cell>
          <cell r="O179">
            <v>0.91000000000000014</v>
          </cell>
          <cell r="P179">
            <v>1.5206571858163132</v>
          </cell>
          <cell r="R179">
            <v>2.5</v>
          </cell>
        </row>
        <row r="180">
          <cell r="C180">
            <v>7.58</v>
          </cell>
          <cell r="E180">
            <v>8.4700000000000006</v>
          </cell>
          <cell r="G180">
            <v>7.25</v>
          </cell>
          <cell r="K180">
            <v>3.5</v>
          </cell>
          <cell r="O180">
            <v>0.89000000000000057</v>
          </cell>
          <cell r="P180">
            <v>1.5206571858163132</v>
          </cell>
          <cell r="R180">
            <v>2.9</v>
          </cell>
        </row>
        <row r="181">
          <cell r="C181">
            <v>7.49</v>
          </cell>
          <cell r="E181">
            <v>8.41</v>
          </cell>
          <cell r="G181">
            <v>7.51</v>
          </cell>
          <cell r="K181">
            <v>3.5</v>
          </cell>
          <cell r="O181">
            <v>0.91999999999999993</v>
          </cell>
          <cell r="P181">
            <v>1.5206571858163132</v>
          </cell>
          <cell r="R181">
            <v>3</v>
          </cell>
        </row>
        <row r="182">
          <cell r="C182">
            <v>7.71</v>
          </cell>
          <cell r="E182">
            <v>8.65</v>
          </cell>
          <cell r="G182">
            <v>7.75</v>
          </cell>
          <cell r="K182">
            <v>4</v>
          </cell>
          <cell r="O182">
            <v>0.94000000000000039</v>
          </cell>
          <cell r="P182">
            <v>1.5206571858163132</v>
          </cell>
          <cell r="R182">
            <v>2.6</v>
          </cell>
        </row>
        <row r="183">
          <cell r="C183">
            <v>7.94</v>
          </cell>
          <cell r="E183">
            <v>8.8800000000000008</v>
          </cell>
          <cell r="G183">
            <v>7.75</v>
          </cell>
          <cell r="K183">
            <v>4</v>
          </cell>
          <cell r="O183">
            <v>0.94000000000000039</v>
          </cell>
          <cell r="P183">
            <v>1.5206571858163132</v>
          </cell>
          <cell r="R183">
            <v>2.7</v>
          </cell>
        </row>
        <row r="184">
          <cell r="C184">
            <v>8.08</v>
          </cell>
          <cell r="E184">
            <v>9</v>
          </cell>
          <cell r="G184">
            <v>8.15</v>
          </cell>
          <cell r="K184">
            <v>4.75</v>
          </cell>
          <cell r="O184">
            <v>0.91999999999999993</v>
          </cell>
          <cell r="P184">
            <v>1.5206571858163132</v>
          </cell>
          <cell r="R184">
            <v>2.7</v>
          </cell>
        </row>
        <row r="185">
          <cell r="C185">
            <v>7.87</v>
          </cell>
          <cell r="E185">
            <v>8.7899999999999991</v>
          </cell>
          <cell r="G185">
            <v>8.5</v>
          </cell>
          <cell r="K185">
            <v>4.75</v>
          </cell>
          <cell r="O185">
            <v>0.91999999999999904</v>
          </cell>
          <cell r="P185">
            <v>1.5206571858163132</v>
          </cell>
          <cell r="R185">
            <v>2.8</v>
          </cell>
        </row>
        <row r="186">
          <cell r="B186" t="str">
            <v>95</v>
          </cell>
          <cell r="C186">
            <v>7.85</v>
          </cell>
          <cell r="E186">
            <v>8.77</v>
          </cell>
          <cell r="G186">
            <v>8.5</v>
          </cell>
          <cell r="K186">
            <v>4.75</v>
          </cell>
          <cell r="O186">
            <v>0.91999999999999993</v>
          </cell>
          <cell r="P186">
            <v>1.5206571858163132</v>
          </cell>
          <cell r="R186">
            <v>2.9</v>
          </cell>
        </row>
        <row r="187">
          <cell r="C187">
            <v>7.61</v>
          </cell>
          <cell r="E187">
            <v>8.56</v>
          </cell>
          <cell r="G187">
            <v>9</v>
          </cell>
          <cell r="K187">
            <v>5.25</v>
          </cell>
          <cell r="O187">
            <v>0.95000000000000018</v>
          </cell>
          <cell r="P187">
            <v>1.5206571858163132</v>
          </cell>
          <cell r="R187">
            <v>2.9</v>
          </cell>
        </row>
        <row r="188">
          <cell r="C188">
            <v>7.45</v>
          </cell>
          <cell r="E188">
            <v>8.41</v>
          </cell>
          <cell r="G188">
            <v>9</v>
          </cell>
          <cell r="K188">
            <v>5.25</v>
          </cell>
          <cell r="O188">
            <v>0.96</v>
          </cell>
          <cell r="P188">
            <v>1.5206571858163132</v>
          </cell>
          <cell r="R188">
            <v>3.1</v>
          </cell>
        </row>
        <row r="189">
          <cell r="C189">
            <v>7.36</v>
          </cell>
          <cell r="E189">
            <v>8.3000000000000007</v>
          </cell>
          <cell r="G189">
            <v>9</v>
          </cell>
          <cell r="K189">
            <v>5.25</v>
          </cell>
          <cell r="O189">
            <v>0.94000000000000039</v>
          </cell>
          <cell r="P189">
            <v>1.5206571858163132</v>
          </cell>
          <cell r="R189">
            <v>2.4</v>
          </cell>
        </row>
        <row r="190">
          <cell r="C190">
            <v>6.95</v>
          </cell>
          <cell r="E190">
            <v>7.93</v>
          </cell>
          <cell r="G190">
            <v>9</v>
          </cell>
          <cell r="K190">
            <v>5.25</v>
          </cell>
          <cell r="O190">
            <v>0.97999999999999954</v>
          </cell>
          <cell r="P190">
            <v>1.5206571858163132</v>
          </cell>
          <cell r="R190">
            <v>3.2</v>
          </cell>
        </row>
        <row r="191">
          <cell r="C191">
            <v>6.57</v>
          </cell>
          <cell r="E191">
            <v>7.62</v>
          </cell>
          <cell r="G191">
            <v>9</v>
          </cell>
          <cell r="K191">
            <v>5.25</v>
          </cell>
          <cell r="O191">
            <v>1.0499999999999998</v>
          </cell>
          <cell r="P191">
            <v>1.5206571858163132</v>
          </cell>
          <cell r="R191">
            <v>3</v>
          </cell>
        </row>
        <row r="192">
          <cell r="C192">
            <v>6.72</v>
          </cell>
          <cell r="E192">
            <v>7.73</v>
          </cell>
          <cell r="G192">
            <v>8.8000000000000007</v>
          </cell>
          <cell r="K192">
            <v>5.25</v>
          </cell>
          <cell r="O192">
            <v>1.0100000000000007</v>
          </cell>
          <cell r="P192">
            <v>1.5206571858163132</v>
          </cell>
          <cell r="R192">
            <v>2.8</v>
          </cell>
        </row>
        <row r="193">
          <cell r="C193">
            <v>6.86</v>
          </cell>
          <cell r="E193">
            <v>7.86</v>
          </cell>
          <cell r="G193">
            <v>8.75</v>
          </cell>
          <cell r="K193">
            <v>5.25</v>
          </cell>
          <cell r="O193">
            <v>1</v>
          </cell>
          <cell r="P193">
            <v>1.5206571858163132</v>
          </cell>
          <cell r="R193">
            <v>2.6</v>
          </cell>
        </row>
        <row r="194">
          <cell r="C194">
            <v>6.55</v>
          </cell>
          <cell r="E194">
            <v>7.62</v>
          </cell>
          <cell r="G194">
            <v>8.75</v>
          </cell>
          <cell r="K194">
            <v>5.25</v>
          </cell>
          <cell r="O194">
            <v>1.0700000000000003</v>
          </cell>
          <cell r="P194">
            <v>1.5206571858163132</v>
          </cell>
          <cell r="R194">
            <v>2.5</v>
          </cell>
        </row>
        <row r="195">
          <cell r="C195">
            <v>6.37</v>
          </cell>
          <cell r="E195">
            <v>7.46</v>
          </cell>
          <cell r="G195">
            <v>8.75</v>
          </cell>
          <cell r="K195">
            <v>5.25</v>
          </cell>
          <cell r="O195">
            <v>1.0899999999999999</v>
          </cell>
          <cell r="P195">
            <v>1.5206571858163132</v>
          </cell>
          <cell r="R195">
            <v>2.8</v>
          </cell>
        </row>
        <row r="196">
          <cell r="C196">
            <v>6.26</v>
          </cell>
          <cell r="E196">
            <v>7.4</v>
          </cell>
          <cell r="G196">
            <v>8.75</v>
          </cell>
          <cell r="K196">
            <v>5.25</v>
          </cell>
          <cell r="O196">
            <v>1.1400000000000006</v>
          </cell>
          <cell r="P196">
            <v>1.5206571858163132</v>
          </cell>
          <cell r="R196">
            <v>2.6</v>
          </cell>
        </row>
        <row r="197">
          <cell r="C197">
            <v>6.06</v>
          </cell>
          <cell r="E197">
            <v>7.21</v>
          </cell>
          <cell r="G197">
            <v>8.65</v>
          </cell>
          <cell r="K197">
            <v>5.25</v>
          </cell>
          <cell r="O197">
            <v>1.1500000000000004</v>
          </cell>
          <cell r="P197">
            <v>1.5206571858163132</v>
          </cell>
          <cell r="R197">
            <v>2.5</v>
          </cell>
        </row>
        <row r="198">
          <cell r="B198" t="str">
            <v>96</v>
          </cell>
          <cell r="C198">
            <v>6.05</v>
          </cell>
          <cell r="E198">
            <v>7.2</v>
          </cell>
          <cell r="G198">
            <v>8.5</v>
          </cell>
          <cell r="K198">
            <v>5.25</v>
          </cell>
          <cell r="O198">
            <v>1.1500000000000004</v>
          </cell>
          <cell r="P198">
            <v>1.5206571858163132</v>
          </cell>
          <cell r="R198">
            <v>2.7</v>
          </cell>
        </row>
        <row r="199">
          <cell r="C199">
            <v>6.24</v>
          </cell>
          <cell r="E199">
            <v>7.37</v>
          </cell>
          <cell r="G199">
            <v>8.25</v>
          </cell>
          <cell r="K199">
            <v>5</v>
          </cell>
          <cell r="O199">
            <v>1.1299999999999999</v>
          </cell>
          <cell r="P199">
            <v>1.5206571858163132</v>
          </cell>
          <cell r="R199">
            <v>2.7</v>
          </cell>
        </row>
        <row r="200">
          <cell r="C200">
            <v>6.6</v>
          </cell>
          <cell r="E200">
            <v>7.72</v>
          </cell>
          <cell r="G200">
            <v>8.25</v>
          </cell>
          <cell r="K200">
            <v>5</v>
          </cell>
          <cell r="O200">
            <v>1.1200000000000001</v>
          </cell>
          <cell r="P200">
            <v>1.5206571858163132</v>
          </cell>
          <cell r="R200">
            <v>2.8</v>
          </cell>
        </row>
        <row r="201">
          <cell r="C201">
            <v>6.79</v>
          </cell>
          <cell r="E201">
            <v>7.88</v>
          </cell>
          <cell r="G201">
            <v>8.25</v>
          </cell>
          <cell r="K201">
            <v>5</v>
          </cell>
          <cell r="O201">
            <v>1.0899999999999999</v>
          </cell>
          <cell r="P201">
            <v>1.5206571858163132</v>
          </cell>
          <cell r="R201">
            <v>2.9</v>
          </cell>
        </row>
        <row r="202">
          <cell r="C202">
            <v>6.93</v>
          </cell>
          <cell r="E202">
            <v>7.99</v>
          </cell>
          <cell r="G202">
            <v>8.25</v>
          </cell>
          <cell r="K202">
            <v>5</v>
          </cell>
          <cell r="O202">
            <v>1.0600000000000005</v>
          </cell>
          <cell r="P202">
            <v>1.5206571858163132</v>
          </cell>
          <cell r="R202">
            <v>2.9</v>
          </cell>
        </row>
        <row r="203">
          <cell r="C203">
            <v>7.06</v>
          </cell>
          <cell r="E203">
            <v>8.07</v>
          </cell>
          <cell r="G203">
            <v>8.25</v>
          </cell>
          <cell r="K203">
            <v>5</v>
          </cell>
          <cell r="O203">
            <v>1.0100000000000007</v>
          </cell>
          <cell r="P203">
            <v>1.5206571858163132</v>
          </cell>
          <cell r="R203">
            <v>2.8</v>
          </cell>
        </row>
        <row r="204">
          <cell r="C204">
            <v>7.03</v>
          </cell>
          <cell r="E204">
            <v>8.02</v>
          </cell>
          <cell r="G204">
            <v>8.25</v>
          </cell>
          <cell r="K204">
            <v>5</v>
          </cell>
          <cell r="O204">
            <v>0.98999999999999932</v>
          </cell>
          <cell r="P204">
            <v>1.5206571858163132</v>
          </cell>
          <cell r="R204">
            <v>3</v>
          </cell>
        </row>
        <row r="205">
          <cell r="C205">
            <v>6.84</v>
          </cell>
          <cell r="E205">
            <v>7.84</v>
          </cell>
          <cell r="G205">
            <v>8.25</v>
          </cell>
          <cell r="K205">
            <v>5</v>
          </cell>
          <cell r="O205">
            <v>1</v>
          </cell>
          <cell r="P205">
            <v>1.5206571858163132</v>
          </cell>
          <cell r="R205">
            <v>2.9</v>
          </cell>
        </row>
        <row r="206">
          <cell r="C206">
            <v>7.03</v>
          </cell>
          <cell r="E206">
            <v>8.01</v>
          </cell>
          <cell r="G206">
            <v>8.25</v>
          </cell>
          <cell r="K206">
            <v>5</v>
          </cell>
          <cell r="O206">
            <v>0.97999999999999954</v>
          </cell>
          <cell r="P206">
            <v>1.5206571858163132</v>
          </cell>
          <cell r="R206">
            <v>3</v>
          </cell>
        </row>
        <row r="207">
          <cell r="C207">
            <v>6.81</v>
          </cell>
          <cell r="E207">
            <v>7.76</v>
          </cell>
          <cell r="G207">
            <v>8.25</v>
          </cell>
          <cell r="K207">
            <v>5</v>
          </cell>
          <cell r="O207">
            <v>0.95000000000000018</v>
          </cell>
          <cell r="P207">
            <v>1.5206571858163132</v>
          </cell>
          <cell r="R207">
            <v>3</v>
          </cell>
        </row>
        <row r="208">
          <cell r="C208">
            <v>6.48</v>
          </cell>
          <cell r="E208">
            <v>7.48</v>
          </cell>
          <cell r="G208">
            <v>8.25</v>
          </cell>
          <cell r="K208">
            <v>5</v>
          </cell>
          <cell r="O208">
            <v>1</v>
          </cell>
          <cell r="P208">
            <v>1.5206571858163132</v>
          </cell>
          <cell r="R208">
            <v>3.3</v>
          </cell>
        </row>
        <row r="209">
          <cell r="C209">
            <v>6.55</v>
          </cell>
          <cell r="E209">
            <v>7.58</v>
          </cell>
          <cell r="G209">
            <v>8.25</v>
          </cell>
          <cell r="K209">
            <v>5</v>
          </cell>
          <cell r="O209">
            <v>1.0300000000000002</v>
          </cell>
          <cell r="P209">
            <v>1.5206571858163132</v>
          </cell>
          <cell r="R209">
            <v>3.3</v>
          </cell>
        </row>
        <row r="210">
          <cell r="B210" t="str">
            <v>97</v>
          </cell>
          <cell r="C210">
            <v>6.83</v>
          </cell>
          <cell r="E210">
            <v>7.79</v>
          </cell>
          <cell r="G210">
            <v>8.25</v>
          </cell>
          <cell r="K210">
            <v>5</v>
          </cell>
          <cell r="O210">
            <v>0.96</v>
          </cell>
          <cell r="P210">
            <v>1.5206571858163132</v>
          </cell>
          <cell r="R210">
            <v>3</v>
          </cell>
        </row>
        <row r="211">
          <cell r="C211">
            <v>6.69</v>
          </cell>
          <cell r="E211">
            <v>7.68</v>
          </cell>
          <cell r="G211">
            <v>8.25</v>
          </cell>
          <cell r="K211">
            <v>5</v>
          </cell>
          <cell r="O211">
            <v>0.98999999999999932</v>
          </cell>
          <cell r="P211">
            <v>1.5206571858163132</v>
          </cell>
          <cell r="R211">
            <v>3</v>
          </cell>
        </row>
        <row r="212">
          <cell r="C212">
            <v>6.93</v>
          </cell>
          <cell r="E212">
            <v>7.92</v>
          </cell>
          <cell r="G212">
            <v>8.3000000000000007</v>
          </cell>
          <cell r="K212">
            <v>5</v>
          </cell>
          <cell r="O212">
            <v>0.99000000000000021</v>
          </cell>
          <cell r="P212">
            <v>1.5206571858163132</v>
          </cell>
          <cell r="R212">
            <v>2.8</v>
          </cell>
        </row>
        <row r="213">
          <cell r="C213">
            <v>7.09</v>
          </cell>
          <cell r="E213">
            <v>8.08</v>
          </cell>
          <cell r="G213">
            <v>8.5</v>
          </cell>
          <cell r="K213">
            <v>5</v>
          </cell>
          <cell r="O213">
            <v>0.99000000000000021</v>
          </cell>
          <cell r="P213">
            <v>1.5206571858163132</v>
          </cell>
          <cell r="R213">
            <v>2.5</v>
          </cell>
        </row>
        <row r="214">
          <cell r="C214">
            <v>6.94</v>
          </cell>
          <cell r="E214">
            <v>7.94</v>
          </cell>
          <cell r="G214">
            <v>8.5</v>
          </cell>
          <cell r="K214">
            <v>5</v>
          </cell>
          <cell r="O214">
            <v>1</v>
          </cell>
          <cell r="P214">
            <v>1.5206571858163132</v>
          </cell>
          <cell r="R214">
            <v>2.2000000000000002</v>
          </cell>
        </row>
        <row r="215">
          <cell r="C215">
            <v>6.77</v>
          </cell>
          <cell r="E215">
            <v>7.77</v>
          </cell>
          <cell r="G215">
            <v>8.5</v>
          </cell>
          <cell r="K215">
            <v>5</v>
          </cell>
          <cell r="O215">
            <v>1</v>
          </cell>
          <cell r="P215">
            <v>1.5206571858163132</v>
          </cell>
          <cell r="R215">
            <v>2.2999999999999998</v>
          </cell>
        </row>
        <row r="216">
          <cell r="C216">
            <v>6.51</v>
          </cell>
          <cell r="E216">
            <v>7.52</v>
          </cell>
          <cell r="G216">
            <v>8.5</v>
          </cell>
          <cell r="K216">
            <v>5</v>
          </cell>
          <cell r="O216">
            <v>1.0099999999999998</v>
          </cell>
          <cell r="P216">
            <v>1.5206571858163132</v>
          </cell>
          <cell r="R216">
            <v>2.2000000000000002</v>
          </cell>
        </row>
        <row r="217">
          <cell r="C217">
            <v>6.58</v>
          </cell>
          <cell r="E217">
            <v>7.57</v>
          </cell>
          <cell r="G217">
            <v>8.5</v>
          </cell>
          <cell r="K217">
            <v>5</v>
          </cell>
          <cell r="O217">
            <v>0.99000000000000021</v>
          </cell>
          <cell r="P217">
            <v>1.5206571858163132</v>
          </cell>
          <cell r="R217">
            <v>2.2000000000000002</v>
          </cell>
        </row>
        <row r="218">
          <cell r="C218">
            <v>6.5</v>
          </cell>
          <cell r="E218">
            <v>7.5</v>
          </cell>
          <cell r="G218">
            <v>8.5</v>
          </cell>
          <cell r="K218">
            <v>5</v>
          </cell>
          <cell r="O218">
            <v>1</v>
          </cell>
          <cell r="P218">
            <v>1.5206571858163132</v>
          </cell>
          <cell r="R218">
            <v>2.2000000000000002</v>
          </cell>
        </row>
        <row r="219">
          <cell r="C219">
            <v>6.33</v>
          </cell>
          <cell r="E219">
            <v>7.37</v>
          </cell>
          <cell r="G219">
            <v>8.5</v>
          </cell>
          <cell r="K219">
            <v>5</v>
          </cell>
          <cell r="O219">
            <v>1.04</v>
          </cell>
          <cell r="P219">
            <v>1.5206571858163132</v>
          </cell>
          <cell r="R219">
            <v>2.1</v>
          </cell>
        </row>
        <row r="220">
          <cell r="C220">
            <v>6.11</v>
          </cell>
          <cell r="E220">
            <v>7.24</v>
          </cell>
          <cell r="G220">
            <v>8.5</v>
          </cell>
          <cell r="K220">
            <v>5</v>
          </cell>
          <cell r="O220">
            <v>1.1299999999999999</v>
          </cell>
          <cell r="P220">
            <v>1.5206571858163132</v>
          </cell>
          <cell r="R220">
            <v>1.8</v>
          </cell>
        </row>
        <row r="221">
          <cell r="C221">
            <v>5.99</v>
          </cell>
          <cell r="E221">
            <v>7.16</v>
          </cell>
          <cell r="G221">
            <v>8.5</v>
          </cell>
          <cell r="K221">
            <v>5</v>
          </cell>
          <cell r="O221">
            <v>1.17</v>
          </cell>
          <cell r="P221">
            <v>1.5206571858163132</v>
          </cell>
          <cell r="R221">
            <v>1.7</v>
          </cell>
        </row>
        <row r="222">
          <cell r="B222" t="str">
            <v>98</v>
          </cell>
          <cell r="C222">
            <v>5.81</v>
          </cell>
          <cell r="E222">
            <v>7.03</v>
          </cell>
          <cell r="G222">
            <v>8.5</v>
          </cell>
          <cell r="K222">
            <v>5</v>
          </cell>
          <cell r="O222">
            <v>1.2200000000000006</v>
          </cell>
          <cell r="P222">
            <v>1.5206571858163132</v>
          </cell>
          <cell r="R222">
            <v>1.6</v>
          </cell>
        </row>
        <row r="223">
          <cell r="C223">
            <v>5.89</v>
          </cell>
          <cell r="E223">
            <v>7.09</v>
          </cell>
          <cell r="G223">
            <v>8.5</v>
          </cell>
          <cell r="K223">
            <v>5</v>
          </cell>
          <cell r="O223">
            <v>1.2000000000000002</v>
          </cell>
          <cell r="P223">
            <v>1.5206571858163132</v>
          </cell>
          <cell r="R223">
            <v>1.4</v>
          </cell>
        </row>
        <row r="224">
          <cell r="C224">
            <v>5.95</v>
          </cell>
          <cell r="E224">
            <v>7.13</v>
          </cell>
          <cell r="G224">
            <v>8.5</v>
          </cell>
          <cell r="K224">
            <v>5</v>
          </cell>
          <cell r="O224">
            <v>1.1799999999999997</v>
          </cell>
          <cell r="P224">
            <v>1.5206571858163132</v>
          </cell>
          <cell r="R224">
            <v>1.4</v>
          </cell>
        </row>
        <row r="225">
          <cell r="C225">
            <v>5.92</v>
          </cell>
          <cell r="E225">
            <v>7.12</v>
          </cell>
          <cell r="G225">
            <v>8.5</v>
          </cell>
          <cell r="K225">
            <v>5</v>
          </cell>
          <cell r="O225">
            <v>1.2000000000000002</v>
          </cell>
          <cell r="P225">
            <v>1.5206571858163132</v>
          </cell>
          <cell r="R225">
            <v>1.4</v>
          </cell>
        </row>
        <row r="226">
          <cell r="C226">
            <v>5.93</v>
          </cell>
          <cell r="E226">
            <v>7.11</v>
          </cell>
          <cell r="G226">
            <v>8.5</v>
          </cell>
          <cell r="K226">
            <v>5</v>
          </cell>
          <cell r="O226">
            <v>1.1800000000000006</v>
          </cell>
          <cell r="P226">
            <v>1.5206571858163132</v>
          </cell>
          <cell r="R226">
            <v>1.7</v>
          </cell>
        </row>
        <row r="227">
          <cell r="C227">
            <v>5.7</v>
          </cell>
          <cell r="E227">
            <v>6.99</v>
          </cell>
          <cell r="G227">
            <v>8.5</v>
          </cell>
          <cell r="K227">
            <v>5</v>
          </cell>
          <cell r="P227">
            <v>1.5206571858163132</v>
          </cell>
          <cell r="R227">
            <v>1.7</v>
          </cell>
        </row>
        <row r="228">
          <cell r="C228">
            <v>5.68</v>
          </cell>
          <cell r="E228">
            <v>6.99</v>
          </cell>
          <cell r="G228">
            <v>8.5</v>
          </cell>
          <cell r="K228">
            <v>5</v>
          </cell>
          <cell r="P228">
            <v>1.5206571858163132</v>
          </cell>
          <cell r="R228">
            <v>1.7</v>
          </cell>
        </row>
        <row r="229">
          <cell r="C229">
            <v>5.54</v>
          </cell>
          <cell r="E229">
            <v>6.96</v>
          </cell>
          <cell r="G229">
            <v>8.5</v>
          </cell>
          <cell r="P229">
            <v>1.5206571858163132</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cell r="E30">
            <v>16.73</v>
          </cell>
          <cell r="G30">
            <v>15.75</v>
          </cell>
          <cell r="K30">
            <v>12</v>
          </cell>
          <cell r="O30">
            <v>2.5099999999999998</v>
          </cell>
          <cell r="P30">
            <v>1.5206571858163132</v>
          </cell>
          <cell r="R30">
            <v>8.4</v>
          </cell>
        </row>
        <row r="31">
          <cell r="C31">
            <v>14.22</v>
          </cell>
          <cell r="E31">
            <v>16.72</v>
          </cell>
          <cell r="G31">
            <v>16.559999999999999</v>
          </cell>
          <cell r="K31">
            <v>12</v>
          </cell>
          <cell r="O31">
            <v>2.4999999999999982</v>
          </cell>
          <cell r="P31">
            <v>1.5206571858163132</v>
          </cell>
          <cell r="R31">
            <v>7.6</v>
          </cell>
        </row>
        <row r="32">
          <cell r="C32">
            <v>13.53</v>
          </cell>
          <cell r="E32">
            <v>16.07</v>
          </cell>
          <cell r="G32">
            <v>16.5</v>
          </cell>
          <cell r="K32">
            <v>12</v>
          </cell>
          <cell r="O32">
            <v>2.5400000000000009</v>
          </cell>
          <cell r="P32">
            <v>1.5206571858163132</v>
          </cell>
          <cell r="R32">
            <v>6.8</v>
          </cell>
        </row>
        <row r="33">
          <cell r="C33">
            <v>13.37</v>
          </cell>
          <cell r="E33">
            <v>15.82</v>
          </cell>
          <cell r="G33">
            <v>16.5</v>
          </cell>
          <cell r="K33">
            <v>12</v>
          </cell>
          <cell r="O33">
            <v>2.4500000000000011</v>
          </cell>
          <cell r="P33">
            <v>1.5206571858163132</v>
          </cell>
          <cell r="R33">
            <v>6.5</v>
          </cell>
        </row>
        <row r="34">
          <cell r="C34">
            <v>13.24</v>
          </cell>
          <cell r="E34">
            <v>15.6</v>
          </cell>
          <cell r="G34">
            <v>16.5</v>
          </cell>
          <cell r="K34">
            <v>12</v>
          </cell>
          <cell r="O34">
            <v>2.3599999999999994</v>
          </cell>
          <cell r="P34">
            <v>1.5206571858163132</v>
          </cell>
          <cell r="R34">
            <v>6.7</v>
          </cell>
        </row>
        <row r="35">
          <cell r="C35">
            <v>13.92</v>
          </cell>
          <cell r="E35">
            <v>16.18</v>
          </cell>
          <cell r="G35">
            <v>16.5</v>
          </cell>
          <cell r="K35">
            <v>12</v>
          </cell>
          <cell r="O35">
            <v>2.2599999999999998</v>
          </cell>
          <cell r="P35">
            <v>1.5206571858163132</v>
          </cell>
          <cell r="R35">
            <v>7.1</v>
          </cell>
        </row>
        <row r="36">
          <cell r="C36">
            <v>13.55</v>
          </cell>
          <cell r="E36">
            <v>16.04</v>
          </cell>
          <cell r="G36">
            <v>16.260000000000002</v>
          </cell>
          <cell r="K36">
            <v>11</v>
          </cell>
          <cell r="O36">
            <v>2.4899999999999984</v>
          </cell>
          <cell r="P36">
            <v>1.5206571858163132</v>
          </cell>
          <cell r="R36">
            <v>6.4</v>
          </cell>
        </row>
        <row r="37">
          <cell r="C37">
            <v>12.77</v>
          </cell>
          <cell r="E37">
            <v>15.22</v>
          </cell>
          <cell r="G37">
            <v>14.39</v>
          </cell>
          <cell r="K37">
            <v>10</v>
          </cell>
          <cell r="O37">
            <v>2.4500000000000011</v>
          </cell>
          <cell r="P37">
            <v>1.5206571858163132</v>
          </cell>
          <cell r="R37">
            <v>5.9</v>
          </cell>
        </row>
        <row r="38">
          <cell r="C38">
            <v>12.07</v>
          </cell>
          <cell r="E38">
            <v>14.56</v>
          </cell>
          <cell r="G38">
            <v>13.5</v>
          </cell>
          <cell r="K38">
            <v>9.5</v>
          </cell>
          <cell r="O38">
            <v>2.4900000000000002</v>
          </cell>
          <cell r="P38">
            <v>1.5206571858163132</v>
          </cell>
          <cell r="R38">
            <v>5</v>
          </cell>
        </row>
        <row r="39">
          <cell r="C39">
            <v>11.17</v>
          </cell>
          <cell r="E39">
            <v>13.88</v>
          </cell>
          <cell r="G39">
            <v>12.52</v>
          </cell>
          <cell r="K39">
            <v>9</v>
          </cell>
          <cell r="O39">
            <v>2.7100000000000009</v>
          </cell>
          <cell r="P39">
            <v>1.5206571858163132</v>
          </cell>
          <cell r="R39">
            <v>5.0999999999999996</v>
          </cell>
        </row>
        <row r="40">
          <cell r="C40">
            <v>10.54</v>
          </cell>
          <cell r="E40">
            <v>13.58</v>
          </cell>
          <cell r="G40">
            <v>11.85</v>
          </cell>
          <cell r="K40">
            <v>9</v>
          </cell>
          <cell r="O40">
            <v>3.0400000000000009</v>
          </cell>
          <cell r="P40">
            <v>1.5206571858163132</v>
          </cell>
          <cell r="R40">
            <v>4.5999999999999996</v>
          </cell>
        </row>
        <row r="41">
          <cell r="C41">
            <v>10.54</v>
          </cell>
          <cell r="E41">
            <v>13.55</v>
          </cell>
          <cell r="G41">
            <v>11.5</v>
          </cell>
          <cell r="K41">
            <v>8.5</v>
          </cell>
          <cell r="O41">
            <v>3.0100000000000016</v>
          </cell>
          <cell r="P41">
            <v>1.5206571858163132</v>
          </cell>
          <cell r="R41">
            <v>3.8</v>
          </cell>
        </row>
        <row r="42">
          <cell r="B42" t="str">
            <v>83</v>
          </cell>
          <cell r="C42">
            <v>10.63</v>
          </cell>
          <cell r="E42">
            <v>13.46</v>
          </cell>
          <cell r="G42">
            <v>11.16</v>
          </cell>
          <cell r="K42">
            <v>8.5</v>
          </cell>
          <cell r="O42">
            <v>2.83</v>
          </cell>
          <cell r="P42">
            <v>1.5206571858163132</v>
          </cell>
          <cell r="R42">
            <v>3.7</v>
          </cell>
        </row>
        <row r="43">
          <cell r="C43">
            <v>10.88</v>
          </cell>
          <cell r="E43">
            <v>13.6</v>
          </cell>
          <cell r="G43">
            <v>10.98</v>
          </cell>
          <cell r="K43">
            <v>8.5</v>
          </cell>
          <cell r="O43">
            <v>2.7199999999999989</v>
          </cell>
          <cell r="P43">
            <v>1.5206571858163132</v>
          </cell>
          <cell r="R43">
            <v>3.5</v>
          </cell>
        </row>
        <row r="44">
          <cell r="C44">
            <v>10.63</v>
          </cell>
          <cell r="E44">
            <v>13.28</v>
          </cell>
          <cell r="G44">
            <v>10.5</v>
          </cell>
          <cell r="K44">
            <v>8.5</v>
          </cell>
          <cell r="O44">
            <v>2.6499999999999986</v>
          </cell>
          <cell r="P44">
            <v>1.5206571858163132</v>
          </cell>
          <cell r="R44">
            <v>3.6</v>
          </cell>
        </row>
        <row r="45">
          <cell r="C45">
            <v>10.48</v>
          </cell>
          <cell r="E45">
            <v>13.03</v>
          </cell>
          <cell r="G45">
            <v>10.5</v>
          </cell>
          <cell r="K45">
            <v>8.5</v>
          </cell>
          <cell r="O45">
            <v>2.5499999999999989</v>
          </cell>
          <cell r="P45">
            <v>1.5206571858163132</v>
          </cell>
          <cell r="R45">
            <v>3.9</v>
          </cell>
        </row>
        <row r="46">
          <cell r="C46">
            <v>10.53</v>
          </cell>
          <cell r="E46">
            <v>13</v>
          </cell>
          <cell r="G46">
            <v>10.5</v>
          </cell>
          <cell r="K46">
            <v>8.5</v>
          </cell>
          <cell r="O46">
            <v>2.4700000000000006</v>
          </cell>
          <cell r="P46">
            <v>1.5206571858163132</v>
          </cell>
          <cell r="R46">
            <v>3.5</v>
          </cell>
        </row>
        <row r="47">
          <cell r="C47">
            <v>10.93</v>
          </cell>
          <cell r="E47">
            <v>13.17</v>
          </cell>
          <cell r="G47">
            <v>10.5</v>
          </cell>
          <cell r="K47">
            <v>8.5</v>
          </cell>
          <cell r="O47">
            <v>2.2400000000000002</v>
          </cell>
          <cell r="P47">
            <v>1.5206571858163132</v>
          </cell>
          <cell r="R47">
            <v>2.6</v>
          </cell>
        </row>
        <row r="48">
          <cell r="C48">
            <v>11.4</v>
          </cell>
          <cell r="E48">
            <v>13.28</v>
          </cell>
          <cell r="G48">
            <v>10.5</v>
          </cell>
          <cell r="K48">
            <v>8.5</v>
          </cell>
          <cell r="O48">
            <v>1.879999999999999</v>
          </cell>
          <cell r="P48">
            <v>1.5206571858163132</v>
          </cell>
          <cell r="R48">
            <v>2.5</v>
          </cell>
        </row>
        <row r="49">
          <cell r="C49">
            <v>11.82</v>
          </cell>
          <cell r="E49">
            <v>13.5</v>
          </cell>
          <cell r="G49">
            <v>10.89</v>
          </cell>
          <cell r="K49">
            <v>8.5</v>
          </cell>
          <cell r="O49">
            <v>1.6799999999999997</v>
          </cell>
          <cell r="P49">
            <v>1.5206571858163132</v>
          </cell>
          <cell r="R49">
            <v>2.6</v>
          </cell>
        </row>
        <row r="50">
          <cell r="C50">
            <v>11.63</v>
          </cell>
          <cell r="E50">
            <v>13.35</v>
          </cell>
          <cell r="G50">
            <v>11</v>
          </cell>
          <cell r="K50">
            <v>8.5</v>
          </cell>
          <cell r="O50">
            <v>1.7199999999999989</v>
          </cell>
          <cell r="P50">
            <v>1.5206571858163132</v>
          </cell>
          <cell r="R50">
            <v>2.9</v>
          </cell>
        </row>
        <row r="51">
          <cell r="C51">
            <v>11.58</v>
          </cell>
          <cell r="E51">
            <v>13.19</v>
          </cell>
          <cell r="G51">
            <v>11</v>
          </cell>
          <cell r="K51">
            <v>8.5</v>
          </cell>
          <cell r="O51">
            <v>1.6099999999999994</v>
          </cell>
          <cell r="P51">
            <v>1.5206571858163132</v>
          </cell>
          <cell r="R51">
            <v>2.9</v>
          </cell>
        </row>
        <row r="52">
          <cell r="C52">
            <v>11.75</v>
          </cell>
          <cell r="E52">
            <v>13.33</v>
          </cell>
          <cell r="G52">
            <v>11</v>
          </cell>
          <cell r="K52">
            <v>8.5</v>
          </cell>
          <cell r="O52">
            <v>1.58</v>
          </cell>
          <cell r="P52">
            <v>1.5206571858163132</v>
          </cell>
          <cell r="R52">
            <v>3.3</v>
          </cell>
        </row>
        <row r="53">
          <cell r="C53">
            <v>11.88</v>
          </cell>
          <cell r="E53">
            <v>13.48</v>
          </cell>
          <cell r="G53">
            <v>11</v>
          </cell>
          <cell r="K53">
            <v>8.5</v>
          </cell>
          <cell r="O53">
            <v>1.5999999999999996</v>
          </cell>
          <cell r="P53">
            <v>1.5206571858163132</v>
          </cell>
          <cell r="R53">
            <v>3.8</v>
          </cell>
        </row>
        <row r="54">
          <cell r="B54" t="str">
            <v>84</v>
          </cell>
          <cell r="C54">
            <v>11.75</v>
          </cell>
          <cell r="E54">
            <v>13.4</v>
          </cell>
          <cell r="G54">
            <v>11</v>
          </cell>
          <cell r="K54">
            <v>8.5</v>
          </cell>
          <cell r="O54">
            <v>1.6500000000000004</v>
          </cell>
          <cell r="P54">
            <v>1.5206571858163132</v>
          </cell>
          <cell r="R54">
            <v>4.2</v>
          </cell>
        </row>
        <row r="55">
          <cell r="C55">
            <v>11.95</v>
          </cell>
          <cell r="E55">
            <v>13.5</v>
          </cell>
          <cell r="G55">
            <v>11</v>
          </cell>
          <cell r="K55">
            <v>8.5</v>
          </cell>
          <cell r="O55">
            <v>1.5500000000000007</v>
          </cell>
          <cell r="P55">
            <v>1.5206571858163132</v>
          </cell>
          <cell r="R55">
            <v>4.5999999999999996</v>
          </cell>
        </row>
        <row r="56">
          <cell r="C56">
            <v>12.38</v>
          </cell>
          <cell r="E56">
            <v>14.03</v>
          </cell>
          <cell r="G56">
            <v>11.21</v>
          </cell>
          <cell r="K56">
            <v>8.5</v>
          </cell>
          <cell r="O56">
            <v>1.6499999999999986</v>
          </cell>
          <cell r="P56">
            <v>1.5206571858163132</v>
          </cell>
          <cell r="R56">
            <v>4.8</v>
          </cell>
        </row>
        <row r="57">
          <cell r="C57">
            <v>12.65</v>
          </cell>
          <cell r="E57">
            <v>14.3</v>
          </cell>
          <cell r="G57">
            <v>11.93</v>
          </cell>
          <cell r="K57">
            <v>9</v>
          </cell>
          <cell r="O57">
            <v>1.6500000000000004</v>
          </cell>
          <cell r="P57">
            <v>1.5206571858163132</v>
          </cell>
          <cell r="R57">
            <v>4.5999999999999996</v>
          </cell>
        </row>
        <row r="58">
          <cell r="C58">
            <v>13.43</v>
          </cell>
          <cell r="E58">
            <v>14.95</v>
          </cell>
          <cell r="G58">
            <v>12.39</v>
          </cell>
          <cell r="K58">
            <v>9</v>
          </cell>
          <cell r="O58">
            <v>1.5199999999999996</v>
          </cell>
          <cell r="P58">
            <v>1.5206571858163132</v>
          </cell>
          <cell r="R58">
            <v>4.2</v>
          </cell>
        </row>
        <row r="59">
          <cell r="C59">
            <v>13.44</v>
          </cell>
          <cell r="E59">
            <v>15.16</v>
          </cell>
          <cell r="G59">
            <v>12.6</v>
          </cell>
          <cell r="K59">
            <v>9</v>
          </cell>
          <cell r="O59">
            <v>1.7200000000000006</v>
          </cell>
          <cell r="P59">
            <v>1.5206571858163132</v>
          </cell>
          <cell r="R59">
            <v>4.2</v>
          </cell>
        </row>
        <row r="60">
          <cell r="C60">
            <v>13.21</v>
          </cell>
          <cell r="E60">
            <v>14.92</v>
          </cell>
          <cell r="G60">
            <v>13</v>
          </cell>
          <cell r="K60">
            <v>9</v>
          </cell>
          <cell r="O60">
            <v>1.7099999999999991</v>
          </cell>
          <cell r="P60">
            <v>1.5206571858163132</v>
          </cell>
          <cell r="R60">
            <v>4.2</v>
          </cell>
        </row>
        <row r="61">
          <cell r="C61">
            <v>12.54</v>
          </cell>
          <cell r="E61">
            <v>14.29</v>
          </cell>
          <cell r="G61">
            <v>13</v>
          </cell>
          <cell r="K61">
            <v>9</v>
          </cell>
          <cell r="O61">
            <v>1.75</v>
          </cell>
          <cell r="P61">
            <v>1.5206571858163132</v>
          </cell>
          <cell r="R61">
            <v>4.3</v>
          </cell>
        </row>
        <row r="62">
          <cell r="C62">
            <v>12.29</v>
          </cell>
          <cell r="E62">
            <v>14.04</v>
          </cell>
          <cell r="G62">
            <v>12.97</v>
          </cell>
          <cell r="K62">
            <v>9</v>
          </cell>
          <cell r="O62">
            <v>1.75</v>
          </cell>
          <cell r="P62">
            <v>1.5206571858163132</v>
          </cell>
          <cell r="R62">
            <v>4.3</v>
          </cell>
        </row>
        <row r="63">
          <cell r="C63">
            <v>11.98</v>
          </cell>
          <cell r="E63">
            <v>13.68</v>
          </cell>
          <cell r="G63">
            <v>12.58</v>
          </cell>
          <cell r="K63">
            <v>9</v>
          </cell>
          <cell r="O63">
            <v>1.6999999999999993</v>
          </cell>
          <cell r="P63">
            <v>1.5206571858163132</v>
          </cell>
          <cell r="R63">
            <v>4.3</v>
          </cell>
        </row>
        <row r="64">
          <cell r="C64">
            <v>11.56</v>
          </cell>
          <cell r="E64">
            <v>13.15</v>
          </cell>
          <cell r="G64">
            <v>11.77</v>
          </cell>
          <cell r="K64">
            <v>8.5</v>
          </cell>
          <cell r="O64">
            <v>1.5899999999999999</v>
          </cell>
          <cell r="P64">
            <v>1.5206571858163132</v>
          </cell>
          <cell r="R64">
            <v>4.0999999999999996</v>
          </cell>
        </row>
        <row r="65">
          <cell r="C65">
            <v>11.52</v>
          </cell>
          <cell r="E65">
            <v>12.96</v>
          </cell>
          <cell r="G65">
            <v>11.06</v>
          </cell>
          <cell r="K65">
            <v>8</v>
          </cell>
          <cell r="O65">
            <v>1.4400000000000013</v>
          </cell>
          <cell r="P65">
            <v>1.5206571858163132</v>
          </cell>
          <cell r="R65">
            <v>3.9</v>
          </cell>
        </row>
        <row r="66">
          <cell r="B66" t="str">
            <v>85</v>
          </cell>
          <cell r="C66">
            <v>11.45</v>
          </cell>
          <cell r="E66">
            <v>12.88</v>
          </cell>
          <cell r="G66">
            <v>10.61</v>
          </cell>
          <cell r="K66">
            <v>8</v>
          </cell>
          <cell r="O66">
            <v>1.4300000000000015</v>
          </cell>
          <cell r="P66">
            <v>1.5206571858163132</v>
          </cell>
          <cell r="R66">
            <v>3.5</v>
          </cell>
        </row>
        <row r="67">
          <cell r="C67">
            <v>11.47</v>
          </cell>
          <cell r="E67">
            <v>13</v>
          </cell>
          <cell r="G67">
            <v>10.5</v>
          </cell>
          <cell r="K67">
            <v>8</v>
          </cell>
          <cell r="O67">
            <v>1.5299999999999994</v>
          </cell>
          <cell r="P67">
            <v>1.5206571858163132</v>
          </cell>
          <cell r="R67">
            <v>3.5</v>
          </cell>
        </row>
        <row r="68">
          <cell r="C68">
            <v>11.81</v>
          </cell>
          <cell r="E68">
            <v>13.66</v>
          </cell>
          <cell r="G68">
            <v>10.5</v>
          </cell>
          <cell r="K68">
            <v>8</v>
          </cell>
          <cell r="O68">
            <v>1.8499999999999996</v>
          </cell>
          <cell r="P68">
            <v>1.5206571858163132</v>
          </cell>
          <cell r="R68">
            <v>3.7</v>
          </cell>
        </row>
        <row r="69">
          <cell r="C69">
            <v>11.47</v>
          </cell>
          <cell r="E69">
            <v>13.42</v>
          </cell>
          <cell r="G69">
            <v>10.5</v>
          </cell>
          <cell r="K69">
            <v>8</v>
          </cell>
          <cell r="O69">
            <v>1.9499999999999993</v>
          </cell>
          <cell r="P69">
            <v>1.5206571858163132</v>
          </cell>
          <cell r="R69">
            <v>3.7</v>
          </cell>
        </row>
        <row r="70">
          <cell r="C70">
            <v>11.05</v>
          </cell>
          <cell r="E70">
            <v>12.89</v>
          </cell>
          <cell r="G70">
            <v>10.31</v>
          </cell>
          <cell r="K70">
            <v>7.5</v>
          </cell>
          <cell r="O70">
            <v>1.8399999999999999</v>
          </cell>
          <cell r="P70">
            <v>1.5206571858163132</v>
          </cell>
          <cell r="R70">
            <v>3.8</v>
          </cell>
        </row>
        <row r="71">
          <cell r="C71">
            <v>10.44</v>
          </cell>
          <cell r="E71">
            <v>11.91</v>
          </cell>
          <cell r="G71">
            <v>9.7799999999999994</v>
          </cell>
          <cell r="K71">
            <v>7.5</v>
          </cell>
          <cell r="O71">
            <v>1.4700000000000006</v>
          </cell>
          <cell r="P71">
            <v>1.5206571858163132</v>
          </cell>
          <cell r="R71">
            <v>3.8</v>
          </cell>
        </row>
        <row r="72">
          <cell r="C72">
            <v>10.5</v>
          </cell>
          <cell r="E72">
            <v>11.88</v>
          </cell>
          <cell r="G72">
            <v>9.5</v>
          </cell>
          <cell r="K72">
            <v>7.5</v>
          </cell>
          <cell r="O72">
            <v>1.3800000000000008</v>
          </cell>
          <cell r="P72">
            <v>1.5206571858163132</v>
          </cell>
          <cell r="R72">
            <v>3.6</v>
          </cell>
        </row>
        <row r="73">
          <cell r="C73">
            <v>10.56</v>
          </cell>
          <cell r="E73">
            <v>11.93</v>
          </cell>
          <cell r="G73">
            <v>9.5</v>
          </cell>
          <cell r="K73">
            <v>7.5</v>
          </cell>
          <cell r="O73">
            <v>1.3699999999999992</v>
          </cell>
          <cell r="P73">
            <v>1.5206571858163132</v>
          </cell>
          <cell r="R73">
            <v>3.3</v>
          </cell>
        </row>
        <row r="74">
          <cell r="C74">
            <v>10.61</v>
          </cell>
          <cell r="E74">
            <v>11.95</v>
          </cell>
          <cell r="G74">
            <v>9.5</v>
          </cell>
          <cell r="K74">
            <v>7.5</v>
          </cell>
          <cell r="O74">
            <v>1.3399999999999999</v>
          </cell>
          <cell r="P74">
            <v>1.5206571858163132</v>
          </cell>
          <cell r="R74">
            <v>3.1</v>
          </cell>
        </row>
        <row r="75">
          <cell r="C75">
            <v>10.5</v>
          </cell>
          <cell r="E75">
            <v>11.84</v>
          </cell>
          <cell r="G75">
            <v>9.5</v>
          </cell>
          <cell r="K75">
            <v>7.5</v>
          </cell>
          <cell r="O75">
            <v>1.3399999999999999</v>
          </cell>
          <cell r="P75">
            <v>1.5206571858163132</v>
          </cell>
          <cell r="R75">
            <v>3.2</v>
          </cell>
        </row>
        <row r="76">
          <cell r="C76">
            <v>10.06</v>
          </cell>
          <cell r="E76">
            <v>11.33</v>
          </cell>
          <cell r="G76">
            <v>9.5</v>
          </cell>
          <cell r="K76">
            <v>7.5</v>
          </cell>
          <cell r="O76">
            <v>1.2699999999999996</v>
          </cell>
          <cell r="P76">
            <v>1.5206571858163132</v>
          </cell>
          <cell r="R76">
            <v>3.5</v>
          </cell>
        </row>
        <row r="77">
          <cell r="C77">
            <v>9.5399999999999991</v>
          </cell>
          <cell r="E77">
            <v>10.82</v>
          </cell>
          <cell r="G77">
            <v>9.5</v>
          </cell>
          <cell r="K77">
            <v>7.5</v>
          </cell>
          <cell r="O77">
            <v>1.2800000000000011</v>
          </cell>
          <cell r="P77">
            <v>1.5206571858163132</v>
          </cell>
          <cell r="R77">
            <v>3.8</v>
          </cell>
        </row>
        <row r="78">
          <cell r="B78" t="str">
            <v>86</v>
          </cell>
          <cell r="C78">
            <v>9.4</v>
          </cell>
          <cell r="E78">
            <v>10.66</v>
          </cell>
          <cell r="G78">
            <v>9.5</v>
          </cell>
          <cell r="K78">
            <v>7.5</v>
          </cell>
          <cell r="O78">
            <v>1.2599999999999998</v>
          </cell>
          <cell r="P78">
            <v>1.5206571858163132</v>
          </cell>
          <cell r="R78">
            <v>3.9</v>
          </cell>
        </row>
        <row r="79">
          <cell r="C79">
            <v>8.93</v>
          </cell>
          <cell r="E79">
            <v>10.16</v>
          </cell>
          <cell r="G79">
            <v>9.5</v>
          </cell>
          <cell r="K79">
            <v>7.5</v>
          </cell>
          <cell r="O79">
            <v>1.2300000000000004</v>
          </cell>
          <cell r="P79">
            <v>1.5206571858163132</v>
          </cell>
          <cell r="R79">
            <v>3.1</v>
          </cell>
        </row>
        <row r="80">
          <cell r="C80">
            <v>7.96</v>
          </cell>
          <cell r="E80">
            <v>9.33</v>
          </cell>
          <cell r="G80">
            <v>9.1</v>
          </cell>
          <cell r="K80">
            <v>7</v>
          </cell>
          <cell r="O80">
            <v>1.37</v>
          </cell>
          <cell r="P80">
            <v>1.5206571858163132</v>
          </cell>
          <cell r="R80">
            <v>2.2999999999999998</v>
          </cell>
        </row>
        <row r="81">
          <cell r="C81">
            <v>7.39</v>
          </cell>
          <cell r="E81">
            <v>9.02</v>
          </cell>
          <cell r="G81">
            <v>8.83</v>
          </cell>
          <cell r="K81">
            <v>6.5</v>
          </cell>
          <cell r="O81">
            <v>1.63</v>
          </cell>
          <cell r="P81">
            <v>1.5206571858163132</v>
          </cell>
          <cell r="R81">
            <v>1.6</v>
          </cell>
        </row>
        <row r="82">
          <cell r="C82">
            <v>7.52</v>
          </cell>
          <cell r="E82">
            <v>9.52</v>
          </cell>
          <cell r="G82">
            <v>8.5</v>
          </cell>
          <cell r="K82">
            <v>6.5</v>
          </cell>
          <cell r="O82">
            <v>2</v>
          </cell>
          <cell r="P82">
            <v>1.5206571858163132</v>
          </cell>
          <cell r="R82">
            <v>1.5</v>
          </cell>
        </row>
        <row r="83">
          <cell r="C83">
            <v>7.57</v>
          </cell>
          <cell r="E83">
            <v>9.51</v>
          </cell>
          <cell r="G83">
            <v>8.5</v>
          </cell>
          <cell r="K83">
            <v>6.5</v>
          </cell>
          <cell r="O83">
            <v>1.9399999999999995</v>
          </cell>
          <cell r="P83">
            <v>1.5206571858163132</v>
          </cell>
          <cell r="R83">
            <v>1.8</v>
          </cell>
        </row>
        <row r="84">
          <cell r="C84">
            <v>7.27</v>
          </cell>
          <cell r="E84">
            <v>9.19</v>
          </cell>
          <cell r="G84">
            <v>8.16</v>
          </cell>
          <cell r="K84">
            <v>6</v>
          </cell>
          <cell r="O84">
            <v>1.92</v>
          </cell>
          <cell r="P84">
            <v>1.5206571858163132</v>
          </cell>
          <cell r="R84">
            <v>1.6</v>
          </cell>
        </row>
        <row r="85">
          <cell r="C85">
            <v>7.33</v>
          </cell>
          <cell r="E85">
            <v>9.15</v>
          </cell>
          <cell r="G85">
            <v>7.9</v>
          </cell>
          <cell r="K85">
            <v>5.5</v>
          </cell>
          <cell r="O85">
            <v>1.8200000000000003</v>
          </cell>
          <cell r="P85">
            <v>1.5206571858163132</v>
          </cell>
          <cell r="R85">
            <v>1.6</v>
          </cell>
        </row>
        <row r="86">
          <cell r="C86">
            <v>7.62</v>
          </cell>
          <cell r="E86">
            <v>9.42</v>
          </cell>
          <cell r="G86">
            <v>7.5</v>
          </cell>
          <cell r="K86">
            <v>5.5</v>
          </cell>
          <cell r="O86">
            <v>1.7999999999999998</v>
          </cell>
          <cell r="P86">
            <v>1.5206571858163132</v>
          </cell>
          <cell r="R86">
            <v>1.8</v>
          </cell>
        </row>
        <row r="87">
          <cell r="C87">
            <v>7.7</v>
          </cell>
          <cell r="E87">
            <v>9.39</v>
          </cell>
          <cell r="G87">
            <v>7.5</v>
          </cell>
          <cell r="K87">
            <v>5.5</v>
          </cell>
          <cell r="O87">
            <v>1.6900000000000004</v>
          </cell>
          <cell r="P87">
            <v>1.5206571858163132</v>
          </cell>
          <cell r="R87">
            <v>1.5</v>
          </cell>
        </row>
        <row r="88">
          <cell r="C88">
            <v>7.52</v>
          </cell>
          <cell r="E88">
            <v>9.15</v>
          </cell>
          <cell r="G88">
            <v>7.5</v>
          </cell>
          <cell r="K88">
            <v>5.5</v>
          </cell>
          <cell r="O88">
            <v>1.6300000000000008</v>
          </cell>
          <cell r="P88">
            <v>1.5206571858163132</v>
          </cell>
          <cell r="R88">
            <v>1.3</v>
          </cell>
        </row>
        <row r="89">
          <cell r="C89">
            <v>7.37</v>
          </cell>
          <cell r="E89">
            <v>8.9600000000000009</v>
          </cell>
          <cell r="G89">
            <v>7.5</v>
          </cell>
          <cell r="K89">
            <v>5.5</v>
          </cell>
          <cell r="O89">
            <v>1.5900000000000007</v>
          </cell>
          <cell r="P89">
            <v>1.5206571858163132</v>
          </cell>
          <cell r="R89">
            <v>1.1000000000000001</v>
          </cell>
        </row>
        <row r="90">
          <cell r="B90">
            <v>87</v>
          </cell>
          <cell r="C90">
            <v>7.39</v>
          </cell>
          <cell r="E90">
            <v>8.77</v>
          </cell>
          <cell r="G90">
            <v>7.5</v>
          </cell>
          <cell r="K90">
            <v>5.5</v>
          </cell>
          <cell r="O90">
            <v>1.38</v>
          </cell>
          <cell r="P90">
            <v>1.5206571858163132</v>
          </cell>
          <cell r="R90">
            <v>1.5</v>
          </cell>
        </row>
        <row r="91">
          <cell r="C91">
            <v>7.54</v>
          </cell>
          <cell r="E91">
            <v>8.81</v>
          </cell>
          <cell r="G91">
            <v>7.5</v>
          </cell>
          <cell r="K91">
            <v>5.5</v>
          </cell>
          <cell r="O91">
            <v>1.2700000000000005</v>
          </cell>
          <cell r="P91">
            <v>1.5206571858163132</v>
          </cell>
          <cell r="R91">
            <v>2.1</v>
          </cell>
        </row>
        <row r="92">
          <cell r="C92">
            <v>7.55</v>
          </cell>
          <cell r="E92">
            <v>8.75</v>
          </cell>
          <cell r="G92">
            <v>7.5</v>
          </cell>
          <cell r="K92">
            <v>5.5</v>
          </cell>
          <cell r="O92">
            <v>1.2000000000000002</v>
          </cell>
          <cell r="P92">
            <v>1.5206571858163132</v>
          </cell>
          <cell r="R92">
            <v>3</v>
          </cell>
        </row>
        <row r="93">
          <cell r="C93">
            <v>8.25</v>
          </cell>
          <cell r="E93">
            <v>9.3000000000000007</v>
          </cell>
          <cell r="G93">
            <v>7.75</v>
          </cell>
          <cell r="K93">
            <v>5.5</v>
          </cell>
          <cell r="O93">
            <v>1.0500000000000007</v>
          </cell>
          <cell r="P93">
            <v>1.5206571858163132</v>
          </cell>
          <cell r="R93">
            <v>3.8</v>
          </cell>
        </row>
        <row r="94">
          <cell r="C94">
            <v>8.7799999999999994</v>
          </cell>
          <cell r="E94">
            <v>9.82</v>
          </cell>
          <cell r="G94">
            <v>8.14</v>
          </cell>
          <cell r="K94">
            <v>5.5</v>
          </cell>
          <cell r="O94">
            <v>1.0400000000000009</v>
          </cell>
          <cell r="P94">
            <v>1.5206571858163132</v>
          </cell>
          <cell r="R94">
            <v>3.9</v>
          </cell>
        </row>
        <row r="95">
          <cell r="C95">
            <v>8.57</v>
          </cell>
          <cell r="E95">
            <v>9.8699999999999992</v>
          </cell>
          <cell r="G95">
            <v>8.25</v>
          </cell>
          <cell r="K95">
            <v>5.5</v>
          </cell>
          <cell r="O95">
            <v>1.2999999999999989</v>
          </cell>
          <cell r="P95">
            <v>1.5206571858163132</v>
          </cell>
          <cell r="R95">
            <v>3.7</v>
          </cell>
        </row>
        <row r="96">
          <cell r="C96">
            <v>8.64</v>
          </cell>
          <cell r="E96">
            <v>10.01</v>
          </cell>
          <cell r="G96">
            <v>8.25</v>
          </cell>
          <cell r="K96">
            <v>5.5</v>
          </cell>
          <cell r="O96">
            <v>1.3699999999999992</v>
          </cell>
          <cell r="P96">
            <v>1.5206571858163132</v>
          </cell>
          <cell r="R96">
            <v>3.9</v>
          </cell>
        </row>
        <row r="97">
          <cell r="C97">
            <v>8.9700000000000006</v>
          </cell>
          <cell r="E97">
            <v>10.33</v>
          </cell>
          <cell r="G97">
            <v>8.25</v>
          </cell>
          <cell r="K97">
            <v>5.5</v>
          </cell>
          <cell r="O97">
            <v>1.3599999999999994</v>
          </cell>
          <cell r="P97">
            <v>1.5206571858163132</v>
          </cell>
          <cell r="R97">
            <v>4.3</v>
          </cell>
        </row>
        <row r="98">
          <cell r="C98">
            <v>9.59</v>
          </cell>
          <cell r="E98">
            <v>11</v>
          </cell>
          <cell r="G98">
            <v>8.6999999999999993</v>
          </cell>
          <cell r="K98">
            <v>6</v>
          </cell>
          <cell r="O98">
            <v>1.4100000000000001</v>
          </cell>
          <cell r="P98">
            <v>1.5206571858163132</v>
          </cell>
          <cell r="R98">
            <v>4.4000000000000004</v>
          </cell>
        </row>
        <row r="99">
          <cell r="C99">
            <v>9.61</v>
          </cell>
          <cell r="E99">
            <v>11.32</v>
          </cell>
          <cell r="G99">
            <v>9.07</v>
          </cell>
          <cell r="K99">
            <v>6</v>
          </cell>
          <cell r="O99">
            <v>1.7100000000000009</v>
          </cell>
          <cell r="P99">
            <v>1.5206571858163132</v>
          </cell>
          <cell r="R99">
            <v>4.5</v>
          </cell>
        </row>
        <row r="100">
          <cell r="C100">
            <v>8.9499999999999993</v>
          </cell>
          <cell r="E100">
            <v>10.82</v>
          </cell>
          <cell r="G100">
            <v>8.7799999999999994</v>
          </cell>
          <cell r="K100">
            <v>6</v>
          </cell>
          <cell r="O100">
            <v>1.870000000000001</v>
          </cell>
          <cell r="P100">
            <v>1.5206571858163132</v>
          </cell>
          <cell r="R100">
            <v>4.5</v>
          </cell>
        </row>
        <row r="101">
          <cell r="C101">
            <v>9.1199999999999992</v>
          </cell>
          <cell r="E101">
            <v>10.99</v>
          </cell>
          <cell r="G101">
            <v>8.75</v>
          </cell>
          <cell r="K101">
            <v>6</v>
          </cell>
          <cell r="O101">
            <v>1.870000000000001</v>
          </cell>
          <cell r="P101">
            <v>1.5206571858163132</v>
          </cell>
          <cell r="R101">
            <v>4.4000000000000004</v>
          </cell>
        </row>
        <row r="102">
          <cell r="B102" t="str">
            <v>88</v>
          </cell>
          <cell r="C102">
            <v>8.83</v>
          </cell>
          <cell r="E102">
            <v>10.75</v>
          </cell>
          <cell r="G102">
            <v>8.75</v>
          </cell>
          <cell r="K102">
            <v>6</v>
          </cell>
          <cell r="O102">
            <v>1.92</v>
          </cell>
          <cell r="P102">
            <v>1.5206571858163132</v>
          </cell>
          <cell r="R102">
            <v>4</v>
          </cell>
        </row>
        <row r="103">
          <cell r="C103">
            <v>8.43</v>
          </cell>
          <cell r="E103">
            <v>10.11</v>
          </cell>
          <cell r="G103">
            <v>8.51</v>
          </cell>
          <cell r="K103">
            <v>6</v>
          </cell>
          <cell r="O103">
            <v>1.6799999999999997</v>
          </cell>
          <cell r="P103">
            <v>1.5206571858163132</v>
          </cell>
          <cell r="R103">
            <v>3.9</v>
          </cell>
        </row>
        <row r="104">
          <cell r="C104">
            <v>8.6300000000000008</v>
          </cell>
          <cell r="E104">
            <v>10.11</v>
          </cell>
          <cell r="G104">
            <v>8.5</v>
          </cell>
          <cell r="K104">
            <v>6</v>
          </cell>
          <cell r="O104">
            <v>1.4799999999999986</v>
          </cell>
          <cell r="P104">
            <v>1.5206571858163132</v>
          </cell>
          <cell r="R104">
            <v>3.9</v>
          </cell>
        </row>
        <row r="105">
          <cell r="C105">
            <v>8.9499999999999993</v>
          </cell>
          <cell r="E105">
            <v>10.53</v>
          </cell>
          <cell r="G105">
            <v>8.5</v>
          </cell>
          <cell r="K105">
            <v>6</v>
          </cell>
          <cell r="O105">
            <v>1.58</v>
          </cell>
          <cell r="P105">
            <v>1.5206571858163132</v>
          </cell>
          <cell r="R105">
            <v>3.9</v>
          </cell>
        </row>
        <row r="106">
          <cell r="C106">
            <v>9.23</v>
          </cell>
          <cell r="E106">
            <v>10.75</v>
          </cell>
          <cell r="G106">
            <v>8.84</v>
          </cell>
          <cell r="K106">
            <v>6</v>
          </cell>
          <cell r="O106">
            <v>1.5199999999999996</v>
          </cell>
          <cell r="P106">
            <v>1.5206571858163132</v>
          </cell>
          <cell r="R106">
            <v>3.9</v>
          </cell>
        </row>
        <row r="107">
          <cell r="C107">
            <v>9</v>
          </cell>
          <cell r="E107">
            <v>10.71</v>
          </cell>
          <cell r="G107">
            <v>9</v>
          </cell>
          <cell r="K107">
            <v>6</v>
          </cell>
          <cell r="O107">
            <v>1.7100000000000009</v>
          </cell>
          <cell r="P107">
            <v>1.5206571858163132</v>
          </cell>
          <cell r="R107">
            <v>4</v>
          </cell>
        </row>
        <row r="108">
          <cell r="C108">
            <v>9.14</v>
          </cell>
          <cell r="E108">
            <v>10.96</v>
          </cell>
          <cell r="G108">
            <v>9.2899999999999991</v>
          </cell>
          <cell r="K108">
            <v>6</v>
          </cell>
          <cell r="O108">
            <v>1.8200000000000003</v>
          </cell>
          <cell r="P108">
            <v>1.5206571858163132</v>
          </cell>
          <cell r="R108">
            <v>4.0999999999999996</v>
          </cell>
        </row>
        <row r="109">
          <cell r="C109">
            <v>9.32</v>
          </cell>
          <cell r="E109">
            <v>11.09</v>
          </cell>
          <cell r="G109">
            <v>9.84</v>
          </cell>
          <cell r="K109">
            <v>6.5</v>
          </cell>
          <cell r="O109">
            <v>1.7699999999999996</v>
          </cell>
          <cell r="P109">
            <v>1.5206571858163132</v>
          </cell>
          <cell r="R109">
            <v>4</v>
          </cell>
        </row>
        <row r="110">
          <cell r="C110">
            <v>9.06</v>
          </cell>
          <cell r="E110">
            <v>10.56</v>
          </cell>
          <cell r="G110">
            <v>10</v>
          </cell>
          <cell r="K110">
            <v>6.5</v>
          </cell>
          <cell r="O110">
            <v>1.5</v>
          </cell>
          <cell r="P110">
            <v>1.5206571858163132</v>
          </cell>
          <cell r="R110">
            <v>4.2</v>
          </cell>
        </row>
        <row r="111">
          <cell r="C111">
            <v>8.89</v>
          </cell>
          <cell r="E111">
            <v>9.92</v>
          </cell>
          <cell r="G111">
            <v>10</v>
          </cell>
          <cell r="K111">
            <v>6.5</v>
          </cell>
          <cell r="O111">
            <v>1.0299999999999994</v>
          </cell>
          <cell r="P111">
            <v>1.5206571858163132</v>
          </cell>
          <cell r="R111">
            <v>4.2</v>
          </cell>
        </row>
        <row r="112">
          <cell r="C112">
            <v>9.02</v>
          </cell>
          <cell r="E112">
            <v>9.89</v>
          </cell>
          <cell r="G112">
            <v>10.050000000000001</v>
          </cell>
          <cell r="K112">
            <v>6.5</v>
          </cell>
          <cell r="O112">
            <v>0.87000000000000099</v>
          </cell>
          <cell r="P112">
            <v>1.5206571858163132</v>
          </cell>
          <cell r="R112">
            <v>4.2</v>
          </cell>
        </row>
        <row r="113">
          <cell r="C113">
            <v>9.01</v>
          </cell>
          <cell r="E113">
            <v>10.02</v>
          </cell>
          <cell r="G113">
            <v>10.5</v>
          </cell>
          <cell r="K113">
            <v>6.5</v>
          </cell>
          <cell r="O113">
            <v>1.0099999999999998</v>
          </cell>
          <cell r="P113">
            <v>1.5206571858163132</v>
          </cell>
          <cell r="R113">
            <v>4.4000000000000004</v>
          </cell>
        </row>
        <row r="114">
          <cell r="B114" t="str">
            <v>89</v>
          </cell>
          <cell r="C114">
            <v>8.93</v>
          </cell>
          <cell r="E114">
            <v>10.02</v>
          </cell>
          <cell r="G114">
            <v>10.5</v>
          </cell>
          <cell r="K114">
            <v>6.5</v>
          </cell>
          <cell r="O114">
            <v>1.0899999999999999</v>
          </cell>
          <cell r="P114">
            <v>1.5206571858163132</v>
          </cell>
          <cell r="R114">
            <v>4.7</v>
          </cell>
        </row>
        <row r="115">
          <cell r="C115">
            <v>9.01</v>
          </cell>
          <cell r="E115">
            <v>10.02</v>
          </cell>
          <cell r="G115">
            <v>10.93</v>
          </cell>
          <cell r="K115">
            <v>7</v>
          </cell>
          <cell r="O115">
            <v>1.0099999999999998</v>
          </cell>
          <cell r="P115">
            <v>1.5206571858163132</v>
          </cell>
          <cell r="R115">
            <v>4.8</v>
          </cell>
        </row>
        <row r="116">
          <cell r="C116">
            <v>9.17</v>
          </cell>
          <cell r="E116">
            <v>10.16</v>
          </cell>
          <cell r="G116">
            <v>11.5</v>
          </cell>
          <cell r="K116">
            <v>7</v>
          </cell>
          <cell r="O116">
            <v>0.99000000000000021</v>
          </cell>
          <cell r="P116">
            <v>1.5206571858163132</v>
          </cell>
          <cell r="R116">
            <v>5</v>
          </cell>
        </row>
        <row r="117">
          <cell r="C117">
            <v>9.0299999999999994</v>
          </cell>
          <cell r="E117">
            <v>10.14</v>
          </cell>
          <cell r="G117">
            <v>11.5</v>
          </cell>
          <cell r="K117">
            <v>7</v>
          </cell>
          <cell r="O117">
            <v>1.1100000000000012</v>
          </cell>
          <cell r="P117">
            <v>1.5206571858163132</v>
          </cell>
          <cell r="R117">
            <v>5.0999999999999996</v>
          </cell>
        </row>
        <row r="118">
          <cell r="C118">
            <v>8.83</v>
          </cell>
          <cell r="E118">
            <v>9.92</v>
          </cell>
          <cell r="G118">
            <v>11.5</v>
          </cell>
          <cell r="K118">
            <v>7</v>
          </cell>
          <cell r="O118">
            <v>1.0899999999999999</v>
          </cell>
          <cell r="P118">
            <v>1.5206571858163132</v>
          </cell>
          <cell r="R118">
            <v>5.4</v>
          </cell>
        </row>
        <row r="119">
          <cell r="C119">
            <v>8.27</v>
          </cell>
          <cell r="E119">
            <v>9.49</v>
          </cell>
          <cell r="G119">
            <v>11.07</v>
          </cell>
          <cell r="K119">
            <v>7</v>
          </cell>
          <cell r="O119">
            <v>1.2200000000000006</v>
          </cell>
          <cell r="P119">
            <v>1.5206571858163132</v>
          </cell>
          <cell r="R119">
            <v>5.2</v>
          </cell>
        </row>
        <row r="120">
          <cell r="C120">
            <v>8.08</v>
          </cell>
          <cell r="E120">
            <v>9.34</v>
          </cell>
          <cell r="G120">
            <v>10.98</v>
          </cell>
          <cell r="K120">
            <v>7</v>
          </cell>
          <cell r="O120">
            <v>1.2599999999999998</v>
          </cell>
          <cell r="P120">
            <v>1.5206571858163132</v>
          </cell>
          <cell r="R120">
            <v>5</v>
          </cell>
        </row>
        <row r="121">
          <cell r="C121">
            <v>8.1199999999999992</v>
          </cell>
          <cell r="E121">
            <v>9.3699999999999992</v>
          </cell>
          <cell r="G121">
            <v>10.5</v>
          </cell>
          <cell r="K121">
            <v>7</v>
          </cell>
          <cell r="O121">
            <v>1.25</v>
          </cell>
          <cell r="P121">
            <v>1.5206571858163132</v>
          </cell>
          <cell r="R121">
            <v>4.7</v>
          </cell>
        </row>
        <row r="122">
          <cell r="C122">
            <v>8.15</v>
          </cell>
          <cell r="E122">
            <v>9.43</v>
          </cell>
          <cell r="G122">
            <v>10.5</v>
          </cell>
          <cell r="K122">
            <v>7</v>
          </cell>
          <cell r="O122">
            <v>1.2799999999999994</v>
          </cell>
          <cell r="P122">
            <v>1.5206571858163132</v>
          </cell>
          <cell r="R122">
            <v>4.3</v>
          </cell>
        </row>
        <row r="123">
          <cell r="C123">
            <v>8</v>
          </cell>
          <cell r="E123">
            <v>9.3699999999999992</v>
          </cell>
          <cell r="G123">
            <v>10.5</v>
          </cell>
          <cell r="K123">
            <v>7</v>
          </cell>
          <cell r="O123">
            <v>1.3699999999999992</v>
          </cell>
          <cell r="P123">
            <v>1.5206571858163132</v>
          </cell>
          <cell r="R123">
            <v>4.5</v>
          </cell>
        </row>
        <row r="124">
          <cell r="C124">
            <v>7.9</v>
          </cell>
          <cell r="E124">
            <v>9.33</v>
          </cell>
          <cell r="G124">
            <v>10.5</v>
          </cell>
          <cell r="K124">
            <v>7</v>
          </cell>
          <cell r="O124">
            <v>1.4299999999999997</v>
          </cell>
          <cell r="P124">
            <v>1.5206571858163132</v>
          </cell>
          <cell r="R124">
            <v>4.7</v>
          </cell>
        </row>
        <row r="125">
          <cell r="C125">
            <v>7.9</v>
          </cell>
          <cell r="E125">
            <v>9.31</v>
          </cell>
          <cell r="G125">
            <v>10.5</v>
          </cell>
          <cell r="K125">
            <v>7</v>
          </cell>
          <cell r="O125">
            <v>1.4100000000000001</v>
          </cell>
          <cell r="P125">
            <v>1.5206571858163132</v>
          </cell>
          <cell r="R125">
            <v>4.5999999999999996</v>
          </cell>
        </row>
        <row r="126">
          <cell r="B126" t="str">
            <v>90</v>
          </cell>
          <cell r="C126">
            <v>8.26</v>
          </cell>
          <cell r="E126">
            <v>9.44</v>
          </cell>
          <cell r="G126">
            <v>10.11</v>
          </cell>
          <cell r="K126">
            <v>7</v>
          </cell>
          <cell r="O126">
            <v>1.1799999999999997</v>
          </cell>
          <cell r="P126">
            <v>1.5206571858163132</v>
          </cell>
          <cell r="R126">
            <v>5.2</v>
          </cell>
        </row>
        <row r="127">
          <cell r="C127">
            <v>8.5</v>
          </cell>
          <cell r="E127">
            <v>9.66</v>
          </cell>
          <cell r="G127">
            <v>10</v>
          </cell>
          <cell r="K127">
            <v>7</v>
          </cell>
          <cell r="O127">
            <v>1.1600000000000001</v>
          </cell>
          <cell r="P127">
            <v>1.5206571858163132</v>
          </cell>
          <cell r="R127">
            <v>5.3</v>
          </cell>
        </row>
        <row r="128">
          <cell r="C128">
            <v>8.56</v>
          </cell>
          <cell r="E128">
            <v>9.75</v>
          </cell>
          <cell r="G128">
            <v>10</v>
          </cell>
          <cell r="K128">
            <v>7</v>
          </cell>
          <cell r="O128">
            <v>1.1899999999999995</v>
          </cell>
          <cell r="P128">
            <v>1.5206571858163132</v>
          </cell>
          <cell r="R128">
            <v>5.2</v>
          </cell>
        </row>
        <row r="129">
          <cell r="C129">
            <v>8.76</v>
          </cell>
          <cell r="E129">
            <v>9.8699999999999992</v>
          </cell>
          <cell r="G129">
            <v>10</v>
          </cell>
          <cell r="K129">
            <v>7</v>
          </cell>
          <cell r="O129">
            <v>1.1099999999999994</v>
          </cell>
          <cell r="P129">
            <v>1.5206571858163132</v>
          </cell>
          <cell r="R129">
            <v>4.7</v>
          </cell>
        </row>
        <row r="130">
          <cell r="C130">
            <v>8.73</v>
          </cell>
          <cell r="E130">
            <v>9.89</v>
          </cell>
          <cell r="G130">
            <v>10</v>
          </cell>
          <cell r="K130">
            <v>7</v>
          </cell>
          <cell r="O130">
            <v>1.1600000000000001</v>
          </cell>
          <cell r="P130">
            <v>1.5206571858163132</v>
          </cell>
          <cell r="R130">
            <v>4.4000000000000004</v>
          </cell>
        </row>
        <row r="131">
          <cell r="C131">
            <v>8.4600000000000009</v>
          </cell>
          <cell r="E131">
            <v>9.69</v>
          </cell>
          <cell r="G131">
            <v>10</v>
          </cell>
          <cell r="K131">
            <v>7</v>
          </cell>
          <cell r="O131">
            <v>1.2299999999999986</v>
          </cell>
          <cell r="P131">
            <v>1.5206571858163132</v>
          </cell>
          <cell r="R131">
            <v>4.7</v>
          </cell>
        </row>
        <row r="132">
          <cell r="C132">
            <v>8.5</v>
          </cell>
          <cell r="E132">
            <v>9.66</v>
          </cell>
          <cell r="G132">
            <v>10</v>
          </cell>
          <cell r="K132">
            <v>7</v>
          </cell>
          <cell r="O132">
            <v>1.1600000000000001</v>
          </cell>
          <cell r="P132">
            <v>1.5206571858163132</v>
          </cell>
          <cell r="R132">
            <v>4.8</v>
          </cell>
        </row>
        <row r="133">
          <cell r="C133">
            <v>8.86</v>
          </cell>
          <cell r="E133">
            <v>9.84</v>
          </cell>
          <cell r="G133">
            <v>10</v>
          </cell>
          <cell r="K133">
            <v>7</v>
          </cell>
          <cell r="O133">
            <v>0.98000000000000043</v>
          </cell>
          <cell r="P133">
            <v>1.5206571858163132</v>
          </cell>
          <cell r="R133">
            <v>5.6</v>
          </cell>
        </row>
        <row r="134">
          <cell r="C134">
            <v>9.0299999999999994</v>
          </cell>
          <cell r="E134">
            <v>10.01</v>
          </cell>
          <cell r="G134">
            <v>10</v>
          </cell>
          <cell r="K134">
            <v>7</v>
          </cell>
          <cell r="O134">
            <v>0.98000000000000043</v>
          </cell>
          <cell r="P134">
            <v>1.5206571858163132</v>
          </cell>
          <cell r="R134">
            <v>6.2</v>
          </cell>
        </row>
        <row r="135">
          <cell r="C135">
            <v>8.86</v>
          </cell>
          <cell r="E135">
            <v>9.94</v>
          </cell>
          <cell r="G135">
            <v>10</v>
          </cell>
          <cell r="K135">
            <v>7</v>
          </cell>
          <cell r="O135">
            <v>1.08</v>
          </cell>
          <cell r="P135">
            <v>1.5206571858163132</v>
          </cell>
          <cell r="R135">
            <v>6.3</v>
          </cell>
        </row>
        <row r="136">
          <cell r="C136">
            <v>8.5399999999999991</v>
          </cell>
          <cell r="E136">
            <v>9.76</v>
          </cell>
          <cell r="G136">
            <v>10</v>
          </cell>
          <cell r="K136">
            <v>7</v>
          </cell>
          <cell r="O136">
            <v>1.2200000000000006</v>
          </cell>
          <cell r="P136">
            <v>1.5206571858163132</v>
          </cell>
          <cell r="R136">
            <v>6.3</v>
          </cell>
        </row>
        <row r="137">
          <cell r="C137">
            <v>8.24</v>
          </cell>
          <cell r="E137">
            <v>9.57</v>
          </cell>
          <cell r="G137">
            <v>10</v>
          </cell>
          <cell r="K137">
            <v>6.5</v>
          </cell>
          <cell r="O137">
            <v>1.33</v>
          </cell>
          <cell r="P137">
            <v>1.5206571858163132</v>
          </cell>
          <cell r="R137">
            <v>6.1</v>
          </cell>
        </row>
        <row r="138">
          <cell r="B138" t="str">
            <v>91</v>
          </cell>
          <cell r="C138">
            <v>8.27</v>
          </cell>
          <cell r="E138">
            <v>9.56</v>
          </cell>
          <cell r="G138">
            <v>9.52</v>
          </cell>
          <cell r="K138">
            <v>6.5</v>
          </cell>
          <cell r="O138">
            <v>1.2900000000000009</v>
          </cell>
          <cell r="P138">
            <v>1.5206571858163132</v>
          </cell>
          <cell r="R138">
            <v>5.7</v>
          </cell>
        </row>
        <row r="139">
          <cell r="C139">
            <v>8.0299999999999994</v>
          </cell>
          <cell r="E139">
            <v>9.31</v>
          </cell>
          <cell r="G139">
            <v>9.0500000000000007</v>
          </cell>
          <cell r="K139">
            <v>6</v>
          </cell>
          <cell r="O139">
            <v>1.2800000000000011</v>
          </cell>
          <cell r="P139">
            <v>1.5206571858163132</v>
          </cell>
          <cell r="R139">
            <v>5.3</v>
          </cell>
        </row>
        <row r="140">
          <cell r="C140">
            <v>8.2899999999999991</v>
          </cell>
          <cell r="E140">
            <v>9.39</v>
          </cell>
          <cell r="G140">
            <v>9</v>
          </cell>
          <cell r="K140">
            <v>6</v>
          </cell>
          <cell r="O140">
            <v>1.1000000000000014</v>
          </cell>
          <cell r="P140">
            <v>1.5206571858163132</v>
          </cell>
          <cell r="R140">
            <v>4.9000000000000004</v>
          </cell>
        </row>
        <row r="141">
          <cell r="C141">
            <v>8.2100000000000009</v>
          </cell>
          <cell r="E141">
            <v>9.3000000000000007</v>
          </cell>
          <cell r="G141">
            <v>9</v>
          </cell>
          <cell r="K141">
            <v>5.5</v>
          </cell>
          <cell r="O141">
            <v>1.0899999999999999</v>
          </cell>
          <cell r="P141">
            <v>1.5206571858163132</v>
          </cell>
          <cell r="R141">
            <v>4.9000000000000004</v>
          </cell>
        </row>
        <row r="142">
          <cell r="C142">
            <v>8.27</v>
          </cell>
          <cell r="E142">
            <v>9.2899999999999991</v>
          </cell>
          <cell r="G142">
            <v>8.5</v>
          </cell>
          <cell r="K142">
            <v>5.5</v>
          </cell>
          <cell r="O142">
            <v>1.0199999999999996</v>
          </cell>
          <cell r="P142">
            <v>1.5206571858163132</v>
          </cell>
          <cell r="R142">
            <v>5</v>
          </cell>
        </row>
        <row r="143">
          <cell r="C143">
            <v>8.4700000000000006</v>
          </cell>
          <cell r="E143">
            <v>9.44</v>
          </cell>
          <cell r="G143">
            <v>8.5</v>
          </cell>
          <cell r="K143">
            <v>5.5</v>
          </cell>
          <cell r="O143">
            <v>0.96999999999999886</v>
          </cell>
          <cell r="P143">
            <v>1.5206571858163132</v>
          </cell>
          <cell r="R143">
            <v>4.7</v>
          </cell>
        </row>
        <row r="144">
          <cell r="C144">
            <v>8.4499999999999993</v>
          </cell>
          <cell r="E144">
            <v>9.4</v>
          </cell>
          <cell r="G144">
            <v>8.5</v>
          </cell>
          <cell r="K144">
            <v>5.5</v>
          </cell>
          <cell r="O144">
            <v>0.95000000000000107</v>
          </cell>
          <cell r="P144">
            <v>1.5206571858163132</v>
          </cell>
          <cell r="R144">
            <v>4.4000000000000004</v>
          </cell>
        </row>
        <row r="145">
          <cell r="C145">
            <v>8.14</v>
          </cell>
          <cell r="E145">
            <v>9.16</v>
          </cell>
          <cell r="G145">
            <v>8.5</v>
          </cell>
          <cell r="K145">
            <v>5.5</v>
          </cell>
          <cell r="O145">
            <v>1.0199999999999996</v>
          </cell>
          <cell r="P145">
            <v>1.5206571858163132</v>
          </cell>
          <cell r="R145">
            <v>3.8</v>
          </cell>
        </row>
        <row r="146">
          <cell r="C146">
            <v>7.95</v>
          </cell>
          <cell r="E146">
            <v>9.0299999999999994</v>
          </cell>
          <cell r="G146">
            <v>8.1999999999999993</v>
          </cell>
          <cell r="K146">
            <v>5</v>
          </cell>
          <cell r="O146">
            <v>1.0799999999999992</v>
          </cell>
          <cell r="P146">
            <v>1.5206571858163132</v>
          </cell>
          <cell r="R146">
            <v>3.4</v>
          </cell>
        </row>
        <row r="147">
          <cell r="C147">
            <v>7.93</v>
          </cell>
          <cell r="E147">
            <v>8.99</v>
          </cell>
          <cell r="G147">
            <v>8</v>
          </cell>
          <cell r="K147">
            <v>5</v>
          </cell>
          <cell r="O147">
            <v>1.0600000000000005</v>
          </cell>
          <cell r="P147">
            <v>1.5206571858163132</v>
          </cell>
          <cell r="R147">
            <v>2.9</v>
          </cell>
        </row>
        <row r="148">
          <cell r="C148">
            <v>7.92</v>
          </cell>
          <cell r="E148">
            <v>8.93</v>
          </cell>
          <cell r="G148">
            <v>7.58</v>
          </cell>
          <cell r="K148">
            <v>5</v>
          </cell>
          <cell r="O148">
            <v>1.0099999999999998</v>
          </cell>
          <cell r="P148">
            <v>1.5206571858163132</v>
          </cell>
          <cell r="R148">
            <v>3</v>
          </cell>
        </row>
        <row r="149">
          <cell r="C149">
            <v>7.7</v>
          </cell>
          <cell r="E149">
            <v>8.76</v>
          </cell>
          <cell r="G149">
            <v>7.21</v>
          </cell>
          <cell r="K149">
            <v>4.5</v>
          </cell>
          <cell r="O149">
            <v>1.0599999999999996</v>
          </cell>
          <cell r="P149">
            <v>1.5206571858163132</v>
          </cell>
          <cell r="R149">
            <v>3.1</v>
          </cell>
        </row>
        <row r="150">
          <cell r="B150" t="str">
            <v>92</v>
          </cell>
          <cell r="C150">
            <v>7.58</v>
          </cell>
          <cell r="E150">
            <v>8.67</v>
          </cell>
          <cell r="G150">
            <v>6.5</v>
          </cell>
          <cell r="K150">
            <v>3.5</v>
          </cell>
          <cell r="O150">
            <v>1.0899999999999999</v>
          </cell>
          <cell r="P150">
            <v>1.5206571858163132</v>
          </cell>
          <cell r="R150">
            <v>2.6</v>
          </cell>
        </row>
        <row r="151">
          <cell r="C151">
            <v>7.85</v>
          </cell>
          <cell r="E151">
            <v>8.77</v>
          </cell>
          <cell r="G151">
            <v>6.5</v>
          </cell>
          <cell r="K151">
            <v>3.5</v>
          </cell>
          <cell r="O151">
            <v>0.91999999999999993</v>
          </cell>
          <cell r="P151">
            <v>1.5206571858163132</v>
          </cell>
          <cell r="R151">
            <v>2.8</v>
          </cell>
        </row>
        <row r="152">
          <cell r="C152">
            <v>7.97</v>
          </cell>
          <cell r="E152">
            <v>8.84</v>
          </cell>
          <cell r="G152">
            <v>6.5</v>
          </cell>
          <cell r="K152">
            <v>3.5</v>
          </cell>
          <cell r="O152">
            <v>0.87000000000000011</v>
          </cell>
          <cell r="P152">
            <v>1.5206571858163132</v>
          </cell>
          <cell r="R152">
            <v>3.2</v>
          </cell>
        </row>
        <row r="153">
          <cell r="C153">
            <v>7.96</v>
          </cell>
          <cell r="E153">
            <v>8.7899999999999991</v>
          </cell>
          <cell r="G153">
            <v>6.5</v>
          </cell>
          <cell r="K153">
            <v>3.5</v>
          </cell>
          <cell r="O153">
            <v>0.82999999999999918</v>
          </cell>
          <cell r="P153">
            <v>1.5206571858163132</v>
          </cell>
          <cell r="R153">
            <v>3.2</v>
          </cell>
        </row>
        <row r="154">
          <cell r="C154">
            <v>7.89</v>
          </cell>
          <cell r="E154">
            <v>8.7200000000000006</v>
          </cell>
          <cell r="G154">
            <v>6.5</v>
          </cell>
          <cell r="K154">
            <v>3.5</v>
          </cell>
          <cell r="O154">
            <v>0.83000000000000096</v>
          </cell>
          <cell r="P154">
            <v>1.5206571858163132</v>
          </cell>
          <cell r="R154">
            <v>3</v>
          </cell>
        </row>
        <row r="155">
          <cell r="C155">
            <v>7.84</v>
          </cell>
          <cell r="E155">
            <v>8.64</v>
          </cell>
          <cell r="G155">
            <v>6.5</v>
          </cell>
          <cell r="K155">
            <v>3.5</v>
          </cell>
          <cell r="O155">
            <v>0.80000000000000071</v>
          </cell>
          <cell r="P155">
            <v>1.5206571858163132</v>
          </cell>
          <cell r="R155">
            <v>3.1</v>
          </cell>
        </row>
        <row r="156">
          <cell r="C156">
            <v>7.6</v>
          </cell>
          <cell r="E156">
            <v>8.4600000000000009</v>
          </cell>
          <cell r="G156">
            <v>6.02</v>
          </cell>
          <cell r="K156">
            <v>3</v>
          </cell>
          <cell r="O156">
            <v>0.86000000000000121</v>
          </cell>
          <cell r="P156">
            <v>1.5206571858163132</v>
          </cell>
          <cell r="R156">
            <v>3.2</v>
          </cell>
        </row>
        <row r="157">
          <cell r="C157">
            <v>7.39</v>
          </cell>
          <cell r="E157">
            <v>8.34</v>
          </cell>
          <cell r="G157">
            <v>6</v>
          </cell>
          <cell r="K157">
            <v>3</v>
          </cell>
          <cell r="O157">
            <v>0.95000000000000018</v>
          </cell>
          <cell r="P157">
            <v>1.5206571858163132</v>
          </cell>
          <cell r="R157">
            <v>3.1</v>
          </cell>
        </row>
        <row r="158">
          <cell r="C158">
            <v>7.34</v>
          </cell>
          <cell r="E158">
            <v>8.32</v>
          </cell>
          <cell r="G158">
            <v>6</v>
          </cell>
          <cell r="K158">
            <v>3</v>
          </cell>
          <cell r="O158">
            <v>0.98000000000000043</v>
          </cell>
          <cell r="P158">
            <v>1.5206571858163132</v>
          </cell>
          <cell r="R158">
            <v>3</v>
          </cell>
        </row>
        <row r="159">
          <cell r="C159">
            <v>7.53</v>
          </cell>
          <cell r="E159">
            <v>8.44</v>
          </cell>
          <cell r="G159">
            <v>6</v>
          </cell>
          <cell r="K159">
            <v>3</v>
          </cell>
          <cell r="O159">
            <v>0.90999999999999925</v>
          </cell>
          <cell r="P159">
            <v>1.5206571858163132</v>
          </cell>
          <cell r="R159">
            <v>3.2</v>
          </cell>
        </row>
        <row r="160">
          <cell r="C160">
            <v>7.61</v>
          </cell>
          <cell r="E160">
            <v>8.5299999999999994</v>
          </cell>
          <cell r="G160">
            <v>6</v>
          </cell>
          <cell r="K160">
            <v>3</v>
          </cell>
          <cell r="O160">
            <v>0.91999999999999904</v>
          </cell>
          <cell r="P160">
            <v>1.5206571858163132</v>
          </cell>
          <cell r="R160">
            <v>3</v>
          </cell>
        </row>
        <row r="161">
          <cell r="C161">
            <v>7.44</v>
          </cell>
          <cell r="E161">
            <v>8.36</v>
          </cell>
          <cell r="G161">
            <v>6</v>
          </cell>
          <cell r="K161">
            <v>3</v>
          </cell>
          <cell r="O161">
            <v>0.91999999999999904</v>
          </cell>
          <cell r="P161">
            <v>1.5206571858163132</v>
          </cell>
          <cell r="R161">
            <v>2.9</v>
          </cell>
        </row>
        <row r="162">
          <cell r="B162" t="str">
            <v>93</v>
          </cell>
          <cell r="C162">
            <v>7.34</v>
          </cell>
          <cell r="E162">
            <v>8.23</v>
          </cell>
          <cell r="G162">
            <v>6</v>
          </cell>
          <cell r="K162">
            <v>3</v>
          </cell>
          <cell r="O162">
            <v>0.89000000000000057</v>
          </cell>
          <cell r="P162">
            <v>1.5206571858163132</v>
          </cell>
          <cell r="R162">
            <v>3.3</v>
          </cell>
        </row>
        <row r="163">
          <cell r="C163">
            <v>7.09</v>
          </cell>
          <cell r="E163">
            <v>8</v>
          </cell>
          <cell r="G163">
            <v>6</v>
          </cell>
          <cell r="K163">
            <v>3</v>
          </cell>
          <cell r="O163">
            <v>0.91000000000000014</v>
          </cell>
          <cell r="P163">
            <v>1.5206571858163132</v>
          </cell>
          <cell r="R163">
            <v>3.2</v>
          </cell>
        </row>
        <row r="164">
          <cell r="C164">
            <v>6.82</v>
          </cell>
          <cell r="E164">
            <v>7.85</v>
          </cell>
          <cell r="G164">
            <v>6</v>
          </cell>
          <cell r="K164">
            <v>3</v>
          </cell>
          <cell r="O164">
            <v>1.0299999999999994</v>
          </cell>
          <cell r="P164">
            <v>1.5206571858163132</v>
          </cell>
          <cell r="R164">
            <v>3.1</v>
          </cell>
        </row>
        <row r="165">
          <cell r="C165">
            <v>6.85</v>
          </cell>
          <cell r="E165">
            <v>7.76</v>
          </cell>
          <cell r="G165">
            <v>6</v>
          </cell>
          <cell r="K165">
            <v>3</v>
          </cell>
          <cell r="O165">
            <v>0.91000000000000014</v>
          </cell>
          <cell r="P165">
            <v>1.5206571858163132</v>
          </cell>
          <cell r="R165">
            <v>3.2</v>
          </cell>
        </row>
        <row r="166">
          <cell r="C166">
            <v>6.92</v>
          </cell>
          <cell r="E166">
            <v>7.78</v>
          </cell>
          <cell r="G166">
            <v>6</v>
          </cell>
          <cell r="K166">
            <v>3</v>
          </cell>
          <cell r="O166">
            <v>0.86000000000000032</v>
          </cell>
          <cell r="P166">
            <v>1.5206571858163132</v>
          </cell>
          <cell r="R166">
            <v>3.2</v>
          </cell>
        </row>
        <row r="167">
          <cell r="C167">
            <v>6.81</v>
          </cell>
          <cell r="E167">
            <v>7.68</v>
          </cell>
          <cell r="G167">
            <v>6</v>
          </cell>
          <cell r="K167">
            <v>3</v>
          </cell>
          <cell r="O167">
            <v>0.87000000000000011</v>
          </cell>
          <cell r="P167">
            <v>1.5206571858163132</v>
          </cell>
          <cell r="R167">
            <v>3</v>
          </cell>
        </row>
        <row r="168">
          <cell r="C168">
            <v>6.63</v>
          </cell>
          <cell r="E168">
            <v>7.53</v>
          </cell>
          <cell r="G168">
            <v>6</v>
          </cell>
          <cell r="K168">
            <v>3</v>
          </cell>
          <cell r="O168">
            <v>0.90000000000000036</v>
          </cell>
          <cell r="P168">
            <v>1.5206571858163132</v>
          </cell>
          <cell r="R168">
            <v>2.8</v>
          </cell>
        </row>
        <row r="169">
          <cell r="C169">
            <v>6.32</v>
          </cell>
          <cell r="E169">
            <v>7.21</v>
          </cell>
          <cell r="G169">
            <v>6</v>
          </cell>
          <cell r="K169">
            <v>3</v>
          </cell>
          <cell r="O169">
            <v>0.88999999999999968</v>
          </cell>
          <cell r="P169">
            <v>1.5206571858163132</v>
          </cell>
          <cell r="R169">
            <v>2.8</v>
          </cell>
        </row>
        <row r="170">
          <cell r="C170">
            <v>6</v>
          </cell>
          <cell r="E170">
            <v>7.01</v>
          </cell>
          <cell r="G170">
            <v>6</v>
          </cell>
          <cell r="K170">
            <v>3</v>
          </cell>
          <cell r="O170">
            <v>1.0099999999999998</v>
          </cell>
          <cell r="P170">
            <v>1.5206571858163132</v>
          </cell>
          <cell r="R170">
            <v>2.7</v>
          </cell>
        </row>
        <row r="171">
          <cell r="C171">
            <v>5.94</v>
          </cell>
          <cell r="E171">
            <v>6.99</v>
          </cell>
          <cell r="G171">
            <v>6</v>
          </cell>
          <cell r="K171">
            <v>3</v>
          </cell>
          <cell r="O171">
            <v>1.0499999999999998</v>
          </cell>
          <cell r="P171">
            <v>1.5206571858163132</v>
          </cell>
          <cell r="R171">
            <v>2.8</v>
          </cell>
        </row>
        <row r="172">
          <cell r="C172">
            <v>6.21</v>
          </cell>
          <cell r="E172">
            <v>7.3</v>
          </cell>
          <cell r="G172">
            <v>6</v>
          </cell>
          <cell r="K172">
            <v>3</v>
          </cell>
          <cell r="O172">
            <v>1.0899999999999999</v>
          </cell>
          <cell r="P172">
            <v>1.5206571858163132</v>
          </cell>
          <cell r="R172">
            <v>2.7</v>
          </cell>
        </row>
        <row r="173">
          <cell r="C173">
            <v>6.25</v>
          </cell>
          <cell r="E173">
            <v>7.33</v>
          </cell>
          <cell r="G173">
            <v>6</v>
          </cell>
          <cell r="K173">
            <v>3</v>
          </cell>
          <cell r="O173">
            <v>1.08</v>
          </cell>
          <cell r="P173">
            <v>1.5206571858163132</v>
          </cell>
          <cell r="R173">
            <v>2.7</v>
          </cell>
        </row>
        <row r="174">
          <cell r="B174" t="str">
            <v>94</v>
          </cell>
          <cell r="C174">
            <v>6.29</v>
          </cell>
          <cell r="E174">
            <v>7.31</v>
          </cell>
          <cell r="G174">
            <v>6</v>
          </cell>
          <cell r="K174">
            <v>3</v>
          </cell>
          <cell r="O174">
            <v>1.0199999999999996</v>
          </cell>
          <cell r="P174">
            <v>1.5206571858163132</v>
          </cell>
          <cell r="R174">
            <v>2.5</v>
          </cell>
        </row>
        <row r="175">
          <cell r="C175">
            <v>6.49</v>
          </cell>
          <cell r="E175">
            <v>7.44</v>
          </cell>
          <cell r="G175">
            <v>6</v>
          </cell>
          <cell r="K175">
            <v>3</v>
          </cell>
          <cell r="O175">
            <v>0.95000000000000018</v>
          </cell>
          <cell r="P175">
            <v>1.5206571858163132</v>
          </cell>
          <cell r="R175">
            <v>2.5</v>
          </cell>
        </row>
        <row r="176">
          <cell r="C176">
            <v>6.91</v>
          </cell>
          <cell r="E176">
            <v>7.83</v>
          </cell>
          <cell r="G176">
            <v>6.06</v>
          </cell>
          <cell r="K176">
            <v>3</v>
          </cell>
          <cell r="O176">
            <v>0.91999999999999993</v>
          </cell>
          <cell r="P176">
            <v>1.5206571858163132</v>
          </cell>
          <cell r="R176">
            <v>2.5</v>
          </cell>
        </row>
        <row r="177">
          <cell r="C177">
            <v>7.27</v>
          </cell>
          <cell r="E177">
            <v>8.1999999999999993</v>
          </cell>
          <cell r="G177">
            <v>6.45</v>
          </cell>
          <cell r="K177">
            <v>3</v>
          </cell>
          <cell r="O177">
            <v>0.92999999999999972</v>
          </cell>
          <cell r="P177">
            <v>1.5206571858163132</v>
          </cell>
          <cell r="R177">
            <v>2.4</v>
          </cell>
        </row>
        <row r="178">
          <cell r="C178">
            <v>7.41</v>
          </cell>
          <cell r="E178">
            <v>8.32</v>
          </cell>
          <cell r="G178">
            <v>6.99</v>
          </cell>
          <cell r="K178">
            <v>3</v>
          </cell>
          <cell r="O178">
            <v>0.91000000000000014</v>
          </cell>
          <cell r="P178">
            <v>1.5206571858163132</v>
          </cell>
          <cell r="R178">
            <v>2.2999999999999998</v>
          </cell>
        </row>
        <row r="179">
          <cell r="C179">
            <v>7.4</v>
          </cell>
          <cell r="E179">
            <v>8.31</v>
          </cell>
          <cell r="G179">
            <v>7.25</v>
          </cell>
          <cell r="K179">
            <v>3.5</v>
          </cell>
          <cell r="O179">
            <v>0.91000000000000014</v>
          </cell>
          <cell r="P179">
            <v>1.5206571858163132</v>
          </cell>
          <cell r="R179">
            <v>2.5</v>
          </cell>
        </row>
        <row r="180">
          <cell r="C180">
            <v>7.58</v>
          </cell>
          <cell r="E180">
            <v>8.4700000000000006</v>
          </cell>
          <cell r="G180">
            <v>7.25</v>
          </cell>
          <cell r="K180">
            <v>3.5</v>
          </cell>
          <cell r="O180">
            <v>0.89000000000000057</v>
          </cell>
          <cell r="P180">
            <v>1.5206571858163132</v>
          </cell>
          <cell r="R180">
            <v>2.9</v>
          </cell>
        </row>
        <row r="181">
          <cell r="C181">
            <v>7.49</v>
          </cell>
          <cell r="E181">
            <v>8.41</v>
          </cell>
          <cell r="G181">
            <v>7.51</v>
          </cell>
          <cell r="K181">
            <v>3.5</v>
          </cell>
          <cell r="O181">
            <v>0.91999999999999993</v>
          </cell>
          <cell r="P181">
            <v>1.5206571858163132</v>
          </cell>
          <cell r="R181">
            <v>3</v>
          </cell>
        </row>
        <row r="182">
          <cell r="C182">
            <v>7.71</v>
          </cell>
          <cell r="E182">
            <v>8.65</v>
          </cell>
          <cell r="G182">
            <v>7.75</v>
          </cell>
          <cell r="K182">
            <v>4</v>
          </cell>
          <cell r="O182">
            <v>0.94000000000000039</v>
          </cell>
          <cell r="P182">
            <v>1.5206571858163132</v>
          </cell>
          <cell r="R182">
            <v>2.6</v>
          </cell>
        </row>
        <row r="183">
          <cell r="C183">
            <v>7.94</v>
          </cell>
          <cell r="E183">
            <v>8.8800000000000008</v>
          </cell>
          <cell r="G183">
            <v>7.75</v>
          </cell>
          <cell r="K183">
            <v>4</v>
          </cell>
          <cell r="O183">
            <v>0.94000000000000039</v>
          </cell>
          <cell r="P183">
            <v>1.5206571858163132</v>
          </cell>
          <cell r="R183">
            <v>2.7</v>
          </cell>
        </row>
        <row r="184">
          <cell r="C184">
            <v>8.08</v>
          </cell>
          <cell r="E184">
            <v>9</v>
          </cell>
          <cell r="G184">
            <v>8.15</v>
          </cell>
          <cell r="K184">
            <v>4.75</v>
          </cell>
          <cell r="O184">
            <v>0.91999999999999993</v>
          </cell>
          <cell r="P184">
            <v>1.5206571858163132</v>
          </cell>
          <cell r="R184">
            <v>2.7</v>
          </cell>
        </row>
        <row r="185">
          <cell r="C185">
            <v>7.87</v>
          </cell>
          <cell r="E185">
            <v>8.7899999999999991</v>
          </cell>
          <cell r="G185">
            <v>8.5</v>
          </cell>
          <cell r="K185">
            <v>4.75</v>
          </cell>
          <cell r="O185">
            <v>0.91999999999999904</v>
          </cell>
          <cell r="P185">
            <v>1.5206571858163132</v>
          </cell>
          <cell r="R185">
            <v>2.8</v>
          </cell>
        </row>
        <row r="186">
          <cell r="B186" t="str">
            <v>95</v>
          </cell>
          <cell r="C186">
            <v>7.85</v>
          </cell>
          <cell r="E186">
            <v>8.77</v>
          </cell>
          <cell r="G186">
            <v>8.5</v>
          </cell>
          <cell r="K186">
            <v>4.75</v>
          </cell>
          <cell r="O186">
            <v>0.91999999999999993</v>
          </cell>
          <cell r="P186">
            <v>1.5206571858163132</v>
          </cell>
          <cell r="R186">
            <v>2.9</v>
          </cell>
        </row>
        <row r="187">
          <cell r="C187">
            <v>7.61</v>
          </cell>
          <cell r="E187">
            <v>8.56</v>
          </cell>
          <cell r="G187">
            <v>9</v>
          </cell>
          <cell r="K187">
            <v>5.25</v>
          </cell>
          <cell r="O187">
            <v>0.95000000000000018</v>
          </cell>
          <cell r="P187">
            <v>1.5206571858163132</v>
          </cell>
          <cell r="R187">
            <v>2.9</v>
          </cell>
        </row>
        <row r="188">
          <cell r="C188">
            <v>7.45</v>
          </cell>
          <cell r="E188">
            <v>8.41</v>
          </cell>
          <cell r="G188">
            <v>9</v>
          </cell>
          <cell r="K188">
            <v>5.25</v>
          </cell>
          <cell r="O188">
            <v>0.96</v>
          </cell>
          <cell r="P188">
            <v>1.5206571858163132</v>
          </cell>
          <cell r="R188">
            <v>3.1</v>
          </cell>
        </row>
        <row r="189">
          <cell r="C189">
            <v>7.36</v>
          </cell>
          <cell r="E189">
            <v>8.3000000000000007</v>
          </cell>
          <cell r="G189">
            <v>9</v>
          </cell>
          <cell r="K189">
            <v>5.25</v>
          </cell>
          <cell r="O189">
            <v>0.94000000000000039</v>
          </cell>
          <cell r="P189">
            <v>1.5206571858163132</v>
          </cell>
          <cell r="R189">
            <v>2.4</v>
          </cell>
        </row>
        <row r="190">
          <cell r="C190">
            <v>6.95</v>
          </cell>
          <cell r="E190">
            <v>7.93</v>
          </cell>
          <cell r="G190">
            <v>9</v>
          </cell>
          <cell r="K190">
            <v>5.25</v>
          </cell>
          <cell r="O190">
            <v>0.97999999999999954</v>
          </cell>
          <cell r="P190">
            <v>1.5206571858163132</v>
          </cell>
          <cell r="R190">
            <v>3.2</v>
          </cell>
        </row>
        <row r="191">
          <cell r="C191">
            <v>6.57</v>
          </cell>
          <cell r="E191">
            <v>7.62</v>
          </cell>
          <cell r="G191">
            <v>9</v>
          </cell>
          <cell r="K191">
            <v>5.25</v>
          </cell>
          <cell r="O191">
            <v>1.0499999999999998</v>
          </cell>
          <cell r="P191">
            <v>1.5206571858163132</v>
          </cell>
          <cell r="R191">
            <v>3</v>
          </cell>
        </row>
        <row r="192">
          <cell r="C192">
            <v>6.72</v>
          </cell>
          <cell r="E192">
            <v>7.73</v>
          </cell>
          <cell r="G192">
            <v>8.8000000000000007</v>
          </cell>
          <cell r="K192">
            <v>5.25</v>
          </cell>
          <cell r="O192">
            <v>1.0100000000000007</v>
          </cell>
          <cell r="P192">
            <v>1.5206571858163132</v>
          </cell>
          <cell r="R192">
            <v>2.8</v>
          </cell>
        </row>
        <row r="193">
          <cell r="C193">
            <v>6.86</v>
          </cell>
          <cell r="E193">
            <v>7.86</v>
          </cell>
          <cell r="G193">
            <v>8.75</v>
          </cell>
          <cell r="K193">
            <v>5.25</v>
          </cell>
          <cell r="O193">
            <v>1</v>
          </cell>
          <cell r="P193">
            <v>1.5206571858163132</v>
          </cell>
          <cell r="R193">
            <v>2.6</v>
          </cell>
        </row>
        <row r="194">
          <cell r="C194">
            <v>6.55</v>
          </cell>
          <cell r="E194">
            <v>7.62</v>
          </cell>
          <cell r="G194">
            <v>8.75</v>
          </cell>
          <cell r="K194">
            <v>5.25</v>
          </cell>
          <cell r="O194">
            <v>1.0700000000000003</v>
          </cell>
          <cell r="P194">
            <v>1.5206571858163132</v>
          </cell>
          <cell r="R194">
            <v>2.5</v>
          </cell>
        </row>
        <row r="195">
          <cell r="C195">
            <v>6.37</v>
          </cell>
          <cell r="E195">
            <v>7.46</v>
          </cell>
          <cell r="G195">
            <v>8.75</v>
          </cell>
          <cell r="K195">
            <v>5.25</v>
          </cell>
          <cell r="O195">
            <v>1.0899999999999999</v>
          </cell>
          <cell r="P195">
            <v>1.5206571858163132</v>
          </cell>
          <cell r="R195">
            <v>2.8</v>
          </cell>
        </row>
        <row r="196">
          <cell r="C196">
            <v>6.26</v>
          </cell>
          <cell r="E196">
            <v>7.4</v>
          </cell>
          <cell r="G196">
            <v>8.75</v>
          </cell>
          <cell r="K196">
            <v>5.25</v>
          </cell>
          <cell r="O196">
            <v>1.1400000000000006</v>
          </cell>
          <cell r="P196">
            <v>1.5206571858163132</v>
          </cell>
          <cell r="R196">
            <v>2.6</v>
          </cell>
        </row>
        <row r="197">
          <cell r="C197">
            <v>6.06</v>
          </cell>
          <cell r="E197">
            <v>7.21</v>
          </cell>
          <cell r="G197">
            <v>8.65</v>
          </cell>
          <cell r="K197">
            <v>5.25</v>
          </cell>
          <cell r="O197">
            <v>1.1500000000000004</v>
          </cell>
          <cell r="P197">
            <v>1.5206571858163132</v>
          </cell>
          <cell r="R197">
            <v>2.5</v>
          </cell>
        </row>
        <row r="198">
          <cell r="B198" t="str">
            <v>96</v>
          </cell>
          <cell r="C198">
            <v>6.05</v>
          </cell>
          <cell r="E198">
            <v>7.2</v>
          </cell>
          <cell r="G198">
            <v>8.5</v>
          </cell>
          <cell r="K198">
            <v>5.25</v>
          </cell>
          <cell r="O198">
            <v>1.1500000000000004</v>
          </cell>
          <cell r="P198">
            <v>1.5206571858163132</v>
          </cell>
          <cell r="R198">
            <v>2.7</v>
          </cell>
        </row>
        <row r="199">
          <cell r="C199">
            <v>6.24</v>
          </cell>
          <cell r="E199">
            <v>7.37</v>
          </cell>
          <cell r="G199">
            <v>8.25</v>
          </cell>
          <cell r="K199">
            <v>5</v>
          </cell>
          <cell r="O199">
            <v>1.1299999999999999</v>
          </cell>
          <cell r="P199">
            <v>1.5206571858163132</v>
          </cell>
          <cell r="R199">
            <v>2.7</v>
          </cell>
        </row>
        <row r="200">
          <cell r="C200">
            <v>6.6</v>
          </cell>
          <cell r="E200">
            <v>7.72</v>
          </cell>
          <cell r="G200">
            <v>8.25</v>
          </cell>
          <cell r="K200">
            <v>5</v>
          </cell>
          <cell r="O200">
            <v>1.1200000000000001</v>
          </cell>
          <cell r="P200">
            <v>1.5206571858163132</v>
          </cell>
          <cell r="R200">
            <v>2.8</v>
          </cell>
        </row>
        <row r="201">
          <cell r="C201">
            <v>6.79</v>
          </cell>
          <cell r="E201">
            <v>7.88</v>
          </cell>
          <cell r="G201">
            <v>8.25</v>
          </cell>
          <cell r="K201">
            <v>5</v>
          </cell>
          <cell r="O201">
            <v>1.0899999999999999</v>
          </cell>
          <cell r="P201">
            <v>1.5206571858163132</v>
          </cell>
          <cell r="R201">
            <v>2.9</v>
          </cell>
        </row>
        <row r="202">
          <cell r="C202">
            <v>6.93</v>
          </cell>
          <cell r="E202">
            <v>7.99</v>
          </cell>
          <cell r="G202">
            <v>8.25</v>
          </cell>
          <cell r="K202">
            <v>5</v>
          </cell>
          <cell r="O202">
            <v>1.0600000000000005</v>
          </cell>
          <cell r="P202">
            <v>1.5206571858163132</v>
          </cell>
          <cell r="R202">
            <v>2.9</v>
          </cell>
        </row>
        <row r="203">
          <cell r="C203">
            <v>7.06</v>
          </cell>
          <cell r="E203">
            <v>8.07</v>
          </cell>
          <cell r="G203">
            <v>8.25</v>
          </cell>
          <cell r="K203">
            <v>5</v>
          </cell>
          <cell r="O203">
            <v>1.0100000000000007</v>
          </cell>
          <cell r="P203">
            <v>1.5206571858163132</v>
          </cell>
          <cell r="R203">
            <v>2.8</v>
          </cell>
        </row>
        <row r="204">
          <cell r="C204">
            <v>7.03</v>
          </cell>
          <cell r="E204">
            <v>8.02</v>
          </cell>
          <cell r="G204">
            <v>8.25</v>
          </cell>
          <cell r="K204">
            <v>5</v>
          </cell>
          <cell r="O204">
            <v>0.98999999999999932</v>
          </cell>
          <cell r="P204">
            <v>1.5206571858163132</v>
          </cell>
          <cell r="R204">
            <v>3</v>
          </cell>
        </row>
        <row r="205">
          <cell r="C205">
            <v>6.84</v>
          </cell>
          <cell r="E205">
            <v>7.84</v>
          </cell>
          <cell r="G205">
            <v>8.25</v>
          </cell>
          <cell r="K205">
            <v>5</v>
          </cell>
          <cell r="O205">
            <v>1</v>
          </cell>
          <cell r="P205">
            <v>1.5206571858163132</v>
          </cell>
          <cell r="R205">
            <v>2.9</v>
          </cell>
        </row>
        <row r="206">
          <cell r="C206">
            <v>7.03</v>
          </cell>
          <cell r="E206">
            <v>8.01</v>
          </cell>
          <cell r="G206">
            <v>8.25</v>
          </cell>
          <cell r="K206">
            <v>5</v>
          </cell>
          <cell r="O206">
            <v>0.97999999999999954</v>
          </cell>
          <cell r="P206">
            <v>1.5206571858163132</v>
          </cell>
          <cell r="R206">
            <v>3</v>
          </cell>
        </row>
        <row r="207">
          <cell r="C207">
            <v>6.81</v>
          </cell>
          <cell r="E207">
            <v>7.76</v>
          </cell>
          <cell r="G207">
            <v>8.25</v>
          </cell>
          <cell r="K207">
            <v>5</v>
          </cell>
          <cell r="O207">
            <v>0.95000000000000018</v>
          </cell>
          <cell r="P207">
            <v>1.5206571858163132</v>
          </cell>
          <cell r="R207">
            <v>3</v>
          </cell>
        </row>
        <row r="208">
          <cell r="C208">
            <v>6.48</v>
          </cell>
          <cell r="E208">
            <v>7.48</v>
          </cell>
          <cell r="G208">
            <v>8.25</v>
          </cell>
          <cell r="K208">
            <v>5</v>
          </cell>
          <cell r="O208">
            <v>1</v>
          </cell>
          <cell r="P208">
            <v>1.5206571858163132</v>
          </cell>
          <cell r="R208">
            <v>3.3</v>
          </cell>
        </row>
        <row r="209">
          <cell r="C209">
            <v>6.55</v>
          </cell>
          <cell r="E209">
            <v>7.58</v>
          </cell>
          <cell r="G209">
            <v>8.25</v>
          </cell>
          <cell r="K209">
            <v>5</v>
          </cell>
          <cell r="O209">
            <v>1.0300000000000002</v>
          </cell>
          <cell r="P209">
            <v>1.5206571858163132</v>
          </cell>
          <cell r="R209">
            <v>3.3</v>
          </cell>
        </row>
        <row r="210">
          <cell r="B210" t="str">
            <v>97</v>
          </cell>
          <cell r="C210">
            <v>6.83</v>
          </cell>
          <cell r="E210">
            <v>7.79</v>
          </cell>
          <cell r="G210">
            <v>8.25</v>
          </cell>
          <cell r="K210">
            <v>5</v>
          </cell>
          <cell r="O210">
            <v>0.96</v>
          </cell>
          <cell r="P210">
            <v>1.5206571858163132</v>
          </cell>
          <cell r="R210">
            <v>3</v>
          </cell>
        </row>
        <row r="211">
          <cell r="C211">
            <v>6.69</v>
          </cell>
          <cell r="E211">
            <v>7.68</v>
          </cell>
          <cell r="G211">
            <v>8.25</v>
          </cell>
          <cell r="K211">
            <v>5</v>
          </cell>
          <cell r="O211">
            <v>0.98999999999999932</v>
          </cell>
          <cell r="P211">
            <v>1.5206571858163132</v>
          </cell>
          <cell r="R211">
            <v>3</v>
          </cell>
        </row>
        <row r="212">
          <cell r="C212">
            <v>6.93</v>
          </cell>
          <cell r="E212">
            <v>7.92</v>
          </cell>
          <cell r="G212">
            <v>8.3000000000000007</v>
          </cell>
          <cell r="K212">
            <v>5</v>
          </cell>
          <cell r="O212">
            <v>0.99000000000000021</v>
          </cell>
          <cell r="P212">
            <v>1.5206571858163132</v>
          </cell>
          <cell r="R212">
            <v>2.8</v>
          </cell>
        </row>
        <row r="213">
          <cell r="C213">
            <v>7.09</v>
          </cell>
          <cell r="E213">
            <v>8.08</v>
          </cell>
          <cell r="G213">
            <v>8.5</v>
          </cell>
          <cell r="K213">
            <v>5</v>
          </cell>
          <cell r="O213">
            <v>0.99000000000000021</v>
          </cell>
          <cell r="P213">
            <v>1.5206571858163132</v>
          </cell>
          <cell r="R213">
            <v>2.5</v>
          </cell>
        </row>
        <row r="214">
          <cell r="C214">
            <v>6.94</v>
          </cell>
          <cell r="E214">
            <v>7.94</v>
          </cell>
          <cell r="G214">
            <v>8.5</v>
          </cell>
          <cell r="K214">
            <v>5</v>
          </cell>
          <cell r="O214">
            <v>1</v>
          </cell>
          <cell r="P214">
            <v>1.5206571858163132</v>
          </cell>
          <cell r="R214">
            <v>2.2000000000000002</v>
          </cell>
        </row>
        <row r="215">
          <cell r="C215">
            <v>6.77</v>
          </cell>
          <cell r="E215">
            <v>7.77</v>
          </cell>
          <cell r="G215">
            <v>8.5</v>
          </cell>
          <cell r="K215">
            <v>5</v>
          </cell>
          <cell r="O215">
            <v>1</v>
          </cell>
          <cell r="P215">
            <v>1.5206571858163132</v>
          </cell>
          <cell r="R215">
            <v>2.2999999999999998</v>
          </cell>
        </row>
        <row r="216">
          <cell r="C216">
            <v>6.51</v>
          </cell>
          <cell r="E216">
            <v>7.52</v>
          </cell>
          <cell r="G216">
            <v>8.5</v>
          </cell>
          <cell r="K216">
            <v>5</v>
          </cell>
          <cell r="O216">
            <v>1.0099999999999998</v>
          </cell>
          <cell r="P216">
            <v>1.5206571858163132</v>
          </cell>
          <cell r="R216">
            <v>2.2000000000000002</v>
          </cell>
        </row>
        <row r="217">
          <cell r="C217">
            <v>6.58</v>
          </cell>
          <cell r="E217">
            <v>7.57</v>
          </cell>
          <cell r="G217">
            <v>8.5</v>
          </cell>
          <cell r="K217">
            <v>5</v>
          </cell>
          <cell r="O217">
            <v>0.99000000000000021</v>
          </cell>
          <cell r="P217">
            <v>1.5206571858163132</v>
          </cell>
          <cell r="R217">
            <v>2.2000000000000002</v>
          </cell>
        </row>
        <row r="218">
          <cell r="C218">
            <v>6.5</v>
          </cell>
          <cell r="E218">
            <v>7.5</v>
          </cell>
          <cell r="G218">
            <v>8.5</v>
          </cell>
          <cell r="K218">
            <v>5</v>
          </cell>
          <cell r="O218">
            <v>1</v>
          </cell>
          <cell r="P218">
            <v>1.5206571858163132</v>
          </cell>
          <cell r="R218">
            <v>2.2000000000000002</v>
          </cell>
        </row>
        <row r="219">
          <cell r="C219">
            <v>6.33</v>
          </cell>
          <cell r="E219">
            <v>7.37</v>
          </cell>
          <cell r="G219">
            <v>8.5</v>
          </cell>
          <cell r="K219">
            <v>5</v>
          </cell>
          <cell r="O219">
            <v>1.04</v>
          </cell>
          <cell r="P219">
            <v>1.5206571858163132</v>
          </cell>
          <cell r="R219">
            <v>2.1</v>
          </cell>
        </row>
        <row r="220">
          <cell r="C220">
            <v>6.11</v>
          </cell>
          <cell r="E220">
            <v>7.24</v>
          </cell>
          <cell r="G220">
            <v>8.5</v>
          </cell>
          <cell r="K220">
            <v>5</v>
          </cell>
          <cell r="O220">
            <v>1.1299999999999999</v>
          </cell>
          <cell r="P220">
            <v>1.5206571858163132</v>
          </cell>
          <cell r="R220">
            <v>1.8</v>
          </cell>
        </row>
        <row r="221">
          <cell r="C221">
            <v>5.99</v>
          </cell>
          <cell r="E221">
            <v>7.16</v>
          </cell>
          <cell r="G221">
            <v>8.5</v>
          </cell>
          <cell r="K221">
            <v>5</v>
          </cell>
          <cell r="O221">
            <v>1.17</v>
          </cell>
          <cell r="P221">
            <v>1.5206571858163132</v>
          </cell>
          <cell r="R221">
            <v>1.7</v>
          </cell>
        </row>
        <row r="222">
          <cell r="B222" t="str">
            <v>98</v>
          </cell>
          <cell r="C222">
            <v>5.81</v>
          </cell>
          <cell r="E222">
            <v>7.03</v>
          </cell>
          <cell r="G222">
            <v>8.5</v>
          </cell>
          <cell r="K222">
            <v>5</v>
          </cell>
          <cell r="O222">
            <v>1.2200000000000006</v>
          </cell>
          <cell r="P222">
            <v>1.5206571858163132</v>
          </cell>
          <cell r="R222">
            <v>1.6</v>
          </cell>
        </row>
        <row r="223">
          <cell r="C223">
            <v>5.89</v>
          </cell>
          <cell r="E223">
            <v>7.09</v>
          </cell>
          <cell r="G223">
            <v>8.5</v>
          </cell>
          <cell r="K223">
            <v>5</v>
          </cell>
          <cell r="O223">
            <v>1.2000000000000002</v>
          </cell>
          <cell r="P223">
            <v>1.5206571858163132</v>
          </cell>
          <cell r="R223">
            <v>1.4</v>
          </cell>
        </row>
        <row r="224">
          <cell r="C224">
            <v>5.95</v>
          </cell>
          <cell r="E224">
            <v>7.13</v>
          </cell>
          <cell r="G224">
            <v>8.5</v>
          </cell>
          <cell r="K224">
            <v>5</v>
          </cell>
          <cell r="O224">
            <v>1.1799999999999997</v>
          </cell>
          <cell r="P224">
            <v>1.5206571858163132</v>
          </cell>
          <cell r="R224">
            <v>1.4</v>
          </cell>
        </row>
        <row r="225">
          <cell r="C225">
            <v>5.92</v>
          </cell>
          <cell r="E225">
            <v>7.12</v>
          </cell>
          <cell r="G225">
            <v>8.5</v>
          </cell>
          <cell r="K225">
            <v>5</v>
          </cell>
          <cell r="O225">
            <v>1.2000000000000002</v>
          </cell>
          <cell r="P225">
            <v>1.5206571858163132</v>
          </cell>
          <cell r="R225">
            <v>1.4</v>
          </cell>
        </row>
        <row r="226">
          <cell r="C226">
            <v>5.93</v>
          </cell>
          <cell r="E226">
            <v>7.11</v>
          </cell>
          <cell r="G226">
            <v>8.5</v>
          </cell>
          <cell r="K226">
            <v>5</v>
          </cell>
          <cell r="O226">
            <v>1.1800000000000006</v>
          </cell>
          <cell r="P226">
            <v>1.5206571858163132</v>
          </cell>
          <cell r="R226">
            <v>1.7</v>
          </cell>
        </row>
        <row r="227">
          <cell r="C227">
            <v>5.7</v>
          </cell>
          <cell r="E227">
            <v>6.99</v>
          </cell>
          <cell r="G227">
            <v>8.5</v>
          </cell>
          <cell r="K227">
            <v>5</v>
          </cell>
          <cell r="P227">
            <v>1.5206571858163132</v>
          </cell>
          <cell r="R227">
            <v>1.7</v>
          </cell>
        </row>
        <row r="228">
          <cell r="C228">
            <v>5.68</v>
          </cell>
          <cell r="E228">
            <v>6.99</v>
          </cell>
          <cell r="G228">
            <v>8.5</v>
          </cell>
          <cell r="K228">
            <v>5</v>
          </cell>
          <cell r="P228">
            <v>1.5206571858163132</v>
          </cell>
          <cell r="R228">
            <v>1.7</v>
          </cell>
        </row>
        <row r="229">
          <cell r="C229">
            <v>5.54</v>
          </cell>
          <cell r="E229">
            <v>6.96</v>
          </cell>
          <cell r="G229">
            <v>8.5</v>
          </cell>
          <cell r="P229">
            <v>1.5206571858163132</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NDD"/>
      <sheetName val="COMBINED"/>
      <sheetName val="JAN98"/>
      <sheetName val="FEB98"/>
      <sheetName val="Nov01"/>
      <sheetName val="Jan02"/>
      <sheetName val="Dec01"/>
      <sheetName val="Feb02"/>
      <sheetName val="Mar02"/>
      <sheetName val="Apr02"/>
      <sheetName val="May02"/>
      <sheetName val="chgs"/>
      <sheetName val="June02"/>
      <sheetName val="July02"/>
      <sheetName val="August02"/>
      <sheetName val="September02"/>
      <sheetName val="October02"/>
      <sheetName val="Graphs"/>
      <sheetName val="wint graf"/>
      <sheetName val="summ graf"/>
      <sheetName val="CityGate"/>
      <sheetName val="SAD"/>
      <sheetName val="Jan00 Chart"/>
      <sheetName val="stor"/>
      <sheetName val="Storage OBA"/>
      <sheetName val="Sheet1"/>
      <sheetName val="dmdeq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D4">
            <v>0.36247751322751326</v>
          </cell>
          <cell r="E4">
            <v>0.36247751322751326</v>
          </cell>
          <cell r="F4">
            <v>0.36247751322751326</v>
          </cell>
          <cell r="G4">
            <v>0.36247751322751326</v>
          </cell>
          <cell r="H4">
            <v>0.36247751322751326</v>
          </cell>
          <cell r="I4">
            <v>0.36247751322751326</v>
          </cell>
          <cell r="J4">
            <v>0.36247751322751326</v>
          </cell>
          <cell r="K4">
            <v>0.36247751322751326</v>
          </cell>
          <cell r="L4">
            <v>0.36247751322751326</v>
          </cell>
          <cell r="M4">
            <v>0.36247751322751326</v>
          </cell>
          <cell r="N4">
            <v>0.36247751322751326</v>
          </cell>
          <cell r="O4">
            <v>0.36247751322751326</v>
          </cell>
          <cell r="P4">
            <v>0.36247751322751326</v>
          </cell>
          <cell r="Q4">
            <v>0.36247751322751326</v>
          </cell>
          <cell r="R4">
            <v>0.36247751322751326</v>
          </cell>
          <cell r="S4">
            <v>0.36247751322751326</v>
          </cell>
          <cell r="T4">
            <v>0.36247751322751326</v>
          </cell>
          <cell r="U4">
            <v>0.36247751322751326</v>
          </cell>
          <cell r="V4">
            <v>0.36247751322751326</v>
          </cell>
          <cell r="W4">
            <v>0.36247751322751326</v>
          </cell>
          <cell r="X4">
            <v>0.36247751322751326</v>
          </cell>
          <cell r="Y4">
            <v>0.36247751322751326</v>
          </cell>
          <cell r="Z4">
            <v>0.36247751322751326</v>
          </cell>
          <cell r="AA4">
            <v>0.36247751322751326</v>
          </cell>
          <cell r="AB4">
            <v>0.36247751322751326</v>
          </cell>
          <cell r="AC4">
            <v>0.36247751322751326</v>
          </cell>
          <cell r="AD4">
            <v>0.36247751322751326</v>
          </cell>
          <cell r="AE4">
            <v>0.36247751322751326</v>
          </cell>
          <cell r="AF4">
            <v>0.36247751322751326</v>
          </cell>
          <cell r="AG4">
            <v>0.36247751322751326</v>
          </cell>
          <cell r="AH4">
            <v>0.36247751322751326</v>
          </cell>
          <cell r="AI4" t="e">
            <v>#REF!</v>
          </cell>
          <cell r="AJ4" t="e">
            <v>#REF!</v>
          </cell>
          <cell r="AK4" t="e">
            <v>#REF!</v>
          </cell>
          <cell r="AL4" t="e">
            <v>#REF!</v>
          </cell>
          <cell r="AM4" t="e">
            <v>#REF!</v>
          </cell>
          <cell r="AN4" t="e">
            <v>#REF!</v>
          </cell>
          <cell r="AO4" t="e">
            <v>#REF!</v>
          </cell>
          <cell r="AP4" t="e">
            <v>#REF!</v>
          </cell>
          <cell r="AQ4" t="e">
            <v>#REF!</v>
          </cell>
          <cell r="AR4" t="e">
            <v>#REF!</v>
          </cell>
          <cell r="AS4" t="e">
            <v>#REF!</v>
          </cell>
          <cell r="AT4" t="e">
            <v>#REF!</v>
          </cell>
          <cell r="AU4" t="e">
            <v>#REF!</v>
          </cell>
          <cell r="AV4" t="e">
            <v>#REF!</v>
          </cell>
          <cell r="AW4" t="e">
            <v>#REF!</v>
          </cell>
          <cell r="AX4" t="e">
            <v>#REF!</v>
          </cell>
          <cell r="AY4" t="e">
            <v>#REF!</v>
          </cell>
          <cell r="AZ4" t="e">
            <v>#REF!</v>
          </cell>
          <cell r="BA4" t="e">
            <v>#REF!</v>
          </cell>
          <cell r="BB4" t="e">
            <v>#REF!</v>
          </cell>
          <cell r="BC4" t="e">
            <v>#REF!</v>
          </cell>
          <cell r="BD4" t="e">
            <v>#REF!</v>
          </cell>
          <cell r="BE4" t="e">
            <v>#REF!</v>
          </cell>
          <cell r="BF4" t="e">
            <v>#REF!</v>
          </cell>
          <cell r="BG4" t="e">
            <v>#REF!</v>
          </cell>
          <cell r="BH4" t="e">
            <v>#REF!</v>
          </cell>
          <cell r="BI4" t="e">
            <v>#REF!</v>
          </cell>
          <cell r="BJ4" t="e">
            <v>#REF!</v>
          </cell>
          <cell r="BK4" t="e">
            <v>#REF!</v>
          </cell>
          <cell r="BL4" t="e">
            <v>#REF!</v>
          </cell>
          <cell r="BM4" t="e">
            <v>#REF!</v>
          </cell>
          <cell r="BN4" t="e">
            <v>#REF!</v>
          </cell>
          <cell r="BO4" t="e">
            <v>#REF!</v>
          </cell>
          <cell r="BP4" t="e">
            <v>#REF!</v>
          </cell>
          <cell r="BQ4" t="e">
            <v>#REF!</v>
          </cell>
          <cell r="BR4" t="e">
            <v>#REF!</v>
          </cell>
          <cell r="BS4" t="e">
            <v>#REF!</v>
          </cell>
          <cell r="BT4" t="e">
            <v>#REF!</v>
          </cell>
          <cell r="BU4" t="e">
            <v>#REF!</v>
          </cell>
          <cell r="BV4" t="e">
            <v>#REF!</v>
          </cell>
          <cell r="BW4" t="e">
            <v>#REF!</v>
          </cell>
          <cell r="BX4" t="e">
            <v>#REF!</v>
          </cell>
          <cell r="BY4" t="e">
            <v>#REF!</v>
          </cell>
          <cell r="BZ4" t="e">
            <v>#REF!</v>
          </cell>
          <cell r="CA4" t="e">
            <v>#REF!</v>
          </cell>
          <cell r="CB4" t="e">
            <v>#REF!</v>
          </cell>
          <cell r="CC4" t="e">
            <v>#REF!</v>
          </cell>
          <cell r="CD4" t="e">
            <v>#REF!</v>
          </cell>
          <cell r="CE4" t="e">
            <v>#REF!</v>
          </cell>
          <cell r="CF4" t="e">
            <v>#REF!</v>
          </cell>
          <cell r="CG4" t="e">
            <v>#REF!</v>
          </cell>
          <cell r="CH4" t="e">
            <v>#REF!</v>
          </cell>
          <cell r="CI4" t="e">
            <v>#REF!</v>
          </cell>
          <cell r="CJ4" t="e">
            <v>#REF!</v>
          </cell>
          <cell r="CK4" t="e">
            <v>#REF!</v>
          </cell>
          <cell r="CL4" t="e">
            <v>#REF!</v>
          </cell>
          <cell r="CM4" t="e">
            <v>#REF!</v>
          </cell>
          <cell r="CN4" t="e">
            <v>#REF!</v>
          </cell>
          <cell r="CO4" t="e">
            <v>#REF!</v>
          </cell>
          <cell r="CP4" t="e">
            <v>#REF!</v>
          </cell>
          <cell r="CQ4" t="e">
            <v>#REF!</v>
          </cell>
          <cell r="CR4" t="e">
            <v>#REF!</v>
          </cell>
          <cell r="CS4" t="e">
            <v>#REF!</v>
          </cell>
          <cell r="CT4" t="e">
            <v>#REF!</v>
          </cell>
          <cell r="CU4" t="e">
            <v>#REF!</v>
          </cell>
          <cell r="CV4" t="e">
            <v>#REF!</v>
          </cell>
          <cell r="CW4" t="e">
            <v>#REF!</v>
          </cell>
          <cell r="CX4" t="e">
            <v>#REF!</v>
          </cell>
          <cell r="CY4" t="e">
            <v>#REF!</v>
          </cell>
          <cell r="CZ4" t="e">
            <v>#REF!</v>
          </cell>
          <cell r="DA4" t="e">
            <v>#REF!</v>
          </cell>
          <cell r="DB4" t="e">
            <v>#REF!</v>
          </cell>
          <cell r="DC4" t="e">
            <v>#REF!</v>
          </cell>
          <cell r="DD4" t="e">
            <v>#REF!</v>
          </cell>
          <cell r="DE4" t="e">
            <v>#REF!</v>
          </cell>
          <cell r="DF4" t="e">
            <v>#REF!</v>
          </cell>
          <cell r="DG4" t="e">
            <v>#REF!</v>
          </cell>
          <cell r="DH4" t="e">
            <v>#REF!</v>
          </cell>
          <cell r="DI4" t="e">
            <v>#REF!</v>
          </cell>
          <cell r="DJ4" t="e">
            <v>#REF!</v>
          </cell>
          <cell r="DK4" t="e">
            <v>#REF!</v>
          </cell>
          <cell r="DL4" t="e">
            <v>#REF!</v>
          </cell>
          <cell r="DM4" t="e">
            <v>#REF!</v>
          </cell>
          <cell r="DN4" t="e">
            <v>#REF!</v>
          </cell>
          <cell r="DO4" t="e">
            <v>#REF!</v>
          </cell>
          <cell r="DP4" t="e">
            <v>#REF!</v>
          </cell>
          <cell r="DQ4" t="e">
            <v>#REF!</v>
          </cell>
          <cell r="DR4" t="e">
            <v>#REF!</v>
          </cell>
          <cell r="DS4" t="e">
            <v>#REF!</v>
          </cell>
          <cell r="DT4" t="e">
            <v>#REF!</v>
          </cell>
          <cell r="DU4" t="e">
            <v>#REF!</v>
          </cell>
          <cell r="DV4" t="e">
            <v>#REF!</v>
          </cell>
          <cell r="DW4" t="e">
            <v>#REF!</v>
          </cell>
          <cell r="DX4" t="e">
            <v>#REF!</v>
          </cell>
          <cell r="DY4" t="e">
            <v>#REF!</v>
          </cell>
          <cell r="DZ4" t="e">
            <v>#REF!</v>
          </cell>
          <cell r="EA4" t="e">
            <v>#REF!</v>
          </cell>
          <cell r="EB4" t="e">
            <v>#REF!</v>
          </cell>
          <cell r="EC4" t="e">
            <v>#REF!</v>
          </cell>
          <cell r="ED4" t="e">
            <v>#REF!</v>
          </cell>
          <cell r="EE4" t="e">
            <v>#REF!</v>
          </cell>
          <cell r="EF4" t="e">
            <v>#REF!</v>
          </cell>
          <cell r="EG4" t="e">
            <v>#REF!</v>
          </cell>
          <cell r="EH4" t="e">
            <v>#REF!</v>
          </cell>
          <cell r="EI4" t="e">
            <v>#REF!</v>
          </cell>
          <cell r="EJ4" t="e">
            <v>#REF!</v>
          </cell>
          <cell r="EK4" t="e">
            <v>#REF!</v>
          </cell>
          <cell r="EL4" t="e">
            <v>#REF!</v>
          </cell>
          <cell r="EM4" t="e">
            <v>#REF!</v>
          </cell>
          <cell r="EN4" t="e">
            <v>#REF!</v>
          </cell>
          <cell r="EO4" t="e">
            <v>#REF!</v>
          </cell>
          <cell r="EP4" t="e">
            <v>#REF!</v>
          </cell>
          <cell r="EQ4" t="e">
            <v>#REF!</v>
          </cell>
          <cell r="ER4" t="e">
            <v>#REF!</v>
          </cell>
          <cell r="ES4" t="e">
            <v>#REF!</v>
          </cell>
          <cell r="ET4" t="e">
            <v>#REF!</v>
          </cell>
          <cell r="EU4" t="e">
            <v>#REF!</v>
          </cell>
          <cell r="EV4" t="e">
            <v>#REF!</v>
          </cell>
          <cell r="EW4" t="e">
            <v>#REF!</v>
          </cell>
          <cell r="EX4" t="e">
            <v>#REF!</v>
          </cell>
          <cell r="EY4" t="e">
            <v>#REF!</v>
          </cell>
          <cell r="EZ4" t="e">
            <v>#REF!</v>
          </cell>
          <cell r="FA4" t="e">
            <v>#REF!</v>
          </cell>
          <cell r="FB4" t="e">
            <v>#REF!</v>
          </cell>
          <cell r="FC4" t="e">
            <v>#REF!</v>
          </cell>
          <cell r="FD4" t="e">
            <v>#REF!</v>
          </cell>
          <cell r="FE4" t="e">
            <v>#REF!</v>
          </cell>
          <cell r="FF4" t="e">
            <v>#REF!</v>
          </cell>
          <cell r="FG4" t="e">
            <v>#REF!</v>
          </cell>
          <cell r="FH4" t="e">
            <v>#REF!</v>
          </cell>
          <cell r="FI4" t="e">
            <v>#REF!</v>
          </cell>
          <cell r="FJ4" t="e">
            <v>#REF!</v>
          </cell>
          <cell r="FK4" t="e">
            <v>#REF!</v>
          </cell>
          <cell r="FL4" t="e">
            <v>#REF!</v>
          </cell>
          <cell r="FM4" t="e">
            <v>#REF!</v>
          </cell>
          <cell r="FN4" t="e">
            <v>#REF!</v>
          </cell>
          <cell r="FO4" t="e">
            <v>#REF!</v>
          </cell>
          <cell r="FP4" t="e">
            <v>#REF!</v>
          </cell>
          <cell r="FQ4" t="e">
            <v>#REF!</v>
          </cell>
          <cell r="FR4" t="e">
            <v>#REF!</v>
          </cell>
          <cell r="FS4" t="e">
            <v>#REF!</v>
          </cell>
          <cell r="FT4" t="e">
            <v>#REF!</v>
          </cell>
          <cell r="FU4" t="e">
            <v>#REF!</v>
          </cell>
          <cell r="FV4" t="e">
            <v>#REF!</v>
          </cell>
          <cell r="FW4" t="e">
            <v>#REF!</v>
          </cell>
          <cell r="FX4" t="e">
            <v>#REF!</v>
          </cell>
          <cell r="FY4" t="e">
            <v>#REF!</v>
          </cell>
          <cell r="FZ4" t="e">
            <v>#REF!</v>
          </cell>
          <cell r="GA4" t="e">
            <v>#REF!</v>
          </cell>
          <cell r="GB4" t="e">
            <v>#REF!</v>
          </cell>
          <cell r="GC4" t="e">
            <v>#REF!</v>
          </cell>
          <cell r="GD4" t="e">
            <v>#REF!</v>
          </cell>
          <cell r="GE4" t="e">
            <v>#REF!</v>
          </cell>
          <cell r="GF4" t="e">
            <v>#REF!</v>
          </cell>
          <cell r="GG4" t="e">
            <v>#REF!</v>
          </cell>
          <cell r="GH4" t="e">
            <v>#REF!</v>
          </cell>
          <cell r="GI4" t="e">
            <v>#REF!</v>
          </cell>
          <cell r="GJ4" t="e">
            <v>#REF!</v>
          </cell>
          <cell r="GK4" t="e">
            <v>#REF!</v>
          </cell>
          <cell r="GL4" t="e">
            <v>#REF!</v>
          </cell>
          <cell r="GM4" t="e">
            <v>#REF!</v>
          </cell>
          <cell r="GN4" t="e">
            <v>#REF!</v>
          </cell>
          <cell r="GO4" t="e">
            <v>#REF!</v>
          </cell>
          <cell r="GP4" t="e">
            <v>#REF!</v>
          </cell>
          <cell r="GQ4" t="e">
            <v>#REF!</v>
          </cell>
          <cell r="GR4" t="e">
            <v>#REF!</v>
          </cell>
          <cell r="GS4" t="e">
            <v>#REF!</v>
          </cell>
          <cell r="GT4" t="e">
            <v>#REF!</v>
          </cell>
          <cell r="GU4" t="e">
            <v>#REF!</v>
          </cell>
          <cell r="GV4" t="e">
            <v>#REF!</v>
          </cell>
          <cell r="GW4" t="e">
            <v>#REF!</v>
          </cell>
          <cell r="GX4" t="e">
            <v>#REF!</v>
          </cell>
          <cell r="GY4" t="e">
            <v>#REF!</v>
          </cell>
          <cell r="GZ4" t="e">
            <v>#REF!</v>
          </cell>
          <cell r="HA4" t="e">
            <v>#REF!</v>
          </cell>
          <cell r="HB4" t="e">
            <v>#REF!</v>
          </cell>
          <cell r="HC4" t="e">
            <v>#REF!</v>
          </cell>
          <cell r="HD4" t="e">
            <v>#REF!</v>
          </cell>
          <cell r="HE4" t="e">
            <v>#REF!</v>
          </cell>
          <cell r="HF4" t="e">
            <v>#REF!</v>
          </cell>
          <cell r="HG4" t="e">
            <v>#REF!</v>
          </cell>
          <cell r="HH4" t="e">
            <v>#REF!</v>
          </cell>
          <cell r="HI4" t="e">
            <v>#REF!</v>
          </cell>
          <cell r="HJ4" t="e">
            <v>#REF!</v>
          </cell>
          <cell r="HK4" t="e">
            <v>#REF!</v>
          </cell>
        </row>
        <row r="6">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cell r="AQ6" t="e">
            <v>#REF!</v>
          </cell>
          <cell r="AR6" t="e">
            <v>#REF!</v>
          </cell>
          <cell r="AS6" t="e">
            <v>#REF!</v>
          </cell>
          <cell r="AT6" t="e">
            <v>#REF!</v>
          </cell>
          <cell r="AU6" t="e">
            <v>#REF!</v>
          </cell>
          <cell r="AV6" t="e">
            <v>#REF!</v>
          </cell>
          <cell r="AW6" t="e">
            <v>#REF!</v>
          </cell>
          <cell r="AX6" t="e">
            <v>#REF!</v>
          </cell>
          <cell r="AY6" t="e">
            <v>#REF!</v>
          </cell>
          <cell r="AZ6" t="e">
            <v>#REF!</v>
          </cell>
          <cell r="BA6" t="e">
            <v>#REF!</v>
          </cell>
          <cell r="BB6" t="e">
            <v>#REF!</v>
          </cell>
          <cell r="BC6" t="e">
            <v>#REF!</v>
          </cell>
          <cell r="BD6" t="e">
            <v>#REF!</v>
          </cell>
          <cell r="BE6" t="e">
            <v>#REF!</v>
          </cell>
          <cell r="BF6" t="e">
            <v>#REF!</v>
          </cell>
          <cell r="BG6" t="e">
            <v>#REF!</v>
          </cell>
          <cell r="BH6" t="e">
            <v>#REF!</v>
          </cell>
          <cell r="BI6" t="e">
            <v>#REF!</v>
          </cell>
          <cell r="BJ6" t="e">
            <v>#REF!</v>
          </cell>
          <cell r="BK6" t="e">
            <v>#REF!</v>
          </cell>
          <cell r="BL6" t="e">
            <v>#REF!</v>
          </cell>
          <cell r="BM6" t="e">
            <v>#REF!</v>
          </cell>
          <cell r="BN6" t="e">
            <v>#REF!</v>
          </cell>
          <cell r="BO6" t="e">
            <v>#REF!</v>
          </cell>
          <cell r="BP6" t="e">
            <v>#REF!</v>
          </cell>
          <cell r="BQ6" t="e">
            <v>#REF!</v>
          </cell>
          <cell r="BR6" t="e">
            <v>#REF!</v>
          </cell>
          <cell r="BS6" t="e">
            <v>#REF!</v>
          </cell>
          <cell r="BT6" t="e">
            <v>#REF!</v>
          </cell>
          <cell r="BU6" t="e">
            <v>#REF!</v>
          </cell>
          <cell r="BV6" t="e">
            <v>#REF!</v>
          </cell>
          <cell r="BW6" t="e">
            <v>#REF!</v>
          </cell>
          <cell r="BX6" t="e">
            <v>#REF!</v>
          </cell>
          <cell r="BY6" t="e">
            <v>#REF!</v>
          </cell>
          <cell r="BZ6" t="e">
            <v>#REF!</v>
          </cell>
          <cell r="CA6" t="e">
            <v>#REF!</v>
          </cell>
          <cell r="CB6" t="e">
            <v>#REF!</v>
          </cell>
          <cell r="CC6" t="e">
            <v>#REF!</v>
          </cell>
          <cell r="CD6" t="e">
            <v>#REF!</v>
          </cell>
          <cell r="CE6" t="e">
            <v>#REF!</v>
          </cell>
          <cell r="CF6" t="e">
            <v>#REF!</v>
          </cell>
          <cell r="CG6" t="e">
            <v>#REF!</v>
          </cell>
          <cell r="CH6" t="e">
            <v>#REF!</v>
          </cell>
          <cell r="CI6" t="e">
            <v>#REF!</v>
          </cell>
          <cell r="CJ6" t="e">
            <v>#REF!</v>
          </cell>
          <cell r="CK6" t="e">
            <v>#REF!</v>
          </cell>
          <cell r="CL6" t="e">
            <v>#REF!</v>
          </cell>
          <cell r="CM6" t="e">
            <v>#REF!</v>
          </cell>
          <cell r="CN6" t="e">
            <v>#REF!</v>
          </cell>
          <cell r="CO6" t="e">
            <v>#REF!</v>
          </cell>
          <cell r="CP6" t="e">
            <v>#REF!</v>
          </cell>
          <cell r="CQ6" t="e">
            <v>#REF!</v>
          </cell>
          <cell r="CR6" t="e">
            <v>#REF!</v>
          </cell>
          <cell r="CS6" t="e">
            <v>#REF!</v>
          </cell>
          <cell r="CT6" t="e">
            <v>#REF!</v>
          </cell>
          <cell r="CU6" t="e">
            <v>#REF!</v>
          </cell>
          <cell r="CV6" t="e">
            <v>#REF!</v>
          </cell>
          <cell r="CW6" t="e">
            <v>#REF!</v>
          </cell>
          <cell r="CX6" t="e">
            <v>#REF!</v>
          </cell>
          <cell r="CY6" t="e">
            <v>#REF!</v>
          </cell>
          <cell r="CZ6" t="e">
            <v>#REF!</v>
          </cell>
          <cell r="DA6" t="e">
            <v>#REF!</v>
          </cell>
          <cell r="DB6" t="e">
            <v>#REF!</v>
          </cell>
          <cell r="DC6" t="e">
            <v>#REF!</v>
          </cell>
          <cell r="DD6" t="e">
            <v>#REF!</v>
          </cell>
          <cell r="DE6" t="e">
            <v>#REF!</v>
          </cell>
          <cell r="DF6" t="e">
            <v>#REF!</v>
          </cell>
          <cell r="DG6" t="e">
            <v>#REF!</v>
          </cell>
          <cell r="DH6" t="e">
            <v>#REF!</v>
          </cell>
          <cell r="DI6" t="e">
            <v>#REF!</v>
          </cell>
          <cell r="DJ6" t="e">
            <v>#REF!</v>
          </cell>
          <cell r="DK6" t="e">
            <v>#REF!</v>
          </cell>
          <cell r="DL6" t="e">
            <v>#REF!</v>
          </cell>
          <cell r="DM6" t="e">
            <v>#REF!</v>
          </cell>
          <cell r="DN6" t="e">
            <v>#REF!</v>
          </cell>
          <cell r="DO6" t="e">
            <v>#REF!</v>
          </cell>
          <cell r="DP6" t="e">
            <v>#REF!</v>
          </cell>
          <cell r="DQ6" t="e">
            <v>#REF!</v>
          </cell>
          <cell r="DR6" t="e">
            <v>#REF!</v>
          </cell>
          <cell r="DS6" t="e">
            <v>#REF!</v>
          </cell>
          <cell r="DT6" t="e">
            <v>#REF!</v>
          </cell>
          <cell r="DU6" t="e">
            <v>#REF!</v>
          </cell>
          <cell r="DV6" t="e">
            <v>#REF!</v>
          </cell>
          <cell r="DW6" t="e">
            <v>#REF!</v>
          </cell>
          <cell r="DX6" t="e">
            <v>#REF!</v>
          </cell>
          <cell r="DY6" t="e">
            <v>#REF!</v>
          </cell>
          <cell r="DZ6" t="e">
            <v>#REF!</v>
          </cell>
          <cell r="EA6" t="e">
            <v>#REF!</v>
          </cell>
          <cell r="EB6" t="e">
            <v>#REF!</v>
          </cell>
          <cell r="EC6" t="e">
            <v>#REF!</v>
          </cell>
          <cell r="ED6" t="e">
            <v>#REF!</v>
          </cell>
          <cell r="EE6" t="e">
            <v>#REF!</v>
          </cell>
          <cell r="EF6" t="e">
            <v>#REF!</v>
          </cell>
          <cell r="EG6" t="e">
            <v>#REF!</v>
          </cell>
          <cell r="EH6" t="e">
            <v>#REF!</v>
          </cell>
          <cell r="EI6" t="e">
            <v>#REF!</v>
          </cell>
          <cell r="EJ6" t="e">
            <v>#REF!</v>
          </cell>
          <cell r="EK6" t="e">
            <v>#REF!</v>
          </cell>
          <cell r="EL6" t="e">
            <v>#REF!</v>
          </cell>
          <cell r="EM6" t="e">
            <v>#REF!</v>
          </cell>
          <cell r="EN6" t="e">
            <v>#REF!</v>
          </cell>
          <cell r="EO6" t="e">
            <v>#REF!</v>
          </cell>
          <cell r="EP6" t="e">
            <v>#REF!</v>
          </cell>
          <cell r="EQ6" t="e">
            <v>#REF!</v>
          </cell>
          <cell r="ER6" t="e">
            <v>#REF!</v>
          </cell>
          <cell r="ES6" t="e">
            <v>#REF!</v>
          </cell>
          <cell r="ET6" t="e">
            <v>#REF!</v>
          </cell>
          <cell r="EU6" t="e">
            <v>#REF!</v>
          </cell>
          <cell r="EV6" t="e">
            <v>#REF!</v>
          </cell>
          <cell r="EW6" t="e">
            <v>#REF!</v>
          </cell>
          <cell r="EX6" t="e">
            <v>#REF!</v>
          </cell>
          <cell r="EY6" t="e">
            <v>#REF!</v>
          </cell>
          <cell r="EZ6" t="e">
            <v>#REF!</v>
          </cell>
          <cell r="FA6" t="e">
            <v>#REF!</v>
          </cell>
          <cell r="FB6" t="e">
            <v>#REF!</v>
          </cell>
          <cell r="FC6" t="e">
            <v>#REF!</v>
          </cell>
          <cell r="FD6" t="e">
            <v>#REF!</v>
          </cell>
          <cell r="FE6" t="e">
            <v>#REF!</v>
          </cell>
          <cell r="FF6" t="e">
            <v>#REF!</v>
          </cell>
          <cell r="FG6" t="e">
            <v>#REF!</v>
          </cell>
          <cell r="FH6" t="e">
            <v>#REF!</v>
          </cell>
          <cell r="FI6" t="e">
            <v>#REF!</v>
          </cell>
          <cell r="FJ6" t="e">
            <v>#REF!</v>
          </cell>
          <cell r="FK6" t="e">
            <v>#REF!</v>
          </cell>
          <cell r="FL6" t="e">
            <v>#REF!</v>
          </cell>
          <cell r="FM6" t="e">
            <v>#REF!</v>
          </cell>
          <cell r="FN6" t="e">
            <v>#REF!</v>
          </cell>
          <cell r="FO6" t="e">
            <v>#REF!</v>
          </cell>
          <cell r="FP6" t="e">
            <v>#REF!</v>
          </cell>
          <cell r="FQ6" t="e">
            <v>#REF!</v>
          </cell>
          <cell r="FR6" t="e">
            <v>#REF!</v>
          </cell>
          <cell r="FS6" t="e">
            <v>#REF!</v>
          </cell>
          <cell r="FT6" t="e">
            <v>#REF!</v>
          </cell>
          <cell r="FU6" t="e">
            <v>#REF!</v>
          </cell>
          <cell r="FV6" t="e">
            <v>#REF!</v>
          </cell>
          <cell r="FW6" t="e">
            <v>#REF!</v>
          </cell>
          <cell r="FX6" t="e">
            <v>#REF!</v>
          </cell>
          <cell r="FY6" t="e">
            <v>#REF!</v>
          </cell>
          <cell r="FZ6" t="e">
            <v>#REF!</v>
          </cell>
          <cell r="GA6" t="e">
            <v>#REF!</v>
          </cell>
          <cell r="GB6" t="e">
            <v>#REF!</v>
          </cell>
          <cell r="GC6" t="e">
            <v>#REF!</v>
          </cell>
          <cell r="GD6" t="e">
            <v>#REF!</v>
          </cell>
          <cell r="GE6" t="e">
            <v>#REF!</v>
          </cell>
          <cell r="GF6" t="e">
            <v>#REF!</v>
          </cell>
          <cell r="GG6" t="e">
            <v>#REF!</v>
          </cell>
          <cell r="GH6" t="e">
            <v>#REF!</v>
          </cell>
          <cell r="GI6" t="e">
            <v>#REF!</v>
          </cell>
          <cell r="GJ6" t="e">
            <v>#REF!</v>
          </cell>
          <cell r="GK6" t="e">
            <v>#REF!</v>
          </cell>
          <cell r="GL6" t="e">
            <v>#REF!</v>
          </cell>
          <cell r="GM6" t="e">
            <v>#REF!</v>
          </cell>
          <cell r="GN6" t="e">
            <v>#REF!</v>
          </cell>
          <cell r="GO6" t="e">
            <v>#REF!</v>
          </cell>
          <cell r="GP6" t="e">
            <v>#REF!</v>
          </cell>
          <cell r="GQ6" t="e">
            <v>#REF!</v>
          </cell>
          <cell r="GR6" t="e">
            <v>#REF!</v>
          </cell>
          <cell r="GS6" t="e">
            <v>#REF!</v>
          </cell>
          <cell r="GT6" t="e">
            <v>#REF!</v>
          </cell>
          <cell r="GU6" t="e">
            <v>#REF!</v>
          </cell>
          <cell r="GV6" t="e">
            <v>#REF!</v>
          </cell>
          <cell r="GW6" t="e">
            <v>#REF!</v>
          </cell>
          <cell r="GX6" t="e">
            <v>#REF!</v>
          </cell>
          <cell r="GY6" t="e">
            <v>#REF!</v>
          </cell>
          <cell r="GZ6" t="e">
            <v>#REF!</v>
          </cell>
          <cell r="HA6" t="e">
            <v>#REF!</v>
          </cell>
          <cell r="HB6" t="e">
            <v>#REF!</v>
          </cell>
          <cell r="HC6" t="e">
            <v>#REF!</v>
          </cell>
          <cell r="HD6" t="e">
            <v>#REF!</v>
          </cell>
          <cell r="HE6" t="e">
            <v>#REF!</v>
          </cell>
          <cell r="HF6" t="e">
            <v>#REF!</v>
          </cell>
          <cell r="HG6" t="e">
            <v>#REF!</v>
          </cell>
          <cell r="HH6" t="e">
            <v>#REF!</v>
          </cell>
          <cell r="HI6" t="e">
            <v>#REF!</v>
          </cell>
          <cell r="HJ6" t="e">
            <v>#REF!</v>
          </cell>
          <cell r="HK6" t="e">
            <v>#REF!</v>
          </cell>
        </row>
        <row r="9">
          <cell r="D9">
            <v>0.10783166285218215</v>
          </cell>
          <cell r="E9">
            <v>0.10783166285218215</v>
          </cell>
          <cell r="F9">
            <v>0.10783166285218215</v>
          </cell>
          <cell r="G9">
            <v>0.10783166285218215</v>
          </cell>
          <cell r="H9">
            <v>0.10783166285218215</v>
          </cell>
          <cell r="I9">
            <v>0.10783166285218215</v>
          </cell>
          <cell r="J9">
            <v>0.10783166285218215</v>
          </cell>
          <cell r="K9">
            <v>0.10783166285218215</v>
          </cell>
          <cell r="L9">
            <v>0.10783166285218215</v>
          </cell>
          <cell r="M9">
            <v>0.10783166285218215</v>
          </cell>
          <cell r="N9">
            <v>0.10783166285218215</v>
          </cell>
          <cell r="O9">
            <v>0.10783166285218215</v>
          </cell>
          <cell r="P9">
            <v>0.10783166285218215</v>
          </cell>
          <cell r="Q9">
            <v>0.10783166285218215</v>
          </cell>
          <cell r="R9">
            <v>0.10783166285218215</v>
          </cell>
          <cell r="S9">
            <v>0.10783166285218215</v>
          </cell>
          <cell r="T9">
            <v>0.10783166285218215</v>
          </cell>
          <cell r="U9">
            <v>0.10783166285218215</v>
          </cell>
          <cell r="V9">
            <v>0.10783166285218215</v>
          </cell>
          <cell r="W9">
            <v>0.10783166285218215</v>
          </cell>
          <cell r="X9">
            <v>0.10783166285218215</v>
          </cell>
          <cell r="Y9">
            <v>0.10783166285218215</v>
          </cell>
          <cell r="Z9">
            <v>0.10783166285218215</v>
          </cell>
          <cell r="AA9">
            <v>0.10783166285218215</v>
          </cell>
          <cell r="AB9">
            <v>0.10783166285218215</v>
          </cell>
          <cell r="AC9">
            <v>0.10783166285218215</v>
          </cell>
          <cell r="AD9">
            <v>0.10783166285218215</v>
          </cell>
          <cell r="AE9">
            <v>0.10783166285218215</v>
          </cell>
          <cell r="AF9">
            <v>0.10783166285218215</v>
          </cell>
          <cell r="AG9">
            <v>0.10783166285218215</v>
          </cell>
          <cell r="AH9">
            <v>0.10783166285218215</v>
          </cell>
          <cell r="AI9" t="e">
            <v>#REF!</v>
          </cell>
          <cell r="AJ9" t="e">
            <v>#REF!</v>
          </cell>
          <cell r="AK9" t="e">
            <v>#REF!</v>
          </cell>
          <cell r="AL9" t="e">
            <v>#REF!</v>
          </cell>
          <cell r="AM9" t="e">
            <v>#REF!</v>
          </cell>
          <cell r="AN9" t="e">
            <v>#REF!</v>
          </cell>
          <cell r="AO9" t="e">
            <v>#REF!</v>
          </cell>
          <cell r="AP9" t="e">
            <v>#REF!</v>
          </cell>
          <cell r="AQ9" t="e">
            <v>#REF!</v>
          </cell>
          <cell r="AR9" t="e">
            <v>#REF!</v>
          </cell>
          <cell r="AS9" t="e">
            <v>#REF!</v>
          </cell>
          <cell r="AT9" t="e">
            <v>#REF!</v>
          </cell>
          <cell r="AU9" t="e">
            <v>#REF!</v>
          </cell>
          <cell r="AV9" t="e">
            <v>#REF!</v>
          </cell>
          <cell r="AW9" t="e">
            <v>#REF!</v>
          </cell>
          <cell r="AX9" t="e">
            <v>#REF!</v>
          </cell>
          <cell r="AY9" t="e">
            <v>#REF!</v>
          </cell>
          <cell r="AZ9" t="e">
            <v>#REF!</v>
          </cell>
          <cell r="BA9" t="e">
            <v>#REF!</v>
          </cell>
          <cell r="BB9" t="e">
            <v>#REF!</v>
          </cell>
          <cell r="BC9" t="e">
            <v>#REF!</v>
          </cell>
          <cell r="BD9" t="e">
            <v>#REF!</v>
          </cell>
          <cell r="BE9" t="e">
            <v>#REF!</v>
          </cell>
          <cell r="BF9" t="e">
            <v>#REF!</v>
          </cell>
          <cell r="BG9" t="e">
            <v>#REF!</v>
          </cell>
          <cell r="BH9" t="e">
            <v>#REF!</v>
          </cell>
          <cell r="BI9" t="e">
            <v>#REF!</v>
          </cell>
          <cell r="BJ9" t="e">
            <v>#REF!</v>
          </cell>
          <cell r="BK9" t="e">
            <v>#REF!</v>
          </cell>
          <cell r="BL9" t="e">
            <v>#REF!</v>
          </cell>
          <cell r="BM9" t="e">
            <v>#REF!</v>
          </cell>
          <cell r="BN9" t="e">
            <v>#REF!</v>
          </cell>
          <cell r="BO9" t="e">
            <v>#REF!</v>
          </cell>
          <cell r="BP9" t="e">
            <v>#REF!</v>
          </cell>
          <cell r="BQ9" t="e">
            <v>#REF!</v>
          </cell>
          <cell r="BR9" t="e">
            <v>#REF!</v>
          </cell>
          <cell r="BS9" t="e">
            <v>#REF!</v>
          </cell>
          <cell r="BT9" t="e">
            <v>#REF!</v>
          </cell>
          <cell r="BU9" t="e">
            <v>#REF!</v>
          </cell>
          <cell r="BV9" t="e">
            <v>#REF!</v>
          </cell>
          <cell r="BW9" t="e">
            <v>#REF!</v>
          </cell>
          <cell r="BX9" t="e">
            <v>#REF!</v>
          </cell>
          <cell r="BY9" t="e">
            <v>#REF!</v>
          </cell>
          <cell r="BZ9" t="e">
            <v>#REF!</v>
          </cell>
          <cell r="CA9" t="e">
            <v>#REF!</v>
          </cell>
          <cell r="CB9" t="e">
            <v>#REF!</v>
          </cell>
          <cell r="CC9" t="e">
            <v>#REF!</v>
          </cell>
          <cell r="CD9" t="e">
            <v>#REF!</v>
          </cell>
          <cell r="CE9" t="e">
            <v>#REF!</v>
          </cell>
          <cell r="CF9" t="e">
            <v>#REF!</v>
          </cell>
          <cell r="CG9" t="e">
            <v>#REF!</v>
          </cell>
          <cell r="CH9" t="e">
            <v>#REF!</v>
          </cell>
          <cell r="CI9" t="e">
            <v>#REF!</v>
          </cell>
          <cell r="CJ9" t="e">
            <v>#REF!</v>
          </cell>
          <cell r="CK9" t="e">
            <v>#REF!</v>
          </cell>
          <cell r="CL9" t="e">
            <v>#REF!</v>
          </cell>
          <cell r="CM9" t="e">
            <v>#REF!</v>
          </cell>
          <cell r="CN9" t="e">
            <v>#REF!</v>
          </cell>
          <cell r="CO9" t="e">
            <v>#REF!</v>
          </cell>
          <cell r="CP9" t="e">
            <v>#REF!</v>
          </cell>
          <cell r="CQ9" t="e">
            <v>#REF!</v>
          </cell>
          <cell r="CR9" t="e">
            <v>#REF!</v>
          </cell>
          <cell r="CS9" t="e">
            <v>#REF!</v>
          </cell>
          <cell r="CT9" t="e">
            <v>#REF!</v>
          </cell>
          <cell r="CU9" t="e">
            <v>#REF!</v>
          </cell>
          <cell r="CV9" t="e">
            <v>#REF!</v>
          </cell>
          <cell r="CW9" t="e">
            <v>#REF!</v>
          </cell>
          <cell r="CX9" t="e">
            <v>#REF!</v>
          </cell>
          <cell r="CY9" t="e">
            <v>#REF!</v>
          </cell>
          <cell r="CZ9" t="e">
            <v>#REF!</v>
          </cell>
          <cell r="DA9" t="e">
            <v>#REF!</v>
          </cell>
          <cell r="DB9" t="e">
            <v>#REF!</v>
          </cell>
          <cell r="DC9" t="e">
            <v>#REF!</v>
          </cell>
          <cell r="DD9" t="e">
            <v>#REF!</v>
          </cell>
          <cell r="DE9" t="e">
            <v>#REF!</v>
          </cell>
          <cell r="DF9" t="e">
            <v>#REF!</v>
          </cell>
          <cell r="DG9" t="e">
            <v>#REF!</v>
          </cell>
          <cell r="DH9" t="e">
            <v>#REF!</v>
          </cell>
          <cell r="DI9" t="e">
            <v>#REF!</v>
          </cell>
          <cell r="DJ9" t="e">
            <v>#REF!</v>
          </cell>
          <cell r="DK9" t="e">
            <v>#REF!</v>
          </cell>
          <cell r="DL9" t="e">
            <v>#REF!</v>
          </cell>
          <cell r="DM9" t="e">
            <v>#REF!</v>
          </cell>
          <cell r="DN9" t="e">
            <v>#REF!</v>
          </cell>
          <cell r="DO9" t="e">
            <v>#REF!</v>
          </cell>
          <cell r="DP9" t="e">
            <v>#REF!</v>
          </cell>
          <cell r="DQ9" t="e">
            <v>#REF!</v>
          </cell>
          <cell r="DR9" t="e">
            <v>#REF!</v>
          </cell>
          <cell r="DS9" t="e">
            <v>#REF!</v>
          </cell>
          <cell r="DT9" t="e">
            <v>#REF!</v>
          </cell>
          <cell r="DU9" t="e">
            <v>#REF!</v>
          </cell>
          <cell r="DV9" t="e">
            <v>#REF!</v>
          </cell>
          <cell r="DW9" t="e">
            <v>#REF!</v>
          </cell>
          <cell r="DX9" t="e">
            <v>#REF!</v>
          </cell>
          <cell r="DY9" t="e">
            <v>#REF!</v>
          </cell>
          <cell r="DZ9" t="e">
            <v>#REF!</v>
          </cell>
          <cell r="EA9" t="e">
            <v>#REF!</v>
          </cell>
          <cell r="EB9" t="e">
            <v>#REF!</v>
          </cell>
          <cell r="EC9" t="e">
            <v>#REF!</v>
          </cell>
          <cell r="ED9" t="e">
            <v>#REF!</v>
          </cell>
          <cell r="EE9" t="e">
            <v>#REF!</v>
          </cell>
          <cell r="EF9" t="e">
            <v>#REF!</v>
          </cell>
          <cell r="EG9" t="e">
            <v>#REF!</v>
          </cell>
          <cell r="EH9" t="e">
            <v>#REF!</v>
          </cell>
          <cell r="EI9" t="e">
            <v>#REF!</v>
          </cell>
          <cell r="EJ9" t="e">
            <v>#REF!</v>
          </cell>
          <cell r="EK9" t="e">
            <v>#REF!</v>
          </cell>
          <cell r="EL9" t="e">
            <v>#REF!</v>
          </cell>
          <cell r="EM9" t="e">
            <v>#REF!</v>
          </cell>
          <cell r="EN9" t="e">
            <v>#REF!</v>
          </cell>
          <cell r="EO9" t="e">
            <v>#REF!</v>
          </cell>
          <cell r="EP9" t="e">
            <v>#REF!</v>
          </cell>
          <cell r="EQ9" t="e">
            <v>#REF!</v>
          </cell>
          <cell r="ER9" t="e">
            <v>#REF!</v>
          </cell>
          <cell r="ES9" t="e">
            <v>#REF!</v>
          </cell>
          <cell r="ET9" t="e">
            <v>#REF!</v>
          </cell>
          <cell r="EU9" t="e">
            <v>#REF!</v>
          </cell>
          <cell r="EV9" t="e">
            <v>#REF!</v>
          </cell>
          <cell r="EW9" t="e">
            <v>#REF!</v>
          </cell>
          <cell r="EX9" t="e">
            <v>#REF!</v>
          </cell>
          <cell r="EY9" t="e">
            <v>#REF!</v>
          </cell>
          <cell r="EZ9" t="e">
            <v>#REF!</v>
          </cell>
          <cell r="FA9" t="e">
            <v>#REF!</v>
          </cell>
          <cell r="FB9" t="e">
            <v>#REF!</v>
          </cell>
          <cell r="FC9" t="e">
            <v>#REF!</v>
          </cell>
          <cell r="FD9" t="e">
            <v>#REF!</v>
          </cell>
          <cell r="FE9" t="e">
            <v>#REF!</v>
          </cell>
          <cell r="FF9" t="e">
            <v>#REF!</v>
          </cell>
          <cell r="FG9" t="e">
            <v>#REF!</v>
          </cell>
          <cell r="FH9" t="e">
            <v>#REF!</v>
          </cell>
          <cell r="FI9" t="e">
            <v>#REF!</v>
          </cell>
          <cell r="FJ9" t="e">
            <v>#REF!</v>
          </cell>
          <cell r="FK9" t="e">
            <v>#REF!</v>
          </cell>
          <cell r="FL9" t="e">
            <v>#REF!</v>
          </cell>
          <cell r="FM9" t="e">
            <v>#REF!</v>
          </cell>
          <cell r="FN9" t="e">
            <v>#REF!</v>
          </cell>
          <cell r="FO9" t="e">
            <v>#REF!</v>
          </cell>
          <cell r="FP9" t="e">
            <v>#REF!</v>
          </cell>
          <cell r="FQ9" t="e">
            <v>#REF!</v>
          </cell>
          <cell r="FR9" t="e">
            <v>#REF!</v>
          </cell>
          <cell r="FS9" t="e">
            <v>#REF!</v>
          </cell>
          <cell r="FT9" t="e">
            <v>#REF!</v>
          </cell>
          <cell r="FU9" t="e">
            <v>#REF!</v>
          </cell>
          <cell r="FV9" t="e">
            <v>#REF!</v>
          </cell>
          <cell r="FW9" t="e">
            <v>#REF!</v>
          </cell>
          <cell r="FX9" t="e">
            <v>#REF!</v>
          </cell>
          <cell r="FY9" t="e">
            <v>#REF!</v>
          </cell>
          <cell r="FZ9" t="e">
            <v>#REF!</v>
          </cell>
          <cell r="GA9" t="e">
            <v>#REF!</v>
          </cell>
          <cell r="GB9" t="e">
            <v>#REF!</v>
          </cell>
          <cell r="GC9" t="e">
            <v>#REF!</v>
          </cell>
          <cell r="GD9" t="e">
            <v>#REF!</v>
          </cell>
          <cell r="GE9" t="e">
            <v>#REF!</v>
          </cell>
          <cell r="GF9" t="e">
            <v>#REF!</v>
          </cell>
          <cell r="GG9" t="e">
            <v>#REF!</v>
          </cell>
          <cell r="GH9" t="e">
            <v>#REF!</v>
          </cell>
          <cell r="GI9" t="e">
            <v>#REF!</v>
          </cell>
          <cell r="GJ9" t="e">
            <v>#REF!</v>
          </cell>
          <cell r="GK9" t="e">
            <v>#REF!</v>
          </cell>
          <cell r="GL9" t="e">
            <v>#REF!</v>
          </cell>
          <cell r="GM9" t="e">
            <v>#REF!</v>
          </cell>
          <cell r="GN9" t="e">
            <v>#REF!</v>
          </cell>
          <cell r="GO9" t="e">
            <v>#REF!</v>
          </cell>
          <cell r="GP9" t="e">
            <v>#REF!</v>
          </cell>
          <cell r="GQ9" t="e">
            <v>#REF!</v>
          </cell>
          <cell r="GR9" t="e">
            <v>#REF!</v>
          </cell>
          <cell r="GS9" t="e">
            <v>#REF!</v>
          </cell>
          <cell r="GT9" t="e">
            <v>#REF!</v>
          </cell>
          <cell r="GU9" t="e">
            <v>#REF!</v>
          </cell>
          <cell r="GV9" t="e">
            <v>#REF!</v>
          </cell>
          <cell r="GW9" t="e">
            <v>#REF!</v>
          </cell>
          <cell r="GX9" t="e">
            <v>#REF!</v>
          </cell>
          <cell r="GY9" t="e">
            <v>#REF!</v>
          </cell>
          <cell r="GZ9" t="e">
            <v>#REF!</v>
          </cell>
          <cell r="HA9" t="e">
            <v>#REF!</v>
          </cell>
          <cell r="HB9" t="e">
            <v>#REF!</v>
          </cell>
          <cell r="HC9" t="e">
            <v>#REF!</v>
          </cell>
          <cell r="HD9" t="e">
            <v>#REF!</v>
          </cell>
          <cell r="HE9" t="e">
            <v>#REF!</v>
          </cell>
          <cell r="HF9" t="e">
            <v>#REF!</v>
          </cell>
          <cell r="HG9" t="e">
            <v>#REF!</v>
          </cell>
          <cell r="HH9" t="e">
            <v>#REF!</v>
          </cell>
          <cell r="HI9" t="e">
            <v>#REF!</v>
          </cell>
          <cell r="HJ9" t="e">
            <v>#REF!</v>
          </cell>
          <cell r="HK9" t="e">
            <v>#REF!</v>
          </cell>
        </row>
        <row r="11">
          <cell r="D11">
            <v>1535.6979000000033</v>
          </cell>
          <cell r="E11">
            <v>1510.4778000000033</v>
          </cell>
          <cell r="F11">
            <v>1519.0705000000032</v>
          </cell>
          <cell r="G11">
            <v>1527.6632000000031</v>
          </cell>
          <cell r="H11">
            <v>1536.2559000000031</v>
          </cell>
          <cell r="I11">
            <v>1544.848600000003</v>
          </cell>
          <cell r="J11">
            <v>1553.4413000000029</v>
          </cell>
          <cell r="K11">
            <v>1562.0340000000028</v>
          </cell>
          <cell r="L11">
            <v>1570.6267000000028</v>
          </cell>
          <cell r="M11">
            <v>1579.2194000000027</v>
          </cell>
          <cell r="N11">
            <v>1587.8121000000026</v>
          </cell>
          <cell r="O11">
            <v>1596.4048000000025</v>
          </cell>
          <cell r="P11">
            <v>1604.9975000000024</v>
          </cell>
          <cell r="Q11">
            <v>1613.5902000000024</v>
          </cell>
          <cell r="R11">
            <v>1622.1829000000023</v>
          </cell>
          <cell r="S11">
            <v>1630.7756000000022</v>
          </cell>
          <cell r="T11">
            <v>1639.3683000000021</v>
          </cell>
          <cell r="U11">
            <v>1647.9610000000021</v>
          </cell>
          <cell r="V11">
            <v>1656.553700000002</v>
          </cell>
          <cell r="W11">
            <v>1665.1464000000019</v>
          </cell>
          <cell r="X11">
            <v>1673.7391000000018</v>
          </cell>
          <cell r="Y11">
            <v>1682.3318000000017</v>
          </cell>
          <cell r="Z11">
            <v>1690.9245000000017</v>
          </cell>
          <cell r="AA11">
            <v>1699.5172000000016</v>
          </cell>
          <cell r="AB11">
            <v>1708.1099000000015</v>
          </cell>
          <cell r="AC11">
            <v>1716.7026000000014</v>
          </cell>
          <cell r="AD11">
            <v>1725.2953000000014</v>
          </cell>
          <cell r="AE11">
            <v>1733.8880000000013</v>
          </cell>
          <cell r="AF11">
            <v>1742.4807000000012</v>
          </cell>
          <cell r="AG11">
            <v>804.31500000000005</v>
          </cell>
          <cell r="AH11">
            <v>804.31500000000005</v>
          </cell>
          <cell r="AI11">
            <v>858.13179493087569</v>
          </cell>
          <cell r="AJ11">
            <v>911.94858986175132</v>
          </cell>
          <cell r="AK11">
            <v>965.76538479262695</v>
          </cell>
          <cell r="AL11">
            <v>1019.5821797235026</v>
          </cell>
          <cell r="AM11">
            <v>1073.3989746543782</v>
          </cell>
          <cell r="AN11">
            <v>1127.2157695852538</v>
          </cell>
          <cell r="AO11">
            <v>1181.0325645161295</v>
          </cell>
          <cell r="AP11">
            <v>1234.8493594470051</v>
          </cell>
          <cell r="AQ11">
            <v>1288.6661543778807</v>
          </cell>
          <cell r="AR11">
            <v>1342.4829493087564</v>
          </cell>
          <cell r="AS11">
            <v>1396.299744239632</v>
          </cell>
          <cell r="AT11">
            <v>1450.1165391705076</v>
          </cell>
          <cell r="AU11">
            <v>1503.9333341013833</v>
          </cell>
          <cell r="AV11">
            <v>1557.7501290322589</v>
          </cell>
          <cell r="AW11">
            <v>1611.5669239631345</v>
          </cell>
          <cell r="AX11">
            <v>1665.3837188940101</v>
          </cell>
          <cell r="AY11">
            <v>1719.2005138248858</v>
          </cell>
          <cell r="AZ11">
            <v>1773.0173087557614</v>
          </cell>
          <cell r="BA11">
            <v>1826.834103686637</v>
          </cell>
          <cell r="BB11">
            <v>1880.6508986175127</v>
          </cell>
          <cell r="BC11">
            <v>1934.4676935483883</v>
          </cell>
          <cell r="BD11">
            <v>1988.2844884792639</v>
          </cell>
          <cell r="BE11">
            <v>2042.1012834101396</v>
          </cell>
          <cell r="BF11">
            <v>2095.9180783410152</v>
          </cell>
          <cell r="BG11">
            <v>2149.734873271891</v>
          </cell>
          <cell r="BH11">
            <v>2203.5516682027669</v>
          </cell>
          <cell r="BI11">
            <v>2257.3684631336428</v>
          </cell>
          <cell r="BJ11">
            <v>2311.1852580645186</v>
          </cell>
          <cell r="BK11">
            <v>2365.0020529953945</v>
          </cell>
          <cell r="BL11">
            <v>2418.8188479262703</v>
          </cell>
          <cell r="BM11">
            <v>2472.6356428571453</v>
          </cell>
          <cell r="BN11">
            <v>2472.6356428571453</v>
          </cell>
          <cell r="BO11">
            <v>2526.4524377880211</v>
          </cell>
          <cell r="BP11">
            <v>2580.269232718897</v>
          </cell>
          <cell r="BQ11">
            <v>2634.0860276497729</v>
          </cell>
          <cell r="BR11">
            <v>2687.9028225806487</v>
          </cell>
          <cell r="BS11">
            <v>2741.7196175115246</v>
          </cell>
          <cell r="BT11">
            <v>2795.5364124424004</v>
          </cell>
          <cell r="BU11">
            <v>2849.3532073732763</v>
          </cell>
          <cell r="BV11">
            <v>2903.1700023041521</v>
          </cell>
          <cell r="BW11">
            <v>2956.986797235028</v>
          </cell>
          <cell r="BX11">
            <v>3010.8035921659039</v>
          </cell>
          <cell r="BY11">
            <v>3064.6203870967797</v>
          </cell>
          <cell r="BZ11">
            <v>3118.4371820276556</v>
          </cell>
          <cell r="CA11">
            <v>3172.2539769585314</v>
          </cell>
          <cell r="CB11">
            <v>3226.0707718894073</v>
          </cell>
          <cell r="CC11">
            <v>3279.8875668202832</v>
          </cell>
          <cell r="CD11">
            <v>3333.704361751159</v>
          </cell>
          <cell r="CE11">
            <v>3387.5211566820349</v>
          </cell>
          <cell r="CF11">
            <v>3441.3379516129107</v>
          </cell>
          <cell r="CG11">
            <v>3495.1547465437866</v>
          </cell>
          <cell r="CH11">
            <v>3548.9715414746624</v>
          </cell>
          <cell r="CI11">
            <v>3602.7883364055383</v>
          </cell>
          <cell r="CJ11">
            <v>3656.6051313364142</v>
          </cell>
          <cell r="CK11">
            <v>3710.42192626729</v>
          </cell>
          <cell r="CL11">
            <v>3764.2387211981659</v>
          </cell>
          <cell r="CM11">
            <v>3818.0555161290417</v>
          </cell>
          <cell r="CN11">
            <v>3871.8723110599176</v>
          </cell>
          <cell r="CO11">
            <v>3925.6891059907935</v>
          </cell>
          <cell r="CP11">
            <v>3979.5059009216693</v>
          </cell>
          <cell r="CQ11">
            <v>4033.3226958525452</v>
          </cell>
          <cell r="CR11">
            <v>4087.139490783421</v>
          </cell>
          <cell r="CS11">
            <v>4140.9562857142964</v>
          </cell>
          <cell r="CT11">
            <v>4194.7730806451718</v>
          </cell>
          <cell r="CU11">
            <v>4248.5898755760472</v>
          </cell>
          <cell r="CV11">
            <v>4302.4066705069226</v>
          </cell>
          <cell r="CW11">
            <v>4356.223465437798</v>
          </cell>
          <cell r="CX11">
            <v>4410.0402603686734</v>
          </cell>
          <cell r="CY11">
            <v>4463.8570552995488</v>
          </cell>
          <cell r="CZ11">
            <v>4517.6738502304243</v>
          </cell>
          <cell r="DA11">
            <v>4571.4906451612997</v>
          </cell>
          <cell r="DB11">
            <v>4625.3074400921751</v>
          </cell>
          <cell r="DC11">
            <v>4679.1242350230505</v>
          </cell>
          <cell r="DD11">
            <v>4732.9410299539259</v>
          </cell>
          <cell r="DE11">
            <v>4786.7578248848013</v>
          </cell>
          <cell r="DF11">
            <v>4840.5746198156767</v>
          </cell>
          <cell r="DG11">
            <v>4894.3914147465521</v>
          </cell>
          <cell r="DH11">
            <v>4948.2082096774275</v>
          </cell>
          <cell r="DI11">
            <v>5002.0250046083029</v>
          </cell>
          <cell r="DJ11">
            <v>5055.8417995391783</v>
          </cell>
          <cell r="DK11">
            <v>5109.6585944700537</v>
          </cell>
          <cell r="DL11">
            <v>5163.4753894009291</v>
          </cell>
          <cell r="DM11">
            <v>5217.2921843318045</v>
          </cell>
          <cell r="DN11">
            <v>5271.1089792626799</v>
          </cell>
          <cell r="DO11">
            <v>5324.9257741935553</v>
          </cell>
          <cell r="DP11">
            <v>5378.7425691244307</v>
          </cell>
          <cell r="DQ11">
            <v>5432.5593640553061</v>
          </cell>
          <cell r="DR11">
            <v>5486.3761589861815</v>
          </cell>
          <cell r="DS11">
            <v>5540.1929539170569</v>
          </cell>
          <cell r="DT11">
            <v>5594.0097488479323</v>
          </cell>
          <cell r="DU11">
            <v>5647.8265437788077</v>
          </cell>
          <cell r="DV11">
            <v>5701.6433387096831</v>
          </cell>
          <cell r="DW11">
            <v>5755.4601336405585</v>
          </cell>
          <cell r="DX11">
            <v>5694.8982666567617</v>
          </cell>
          <cell r="DY11">
            <v>5634.3363996729649</v>
          </cell>
          <cell r="DZ11">
            <v>5573.7745326891682</v>
          </cell>
          <cell r="EA11">
            <v>5513.2126657053714</v>
          </cell>
          <cell r="EB11">
            <v>5452.6507987215746</v>
          </cell>
          <cell r="EC11">
            <v>5392.0889317377778</v>
          </cell>
          <cell r="ED11">
            <v>5331.527064753981</v>
          </cell>
          <cell r="EE11">
            <v>5270.9651977701842</v>
          </cell>
          <cell r="EF11">
            <v>5210.4033307863874</v>
          </cell>
          <cell r="EG11">
            <v>5149.8414638025906</v>
          </cell>
          <cell r="EH11">
            <v>5089.2795968187938</v>
          </cell>
          <cell r="EI11">
            <v>5028.717729834997</v>
          </cell>
          <cell r="EJ11">
            <v>4968.1558628512003</v>
          </cell>
          <cell r="EK11">
            <v>4907.5939958674035</v>
          </cell>
          <cell r="EL11">
            <v>4847.0321288836067</v>
          </cell>
          <cell r="EM11">
            <v>4786.4702618998099</v>
          </cell>
          <cell r="EN11">
            <v>4725.9083949160131</v>
          </cell>
          <cell r="EO11">
            <v>4665.3465279322163</v>
          </cell>
          <cell r="EP11">
            <v>4604.7846609484195</v>
          </cell>
          <cell r="EQ11">
            <v>4544.2227939646227</v>
          </cell>
          <cell r="ER11">
            <v>4483.6609269808259</v>
          </cell>
          <cell r="ES11">
            <v>4423.0990599970291</v>
          </cell>
          <cell r="ET11">
            <v>4362.5371930132324</v>
          </cell>
          <cell r="EU11">
            <v>4301.9753260294356</v>
          </cell>
          <cell r="EV11">
            <v>4241.4134590456388</v>
          </cell>
          <cell r="EW11">
            <v>4180.851592061842</v>
          </cell>
          <cell r="EX11">
            <v>4120.2897250780452</v>
          </cell>
          <cell r="EY11">
            <v>4059.7278580942484</v>
          </cell>
          <cell r="EZ11">
            <v>3999.1659911104516</v>
          </cell>
          <cell r="FA11">
            <v>3938.6041241266548</v>
          </cell>
          <cell r="FB11">
            <v>3878.0422571428576</v>
          </cell>
          <cell r="FC11">
            <v>3817.4803901590608</v>
          </cell>
          <cell r="FD11">
            <v>3756.918523175264</v>
          </cell>
          <cell r="FE11">
            <v>3696.3566561914672</v>
          </cell>
          <cell r="FF11">
            <v>3635.7947892076704</v>
          </cell>
          <cell r="FG11">
            <v>3575.2329222238736</v>
          </cell>
          <cell r="FH11">
            <v>3514.6710552400768</v>
          </cell>
          <cell r="FI11">
            <v>3454.10918825628</v>
          </cell>
          <cell r="FJ11">
            <v>3393.5473212724833</v>
          </cell>
          <cell r="FK11">
            <v>3332.9854542886865</v>
          </cell>
          <cell r="FL11">
            <v>3272.4235873048897</v>
          </cell>
          <cell r="FM11">
            <v>3211.8617203210929</v>
          </cell>
          <cell r="FN11">
            <v>3151.2998533372961</v>
          </cell>
          <cell r="FO11">
            <v>3090.7379863534993</v>
          </cell>
          <cell r="FP11">
            <v>3030.1761193697025</v>
          </cell>
          <cell r="FQ11">
            <v>2969.6142523859057</v>
          </cell>
          <cell r="FR11">
            <v>2909.0523854021089</v>
          </cell>
          <cell r="FS11">
            <v>2848.4905184183121</v>
          </cell>
          <cell r="FT11">
            <v>2787.9286514345154</v>
          </cell>
          <cell r="FU11">
            <v>2727.3667844507186</v>
          </cell>
          <cell r="FV11">
            <v>2666.8049174669218</v>
          </cell>
          <cell r="FW11">
            <v>2606.243050483125</v>
          </cell>
          <cell r="FX11">
            <v>2545.6811834993282</v>
          </cell>
          <cell r="FY11">
            <v>2485.1193165155314</v>
          </cell>
          <cell r="FZ11">
            <v>2424.5574495317346</v>
          </cell>
          <cell r="GA11">
            <v>2363.9955825479378</v>
          </cell>
          <cell r="GB11">
            <v>2303.433715564141</v>
          </cell>
          <cell r="GC11">
            <v>2242.8718485803442</v>
          </cell>
          <cell r="GD11">
            <v>2182.3099815965475</v>
          </cell>
          <cell r="GE11">
            <v>2121.7481146127507</v>
          </cell>
          <cell r="GF11">
            <v>4346.5111285714283</v>
          </cell>
          <cell r="GG11">
            <v>4285.9492615876316</v>
          </cell>
          <cell r="GH11">
            <v>4225.3873946038348</v>
          </cell>
          <cell r="GI11">
            <v>4164.825527620038</v>
          </cell>
          <cell r="GJ11">
            <v>4104.2636606362412</v>
          </cell>
          <cell r="GK11">
            <v>4043.7017936524444</v>
          </cell>
          <cell r="GL11">
            <v>3983.1399266686476</v>
          </cell>
          <cell r="GM11">
            <v>3922.5780596848508</v>
          </cell>
          <cell r="GN11">
            <v>3862.016192701054</v>
          </cell>
          <cell r="GO11">
            <v>3801.4543257172572</v>
          </cell>
          <cell r="GP11">
            <v>3740.8924587334604</v>
          </cell>
          <cell r="GQ11">
            <v>3680.3305917496637</v>
          </cell>
          <cell r="GR11">
            <v>3619.7687247658669</v>
          </cell>
          <cell r="GS11">
            <v>3559.2068577820701</v>
          </cell>
          <cell r="GT11">
            <v>3498.6449907982733</v>
          </cell>
          <cell r="GU11">
            <v>3438.0831238144765</v>
          </cell>
          <cell r="GV11">
            <v>3377.5212568306797</v>
          </cell>
          <cell r="GW11">
            <v>3316.9593898468829</v>
          </cell>
          <cell r="GX11">
            <v>3256.3975228630861</v>
          </cell>
          <cell r="GY11">
            <v>3195.8356558792893</v>
          </cell>
          <cell r="GZ11">
            <v>3135.2737888954925</v>
          </cell>
          <cell r="HA11">
            <v>3074.7119219116958</v>
          </cell>
          <cell r="HB11">
            <v>3014.150054927899</v>
          </cell>
          <cell r="HC11">
            <v>2953.5881879441022</v>
          </cell>
          <cell r="HD11">
            <v>2893.0263209603054</v>
          </cell>
          <cell r="HE11">
            <v>2832.4644539765086</v>
          </cell>
          <cell r="HF11">
            <v>2771.9025869927118</v>
          </cell>
          <cell r="HG11">
            <v>2711.340720008915</v>
          </cell>
          <cell r="HH11">
            <v>2650.7788530251182</v>
          </cell>
          <cell r="HI11">
            <v>2590.2169860413214</v>
          </cell>
          <cell r="HJ11">
            <v>2529.6551190575246</v>
          </cell>
          <cell r="HK11">
            <v>4814.9799999999996</v>
          </cell>
        </row>
        <row r="14">
          <cell r="D14" t="e">
            <v>#REF!</v>
          </cell>
          <cell r="E14" t="e">
            <v>#REF!</v>
          </cell>
          <cell r="F14" t="e">
            <v>#REF!</v>
          </cell>
          <cell r="G14" t="e">
            <v>#REF!</v>
          </cell>
          <cell r="H14" t="e">
            <v>#REF!</v>
          </cell>
          <cell r="I14" t="e">
            <v>#REF!</v>
          </cell>
          <cell r="J14" t="e">
            <v>#REF!</v>
          </cell>
          <cell r="K14" t="e">
            <v>#REF!</v>
          </cell>
          <cell r="L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B14" t="e">
            <v>#REF!</v>
          </cell>
          <cell r="BC14" t="e">
            <v>#REF!</v>
          </cell>
          <cell r="BD14" t="e">
            <v>#REF!</v>
          </cell>
          <cell r="BE14" t="e">
            <v>#REF!</v>
          </cell>
          <cell r="BF14" t="e">
            <v>#REF!</v>
          </cell>
          <cell r="BG14" t="e">
            <v>#REF!</v>
          </cell>
          <cell r="BH14" t="e">
            <v>#REF!</v>
          </cell>
          <cell r="BI14" t="e">
            <v>#REF!</v>
          </cell>
          <cell r="BJ14" t="e">
            <v>#REF!</v>
          </cell>
          <cell r="BK14" t="e">
            <v>#REF!</v>
          </cell>
          <cell r="BL14" t="e">
            <v>#REF!</v>
          </cell>
          <cell r="BM14" t="e">
            <v>#REF!</v>
          </cell>
          <cell r="BN14" t="e">
            <v>#REF!</v>
          </cell>
          <cell r="BO14" t="e">
            <v>#REF!</v>
          </cell>
          <cell r="BP14" t="e">
            <v>#REF!</v>
          </cell>
          <cell r="BQ14" t="e">
            <v>#REF!</v>
          </cell>
          <cell r="BR14" t="e">
            <v>#REF!</v>
          </cell>
          <cell r="BS14" t="e">
            <v>#REF!</v>
          </cell>
          <cell r="BT14" t="e">
            <v>#REF!</v>
          </cell>
          <cell r="BU14" t="e">
            <v>#REF!</v>
          </cell>
          <cell r="BV14" t="e">
            <v>#REF!</v>
          </cell>
          <cell r="BW14" t="e">
            <v>#REF!</v>
          </cell>
          <cell r="BX14" t="e">
            <v>#REF!</v>
          </cell>
          <cell r="BY14" t="e">
            <v>#REF!</v>
          </cell>
          <cell r="BZ14" t="e">
            <v>#REF!</v>
          </cell>
          <cell r="CA14" t="e">
            <v>#REF!</v>
          </cell>
          <cell r="CB14" t="e">
            <v>#REF!</v>
          </cell>
          <cell r="CC14" t="e">
            <v>#REF!</v>
          </cell>
          <cell r="CD14" t="e">
            <v>#REF!</v>
          </cell>
          <cell r="CE14" t="e">
            <v>#REF!</v>
          </cell>
          <cell r="CF14" t="e">
            <v>#REF!</v>
          </cell>
          <cell r="CG14" t="e">
            <v>#REF!</v>
          </cell>
          <cell r="CH14" t="e">
            <v>#REF!</v>
          </cell>
          <cell r="CI14" t="e">
            <v>#REF!</v>
          </cell>
          <cell r="CJ14" t="e">
            <v>#REF!</v>
          </cell>
          <cell r="CK14" t="e">
            <v>#REF!</v>
          </cell>
          <cell r="CL14" t="e">
            <v>#REF!</v>
          </cell>
          <cell r="CM14" t="e">
            <v>#REF!</v>
          </cell>
          <cell r="CN14" t="e">
            <v>#REF!</v>
          </cell>
          <cell r="CO14" t="e">
            <v>#REF!</v>
          </cell>
          <cell r="CP14" t="e">
            <v>#REF!</v>
          </cell>
          <cell r="CQ14" t="e">
            <v>#REF!</v>
          </cell>
          <cell r="CR14" t="e">
            <v>#REF!</v>
          </cell>
          <cell r="CS14" t="e">
            <v>#REF!</v>
          </cell>
          <cell r="CT14" t="e">
            <v>#REF!</v>
          </cell>
          <cell r="CU14" t="e">
            <v>#REF!</v>
          </cell>
          <cell r="CV14" t="e">
            <v>#REF!</v>
          </cell>
          <cell r="CW14" t="e">
            <v>#REF!</v>
          </cell>
          <cell r="CX14" t="e">
            <v>#REF!</v>
          </cell>
          <cell r="CY14" t="e">
            <v>#REF!</v>
          </cell>
          <cell r="CZ14" t="e">
            <v>#REF!</v>
          </cell>
          <cell r="DA14" t="e">
            <v>#REF!</v>
          </cell>
          <cell r="DB14" t="e">
            <v>#REF!</v>
          </cell>
          <cell r="DC14" t="e">
            <v>#REF!</v>
          </cell>
          <cell r="DD14" t="e">
            <v>#REF!</v>
          </cell>
          <cell r="DE14" t="e">
            <v>#REF!</v>
          </cell>
          <cell r="DF14" t="e">
            <v>#REF!</v>
          </cell>
          <cell r="DG14" t="e">
            <v>#REF!</v>
          </cell>
          <cell r="DH14" t="e">
            <v>#REF!</v>
          </cell>
          <cell r="DI14" t="e">
            <v>#REF!</v>
          </cell>
          <cell r="DJ14" t="e">
            <v>#REF!</v>
          </cell>
          <cell r="DK14" t="e">
            <v>#REF!</v>
          </cell>
          <cell r="DL14" t="e">
            <v>#REF!</v>
          </cell>
          <cell r="DM14" t="e">
            <v>#REF!</v>
          </cell>
          <cell r="DN14" t="e">
            <v>#REF!</v>
          </cell>
          <cell r="DO14" t="e">
            <v>#REF!</v>
          </cell>
          <cell r="DP14" t="e">
            <v>#REF!</v>
          </cell>
          <cell r="DQ14" t="e">
            <v>#REF!</v>
          </cell>
          <cell r="DR14" t="e">
            <v>#REF!</v>
          </cell>
          <cell r="DS14" t="e">
            <v>#REF!</v>
          </cell>
          <cell r="DT14" t="e">
            <v>#REF!</v>
          </cell>
          <cell r="DU14" t="e">
            <v>#REF!</v>
          </cell>
          <cell r="DV14" t="e">
            <v>#REF!</v>
          </cell>
          <cell r="DW14" t="e">
            <v>#REF!</v>
          </cell>
          <cell r="DX14" t="e">
            <v>#REF!</v>
          </cell>
          <cell r="DY14" t="e">
            <v>#REF!</v>
          </cell>
          <cell r="DZ14" t="e">
            <v>#REF!</v>
          </cell>
          <cell r="EA14" t="e">
            <v>#REF!</v>
          </cell>
          <cell r="EB14" t="e">
            <v>#REF!</v>
          </cell>
          <cell r="EC14" t="e">
            <v>#REF!</v>
          </cell>
          <cell r="ED14" t="e">
            <v>#REF!</v>
          </cell>
          <cell r="EE14" t="e">
            <v>#REF!</v>
          </cell>
          <cell r="EF14" t="e">
            <v>#REF!</v>
          </cell>
          <cell r="EG14" t="e">
            <v>#REF!</v>
          </cell>
          <cell r="EH14" t="e">
            <v>#REF!</v>
          </cell>
          <cell r="EI14" t="e">
            <v>#REF!</v>
          </cell>
          <cell r="EJ14" t="e">
            <v>#REF!</v>
          </cell>
          <cell r="EK14" t="e">
            <v>#REF!</v>
          </cell>
          <cell r="EL14" t="e">
            <v>#REF!</v>
          </cell>
          <cell r="EM14" t="e">
            <v>#REF!</v>
          </cell>
          <cell r="EN14" t="e">
            <v>#REF!</v>
          </cell>
          <cell r="EO14" t="e">
            <v>#REF!</v>
          </cell>
          <cell r="EP14" t="e">
            <v>#REF!</v>
          </cell>
          <cell r="EQ14" t="e">
            <v>#REF!</v>
          </cell>
          <cell r="ER14" t="e">
            <v>#REF!</v>
          </cell>
          <cell r="ES14" t="e">
            <v>#REF!</v>
          </cell>
          <cell r="ET14" t="e">
            <v>#REF!</v>
          </cell>
          <cell r="EU14" t="e">
            <v>#REF!</v>
          </cell>
          <cell r="EV14" t="e">
            <v>#REF!</v>
          </cell>
          <cell r="EW14" t="e">
            <v>#REF!</v>
          </cell>
          <cell r="EX14" t="e">
            <v>#REF!</v>
          </cell>
          <cell r="EY14" t="e">
            <v>#REF!</v>
          </cell>
          <cell r="EZ14" t="e">
            <v>#REF!</v>
          </cell>
          <cell r="FA14" t="e">
            <v>#REF!</v>
          </cell>
          <cell r="FB14" t="e">
            <v>#REF!</v>
          </cell>
          <cell r="FC14" t="e">
            <v>#REF!</v>
          </cell>
          <cell r="FD14" t="e">
            <v>#REF!</v>
          </cell>
          <cell r="FE14" t="e">
            <v>#REF!</v>
          </cell>
          <cell r="FF14" t="e">
            <v>#REF!</v>
          </cell>
          <cell r="FG14" t="e">
            <v>#REF!</v>
          </cell>
          <cell r="FH14" t="e">
            <v>#REF!</v>
          </cell>
          <cell r="FI14" t="e">
            <v>#REF!</v>
          </cell>
          <cell r="FJ14" t="e">
            <v>#REF!</v>
          </cell>
          <cell r="FK14" t="e">
            <v>#REF!</v>
          </cell>
          <cell r="FL14" t="e">
            <v>#REF!</v>
          </cell>
          <cell r="FM14" t="e">
            <v>#REF!</v>
          </cell>
          <cell r="FN14" t="e">
            <v>#REF!</v>
          </cell>
          <cell r="FO14" t="e">
            <v>#REF!</v>
          </cell>
          <cell r="FP14" t="e">
            <v>#REF!</v>
          </cell>
          <cell r="FQ14" t="e">
            <v>#REF!</v>
          </cell>
          <cell r="FR14" t="e">
            <v>#REF!</v>
          </cell>
          <cell r="FS14" t="e">
            <v>#REF!</v>
          </cell>
          <cell r="FT14" t="e">
            <v>#REF!</v>
          </cell>
          <cell r="FU14" t="e">
            <v>#REF!</v>
          </cell>
          <cell r="FV14" t="e">
            <v>#REF!</v>
          </cell>
          <cell r="FW14" t="e">
            <v>#REF!</v>
          </cell>
          <cell r="FX14" t="e">
            <v>#REF!</v>
          </cell>
          <cell r="FY14" t="e">
            <v>#REF!</v>
          </cell>
          <cell r="FZ14" t="e">
            <v>#REF!</v>
          </cell>
          <cell r="GA14" t="e">
            <v>#REF!</v>
          </cell>
          <cell r="GB14" t="e">
            <v>#REF!</v>
          </cell>
          <cell r="GC14" t="e">
            <v>#REF!</v>
          </cell>
          <cell r="GD14" t="e">
            <v>#REF!</v>
          </cell>
          <cell r="GE14" t="e">
            <v>#REF!</v>
          </cell>
          <cell r="GF14" t="e">
            <v>#REF!</v>
          </cell>
          <cell r="GG14" t="e">
            <v>#REF!</v>
          </cell>
          <cell r="GH14" t="e">
            <v>#REF!</v>
          </cell>
          <cell r="GI14" t="e">
            <v>#REF!</v>
          </cell>
          <cell r="GJ14" t="e">
            <v>#REF!</v>
          </cell>
          <cell r="GK14" t="e">
            <v>#REF!</v>
          </cell>
          <cell r="GL14" t="e">
            <v>#REF!</v>
          </cell>
          <cell r="GM14" t="e">
            <v>#REF!</v>
          </cell>
          <cell r="GN14" t="e">
            <v>#REF!</v>
          </cell>
          <cell r="GO14" t="e">
            <v>#REF!</v>
          </cell>
          <cell r="GP14" t="e">
            <v>#REF!</v>
          </cell>
          <cell r="GQ14" t="e">
            <v>#REF!</v>
          </cell>
          <cell r="GR14" t="e">
            <v>#REF!</v>
          </cell>
          <cell r="GS14" t="e">
            <v>#REF!</v>
          </cell>
          <cell r="GT14" t="e">
            <v>#REF!</v>
          </cell>
          <cell r="GU14" t="e">
            <v>#REF!</v>
          </cell>
          <cell r="GV14" t="e">
            <v>#REF!</v>
          </cell>
          <cell r="GW14" t="e">
            <v>#REF!</v>
          </cell>
          <cell r="GX14" t="e">
            <v>#REF!</v>
          </cell>
          <cell r="GY14" t="e">
            <v>#REF!</v>
          </cell>
          <cell r="GZ14" t="e">
            <v>#REF!</v>
          </cell>
          <cell r="HA14" t="e">
            <v>#REF!</v>
          </cell>
          <cell r="HB14" t="e">
            <v>#REF!</v>
          </cell>
          <cell r="HC14" t="e">
            <v>#REF!</v>
          </cell>
          <cell r="HD14" t="e">
            <v>#REF!</v>
          </cell>
          <cell r="HE14" t="e">
            <v>#REF!</v>
          </cell>
          <cell r="HF14" t="e">
            <v>#REF!</v>
          </cell>
          <cell r="HG14" t="e">
            <v>#REF!</v>
          </cell>
          <cell r="HH14" t="e">
            <v>#REF!</v>
          </cell>
          <cell r="HI14" t="e">
            <v>#REF!</v>
          </cell>
          <cell r="HJ14" t="e">
            <v>#REF!</v>
          </cell>
          <cell r="HK14" t="e">
            <v>#REF!</v>
          </cell>
        </row>
        <row r="16">
          <cell r="D16" t="e">
            <v>#REF!</v>
          </cell>
          <cell r="E16" t="e">
            <v>#REF!</v>
          </cell>
          <cell r="F16" t="e">
            <v>#REF!</v>
          </cell>
          <cell r="G16" t="e">
            <v>#REF!</v>
          </cell>
          <cell r="H16" t="e">
            <v>#REF!</v>
          </cell>
          <cell r="I16" t="e">
            <v>#REF!</v>
          </cell>
          <cell r="J16" t="e">
            <v>#REF!</v>
          </cell>
          <cell r="K16" t="e">
            <v>#REF!</v>
          </cell>
          <cell r="L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cell r="AQ16" t="e">
            <v>#REF!</v>
          </cell>
          <cell r="AR16" t="e">
            <v>#REF!</v>
          </cell>
          <cell r="AS16" t="e">
            <v>#REF!</v>
          </cell>
          <cell r="AT16" t="e">
            <v>#REF!</v>
          </cell>
          <cell r="AU16" t="e">
            <v>#REF!</v>
          </cell>
          <cell r="AV16" t="e">
            <v>#REF!</v>
          </cell>
          <cell r="AW16" t="e">
            <v>#REF!</v>
          </cell>
          <cell r="AX16" t="e">
            <v>#REF!</v>
          </cell>
          <cell r="AY16" t="e">
            <v>#REF!</v>
          </cell>
          <cell r="AZ16" t="e">
            <v>#REF!</v>
          </cell>
          <cell r="BA16" t="e">
            <v>#REF!</v>
          </cell>
          <cell r="BB16" t="e">
            <v>#REF!</v>
          </cell>
          <cell r="BC16" t="e">
            <v>#REF!</v>
          </cell>
          <cell r="BD16" t="e">
            <v>#REF!</v>
          </cell>
          <cell r="BE16" t="e">
            <v>#REF!</v>
          </cell>
          <cell r="BF16" t="e">
            <v>#REF!</v>
          </cell>
          <cell r="BG16" t="e">
            <v>#REF!</v>
          </cell>
          <cell r="BH16" t="e">
            <v>#REF!</v>
          </cell>
          <cell r="BI16" t="e">
            <v>#REF!</v>
          </cell>
          <cell r="BJ16" t="e">
            <v>#REF!</v>
          </cell>
          <cell r="BK16" t="e">
            <v>#REF!</v>
          </cell>
          <cell r="BL16" t="e">
            <v>#REF!</v>
          </cell>
          <cell r="BM16" t="e">
            <v>#REF!</v>
          </cell>
          <cell r="BN16" t="e">
            <v>#REF!</v>
          </cell>
          <cell r="BO16" t="e">
            <v>#REF!</v>
          </cell>
          <cell r="BP16" t="e">
            <v>#REF!</v>
          </cell>
          <cell r="BQ16" t="e">
            <v>#REF!</v>
          </cell>
          <cell r="BR16" t="e">
            <v>#REF!</v>
          </cell>
          <cell r="BS16" t="e">
            <v>#REF!</v>
          </cell>
          <cell r="BT16" t="e">
            <v>#REF!</v>
          </cell>
          <cell r="BU16" t="e">
            <v>#REF!</v>
          </cell>
          <cell r="BV16" t="e">
            <v>#REF!</v>
          </cell>
          <cell r="BW16" t="e">
            <v>#REF!</v>
          </cell>
          <cell r="BX16" t="e">
            <v>#REF!</v>
          </cell>
          <cell r="BY16" t="e">
            <v>#REF!</v>
          </cell>
          <cell r="BZ16" t="e">
            <v>#REF!</v>
          </cell>
          <cell r="CA16" t="e">
            <v>#REF!</v>
          </cell>
          <cell r="CB16" t="e">
            <v>#REF!</v>
          </cell>
          <cell r="CC16" t="e">
            <v>#REF!</v>
          </cell>
          <cell r="CD16" t="e">
            <v>#REF!</v>
          </cell>
          <cell r="CE16" t="e">
            <v>#REF!</v>
          </cell>
          <cell r="CF16" t="e">
            <v>#REF!</v>
          </cell>
          <cell r="CG16" t="e">
            <v>#REF!</v>
          </cell>
          <cell r="CH16" t="e">
            <v>#REF!</v>
          </cell>
          <cell r="CI16" t="e">
            <v>#REF!</v>
          </cell>
          <cell r="CJ16" t="e">
            <v>#REF!</v>
          </cell>
          <cell r="CK16" t="e">
            <v>#REF!</v>
          </cell>
          <cell r="CL16" t="e">
            <v>#REF!</v>
          </cell>
          <cell r="CM16" t="e">
            <v>#REF!</v>
          </cell>
          <cell r="CN16" t="e">
            <v>#REF!</v>
          </cell>
          <cell r="CO16" t="e">
            <v>#REF!</v>
          </cell>
          <cell r="CP16" t="e">
            <v>#REF!</v>
          </cell>
          <cell r="CQ16" t="e">
            <v>#REF!</v>
          </cell>
          <cell r="CR16" t="e">
            <v>#REF!</v>
          </cell>
          <cell r="CS16" t="e">
            <v>#REF!</v>
          </cell>
          <cell r="CT16" t="e">
            <v>#REF!</v>
          </cell>
          <cell r="CU16" t="e">
            <v>#REF!</v>
          </cell>
          <cell r="CV16" t="e">
            <v>#REF!</v>
          </cell>
          <cell r="CW16" t="e">
            <v>#REF!</v>
          </cell>
          <cell r="CX16" t="e">
            <v>#REF!</v>
          </cell>
          <cell r="CY16" t="e">
            <v>#REF!</v>
          </cell>
          <cell r="CZ16" t="e">
            <v>#REF!</v>
          </cell>
          <cell r="DA16" t="e">
            <v>#REF!</v>
          </cell>
          <cell r="DB16" t="e">
            <v>#REF!</v>
          </cell>
          <cell r="DC16" t="e">
            <v>#REF!</v>
          </cell>
          <cell r="DD16" t="e">
            <v>#REF!</v>
          </cell>
          <cell r="DE16" t="e">
            <v>#REF!</v>
          </cell>
          <cell r="DF16" t="e">
            <v>#REF!</v>
          </cell>
          <cell r="DG16" t="e">
            <v>#REF!</v>
          </cell>
          <cell r="DH16" t="e">
            <v>#REF!</v>
          </cell>
          <cell r="DI16" t="e">
            <v>#REF!</v>
          </cell>
          <cell r="DJ16" t="e">
            <v>#REF!</v>
          </cell>
          <cell r="DK16" t="e">
            <v>#REF!</v>
          </cell>
          <cell r="DL16" t="e">
            <v>#REF!</v>
          </cell>
          <cell r="DM16" t="e">
            <v>#REF!</v>
          </cell>
          <cell r="DN16" t="e">
            <v>#REF!</v>
          </cell>
          <cell r="DO16" t="e">
            <v>#REF!</v>
          </cell>
          <cell r="DP16" t="e">
            <v>#REF!</v>
          </cell>
          <cell r="DQ16" t="e">
            <v>#REF!</v>
          </cell>
          <cell r="DR16" t="e">
            <v>#REF!</v>
          </cell>
          <cell r="DS16" t="e">
            <v>#REF!</v>
          </cell>
          <cell r="DT16" t="e">
            <v>#REF!</v>
          </cell>
          <cell r="DU16" t="e">
            <v>#REF!</v>
          </cell>
          <cell r="DV16" t="e">
            <v>#REF!</v>
          </cell>
          <cell r="DW16" t="e">
            <v>#REF!</v>
          </cell>
          <cell r="DX16" t="e">
            <v>#REF!</v>
          </cell>
          <cell r="DY16" t="e">
            <v>#REF!</v>
          </cell>
          <cell r="DZ16" t="e">
            <v>#REF!</v>
          </cell>
          <cell r="EA16" t="e">
            <v>#REF!</v>
          </cell>
          <cell r="EB16" t="e">
            <v>#REF!</v>
          </cell>
          <cell r="EC16" t="e">
            <v>#REF!</v>
          </cell>
          <cell r="ED16" t="e">
            <v>#REF!</v>
          </cell>
          <cell r="EE16" t="e">
            <v>#REF!</v>
          </cell>
          <cell r="EF16" t="e">
            <v>#REF!</v>
          </cell>
          <cell r="EG16" t="e">
            <v>#REF!</v>
          </cell>
          <cell r="EH16" t="e">
            <v>#REF!</v>
          </cell>
          <cell r="EI16" t="e">
            <v>#REF!</v>
          </cell>
          <cell r="EJ16" t="e">
            <v>#REF!</v>
          </cell>
          <cell r="EK16" t="e">
            <v>#REF!</v>
          </cell>
          <cell r="EL16" t="e">
            <v>#REF!</v>
          </cell>
          <cell r="EM16" t="e">
            <v>#REF!</v>
          </cell>
          <cell r="EN16" t="e">
            <v>#REF!</v>
          </cell>
          <cell r="EO16" t="e">
            <v>#REF!</v>
          </cell>
          <cell r="EP16" t="e">
            <v>#REF!</v>
          </cell>
          <cell r="EQ16" t="e">
            <v>#REF!</v>
          </cell>
          <cell r="ER16" t="e">
            <v>#REF!</v>
          </cell>
          <cell r="ES16" t="e">
            <v>#REF!</v>
          </cell>
          <cell r="ET16" t="e">
            <v>#REF!</v>
          </cell>
          <cell r="EU16" t="e">
            <v>#REF!</v>
          </cell>
          <cell r="EV16" t="e">
            <v>#REF!</v>
          </cell>
          <cell r="EW16" t="e">
            <v>#REF!</v>
          </cell>
          <cell r="EX16" t="e">
            <v>#REF!</v>
          </cell>
          <cell r="EY16" t="e">
            <v>#REF!</v>
          </cell>
          <cell r="EZ16" t="e">
            <v>#REF!</v>
          </cell>
          <cell r="FA16" t="e">
            <v>#REF!</v>
          </cell>
          <cell r="FB16" t="e">
            <v>#REF!</v>
          </cell>
          <cell r="FC16" t="e">
            <v>#REF!</v>
          </cell>
          <cell r="FD16" t="e">
            <v>#REF!</v>
          </cell>
          <cell r="FE16" t="e">
            <v>#REF!</v>
          </cell>
          <cell r="FF16" t="e">
            <v>#REF!</v>
          </cell>
          <cell r="FG16" t="e">
            <v>#REF!</v>
          </cell>
          <cell r="FH16" t="e">
            <v>#REF!</v>
          </cell>
          <cell r="FI16" t="e">
            <v>#REF!</v>
          </cell>
          <cell r="FJ16" t="e">
            <v>#REF!</v>
          </cell>
          <cell r="FK16" t="e">
            <v>#REF!</v>
          </cell>
          <cell r="FL16" t="e">
            <v>#REF!</v>
          </cell>
          <cell r="FM16" t="e">
            <v>#REF!</v>
          </cell>
          <cell r="FN16" t="e">
            <v>#REF!</v>
          </cell>
          <cell r="FO16" t="e">
            <v>#REF!</v>
          </cell>
          <cell r="FP16" t="e">
            <v>#REF!</v>
          </cell>
          <cell r="FQ16" t="e">
            <v>#REF!</v>
          </cell>
          <cell r="FR16" t="e">
            <v>#REF!</v>
          </cell>
          <cell r="FS16" t="e">
            <v>#REF!</v>
          </cell>
          <cell r="FT16" t="e">
            <v>#REF!</v>
          </cell>
          <cell r="FU16" t="e">
            <v>#REF!</v>
          </cell>
          <cell r="FV16" t="e">
            <v>#REF!</v>
          </cell>
          <cell r="FW16" t="e">
            <v>#REF!</v>
          </cell>
          <cell r="FX16" t="e">
            <v>#REF!</v>
          </cell>
          <cell r="FY16" t="e">
            <v>#REF!</v>
          </cell>
          <cell r="FZ16" t="e">
            <v>#REF!</v>
          </cell>
          <cell r="GA16" t="e">
            <v>#REF!</v>
          </cell>
          <cell r="GB16" t="e">
            <v>#REF!</v>
          </cell>
          <cell r="GC16" t="e">
            <v>#REF!</v>
          </cell>
          <cell r="GD16" t="e">
            <v>#REF!</v>
          </cell>
          <cell r="GE16" t="e">
            <v>#REF!</v>
          </cell>
          <cell r="GF16" t="e">
            <v>#REF!</v>
          </cell>
          <cell r="GG16" t="e">
            <v>#REF!</v>
          </cell>
          <cell r="GH16" t="e">
            <v>#REF!</v>
          </cell>
          <cell r="GI16" t="e">
            <v>#REF!</v>
          </cell>
          <cell r="GJ16" t="e">
            <v>#REF!</v>
          </cell>
          <cell r="GK16" t="e">
            <v>#REF!</v>
          </cell>
          <cell r="GL16" t="e">
            <v>#REF!</v>
          </cell>
          <cell r="GM16" t="e">
            <v>#REF!</v>
          </cell>
          <cell r="GN16" t="e">
            <v>#REF!</v>
          </cell>
          <cell r="GO16" t="e">
            <v>#REF!</v>
          </cell>
          <cell r="GP16" t="e">
            <v>#REF!</v>
          </cell>
          <cell r="GQ16" t="e">
            <v>#REF!</v>
          </cell>
          <cell r="GR16" t="e">
            <v>#REF!</v>
          </cell>
          <cell r="GS16" t="e">
            <v>#REF!</v>
          </cell>
          <cell r="GT16" t="e">
            <v>#REF!</v>
          </cell>
          <cell r="GU16" t="e">
            <v>#REF!</v>
          </cell>
          <cell r="GV16" t="e">
            <v>#REF!</v>
          </cell>
          <cell r="GW16" t="e">
            <v>#REF!</v>
          </cell>
          <cell r="GX16" t="e">
            <v>#REF!</v>
          </cell>
          <cell r="GY16" t="e">
            <v>#REF!</v>
          </cell>
          <cell r="GZ16" t="e">
            <v>#REF!</v>
          </cell>
          <cell r="HA16" t="e">
            <v>#REF!</v>
          </cell>
          <cell r="HB16" t="e">
            <v>#REF!</v>
          </cell>
          <cell r="HC16" t="e">
            <v>#REF!</v>
          </cell>
          <cell r="HD16" t="e">
            <v>#REF!</v>
          </cell>
          <cell r="HE16" t="e">
            <v>#REF!</v>
          </cell>
          <cell r="HF16" t="e">
            <v>#REF!</v>
          </cell>
          <cell r="HG16" t="e">
            <v>#REF!</v>
          </cell>
          <cell r="HH16" t="e">
            <v>#REF!</v>
          </cell>
          <cell r="HI16" t="e">
            <v>#REF!</v>
          </cell>
          <cell r="HJ16" t="e">
            <v>#REF!</v>
          </cell>
          <cell r="HK16" t="e">
            <v>#REF!</v>
          </cell>
        </row>
        <row r="19">
          <cell r="D19">
            <v>0.12069674999999999</v>
          </cell>
          <cell r="E19">
            <v>0.12069674999999999</v>
          </cell>
          <cell r="F19">
            <v>0.12069674999999999</v>
          </cell>
          <cell r="G19">
            <v>0.12069674999999999</v>
          </cell>
          <cell r="H19">
            <v>0.12069674999999999</v>
          </cell>
          <cell r="I19">
            <v>0.12069674999999999</v>
          </cell>
          <cell r="J19">
            <v>0.12069674999999999</v>
          </cell>
          <cell r="K19">
            <v>0.12069674999999999</v>
          </cell>
          <cell r="L19">
            <v>0.12069674999999999</v>
          </cell>
          <cell r="M19">
            <v>0.12069674999999999</v>
          </cell>
          <cell r="N19">
            <v>0.12069674999999999</v>
          </cell>
          <cell r="O19">
            <v>0.12069674999999999</v>
          </cell>
          <cell r="P19">
            <v>0.12069674999999999</v>
          </cell>
          <cell r="Q19">
            <v>0.12069674999999999</v>
          </cell>
          <cell r="R19">
            <v>0.12069674999999999</v>
          </cell>
          <cell r="S19">
            <v>0.12069674999999999</v>
          </cell>
          <cell r="T19">
            <v>0.12069674999999999</v>
          </cell>
          <cell r="U19">
            <v>0.12069674999999999</v>
          </cell>
          <cell r="V19">
            <v>0.12069674999999999</v>
          </cell>
          <cell r="W19">
            <v>0.12069674999999999</v>
          </cell>
          <cell r="X19">
            <v>0.12069674999999999</v>
          </cell>
          <cell r="Y19">
            <v>0.12069674999999999</v>
          </cell>
          <cell r="Z19">
            <v>0.12069674999999999</v>
          </cell>
          <cell r="AA19">
            <v>0.12069674999999999</v>
          </cell>
          <cell r="AB19">
            <v>0.12069674999999999</v>
          </cell>
          <cell r="AC19">
            <v>0.12069674999999999</v>
          </cell>
          <cell r="AD19">
            <v>0.12069674999999999</v>
          </cell>
          <cell r="AE19">
            <v>0.12069674999999999</v>
          </cell>
          <cell r="AF19">
            <v>0.12069674999999999</v>
          </cell>
          <cell r="AG19">
            <v>0.12069674999999999</v>
          </cell>
          <cell r="AH19">
            <v>0.12069674999999999</v>
          </cell>
          <cell r="AI19">
            <v>0.36627974999999996</v>
          </cell>
          <cell r="AJ19">
            <v>0.36627974999999996</v>
          </cell>
          <cell r="AK19">
            <v>0.36627974999999996</v>
          </cell>
          <cell r="AL19">
            <v>0.36627974999999996</v>
          </cell>
          <cell r="AM19">
            <v>0.36627974999999996</v>
          </cell>
          <cell r="AN19">
            <v>0.36627974999999996</v>
          </cell>
          <cell r="AO19">
            <v>0.36627974999999996</v>
          </cell>
          <cell r="AP19">
            <v>0.36627974999999996</v>
          </cell>
          <cell r="AQ19">
            <v>0.36627974999999996</v>
          </cell>
          <cell r="AR19">
            <v>0.36627974999999996</v>
          </cell>
          <cell r="AS19">
            <v>0.36627974999999996</v>
          </cell>
          <cell r="AT19">
            <v>0.36627974999999996</v>
          </cell>
          <cell r="AU19">
            <v>0.36627974999999996</v>
          </cell>
          <cell r="AV19">
            <v>0.36627974999999996</v>
          </cell>
          <cell r="AW19">
            <v>0.36627974999999996</v>
          </cell>
          <cell r="AX19">
            <v>0.36627974999999996</v>
          </cell>
          <cell r="AY19">
            <v>0.36627974999999996</v>
          </cell>
          <cell r="AZ19">
            <v>0.36627974999999996</v>
          </cell>
          <cell r="BA19">
            <v>0.36627974999999996</v>
          </cell>
          <cell r="BB19">
            <v>0.36627974999999996</v>
          </cell>
          <cell r="BC19">
            <v>0.36627974999999996</v>
          </cell>
          <cell r="BD19">
            <v>0.36627974999999996</v>
          </cell>
          <cell r="BE19">
            <v>0.36627974999999996</v>
          </cell>
          <cell r="BF19">
            <v>0.36627974999999996</v>
          </cell>
          <cell r="BG19">
            <v>0.36627974999999996</v>
          </cell>
          <cell r="BH19">
            <v>0.36627974999999996</v>
          </cell>
          <cell r="BI19">
            <v>0.36627974999999996</v>
          </cell>
          <cell r="BJ19">
            <v>0.36627974999999996</v>
          </cell>
          <cell r="BK19">
            <v>0.36627974999999996</v>
          </cell>
          <cell r="BL19">
            <v>0.36627974999999996</v>
          </cell>
          <cell r="BM19">
            <v>0.36627974999999996</v>
          </cell>
        </row>
        <row r="20">
          <cell r="D20">
            <v>302</v>
          </cell>
          <cell r="E20">
            <v>302</v>
          </cell>
          <cell r="F20">
            <v>302</v>
          </cell>
          <cell r="G20">
            <v>302</v>
          </cell>
          <cell r="H20">
            <v>302</v>
          </cell>
          <cell r="I20">
            <v>302</v>
          </cell>
          <cell r="J20">
            <v>302</v>
          </cell>
          <cell r="K20">
            <v>302</v>
          </cell>
          <cell r="L20">
            <v>302</v>
          </cell>
          <cell r="M20">
            <v>302</v>
          </cell>
          <cell r="N20">
            <v>302</v>
          </cell>
          <cell r="O20">
            <v>302</v>
          </cell>
          <cell r="P20">
            <v>302</v>
          </cell>
          <cell r="Q20">
            <v>302</v>
          </cell>
          <cell r="R20">
            <v>302</v>
          </cell>
          <cell r="S20">
            <v>302</v>
          </cell>
          <cell r="T20">
            <v>302</v>
          </cell>
          <cell r="U20">
            <v>302</v>
          </cell>
          <cell r="V20">
            <v>302</v>
          </cell>
          <cell r="W20">
            <v>302</v>
          </cell>
          <cell r="X20">
            <v>302</v>
          </cell>
          <cell r="Y20">
            <v>302</v>
          </cell>
          <cell r="Z20">
            <v>302</v>
          </cell>
          <cell r="AA20">
            <v>302</v>
          </cell>
          <cell r="AB20">
            <v>302</v>
          </cell>
          <cell r="AC20">
            <v>302</v>
          </cell>
          <cell r="AD20">
            <v>302</v>
          </cell>
          <cell r="AE20">
            <v>302</v>
          </cell>
          <cell r="AF20">
            <v>302</v>
          </cell>
          <cell r="AG20">
            <v>302</v>
          </cell>
          <cell r="AH20">
            <v>302</v>
          </cell>
          <cell r="AI20">
            <v>302</v>
          </cell>
          <cell r="AJ20">
            <v>302</v>
          </cell>
          <cell r="AK20">
            <v>302</v>
          </cell>
          <cell r="AL20">
            <v>302</v>
          </cell>
          <cell r="AM20">
            <v>302</v>
          </cell>
          <cell r="AN20">
            <v>302</v>
          </cell>
          <cell r="AO20">
            <v>302</v>
          </cell>
          <cell r="AP20">
            <v>302</v>
          </cell>
          <cell r="AQ20">
            <v>302</v>
          </cell>
          <cell r="AR20">
            <v>302</v>
          </cell>
          <cell r="AS20">
            <v>302</v>
          </cell>
          <cell r="AT20">
            <v>302</v>
          </cell>
          <cell r="AU20">
            <v>302</v>
          </cell>
          <cell r="AV20">
            <v>302</v>
          </cell>
          <cell r="AW20">
            <v>302</v>
          </cell>
          <cell r="AX20">
            <v>302</v>
          </cell>
          <cell r="AY20">
            <v>302</v>
          </cell>
          <cell r="AZ20">
            <v>302</v>
          </cell>
          <cell r="BA20">
            <v>302</v>
          </cell>
          <cell r="BB20">
            <v>302</v>
          </cell>
          <cell r="BC20">
            <v>302</v>
          </cell>
          <cell r="BD20">
            <v>302</v>
          </cell>
          <cell r="BE20">
            <v>302</v>
          </cell>
          <cell r="BF20">
            <v>302</v>
          </cell>
          <cell r="BG20">
            <v>302</v>
          </cell>
          <cell r="BH20">
            <v>302</v>
          </cell>
          <cell r="BI20">
            <v>302</v>
          </cell>
          <cell r="BJ20">
            <v>302</v>
          </cell>
          <cell r="BK20">
            <v>302</v>
          </cell>
          <cell r="BL20">
            <v>302</v>
          </cell>
          <cell r="BM20">
            <v>302</v>
          </cell>
        </row>
        <row r="21">
          <cell r="D21">
            <v>70.033728571428583</v>
          </cell>
          <cell r="E21">
            <v>87.880457142857153</v>
          </cell>
          <cell r="F21">
            <v>105.72718571428572</v>
          </cell>
          <cell r="G21">
            <v>123.5739142857143</v>
          </cell>
          <cell r="H21">
            <v>141.42064285714287</v>
          </cell>
          <cell r="I21">
            <v>159.26737142857144</v>
          </cell>
          <cell r="J21">
            <v>177.11410000000001</v>
          </cell>
          <cell r="K21">
            <v>194.96082857142858</v>
          </cell>
          <cell r="L21">
            <v>212.80755714285715</v>
          </cell>
          <cell r="M21">
            <v>230.65428571428572</v>
          </cell>
          <cell r="N21">
            <v>248.50101428571429</v>
          </cell>
          <cell r="O21">
            <v>266.34774285714286</v>
          </cell>
          <cell r="P21">
            <v>284.19447142857143</v>
          </cell>
          <cell r="Q21">
            <v>302.0412</v>
          </cell>
          <cell r="R21">
            <v>319.88792857142857</v>
          </cell>
          <cell r="S21">
            <v>337.73465714285715</v>
          </cell>
          <cell r="T21">
            <v>355.58138571428572</v>
          </cell>
          <cell r="U21">
            <v>373.42811428571429</v>
          </cell>
          <cell r="V21">
            <v>391.27484285714286</v>
          </cell>
          <cell r="W21">
            <v>409.12157142857143</v>
          </cell>
          <cell r="X21">
            <v>426.9683</v>
          </cell>
          <cell r="Y21">
            <v>444.81502857142857</v>
          </cell>
          <cell r="Z21">
            <v>462.66175714285714</v>
          </cell>
          <cell r="AA21">
            <v>480.50848571428571</v>
          </cell>
          <cell r="AB21">
            <v>498.35521428571428</v>
          </cell>
          <cell r="AC21">
            <v>516.20194285714285</v>
          </cell>
          <cell r="AD21">
            <v>534.04867142857142</v>
          </cell>
          <cell r="AE21">
            <v>551.8954</v>
          </cell>
          <cell r="AF21">
            <v>569.74212857142857</v>
          </cell>
          <cell r="AG21">
            <v>587.58885714285714</v>
          </cell>
          <cell r="AH21">
            <v>587.58885714285714</v>
          </cell>
          <cell r="AI21">
            <v>604.85988479262676</v>
          </cell>
          <cell r="AJ21">
            <v>622.13091244239638</v>
          </cell>
          <cell r="AK21">
            <v>639.401940092166</v>
          </cell>
          <cell r="AL21">
            <v>656.67296774193562</v>
          </cell>
          <cell r="AM21">
            <v>673.94399539170524</v>
          </cell>
          <cell r="AN21">
            <v>691.21502304147486</v>
          </cell>
          <cell r="AO21">
            <v>708.48605069124449</v>
          </cell>
          <cell r="AP21">
            <v>725.75707834101411</v>
          </cell>
          <cell r="AQ21">
            <v>743.02810599078373</v>
          </cell>
          <cell r="AR21">
            <v>760.29913364055335</v>
          </cell>
          <cell r="AS21">
            <v>777.57016129032297</v>
          </cell>
          <cell r="AT21">
            <v>794.84118894009259</v>
          </cell>
          <cell r="AU21">
            <v>812.11221658986221</v>
          </cell>
          <cell r="AV21">
            <v>829.38324423963184</v>
          </cell>
          <cell r="AW21">
            <v>846.65427188940146</v>
          </cell>
          <cell r="AX21">
            <v>863.92529953917108</v>
          </cell>
          <cell r="AY21">
            <v>881.1963271889407</v>
          </cell>
          <cell r="AZ21">
            <v>898.46735483871032</v>
          </cell>
          <cell r="BA21">
            <v>915.73838248847994</v>
          </cell>
          <cell r="BB21">
            <v>933.00941013824956</v>
          </cell>
          <cell r="BC21">
            <v>950.28043778801919</v>
          </cell>
          <cell r="BD21">
            <v>967.55146543778881</v>
          </cell>
          <cell r="BE21">
            <v>984.82249308755843</v>
          </cell>
          <cell r="BF21">
            <v>1002.093520737328</v>
          </cell>
          <cell r="BG21">
            <v>1019.3645483870977</v>
          </cell>
          <cell r="BH21">
            <v>1036.6355760368672</v>
          </cell>
          <cell r="BI21">
            <v>1053.9066036866368</v>
          </cell>
          <cell r="BJ21">
            <v>1071.1776313364064</v>
          </cell>
          <cell r="BK21">
            <v>1088.448658986176</v>
          </cell>
          <cell r="BL21">
            <v>1105.7196866359457</v>
          </cell>
          <cell r="BM21">
            <v>1122.9907142857153</v>
          </cell>
          <cell r="BN21">
            <v>1140.8374428571437</v>
          </cell>
          <cell r="BO21">
            <v>1158.6841714285724</v>
          </cell>
          <cell r="BP21">
            <v>1176.5309000000011</v>
          </cell>
          <cell r="BQ21">
            <v>1194.3776285714298</v>
          </cell>
          <cell r="BR21">
            <v>1212.2243571428585</v>
          </cell>
          <cell r="BS21">
            <v>1230.0710857142872</v>
          </cell>
          <cell r="BT21">
            <v>1247.9178142857158</v>
          </cell>
          <cell r="BU21">
            <v>1265.7645428571445</v>
          </cell>
          <cell r="BV21">
            <v>1283.6112714285732</v>
          </cell>
          <cell r="BW21">
            <v>1301.4580000000019</v>
          </cell>
          <cell r="BX21">
            <v>1319.3047285714306</v>
          </cell>
          <cell r="BY21">
            <v>1337.1514571428593</v>
          </cell>
          <cell r="BZ21">
            <v>1354.998185714288</v>
          </cell>
          <cell r="CA21">
            <v>1372.8449142857166</v>
          </cell>
          <cell r="CB21">
            <v>1390.6916428571453</v>
          </cell>
          <cell r="CC21">
            <v>1408.538371428574</v>
          </cell>
          <cell r="CD21">
            <v>1426.3851000000027</v>
          </cell>
          <cell r="CE21">
            <v>1444.2318285714314</v>
          </cell>
          <cell r="CF21">
            <v>1462.0785571428601</v>
          </cell>
          <cell r="CG21">
            <v>1479.9252857142887</v>
          </cell>
          <cell r="CH21">
            <v>1497.7720142857174</v>
          </cell>
          <cell r="CI21">
            <v>1515.6187428571461</v>
          </cell>
          <cell r="CJ21">
            <v>1533.4654714285748</v>
          </cell>
          <cell r="CK21">
            <v>1551.3122000000035</v>
          </cell>
          <cell r="CL21">
            <v>1569.1589285714322</v>
          </cell>
          <cell r="CM21">
            <v>1587.0056571428609</v>
          </cell>
          <cell r="CN21">
            <v>1604.8523857142895</v>
          </cell>
          <cell r="CO21">
            <v>1622.6991142857182</v>
          </cell>
          <cell r="CP21">
            <v>1640.5458428571469</v>
          </cell>
          <cell r="CQ21">
            <v>1658.3925714285756</v>
          </cell>
          <cell r="CR21">
            <v>1658.3925714285756</v>
          </cell>
          <cell r="CS21">
            <v>1675.6635990783452</v>
          </cell>
          <cell r="CT21">
            <v>1692.9346267281148</v>
          </cell>
          <cell r="CU21">
            <v>1710.2056543778845</v>
          </cell>
          <cell r="CV21">
            <v>1727.4766820276541</v>
          </cell>
          <cell r="CW21">
            <v>1744.7477096774237</v>
          </cell>
          <cell r="CX21">
            <v>1762.0187373271933</v>
          </cell>
          <cell r="CY21">
            <v>1779.2897649769629</v>
          </cell>
          <cell r="CZ21">
            <v>1796.5607926267326</v>
          </cell>
          <cell r="DA21">
            <v>1813.8318202765022</v>
          </cell>
          <cell r="DB21">
            <v>1831.1028479262718</v>
          </cell>
          <cell r="DC21">
            <v>1848.3738755760414</v>
          </cell>
          <cell r="DD21">
            <v>1865.644903225811</v>
          </cell>
          <cell r="DE21">
            <v>1882.9159308755807</v>
          </cell>
          <cell r="DF21">
            <v>1900.1869585253503</v>
          </cell>
          <cell r="DG21">
            <v>1917.4579861751199</v>
          </cell>
          <cell r="DH21">
            <v>1934.7290138248895</v>
          </cell>
          <cell r="DI21">
            <v>1952.0000414746592</v>
          </cell>
          <cell r="DJ21">
            <v>1969.2710691244288</v>
          </cell>
          <cell r="DK21">
            <v>1986.5420967741984</v>
          </cell>
          <cell r="DL21">
            <v>2003.813124423968</v>
          </cell>
          <cell r="DM21">
            <v>2021.0841520737376</v>
          </cell>
          <cell r="DN21">
            <v>2038.3551797235073</v>
          </cell>
          <cell r="DO21">
            <v>2055.6262073732769</v>
          </cell>
          <cell r="DP21">
            <v>2072.8972350230465</v>
          </cell>
          <cell r="DQ21">
            <v>2090.1682626728161</v>
          </cell>
          <cell r="DR21">
            <v>2107.4392903225857</v>
          </cell>
          <cell r="DS21">
            <v>2124.7103179723554</v>
          </cell>
          <cell r="DT21">
            <v>2141.981345622125</v>
          </cell>
          <cell r="DU21">
            <v>2159.2523732718946</v>
          </cell>
          <cell r="DV21">
            <v>2176.5234009216642</v>
          </cell>
          <cell r="DW21">
            <v>2193.7944285714339</v>
          </cell>
          <cell r="DX21">
            <v>2211.0654562212035</v>
          </cell>
          <cell r="DY21">
            <v>2228.3364838709731</v>
          </cell>
          <cell r="DZ21">
            <v>2245.6075115207427</v>
          </cell>
          <cell r="EA21">
            <v>2262.8785391705123</v>
          </cell>
          <cell r="EB21">
            <v>2280.149566820282</v>
          </cell>
          <cell r="EC21">
            <v>2297.4205944700516</v>
          </cell>
          <cell r="ED21">
            <v>2314.6916221198212</v>
          </cell>
          <cell r="EE21">
            <v>2331.9626497695908</v>
          </cell>
          <cell r="EF21">
            <v>2349.2336774193604</v>
          </cell>
          <cell r="EG21">
            <v>2366.5047050691301</v>
          </cell>
          <cell r="EH21">
            <v>2383.7757327188997</v>
          </cell>
          <cell r="EI21">
            <v>2401.0467603686693</v>
          </cell>
          <cell r="EJ21">
            <v>2418.3177880184389</v>
          </cell>
          <cell r="EK21">
            <v>2435.5888156682086</v>
          </cell>
          <cell r="EL21">
            <v>2452.8598433179782</v>
          </cell>
          <cell r="EM21">
            <v>2470.1308709677478</v>
          </cell>
          <cell r="EN21">
            <v>2487.4018986175174</v>
          </cell>
          <cell r="EO21">
            <v>2504.672926267287</v>
          </cell>
          <cell r="EP21">
            <v>2521.9439539170567</v>
          </cell>
          <cell r="EQ21">
            <v>2539.2149815668263</v>
          </cell>
          <cell r="ER21">
            <v>2556.4860092165959</v>
          </cell>
          <cell r="ES21">
            <v>2573.7570368663655</v>
          </cell>
          <cell r="ET21">
            <v>2591.0280645161351</v>
          </cell>
          <cell r="EU21">
            <v>2608.2990921659048</v>
          </cell>
          <cell r="EV21">
            <v>2625.5701198156744</v>
          </cell>
          <cell r="EW21">
            <v>2642.841147465444</v>
          </cell>
          <cell r="EX21">
            <v>2660.1121751152136</v>
          </cell>
          <cell r="EY21">
            <v>2677.3832027649833</v>
          </cell>
          <cell r="EZ21">
            <v>2694.6542304147529</v>
          </cell>
          <cell r="FA21">
            <v>2711.9252580645225</v>
          </cell>
          <cell r="FB21">
            <v>2729.1962857142921</v>
          </cell>
          <cell r="FC21">
            <v>2747.0430142857208</v>
          </cell>
          <cell r="FD21">
            <v>2764.8897428571495</v>
          </cell>
          <cell r="FE21">
            <v>2782.7364714285782</v>
          </cell>
          <cell r="FF21">
            <v>2800.5832000000069</v>
          </cell>
          <cell r="FG21">
            <v>2818.4299285714355</v>
          </cell>
          <cell r="FH21">
            <v>2836.2766571428642</v>
          </cell>
          <cell r="FI21">
            <v>2854.1233857142929</v>
          </cell>
          <cell r="FJ21">
            <v>2871.9701142857216</v>
          </cell>
          <cell r="FK21">
            <v>2889.8168428571503</v>
          </cell>
          <cell r="FL21">
            <v>2907.663571428579</v>
          </cell>
          <cell r="FM21">
            <v>2925.5103000000076</v>
          </cell>
          <cell r="FN21">
            <v>2943.3570285714363</v>
          </cell>
          <cell r="FO21">
            <v>2961.203757142865</v>
          </cell>
          <cell r="FP21">
            <v>2979.0504857142937</v>
          </cell>
          <cell r="FQ21">
            <v>2996.8972142857224</v>
          </cell>
          <cell r="FR21">
            <v>3014.7439428571511</v>
          </cell>
          <cell r="FS21">
            <v>3032.5906714285798</v>
          </cell>
          <cell r="FT21">
            <v>3050.4374000000084</v>
          </cell>
          <cell r="FU21">
            <v>3068.2841285714371</v>
          </cell>
          <cell r="FV21">
            <v>3086.1308571428658</v>
          </cell>
          <cell r="FW21">
            <v>3103.9775857142945</v>
          </cell>
          <cell r="FX21">
            <v>3121.8243142857232</v>
          </cell>
          <cell r="FY21">
            <v>3139.6710428571519</v>
          </cell>
          <cell r="FZ21">
            <v>3157.5177714285805</v>
          </cell>
          <cell r="GA21">
            <v>3175.3645000000092</v>
          </cell>
          <cell r="GB21">
            <v>3193.2112285714379</v>
          </cell>
          <cell r="GC21">
            <v>3211.0579571428666</v>
          </cell>
          <cell r="GD21">
            <v>3228.9046857142953</v>
          </cell>
          <cell r="GE21">
            <v>3246.751414285724</v>
          </cell>
          <cell r="GF21">
            <v>3264.5981428571527</v>
          </cell>
          <cell r="GG21">
            <v>3281.8691705069223</v>
          </cell>
          <cell r="GH21">
            <v>3299.1401981566919</v>
          </cell>
          <cell r="GI21">
            <v>3316.4112258064615</v>
          </cell>
          <cell r="GJ21">
            <v>3333.6822534562311</v>
          </cell>
          <cell r="GK21">
            <v>3350.9532811060008</v>
          </cell>
          <cell r="GL21">
            <v>3368.2243087557704</v>
          </cell>
          <cell r="GM21">
            <v>3385.49533640554</v>
          </cell>
          <cell r="GN21">
            <v>3402.7663640553096</v>
          </cell>
          <cell r="GO21">
            <v>3420.0373917050792</v>
          </cell>
          <cell r="GP21">
            <v>3437.3084193548489</v>
          </cell>
          <cell r="GQ21">
            <v>3454.5794470046185</v>
          </cell>
          <cell r="GR21">
            <v>3471.8504746543881</v>
          </cell>
          <cell r="GS21">
            <v>3489.1215023041577</v>
          </cell>
          <cell r="GT21">
            <v>3506.3925299539274</v>
          </cell>
          <cell r="GU21">
            <v>3523.663557603697</v>
          </cell>
          <cell r="GV21">
            <v>3540.9345852534666</v>
          </cell>
          <cell r="GW21">
            <v>3558.2056129032362</v>
          </cell>
          <cell r="GX21">
            <v>3575.4766405530058</v>
          </cell>
          <cell r="GY21">
            <v>3592.7476682027755</v>
          </cell>
          <cell r="GZ21">
            <v>3610.0186958525451</v>
          </cell>
          <cell r="HA21">
            <v>3627.2897235023147</v>
          </cell>
          <cell r="HB21">
            <v>3644.5607511520843</v>
          </cell>
          <cell r="HC21">
            <v>3661.8317788018539</v>
          </cell>
          <cell r="HD21">
            <v>3679.1028064516236</v>
          </cell>
          <cell r="HE21">
            <v>3696.3738341013932</v>
          </cell>
          <cell r="HF21">
            <v>3713.6448617511628</v>
          </cell>
          <cell r="HG21">
            <v>3730.9158894009324</v>
          </cell>
          <cell r="HH21">
            <v>3748.186917050702</v>
          </cell>
          <cell r="HI21">
            <v>3765.4579447004717</v>
          </cell>
          <cell r="HJ21">
            <v>3782.7289723502413</v>
          </cell>
          <cell r="HK21">
            <v>3800.0000000000109</v>
          </cell>
        </row>
        <row r="24">
          <cell r="AH24">
            <v>2774.2939999999999</v>
          </cell>
          <cell r="AI24">
            <v>2755.5259999999998</v>
          </cell>
          <cell r="AJ24">
            <v>2736.7579999999998</v>
          </cell>
          <cell r="AK24">
            <v>2717.99</v>
          </cell>
          <cell r="AL24">
            <v>2699.2219999999998</v>
          </cell>
          <cell r="AM24">
            <v>2680.4539999999997</v>
          </cell>
          <cell r="AN24">
            <v>2661.6859999999997</v>
          </cell>
          <cell r="AO24">
            <v>2642.9179999999997</v>
          </cell>
          <cell r="AP24">
            <v>2624.1499999999996</v>
          </cell>
          <cell r="AQ24">
            <v>2605.3819999999996</v>
          </cell>
          <cell r="AR24">
            <v>2586.6139999999996</v>
          </cell>
          <cell r="AS24">
            <v>2567.8459999999995</v>
          </cell>
          <cell r="AT24">
            <v>2549.0779999999995</v>
          </cell>
          <cell r="AU24">
            <v>2530.3099999999995</v>
          </cell>
          <cell r="AV24">
            <v>2511.5419999999995</v>
          </cell>
          <cell r="AW24">
            <v>2492.7739999999994</v>
          </cell>
          <cell r="AX24">
            <v>2474.0059999999994</v>
          </cell>
          <cell r="AY24">
            <v>2455.2379999999994</v>
          </cell>
          <cell r="AZ24">
            <v>2436.4699999999993</v>
          </cell>
          <cell r="BA24">
            <v>2417.7019999999993</v>
          </cell>
          <cell r="BB24">
            <v>2398.9339999999993</v>
          </cell>
          <cell r="BC24">
            <v>2380.1659999999993</v>
          </cell>
          <cell r="BD24">
            <v>2361.3979999999992</v>
          </cell>
          <cell r="BE24">
            <v>2342.6299999999992</v>
          </cell>
          <cell r="BF24">
            <v>2323.8619999999992</v>
          </cell>
          <cell r="BG24">
            <v>2305.0939999999991</v>
          </cell>
          <cell r="BH24">
            <v>2286.3259999999991</v>
          </cell>
          <cell r="BI24">
            <v>2267.5579999999991</v>
          </cell>
          <cell r="BJ24">
            <v>2248.7899999999991</v>
          </cell>
          <cell r="BK24">
            <v>2230.021999999999</v>
          </cell>
          <cell r="BL24">
            <v>2211.253999999999</v>
          </cell>
          <cell r="BM24">
            <v>2192.485999999999</v>
          </cell>
        </row>
        <row r="28">
          <cell r="D28">
            <v>-3.1696264364959803</v>
          </cell>
          <cell r="E28">
            <v>-3.1666898526706673</v>
          </cell>
          <cell r="F28">
            <v>-3.1713498292190376</v>
          </cell>
          <cell r="G28">
            <v>-3.1788828134822111</v>
          </cell>
          <cell r="H28">
            <v>-3.1847317206390624</v>
          </cell>
          <cell r="I28">
            <v>-3.180717901636311</v>
          </cell>
          <cell r="J28">
            <v>-3.1768287419953296</v>
          </cell>
          <cell r="K28">
            <v>-3.1707775469592234</v>
          </cell>
          <cell r="L28">
            <v>-3.1705548935048111</v>
          </cell>
          <cell r="M28">
            <v>-3.1696129206680825</v>
          </cell>
          <cell r="N28">
            <v>-3.1655394857478809</v>
          </cell>
          <cell r="O28">
            <v>-3.1602469218498648</v>
          </cell>
          <cell r="P28">
            <v>-3.1598622722492475</v>
          </cell>
          <cell r="Q28">
            <v>-3.1573980111621993</v>
          </cell>
          <cell r="R28">
            <v>-3.1559495529020047</v>
          </cell>
          <cell r="S28">
            <v>-3.1545438268087014</v>
          </cell>
          <cell r="T28">
            <v>-3.1529662437368811</v>
          </cell>
          <cell r="U28">
            <v>-3.1521534655102825</v>
          </cell>
          <cell r="V28">
            <v>-3.1480247479866508</v>
          </cell>
          <cell r="W28">
            <v>-3.1465229750428132</v>
          </cell>
          <cell r="X28">
            <v>-3.1465396532756893</v>
          </cell>
          <cell r="Y28">
            <v>-3.1512689638881071</v>
          </cell>
          <cell r="Z28">
            <v>-3.1490961021205939</v>
          </cell>
          <cell r="AA28">
            <v>-3.1510184937046466</v>
          </cell>
          <cell r="AB28">
            <v>-3.1508905317469806</v>
          </cell>
          <cell r="AC28">
            <v>-3.1493663071014892</v>
          </cell>
          <cell r="AD28">
            <v>-3.1490433451583879</v>
          </cell>
          <cell r="AE28">
            <v>-3.1435781250526404</v>
          </cell>
          <cell r="AF28">
            <v>-3.1456812526432962</v>
          </cell>
          <cell r="AG28">
            <v>-3.1381599084022618</v>
          </cell>
          <cell r="AH28">
            <v>-3.1381599084022618</v>
          </cell>
          <cell r="AI28">
            <v>0.4356665545087483</v>
          </cell>
          <cell r="AJ28">
            <v>0.4356665545087483</v>
          </cell>
          <cell r="AK28">
            <v>0.4356665545087483</v>
          </cell>
          <cell r="AL28">
            <v>0.4356665545087483</v>
          </cell>
          <cell r="AM28">
            <v>0.4356665545087483</v>
          </cell>
          <cell r="AN28">
            <v>0.4356665545087483</v>
          </cell>
          <cell r="AO28">
            <v>0.4356665545087483</v>
          </cell>
          <cell r="AP28">
            <v>0.4356665545087483</v>
          </cell>
          <cell r="AQ28">
            <v>0.4356665545087483</v>
          </cell>
          <cell r="AR28">
            <v>0.4356665545087483</v>
          </cell>
          <cell r="AS28">
            <v>0.4356665545087483</v>
          </cell>
          <cell r="AT28">
            <v>0.4356665545087483</v>
          </cell>
          <cell r="AU28">
            <v>0.4356665545087483</v>
          </cell>
          <cell r="AV28">
            <v>0.4356665545087483</v>
          </cell>
          <cell r="AW28">
            <v>0.4356665545087483</v>
          </cell>
          <cell r="AX28">
            <v>0.4356665545087483</v>
          </cell>
          <cell r="AY28">
            <v>0.4356665545087483</v>
          </cell>
          <cell r="AZ28">
            <v>0.4356665545087483</v>
          </cell>
          <cell r="BA28">
            <v>0.4356665545087483</v>
          </cell>
          <cell r="BB28">
            <v>0.4356665545087483</v>
          </cell>
          <cell r="BC28">
            <v>0.4356665545087483</v>
          </cell>
          <cell r="BD28">
            <v>0.4356665545087483</v>
          </cell>
          <cell r="BE28">
            <v>0.4356665545087483</v>
          </cell>
          <cell r="BF28">
            <v>0.4356665545087483</v>
          </cell>
          <cell r="BG28">
            <v>0.4356665545087483</v>
          </cell>
          <cell r="BH28">
            <v>0.4356665545087483</v>
          </cell>
          <cell r="BI28">
            <v>0.4356665545087483</v>
          </cell>
          <cell r="BJ28">
            <v>0.4356665545087483</v>
          </cell>
          <cell r="BK28">
            <v>0.4356665545087483</v>
          </cell>
          <cell r="BL28">
            <v>0.4356665545087483</v>
          </cell>
          <cell r="BM28">
            <v>0.4356665545087483</v>
          </cell>
          <cell r="BN28">
            <v>0.43662563044132086</v>
          </cell>
          <cell r="BO28">
            <v>0.43419845810402502</v>
          </cell>
          <cell r="BP28">
            <v>0.43456984937083853</v>
          </cell>
          <cell r="BQ28">
            <v>0.43806859151830313</v>
          </cell>
          <cell r="BR28">
            <v>0.43832384950673842</v>
          </cell>
          <cell r="BS28">
            <v>0.43857910749517376</v>
          </cell>
          <cell r="BT28">
            <v>0.43905009435102438</v>
          </cell>
          <cell r="BU28">
            <v>0.44267375225228667</v>
          </cell>
          <cell r="BV28">
            <v>0.44291116188368057</v>
          </cell>
          <cell r="BW28">
            <v>0.44347031442230928</v>
          </cell>
          <cell r="BX28">
            <v>0.4436315733934616</v>
          </cell>
          <cell r="BY28">
            <v>0.44379283236461387</v>
          </cell>
          <cell r="BZ28">
            <v>0.44395409133576619</v>
          </cell>
          <cell r="CA28">
            <v>0.4186282228860132</v>
          </cell>
          <cell r="CB28">
            <v>0.39988705778315237</v>
          </cell>
          <cell r="CC28">
            <v>0.38078790820584707</v>
          </cell>
          <cell r="CD28">
            <v>0.353935131414646</v>
          </cell>
          <cell r="CE28">
            <v>0.32708235462344493</v>
          </cell>
          <cell r="CF28">
            <v>0.30022957783224391</v>
          </cell>
          <cell r="CG28">
            <v>0.27337680104104284</v>
          </cell>
          <cell r="CH28">
            <v>0.25107919638671378</v>
          </cell>
          <cell r="CI28">
            <v>0.23536629507927684</v>
          </cell>
          <cell r="CJ28">
            <v>0.2162671455019716</v>
          </cell>
          <cell r="CK28">
            <v>0.18941436871077053</v>
          </cell>
          <cell r="CL28">
            <v>0.16262888667057887</v>
          </cell>
          <cell r="CM28">
            <v>0.13584340463038724</v>
          </cell>
          <cell r="CN28">
            <v>0.10905792259019559</v>
          </cell>
          <cell r="CO28">
            <v>8.6827612686875957E-2</v>
          </cell>
          <cell r="CP28">
            <v>7.1182006130448464E-2</v>
          </cell>
          <cell r="CQ28">
            <v>5.2150151304152639E-2</v>
          </cell>
          <cell r="CR28">
            <v>5.2150151304152639E-2</v>
          </cell>
          <cell r="CS28">
            <v>0.76529811574697171</v>
          </cell>
          <cell r="CT28">
            <v>0.76529811574697171</v>
          </cell>
          <cell r="CU28">
            <v>0.76529811574697171</v>
          </cell>
          <cell r="CV28">
            <v>0.76529811574697171</v>
          </cell>
          <cell r="CW28">
            <v>0.76529811574697171</v>
          </cell>
          <cell r="CX28">
            <v>0.76529811574697171</v>
          </cell>
          <cell r="CY28">
            <v>0.76529811574697171</v>
          </cell>
          <cell r="CZ28">
            <v>0.76529811574697171</v>
          </cell>
          <cell r="DA28">
            <v>0.76529811574697171</v>
          </cell>
          <cell r="DB28">
            <v>0.76529811574697171</v>
          </cell>
          <cell r="DC28">
            <v>0.76529811574697171</v>
          </cell>
          <cell r="DD28">
            <v>0.76529811574697171</v>
          </cell>
          <cell r="DE28">
            <v>0.76529811574697171</v>
          </cell>
          <cell r="DF28">
            <v>0.76529811574697171</v>
          </cell>
          <cell r="DG28">
            <v>0.76529811574697171</v>
          </cell>
          <cell r="DH28">
            <v>0.76529811574697171</v>
          </cell>
          <cell r="DI28">
            <v>0.76529811574697171</v>
          </cell>
          <cell r="DJ28">
            <v>0.76529811574697171</v>
          </cell>
          <cell r="DK28">
            <v>0.76529811574697171</v>
          </cell>
          <cell r="DL28">
            <v>0.76529811574697171</v>
          </cell>
          <cell r="DM28">
            <v>0.76529811574697171</v>
          </cell>
          <cell r="DN28">
            <v>0.76529811574697171</v>
          </cell>
          <cell r="DO28">
            <v>0.76529811574697171</v>
          </cell>
          <cell r="DP28">
            <v>0.76529811574697171</v>
          </cell>
          <cell r="DQ28">
            <v>0.76529811574697171</v>
          </cell>
          <cell r="DR28">
            <v>0.76529811574697171</v>
          </cell>
          <cell r="DS28">
            <v>0.76529811574697171</v>
          </cell>
          <cell r="DT28">
            <v>0.76529811574697171</v>
          </cell>
          <cell r="DU28">
            <v>0.76529811574697171</v>
          </cell>
          <cell r="DV28">
            <v>0.76529811574697171</v>
          </cell>
          <cell r="DW28">
            <v>0.76529811574697171</v>
          </cell>
          <cell r="DX28">
            <v>0.7757605488413285</v>
          </cell>
          <cell r="DY28">
            <v>0.79089415473482305</v>
          </cell>
          <cell r="DZ28">
            <v>0.80711196460543044</v>
          </cell>
          <cell r="EA28">
            <v>0.81388699861532154</v>
          </cell>
          <cell r="EB28">
            <v>0.81613855345976904</v>
          </cell>
          <cell r="EC28">
            <v>0.82508593602965397</v>
          </cell>
          <cell r="ED28">
            <v>0.82862612660654611</v>
          </cell>
          <cell r="EE28">
            <v>0.83209999446772132</v>
          </cell>
          <cell r="EF28">
            <v>0.8398259584896578</v>
          </cell>
          <cell r="EG28">
            <v>0.85309439964911982</v>
          </cell>
          <cell r="EH28">
            <v>0.8537896573339453</v>
          </cell>
          <cell r="EI28">
            <v>0.84942307784525162</v>
          </cell>
          <cell r="EJ28">
            <v>0.85226342971591207</v>
          </cell>
          <cell r="EK28">
            <v>0.85590868021717759</v>
          </cell>
          <cell r="EL28">
            <v>0.85955393071844322</v>
          </cell>
          <cell r="EM28">
            <v>0.86409143596889892</v>
          </cell>
          <cell r="EN28">
            <v>0.87035934838388873</v>
          </cell>
          <cell r="EO28">
            <v>0.87071745936615697</v>
          </cell>
          <cell r="EP28">
            <v>0.86332194313452937</v>
          </cell>
          <cell r="EQ28">
            <v>0.86365542666790407</v>
          </cell>
          <cell r="ER28">
            <v>0.86386273254313628</v>
          </cell>
          <cell r="ES28">
            <v>0.86490045564582474</v>
          </cell>
          <cell r="ET28">
            <v>0.87049335088538526</v>
          </cell>
          <cell r="EU28">
            <v>0.87704309211534648</v>
          </cell>
          <cell r="EV28">
            <v>0.87381358372954443</v>
          </cell>
          <cell r="EW28">
            <v>0.86619518568031761</v>
          </cell>
          <cell r="EX28">
            <v>0.86618109449515557</v>
          </cell>
          <cell r="EY28">
            <v>0.86610658490754944</v>
          </cell>
          <cell r="EZ28">
            <v>0.86603207531994331</v>
          </cell>
          <cell r="FA28">
            <v>0.87051273786920902</v>
          </cell>
          <cell r="FB28">
            <v>0.8770693554477359</v>
          </cell>
          <cell r="FC28">
            <v>0.84800687800131946</v>
          </cell>
          <cell r="FD28">
            <v>0.8111907733410072</v>
          </cell>
          <cell r="FE28">
            <v>0.77437466868069493</v>
          </cell>
          <cell r="FF28">
            <v>0.77933413602576629</v>
          </cell>
          <cell r="FG28">
            <v>0.78088714040431428</v>
          </cell>
          <cell r="FH28">
            <v>0.78730588219564257</v>
          </cell>
          <cell r="FI28">
            <v>0.79554083877538373</v>
          </cell>
          <cell r="FJ28">
            <v>0.7946160992639798</v>
          </cell>
          <cell r="FK28">
            <v>0.78593773253868016</v>
          </cell>
          <cell r="FL28">
            <v>0.78185228330787926</v>
          </cell>
          <cell r="FM28">
            <v>0.78348688791287924</v>
          </cell>
          <cell r="FN28">
            <v>0.7851214925178791</v>
          </cell>
          <cell r="FO28">
            <v>0.79635837558545786</v>
          </cell>
          <cell r="FP28">
            <v>0.81317054073478734</v>
          </cell>
          <cell r="FQ28">
            <v>0.81986698251330625</v>
          </cell>
          <cell r="FR28">
            <v>0.8221745346284004</v>
          </cell>
          <cell r="FS28">
            <v>0.83185513466163008</v>
          </cell>
          <cell r="FT28">
            <v>0.82478228468030013</v>
          </cell>
          <cell r="FU28">
            <v>0.82368053516536588</v>
          </cell>
          <cell r="FV28">
            <v>0.8271339577873037</v>
          </cell>
          <cell r="FW28">
            <v>0.83548971498089819</v>
          </cell>
          <cell r="FX28">
            <v>0.83372974880368222</v>
          </cell>
          <cell r="FY28">
            <v>0.82758089296304127</v>
          </cell>
          <cell r="FZ28">
            <v>0.87033204443248713</v>
          </cell>
          <cell r="GA28">
            <v>0.92735148850097326</v>
          </cell>
          <cell r="GB28">
            <v>0.97162621467332844</v>
          </cell>
          <cell r="GC28">
            <v>1.0102227043431913</v>
          </cell>
          <cell r="GD28">
            <v>1.0498409247827549</v>
          </cell>
          <cell r="GE28">
            <v>1.0736280412623052</v>
          </cell>
          <cell r="GF28">
            <v>1.0866332667325356</v>
          </cell>
          <cell r="GG28">
            <v>1.0979285050391991</v>
          </cell>
          <cell r="GH28">
            <v>0.90780245628897582</v>
          </cell>
          <cell r="GI28">
            <v>0.90466568642465939</v>
          </cell>
          <cell r="GJ28">
            <v>0.90212803415163401</v>
          </cell>
          <cell r="GK28">
            <v>0.91605208233991653</v>
          </cell>
          <cell r="GL28">
            <v>0.96733452433417966</v>
          </cell>
          <cell r="GM28">
            <v>1.0180770397101304</v>
          </cell>
          <cell r="GN28">
            <v>1.0619071122598032</v>
          </cell>
          <cell r="GO28">
            <v>1.1000675451291566</v>
          </cell>
          <cell r="GP28">
            <v>1.1181061280084552</v>
          </cell>
          <cell r="GQ28">
            <v>1.1312926153135796</v>
          </cell>
          <cell r="GR28">
            <v>1.154073013044872</v>
          </cell>
          <cell r="GS28">
            <v>1.1718966129085424</v>
          </cell>
          <cell r="GT28">
            <v>1.1889450390795255</v>
          </cell>
          <cell r="GU28">
            <v>1.2049020183865455</v>
          </cell>
          <cell r="GV28">
            <v>1.2526440360649007</v>
          </cell>
          <cell r="GW28">
            <v>1.3169595551763575</v>
          </cell>
          <cell r="GX28">
            <v>1.3779239048608691</v>
          </cell>
          <cell r="GY28">
            <v>1.4234487194678282</v>
          </cell>
          <cell r="GZ28">
            <v>1.461762813464748</v>
          </cell>
          <cell r="HA28">
            <v>1.4716994144504616</v>
          </cell>
          <cell r="HB28">
            <v>1.4738823882222798</v>
          </cell>
          <cell r="HC28">
            <v>1.4715508936226305</v>
          </cell>
          <cell r="HD28">
            <v>1.4675770866471562</v>
          </cell>
          <cell r="HE28">
            <v>1.4889937502141053</v>
          </cell>
          <cell r="HF28">
            <v>1.5595548244972564</v>
          </cell>
          <cell r="HG28">
            <v>1.6350582897514745</v>
          </cell>
          <cell r="HH28">
            <v>1.7071755067358241</v>
          </cell>
          <cell r="HI28">
            <v>1.7634637263851476</v>
          </cell>
          <cell r="HJ28">
            <v>1.8064612327101102</v>
          </cell>
          <cell r="HK28">
            <v>1.8408786582813716</v>
          </cell>
        </row>
        <row r="30">
          <cell r="D30">
            <v>835.54725714285712</v>
          </cell>
          <cell r="E30">
            <v>845.0585142857143</v>
          </cell>
          <cell r="F30">
            <v>854.56977142857147</v>
          </cell>
          <cell r="G30">
            <v>864.08102857142865</v>
          </cell>
          <cell r="H30">
            <v>873.59228571428582</v>
          </cell>
          <cell r="I30">
            <v>883.103542857143</v>
          </cell>
          <cell r="J30">
            <v>892.61480000000017</v>
          </cell>
          <cell r="K30">
            <v>902.12605714285735</v>
          </cell>
          <cell r="L30">
            <v>911.63731428571452</v>
          </cell>
          <cell r="M30">
            <v>921.1485714285717</v>
          </cell>
          <cell r="N30">
            <v>930.65982857142887</v>
          </cell>
          <cell r="O30">
            <v>940.17108571428605</v>
          </cell>
          <cell r="P30">
            <v>949.68234285714323</v>
          </cell>
          <cell r="Q30">
            <v>959.1936000000004</v>
          </cell>
          <cell r="R30">
            <v>968.70485714285758</v>
          </cell>
          <cell r="S30">
            <v>978.21611428571475</v>
          </cell>
          <cell r="T30">
            <v>987.72737142857193</v>
          </cell>
          <cell r="U30">
            <v>997.2386285714291</v>
          </cell>
          <cell r="V30">
            <v>1006.7498857142863</v>
          </cell>
          <cell r="W30">
            <v>1016.2611428571435</v>
          </cell>
          <cell r="X30">
            <v>1025.7724000000005</v>
          </cell>
          <cell r="Y30">
            <v>1035.2836571428577</v>
          </cell>
          <cell r="Z30">
            <v>1044.7949142857149</v>
          </cell>
          <cell r="AA30">
            <v>1054.306171428572</v>
          </cell>
          <cell r="AB30">
            <v>1063.8174285714292</v>
          </cell>
          <cell r="AC30">
            <v>1073.3286857142864</v>
          </cell>
          <cell r="AD30">
            <v>1082.8399428571436</v>
          </cell>
          <cell r="AE30">
            <v>1092.3512000000007</v>
          </cell>
          <cell r="AF30">
            <v>1101.8624571428579</v>
          </cell>
          <cell r="AG30">
            <v>1111.3737142857151</v>
          </cell>
          <cell r="AH30">
            <v>1111.3737142857151</v>
          </cell>
          <cell r="AI30">
            <v>1120.5781566820285</v>
          </cell>
          <cell r="AJ30">
            <v>1129.7825990783419</v>
          </cell>
          <cell r="AK30">
            <v>1138.9870414746554</v>
          </cell>
          <cell r="AL30">
            <v>1148.1914838709688</v>
          </cell>
          <cell r="AM30">
            <v>1157.3959262672822</v>
          </cell>
          <cell r="AN30">
            <v>1166.6003686635956</v>
          </cell>
          <cell r="AO30">
            <v>1175.8048110599091</v>
          </cell>
          <cell r="AP30">
            <v>1185.0092534562225</v>
          </cell>
          <cell r="AQ30">
            <v>1194.2136958525359</v>
          </cell>
          <cell r="AR30">
            <v>1203.4181382488493</v>
          </cell>
          <cell r="AS30">
            <v>1212.6225806451628</v>
          </cell>
          <cell r="AT30">
            <v>1221.8270230414762</v>
          </cell>
          <cell r="AU30">
            <v>1231.0314654377896</v>
          </cell>
          <cell r="AV30">
            <v>1240.235907834103</v>
          </cell>
          <cell r="AW30">
            <v>1249.4403502304165</v>
          </cell>
          <cell r="AX30">
            <v>1258.6447926267299</v>
          </cell>
          <cell r="AY30">
            <v>1267.8492350230433</v>
          </cell>
          <cell r="AZ30">
            <v>1277.0536774193567</v>
          </cell>
          <cell r="BA30">
            <v>1286.2581198156702</v>
          </cell>
          <cell r="BB30">
            <v>1295.4625622119836</v>
          </cell>
          <cell r="BC30">
            <v>1304.667004608297</v>
          </cell>
          <cell r="BD30">
            <v>1313.8714470046104</v>
          </cell>
          <cell r="BE30">
            <v>1323.0758894009239</v>
          </cell>
          <cell r="BF30">
            <v>1332.2803317972373</v>
          </cell>
          <cell r="BG30">
            <v>1341.4847741935507</v>
          </cell>
          <cell r="BH30">
            <v>1350.6892165898641</v>
          </cell>
          <cell r="BI30">
            <v>1359.8936589861776</v>
          </cell>
          <cell r="BJ30">
            <v>1369.098101382491</v>
          </cell>
          <cell r="BK30">
            <v>1378.3025437788044</v>
          </cell>
          <cell r="BL30">
            <v>1387.5069861751178</v>
          </cell>
          <cell r="BM30">
            <v>1396.7114285714313</v>
          </cell>
          <cell r="BN30">
            <v>1406.2226857142884</v>
          </cell>
          <cell r="BO30">
            <v>1415.7339428571456</v>
          </cell>
          <cell r="BP30">
            <v>1425.2452000000028</v>
          </cell>
          <cell r="BQ30">
            <v>1434.75645714286</v>
          </cell>
          <cell r="BR30">
            <v>1444.2677142857171</v>
          </cell>
          <cell r="BS30">
            <v>1453.7789714285743</v>
          </cell>
          <cell r="BT30">
            <v>1463.2902285714315</v>
          </cell>
          <cell r="BU30">
            <v>1472.8014857142887</v>
          </cell>
          <cell r="BV30">
            <v>1482.3127428571458</v>
          </cell>
          <cell r="BW30">
            <v>1491.824000000003</v>
          </cell>
          <cell r="BX30">
            <v>1501.3352571428602</v>
          </cell>
          <cell r="BY30">
            <v>1510.8465142857174</v>
          </cell>
          <cell r="BZ30">
            <v>1520.3577714285746</v>
          </cell>
          <cell r="CA30">
            <v>1529.8690285714317</v>
          </cell>
          <cell r="CB30">
            <v>1539.3802857142889</v>
          </cell>
          <cell r="CC30">
            <v>1548.8915428571461</v>
          </cell>
          <cell r="CD30">
            <v>1558.4028000000033</v>
          </cell>
          <cell r="CE30">
            <v>1567.9140571428604</v>
          </cell>
          <cell r="CF30">
            <v>1577.4253142857176</v>
          </cell>
          <cell r="CG30">
            <v>1586.9365714285748</v>
          </cell>
          <cell r="CH30">
            <v>1596.447828571432</v>
          </cell>
          <cell r="CI30">
            <v>1605.9590857142891</v>
          </cell>
          <cell r="CJ30">
            <v>1615.4703428571463</v>
          </cell>
          <cell r="CK30">
            <v>1624.9816000000035</v>
          </cell>
          <cell r="CL30">
            <v>1634.4928571428607</v>
          </cell>
          <cell r="CM30">
            <v>1644.0041142857178</v>
          </cell>
          <cell r="CN30">
            <v>1653.515371428575</v>
          </cell>
          <cell r="CO30">
            <v>1663.0266285714322</v>
          </cell>
          <cell r="CP30">
            <v>1672.5378857142894</v>
          </cell>
          <cell r="CQ30">
            <v>1682.0491428571465</v>
          </cell>
          <cell r="CR30">
            <v>1682.0491428571465</v>
          </cell>
          <cell r="CS30">
            <v>1691.25358525346</v>
          </cell>
          <cell r="CT30">
            <v>1700.4580276497734</v>
          </cell>
          <cell r="CU30">
            <v>1709.6624700460868</v>
          </cell>
          <cell r="CV30">
            <v>1718.8669124424002</v>
          </cell>
          <cell r="CW30">
            <v>1728.0713548387137</v>
          </cell>
          <cell r="CX30">
            <v>1737.2757972350271</v>
          </cell>
          <cell r="CY30">
            <v>1746.4802396313405</v>
          </cell>
          <cell r="CZ30">
            <v>1755.6846820276539</v>
          </cell>
          <cell r="DA30">
            <v>1764.8891244239674</v>
          </cell>
          <cell r="DB30">
            <v>1774.0935668202808</v>
          </cell>
          <cell r="DC30">
            <v>1783.2980092165942</v>
          </cell>
          <cell r="DD30">
            <v>1792.5024516129076</v>
          </cell>
          <cell r="DE30">
            <v>1801.7068940092211</v>
          </cell>
          <cell r="DF30">
            <v>1810.9113364055345</v>
          </cell>
          <cell r="DG30">
            <v>1820.1157788018479</v>
          </cell>
          <cell r="DH30">
            <v>1829.3202211981613</v>
          </cell>
          <cell r="DI30">
            <v>1838.5246635944748</v>
          </cell>
          <cell r="DJ30">
            <v>1847.7291059907882</v>
          </cell>
          <cell r="DK30">
            <v>1856.9335483871016</v>
          </cell>
          <cell r="DL30">
            <v>1866.137990783415</v>
          </cell>
          <cell r="DM30">
            <v>1875.3424331797285</v>
          </cell>
          <cell r="DN30">
            <v>1884.5468755760419</v>
          </cell>
          <cell r="DO30">
            <v>1893.7513179723553</v>
          </cell>
          <cell r="DP30">
            <v>1902.9557603686687</v>
          </cell>
          <cell r="DQ30">
            <v>1912.1602027649822</v>
          </cell>
          <cell r="DR30">
            <v>1921.3646451612956</v>
          </cell>
          <cell r="DS30">
            <v>1930.569087557609</v>
          </cell>
          <cell r="DT30">
            <v>1939.7735299539224</v>
          </cell>
          <cell r="DU30">
            <v>1948.9779723502359</v>
          </cell>
          <cell r="DV30">
            <v>1958.1824147465493</v>
          </cell>
          <cell r="DW30">
            <v>1967.3868571428627</v>
          </cell>
          <cell r="DX30">
            <v>1976.5912995391761</v>
          </cell>
          <cell r="DY30">
            <v>1985.7957419354896</v>
          </cell>
          <cell r="DZ30">
            <v>1995.000184331803</v>
          </cell>
          <cell r="EA30">
            <v>2004.2046267281164</v>
          </cell>
          <cell r="EB30">
            <v>2013.4090691244298</v>
          </cell>
          <cell r="EC30">
            <v>2022.6135115207433</v>
          </cell>
          <cell r="ED30">
            <v>2031.8179539170567</v>
          </cell>
          <cell r="EE30">
            <v>2041.0223963133701</v>
          </cell>
          <cell r="EF30">
            <v>2050.2268387096833</v>
          </cell>
          <cell r="EG30">
            <v>2059.4312811059967</v>
          </cell>
          <cell r="EH30">
            <v>2068.6357235023102</v>
          </cell>
          <cell r="EI30">
            <v>2077.8401658986236</v>
          </cell>
          <cell r="EJ30">
            <v>2087.044608294937</v>
          </cell>
          <cell r="EK30">
            <v>2096.2490506912504</v>
          </cell>
          <cell r="EL30">
            <v>2105.4534930875639</v>
          </cell>
          <cell r="EM30">
            <v>2114.6579354838773</v>
          </cell>
          <cell r="EN30">
            <v>2123.8623778801907</v>
          </cell>
          <cell r="EO30">
            <v>2133.0668202765041</v>
          </cell>
          <cell r="EP30">
            <v>2142.2712626728176</v>
          </cell>
          <cell r="EQ30">
            <v>2151.475705069131</v>
          </cell>
          <cell r="ER30">
            <v>2160.6801474654444</v>
          </cell>
          <cell r="ES30">
            <v>2169.8845898617578</v>
          </cell>
          <cell r="ET30">
            <v>2179.0890322580713</v>
          </cell>
          <cell r="EU30">
            <v>2188.2934746543847</v>
          </cell>
          <cell r="EV30">
            <v>2197.4979170506981</v>
          </cell>
          <cell r="EW30">
            <v>2206.7023594470115</v>
          </cell>
          <cell r="EX30">
            <v>2215.906801843325</v>
          </cell>
          <cell r="EY30">
            <v>2225.1112442396384</v>
          </cell>
          <cell r="EZ30">
            <v>2234.3156866359518</v>
          </cell>
          <cell r="FA30">
            <v>2243.5201290322652</v>
          </cell>
          <cell r="FB30">
            <v>2252.7245714285787</v>
          </cell>
          <cell r="FC30">
            <v>2262.2358285714358</v>
          </cell>
          <cell r="FD30">
            <v>2271.747085714293</v>
          </cell>
          <cell r="FE30">
            <v>2281.2583428571502</v>
          </cell>
          <cell r="FF30">
            <v>2290.7696000000074</v>
          </cell>
          <cell r="FG30">
            <v>2300.2808571428645</v>
          </cell>
          <cell r="FH30">
            <v>2309.7921142857217</v>
          </cell>
          <cell r="FI30">
            <v>2319.3033714285789</v>
          </cell>
          <cell r="FJ30">
            <v>2328.8146285714361</v>
          </cell>
          <cell r="FK30">
            <v>2338.3258857142932</v>
          </cell>
          <cell r="FL30">
            <v>2347.8371428571504</v>
          </cell>
          <cell r="FM30">
            <v>2357.3484000000076</v>
          </cell>
          <cell r="FN30">
            <v>2366.8596571428648</v>
          </cell>
          <cell r="FO30">
            <v>2376.3709142857219</v>
          </cell>
          <cell r="FP30">
            <v>2385.8821714285791</v>
          </cell>
          <cell r="FQ30">
            <v>2395.3934285714363</v>
          </cell>
          <cell r="FR30">
            <v>2404.9046857142935</v>
          </cell>
          <cell r="FS30">
            <v>2414.4159428571506</v>
          </cell>
          <cell r="FT30">
            <v>2423.9272000000078</v>
          </cell>
          <cell r="FU30">
            <v>2433.438457142865</v>
          </cell>
          <cell r="FV30">
            <v>2442.9497142857222</v>
          </cell>
          <cell r="FW30">
            <v>2452.4609714285793</v>
          </cell>
          <cell r="FX30">
            <v>2461.9722285714365</v>
          </cell>
          <cell r="FY30">
            <v>2471.4834857142937</v>
          </cell>
          <cell r="FZ30">
            <v>2480.9947428571509</v>
          </cell>
          <cell r="GA30">
            <v>2490.506000000008</v>
          </cell>
          <cell r="GB30">
            <v>2500.0172571428652</v>
          </cell>
          <cell r="GC30">
            <v>2509.5285142857224</v>
          </cell>
          <cell r="GD30">
            <v>2519.0397714285796</v>
          </cell>
          <cell r="GE30">
            <v>2528.5510285714367</v>
          </cell>
          <cell r="GF30">
            <v>2538.0622857142939</v>
          </cell>
          <cell r="GG30">
            <v>2547.2667281106073</v>
          </cell>
          <cell r="GH30">
            <v>2556.4711705069208</v>
          </cell>
          <cell r="GI30">
            <v>2565.6756129032342</v>
          </cell>
          <cell r="GJ30">
            <v>2574.8800552995476</v>
          </cell>
          <cell r="GK30">
            <v>2584.084497695861</v>
          </cell>
          <cell r="GL30">
            <v>2593.2889400921745</v>
          </cell>
          <cell r="GM30">
            <v>2602.4933824884879</v>
          </cell>
          <cell r="GN30">
            <v>2611.6978248848013</v>
          </cell>
          <cell r="GO30">
            <v>2620.9022672811147</v>
          </cell>
          <cell r="GP30">
            <v>2630.1067096774282</v>
          </cell>
          <cell r="GQ30">
            <v>2639.3111520737416</v>
          </cell>
          <cell r="GR30">
            <v>2648.515594470055</v>
          </cell>
          <cell r="GS30">
            <v>2657.7200368663684</v>
          </cell>
          <cell r="GT30">
            <v>2666.9244792626819</v>
          </cell>
          <cell r="GU30">
            <v>2676.1289216589953</v>
          </cell>
          <cell r="GV30">
            <v>2685.3333640553087</v>
          </cell>
          <cell r="GW30">
            <v>2694.5378064516221</v>
          </cell>
          <cell r="GX30">
            <v>2703.7422488479356</v>
          </cell>
          <cell r="GY30">
            <v>2712.946691244249</v>
          </cell>
          <cell r="GZ30">
            <v>2722.1511336405624</v>
          </cell>
          <cell r="HA30">
            <v>2731.3555760368758</v>
          </cell>
          <cell r="HB30">
            <v>2740.5600184331893</v>
          </cell>
          <cell r="HC30">
            <v>2749.7644608295027</v>
          </cell>
          <cell r="HD30">
            <v>2758.9689032258161</v>
          </cell>
          <cell r="HE30">
            <v>2768.1733456221295</v>
          </cell>
          <cell r="HF30">
            <v>2777.377788018443</v>
          </cell>
          <cell r="HG30">
            <v>2786.5822304147564</v>
          </cell>
          <cell r="HH30">
            <v>2795.7866728110698</v>
          </cell>
          <cell r="HI30">
            <v>2804.9911152073832</v>
          </cell>
          <cell r="HJ30">
            <v>2814.1955576036967</v>
          </cell>
          <cell r="HK30">
            <v>2823.4000000000101</v>
          </cell>
        </row>
        <row r="34">
          <cell r="D34">
            <v>0.2014608669578295</v>
          </cell>
          <cell r="E34">
            <v>0.20680177098465899</v>
          </cell>
          <cell r="F34">
            <v>0.20188861670961178</v>
          </cell>
          <cell r="G34">
            <v>0.19765313589763697</v>
          </cell>
          <cell r="H34">
            <v>0.19317665458613564</v>
          </cell>
          <cell r="I34">
            <v>0.19266769922466834</v>
          </cell>
          <cell r="J34">
            <v>0.19903207263032435</v>
          </cell>
          <cell r="K34">
            <v>0.21034463028255568</v>
          </cell>
          <cell r="L34">
            <v>0.21137862754276876</v>
          </cell>
          <cell r="M34">
            <v>0.21322184466599553</v>
          </cell>
          <cell r="N34">
            <v>0.21631902790878854</v>
          </cell>
          <cell r="O34">
            <v>0.21984380370003365</v>
          </cell>
          <cell r="P34">
            <v>0.22434228771045683</v>
          </cell>
          <cell r="Q34">
            <v>0.22880869021403066</v>
          </cell>
          <cell r="R34">
            <v>0.23096940778609767</v>
          </cell>
          <cell r="S34">
            <v>0.23311728289241124</v>
          </cell>
          <cell r="T34">
            <v>0.23748189180246229</v>
          </cell>
          <cell r="U34">
            <v>0.23930540482210236</v>
          </cell>
          <cell r="V34">
            <v>0.24231917469105752</v>
          </cell>
          <cell r="W34">
            <v>0.24595621281106972</v>
          </cell>
          <cell r="X34">
            <v>0.24802663380779424</v>
          </cell>
          <cell r="Y34">
            <v>0.23731075069492974</v>
          </cell>
          <cell r="Z34">
            <v>0.23169176963685978</v>
          </cell>
          <cell r="AA34">
            <v>0.23382079816783088</v>
          </cell>
          <cell r="AB34">
            <v>0.23231265127363759</v>
          </cell>
          <cell r="AC34">
            <v>0.23420010711917036</v>
          </cell>
          <cell r="AD34">
            <v>0.23966448907479898</v>
          </cell>
          <cell r="AE34">
            <v>0.24432952171535915</v>
          </cell>
          <cell r="AF34">
            <v>0.23746710093126178</v>
          </cell>
          <cell r="AG34">
            <v>0.24207641499597257</v>
          </cell>
          <cell r="AH34">
            <v>0.24207641499597257</v>
          </cell>
          <cell r="AI34">
            <v>0.35291866438356162</v>
          </cell>
          <cell r="AJ34">
            <v>0.35291866438356162</v>
          </cell>
          <cell r="AK34">
            <v>0.35291866438356162</v>
          </cell>
          <cell r="AL34">
            <v>0.35291866438356162</v>
          </cell>
          <cell r="AM34">
            <v>0.35291866438356162</v>
          </cell>
          <cell r="AN34">
            <v>0.35291866438356162</v>
          </cell>
          <cell r="AO34">
            <v>0.35291866438356162</v>
          </cell>
          <cell r="AP34">
            <v>0.35291866438356162</v>
          </cell>
          <cell r="AQ34">
            <v>0.35291866438356162</v>
          </cell>
          <cell r="AR34">
            <v>0.35291866438356162</v>
          </cell>
          <cell r="AS34">
            <v>0.35291866438356162</v>
          </cell>
          <cell r="AT34">
            <v>0.35291866438356162</v>
          </cell>
          <cell r="AU34">
            <v>0.35291866438356162</v>
          </cell>
          <cell r="AV34">
            <v>0.35291866438356162</v>
          </cell>
          <cell r="AW34">
            <v>0.35291866438356162</v>
          </cell>
          <cell r="AX34">
            <v>0.35291866438356162</v>
          </cell>
          <cell r="AY34">
            <v>0.35291866438356162</v>
          </cell>
          <cell r="AZ34">
            <v>0.35291866438356162</v>
          </cell>
          <cell r="BA34">
            <v>0.35291866438356162</v>
          </cell>
          <cell r="BB34">
            <v>0.35291866438356162</v>
          </cell>
          <cell r="BC34">
            <v>0.35291866438356162</v>
          </cell>
          <cell r="BD34">
            <v>0.35291866438356162</v>
          </cell>
          <cell r="BE34">
            <v>0.35291866438356162</v>
          </cell>
          <cell r="BF34">
            <v>0.35291866438356162</v>
          </cell>
          <cell r="BG34">
            <v>0.35291866438356162</v>
          </cell>
          <cell r="BH34">
            <v>0.35291866438356162</v>
          </cell>
          <cell r="BI34">
            <v>0.35291866438356162</v>
          </cell>
          <cell r="BJ34">
            <v>0.35291866438356162</v>
          </cell>
          <cell r="BK34">
            <v>0.35291866438356162</v>
          </cell>
          <cell r="BL34">
            <v>0.35291866438356162</v>
          </cell>
          <cell r="BM34">
            <v>0.35291866438356162</v>
          </cell>
          <cell r="BN34">
            <v>0.3561915261067613</v>
          </cell>
          <cell r="BO34">
            <v>0.35866503851489245</v>
          </cell>
          <cell r="BP34">
            <v>0.35882002352576337</v>
          </cell>
          <cell r="BQ34">
            <v>0.35929139253844822</v>
          </cell>
          <cell r="BR34">
            <v>0.36002132319496877</v>
          </cell>
          <cell r="BS34">
            <v>0.36158490953168559</v>
          </cell>
          <cell r="BT34">
            <v>0.36452539655333399</v>
          </cell>
          <cell r="BU34">
            <v>0.36907329795854399</v>
          </cell>
          <cell r="BV34">
            <v>0.37282185004868551</v>
          </cell>
          <cell r="BW34">
            <v>0.37425187474156674</v>
          </cell>
          <cell r="BX34">
            <v>0.3758668309412973</v>
          </cell>
          <cell r="BY34">
            <v>0.37748178714102787</v>
          </cell>
          <cell r="BZ34">
            <v>0.37926198306678582</v>
          </cell>
          <cell r="CA34">
            <v>0.38241907967747529</v>
          </cell>
          <cell r="CB34">
            <v>0.38727948108268534</v>
          </cell>
          <cell r="CC34">
            <v>0.39134053317282685</v>
          </cell>
          <cell r="CD34">
            <v>0.39308305786570807</v>
          </cell>
          <cell r="CE34">
            <v>0.39488893872297293</v>
          </cell>
          <cell r="CF34">
            <v>0.39669481958023772</v>
          </cell>
          <cell r="CG34">
            <v>0.39844933057448884</v>
          </cell>
          <cell r="CH34">
            <v>0.40158074225367146</v>
          </cell>
          <cell r="CI34">
            <v>0.40645312996025135</v>
          </cell>
          <cell r="CJ34">
            <v>0.41052616835176275</v>
          </cell>
          <cell r="CK34">
            <v>0.41228067934601387</v>
          </cell>
          <cell r="CL34">
            <v>0.41461224513478551</v>
          </cell>
          <cell r="CM34">
            <v>0.41669381092355717</v>
          </cell>
          <cell r="CN34">
            <v>0.41878051369863023</v>
          </cell>
          <cell r="CO34">
            <v>0.42224411715863475</v>
          </cell>
          <cell r="CP34">
            <v>0.42766958705699543</v>
          </cell>
          <cell r="CQ34">
            <v>0.43229570764028763</v>
          </cell>
          <cell r="CR34">
            <v>0.43229570764028763</v>
          </cell>
          <cell r="CS34">
            <v>0.59539297945205483</v>
          </cell>
          <cell r="CT34">
            <v>0.59539297945205483</v>
          </cell>
          <cell r="CU34">
            <v>0.59539297945205483</v>
          </cell>
          <cell r="CV34">
            <v>0.59539297945205483</v>
          </cell>
          <cell r="CW34">
            <v>0.59539297945205483</v>
          </cell>
          <cell r="CX34">
            <v>0.59539297945205483</v>
          </cell>
          <cell r="CY34">
            <v>0.59539297945205483</v>
          </cell>
          <cell r="CZ34">
            <v>0.59539297945205483</v>
          </cell>
          <cell r="DA34">
            <v>0.59539297945205483</v>
          </cell>
          <cell r="DB34">
            <v>0.59539297945205483</v>
          </cell>
          <cell r="DC34">
            <v>0.59539297945205483</v>
          </cell>
          <cell r="DD34">
            <v>0.59539297945205483</v>
          </cell>
          <cell r="DE34">
            <v>0.59539297945205483</v>
          </cell>
          <cell r="DF34">
            <v>0.59539297945205483</v>
          </cell>
          <cell r="DG34">
            <v>0.59539297945205483</v>
          </cell>
          <cell r="DH34">
            <v>0.59539297945205483</v>
          </cell>
          <cell r="DI34">
            <v>0.59539297945205483</v>
          </cell>
          <cell r="DJ34">
            <v>0.59539297945205483</v>
          </cell>
          <cell r="DK34">
            <v>0.59539297945205483</v>
          </cell>
          <cell r="DL34">
            <v>0.59539297945205483</v>
          </cell>
          <cell r="DM34">
            <v>0.59539297945205483</v>
          </cell>
          <cell r="DN34">
            <v>0.59539297945205483</v>
          </cell>
          <cell r="DO34">
            <v>0.59539297945205483</v>
          </cell>
          <cell r="DP34">
            <v>0.59539297945205483</v>
          </cell>
          <cell r="DQ34">
            <v>0.59539297945205483</v>
          </cell>
          <cell r="DR34">
            <v>0.59539297945205483</v>
          </cell>
          <cell r="DS34">
            <v>0.59539297945205483</v>
          </cell>
          <cell r="DT34">
            <v>0.59539297945205483</v>
          </cell>
          <cell r="DU34">
            <v>0.59539297945205483</v>
          </cell>
          <cell r="DV34">
            <v>0.59539297945205483</v>
          </cell>
          <cell r="DW34">
            <v>0.59539297945205483</v>
          </cell>
          <cell r="DX34">
            <v>0.59936102134491998</v>
          </cell>
          <cell r="DY34">
            <v>0.60470596392271669</v>
          </cell>
          <cell r="DZ34">
            <v>0.61019209727761403</v>
          </cell>
          <cell r="EA34">
            <v>0.61487888131744273</v>
          </cell>
          <cell r="EB34">
            <v>0.61724713796001118</v>
          </cell>
          <cell r="EC34">
            <v>0.61704690145189467</v>
          </cell>
          <cell r="ED34">
            <v>0.62018128766456349</v>
          </cell>
          <cell r="EE34">
            <v>0.62331567387723241</v>
          </cell>
          <cell r="EF34">
            <v>0.6278269607748328</v>
          </cell>
          <cell r="EG34">
            <v>0.63357936125301761</v>
          </cell>
          <cell r="EH34">
            <v>0.63853241241613412</v>
          </cell>
          <cell r="EI34">
            <v>0.64116693618199017</v>
          </cell>
          <cell r="EJ34">
            <v>0.64380145994784632</v>
          </cell>
          <cell r="EK34">
            <v>0.64779678822478004</v>
          </cell>
          <cell r="EL34">
            <v>0.65179211650171376</v>
          </cell>
          <cell r="EM34">
            <v>0.65608643450467496</v>
          </cell>
          <cell r="EN34">
            <v>0.66297789291859499</v>
          </cell>
          <cell r="EO34">
            <v>0.6690700020174466</v>
          </cell>
          <cell r="EP34">
            <v>0.67284358371903785</v>
          </cell>
          <cell r="EQ34">
            <v>0.6765632270644647</v>
          </cell>
          <cell r="ER34">
            <v>0.68028287040989155</v>
          </cell>
          <cell r="ES34">
            <v>0.68404360964572941</v>
          </cell>
          <cell r="ET34">
            <v>0.68918124956649873</v>
          </cell>
          <cell r="EU34">
            <v>0.69612750250096678</v>
          </cell>
          <cell r="EV34">
            <v>0.70227440612036629</v>
          </cell>
          <cell r="EW34">
            <v>0.70610278234250545</v>
          </cell>
          <cell r="EX34">
            <v>0.70993115856464473</v>
          </cell>
          <cell r="EY34">
            <v>0.713759534786784</v>
          </cell>
          <cell r="EZ34">
            <v>0.71758791100892327</v>
          </cell>
          <cell r="FA34">
            <v>0.72279318791599401</v>
          </cell>
          <cell r="FB34">
            <v>0.72973944085046194</v>
          </cell>
          <cell r="FC34">
            <v>0.7321348939089779</v>
          </cell>
          <cell r="FD34">
            <v>0.73221181957023362</v>
          </cell>
          <cell r="FE34">
            <v>0.73228874523148924</v>
          </cell>
          <cell r="FF34">
            <v>0.73298895856397783</v>
          </cell>
          <cell r="FG34">
            <v>0.73744062245734987</v>
          </cell>
          <cell r="FH34">
            <v>0.74297723498085899</v>
          </cell>
          <cell r="FI34">
            <v>0.75025482353176542</v>
          </cell>
          <cell r="FJ34">
            <v>0.75673306276760322</v>
          </cell>
          <cell r="FK34">
            <v>0.76089277460618077</v>
          </cell>
          <cell r="FL34">
            <v>0.76507817137626521</v>
          </cell>
          <cell r="FM34">
            <v>0.76926356814634966</v>
          </cell>
          <cell r="FN34">
            <v>0.77344896491643422</v>
          </cell>
          <cell r="FO34">
            <v>0.7782439945632309</v>
          </cell>
          <cell r="FP34">
            <v>0.78478000023742489</v>
          </cell>
          <cell r="FQ34">
            <v>0.79051665659655035</v>
          </cell>
          <cell r="FR34">
            <v>0.79393478555841568</v>
          </cell>
          <cell r="FS34">
            <v>0.7973529145202809</v>
          </cell>
          <cell r="FT34">
            <v>0.79733894223633106</v>
          </cell>
          <cell r="FU34">
            <v>0.80090176297901827</v>
          </cell>
          <cell r="FV34">
            <v>0.80507421659841771</v>
          </cell>
          <cell r="FW34">
            <v>0.81098764624521447</v>
          </cell>
          <cell r="FX34">
            <v>0.8161017265769428</v>
          </cell>
          <cell r="FY34">
            <v>0.81889727951141078</v>
          </cell>
          <cell r="FZ34">
            <v>0.82208495573355</v>
          </cell>
          <cell r="GA34">
            <v>0.83325874878953177</v>
          </cell>
          <cell r="GB34">
            <v>0.84377464829333992</v>
          </cell>
          <cell r="GC34">
            <v>0.85147666137773248</v>
          </cell>
          <cell r="GD34">
            <v>0.86105321213335806</v>
          </cell>
          <cell r="GE34">
            <v>0.86607896301303144</v>
          </cell>
          <cell r="GF34">
            <v>0.86801891868722558</v>
          </cell>
          <cell r="GG34">
            <v>0.86588895214728789</v>
          </cell>
          <cell r="GH34">
            <v>0.86785984917938686</v>
          </cell>
          <cell r="GI34">
            <v>0.86889218784937694</v>
          </cell>
          <cell r="GJ34">
            <v>0.86992452651936691</v>
          </cell>
          <cell r="GK34">
            <v>0.87156649806606934</v>
          </cell>
          <cell r="GL34">
            <v>0.87494944564016897</v>
          </cell>
          <cell r="GM34">
            <v>0.88378546150067283</v>
          </cell>
          <cell r="GN34">
            <v>0.88953568215569712</v>
          </cell>
          <cell r="GO34">
            <v>0.89535867678332404</v>
          </cell>
          <cell r="GP34">
            <v>0.89701339300996941</v>
          </cell>
          <cell r="GQ34">
            <v>0.89866810923661489</v>
          </cell>
          <cell r="GR34">
            <v>0.89974545519875782</v>
          </cell>
          <cell r="GS34">
            <v>0.90423108854869083</v>
          </cell>
          <cell r="GT34">
            <v>0.90625006122316265</v>
          </cell>
          <cell r="GU34">
            <v>0.90518323869215511</v>
          </cell>
          <cell r="GV34">
            <v>0.90828469456212912</v>
          </cell>
          <cell r="GW34">
            <v>0.91305346179249591</v>
          </cell>
          <cell r="GX34">
            <v>0.9178222290228627</v>
          </cell>
          <cell r="GY34">
            <v>0.92396789693816106</v>
          </cell>
          <cell r="GZ34">
            <v>0.92941996171224472</v>
          </cell>
          <cell r="HA34">
            <v>0.92990439877027808</v>
          </cell>
          <cell r="HB34">
            <v>0.92730304062283209</v>
          </cell>
          <cell r="HC34">
            <v>0.92470168247538609</v>
          </cell>
          <cell r="HD34">
            <v>0.92210032432794009</v>
          </cell>
          <cell r="HE34">
            <v>0.91873169837227497</v>
          </cell>
          <cell r="HF34">
            <v>0.92046307936929805</v>
          </cell>
          <cell r="HG34">
            <v>0.92688157556753248</v>
          </cell>
          <cell r="HH34">
            <v>0.93173345464247903</v>
          </cell>
          <cell r="HI34">
            <v>0.93426680632016534</v>
          </cell>
          <cell r="HJ34">
            <v>0.93680015799785166</v>
          </cell>
          <cell r="HK34">
            <v>0.93933350967553797</v>
          </cell>
        </row>
        <row r="36">
          <cell r="D36">
            <v>235.1758476190476</v>
          </cell>
          <cell r="E36">
            <v>239.35969523809521</v>
          </cell>
          <cell r="F36">
            <v>243.54354285714282</v>
          </cell>
          <cell r="G36">
            <v>247.72739047619044</v>
          </cell>
          <cell r="H36">
            <v>251.91123809523805</v>
          </cell>
          <cell r="I36">
            <v>256.09508571428569</v>
          </cell>
          <cell r="J36">
            <v>260.27893333333333</v>
          </cell>
          <cell r="K36">
            <v>264.46278095238097</v>
          </cell>
          <cell r="L36">
            <v>268.64662857142861</v>
          </cell>
          <cell r="M36">
            <v>272.83047619047625</v>
          </cell>
          <cell r="N36">
            <v>277.01432380952389</v>
          </cell>
          <cell r="O36">
            <v>281.19817142857153</v>
          </cell>
          <cell r="P36">
            <v>285.38201904761917</v>
          </cell>
          <cell r="Q36">
            <v>289.56586666666681</v>
          </cell>
          <cell r="R36">
            <v>293.74971428571445</v>
          </cell>
          <cell r="S36">
            <v>297.93356190476209</v>
          </cell>
          <cell r="T36">
            <v>302.11740952380973</v>
          </cell>
          <cell r="U36">
            <v>306.30125714285737</v>
          </cell>
          <cell r="V36">
            <v>310.48510476190501</v>
          </cell>
          <cell r="W36">
            <v>314.66895238095265</v>
          </cell>
          <cell r="X36">
            <v>318.85280000000029</v>
          </cell>
          <cell r="Y36">
            <v>323.03664761904793</v>
          </cell>
          <cell r="Z36">
            <v>327.22049523809557</v>
          </cell>
          <cell r="AA36">
            <v>331.40434285714321</v>
          </cell>
          <cell r="AB36">
            <v>335.58819047619085</v>
          </cell>
          <cell r="AC36">
            <v>339.77203809523849</v>
          </cell>
          <cell r="AD36">
            <v>343.95588571428613</v>
          </cell>
          <cell r="AE36">
            <v>348.13973333333377</v>
          </cell>
          <cell r="AF36">
            <v>352.32358095238141</v>
          </cell>
          <cell r="AG36">
            <v>356.50742857142905</v>
          </cell>
          <cell r="AH36">
            <v>360.69127619047669</v>
          </cell>
          <cell r="AI36">
            <v>364.74016098310341</v>
          </cell>
          <cell r="AJ36">
            <v>368.78904577573013</v>
          </cell>
          <cell r="AK36">
            <v>372.83793056835685</v>
          </cell>
          <cell r="AL36">
            <v>376.88681536098358</v>
          </cell>
          <cell r="AM36">
            <v>380.9357001536103</v>
          </cell>
          <cell r="AN36">
            <v>384.98458494623702</v>
          </cell>
          <cell r="AO36">
            <v>389.03346973886374</v>
          </cell>
          <cell r="AP36">
            <v>393.08235453149047</v>
          </cell>
          <cell r="AQ36">
            <v>397.13123932411719</v>
          </cell>
          <cell r="AR36">
            <v>401.18012411674391</v>
          </cell>
          <cell r="AS36">
            <v>405.22900890937063</v>
          </cell>
          <cell r="AT36">
            <v>409.27789370199736</v>
          </cell>
          <cell r="AU36">
            <v>413.32677849462408</v>
          </cell>
          <cell r="AV36">
            <v>417.3756632872508</v>
          </cell>
          <cell r="AW36">
            <v>421.42454807987752</v>
          </cell>
          <cell r="AX36">
            <v>425.47343287250425</v>
          </cell>
          <cell r="AY36">
            <v>429.52231766513097</v>
          </cell>
          <cell r="AZ36">
            <v>433.57120245775769</v>
          </cell>
          <cell r="BA36">
            <v>437.62008725038442</v>
          </cell>
          <cell r="BB36">
            <v>441.66897204301114</v>
          </cell>
          <cell r="BC36">
            <v>445.71785683563786</v>
          </cell>
          <cell r="BD36">
            <v>449.76674162826458</v>
          </cell>
          <cell r="BE36">
            <v>453.81562642089131</v>
          </cell>
          <cell r="BF36">
            <v>457.86451121351803</v>
          </cell>
          <cell r="BG36">
            <v>461.91339600614475</v>
          </cell>
          <cell r="BH36">
            <v>465.96228079877147</v>
          </cell>
          <cell r="BI36">
            <v>470.0111655913982</v>
          </cell>
          <cell r="BJ36">
            <v>474.06005038402492</v>
          </cell>
          <cell r="BK36">
            <v>478.10893517665164</v>
          </cell>
          <cell r="BL36">
            <v>482.15781996927836</v>
          </cell>
          <cell r="BM36">
            <v>486.20670476190509</v>
          </cell>
          <cell r="BN36">
            <v>490.39055238095273</v>
          </cell>
          <cell r="BO36">
            <v>494.57440000000037</v>
          </cell>
          <cell r="BP36">
            <v>498.75824761904801</v>
          </cell>
          <cell r="BQ36">
            <v>502.94209523809565</v>
          </cell>
          <cell r="BR36">
            <v>507.12594285714329</v>
          </cell>
          <cell r="BS36">
            <v>511.30979047619093</v>
          </cell>
          <cell r="BT36">
            <v>515.49363809523857</v>
          </cell>
          <cell r="BU36">
            <v>519.67748571428615</v>
          </cell>
          <cell r="BV36">
            <v>523.86133333333373</v>
          </cell>
          <cell r="BW36">
            <v>528.04518095238132</v>
          </cell>
          <cell r="BX36">
            <v>532.2290285714289</v>
          </cell>
          <cell r="BY36">
            <v>536.41287619047648</v>
          </cell>
          <cell r="BZ36">
            <v>540.59672380952406</v>
          </cell>
          <cell r="CA36">
            <v>544.78057142857165</v>
          </cell>
          <cell r="CB36">
            <v>548.96441904761923</v>
          </cell>
          <cell r="CC36">
            <v>553.14826666666681</v>
          </cell>
          <cell r="CD36">
            <v>557.3321142857144</v>
          </cell>
          <cell r="CE36">
            <v>561.51596190476198</v>
          </cell>
          <cell r="CF36">
            <v>565.69980952380956</v>
          </cell>
          <cell r="CG36">
            <v>569.88365714285715</v>
          </cell>
          <cell r="CH36">
            <v>574.06750476190473</v>
          </cell>
          <cell r="CI36">
            <v>578.25135238095231</v>
          </cell>
          <cell r="CJ36">
            <v>582.4351999999999</v>
          </cell>
          <cell r="CK36">
            <v>586.61904761904748</v>
          </cell>
          <cell r="CL36">
            <v>590.80289523809506</v>
          </cell>
          <cell r="CM36">
            <v>594.98674285714264</v>
          </cell>
          <cell r="CN36">
            <v>599.17059047619023</v>
          </cell>
          <cell r="CO36">
            <v>603.35443809523781</v>
          </cell>
          <cell r="CP36">
            <v>607.53828571428539</v>
          </cell>
          <cell r="CQ36">
            <v>611.72213333333298</v>
          </cell>
          <cell r="CR36">
            <v>615.90598095238056</v>
          </cell>
          <cell r="CS36">
            <v>619.95486574500728</v>
          </cell>
          <cell r="CT36">
            <v>624.00375053763401</v>
          </cell>
          <cell r="CU36">
            <v>628.05263533026073</v>
          </cell>
          <cell r="CV36">
            <v>632.10152012288745</v>
          </cell>
          <cell r="CW36">
            <v>636.15040491551417</v>
          </cell>
          <cell r="CX36">
            <v>640.1992897081409</v>
          </cell>
          <cell r="CY36">
            <v>644.24817450076762</v>
          </cell>
          <cell r="CZ36">
            <v>648.29705929339434</v>
          </cell>
          <cell r="DA36">
            <v>652.34594408602106</v>
          </cell>
          <cell r="DB36">
            <v>656.39482887864779</v>
          </cell>
          <cell r="DC36">
            <v>660.44371367127451</v>
          </cell>
          <cell r="DD36">
            <v>664.49259846390123</v>
          </cell>
          <cell r="DE36">
            <v>668.54148325652795</v>
          </cell>
          <cell r="DF36">
            <v>672.59036804915468</v>
          </cell>
          <cell r="DG36">
            <v>676.6392528417814</v>
          </cell>
          <cell r="DH36">
            <v>680.68813763440812</v>
          </cell>
          <cell r="DI36">
            <v>684.73702242703484</v>
          </cell>
          <cell r="DJ36">
            <v>688.78590721966157</v>
          </cell>
          <cell r="DK36">
            <v>692.83479201228829</v>
          </cell>
          <cell r="DL36">
            <v>696.88367680491501</v>
          </cell>
          <cell r="DM36">
            <v>700.93256159754173</v>
          </cell>
          <cell r="DN36">
            <v>704.98144639016846</v>
          </cell>
          <cell r="DO36">
            <v>709.03033118279518</v>
          </cell>
          <cell r="DP36">
            <v>713.0792159754219</v>
          </cell>
          <cell r="DQ36">
            <v>717.12810076804863</v>
          </cell>
          <cell r="DR36">
            <v>721.17698556067535</v>
          </cell>
          <cell r="DS36">
            <v>725.22587035330207</v>
          </cell>
          <cell r="DT36">
            <v>729.27475514592879</v>
          </cell>
          <cell r="DU36">
            <v>733.32363993855552</v>
          </cell>
          <cell r="DV36">
            <v>737.37252473118224</v>
          </cell>
          <cell r="DW36">
            <v>741.42140952380896</v>
          </cell>
          <cell r="DX36">
            <v>745.47029431643568</v>
          </cell>
          <cell r="DY36">
            <v>749.51917910906241</v>
          </cell>
          <cell r="DZ36">
            <v>753.56806390168913</v>
          </cell>
          <cell r="EA36">
            <v>757.61694869431585</v>
          </cell>
          <cell r="EB36">
            <v>761.66583348694257</v>
          </cell>
          <cell r="EC36">
            <v>765.7147182795693</v>
          </cell>
          <cell r="ED36">
            <v>769.76360307219602</v>
          </cell>
          <cell r="EE36">
            <v>773.81248786482274</v>
          </cell>
          <cell r="EF36">
            <v>777.86137265744946</v>
          </cell>
          <cell r="EG36">
            <v>781.91025745007619</v>
          </cell>
          <cell r="EH36">
            <v>785.95914224270291</v>
          </cell>
          <cell r="EI36">
            <v>790.00802703532963</v>
          </cell>
          <cell r="EJ36">
            <v>794.05691182795636</v>
          </cell>
          <cell r="EK36">
            <v>798.10579662058308</v>
          </cell>
          <cell r="EL36">
            <v>802.1546814132098</v>
          </cell>
          <cell r="EM36">
            <v>806.20356620583652</v>
          </cell>
          <cell r="EN36">
            <v>810.25245099846325</v>
          </cell>
          <cell r="EO36">
            <v>814.30133579108997</v>
          </cell>
          <cell r="EP36">
            <v>818.35022058371669</v>
          </cell>
          <cell r="EQ36">
            <v>822.39910537634341</v>
          </cell>
          <cell r="ER36">
            <v>826.44799016897014</v>
          </cell>
          <cell r="ES36">
            <v>830.49687496159686</v>
          </cell>
          <cell r="ET36">
            <v>834.54575975422358</v>
          </cell>
          <cell r="EU36">
            <v>838.5946445468503</v>
          </cell>
          <cell r="EV36">
            <v>842.64352933947703</v>
          </cell>
          <cell r="EW36">
            <v>846.69241413210375</v>
          </cell>
          <cell r="EX36">
            <v>850.74129892473047</v>
          </cell>
          <cell r="EY36">
            <v>854.79018371735719</v>
          </cell>
          <cell r="EZ36">
            <v>858.83906850998392</v>
          </cell>
          <cell r="FA36">
            <v>862.88795330261064</v>
          </cell>
          <cell r="FB36">
            <v>866.93683809523736</v>
          </cell>
          <cell r="FC36">
            <v>871.12068571428495</v>
          </cell>
          <cell r="FD36">
            <v>875.30453333333253</v>
          </cell>
          <cell r="FE36">
            <v>879.48838095238011</v>
          </cell>
          <cell r="FF36">
            <v>883.67222857142769</v>
          </cell>
          <cell r="FG36">
            <v>887.85607619047528</v>
          </cell>
          <cell r="FH36">
            <v>892.03992380952286</v>
          </cell>
          <cell r="FI36">
            <v>896.22377142857044</v>
          </cell>
          <cell r="FJ36">
            <v>900.40761904761803</v>
          </cell>
          <cell r="FK36">
            <v>904.59146666666561</v>
          </cell>
          <cell r="FL36">
            <v>908.77531428571319</v>
          </cell>
          <cell r="FM36">
            <v>912.95916190476078</v>
          </cell>
          <cell r="FN36">
            <v>917.14300952380836</v>
          </cell>
          <cell r="FO36">
            <v>921.32685714285594</v>
          </cell>
          <cell r="FP36">
            <v>925.51070476190353</v>
          </cell>
          <cell r="FQ36">
            <v>929.69455238095111</v>
          </cell>
          <cell r="FR36">
            <v>933.87839999999869</v>
          </cell>
          <cell r="FS36">
            <v>938.06224761904627</v>
          </cell>
          <cell r="FT36">
            <v>942.24609523809386</v>
          </cell>
          <cell r="FU36">
            <v>946.42994285714144</v>
          </cell>
          <cell r="FV36">
            <v>950.61379047618902</v>
          </cell>
          <cell r="FW36">
            <v>954.79763809523661</v>
          </cell>
          <cell r="FX36">
            <v>958.98148571428419</v>
          </cell>
          <cell r="FY36">
            <v>963.16533333333177</v>
          </cell>
          <cell r="FZ36">
            <v>967.34918095237936</v>
          </cell>
          <cell r="GA36">
            <v>971.53302857142694</v>
          </cell>
          <cell r="GB36">
            <v>975.71687619047452</v>
          </cell>
          <cell r="GC36">
            <v>979.90072380952211</v>
          </cell>
          <cell r="GD36">
            <v>984.08457142856969</v>
          </cell>
          <cell r="GE36">
            <v>988.26841904761727</v>
          </cell>
          <cell r="GF36">
            <v>992.45226666666485</v>
          </cell>
          <cell r="GG36">
            <v>996.50115145929158</v>
          </cell>
          <cell r="GH36">
            <v>1000.5500362519183</v>
          </cell>
          <cell r="GI36">
            <v>1004.598921044545</v>
          </cell>
          <cell r="GJ36">
            <v>1008.6478058371717</v>
          </cell>
          <cell r="GK36">
            <v>1012.6966906297985</v>
          </cell>
          <cell r="GL36">
            <v>1016.7455754224252</v>
          </cell>
          <cell r="GM36">
            <v>1020.7944602150519</v>
          </cell>
          <cell r="GN36">
            <v>1024.8433450076786</v>
          </cell>
          <cell r="GO36">
            <v>1028.8922298003054</v>
          </cell>
          <cell r="GP36">
            <v>1032.9411145929321</v>
          </cell>
          <cell r="GQ36">
            <v>1036.9899993855588</v>
          </cell>
          <cell r="GR36">
            <v>1041.0388841781855</v>
          </cell>
          <cell r="GS36">
            <v>1045.0877689708122</v>
          </cell>
          <cell r="GT36">
            <v>1049.136653763439</v>
          </cell>
          <cell r="GU36">
            <v>1053.1855385560657</v>
          </cell>
          <cell r="GV36">
            <v>1057.2344233486924</v>
          </cell>
          <cell r="GW36">
            <v>1061.2833081413191</v>
          </cell>
          <cell r="GX36">
            <v>1065.3321929339459</v>
          </cell>
          <cell r="GY36">
            <v>1069.3810777265726</v>
          </cell>
          <cell r="GZ36">
            <v>1073.4299625191993</v>
          </cell>
          <cell r="HA36">
            <v>1077.478847311826</v>
          </cell>
          <cell r="HB36">
            <v>1081.5277321044528</v>
          </cell>
          <cell r="HC36">
            <v>1085.5766168970795</v>
          </cell>
          <cell r="HD36">
            <v>1089.6255016897062</v>
          </cell>
          <cell r="HE36">
            <v>1093.6743864823329</v>
          </cell>
          <cell r="HF36">
            <v>1097.7232712749596</v>
          </cell>
          <cell r="HG36">
            <v>1101.7721560675864</v>
          </cell>
          <cell r="HH36">
            <v>1105.8210408602131</v>
          </cell>
          <cell r="HI36">
            <v>1109.8699256528398</v>
          </cell>
          <cell r="HJ36">
            <v>1113.9188104454665</v>
          </cell>
          <cell r="HK36">
            <v>1117.9676952380933</v>
          </cell>
        </row>
        <row r="46">
          <cell r="D46">
            <v>8.2221754567485705E-2</v>
          </cell>
          <cell r="E46">
            <v>8.482427201072909E-2</v>
          </cell>
          <cell r="F46">
            <v>8.7396432375788938E-2</v>
          </cell>
          <cell r="G46">
            <v>9.0838410245237797E-2</v>
          </cell>
          <cell r="H46">
            <v>9.5169530825927509E-2</v>
          </cell>
          <cell r="I46">
            <v>9.6838392077172569E-2</v>
          </cell>
          <cell r="J46">
            <v>0.10096620978780127</v>
          </cell>
          <cell r="K46">
            <v>0.10673552235011974</v>
          </cell>
          <cell r="L46">
            <v>0.10748972436183139</v>
          </cell>
          <cell r="M46">
            <v>0.1094138671268083</v>
          </cell>
          <cell r="N46">
            <v>0.11299509122570379</v>
          </cell>
          <cell r="O46">
            <v>0.11704116565407649</v>
          </cell>
          <cell r="P46">
            <v>0.12108591241917878</v>
          </cell>
          <cell r="Q46">
            <v>0.1270825074239669</v>
          </cell>
          <cell r="R46">
            <v>0.13218505618195581</v>
          </cell>
          <cell r="S46">
            <v>0.13728760493994469</v>
          </cell>
          <cell r="T46">
            <v>0.14265688275736271</v>
          </cell>
          <cell r="U46">
            <v>0.14802616057478071</v>
          </cell>
          <cell r="V46">
            <v>0.15436739694137372</v>
          </cell>
          <cell r="W46">
            <v>0.1573204944565037</v>
          </cell>
          <cell r="X46">
            <v>0.15731100801994599</v>
          </cell>
          <cell r="Y46">
            <v>0.15129723063820996</v>
          </cell>
          <cell r="Z46">
            <v>0.15074415616894632</v>
          </cell>
          <cell r="AA46">
            <v>0.15036594845938986</v>
          </cell>
          <cell r="AB46">
            <v>0.15007958413254552</v>
          </cell>
          <cell r="AC46">
            <v>0.15103788909831997</v>
          </cell>
          <cell r="AD46">
            <v>0.1542828398027313</v>
          </cell>
          <cell r="AE46">
            <v>0.15846542230743285</v>
          </cell>
          <cell r="AF46">
            <v>0.15718998458805497</v>
          </cell>
          <cell r="AG46">
            <v>0.15936141388905012</v>
          </cell>
          <cell r="AH46">
            <v>0.15936141388905012</v>
          </cell>
          <cell r="AI46">
            <v>0.15957416939635002</v>
          </cell>
          <cell r="AJ46">
            <v>0.15957416939635002</v>
          </cell>
          <cell r="AK46">
            <v>0.15957416939635002</v>
          </cell>
          <cell r="AL46">
            <v>0.15957416939635002</v>
          </cell>
          <cell r="AM46">
            <v>0.15957416939635002</v>
          </cell>
          <cell r="AN46">
            <v>0.15957416939635002</v>
          </cell>
          <cell r="AO46">
            <v>0.15957416939635002</v>
          </cell>
          <cell r="AP46">
            <v>0.15957416939635002</v>
          </cell>
          <cell r="AQ46">
            <v>0.15957416939635002</v>
          </cell>
          <cell r="AR46">
            <v>0.15957416939635002</v>
          </cell>
          <cell r="AS46">
            <v>0.15957416939635002</v>
          </cell>
          <cell r="AT46">
            <v>0.15957416939635002</v>
          </cell>
          <cell r="AU46">
            <v>0.15957416939635002</v>
          </cell>
          <cell r="AV46">
            <v>0.15957416939635002</v>
          </cell>
          <cell r="AW46">
            <v>0.15957416939635002</v>
          </cell>
          <cell r="AX46">
            <v>0.15957416939635002</v>
          </cell>
          <cell r="AY46">
            <v>0.15957416939635002</v>
          </cell>
          <cell r="AZ46">
            <v>0.15957416939635002</v>
          </cell>
          <cell r="BA46">
            <v>0.15957416939635002</v>
          </cell>
          <cell r="BB46">
            <v>0.15957416939635002</v>
          </cell>
          <cell r="BC46">
            <v>0.15957416939635002</v>
          </cell>
          <cell r="BD46">
            <v>0.15957416939635002</v>
          </cell>
          <cell r="BE46">
            <v>0.15957416939635002</v>
          </cell>
          <cell r="BF46">
            <v>0.15957416939635002</v>
          </cell>
          <cell r="BG46">
            <v>0.15957416939635002</v>
          </cell>
          <cell r="BH46">
            <v>0.15957416939635002</v>
          </cell>
          <cell r="BI46">
            <v>0.15957416939635002</v>
          </cell>
          <cell r="BJ46">
            <v>0.15957416939635002</v>
          </cell>
          <cell r="BK46">
            <v>0.15957416939635002</v>
          </cell>
          <cell r="BL46">
            <v>0.15957416939635002</v>
          </cell>
          <cell r="BM46">
            <v>0.15957416939635002</v>
          </cell>
          <cell r="BN46">
            <v>0.1650158037861047</v>
          </cell>
          <cell r="BO46">
            <v>0.16987374531705615</v>
          </cell>
          <cell r="BP46">
            <v>0.17282342416181279</v>
          </cell>
          <cell r="BQ46">
            <v>0.17714325535294395</v>
          </cell>
          <cell r="BR46">
            <v>0.18146308654407509</v>
          </cell>
          <cell r="BS46">
            <v>0.18578291773520622</v>
          </cell>
          <cell r="BT46">
            <v>0.19107470747551236</v>
          </cell>
          <cell r="BU46">
            <v>0.19788649421164153</v>
          </cell>
          <cell r="BV46">
            <v>0.20411458808896751</v>
          </cell>
          <cell r="BW46">
            <v>0.20843441928009868</v>
          </cell>
          <cell r="BX46">
            <v>0.21275425047122981</v>
          </cell>
          <cell r="BY46">
            <v>0.21707408166236095</v>
          </cell>
          <cell r="BZ46">
            <v>0.22139391285349211</v>
          </cell>
          <cell r="CA46">
            <v>0.2269898673106911</v>
          </cell>
          <cell r="CB46">
            <v>0.22864341738281804</v>
          </cell>
          <cell r="CC46">
            <v>0.2297132745961418</v>
          </cell>
          <cell r="CD46">
            <v>0.22887486912327074</v>
          </cell>
          <cell r="CE46">
            <v>0.2281721679087057</v>
          </cell>
          <cell r="CF46">
            <v>0.2274694666941407</v>
          </cell>
          <cell r="CG46">
            <v>0.22676676547957567</v>
          </cell>
          <cell r="CH46">
            <v>0.22703602281418561</v>
          </cell>
          <cell r="CI46">
            <v>0.22882527714461856</v>
          </cell>
          <cell r="CJ46">
            <v>0.23003083861624835</v>
          </cell>
          <cell r="CK46">
            <v>0.22932813740168334</v>
          </cell>
          <cell r="CL46">
            <v>0.22768954475052494</v>
          </cell>
          <cell r="CM46">
            <v>0.22605095209936654</v>
          </cell>
          <cell r="CN46">
            <v>0.2244591540200378</v>
          </cell>
          <cell r="CO46">
            <v>0.22383931448988409</v>
          </cell>
          <cell r="CP46">
            <v>0.22482838164202973</v>
          </cell>
          <cell r="CQ46">
            <v>0.22523375593537218</v>
          </cell>
          <cell r="CR46">
            <v>0.22523375593537218</v>
          </cell>
          <cell r="CS46">
            <v>0.36444080486663549</v>
          </cell>
          <cell r="CT46">
            <v>0.36444080486663549</v>
          </cell>
          <cell r="CU46">
            <v>0.36444080486663549</v>
          </cell>
          <cell r="CV46">
            <v>0.36444080486663549</v>
          </cell>
          <cell r="CW46">
            <v>0.36444080486663549</v>
          </cell>
          <cell r="CX46">
            <v>0.36444080486663549</v>
          </cell>
          <cell r="CY46">
            <v>0.36444080486663549</v>
          </cell>
          <cell r="CZ46">
            <v>0.36444080486663549</v>
          </cell>
          <cell r="DA46">
            <v>0.36444080486663549</v>
          </cell>
          <cell r="DB46">
            <v>0.36444080486663549</v>
          </cell>
          <cell r="DC46">
            <v>0.36444080486663549</v>
          </cell>
          <cell r="DD46">
            <v>0.36444080486663549</v>
          </cell>
          <cell r="DE46">
            <v>0.36444080486663549</v>
          </cell>
          <cell r="DF46">
            <v>0.36444080486663549</v>
          </cell>
          <cell r="DG46">
            <v>0.36444080486663549</v>
          </cell>
          <cell r="DH46">
            <v>0.36444080486663549</v>
          </cell>
          <cell r="DI46">
            <v>0.36444080486663549</v>
          </cell>
          <cell r="DJ46">
            <v>0.36444080486663549</v>
          </cell>
          <cell r="DK46">
            <v>0.36444080486663549</v>
          </cell>
          <cell r="DL46">
            <v>0.36444080486663549</v>
          </cell>
          <cell r="DM46">
            <v>0.36444080486663549</v>
          </cell>
          <cell r="DN46">
            <v>0.36444080486663549</v>
          </cell>
          <cell r="DO46">
            <v>0.36444080486663549</v>
          </cell>
          <cell r="DP46">
            <v>0.36444080486663549</v>
          </cell>
          <cell r="DQ46">
            <v>0.36444080486663549</v>
          </cell>
          <cell r="DR46">
            <v>0.36444080486663549</v>
          </cell>
          <cell r="DS46">
            <v>0.36444080486663549</v>
          </cell>
          <cell r="DT46">
            <v>0.36444080486663549</v>
          </cell>
          <cell r="DU46">
            <v>0.36444080486663549</v>
          </cell>
          <cell r="DV46">
            <v>0.36444080486663549</v>
          </cell>
          <cell r="DW46">
            <v>0.36444080486663549</v>
          </cell>
          <cell r="DX46">
            <v>0.37020052506177059</v>
          </cell>
          <cell r="DY46">
            <v>0.37698835729227631</v>
          </cell>
          <cell r="DZ46">
            <v>0.38529618651860503</v>
          </cell>
          <cell r="EA46">
            <v>0.39302032288613054</v>
          </cell>
          <cell r="EB46">
            <v>0.39602852225768115</v>
          </cell>
          <cell r="EC46">
            <v>0.39950466734752849</v>
          </cell>
          <cell r="ED46">
            <v>0.40532054102885923</v>
          </cell>
          <cell r="EE46">
            <v>0.4112842819155707</v>
          </cell>
          <cell r="EF46">
            <v>0.41821998135145722</v>
          </cell>
          <cell r="EG46">
            <v>0.42646173372908169</v>
          </cell>
          <cell r="EH46">
            <v>0.43271595609301294</v>
          </cell>
          <cell r="EI46">
            <v>0.43706191577074938</v>
          </cell>
          <cell r="EJ46">
            <v>0.44140787544848581</v>
          </cell>
          <cell r="EK46">
            <v>0.44573979675467335</v>
          </cell>
          <cell r="EL46">
            <v>0.45007171806086088</v>
          </cell>
          <cell r="EM46">
            <v>0.4553755979162234</v>
          </cell>
          <cell r="EN46">
            <v>0.46219947476740897</v>
          </cell>
          <cell r="EO46">
            <v>0.46843965875979127</v>
          </cell>
          <cell r="EP46">
            <v>0.4727715800659788</v>
          </cell>
          <cell r="EQ46">
            <v>0.47710350137216634</v>
          </cell>
          <cell r="ER46">
            <v>0.48168123074049418</v>
          </cell>
          <cell r="ES46">
            <v>0.48364155944714315</v>
          </cell>
          <cell r="ET46">
            <v>0.48657384670296705</v>
          </cell>
          <cell r="EU46">
            <v>0.49129286001404304</v>
          </cell>
          <cell r="EV46">
            <v>0.49425376416942352</v>
          </cell>
          <cell r="EW46">
            <v>0.49530640563860906</v>
          </cell>
          <cell r="EX46">
            <v>0.49635904710779466</v>
          </cell>
          <cell r="EY46">
            <v>0.49767570464372352</v>
          </cell>
          <cell r="EZ46">
            <v>0.49899236217965237</v>
          </cell>
          <cell r="FA46">
            <v>0.50128097826475626</v>
          </cell>
          <cell r="FB46">
            <v>0.5050895913456831</v>
          </cell>
          <cell r="FC46">
            <v>0.50941300048550475</v>
          </cell>
          <cell r="FD46">
            <v>0.51182814693913159</v>
          </cell>
          <cell r="FE46">
            <v>0.51424329339275843</v>
          </cell>
          <cell r="FF46">
            <v>0.51559152360866889</v>
          </cell>
          <cell r="FG46">
            <v>0.51693975382457935</v>
          </cell>
          <cell r="FH46">
            <v>0.51925994258966479</v>
          </cell>
          <cell r="FI46">
            <v>0.52310012835057329</v>
          </cell>
          <cell r="FJ46">
            <v>0.52635662125267857</v>
          </cell>
          <cell r="FK46">
            <v>0.52770485146858903</v>
          </cell>
          <cell r="FL46">
            <v>0.52898024966608748</v>
          </cell>
          <cell r="FM46">
            <v>0.53025564786358603</v>
          </cell>
          <cell r="FN46">
            <v>0.53153104606108459</v>
          </cell>
          <cell r="FO46">
            <v>0.53377840280775801</v>
          </cell>
          <cell r="FP46">
            <v>0.53754575655025461</v>
          </cell>
          <cell r="FQ46">
            <v>0.54072941743394787</v>
          </cell>
          <cell r="FR46">
            <v>0.54200481563144642</v>
          </cell>
          <cell r="FS46">
            <v>0.54328021382894498</v>
          </cell>
          <cell r="FT46">
            <v>0.544054910107866</v>
          </cell>
          <cell r="FU46">
            <v>0.54482960638678712</v>
          </cell>
          <cell r="FV46">
            <v>0.54657626121488312</v>
          </cell>
          <cell r="FW46">
            <v>0.54984291303880228</v>
          </cell>
          <cell r="FX46">
            <v>0.55252587200391812</v>
          </cell>
          <cell r="FY46">
            <v>0.55330056828283924</v>
          </cell>
          <cell r="FZ46">
            <v>0.55419922465709737</v>
          </cell>
          <cell r="GA46">
            <v>0.56239018687485043</v>
          </cell>
          <cell r="GB46">
            <v>0.57058114909260349</v>
          </cell>
          <cell r="GC46">
            <v>0.57572465284342289</v>
          </cell>
          <cell r="GD46">
            <v>0.58139126533805208</v>
          </cell>
          <cell r="GE46">
            <v>0.58647418497387804</v>
          </cell>
          <cell r="GF46">
            <v>0.58964884192350908</v>
          </cell>
          <cell r="GG46">
            <v>0.59155214315974147</v>
          </cell>
          <cell r="GH46">
            <v>0.59471967419416172</v>
          </cell>
          <cell r="GI46">
            <v>0.59760192251954025</v>
          </cell>
          <cell r="GJ46">
            <v>0.59936110112100671</v>
          </cell>
          <cell r="GK46">
            <v>0.60209223827164826</v>
          </cell>
          <cell r="GL46">
            <v>0.61401302094900001</v>
          </cell>
          <cell r="GM46">
            <v>0.62535011076754843</v>
          </cell>
          <cell r="GN46">
            <v>0.63477893789990214</v>
          </cell>
          <cell r="GO46">
            <v>0.6443033570564215</v>
          </cell>
          <cell r="GP46">
            <v>0.65100098349832769</v>
          </cell>
          <cell r="GQ46">
            <v>0.65682462571929057</v>
          </cell>
          <cell r="GR46">
            <v>0.66397287912257907</v>
          </cell>
          <cell r="GS46">
            <v>0.67264112952169064</v>
          </cell>
          <cell r="GT46">
            <v>0.6807256870619991</v>
          </cell>
          <cell r="GU46">
            <v>0.68783787335270585</v>
          </cell>
          <cell r="GV46">
            <v>0.69495005964341272</v>
          </cell>
          <cell r="GW46">
            <v>0.7060907669525297</v>
          </cell>
          <cell r="GX46">
            <v>0.71723147426164668</v>
          </cell>
          <cell r="GY46">
            <v>0.72934414011993864</v>
          </cell>
          <cell r="GZ46">
            <v>0.73751440159315862</v>
          </cell>
          <cell r="HA46">
            <v>0.74328016974727695</v>
          </cell>
          <cell r="HB46">
            <v>0.74713767521520047</v>
          </cell>
          <cell r="HC46">
            <v>0.7509951806831241</v>
          </cell>
          <cell r="HD46">
            <v>0.75485268615104772</v>
          </cell>
          <cell r="HE46">
            <v>0.75869198361436829</v>
          </cell>
          <cell r="HF46">
            <v>0.77171504970280946</v>
          </cell>
          <cell r="HG46">
            <v>0.78853411336244661</v>
          </cell>
          <cell r="HH46">
            <v>0.80476948416328065</v>
          </cell>
          <cell r="HI46">
            <v>0.81909659227791975</v>
          </cell>
          <cell r="HJ46">
            <v>0.83108397180107541</v>
          </cell>
          <cell r="HK46">
            <v>0.84085907876496857</v>
          </cell>
        </row>
        <row r="48">
          <cell r="D48">
            <v>16.923390476190477</v>
          </cell>
          <cell r="E48">
            <v>17.813780952380952</v>
          </cell>
          <cell r="F48">
            <v>18.704171428571428</v>
          </cell>
          <cell r="G48">
            <v>19.594561904761903</v>
          </cell>
          <cell r="H48">
            <v>20.484952380952379</v>
          </cell>
          <cell r="I48">
            <v>21.375342857142854</v>
          </cell>
          <cell r="J48">
            <v>22.26573333333333</v>
          </cell>
          <cell r="K48">
            <v>23.156123809523805</v>
          </cell>
          <cell r="L48">
            <v>24.046514285714281</v>
          </cell>
          <cell r="M48">
            <v>24.936904761904756</v>
          </cell>
          <cell r="N48">
            <v>25.827295238095232</v>
          </cell>
          <cell r="O48">
            <v>26.717685714285707</v>
          </cell>
          <cell r="P48">
            <v>27.608076190476183</v>
          </cell>
          <cell r="Q48">
            <v>28.498466666666658</v>
          </cell>
          <cell r="R48">
            <v>29.388857142857134</v>
          </cell>
          <cell r="S48">
            <v>30.279247619047609</v>
          </cell>
          <cell r="T48">
            <v>31.169638095238085</v>
          </cell>
          <cell r="U48">
            <v>32.06002857142856</v>
          </cell>
          <cell r="V48">
            <v>32.950419047619036</v>
          </cell>
          <cell r="W48">
            <v>33.840809523809511</v>
          </cell>
          <cell r="X48">
            <v>34.731199999999987</v>
          </cell>
          <cell r="Y48">
            <v>35.621590476190462</v>
          </cell>
          <cell r="Z48">
            <v>36.511980952380938</v>
          </cell>
          <cell r="AA48">
            <v>37.402371428571414</v>
          </cell>
          <cell r="AB48">
            <v>38.292761904761889</v>
          </cell>
          <cell r="AC48">
            <v>39.183152380952365</v>
          </cell>
          <cell r="AD48">
            <v>40.07354285714284</v>
          </cell>
          <cell r="AE48">
            <v>40.963933333333316</v>
          </cell>
          <cell r="AF48">
            <v>41.854323809523791</v>
          </cell>
          <cell r="AG48">
            <v>42.744714285714267</v>
          </cell>
          <cell r="AH48">
            <v>43.635104761904742</v>
          </cell>
          <cell r="AI48">
            <v>44.496772964669717</v>
          </cell>
          <cell r="AJ48">
            <v>45.358441167434691</v>
          </cell>
          <cell r="AK48">
            <v>46.220109370199665</v>
          </cell>
          <cell r="AL48">
            <v>47.08177757296464</v>
          </cell>
          <cell r="AM48">
            <v>47.943445775729614</v>
          </cell>
          <cell r="AN48">
            <v>48.805113978494589</v>
          </cell>
          <cell r="AO48">
            <v>49.666782181259563</v>
          </cell>
          <cell r="AP48">
            <v>50.528450384024538</v>
          </cell>
          <cell r="AQ48">
            <v>51.390118586789512</v>
          </cell>
          <cell r="AR48">
            <v>52.251786789554487</v>
          </cell>
          <cell r="AS48">
            <v>53.113454992319461</v>
          </cell>
          <cell r="AT48">
            <v>53.975123195084436</v>
          </cell>
          <cell r="AU48">
            <v>54.83679139784941</v>
          </cell>
          <cell r="AV48">
            <v>55.698459600614385</v>
          </cell>
          <cell r="AW48">
            <v>56.560127803379359</v>
          </cell>
          <cell r="AX48">
            <v>57.421796006144334</v>
          </cell>
          <cell r="AY48">
            <v>58.283464208909308</v>
          </cell>
          <cell r="AZ48">
            <v>59.145132411674282</v>
          </cell>
          <cell r="BA48">
            <v>60.006800614439257</v>
          </cell>
          <cell r="BB48">
            <v>60.868468817204231</v>
          </cell>
          <cell r="BC48">
            <v>61.730137019969206</v>
          </cell>
          <cell r="BD48">
            <v>62.59180522273418</v>
          </cell>
          <cell r="BE48">
            <v>63.453473425499155</v>
          </cell>
          <cell r="BF48">
            <v>64.315141628264129</v>
          </cell>
          <cell r="BG48">
            <v>65.176809831029104</v>
          </cell>
          <cell r="BH48">
            <v>66.038478033794078</v>
          </cell>
          <cell r="BI48">
            <v>66.900146236559053</v>
          </cell>
          <cell r="BJ48">
            <v>67.761814439324027</v>
          </cell>
          <cell r="BK48">
            <v>68.623482642089002</v>
          </cell>
          <cell r="BL48">
            <v>69.485150844853976</v>
          </cell>
          <cell r="BM48">
            <v>70.346819047618951</v>
          </cell>
          <cell r="BN48">
            <v>71.237209523809426</v>
          </cell>
          <cell r="BO48">
            <v>72.127599999999902</v>
          </cell>
          <cell r="BP48">
            <v>73.017990476190377</v>
          </cell>
          <cell r="BQ48">
            <v>73.908380952380853</v>
          </cell>
          <cell r="BR48">
            <v>74.798771428571328</v>
          </cell>
          <cell r="BS48">
            <v>75.689161904761804</v>
          </cell>
          <cell r="BT48">
            <v>76.579552380952279</v>
          </cell>
          <cell r="BU48">
            <v>77.469942857142755</v>
          </cell>
          <cell r="BV48">
            <v>78.36033333333323</v>
          </cell>
          <cell r="BW48">
            <v>79.250723809523706</v>
          </cell>
          <cell r="BX48">
            <v>80.141114285714181</v>
          </cell>
          <cell r="BY48">
            <v>81.031504761904657</v>
          </cell>
          <cell r="BZ48">
            <v>81.921895238095132</v>
          </cell>
          <cell r="CA48">
            <v>82.812285714285608</v>
          </cell>
          <cell r="CB48">
            <v>83.702676190476083</v>
          </cell>
          <cell r="CC48">
            <v>84.593066666666559</v>
          </cell>
          <cell r="CD48">
            <v>85.483457142857034</v>
          </cell>
          <cell r="CE48">
            <v>86.37384761904751</v>
          </cell>
          <cell r="CF48">
            <v>87.264238095237985</v>
          </cell>
          <cell r="CG48">
            <v>88.154628571428461</v>
          </cell>
          <cell r="CH48">
            <v>89.045019047618936</v>
          </cell>
          <cell r="CI48">
            <v>89.935409523809412</v>
          </cell>
          <cell r="CJ48">
            <v>90.825799999999887</v>
          </cell>
          <cell r="CK48">
            <v>91.716190476190363</v>
          </cell>
          <cell r="CL48">
            <v>92.606580952380838</v>
          </cell>
          <cell r="CM48">
            <v>93.496971428571314</v>
          </cell>
          <cell r="CN48">
            <v>94.387361904761789</v>
          </cell>
          <cell r="CO48">
            <v>95.277752380952265</v>
          </cell>
          <cell r="CP48">
            <v>96.16814285714274</v>
          </cell>
          <cell r="CQ48">
            <v>97.058533333333216</v>
          </cell>
          <cell r="CR48">
            <v>97.948923809523691</v>
          </cell>
          <cell r="CS48">
            <v>98.810592012288666</v>
          </cell>
          <cell r="CT48">
            <v>99.67226021505364</v>
          </cell>
          <cell r="CU48">
            <v>100.53392841781861</v>
          </cell>
          <cell r="CV48">
            <v>101.39559662058359</v>
          </cell>
          <cell r="CW48">
            <v>102.25726482334856</v>
          </cell>
          <cell r="CX48">
            <v>103.11893302611354</v>
          </cell>
          <cell r="CY48">
            <v>103.98060122887851</v>
          </cell>
          <cell r="CZ48">
            <v>104.84226943164349</v>
          </cell>
          <cell r="DA48">
            <v>105.70393763440846</v>
          </cell>
          <cell r="DB48">
            <v>106.56560583717344</v>
          </cell>
          <cell r="DC48">
            <v>107.42727403993841</v>
          </cell>
          <cell r="DD48">
            <v>108.28894224270338</v>
          </cell>
          <cell r="DE48">
            <v>109.15061044546836</v>
          </cell>
          <cell r="DF48">
            <v>110.01227864823333</v>
          </cell>
          <cell r="DG48">
            <v>110.87394685099831</v>
          </cell>
          <cell r="DH48">
            <v>111.73561505376328</v>
          </cell>
          <cell r="DI48">
            <v>112.59728325652826</v>
          </cell>
          <cell r="DJ48">
            <v>113.45895145929323</v>
          </cell>
          <cell r="DK48">
            <v>114.32061966205821</v>
          </cell>
          <cell r="DL48">
            <v>115.18228786482318</v>
          </cell>
          <cell r="DM48">
            <v>116.04395606758816</v>
          </cell>
          <cell r="DN48">
            <v>116.90562427035313</v>
          </cell>
          <cell r="DO48">
            <v>117.7672924731181</v>
          </cell>
          <cell r="DP48">
            <v>118.62896067588308</v>
          </cell>
          <cell r="DQ48">
            <v>119.49062887864805</v>
          </cell>
          <cell r="DR48">
            <v>120.35229708141303</v>
          </cell>
          <cell r="DS48">
            <v>121.213965284178</v>
          </cell>
          <cell r="DT48">
            <v>122.07563348694298</v>
          </cell>
          <cell r="DU48">
            <v>122.93730168970795</v>
          </cell>
          <cell r="DV48">
            <v>123.79896989247293</v>
          </cell>
          <cell r="DW48">
            <v>124.6606380952379</v>
          </cell>
          <cell r="DX48">
            <v>125.52230629800287</v>
          </cell>
          <cell r="DY48">
            <v>126.38397450076785</v>
          </cell>
          <cell r="DZ48">
            <v>127.24564270353282</v>
          </cell>
          <cell r="EA48">
            <v>128.10731090629781</v>
          </cell>
          <cell r="EB48">
            <v>128.96897910906279</v>
          </cell>
          <cell r="EC48">
            <v>129.83064731182776</v>
          </cell>
          <cell r="ED48">
            <v>130.69231551459274</v>
          </cell>
          <cell r="EE48">
            <v>131.55398371735771</v>
          </cell>
          <cell r="EF48">
            <v>132.41565192012268</v>
          </cell>
          <cell r="EG48">
            <v>133.27732012288766</v>
          </cell>
          <cell r="EH48">
            <v>134.13898832565263</v>
          </cell>
          <cell r="EI48">
            <v>135.00065652841761</v>
          </cell>
          <cell r="EJ48">
            <v>135.86232473118258</v>
          </cell>
          <cell r="EK48">
            <v>136.72399293394756</v>
          </cell>
          <cell r="EL48">
            <v>137.58566113671253</v>
          </cell>
          <cell r="EM48">
            <v>138.44732933947751</v>
          </cell>
          <cell r="EN48">
            <v>139.30899754224248</v>
          </cell>
          <cell r="EO48">
            <v>140.17066574500745</v>
          </cell>
          <cell r="EP48">
            <v>141.03233394777243</v>
          </cell>
          <cell r="EQ48">
            <v>141.8940021505374</v>
          </cell>
          <cell r="ER48">
            <v>142.75567035330238</v>
          </cell>
          <cell r="ES48">
            <v>143.61733855606735</v>
          </cell>
          <cell r="ET48">
            <v>144.47900675883233</v>
          </cell>
          <cell r="EU48">
            <v>145.3406749615973</v>
          </cell>
          <cell r="EV48">
            <v>146.20234316436228</v>
          </cell>
          <cell r="EW48">
            <v>147.06401136712725</v>
          </cell>
          <cell r="EX48">
            <v>147.92567956989222</v>
          </cell>
          <cell r="EY48">
            <v>148.7873477726572</v>
          </cell>
          <cell r="EZ48">
            <v>149.64901597542217</v>
          </cell>
          <cell r="FA48">
            <v>150.51068417818715</v>
          </cell>
          <cell r="FB48">
            <v>151.37235238095212</v>
          </cell>
          <cell r="FC48">
            <v>152.2627428571426</v>
          </cell>
          <cell r="FD48">
            <v>153.15313333333307</v>
          </cell>
          <cell r="FE48">
            <v>154.04352380952355</v>
          </cell>
          <cell r="FF48">
            <v>154.93391428571402</v>
          </cell>
          <cell r="FG48">
            <v>155.8243047619045</v>
          </cell>
          <cell r="FH48">
            <v>156.71469523809498</v>
          </cell>
          <cell r="FI48">
            <v>157.60508571428545</v>
          </cell>
          <cell r="FJ48">
            <v>158.49547619047593</v>
          </cell>
          <cell r="FK48">
            <v>159.3858666666664</v>
          </cell>
          <cell r="FL48">
            <v>160.27625714285688</v>
          </cell>
          <cell r="FM48">
            <v>161.16664761904735</v>
          </cell>
          <cell r="FN48">
            <v>162.05703809523783</v>
          </cell>
          <cell r="FO48">
            <v>162.9474285714283</v>
          </cell>
          <cell r="FP48">
            <v>163.83781904761878</v>
          </cell>
          <cell r="FQ48">
            <v>164.72820952380926</v>
          </cell>
          <cell r="FR48">
            <v>165.61859999999973</v>
          </cell>
          <cell r="FS48">
            <v>166.50899047619021</v>
          </cell>
          <cell r="FT48">
            <v>167.39938095238068</v>
          </cell>
          <cell r="FU48">
            <v>168.28977142857116</v>
          </cell>
          <cell r="FV48">
            <v>169.18016190476163</v>
          </cell>
          <cell r="FW48">
            <v>170.07055238095211</v>
          </cell>
          <cell r="FX48">
            <v>170.96094285714258</v>
          </cell>
          <cell r="FY48">
            <v>171.85133333333306</v>
          </cell>
          <cell r="FZ48">
            <v>172.74172380952353</v>
          </cell>
          <cell r="GA48">
            <v>173.63211428571401</v>
          </cell>
          <cell r="GB48">
            <v>174.52250476190449</v>
          </cell>
          <cell r="GC48">
            <v>175.41289523809496</v>
          </cell>
          <cell r="GD48">
            <v>176.30328571428544</v>
          </cell>
          <cell r="GE48">
            <v>177.19367619047591</v>
          </cell>
          <cell r="GF48">
            <v>178.08406666666639</v>
          </cell>
          <cell r="GG48">
            <v>178.94573486943136</v>
          </cell>
          <cell r="GH48">
            <v>179.80740307219634</v>
          </cell>
          <cell r="GI48">
            <v>180.66907127496131</v>
          </cell>
          <cell r="GJ48">
            <v>181.53073947772629</v>
          </cell>
          <cell r="GK48">
            <v>182.39240768049126</v>
          </cell>
          <cell r="GL48">
            <v>183.25407588325623</v>
          </cell>
          <cell r="GM48">
            <v>184.11574408602121</v>
          </cell>
          <cell r="GN48">
            <v>184.97741228878618</v>
          </cell>
          <cell r="GO48">
            <v>185.83908049155116</v>
          </cell>
          <cell r="GP48">
            <v>186.70074869431613</v>
          </cell>
          <cell r="GQ48">
            <v>187.56241689708111</v>
          </cell>
          <cell r="GR48">
            <v>188.42408509984608</v>
          </cell>
          <cell r="GS48">
            <v>189.28575330261106</v>
          </cell>
          <cell r="GT48">
            <v>190.14742150537603</v>
          </cell>
          <cell r="GU48">
            <v>191.009089708141</v>
          </cell>
          <cell r="GV48">
            <v>191.87075791090598</v>
          </cell>
          <cell r="GW48">
            <v>192.73242611367095</v>
          </cell>
          <cell r="GX48">
            <v>193.59409431643593</v>
          </cell>
          <cell r="GY48">
            <v>194.4557625192009</v>
          </cell>
          <cell r="GZ48">
            <v>195.31743072196588</v>
          </cell>
          <cell r="HA48">
            <v>196.17909892473085</v>
          </cell>
          <cell r="HB48">
            <v>197.04076712749583</v>
          </cell>
          <cell r="HC48">
            <v>197.9024353302608</v>
          </cell>
          <cell r="HD48">
            <v>198.76410353302578</v>
          </cell>
          <cell r="HE48">
            <v>199.62577173579075</v>
          </cell>
          <cell r="HF48">
            <v>200.48743993855572</v>
          </cell>
          <cell r="HG48">
            <v>201.3491081413207</v>
          </cell>
          <cell r="HH48">
            <v>202.21077634408567</v>
          </cell>
          <cell r="HI48">
            <v>203.07244454685065</v>
          </cell>
          <cell r="HJ48">
            <v>203.93411274961562</v>
          </cell>
          <cell r="HK48">
            <v>204.7957809523806</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_curve"/>
      <sheetName val="FRWD VS INTERP"/>
      <sheetName val="Chart X Fwd vs Spot 27 year"/>
    </sheetNames>
    <sheetDataSet>
      <sheetData sheetId="0"/>
      <sheetData sheetId="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_curve"/>
      <sheetName val="FRWD VS INTERP"/>
      <sheetName val="Chart X Fwd vs Spot 27 year"/>
    </sheetNames>
    <sheetDataSet>
      <sheetData sheetId="0"/>
      <sheetData sheetId="1"/>
      <sheetData sheetId="2">
        <row r="6">
          <cell r="H6" t="str">
            <v>FRWD</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fo."/>
      <sheetName val="Co.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fo."/>
      <sheetName val="Co.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cell r="E30">
            <v>16.73</v>
          </cell>
          <cell r="G30">
            <v>15.75</v>
          </cell>
          <cell r="K30">
            <v>12</v>
          </cell>
          <cell r="O30">
            <v>2.5099999999999998</v>
          </cell>
          <cell r="P30">
            <v>1.5206571858163132</v>
          </cell>
          <cell r="R30">
            <v>8.4</v>
          </cell>
        </row>
        <row r="31">
          <cell r="C31">
            <v>14.22</v>
          </cell>
          <cell r="E31">
            <v>16.72</v>
          </cell>
          <cell r="G31">
            <v>16.559999999999999</v>
          </cell>
          <cell r="K31">
            <v>12</v>
          </cell>
          <cell r="O31">
            <v>2.4999999999999982</v>
          </cell>
          <cell r="P31">
            <v>1.5206571858163132</v>
          </cell>
          <cell r="R31">
            <v>7.6</v>
          </cell>
        </row>
        <row r="32">
          <cell r="C32">
            <v>13.53</v>
          </cell>
          <cell r="E32">
            <v>16.07</v>
          </cell>
          <cell r="G32">
            <v>16.5</v>
          </cell>
          <cell r="K32">
            <v>12</v>
          </cell>
          <cell r="O32">
            <v>2.5400000000000009</v>
          </cell>
          <cell r="P32">
            <v>1.5206571858163132</v>
          </cell>
          <cell r="R32">
            <v>6.8</v>
          </cell>
        </row>
        <row r="33">
          <cell r="C33">
            <v>13.37</v>
          </cell>
          <cell r="E33">
            <v>15.82</v>
          </cell>
          <cell r="G33">
            <v>16.5</v>
          </cell>
          <cell r="K33">
            <v>12</v>
          </cell>
          <cell r="O33">
            <v>2.4500000000000011</v>
          </cell>
          <cell r="P33">
            <v>1.5206571858163132</v>
          </cell>
          <cell r="R33">
            <v>6.5</v>
          </cell>
        </row>
        <row r="34">
          <cell r="C34">
            <v>13.24</v>
          </cell>
          <cell r="E34">
            <v>15.6</v>
          </cell>
          <cell r="G34">
            <v>16.5</v>
          </cell>
          <cell r="K34">
            <v>12</v>
          </cell>
          <cell r="O34">
            <v>2.3599999999999994</v>
          </cell>
          <cell r="P34">
            <v>1.5206571858163132</v>
          </cell>
          <cell r="R34">
            <v>6.7</v>
          </cell>
        </row>
        <row r="35">
          <cell r="C35">
            <v>13.92</v>
          </cell>
          <cell r="E35">
            <v>16.18</v>
          </cell>
          <cell r="G35">
            <v>16.5</v>
          </cell>
          <cell r="K35">
            <v>12</v>
          </cell>
          <cell r="O35">
            <v>2.2599999999999998</v>
          </cell>
          <cell r="P35">
            <v>1.5206571858163132</v>
          </cell>
          <cell r="R35">
            <v>7.1</v>
          </cell>
        </row>
        <row r="36">
          <cell r="C36">
            <v>13.55</v>
          </cell>
          <cell r="E36">
            <v>16.04</v>
          </cell>
          <cell r="G36">
            <v>16.260000000000002</v>
          </cell>
          <cell r="K36">
            <v>11</v>
          </cell>
          <cell r="O36">
            <v>2.4899999999999984</v>
          </cell>
          <cell r="P36">
            <v>1.5206571858163132</v>
          </cell>
          <cell r="R36">
            <v>6.4</v>
          </cell>
        </row>
        <row r="37">
          <cell r="C37">
            <v>12.77</v>
          </cell>
          <cell r="E37">
            <v>15.22</v>
          </cell>
          <cell r="G37">
            <v>14.39</v>
          </cell>
          <cell r="K37">
            <v>10</v>
          </cell>
          <cell r="O37">
            <v>2.4500000000000011</v>
          </cell>
          <cell r="P37">
            <v>1.5206571858163132</v>
          </cell>
          <cell r="R37">
            <v>5.9</v>
          </cell>
        </row>
        <row r="38">
          <cell r="C38">
            <v>12.07</v>
          </cell>
          <cell r="E38">
            <v>14.56</v>
          </cell>
          <cell r="G38">
            <v>13.5</v>
          </cell>
          <cell r="K38">
            <v>9.5</v>
          </cell>
          <cell r="O38">
            <v>2.4900000000000002</v>
          </cell>
          <cell r="P38">
            <v>1.5206571858163132</v>
          </cell>
          <cell r="R38">
            <v>5</v>
          </cell>
        </row>
        <row r="39">
          <cell r="C39">
            <v>11.17</v>
          </cell>
          <cell r="E39">
            <v>13.88</v>
          </cell>
          <cell r="G39">
            <v>12.52</v>
          </cell>
          <cell r="K39">
            <v>9</v>
          </cell>
          <cell r="O39">
            <v>2.7100000000000009</v>
          </cell>
          <cell r="P39">
            <v>1.5206571858163132</v>
          </cell>
          <cell r="R39">
            <v>5.0999999999999996</v>
          </cell>
        </row>
        <row r="40">
          <cell r="C40">
            <v>10.54</v>
          </cell>
          <cell r="E40">
            <v>13.58</v>
          </cell>
          <cell r="G40">
            <v>11.85</v>
          </cell>
          <cell r="K40">
            <v>9</v>
          </cell>
          <cell r="O40">
            <v>3.0400000000000009</v>
          </cell>
          <cell r="P40">
            <v>1.5206571858163132</v>
          </cell>
          <cell r="R40">
            <v>4.5999999999999996</v>
          </cell>
        </row>
        <row r="41">
          <cell r="C41">
            <v>10.54</v>
          </cell>
          <cell r="E41">
            <v>13.55</v>
          </cell>
          <cell r="G41">
            <v>11.5</v>
          </cell>
          <cell r="K41">
            <v>8.5</v>
          </cell>
          <cell r="O41">
            <v>3.0100000000000016</v>
          </cell>
          <cell r="P41">
            <v>1.5206571858163132</v>
          </cell>
          <cell r="R41">
            <v>3.8</v>
          </cell>
        </row>
        <row r="42">
          <cell r="B42" t="str">
            <v>83</v>
          </cell>
          <cell r="C42">
            <v>10.63</v>
          </cell>
          <cell r="E42">
            <v>13.46</v>
          </cell>
          <cell r="G42">
            <v>11.16</v>
          </cell>
          <cell r="K42">
            <v>8.5</v>
          </cell>
          <cell r="O42">
            <v>2.83</v>
          </cell>
          <cell r="P42">
            <v>1.5206571858163132</v>
          </cell>
          <cell r="R42">
            <v>3.7</v>
          </cell>
        </row>
        <row r="43">
          <cell r="C43">
            <v>10.88</v>
          </cell>
          <cell r="E43">
            <v>13.6</v>
          </cell>
          <cell r="G43">
            <v>10.98</v>
          </cell>
          <cell r="K43">
            <v>8.5</v>
          </cell>
          <cell r="O43">
            <v>2.7199999999999989</v>
          </cell>
          <cell r="P43">
            <v>1.5206571858163132</v>
          </cell>
          <cell r="R43">
            <v>3.5</v>
          </cell>
        </row>
        <row r="44">
          <cell r="C44">
            <v>10.63</v>
          </cell>
          <cell r="E44">
            <v>13.28</v>
          </cell>
          <cell r="G44">
            <v>10.5</v>
          </cell>
          <cell r="K44">
            <v>8.5</v>
          </cell>
          <cell r="O44">
            <v>2.6499999999999986</v>
          </cell>
          <cell r="P44">
            <v>1.5206571858163132</v>
          </cell>
          <cell r="R44">
            <v>3.6</v>
          </cell>
        </row>
        <row r="45">
          <cell r="C45">
            <v>10.48</v>
          </cell>
          <cell r="E45">
            <v>13.03</v>
          </cell>
          <cell r="G45">
            <v>10.5</v>
          </cell>
          <cell r="K45">
            <v>8.5</v>
          </cell>
          <cell r="O45">
            <v>2.5499999999999989</v>
          </cell>
          <cell r="P45">
            <v>1.5206571858163132</v>
          </cell>
          <cell r="R45">
            <v>3.9</v>
          </cell>
        </row>
        <row r="46">
          <cell r="C46">
            <v>10.53</v>
          </cell>
          <cell r="E46">
            <v>13</v>
          </cell>
          <cell r="G46">
            <v>10.5</v>
          </cell>
          <cell r="K46">
            <v>8.5</v>
          </cell>
          <cell r="O46">
            <v>2.4700000000000006</v>
          </cell>
          <cell r="P46">
            <v>1.5206571858163132</v>
          </cell>
          <cell r="R46">
            <v>3.5</v>
          </cell>
        </row>
        <row r="47">
          <cell r="C47">
            <v>10.93</v>
          </cell>
          <cell r="E47">
            <v>13.17</v>
          </cell>
          <cell r="G47">
            <v>10.5</v>
          </cell>
          <cell r="K47">
            <v>8.5</v>
          </cell>
          <cell r="O47">
            <v>2.2400000000000002</v>
          </cell>
          <cell r="P47">
            <v>1.5206571858163132</v>
          </cell>
          <cell r="R47">
            <v>2.6</v>
          </cell>
        </row>
        <row r="48">
          <cell r="C48">
            <v>11.4</v>
          </cell>
          <cell r="E48">
            <v>13.28</v>
          </cell>
          <cell r="G48">
            <v>10.5</v>
          </cell>
          <cell r="K48">
            <v>8.5</v>
          </cell>
          <cell r="O48">
            <v>1.879999999999999</v>
          </cell>
          <cell r="P48">
            <v>1.5206571858163132</v>
          </cell>
          <cell r="R48">
            <v>2.5</v>
          </cell>
        </row>
        <row r="49">
          <cell r="C49">
            <v>11.82</v>
          </cell>
          <cell r="E49">
            <v>13.5</v>
          </cell>
          <cell r="G49">
            <v>10.89</v>
          </cell>
          <cell r="K49">
            <v>8.5</v>
          </cell>
          <cell r="O49">
            <v>1.6799999999999997</v>
          </cell>
          <cell r="P49">
            <v>1.5206571858163132</v>
          </cell>
          <cell r="R49">
            <v>2.6</v>
          </cell>
        </row>
        <row r="50">
          <cell r="C50">
            <v>11.63</v>
          </cell>
          <cell r="E50">
            <v>13.35</v>
          </cell>
          <cell r="G50">
            <v>11</v>
          </cell>
          <cell r="K50">
            <v>8.5</v>
          </cell>
          <cell r="O50">
            <v>1.7199999999999989</v>
          </cell>
          <cell r="P50">
            <v>1.5206571858163132</v>
          </cell>
          <cell r="R50">
            <v>2.9</v>
          </cell>
        </row>
        <row r="51">
          <cell r="C51">
            <v>11.58</v>
          </cell>
          <cell r="E51">
            <v>13.19</v>
          </cell>
          <cell r="G51">
            <v>11</v>
          </cell>
          <cell r="K51">
            <v>8.5</v>
          </cell>
          <cell r="O51">
            <v>1.6099999999999994</v>
          </cell>
          <cell r="P51">
            <v>1.5206571858163132</v>
          </cell>
          <cell r="R51">
            <v>2.9</v>
          </cell>
        </row>
        <row r="52">
          <cell r="C52">
            <v>11.75</v>
          </cell>
          <cell r="E52">
            <v>13.33</v>
          </cell>
          <cell r="G52">
            <v>11</v>
          </cell>
          <cell r="K52">
            <v>8.5</v>
          </cell>
          <cell r="O52">
            <v>1.58</v>
          </cell>
          <cell r="P52">
            <v>1.5206571858163132</v>
          </cell>
          <cell r="R52">
            <v>3.3</v>
          </cell>
        </row>
        <row r="53">
          <cell r="C53">
            <v>11.88</v>
          </cell>
          <cell r="E53">
            <v>13.48</v>
          </cell>
          <cell r="G53">
            <v>11</v>
          </cell>
          <cell r="K53">
            <v>8.5</v>
          </cell>
          <cell r="O53">
            <v>1.5999999999999996</v>
          </cell>
          <cell r="P53">
            <v>1.5206571858163132</v>
          </cell>
          <cell r="R53">
            <v>3.8</v>
          </cell>
        </row>
        <row r="54">
          <cell r="B54" t="str">
            <v>84</v>
          </cell>
          <cell r="C54">
            <v>11.75</v>
          </cell>
          <cell r="E54">
            <v>13.4</v>
          </cell>
          <cell r="G54">
            <v>11</v>
          </cell>
          <cell r="K54">
            <v>8.5</v>
          </cell>
          <cell r="O54">
            <v>1.6500000000000004</v>
          </cell>
          <cell r="P54">
            <v>1.5206571858163132</v>
          </cell>
          <cell r="R54">
            <v>4.2</v>
          </cell>
        </row>
        <row r="55">
          <cell r="C55">
            <v>11.95</v>
          </cell>
          <cell r="E55">
            <v>13.5</v>
          </cell>
          <cell r="G55">
            <v>11</v>
          </cell>
          <cell r="K55">
            <v>8.5</v>
          </cell>
          <cell r="O55">
            <v>1.5500000000000007</v>
          </cell>
          <cell r="P55">
            <v>1.5206571858163132</v>
          </cell>
          <cell r="R55">
            <v>4.5999999999999996</v>
          </cell>
        </row>
        <row r="56">
          <cell r="C56">
            <v>12.38</v>
          </cell>
          <cell r="E56">
            <v>14.03</v>
          </cell>
          <cell r="G56">
            <v>11.21</v>
          </cell>
          <cell r="K56">
            <v>8.5</v>
          </cell>
          <cell r="O56">
            <v>1.6499999999999986</v>
          </cell>
          <cell r="P56">
            <v>1.5206571858163132</v>
          </cell>
          <cell r="R56">
            <v>4.8</v>
          </cell>
        </row>
        <row r="57">
          <cell r="C57">
            <v>12.65</v>
          </cell>
          <cell r="E57">
            <v>14.3</v>
          </cell>
          <cell r="G57">
            <v>11.93</v>
          </cell>
          <cell r="K57">
            <v>9</v>
          </cell>
          <cell r="O57">
            <v>1.6500000000000004</v>
          </cell>
          <cell r="P57">
            <v>1.5206571858163132</v>
          </cell>
          <cell r="R57">
            <v>4.5999999999999996</v>
          </cell>
        </row>
        <row r="58">
          <cell r="C58">
            <v>13.43</v>
          </cell>
          <cell r="E58">
            <v>14.95</v>
          </cell>
          <cell r="G58">
            <v>12.39</v>
          </cell>
          <cell r="K58">
            <v>9</v>
          </cell>
          <cell r="O58">
            <v>1.5199999999999996</v>
          </cell>
          <cell r="P58">
            <v>1.5206571858163132</v>
          </cell>
          <cell r="R58">
            <v>4.2</v>
          </cell>
        </row>
        <row r="59">
          <cell r="C59">
            <v>13.44</v>
          </cell>
          <cell r="E59">
            <v>15.16</v>
          </cell>
          <cell r="G59">
            <v>12.6</v>
          </cell>
          <cell r="K59">
            <v>9</v>
          </cell>
          <cell r="O59">
            <v>1.7200000000000006</v>
          </cell>
          <cell r="P59">
            <v>1.5206571858163132</v>
          </cell>
          <cell r="R59">
            <v>4.2</v>
          </cell>
        </row>
        <row r="60">
          <cell r="C60">
            <v>13.21</v>
          </cell>
          <cell r="E60">
            <v>14.92</v>
          </cell>
          <cell r="G60">
            <v>13</v>
          </cell>
          <cell r="K60">
            <v>9</v>
          </cell>
          <cell r="O60">
            <v>1.7099999999999991</v>
          </cell>
          <cell r="P60">
            <v>1.5206571858163132</v>
          </cell>
          <cell r="R60">
            <v>4.2</v>
          </cell>
        </row>
        <row r="61">
          <cell r="C61">
            <v>12.54</v>
          </cell>
          <cell r="E61">
            <v>14.29</v>
          </cell>
          <cell r="G61">
            <v>13</v>
          </cell>
          <cell r="K61">
            <v>9</v>
          </cell>
          <cell r="O61">
            <v>1.75</v>
          </cell>
          <cell r="P61">
            <v>1.5206571858163132</v>
          </cell>
          <cell r="R61">
            <v>4.3</v>
          </cell>
        </row>
        <row r="62">
          <cell r="C62">
            <v>12.29</v>
          </cell>
          <cell r="E62">
            <v>14.04</v>
          </cell>
          <cell r="G62">
            <v>12.97</v>
          </cell>
          <cell r="K62">
            <v>9</v>
          </cell>
          <cell r="O62">
            <v>1.75</v>
          </cell>
          <cell r="P62">
            <v>1.5206571858163132</v>
          </cell>
          <cell r="R62">
            <v>4.3</v>
          </cell>
        </row>
        <row r="63">
          <cell r="C63">
            <v>11.98</v>
          </cell>
          <cell r="E63">
            <v>13.68</v>
          </cell>
          <cell r="G63">
            <v>12.58</v>
          </cell>
          <cell r="K63">
            <v>9</v>
          </cell>
          <cell r="O63">
            <v>1.6999999999999993</v>
          </cell>
          <cell r="P63">
            <v>1.5206571858163132</v>
          </cell>
          <cell r="R63">
            <v>4.3</v>
          </cell>
        </row>
        <row r="64">
          <cell r="C64">
            <v>11.56</v>
          </cell>
          <cell r="E64">
            <v>13.15</v>
          </cell>
          <cell r="G64">
            <v>11.77</v>
          </cell>
          <cell r="K64">
            <v>8.5</v>
          </cell>
          <cell r="O64">
            <v>1.5899999999999999</v>
          </cell>
          <cell r="P64">
            <v>1.5206571858163132</v>
          </cell>
          <cell r="R64">
            <v>4.0999999999999996</v>
          </cell>
        </row>
        <row r="65">
          <cell r="C65">
            <v>11.52</v>
          </cell>
          <cell r="E65">
            <v>12.96</v>
          </cell>
          <cell r="G65">
            <v>11.06</v>
          </cell>
          <cell r="K65">
            <v>8</v>
          </cell>
          <cell r="O65">
            <v>1.4400000000000013</v>
          </cell>
          <cell r="P65">
            <v>1.5206571858163132</v>
          </cell>
          <cell r="R65">
            <v>3.9</v>
          </cell>
        </row>
        <row r="66">
          <cell r="B66" t="str">
            <v>85</v>
          </cell>
          <cell r="C66">
            <v>11.45</v>
          </cell>
          <cell r="E66">
            <v>12.88</v>
          </cell>
          <cell r="G66">
            <v>10.61</v>
          </cell>
          <cell r="K66">
            <v>8</v>
          </cell>
          <cell r="O66">
            <v>1.4300000000000015</v>
          </cell>
          <cell r="P66">
            <v>1.5206571858163132</v>
          </cell>
          <cell r="R66">
            <v>3.5</v>
          </cell>
        </row>
        <row r="67">
          <cell r="C67">
            <v>11.47</v>
          </cell>
          <cell r="E67">
            <v>13</v>
          </cell>
          <cell r="G67">
            <v>10.5</v>
          </cell>
          <cell r="K67">
            <v>8</v>
          </cell>
          <cell r="O67">
            <v>1.5299999999999994</v>
          </cell>
          <cell r="P67">
            <v>1.5206571858163132</v>
          </cell>
          <cell r="R67">
            <v>3.5</v>
          </cell>
        </row>
        <row r="68">
          <cell r="C68">
            <v>11.81</v>
          </cell>
          <cell r="E68">
            <v>13.66</v>
          </cell>
          <cell r="G68">
            <v>10.5</v>
          </cell>
          <cell r="K68">
            <v>8</v>
          </cell>
          <cell r="O68">
            <v>1.8499999999999996</v>
          </cell>
          <cell r="P68">
            <v>1.5206571858163132</v>
          </cell>
          <cell r="R68">
            <v>3.7</v>
          </cell>
        </row>
        <row r="69">
          <cell r="C69">
            <v>11.47</v>
          </cell>
          <cell r="E69">
            <v>13.42</v>
          </cell>
          <cell r="G69">
            <v>10.5</v>
          </cell>
          <cell r="K69">
            <v>8</v>
          </cell>
          <cell r="O69">
            <v>1.9499999999999993</v>
          </cell>
          <cell r="P69">
            <v>1.5206571858163132</v>
          </cell>
          <cell r="R69">
            <v>3.7</v>
          </cell>
        </row>
        <row r="70">
          <cell r="C70">
            <v>11.05</v>
          </cell>
          <cell r="E70">
            <v>12.89</v>
          </cell>
          <cell r="G70">
            <v>10.31</v>
          </cell>
          <cell r="K70">
            <v>7.5</v>
          </cell>
          <cell r="O70">
            <v>1.8399999999999999</v>
          </cell>
          <cell r="P70">
            <v>1.5206571858163132</v>
          </cell>
          <cell r="R70">
            <v>3.8</v>
          </cell>
        </row>
        <row r="71">
          <cell r="C71">
            <v>10.44</v>
          </cell>
          <cell r="E71">
            <v>11.91</v>
          </cell>
          <cell r="G71">
            <v>9.7799999999999994</v>
          </cell>
          <cell r="K71">
            <v>7.5</v>
          </cell>
          <cell r="O71">
            <v>1.4700000000000006</v>
          </cell>
          <cell r="P71">
            <v>1.5206571858163132</v>
          </cell>
          <cell r="R71">
            <v>3.8</v>
          </cell>
        </row>
        <row r="72">
          <cell r="C72">
            <v>10.5</v>
          </cell>
          <cell r="E72">
            <v>11.88</v>
          </cell>
          <cell r="G72">
            <v>9.5</v>
          </cell>
          <cell r="K72">
            <v>7.5</v>
          </cell>
          <cell r="O72">
            <v>1.3800000000000008</v>
          </cell>
          <cell r="P72">
            <v>1.5206571858163132</v>
          </cell>
          <cell r="R72">
            <v>3.6</v>
          </cell>
        </row>
        <row r="73">
          <cell r="C73">
            <v>10.56</v>
          </cell>
          <cell r="E73">
            <v>11.93</v>
          </cell>
          <cell r="G73">
            <v>9.5</v>
          </cell>
          <cell r="K73">
            <v>7.5</v>
          </cell>
          <cell r="O73">
            <v>1.3699999999999992</v>
          </cell>
          <cell r="P73">
            <v>1.5206571858163132</v>
          </cell>
          <cell r="R73">
            <v>3.3</v>
          </cell>
        </row>
        <row r="74">
          <cell r="C74">
            <v>10.61</v>
          </cell>
          <cell r="E74">
            <v>11.95</v>
          </cell>
          <cell r="G74">
            <v>9.5</v>
          </cell>
          <cell r="K74">
            <v>7.5</v>
          </cell>
          <cell r="O74">
            <v>1.3399999999999999</v>
          </cell>
          <cell r="P74">
            <v>1.5206571858163132</v>
          </cell>
          <cell r="R74">
            <v>3.1</v>
          </cell>
        </row>
        <row r="75">
          <cell r="C75">
            <v>10.5</v>
          </cell>
          <cell r="E75">
            <v>11.84</v>
          </cell>
          <cell r="G75">
            <v>9.5</v>
          </cell>
          <cell r="K75">
            <v>7.5</v>
          </cell>
          <cell r="O75">
            <v>1.3399999999999999</v>
          </cell>
          <cell r="P75">
            <v>1.5206571858163132</v>
          </cell>
          <cell r="R75">
            <v>3.2</v>
          </cell>
        </row>
        <row r="76">
          <cell r="C76">
            <v>10.06</v>
          </cell>
          <cell r="E76">
            <v>11.33</v>
          </cell>
          <cell r="G76">
            <v>9.5</v>
          </cell>
          <cell r="K76">
            <v>7.5</v>
          </cell>
          <cell r="O76">
            <v>1.2699999999999996</v>
          </cell>
          <cell r="P76">
            <v>1.5206571858163132</v>
          </cell>
          <cell r="R76">
            <v>3.5</v>
          </cell>
        </row>
        <row r="77">
          <cell r="C77">
            <v>9.5399999999999991</v>
          </cell>
          <cell r="E77">
            <v>10.82</v>
          </cell>
          <cell r="G77">
            <v>9.5</v>
          </cell>
          <cell r="K77">
            <v>7.5</v>
          </cell>
          <cell r="O77">
            <v>1.2800000000000011</v>
          </cell>
          <cell r="P77">
            <v>1.5206571858163132</v>
          </cell>
          <cell r="R77">
            <v>3.8</v>
          </cell>
        </row>
        <row r="78">
          <cell r="B78" t="str">
            <v>86</v>
          </cell>
          <cell r="C78">
            <v>9.4</v>
          </cell>
          <cell r="E78">
            <v>10.66</v>
          </cell>
          <cell r="G78">
            <v>9.5</v>
          </cell>
          <cell r="K78">
            <v>7.5</v>
          </cell>
          <cell r="O78">
            <v>1.2599999999999998</v>
          </cell>
          <cell r="P78">
            <v>1.5206571858163132</v>
          </cell>
          <cell r="R78">
            <v>3.9</v>
          </cell>
        </row>
        <row r="79">
          <cell r="C79">
            <v>8.93</v>
          </cell>
          <cell r="E79">
            <v>10.16</v>
          </cell>
          <cell r="G79">
            <v>9.5</v>
          </cell>
          <cell r="K79">
            <v>7.5</v>
          </cell>
          <cell r="O79">
            <v>1.2300000000000004</v>
          </cell>
          <cell r="P79">
            <v>1.5206571858163132</v>
          </cell>
          <cell r="R79">
            <v>3.1</v>
          </cell>
        </row>
        <row r="80">
          <cell r="C80">
            <v>7.96</v>
          </cell>
          <cell r="E80">
            <v>9.33</v>
          </cell>
          <cell r="G80">
            <v>9.1</v>
          </cell>
          <cell r="K80">
            <v>7</v>
          </cell>
          <cell r="O80">
            <v>1.37</v>
          </cell>
          <cell r="P80">
            <v>1.5206571858163132</v>
          </cell>
          <cell r="R80">
            <v>2.2999999999999998</v>
          </cell>
        </row>
        <row r="81">
          <cell r="C81">
            <v>7.39</v>
          </cell>
          <cell r="E81">
            <v>9.02</v>
          </cell>
          <cell r="G81">
            <v>8.83</v>
          </cell>
          <cell r="K81">
            <v>6.5</v>
          </cell>
          <cell r="O81">
            <v>1.63</v>
          </cell>
          <cell r="P81">
            <v>1.5206571858163132</v>
          </cell>
          <cell r="R81">
            <v>1.6</v>
          </cell>
        </row>
        <row r="82">
          <cell r="C82">
            <v>7.52</v>
          </cell>
          <cell r="E82">
            <v>9.52</v>
          </cell>
          <cell r="G82">
            <v>8.5</v>
          </cell>
          <cell r="K82">
            <v>6.5</v>
          </cell>
          <cell r="O82">
            <v>2</v>
          </cell>
          <cell r="P82">
            <v>1.5206571858163132</v>
          </cell>
          <cell r="R82">
            <v>1.5</v>
          </cell>
        </row>
        <row r="83">
          <cell r="C83">
            <v>7.57</v>
          </cell>
          <cell r="E83">
            <v>9.51</v>
          </cell>
          <cell r="G83">
            <v>8.5</v>
          </cell>
          <cell r="K83">
            <v>6.5</v>
          </cell>
          <cell r="O83">
            <v>1.9399999999999995</v>
          </cell>
          <cell r="P83">
            <v>1.5206571858163132</v>
          </cell>
          <cell r="R83">
            <v>1.8</v>
          </cell>
        </row>
        <row r="84">
          <cell r="C84">
            <v>7.27</v>
          </cell>
          <cell r="E84">
            <v>9.19</v>
          </cell>
          <cell r="G84">
            <v>8.16</v>
          </cell>
          <cell r="K84">
            <v>6</v>
          </cell>
          <cell r="O84">
            <v>1.92</v>
          </cell>
          <cell r="P84">
            <v>1.5206571858163132</v>
          </cell>
          <cell r="R84">
            <v>1.6</v>
          </cell>
        </row>
        <row r="85">
          <cell r="C85">
            <v>7.33</v>
          </cell>
          <cell r="E85">
            <v>9.15</v>
          </cell>
          <cell r="G85">
            <v>7.9</v>
          </cell>
          <cell r="K85">
            <v>5.5</v>
          </cell>
          <cell r="O85">
            <v>1.8200000000000003</v>
          </cell>
          <cell r="P85">
            <v>1.5206571858163132</v>
          </cell>
          <cell r="R85">
            <v>1.6</v>
          </cell>
        </row>
        <row r="86">
          <cell r="C86">
            <v>7.62</v>
          </cell>
          <cell r="E86">
            <v>9.42</v>
          </cell>
          <cell r="G86">
            <v>7.5</v>
          </cell>
          <cell r="K86">
            <v>5.5</v>
          </cell>
          <cell r="O86">
            <v>1.7999999999999998</v>
          </cell>
          <cell r="P86">
            <v>1.5206571858163132</v>
          </cell>
          <cell r="R86">
            <v>1.8</v>
          </cell>
        </row>
        <row r="87">
          <cell r="C87">
            <v>7.7</v>
          </cell>
          <cell r="E87">
            <v>9.39</v>
          </cell>
          <cell r="G87">
            <v>7.5</v>
          </cell>
          <cell r="K87">
            <v>5.5</v>
          </cell>
          <cell r="O87">
            <v>1.6900000000000004</v>
          </cell>
          <cell r="P87">
            <v>1.5206571858163132</v>
          </cell>
          <cell r="R87">
            <v>1.5</v>
          </cell>
        </row>
        <row r="88">
          <cell r="C88">
            <v>7.52</v>
          </cell>
          <cell r="E88">
            <v>9.15</v>
          </cell>
          <cell r="G88">
            <v>7.5</v>
          </cell>
          <cell r="K88">
            <v>5.5</v>
          </cell>
          <cell r="O88">
            <v>1.6300000000000008</v>
          </cell>
          <cell r="P88">
            <v>1.5206571858163132</v>
          </cell>
          <cell r="R88">
            <v>1.3</v>
          </cell>
        </row>
        <row r="89">
          <cell r="C89">
            <v>7.37</v>
          </cell>
          <cell r="E89">
            <v>8.9600000000000009</v>
          </cell>
          <cell r="G89">
            <v>7.5</v>
          </cell>
          <cell r="K89">
            <v>5.5</v>
          </cell>
          <cell r="O89">
            <v>1.5900000000000007</v>
          </cell>
          <cell r="P89">
            <v>1.5206571858163132</v>
          </cell>
          <cell r="R89">
            <v>1.1000000000000001</v>
          </cell>
        </row>
        <row r="90">
          <cell r="B90">
            <v>87</v>
          </cell>
          <cell r="C90">
            <v>7.39</v>
          </cell>
          <cell r="E90">
            <v>8.77</v>
          </cell>
          <cell r="G90">
            <v>7.5</v>
          </cell>
          <cell r="K90">
            <v>5.5</v>
          </cell>
          <cell r="O90">
            <v>1.38</v>
          </cell>
          <cell r="P90">
            <v>1.5206571858163132</v>
          </cell>
          <cell r="R90">
            <v>1.5</v>
          </cell>
        </row>
        <row r="91">
          <cell r="C91">
            <v>7.54</v>
          </cell>
          <cell r="E91">
            <v>8.81</v>
          </cell>
          <cell r="G91">
            <v>7.5</v>
          </cell>
          <cell r="K91">
            <v>5.5</v>
          </cell>
          <cell r="O91">
            <v>1.2700000000000005</v>
          </cell>
          <cell r="P91">
            <v>1.5206571858163132</v>
          </cell>
          <cell r="R91">
            <v>2.1</v>
          </cell>
        </row>
        <row r="92">
          <cell r="C92">
            <v>7.55</v>
          </cell>
          <cell r="E92">
            <v>8.75</v>
          </cell>
          <cell r="G92">
            <v>7.5</v>
          </cell>
          <cell r="K92">
            <v>5.5</v>
          </cell>
          <cell r="O92">
            <v>1.2000000000000002</v>
          </cell>
          <cell r="P92">
            <v>1.5206571858163132</v>
          </cell>
          <cell r="R92">
            <v>3</v>
          </cell>
        </row>
        <row r="93">
          <cell r="C93">
            <v>8.25</v>
          </cell>
          <cell r="E93">
            <v>9.3000000000000007</v>
          </cell>
          <cell r="G93">
            <v>7.75</v>
          </cell>
          <cell r="K93">
            <v>5.5</v>
          </cell>
          <cell r="O93">
            <v>1.0500000000000007</v>
          </cell>
          <cell r="P93">
            <v>1.5206571858163132</v>
          </cell>
          <cell r="R93">
            <v>3.8</v>
          </cell>
        </row>
        <row r="94">
          <cell r="C94">
            <v>8.7799999999999994</v>
          </cell>
          <cell r="E94">
            <v>9.82</v>
          </cell>
          <cell r="G94">
            <v>8.14</v>
          </cell>
          <cell r="K94">
            <v>5.5</v>
          </cell>
          <cell r="O94">
            <v>1.0400000000000009</v>
          </cell>
          <cell r="P94">
            <v>1.5206571858163132</v>
          </cell>
          <cell r="R94">
            <v>3.9</v>
          </cell>
        </row>
        <row r="95">
          <cell r="C95">
            <v>8.57</v>
          </cell>
          <cell r="E95">
            <v>9.8699999999999992</v>
          </cell>
          <cell r="G95">
            <v>8.25</v>
          </cell>
          <cell r="K95">
            <v>5.5</v>
          </cell>
          <cell r="O95">
            <v>1.2999999999999989</v>
          </cell>
          <cell r="P95">
            <v>1.5206571858163132</v>
          </cell>
          <cell r="R95">
            <v>3.7</v>
          </cell>
        </row>
        <row r="96">
          <cell r="C96">
            <v>8.64</v>
          </cell>
          <cell r="E96">
            <v>10.01</v>
          </cell>
          <cell r="G96">
            <v>8.25</v>
          </cell>
          <cell r="K96">
            <v>5.5</v>
          </cell>
          <cell r="O96">
            <v>1.3699999999999992</v>
          </cell>
          <cell r="P96">
            <v>1.5206571858163132</v>
          </cell>
          <cell r="R96">
            <v>3.9</v>
          </cell>
        </row>
        <row r="97">
          <cell r="C97">
            <v>8.9700000000000006</v>
          </cell>
          <cell r="E97">
            <v>10.33</v>
          </cell>
          <cell r="G97">
            <v>8.25</v>
          </cell>
          <cell r="K97">
            <v>5.5</v>
          </cell>
          <cell r="O97">
            <v>1.3599999999999994</v>
          </cell>
          <cell r="P97">
            <v>1.5206571858163132</v>
          </cell>
          <cell r="R97">
            <v>4.3</v>
          </cell>
        </row>
        <row r="98">
          <cell r="C98">
            <v>9.59</v>
          </cell>
          <cell r="E98">
            <v>11</v>
          </cell>
          <cell r="G98">
            <v>8.6999999999999993</v>
          </cell>
          <cell r="K98">
            <v>6</v>
          </cell>
          <cell r="O98">
            <v>1.4100000000000001</v>
          </cell>
          <cell r="P98">
            <v>1.5206571858163132</v>
          </cell>
          <cell r="R98">
            <v>4.4000000000000004</v>
          </cell>
        </row>
        <row r="99">
          <cell r="C99">
            <v>9.61</v>
          </cell>
          <cell r="E99">
            <v>11.32</v>
          </cell>
          <cell r="G99">
            <v>9.07</v>
          </cell>
          <cell r="K99">
            <v>6</v>
          </cell>
          <cell r="O99">
            <v>1.7100000000000009</v>
          </cell>
          <cell r="P99">
            <v>1.5206571858163132</v>
          </cell>
          <cell r="R99">
            <v>4.5</v>
          </cell>
        </row>
        <row r="100">
          <cell r="C100">
            <v>8.9499999999999993</v>
          </cell>
          <cell r="E100">
            <v>10.82</v>
          </cell>
          <cell r="G100">
            <v>8.7799999999999994</v>
          </cell>
          <cell r="K100">
            <v>6</v>
          </cell>
          <cell r="O100">
            <v>1.870000000000001</v>
          </cell>
          <cell r="P100">
            <v>1.5206571858163132</v>
          </cell>
          <cell r="R100">
            <v>4.5</v>
          </cell>
        </row>
        <row r="101">
          <cell r="C101">
            <v>9.1199999999999992</v>
          </cell>
          <cell r="E101">
            <v>10.99</v>
          </cell>
          <cell r="G101">
            <v>8.75</v>
          </cell>
          <cell r="K101">
            <v>6</v>
          </cell>
          <cell r="O101">
            <v>1.870000000000001</v>
          </cell>
          <cell r="P101">
            <v>1.5206571858163132</v>
          </cell>
          <cell r="R101">
            <v>4.4000000000000004</v>
          </cell>
        </row>
        <row r="102">
          <cell r="B102" t="str">
            <v>88</v>
          </cell>
          <cell r="C102">
            <v>8.83</v>
          </cell>
          <cell r="E102">
            <v>10.75</v>
          </cell>
          <cell r="G102">
            <v>8.75</v>
          </cell>
          <cell r="K102">
            <v>6</v>
          </cell>
          <cell r="O102">
            <v>1.92</v>
          </cell>
          <cell r="P102">
            <v>1.5206571858163132</v>
          </cell>
          <cell r="R102">
            <v>4</v>
          </cell>
        </row>
        <row r="103">
          <cell r="C103">
            <v>8.43</v>
          </cell>
          <cell r="E103">
            <v>10.11</v>
          </cell>
          <cell r="G103">
            <v>8.51</v>
          </cell>
          <cell r="K103">
            <v>6</v>
          </cell>
          <cell r="O103">
            <v>1.6799999999999997</v>
          </cell>
          <cell r="P103">
            <v>1.5206571858163132</v>
          </cell>
          <cell r="R103">
            <v>3.9</v>
          </cell>
        </row>
        <row r="104">
          <cell r="C104">
            <v>8.6300000000000008</v>
          </cell>
          <cell r="E104">
            <v>10.11</v>
          </cell>
          <cell r="G104">
            <v>8.5</v>
          </cell>
          <cell r="K104">
            <v>6</v>
          </cell>
          <cell r="O104">
            <v>1.4799999999999986</v>
          </cell>
          <cell r="P104">
            <v>1.5206571858163132</v>
          </cell>
          <cell r="R104">
            <v>3.9</v>
          </cell>
        </row>
        <row r="105">
          <cell r="C105">
            <v>8.9499999999999993</v>
          </cell>
          <cell r="E105">
            <v>10.53</v>
          </cell>
          <cell r="G105">
            <v>8.5</v>
          </cell>
          <cell r="K105">
            <v>6</v>
          </cell>
          <cell r="O105">
            <v>1.58</v>
          </cell>
          <cell r="P105">
            <v>1.5206571858163132</v>
          </cell>
          <cell r="R105">
            <v>3.9</v>
          </cell>
        </row>
        <row r="106">
          <cell r="C106">
            <v>9.23</v>
          </cell>
          <cell r="E106">
            <v>10.75</v>
          </cell>
          <cell r="G106">
            <v>8.84</v>
          </cell>
          <cell r="K106">
            <v>6</v>
          </cell>
          <cell r="O106">
            <v>1.5199999999999996</v>
          </cell>
          <cell r="P106">
            <v>1.5206571858163132</v>
          </cell>
          <cell r="R106">
            <v>3.9</v>
          </cell>
        </row>
        <row r="107">
          <cell r="C107">
            <v>9</v>
          </cell>
          <cell r="E107">
            <v>10.71</v>
          </cell>
          <cell r="G107">
            <v>9</v>
          </cell>
          <cell r="K107">
            <v>6</v>
          </cell>
          <cell r="O107">
            <v>1.7100000000000009</v>
          </cell>
          <cell r="P107">
            <v>1.5206571858163132</v>
          </cell>
          <cell r="R107">
            <v>4</v>
          </cell>
        </row>
        <row r="108">
          <cell r="C108">
            <v>9.14</v>
          </cell>
          <cell r="E108">
            <v>10.96</v>
          </cell>
          <cell r="G108">
            <v>9.2899999999999991</v>
          </cell>
          <cell r="K108">
            <v>6</v>
          </cell>
          <cell r="O108">
            <v>1.8200000000000003</v>
          </cell>
          <cell r="P108">
            <v>1.5206571858163132</v>
          </cell>
          <cell r="R108">
            <v>4.0999999999999996</v>
          </cell>
        </row>
        <row r="109">
          <cell r="C109">
            <v>9.32</v>
          </cell>
          <cell r="E109">
            <v>11.09</v>
          </cell>
          <cell r="G109">
            <v>9.84</v>
          </cell>
          <cell r="K109">
            <v>6.5</v>
          </cell>
          <cell r="O109">
            <v>1.7699999999999996</v>
          </cell>
          <cell r="P109">
            <v>1.5206571858163132</v>
          </cell>
          <cell r="R109">
            <v>4</v>
          </cell>
        </row>
        <row r="110">
          <cell r="C110">
            <v>9.06</v>
          </cell>
          <cell r="E110">
            <v>10.56</v>
          </cell>
          <cell r="G110">
            <v>10</v>
          </cell>
          <cell r="K110">
            <v>6.5</v>
          </cell>
          <cell r="O110">
            <v>1.5</v>
          </cell>
          <cell r="P110">
            <v>1.5206571858163132</v>
          </cell>
          <cell r="R110">
            <v>4.2</v>
          </cell>
        </row>
        <row r="111">
          <cell r="C111">
            <v>8.89</v>
          </cell>
          <cell r="E111">
            <v>9.92</v>
          </cell>
          <cell r="G111">
            <v>10</v>
          </cell>
          <cell r="K111">
            <v>6.5</v>
          </cell>
          <cell r="O111">
            <v>1.0299999999999994</v>
          </cell>
          <cell r="P111">
            <v>1.5206571858163132</v>
          </cell>
          <cell r="R111">
            <v>4.2</v>
          </cell>
        </row>
        <row r="112">
          <cell r="C112">
            <v>9.02</v>
          </cell>
          <cell r="E112">
            <v>9.89</v>
          </cell>
          <cell r="G112">
            <v>10.050000000000001</v>
          </cell>
          <cell r="K112">
            <v>6.5</v>
          </cell>
          <cell r="O112">
            <v>0.87000000000000099</v>
          </cell>
          <cell r="P112">
            <v>1.5206571858163132</v>
          </cell>
          <cell r="R112">
            <v>4.2</v>
          </cell>
        </row>
        <row r="113">
          <cell r="C113">
            <v>9.01</v>
          </cell>
          <cell r="E113">
            <v>10.02</v>
          </cell>
          <cell r="G113">
            <v>10.5</v>
          </cell>
          <cell r="K113">
            <v>6.5</v>
          </cell>
          <cell r="O113">
            <v>1.0099999999999998</v>
          </cell>
          <cell r="P113">
            <v>1.5206571858163132</v>
          </cell>
          <cell r="R113">
            <v>4.4000000000000004</v>
          </cell>
        </row>
        <row r="114">
          <cell r="B114" t="str">
            <v>89</v>
          </cell>
          <cell r="C114">
            <v>8.93</v>
          </cell>
          <cell r="E114">
            <v>10.02</v>
          </cell>
          <cell r="G114">
            <v>10.5</v>
          </cell>
          <cell r="K114">
            <v>6.5</v>
          </cell>
          <cell r="O114">
            <v>1.0899999999999999</v>
          </cell>
          <cell r="P114">
            <v>1.5206571858163132</v>
          </cell>
          <cell r="R114">
            <v>4.7</v>
          </cell>
        </row>
        <row r="115">
          <cell r="C115">
            <v>9.01</v>
          </cell>
          <cell r="E115">
            <v>10.02</v>
          </cell>
          <cell r="G115">
            <v>10.93</v>
          </cell>
          <cell r="K115">
            <v>7</v>
          </cell>
          <cell r="O115">
            <v>1.0099999999999998</v>
          </cell>
          <cell r="P115">
            <v>1.5206571858163132</v>
          </cell>
          <cell r="R115">
            <v>4.8</v>
          </cell>
        </row>
        <row r="116">
          <cell r="C116">
            <v>9.17</v>
          </cell>
          <cell r="E116">
            <v>10.16</v>
          </cell>
          <cell r="G116">
            <v>11.5</v>
          </cell>
          <cell r="K116">
            <v>7</v>
          </cell>
          <cell r="O116">
            <v>0.99000000000000021</v>
          </cell>
          <cell r="P116">
            <v>1.5206571858163132</v>
          </cell>
          <cell r="R116">
            <v>5</v>
          </cell>
        </row>
        <row r="117">
          <cell r="C117">
            <v>9.0299999999999994</v>
          </cell>
          <cell r="E117">
            <v>10.14</v>
          </cell>
          <cell r="G117">
            <v>11.5</v>
          </cell>
          <cell r="K117">
            <v>7</v>
          </cell>
          <cell r="O117">
            <v>1.1100000000000012</v>
          </cell>
          <cell r="P117">
            <v>1.5206571858163132</v>
          </cell>
          <cell r="R117">
            <v>5.0999999999999996</v>
          </cell>
        </row>
        <row r="118">
          <cell r="C118">
            <v>8.83</v>
          </cell>
          <cell r="E118">
            <v>9.92</v>
          </cell>
          <cell r="G118">
            <v>11.5</v>
          </cell>
          <cell r="K118">
            <v>7</v>
          </cell>
          <cell r="O118">
            <v>1.0899999999999999</v>
          </cell>
          <cell r="P118">
            <v>1.5206571858163132</v>
          </cell>
          <cell r="R118">
            <v>5.4</v>
          </cell>
        </row>
        <row r="119">
          <cell r="C119">
            <v>8.27</v>
          </cell>
          <cell r="E119">
            <v>9.49</v>
          </cell>
          <cell r="G119">
            <v>11.07</v>
          </cell>
          <cell r="K119">
            <v>7</v>
          </cell>
          <cell r="O119">
            <v>1.2200000000000006</v>
          </cell>
          <cell r="P119">
            <v>1.5206571858163132</v>
          </cell>
          <cell r="R119">
            <v>5.2</v>
          </cell>
        </row>
        <row r="120">
          <cell r="C120">
            <v>8.08</v>
          </cell>
          <cell r="E120">
            <v>9.34</v>
          </cell>
          <cell r="G120">
            <v>10.98</v>
          </cell>
          <cell r="K120">
            <v>7</v>
          </cell>
          <cell r="O120">
            <v>1.2599999999999998</v>
          </cell>
          <cell r="P120">
            <v>1.5206571858163132</v>
          </cell>
          <cell r="R120">
            <v>5</v>
          </cell>
        </row>
        <row r="121">
          <cell r="C121">
            <v>8.1199999999999992</v>
          </cell>
          <cell r="E121">
            <v>9.3699999999999992</v>
          </cell>
          <cell r="G121">
            <v>10.5</v>
          </cell>
          <cell r="K121">
            <v>7</v>
          </cell>
          <cell r="O121">
            <v>1.25</v>
          </cell>
          <cell r="P121">
            <v>1.5206571858163132</v>
          </cell>
          <cell r="R121">
            <v>4.7</v>
          </cell>
        </row>
        <row r="122">
          <cell r="C122">
            <v>8.15</v>
          </cell>
          <cell r="E122">
            <v>9.43</v>
          </cell>
          <cell r="G122">
            <v>10.5</v>
          </cell>
          <cell r="K122">
            <v>7</v>
          </cell>
          <cell r="O122">
            <v>1.2799999999999994</v>
          </cell>
          <cell r="P122">
            <v>1.5206571858163132</v>
          </cell>
          <cell r="R122">
            <v>4.3</v>
          </cell>
        </row>
        <row r="123">
          <cell r="C123">
            <v>8</v>
          </cell>
          <cell r="E123">
            <v>9.3699999999999992</v>
          </cell>
          <cell r="G123">
            <v>10.5</v>
          </cell>
          <cell r="K123">
            <v>7</v>
          </cell>
          <cell r="O123">
            <v>1.3699999999999992</v>
          </cell>
          <cell r="P123">
            <v>1.5206571858163132</v>
          </cell>
          <cell r="R123">
            <v>4.5</v>
          </cell>
        </row>
        <row r="124">
          <cell r="C124">
            <v>7.9</v>
          </cell>
          <cell r="E124">
            <v>9.33</v>
          </cell>
          <cell r="G124">
            <v>10.5</v>
          </cell>
          <cell r="K124">
            <v>7</v>
          </cell>
          <cell r="O124">
            <v>1.4299999999999997</v>
          </cell>
          <cell r="P124">
            <v>1.5206571858163132</v>
          </cell>
          <cell r="R124">
            <v>4.7</v>
          </cell>
        </row>
        <row r="125">
          <cell r="C125">
            <v>7.9</v>
          </cell>
          <cell r="E125">
            <v>9.31</v>
          </cell>
          <cell r="G125">
            <v>10.5</v>
          </cell>
          <cell r="K125">
            <v>7</v>
          </cell>
          <cell r="O125">
            <v>1.4100000000000001</v>
          </cell>
          <cell r="P125">
            <v>1.5206571858163132</v>
          </cell>
          <cell r="R125">
            <v>4.5999999999999996</v>
          </cell>
        </row>
        <row r="126">
          <cell r="B126" t="str">
            <v>90</v>
          </cell>
          <cell r="C126">
            <v>8.26</v>
          </cell>
          <cell r="E126">
            <v>9.44</v>
          </cell>
          <cell r="G126">
            <v>10.11</v>
          </cell>
          <cell r="K126">
            <v>7</v>
          </cell>
          <cell r="O126">
            <v>1.1799999999999997</v>
          </cell>
          <cell r="P126">
            <v>1.5206571858163132</v>
          </cell>
          <cell r="R126">
            <v>5.2</v>
          </cell>
        </row>
        <row r="127">
          <cell r="C127">
            <v>8.5</v>
          </cell>
          <cell r="E127">
            <v>9.66</v>
          </cell>
          <cell r="G127">
            <v>10</v>
          </cell>
          <cell r="K127">
            <v>7</v>
          </cell>
          <cell r="O127">
            <v>1.1600000000000001</v>
          </cell>
          <cell r="P127">
            <v>1.5206571858163132</v>
          </cell>
          <cell r="R127">
            <v>5.3</v>
          </cell>
        </row>
        <row r="128">
          <cell r="C128">
            <v>8.56</v>
          </cell>
          <cell r="E128">
            <v>9.75</v>
          </cell>
          <cell r="G128">
            <v>10</v>
          </cell>
          <cell r="K128">
            <v>7</v>
          </cell>
          <cell r="O128">
            <v>1.1899999999999995</v>
          </cell>
          <cell r="P128">
            <v>1.5206571858163132</v>
          </cell>
          <cell r="R128">
            <v>5.2</v>
          </cell>
        </row>
        <row r="129">
          <cell r="C129">
            <v>8.76</v>
          </cell>
          <cell r="E129">
            <v>9.8699999999999992</v>
          </cell>
          <cell r="G129">
            <v>10</v>
          </cell>
          <cell r="K129">
            <v>7</v>
          </cell>
          <cell r="O129">
            <v>1.1099999999999994</v>
          </cell>
          <cell r="P129">
            <v>1.5206571858163132</v>
          </cell>
          <cell r="R129">
            <v>4.7</v>
          </cell>
        </row>
        <row r="130">
          <cell r="C130">
            <v>8.73</v>
          </cell>
          <cell r="E130">
            <v>9.89</v>
          </cell>
          <cell r="G130">
            <v>10</v>
          </cell>
          <cell r="K130">
            <v>7</v>
          </cell>
          <cell r="O130">
            <v>1.1600000000000001</v>
          </cell>
          <cell r="P130">
            <v>1.5206571858163132</v>
          </cell>
          <cell r="R130">
            <v>4.4000000000000004</v>
          </cell>
        </row>
        <row r="131">
          <cell r="C131">
            <v>8.4600000000000009</v>
          </cell>
          <cell r="E131">
            <v>9.69</v>
          </cell>
          <cell r="G131">
            <v>10</v>
          </cell>
          <cell r="K131">
            <v>7</v>
          </cell>
          <cell r="O131">
            <v>1.2299999999999986</v>
          </cell>
          <cell r="P131">
            <v>1.5206571858163132</v>
          </cell>
          <cell r="R131">
            <v>4.7</v>
          </cell>
        </row>
        <row r="132">
          <cell r="C132">
            <v>8.5</v>
          </cell>
          <cell r="E132">
            <v>9.66</v>
          </cell>
          <cell r="G132">
            <v>10</v>
          </cell>
          <cell r="K132">
            <v>7</v>
          </cell>
          <cell r="O132">
            <v>1.1600000000000001</v>
          </cell>
          <cell r="P132">
            <v>1.5206571858163132</v>
          </cell>
          <cell r="R132">
            <v>4.8</v>
          </cell>
        </row>
        <row r="133">
          <cell r="C133">
            <v>8.86</v>
          </cell>
          <cell r="E133">
            <v>9.84</v>
          </cell>
          <cell r="G133">
            <v>10</v>
          </cell>
          <cell r="K133">
            <v>7</v>
          </cell>
          <cell r="O133">
            <v>0.98000000000000043</v>
          </cell>
          <cell r="P133">
            <v>1.5206571858163132</v>
          </cell>
          <cell r="R133">
            <v>5.6</v>
          </cell>
        </row>
        <row r="134">
          <cell r="C134">
            <v>9.0299999999999994</v>
          </cell>
          <cell r="E134">
            <v>10.01</v>
          </cell>
          <cell r="G134">
            <v>10</v>
          </cell>
          <cell r="K134">
            <v>7</v>
          </cell>
          <cell r="O134">
            <v>0.98000000000000043</v>
          </cell>
          <cell r="P134">
            <v>1.5206571858163132</v>
          </cell>
          <cell r="R134">
            <v>6.2</v>
          </cell>
        </row>
        <row r="135">
          <cell r="C135">
            <v>8.86</v>
          </cell>
          <cell r="E135">
            <v>9.94</v>
          </cell>
          <cell r="G135">
            <v>10</v>
          </cell>
          <cell r="K135">
            <v>7</v>
          </cell>
          <cell r="O135">
            <v>1.08</v>
          </cell>
          <cell r="P135">
            <v>1.5206571858163132</v>
          </cell>
          <cell r="R135">
            <v>6.3</v>
          </cell>
        </row>
        <row r="136">
          <cell r="C136">
            <v>8.5399999999999991</v>
          </cell>
          <cell r="E136">
            <v>9.76</v>
          </cell>
          <cell r="G136">
            <v>10</v>
          </cell>
          <cell r="K136">
            <v>7</v>
          </cell>
          <cell r="O136">
            <v>1.2200000000000006</v>
          </cell>
          <cell r="P136">
            <v>1.5206571858163132</v>
          </cell>
          <cell r="R136">
            <v>6.3</v>
          </cell>
        </row>
        <row r="137">
          <cell r="C137">
            <v>8.24</v>
          </cell>
          <cell r="E137">
            <v>9.57</v>
          </cell>
          <cell r="G137">
            <v>10</v>
          </cell>
          <cell r="K137">
            <v>6.5</v>
          </cell>
          <cell r="O137">
            <v>1.33</v>
          </cell>
          <cell r="P137">
            <v>1.5206571858163132</v>
          </cell>
          <cell r="R137">
            <v>6.1</v>
          </cell>
        </row>
        <row r="138">
          <cell r="B138" t="str">
            <v>91</v>
          </cell>
          <cell r="C138">
            <v>8.27</v>
          </cell>
          <cell r="E138">
            <v>9.56</v>
          </cell>
          <cell r="G138">
            <v>9.52</v>
          </cell>
          <cell r="K138">
            <v>6.5</v>
          </cell>
          <cell r="O138">
            <v>1.2900000000000009</v>
          </cell>
          <cell r="P138">
            <v>1.5206571858163132</v>
          </cell>
          <cell r="R138">
            <v>5.7</v>
          </cell>
        </row>
        <row r="139">
          <cell r="C139">
            <v>8.0299999999999994</v>
          </cell>
          <cell r="E139">
            <v>9.31</v>
          </cell>
          <cell r="G139">
            <v>9.0500000000000007</v>
          </cell>
          <cell r="K139">
            <v>6</v>
          </cell>
          <cell r="O139">
            <v>1.2800000000000011</v>
          </cell>
          <cell r="P139">
            <v>1.5206571858163132</v>
          </cell>
          <cell r="R139">
            <v>5.3</v>
          </cell>
        </row>
        <row r="140">
          <cell r="C140">
            <v>8.2899999999999991</v>
          </cell>
          <cell r="E140">
            <v>9.39</v>
          </cell>
          <cell r="G140">
            <v>9</v>
          </cell>
          <cell r="K140">
            <v>6</v>
          </cell>
          <cell r="O140">
            <v>1.1000000000000014</v>
          </cell>
          <cell r="P140">
            <v>1.5206571858163132</v>
          </cell>
          <cell r="R140">
            <v>4.9000000000000004</v>
          </cell>
        </row>
        <row r="141">
          <cell r="C141">
            <v>8.2100000000000009</v>
          </cell>
          <cell r="E141">
            <v>9.3000000000000007</v>
          </cell>
          <cell r="G141">
            <v>9</v>
          </cell>
          <cell r="K141">
            <v>5.5</v>
          </cell>
          <cell r="O141">
            <v>1.0899999999999999</v>
          </cell>
          <cell r="P141">
            <v>1.5206571858163132</v>
          </cell>
          <cell r="R141">
            <v>4.9000000000000004</v>
          </cell>
        </row>
        <row r="142">
          <cell r="C142">
            <v>8.27</v>
          </cell>
          <cell r="E142">
            <v>9.2899999999999991</v>
          </cell>
          <cell r="G142">
            <v>8.5</v>
          </cell>
          <cell r="K142">
            <v>5.5</v>
          </cell>
          <cell r="O142">
            <v>1.0199999999999996</v>
          </cell>
          <cell r="P142">
            <v>1.5206571858163132</v>
          </cell>
          <cell r="R142">
            <v>5</v>
          </cell>
        </row>
        <row r="143">
          <cell r="C143">
            <v>8.4700000000000006</v>
          </cell>
          <cell r="E143">
            <v>9.44</v>
          </cell>
          <cell r="G143">
            <v>8.5</v>
          </cell>
          <cell r="K143">
            <v>5.5</v>
          </cell>
          <cell r="O143">
            <v>0.96999999999999886</v>
          </cell>
          <cell r="P143">
            <v>1.5206571858163132</v>
          </cell>
          <cell r="R143">
            <v>4.7</v>
          </cell>
        </row>
        <row r="144">
          <cell r="C144">
            <v>8.4499999999999993</v>
          </cell>
          <cell r="E144">
            <v>9.4</v>
          </cell>
          <cell r="G144">
            <v>8.5</v>
          </cell>
          <cell r="K144">
            <v>5.5</v>
          </cell>
          <cell r="O144">
            <v>0.95000000000000107</v>
          </cell>
          <cell r="P144">
            <v>1.5206571858163132</v>
          </cell>
          <cell r="R144">
            <v>4.4000000000000004</v>
          </cell>
        </row>
        <row r="145">
          <cell r="C145">
            <v>8.14</v>
          </cell>
          <cell r="E145">
            <v>9.16</v>
          </cell>
          <cell r="G145">
            <v>8.5</v>
          </cell>
          <cell r="K145">
            <v>5.5</v>
          </cell>
          <cell r="O145">
            <v>1.0199999999999996</v>
          </cell>
          <cell r="P145">
            <v>1.5206571858163132</v>
          </cell>
          <cell r="R145">
            <v>3.8</v>
          </cell>
        </row>
        <row r="146">
          <cell r="C146">
            <v>7.95</v>
          </cell>
          <cell r="E146">
            <v>9.0299999999999994</v>
          </cell>
          <cell r="G146">
            <v>8.1999999999999993</v>
          </cell>
          <cell r="K146">
            <v>5</v>
          </cell>
          <cell r="O146">
            <v>1.0799999999999992</v>
          </cell>
          <cell r="P146">
            <v>1.5206571858163132</v>
          </cell>
          <cell r="R146">
            <v>3.4</v>
          </cell>
        </row>
        <row r="147">
          <cell r="C147">
            <v>7.93</v>
          </cell>
          <cell r="E147">
            <v>8.99</v>
          </cell>
          <cell r="G147">
            <v>8</v>
          </cell>
          <cell r="K147">
            <v>5</v>
          </cell>
          <cell r="O147">
            <v>1.0600000000000005</v>
          </cell>
          <cell r="P147">
            <v>1.5206571858163132</v>
          </cell>
          <cell r="R147">
            <v>2.9</v>
          </cell>
        </row>
        <row r="148">
          <cell r="C148">
            <v>7.92</v>
          </cell>
          <cell r="E148">
            <v>8.93</v>
          </cell>
          <cell r="G148">
            <v>7.58</v>
          </cell>
          <cell r="K148">
            <v>5</v>
          </cell>
          <cell r="O148">
            <v>1.0099999999999998</v>
          </cell>
          <cell r="P148">
            <v>1.5206571858163132</v>
          </cell>
          <cell r="R148">
            <v>3</v>
          </cell>
        </row>
        <row r="149">
          <cell r="C149">
            <v>7.7</v>
          </cell>
          <cell r="E149">
            <v>8.76</v>
          </cell>
          <cell r="G149">
            <v>7.21</v>
          </cell>
          <cell r="K149">
            <v>4.5</v>
          </cell>
          <cell r="O149">
            <v>1.0599999999999996</v>
          </cell>
          <cell r="P149">
            <v>1.5206571858163132</v>
          </cell>
          <cell r="R149">
            <v>3.1</v>
          </cell>
        </row>
        <row r="150">
          <cell r="B150" t="str">
            <v>92</v>
          </cell>
          <cell r="C150">
            <v>7.58</v>
          </cell>
          <cell r="E150">
            <v>8.67</v>
          </cell>
          <cell r="G150">
            <v>6.5</v>
          </cell>
          <cell r="K150">
            <v>3.5</v>
          </cell>
          <cell r="O150">
            <v>1.0899999999999999</v>
          </cell>
          <cell r="P150">
            <v>1.5206571858163132</v>
          </cell>
          <cell r="R150">
            <v>2.6</v>
          </cell>
        </row>
        <row r="151">
          <cell r="C151">
            <v>7.85</v>
          </cell>
          <cell r="E151">
            <v>8.77</v>
          </cell>
          <cell r="G151">
            <v>6.5</v>
          </cell>
          <cell r="K151">
            <v>3.5</v>
          </cell>
          <cell r="O151">
            <v>0.91999999999999993</v>
          </cell>
          <cell r="P151">
            <v>1.5206571858163132</v>
          </cell>
          <cell r="R151">
            <v>2.8</v>
          </cell>
        </row>
        <row r="152">
          <cell r="C152">
            <v>7.97</v>
          </cell>
          <cell r="E152">
            <v>8.84</v>
          </cell>
          <cell r="G152">
            <v>6.5</v>
          </cell>
          <cell r="K152">
            <v>3.5</v>
          </cell>
          <cell r="O152">
            <v>0.87000000000000011</v>
          </cell>
          <cell r="P152">
            <v>1.5206571858163132</v>
          </cell>
          <cell r="R152">
            <v>3.2</v>
          </cell>
        </row>
        <row r="153">
          <cell r="C153">
            <v>7.96</v>
          </cell>
          <cell r="E153">
            <v>8.7899999999999991</v>
          </cell>
          <cell r="G153">
            <v>6.5</v>
          </cell>
          <cell r="K153">
            <v>3.5</v>
          </cell>
          <cell r="O153">
            <v>0.82999999999999918</v>
          </cell>
          <cell r="P153">
            <v>1.5206571858163132</v>
          </cell>
          <cell r="R153">
            <v>3.2</v>
          </cell>
        </row>
        <row r="154">
          <cell r="C154">
            <v>7.89</v>
          </cell>
          <cell r="E154">
            <v>8.7200000000000006</v>
          </cell>
          <cell r="G154">
            <v>6.5</v>
          </cell>
          <cell r="K154">
            <v>3.5</v>
          </cell>
          <cell r="O154">
            <v>0.83000000000000096</v>
          </cell>
          <cell r="P154">
            <v>1.5206571858163132</v>
          </cell>
          <cell r="R154">
            <v>3</v>
          </cell>
        </row>
        <row r="155">
          <cell r="C155">
            <v>7.84</v>
          </cell>
          <cell r="E155">
            <v>8.64</v>
          </cell>
          <cell r="G155">
            <v>6.5</v>
          </cell>
          <cell r="K155">
            <v>3.5</v>
          </cell>
          <cell r="O155">
            <v>0.80000000000000071</v>
          </cell>
          <cell r="P155">
            <v>1.5206571858163132</v>
          </cell>
          <cell r="R155">
            <v>3.1</v>
          </cell>
        </row>
        <row r="156">
          <cell r="C156">
            <v>7.6</v>
          </cell>
          <cell r="E156">
            <v>8.4600000000000009</v>
          </cell>
          <cell r="G156">
            <v>6.02</v>
          </cell>
          <cell r="K156">
            <v>3</v>
          </cell>
          <cell r="O156">
            <v>0.86000000000000121</v>
          </cell>
          <cell r="P156">
            <v>1.5206571858163132</v>
          </cell>
          <cell r="R156">
            <v>3.2</v>
          </cell>
        </row>
        <row r="157">
          <cell r="C157">
            <v>7.39</v>
          </cell>
          <cell r="E157">
            <v>8.34</v>
          </cell>
          <cell r="G157">
            <v>6</v>
          </cell>
          <cell r="K157">
            <v>3</v>
          </cell>
          <cell r="O157">
            <v>0.95000000000000018</v>
          </cell>
          <cell r="P157">
            <v>1.5206571858163132</v>
          </cell>
          <cell r="R157">
            <v>3.1</v>
          </cell>
        </row>
        <row r="158">
          <cell r="C158">
            <v>7.34</v>
          </cell>
          <cell r="E158">
            <v>8.32</v>
          </cell>
          <cell r="G158">
            <v>6</v>
          </cell>
          <cell r="K158">
            <v>3</v>
          </cell>
          <cell r="O158">
            <v>0.98000000000000043</v>
          </cell>
          <cell r="P158">
            <v>1.5206571858163132</v>
          </cell>
          <cell r="R158">
            <v>3</v>
          </cell>
        </row>
        <row r="159">
          <cell r="C159">
            <v>7.53</v>
          </cell>
          <cell r="E159">
            <v>8.44</v>
          </cell>
          <cell r="G159">
            <v>6</v>
          </cell>
          <cell r="K159">
            <v>3</v>
          </cell>
          <cell r="O159">
            <v>0.90999999999999925</v>
          </cell>
          <cell r="P159">
            <v>1.5206571858163132</v>
          </cell>
          <cell r="R159">
            <v>3.2</v>
          </cell>
        </row>
        <row r="160">
          <cell r="C160">
            <v>7.61</v>
          </cell>
          <cell r="E160">
            <v>8.5299999999999994</v>
          </cell>
          <cell r="G160">
            <v>6</v>
          </cell>
          <cell r="K160">
            <v>3</v>
          </cell>
          <cell r="O160">
            <v>0.91999999999999904</v>
          </cell>
          <cell r="P160">
            <v>1.5206571858163132</v>
          </cell>
          <cell r="R160">
            <v>3</v>
          </cell>
        </row>
        <row r="161">
          <cell r="C161">
            <v>7.44</v>
          </cell>
          <cell r="E161">
            <v>8.36</v>
          </cell>
          <cell r="G161">
            <v>6</v>
          </cell>
          <cell r="K161">
            <v>3</v>
          </cell>
          <cell r="O161">
            <v>0.91999999999999904</v>
          </cell>
          <cell r="P161">
            <v>1.5206571858163132</v>
          </cell>
          <cell r="R161">
            <v>2.9</v>
          </cell>
        </row>
        <row r="162">
          <cell r="B162" t="str">
            <v>93</v>
          </cell>
          <cell r="C162">
            <v>7.34</v>
          </cell>
          <cell r="E162">
            <v>8.23</v>
          </cell>
          <cell r="G162">
            <v>6</v>
          </cell>
          <cell r="K162">
            <v>3</v>
          </cell>
          <cell r="O162">
            <v>0.89000000000000057</v>
          </cell>
          <cell r="P162">
            <v>1.5206571858163132</v>
          </cell>
          <cell r="R162">
            <v>3.3</v>
          </cell>
        </row>
        <row r="163">
          <cell r="C163">
            <v>7.09</v>
          </cell>
          <cell r="E163">
            <v>8</v>
          </cell>
          <cell r="G163">
            <v>6</v>
          </cell>
          <cell r="K163">
            <v>3</v>
          </cell>
          <cell r="O163">
            <v>0.91000000000000014</v>
          </cell>
          <cell r="P163">
            <v>1.5206571858163132</v>
          </cell>
          <cell r="R163">
            <v>3.2</v>
          </cell>
        </row>
        <row r="164">
          <cell r="C164">
            <v>6.82</v>
          </cell>
          <cell r="E164">
            <v>7.85</v>
          </cell>
          <cell r="G164">
            <v>6</v>
          </cell>
          <cell r="K164">
            <v>3</v>
          </cell>
          <cell r="O164">
            <v>1.0299999999999994</v>
          </cell>
          <cell r="P164">
            <v>1.5206571858163132</v>
          </cell>
          <cell r="R164">
            <v>3.1</v>
          </cell>
        </row>
        <row r="165">
          <cell r="C165">
            <v>6.85</v>
          </cell>
          <cell r="E165">
            <v>7.76</v>
          </cell>
          <cell r="G165">
            <v>6</v>
          </cell>
          <cell r="K165">
            <v>3</v>
          </cell>
          <cell r="O165">
            <v>0.91000000000000014</v>
          </cell>
          <cell r="P165">
            <v>1.5206571858163132</v>
          </cell>
          <cell r="R165">
            <v>3.2</v>
          </cell>
        </row>
        <row r="166">
          <cell r="C166">
            <v>6.92</v>
          </cell>
          <cell r="E166">
            <v>7.78</v>
          </cell>
          <cell r="G166">
            <v>6</v>
          </cell>
          <cell r="K166">
            <v>3</v>
          </cell>
          <cell r="O166">
            <v>0.86000000000000032</v>
          </cell>
          <cell r="P166">
            <v>1.5206571858163132</v>
          </cell>
          <cell r="R166">
            <v>3.2</v>
          </cell>
        </row>
        <row r="167">
          <cell r="C167">
            <v>6.81</v>
          </cell>
          <cell r="E167">
            <v>7.68</v>
          </cell>
          <cell r="G167">
            <v>6</v>
          </cell>
          <cell r="K167">
            <v>3</v>
          </cell>
          <cell r="O167">
            <v>0.87000000000000011</v>
          </cell>
          <cell r="P167">
            <v>1.5206571858163132</v>
          </cell>
          <cell r="R167">
            <v>3</v>
          </cell>
        </row>
        <row r="168">
          <cell r="C168">
            <v>6.63</v>
          </cell>
          <cell r="E168">
            <v>7.53</v>
          </cell>
          <cell r="G168">
            <v>6</v>
          </cell>
          <cell r="K168">
            <v>3</v>
          </cell>
          <cell r="O168">
            <v>0.90000000000000036</v>
          </cell>
          <cell r="P168">
            <v>1.5206571858163132</v>
          </cell>
          <cell r="R168">
            <v>2.8</v>
          </cell>
        </row>
        <row r="169">
          <cell r="C169">
            <v>6.32</v>
          </cell>
          <cell r="E169">
            <v>7.21</v>
          </cell>
          <cell r="G169">
            <v>6</v>
          </cell>
          <cell r="K169">
            <v>3</v>
          </cell>
          <cell r="O169">
            <v>0.88999999999999968</v>
          </cell>
          <cell r="P169">
            <v>1.5206571858163132</v>
          </cell>
          <cell r="R169">
            <v>2.8</v>
          </cell>
        </row>
        <row r="170">
          <cell r="C170">
            <v>6</v>
          </cell>
          <cell r="E170">
            <v>7.01</v>
          </cell>
          <cell r="G170">
            <v>6</v>
          </cell>
          <cell r="K170">
            <v>3</v>
          </cell>
          <cell r="O170">
            <v>1.0099999999999998</v>
          </cell>
          <cell r="P170">
            <v>1.5206571858163132</v>
          </cell>
          <cell r="R170">
            <v>2.7</v>
          </cell>
        </row>
        <row r="171">
          <cell r="C171">
            <v>5.94</v>
          </cell>
          <cell r="E171">
            <v>6.99</v>
          </cell>
          <cell r="G171">
            <v>6</v>
          </cell>
          <cell r="K171">
            <v>3</v>
          </cell>
          <cell r="O171">
            <v>1.0499999999999998</v>
          </cell>
          <cell r="P171">
            <v>1.5206571858163132</v>
          </cell>
          <cell r="R171">
            <v>2.8</v>
          </cell>
        </row>
        <row r="172">
          <cell r="C172">
            <v>6.21</v>
          </cell>
          <cell r="E172">
            <v>7.3</v>
          </cell>
          <cell r="G172">
            <v>6</v>
          </cell>
          <cell r="K172">
            <v>3</v>
          </cell>
          <cell r="O172">
            <v>1.0899999999999999</v>
          </cell>
          <cell r="P172">
            <v>1.5206571858163132</v>
          </cell>
          <cell r="R172">
            <v>2.7</v>
          </cell>
        </row>
        <row r="173">
          <cell r="C173">
            <v>6.25</v>
          </cell>
          <cell r="E173">
            <v>7.33</v>
          </cell>
          <cell r="G173">
            <v>6</v>
          </cell>
          <cell r="K173">
            <v>3</v>
          </cell>
          <cell r="O173">
            <v>1.08</v>
          </cell>
          <cell r="P173">
            <v>1.5206571858163132</v>
          </cell>
          <cell r="R173">
            <v>2.7</v>
          </cell>
        </row>
        <row r="174">
          <cell r="B174" t="str">
            <v>94</v>
          </cell>
          <cell r="C174">
            <v>6.29</v>
          </cell>
          <cell r="E174">
            <v>7.31</v>
          </cell>
          <cell r="G174">
            <v>6</v>
          </cell>
          <cell r="K174">
            <v>3</v>
          </cell>
          <cell r="O174">
            <v>1.0199999999999996</v>
          </cell>
          <cell r="P174">
            <v>1.5206571858163132</v>
          </cell>
          <cell r="R174">
            <v>2.5</v>
          </cell>
        </row>
        <row r="175">
          <cell r="C175">
            <v>6.49</v>
          </cell>
          <cell r="E175">
            <v>7.44</v>
          </cell>
          <cell r="G175">
            <v>6</v>
          </cell>
          <cell r="K175">
            <v>3</v>
          </cell>
          <cell r="O175">
            <v>0.95000000000000018</v>
          </cell>
          <cell r="P175">
            <v>1.5206571858163132</v>
          </cell>
          <cell r="R175">
            <v>2.5</v>
          </cell>
        </row>
        <row r="176">
          <cell r="C176">
            <v>6.91</v>
          </cell>
          <cell r="E176">
            <v>7.83</v>
          </cell>
          <cell r="G176">
            <v>6.06</v>
          </cell>
          <cell r="K176">
            <v>3</v>
          </cell>
          <cell r="O176">
            <v>0.91999999999999993</v>
          </cell>
          <cell r="P176">
            <v>1.5206571858163132</v>
          </cell>
          <cell r="R176">
            <v>2.5</v>
          </cell>
        </row>
        <row r="177">
          <cell r="C177">
            <v>7.27</v>
          </cell>
          <cell r="E177">
            <v>8.1999999999999993</v>
          </cell>
          <cell r="G177">
            <v>6.45</v>
          </cell>
          <cell r="K177">
            <v>3</v>
          </cell>
          <cell r="O177">
            <v>0.92999999999999972</v>
          </cell>
          <cell r="P177">
            <v>1.5206571858163132</v>
          </cell>
          <cell r="R177">
            <v>2.4</v>
          </cell>
        </row>
        <row r="178">
          <cell r="C178">
            <v>7.41</v>
          </cell>
          <cell r="E178">
            <v>8.32</v>
          </cell>
          <cell r="G178">
            <v>6.99</v>
          </cell>
          <cell r="K178">
            <v>3</v>
          </cell>
          <cell r="O178">
            <v>0.91000000000000014</v>
          </cell>
          <cell r="P178">
            <v>1.5206571858163132</v>
          </cell>
          <cell r="R178">
            <v>2.2999999999999998</v>
          </cell>
        </row>
        <row r="179">
          <cell r="C179">
            <v>7.4</v>
          </cell>
          <cell r="E179">
            <v>8.31</v>
          </cell>
          <cell r="G179">
            <v>7.25</v>
          </cell>
          <cell r="K179">
            <v>3.5</v>
          </cell>
          <cell r="O179">
            <v>0.91000000000000014</v>
          </cell>
          <cell r="P179">
            <v>1.5206571858163132</v>
          </cell>
          <cell r="R179">
            <v>2.5</v>
          </cell>
        </row>
        <row r="180">
          <cell r="C180">
            <v>7.58</v>
          </cell>
          <cell r="E180">
            <v>8.4700000000000006</v>
          </cell>
          <cell r="G180">
            <v>7.25</v>
          </cell>
          <cell r="K180">
            <v>3.5</v>
          </cell>
          <cell r="O180">
            <v>0.89000000000000057</v>
          </cell>
          <cell r="P180">
            <v>1.5206571858163132</v>
          </cell>
          <cell r="R180">
            <v>2.9</v>
          </cell>
        </row>
        <row r="181">
          <cell r="C181">
            <v>7.49</v>
          </cell>
          <cell r="E181">
            <v>8.41</v>
          </cell>
          <cell r="G181">
            <v>7.51</v>
          </cell>
          <cell r="K181">
            <v>3.5</v>
          </cell>
          <cell r="O181">
            <v>0.91999999999999993</v>
          </cell>
          <cell r="P181">
            <v>1.5206571858163132</v>
          </cell>
          <cell r="R181">
            <v>3</v>
          </cell>
        </row>
        <row r="182">
          <cell r="C182">
            <v>7.71</v>
          </cell>
          <cell r="E182">
            <v>8.65</v>
          </cell>
          <cell r="G182">
            <v>7.75</v>
          </cell>
          <cell r="K182">
            <v>4</v>
          </cell>
          <cell r="O182">
            <v>0.94000000000000039</v>
          </cell>
          <cell r="P182">
            <v>1.5206571858163132</v>
          </cell>
          <cell r="R182">
            <v>2.6</v>
          </cell>
        </row>
        <row r="183">
          <cell r="C183">
            <v>7.94</v>
          </cell>
          <cell r="E183">
            <v>8.8800000000000008</v>
          </cell>
          <cell r="G183">
            <v>7.75</v>
          </cell>
          <cell r="K183">
            <v>4</v>
          </cell>
          <cell r="O183">
            <v>0.94000000000000039</v>
          </cell>
          <cell r="P183">
            <v>1.5206571858163132</v>
          </cell>
          <cell r="R183">
            <v>2.7</v>
          </cell>
        </row>
        <row r="184">
          <cell r="C184">
            <v>8.08</v>
          </cell>
          <cell r="E184">
            <v>9</v>
          </cell>
          <cell r="G184">
            <v>8.15</v>
          </cell>
          <cell r="K184">
            <v>4.75</v>
          </cell>
          <cell r="O184">
            <v>0.91999999999999993</v>
          </cell>
          <cell r="P184">
            <v>1.5206571858163132</v>
          </cell>
          <cell r="R184">
            <v>2.7</v>
          </cell>
        </row>
        <row r="185">
          <cell r="C185">
            <v>7.87</v>
          </cell>
          <cell r="E185">
            <v>8.7899999999999991</v>
          </cell>
          <cell r="G185">
            <v>8.5</v>
          </cell>
          <cell r="K185">
            <v>4.75</v>
          </cell>
          <cell r="O185">
            <v>0.91999999999999904</v>
          </cell>
          <cell r="P185">
            <v>1.5206571858163132</v>
          </cell>
          <cell r="R185">
            <v>2.8</v>
          </cell>
        </row>
        <row r="186">
          <cell r="B186" t="str">
            <v>95</v>
          </cell>
          <cell r="C186">
            <v>7.85</v>
          </cell>
          <cell r="E186">
            <v>8.77</v>
          </cell>
          <cell r="G186">
            <v>8.5</v>
          </cell>
          <cell r="K186">
            <v>4.75</v>
          </cell>
          <cell r="O186">
            <v>0.91999999999999993</v>
          </cell>
          <cell r="P186">
            <v>1.5206571858163132</v>
          </cell>
          <cell r="R186">
            <v>2.9</v>
          </cell>
        </row>
        <row r="187">
          <cell r="C187">
            <v>7.61</v>
          </cell>
          <cell r="E187">
            <v>8.56</v>
          </cell>
          <cell r="G187">
            <v>9</v>
          </cell>
          <cell r="K187">
            <v>5.25</v>
          </cell>
          <cell r="O187">
            <v>0.95000000000000018</v>
          </cell>
          <cell r="P187">
            <v>1.5206571858163132</v>
          </cell>
          <cell r="R187">
            <v>2.9</v>
          </cell>
        </row>
        <row r="188">
          <cell r="C188">
            <v>7.45</v>
          </cell>
          <cell r="E188">
            <v>8.41</v>
          </cell>
          <cell r="G188">
            <v>9</v>
          </cell>
          <cell r="K188">
            <v>5.25</v>
          </cell>
          <cell r="O188">
            <v>0.96</v>
          </cell>
          <cell r="P188">
            <v>1.5206571858163132</v>
          </cell>
          <cell r="R188">
            <v>3.1</v>
          </cell>
        </row>
        <row r="189">
          <cell r="C189">
            <v>7.36</v>
          </cell>
          <cell r="E189">
            <v>8.3000000000000007</v>
          </cell>
          <cell r="G189">
            <v>9</v>
          </cell>
          <cell r="K189">
            <v>5.25</v>
          </cell>
          <cell r="O189">
            <v>0.94000000000000039</v>
          </cell>
          <cell r="P189">
            <v>1.5206571858163132</v>
          </cell>
          <cell r="R189">
            <v>2.4</v>
          </cell>
        </row>
        <row r="190">
          <cell r="C190">
            <v>6.95</v>
          </cell>
          <cell r="E190">
            <v>7.93</v>
          </cell>
          <cell r="G190">
            <v>9</v>
          </cell>
          <cell r="K190">
            <v>5.25</v>
          </cell>
          <cell r="O190">
            <v>0.97999999999999954</v>
          </cell>
          <cell r="P190">
            <v>1.5206571858163132</v>
          </cell>
          <cell r="R190">
            <v>3.2</v>
          </cell>
        </row>
        <row r="191">
          <cell r="C191">
            <v>6.57</v>
          </cell>
          <cell r="E191">
            <v>7.62</v>
          </cell>
          <cell r="G191">
            <v>9</v>
          </cell>
          <cell r="K191">
            <v>5.25</v>
          </cell>
          <cell r="O191">
            <v>1.0499999999999998</v>
          </cell>
          <cell r="P191">
            <v>1.5206571858163132</v>
          </cell>
          <cell r="R191">
            <v>3</v>
          </cell>
        </row>
        <row r="192">
          <cell r="C192">
            <v>6.72</v>
          </cell>
          <cell r="E192">
            <v>7.73</v>
          </cell>
          <cell r="G192">
            <v>8.8000000000000007</v>
          </cell>
          <cell r="K192">
            <v>5.25</v>
          </cell>
          <cell r="O192">
            <v>1.0100000000000007</v>
          </cell>
          <cell r="P192">
            <v>1.5206571858163132</v>
          </cell>
          <cell r="R192">
            <v>2.8</v>
          </cell>
        </row>
        <row r="193">
          <cell r="C193">
            <v>6.86</v>
          </cell>
          <cell r="E193">
            <v>7.86</v>
          </cell>
          <cell r="G193">
            <v>8.75</v>
          </cell>
          <cell r="K193">
            <v>5.25</v>
          </cell>
          <cell r="O193">
            <v>1</v>
          </cell>
          <cell r="P193">
            <v>1.5206571858163132</v>
          </cell>
          <cell r="R193">
            <v>2.6</v>
          </cell>
        </row>
        <row r="194">
          <cell r="C194">
            <v>6.55</v>
          </cell>
          <cell r="E194">
            <v>7.62</v>
          </cell>
          <cell r="G194">
            <v>8.75</v>
          </cell>
          <cell r="K194">
            <v>5.25</v>
          </cell>
          <cell r="O194">
            <v>1.0700000000000003</v>
          </cell>
          <cell r="P194">
            <v>1.5206571858163132</v>
          </cell>
          <cell r="R194">
            <v>2.5</v>
          </cell>
        </row>
        <row r="195">
          <cell r="C195">
            <v>6.37</v>
          </cell>
          <cell r="E195">
            <v>7.46</v>
          </cell>
          <cell r="G195">
            <v>8.75</v>
          </cell>
          <cell r="K195">
            <v>5.25</v>
          </cell>
          <cell r="O195">
            <v>1.0899999999999999</v>
          </cell>
          <cell r="P195">
            <v>1.5206571858163132</v>
          </cell>
          <cell r="R195">
            <v>2.8</v>
          </cell>
        </row>
        <row r="196">
          <cell r="C196">
            <v>6.26</v>
          </cell>
          <cell r="E196">
            <v>7.4</v>
          </cell>
          <cell r="G196">
            <v>8.75</v>
          </cell>
          <cell r="K196">
            <v>5.25</v>
          </cell>
          <cell r="O196">
            <v>1.1400000000000006</v>
          </cell>
          <cell r="P196">
            <v>1.5206571858163132</v>
          </cell>
          <cell r="R196">
            <v>2.6</v>
          </cell>
        </row>
        <row r="197">
          <cell r="C197">
            <v>6.06</v>
          </cell>
          <cell r="E197">
            <v>7.21</v>
          </cell>
          <cell r="G197">
            <v>8.65</v>
          </cell>
          <cell r="K197">
            <v>5.25</v>
          </cell>
          <cell r="O197">
            <v>1.1500000000000004</v>
          </cell>
          <cell r="P197">
            <v>1.5206571858163132</v>
          </cell>
          <cell r="R197">
            <v>2.5</v>
          </cell>
        </row>
        <row r="198">
          <cell r="B198" t="str">
            <v>96</v>
          </cell>
          <cell r="C198">
            <v>6.05</v>
          </cell>
          <cell r="E198">
            <v>7.2</v>
          </cell>
          <cell r="G198">
            <v>8.5</v>
          </cell>
          <cell r="K198">
            <v>5.25</v>
          </cell>
          <cell r="O198">
            <v>1.1500000000000004</v>
          </cell>
          <cell r="P198">
            <v>1.5206571858163132</v>
          </cell>
          <cell r="R198">
            <v>2.7</v>
          </cell>
        </row>
        <row r="199">
          <cell r="C199">
            <v>6.24</v>
          </cell>
          <cell r="E199">
            <v>7.37</v>
          </cell>
          <cell r="G199">
            <v>8.25</v>
          </cell>
          <cell r="K199">
            <v>5</v>
          </cell>
          <cell r="O199">
            <v>1.1299999999999999</v>
          </cell>
          <cell r="P199">
            <v>1.5206571858163132</v>
          </cell>
          <cell r="R199">
            <v>2.7</v>
          </cell>
        </row>
        <row r="200">
          <cell r="C200">
            <v>6.6</v>
          </cell>
          <cell r="E200">
            <v>7.72</v>
          </cell>
          <cell r="G200">
            <v>8.25</v>
          </cell>
          <cell r="K200">
            <v>5</v>
          </cell>
          <cell r="O200">
            <v>1.1200000000000001</v>
          </cell>
          <cell r="P200">
            <v>1.5206571858163132</v>
          </cell>
          <cell r="R200">
            <v>2.8</v>
          </cell>
        </row>
        <row r="201">
          <cell r="C201">
            <v>6.79</v>
          </cell>
          <cell r="E201">
            <v>7.88</v>
          </cell>
          <cell r="G201">
            <v>8.25</v>
          </cell>
          <cell r="K201">
            <v>5</v>
          </cell>
          <cell r="O201">
            <v>1.0899999999999999</v>
          </cell>
          <cell r="P201">
            <v>1.5206571858163132</v>
          </cell>
          <cell r="R201">
            <v>2.9</v>
          </cell>
        </row>
        <row r="202">
          <cell r="C202">
            <v>6.93</v>
          </cell>
          <cell r="E202">
            <v>7.99</v>
          </cell>
          <cell r="G202">
            <v>8.25</v>
          </cell>
          <cell r="K202">
            <v>5</v>
          </cell>
          <cell r="O202">
            <v>1.0600000000000005</v>
          </cell>
          <cell r="P202">
            <v>1.5206571858163132</v>
          </cell>
          <cell r="R202">
            <v>2.9</v>
          </cell>
        </row>
        <row r="203">
          <cell r="C203">
            <v>7.06</v>
          </cell>
          <cell r="E203">
            <v>8.07</v>
          </cell>
          <cell r="G203">
            <v>8.25</v>
          </cell>
          <cell r="K203">
            <v>5</v>
          </cell>
          <cell r="O203">
            <v>1.0100000000000007</v>
          </cell>
          <cell r="P203">
            <v>1.5206571858163132</v>
          </cell>
          <cell r="R203">
            <v>2.8</v>
          </cell>
        </row>
        <row r="204">
          <cell r="C204">
            <v>7.03</v>
          </cell>
          <cell r="E204">
            <v>8.02</v>
          </cell>
          <cell r="G204">
            <v>8.25</v>
          </cell>
          <cell r="K204">
            <v>5</v>
          </cell>
          <cell r="O204">
            <v>0.98999999999999932</v>
          </cell>
          <cell r="P204">
            <v>1.5206571858163132</v>
          </cell>
          <cell r="R204">
            <v>3</v>
          </cell>
        </row>
        <row r="205">
          <cell r="C205">
            <v>6.84</v>
          </cell>
          <cell r="E205">
            <v>7.84</v>
          </cell>
          <cell r="G205">
            <v>8.25</v>
          </cell>
          <cell r="K205">
            <v>5</v>
          </cell>
          <cell r="O205">
            <v>1</v>
          </cell>
          <cell r="P205">
            <v>1.5206571858163132</v>
          </cell>
          <cell r="R205">
            <v>2.9</v>
          </cell>
        </row>
        <row r="206">
          <cell r="C206">
            <v>7.03</v>
          </cell>
          <cell r="E206">
            <v>8.01</v>
          </cell>
          <cell r="G206">
            <v>8.25</v>
          </cell>
          <cell r="K206">
            <v>5</v>
          </cell>
          <cell r="O206">
            <v>0.97999999999999954</v>
          </cell>
          <cell r="P206">
            <v>1.5206571858163132</v>
          </cell>
          <cell r="R206">
            <v>3</v>
          </cell>
        </row>
        <row r="207">
          <cell r="C207">
            <v>6.81</v>
          </cell>
          <cell r="E207">
            <v>7.76</v>
          </cell>
          <cell r="G207">
            <v>8.25</v>
          </cell>
          <cell r="K207">
            <v>5</v>
          </cell>
          <cell r="O207">
            <v>0.95000000000000018</v>
          </cell>
          <cell r="P207">
            <v>1.5206571858163132</v>
          </cell>
          <cell r="R207">
            <v>3</v>
          </cell>
        </row>
        <row r="208">
          <cell r="C208">
            <v>6.48</v>
          </cell>
          <cell r="E208">
            <v>7.48</v>
          </cell>
          <cell r="G208">
            <v>8.25</v>
          </cell>
          <cell r="K208">
            <v>5</v>
          </cell>
          <cell r="O208">
            <v>1</v>
          </cell>
          <cell r="P208">
            <v>1.5206571858163132</v>
          </cell>
          <cell r="R208">
            <v>3.3</v>
          </cell>
        </row>
        <row r="209">
          <cell r="C209">
            <v>6.55</v>
          </cell>
          <cell r="E209">
            <v>7.58</v>
          </cell>
          <cell r="G209">
            <v>8.25</v>
          </cell>
          <cell r="K209">
            <v>5</v>
          </cell>
          <cell r="O209">
            <v>1.0300000000000002</v>
          </cell>
          <cell r="P209">
            <v>1.5206571858163132</v>
          </cell>
          <cell r="R209">
            <v>3.3</v>
          </cell>
        </row>
        <row r="210">
          <cell r="B210" t="str">
            <v>97</v>
          </cell>
          <cell r="C210">
            <v>6.83</v>
          </cell>
          <cell r="E210">
            <v>7.79</v>
          </cell>
          <cell r="G210">
            <v>8.25</v>
          </cell>
          <cell r="K210">
            <v>5</v>
          </cell>
          <cell r="O210">
            <v>0.96</v>
          </cell>
          <cell r="P210">
            <v>1.5206571858163132</v>
          </cell>
          <cell r="R210">
            <v>3</v>
          </cell>
        </row>
        <row r="211">
          <cell r="C211">
            <v>6.69</v>
          </cell>
          <cell r="E211">
            <v>7.68</v>
          </cell>
          <cell r="G211">
            <v>8.25</v>
          </cell>
          <cell r="K211">
            <v>5</v>
          </cell>
          <cell r="O211">
            <v>0.98999999999999932</v>
          </cell>
          <cell r="P211">
            <v>1.5206571858163132</v>
          </cell>
          <cell r="R211">
            <v>3</v>
          </cell>
        </row>
        <row r="212">
          <cell r="C212">
            <v>6.93</v>
          </cell>
          <cell r="E212">
            <v>7.92</v>
          </cell>
          <cell r="G212">
            <v>8.3000000000000007</v>
          </cell>
          <cell r="K212">
            <v>5</v>
          </cell>
          <cell r="O212">
            <v>0.99000000000000021</v>
          </cell>
          <cell r="P212">
            <v>1.5206571858163132</v>
          </cell>
          <cell r="R212">
            <v>2.8</v>
          </cell>
        </row>
        <row r="213">
          <cell r="C213">
            <v>7.09</v>
          </cell>
          <cell r="E213">
            <v>8.08</v>
          </cell>
          <cell r="G213">
            <v>8.5</v>
          </cell>
          <cell r="K213">
            <v>5</v>
          </cell>
          <cell r="O213">
            <v>0.99000000000000021</v>
          </cell>
          <cell r="P213">
            <v>1.5206571858163132</v>
          </cell>
          <cell r="R213">
            <v>2.5</v>
          </cell>
        </row>
        <row r="214">
          <cell r="C214">
            <v>6.94</v>
          </cell>
          <cell r="E214">
            <v>7.94</v>
          </cell>
          <cell r="G214">
            <v>8.5</v>
          </cell>
          <cell r="K214">
            <v>5</v>
          </cell>
          <cell r="O214">
            <v>1</v>
          </cell>
          <cell r="P214">
            <v>1.5206571858163132</v>
          </cell>
          <cell r="R214">
            <v>2.2000000000000002</v>
          </cell>
        </row>
        <row r="215">
          <cell r="C215">
            <v>6.77</v>
          </cell>
          <cell r="E215">
            <v>7.77</v>
          </cell>
          <cell r="G215">
            <v>8.5</v>
          </cell>
          <cell r="K215">
            <v>5</v>
          </cell>
          <cell r="O215">
            <v>1</v>
          </cell>
          <cell r="P215">
            <v>1.5206571858163132</v>
          </cell>
          <cell r="R215">
            <v>2.2999999999999998</v>
          </cell>
        </row>
        <row r="216">
          <cell r="C216">
            <v>6.51</v>
          </cell>
          <cell r="E216">
            <v>7.52</v>
          </cell>
          <cell r="G216">
            <v>8.5</v>
          </cell>
          <cell r="K216">
            <v>5</v>
          </cell>
          <cell r="O216">
            <v>1.0099999999999998</v>
          </cell>
          <cell r="P216">
            <v>1.5206571858163132</v>
          </cell>
          <cell r="R216">
            <v>2.2000000000000002</v>
          </cell>
        </row>
        <row r="217">
          <cell r="C217">
            <v>6.58</v>
          </cell>
          <cell r="E217">
            <v>7.57</v>
          </cell>
          <cell r="G217">
            <v>8.5</v>
          </cell>
          <cell r="K217">
            <v>5</v>
          </cell>
          <cell r="O217">
            <v>0.99000000000000021</v>
          </cell>
          <cell r="P217">
            <v>1.5206571858163132</v>
          </cell>
          <cell r="R217">
            <v>2.2000000000000002</v>
          </cell>
        </row>
        <row r="218">
          <cell r="C218">
            <v>6.5</v>
          </cell>
          <cell r="E218">
            <v>7.5</v>
          </cell>
          <cell r="G218">
            <v>8.5</v>
          </cell>
          <cell r="K218">
            <v>5</v>
          </cell>
          <cell r="O218">
            <v>1</v>
          </cell>
          <cell r="P218">
            <v>1.5206571858163132</v>
          </cell>
          <cell r="R218">
            <v>2.2000000000000002</v>
          </cell>
        </row>
        <row r="219">
          <cell r="C219">
            <v>6.33</v>
          </cell>
          <cell r="E219">
            <v>7.37</v>
          </cell>
          <cell r="G219">
            <v>8.5</v>
          </cell>
          <cell r="K219">
            <v>5</v>
          </cell>
          <cell r="O219">
            <v>1.04</v>
          </cell>
          <cell r="P219">
            <v>1.5206571858163132</v>
          </cell>
          <cell r="R219">
            <v>2.1</v>
          </cell>
        </row>
        <row r="220">
          <cell r="C220">
            <v>6.11</v>
          </cell>
          <cell r="E220">
            <v>7.24</v>
          </cell>
          <cell r="G220">
            <v>8.5</v>
          </cell>
          <cell r="K220">
            <v>5</v>
          </cell>
          <cell r="O220">
            <v>1.1299999999999999</v>
          </cell>
          <cell r="P220">
            <v>1.5206571858163132</v>
          </cell>
          <cell r="R220">
            <v>1.8</v>
          </cell>
        </row>
        <row r="221">
          <cell r="C221">
            <v>5.99</v>
          </cell>
          <cell r="E221">
            <v>7.16</v>
          </cell>
          <cell r="G221">
            <v>8.5</v>
          </cell>
          <cell r="K221">
            <v>5</v>
          </cell>
          <cell r="O221">
            <v>1.17</v>
          </cell>
          <cell r="P221">
            <v>1.5206571858163132</v>
          </cell>
          <cell r="R221">
            <v>1.7</v>
          </cell>
        </row>
        <row r="222">
          <cell r="B222" t="str">
            <v>98</v>
          </cell>
          <cell r="C222">
            <v>5.81</v>
          </cell>
          <cell r="E222">
            <v>7.03</v>
          </cell>
          <cell r="G222">
            <v>8.5</v>
          </cell>
          <cell r="K222">
            <v>5</v>
          </cell>
          <cell r="O222">
            <v>1.2200000000000006</v>
          </cell>
          <cell r="P222">
            <v>1.5206571858163132</v>
          </cell>
          <cell r="R222">
            <v>1.6</v>
          </cell>
        </row>
        <row r="223">
          <cell r="C223">
            <v>5.89</v>
          </cell>
          <cell r="E223">
            <v>7.09</v>
          </cell>
          <cell r="G223">
            <v>8.5</v>
          </cell>
          <cell r="K223">
            <v>5</v>
          </cell>
          <cell r="O223">
            <v>1.2000000000000002</v>
          </cell>
          <cell r="P223">
            <v>1.5206571858163132</v>
          </cell>
          <cell r="R223">
            <v>1.4</v>
          </cell>
        </row>
        <row r="224">
          <cell r="C224">
            <v>5.95</v>
          </cell>
          <cell r="E224">
            <v>7.13</v>
          </cell>
          <cell r="G224">
            <v>8.5</v>
          </cell>
          <cell r="K224">
            <v>5</v>
          </cell>
          <cell r="O224">
            <v>1.1799999999999997</v>
          </cell>
          <cell r="P224">
            <v>1.5206571858163132</v>
          </cell>
          <cell r="R224">
            <v>1.4</v>
          </cell>
        </row>
        <row r="225">
          <cell r="C225">
            <v>5.92</v>
          </cell>
          <cell r="E225">
            <v>7.12</v>
          </cell>
          <cell r="G225">
            <v>8.5</v>
          </cell>
          <cell r="K225">
            <v>5</v>
          </cell>
          <cell r="O225">
            <v>1.2000000000000002</v>
          </cell>
          <cell r="P225">
            <v>1.5206571858163132</v>
          </cell>
          <cell r="R225">
            <v>1.4</v>
          </cell>
        </row>
        <row r="226">
          <cell r="C226">
            <v>5.93</v>
          </cell>
          <cell r="E226">
            <v>7.11</v>
          </cell>
          <cell r="G226">
            <v>8.5</v>
          </cell>
          <cell r="K226">
            <v>5</v>
          </cell>
          <cell r="O226">
            <v>1.1800000000000006</v>
          </cell>
          <cell r="P226">
            <v>1.5206571858163132</v>
          </cell>
          <cell r="R226">
            <v>1.7</v>
          </cell>
        </row>
        <row r="227">
          <cell r="C227">
            <v>5.7</v>
          </cell>
          <cell r="E227">
            <v>6.99</v>
          </cell>
          <cell r="G227">
            <v>8.5</v>
          </cell>
          <cell r="K227">
            <v>5</v>
          </cell>
          <cell r="P227">
            <v>1.5206571858163132</v>
          </cell>
          <cell r="R227">
            <v>1.7</v>
          </cell>
        </row>
        <row r="228">
          <cell r="C228">
            <v>5.68</v>
          </cell>
          <cell r="E228">
            <v>6.99</v>
          </cell>
          <cell r="G228">
            <v>8.5</v>
          </cell>
          <cell r="K228">
            <v>5</v>
          </cell>
          <cell r="P228">
            <v>1.5206571858163132</v>
          </cell>
          <cell r="R228">
            <v>1.7</v>
          </cell>
        </row>
        <row r="229">
          <cell r="C229">
            <v>5.54</v>
          </cell>
          <cell r="E229">
            <v>6.96</v>
          </cell>
          <cell r="G229">
            <v>8.5</v>
          </cell>
          <cell r="P229">
            <v>1.5206571858163132</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oody's Bond Yield Data"/>
      <sheetName val="Discount Rate"/>
      <sheetName val="Discount Chart"/>
      <sheetName val="Prime Rate"/>
      <sheetName val="Prime Chart "/>
      <sheetName val="Inflation"/>
      <sheetName val="Inflation Chart"/>
      <sheetName val="Moody's"/>
      <sheetName val="30 Yr. Bonds"/>
      <sheetName val="Moody's T-Bond Chart"/>
      <sheetName val="Moody's Spread Chart"/>
      <sheetName val="Moody's Baa Bond Yields Chart"/>
    </sheetNames>
    <sheetDataSet>
      <sheetData sheetId="0">
        <row r="30">
          <cell r="B30" t="str">
            <v>82</v>
          </cell>
          <cell r="C30">
            <v>14.22</v>
          </cell>
          <cell r="E30">
            <v>16.73</v>
          </cell>
          <cell r="G30">
            <v>15.75</v>
          </cell>
          <cell r="K30">
            <v>12</v>
          </cell>
          <cell r="O30">
            <v>2.5099999999999998</v>
          </cell>
          <cell r="P30">
            <v>1.5206571858163132</v>
          </cell>
          <cell r="R30">
            <v>8.4</v>
          </cell>
        </row>
        <row r="31">
          <cell r="C31">
            <v>14.22</v>
          </cell>
          <cell r="E31">
            <v>16.72</v>
          </cell>
          <cell r="G31">
            <v>16.559999999999999</v>
          </cell>
          <cell r="K31">
            <v>12</v>
          </cell>
          <cell r="O31">
            <v>2.4999999999999982</v>
          </cell>
          <cell r="P31">
            <v>1.5206571858163132</v>
          </cell>
          <cell r="R31">
            <v>7.6</v>
          </cell>
        </row>
        <row r="32">
          <cell r="C32">
            <v>13.53</v>
          </cell>
          <cell r="E32">
            <v>16.07</v>
          </cell>
          <cell r="G32">
            <v>16.5</v>
          </cell>
          <cell r="K32">
            <v>12</v>
          </cell>
          <cell r="O32">
            <v>2.5400000000000009</v>
          </cell>
          <cell r="P32">
            <v>1.5206571858163132</v>
          </cell>
          <cell r="R32">
            <v>6.8</v>
          </cell>
        </row>
        <row r="33">
          <cell r="C33">
            <v>13.37</v>
          </cell>
          <cell r="E33">
            <v>15.82</v>
          </cell>
          <cell r="G33">
            <v>16.5</v>
          </cell>
          <cell r="K33">
            <v>12</v>
          </cell>
          <cell r="O33">
            <v>2.4500000000000011</v>
          </cell>
          <cell r="P33">
            <v>1.5206571858163132</v>
          </cell>
          <cell r="R33">
            <v>6.5</v>
          </cell>
        </row>
        <row r="34">
          <cell r="C34">
            <v>13.24</v>
          </cell>
          <cell r="E34">
            <v>15.6</v>
          </cell>
          <cell r="G34">
            <v>16.5</v>
          </cell>
          <cell r="K34">
            <v>12</v>
          </cell>
          <cell r="O34">
            <v>2.3599999999999994</v>
          </cell>
          <cell r="P34">
            <v>1.5206571858163132</v>
          </cell>
          <cell r="R34">
            <v>6.7</v>
          </cell>
        </row>
        <row r="35">
          <cell r="C35">
            <v>13.92</v>
          </cell>
          <cell r="E35">
            <v>16.18</v>
          </cell>
          <cell r="G35">
            <v>16.5</v>
          </cell>
          <cell r="K35">
            <v>12</v>
          </cell>
          <cell r="O35">
            <v>2.2599999999999998</v>
          </cell>
          <cell r="P35">
            <v>1.5206571858163132</v>
          </cell>
          <cell r="R35">
            <v>7.1</v>
          </cell>
        </row>
        <row r="36">
          <cell r="C36">
            <v>13.55</v>
          </cell>
          <cell r="E36">
            <v>16.04</v>
          </cell>
          <cell r="G36">
            <v>16.260000000000002</v>
          </cell>
          <cell r="K36">
            <v>11</v>
          </cell>
          <cell r="O36">
            <v>2.4899999999999984</v>
          </cell>
          <cell r="P36">
            <v>1.5206571858163132</v>
          </cell>
          <cell r="R36">
            <v>6.4</v>
          </cell>
        </row>
        <row r="37">
          <cell r="C37">
            <v>12.77</v>
          </cell>
          <cell r="E37">
            <v>15.22</v>
          </cell>
          <cell r="G37">
            <v>14.39</v>
          </cell>
          <cell r="K37">
            <v>10</v>
          </cell>
          <cell r="O37">
            <v>2.4500000000000011</v>
          </cell>
          <cell r="P37">
            <v>1.5206571858163132</v>
          </cell>
          <cell r="R37">
            <v>5.9</v>
          </cell>
        </row>
        <row r="38">
          <cell r="C38">
            <v>12.07</v>
          </cell>
          <cell r="E38">
            <v>14.56</v>
          </cell>
          <cell r="G38">
            <v>13.5</v>
          </cell>
          <cell r="K38">
            <v>9.5</v>
          </cell>
          <cell r="O38">
            <v>2.4900000000000002</v>
          </cell>
          <cell r="P38">
            <v>1.5206571858163132</v>
          </cell>
          <cell r="R38">
            <v>5</v>
          </cell>
        </row>
        <row r="39">
          <cell r="C39">
            <v>11.17</v>
          </cell>
          <cell r="E39">
            <v>13.88</v>
          </cell>
          <cell r="G39">
            <v>12.52</v>
          </cell>
          <cell r="K39">
            <v>9</v>
          </cell>
          <cell r="O39">
            <v>2.7100000000000009</v>
          </cell>
          <cell r="P39">
            <v>1.5206571858163132</v>
          </cell>
          <cell r="R39">
            <v>5.0999999999999996</v>
          </cell>
        </row>
        <row r="40">
          <cell r="C40">
            <v>10.54</v>
          </cell>
          <cell r="E40">
            <v>13.58</v>
          </cell>
          <cell r="G40">
            <v>11.85</v>
          </cell>
          <cell r="K40">
            <v>9</v>
          </cell>
          <cell r="O40">
            <v>3.0400000000000009</v>
          </cell>
          <cell r="P40">
            <v>1.5206571858163132</v>
          </cell>
          <cell r="R40">
            <v>4.5999999999999996</v>
          </cell>
        </row>
        <row r="41">
          <cell r="C41">
            <v>10.54</v>
          </cell>
          <cell r="E41">
            <v>13.55</v>
          </cell>
          <cell r="G41">
            <v>11.5</v>
          </cell>
          <cell r="K41">
            <v>8.5</v>
          </cell>
          <cell r="O41">
            <v>3.0100000000000016</v>
          </cell>
          <cell r="P41">
            <v>1.5206571858163132</v>
          </cell>
          <cell r="R41">
            <v>3.8</v>
          </cell>
        </row>
        <row r="42">
          <cell r="B42" t="str">
            <v>83</v>
          </cell>
          <cell r="C42">
            <v>10.63</v>
          </cell>
          <cell r="E42">
            <v>13.46</v>
          </cell>
          <cell r="G42">
            <v>11.16</v>
          </cell>
          <cell r="K42">
            <v>8.5</v>
          </cell>
          <cell r="O42">
            <v>2.83</v>
          </cell>
          <cell r="P42">
            <v>1.5206571858163132</v>
          </cell>
          <cell r="R42">
            <v>3.7</v>
          </cell>
        </row>
        <row r="43">
          <cell r="C43">
            <v>10.88</v>
          </cell>
          <cell r="E43">
            <v>13.6</v>
          </cell>
          <cell r="G43">
            <v>10.98</v>
          </cell>
          <cell r="K43">
            <v>8.5</v>
          </cell>
          <cell r="O43">
            <v>2.7199999999999989</v>
          </cell>
          <cell r="P43">
            <v>1.5206571858163132</v>
          </cell>
          <cell r="R43">
            <v>3.5</v>
          </cell>
        </row>
        <row r="44">
          <cell r="C44">
            <v>10.63</v>
          </cell>
          <cell r="E44">
            <v>13.28</v>
          </cell>
          <cell r="G44">
            <v>10.5</v>
          </cell>
          <cell r="K44">
            <v>8.5</v>
          </cell>
          <cell r="O44">
            <v>2.6499999999999986</v>
          </cell>
          <cell r="P44">
            <v>1.5206571858163132</v>
          </cell>
          <cell r="R44">
            <v>3.6</v>
          </cell>
        </row>
        <row r="45">
          <cell r="C45">
            <v>10.48</v>
          </cell>
          <cell r="E45">
            <v>13.03</v>
          </cell>
          <cell r="G45">
            <v>10.5</v>
          </cell>
          <cell r="K45">
            <v>8.5</v>
          </cell>
          <cell r="O45">
            <v>2.5499999999999989</v>
          </cell>
          <cell r="P45">
            <v>1.5206571858163132</v>
          </cell>
          <cell r="R45">
            <v>3.9</v>
          </cell>
        </row>
        <row r="46">
          <cell r="C46">
            <v>10.53</v>
          </cell>
          <cell r="E46">
            <v>13</v>
          </cell>
          <cell r="G46">
            <v>10.5</v>
          </cell>
          <cell r="K46">
            <v>8.5</v>
          </cell>
          <cell r="O46">
            <v>2.4700000000000006</v>
          </cell>
          <cell r="P46">
            <v>1.5206571858163132</v>
          </cell>
          <cell r="R46">
            <v>3.5</v>
          </cell>
        </row>
        <row r="47">
          <cell r="C47">
            <v>10.93</v>
          </cell>
          <cell r="E47">
            <v>13.17</v>
          </cell>
          <cell r="G47">
            <v>10.5</v>
          </cell>
          <cell r="K47">
            <v>8.5</v>
          </cell>
          <cell r="O47">
            <v>2.2400000000000002</v>
          </cell>
          <cell r="P47">
            <v>1.5206571858163132</v>
          </cell>
          <cell r="R47">
            <v>2.6</v>
          </cell>
        </row>
        <row r="48">
          <cell r="C48">
            <v>11.4</v>
          </cell>
          <cell r="E48">
            <v>13.28</v>
          </cell>
          <cell r="G48">
            <v>10.5</v>
          </cell>
          <cell r="K48">
            <v>8.5</v>
          </cell>
          <cell r="O48">
            <v>1.879999999999999</v>
          </cell>
          <cell r="P48">
            <v>1.5206571858163132</v>
          </cell>
          <cell r="R48">
            <v>2.5</v>
          </cell>
        </row>
        <row r="49">
          <cell r="C49">
            <v>11.82</v>
          </cell>
          <cell r="E49">
            <v>13.5</v>
          </cell>
          <cell r="G49">
            <v>10.89</v>
          </cell>
          <cell r="K49">
            <v>8.5</v>
          </cell>
          <cell r="O49">
            <v>1.6799999999999997</v>
          </cell>
          <cell r="P49">
            <v>1.5206571858163132</v>
          </cell>
          <cell r="R49">
            <v>2.6</v>
          </cell>
        </row>
        <row r="50">
          <cell r="C50">
            <v>11.63</v>
          </cell>
          <cell r="E50">
            <v>13.35</v>
          </cell>
          <cell r="G50">
            <v>11</v>
          </cell>
          <cell r="K50">
            <v>8.5</v>
          </cell>
          <cell r="O50">
            <v>1.7199999999999989</v>
          </cell>
          <cell r="P50">
            <v>1.5206571858163132</v>
          </cell>
          <cell r="R50">
            <v>2.9</v>
          </cell>
        </row>
        <row r="51">
          <cell r="C51">
            <v>11.58</v>
          </cell>
          <cell r="E51">
            <v>13.19</v>
          </cell>
          <cell r="G51">
            <v>11</v>
          </cell>
          <cell r="K51">
            <v>8.5</v>
          </cell>
          <cell r="O51">
            <v>1.6099999999999994</v>
          </cell>
          <cell r="P51">
            <v>1.5206571858163132</v>
          </cell>
          <cell r="R51">
            <v>2.9</v>
          </cell>
        </row>
        <row r="52">
          <cell r="C52">
            <v>11.75</v>
          </cell>
          <cell r="E52">
            <v>13.33</v>
          </cell>
          <cell r="G52">
            <v>11</v>
          </cell>
          <cell r="K52">
            <v>8.5</v>
          </cell>
          <cell r="O52">
            <v>1.58</v>
          </cell>
          <cell r="P52">
            <v>1.5206571858163132</v>
          </cell>
          <cell r="R52">
            <v>3.3</v>
          </cell>
        </row>
        <row r="53">
          <cell r="C53">
            <v>11.88</v>
          </cell>
          <cell r="E53">
            <v>13.48</v>
          </cell>
          <cell r="G53">
            <v>11</v>
          </cell>
          <cell r="K53">
            <v>8.5</v>
          </cell>
          <cell r="O53">
            <v>1.5999999999999996</v>
          </cell>
          <cell r="P53">
            <v>1.5206571858163132</v>
          </cell>
          <cell r="R53">
            <v>3.8</v>
          </cell>
        </row>
        <row r="54">
          <cell r="B54" t="str">
            <v>84</v>
          </cell>
          <cell r="C54">
            <v>11.75</v>
          </cell>
          <cell r="E54">
            <v>13.4</v>
          </cell>
          <cell r="G54">
            <v>11</v>
          </cell>
          <cell r="K54">
            <v>8.5</v>
          </cell>
          <cell r="O54">
            <v>1.6500000000000004</v>
          </cell>
          <cell r="P54">
            <v>1.5206571858163132</v>
          </cell>
          <cell r="R54">
            <v>4.2</v>
          </cell>
        </row>
        <row r="55">
          <cell r="C55">
            <v>11.95</v>
          </cell>
          <cell r="E55">
            <v>13.5</v>
          </cell>
          <cell r="G55">
            <v>11</v>
          </cell>
          <cell r="K55">
            <v>8.5</v>
          </cell>
          <cell r="O55">
            <v>1.5500000000000007</v>
          </cell>
          <cell r="P55">
            <v>1.5206571858163132</v>
          </cell>
          <cell r="R55">
            <v>4.5999999999999996</v>
          </cell>
        </row>
        <row r="56">
          <cell r="C56">
            <v>12.38</v>
          </cell>
          <cell r="E56">
            <v>14.03</v>
          </cell>
          <cell r="G56">
            <v>11.21</v>
          </cell>
          <cell r="K56">
            <v>8.5</v>
          </cell>
          <cell r="O56">
            <v>1.6499999999999986</v>
          </cell>
          <cell r="P56">
            <v>1.5206571858163132</v>
          </cell>
          <cell r="R56">
            <v>4.8</v>
          </cell>
        </row>
        <row r="57">
          <cell r="C57">
            <v>12.65</v>
          </cell>
          <cell r="E57">
            <v>14.3</v>
          </cell>
          <cell r="G57">
            <v>11.93</v>
          </cell>
          <cell r="K57">
            <v>9</v>
          </cell>
          <cell r="O57">
            <v>1.6500000000000004</v>
          </cell>
          <cell r="P57">
            <v>1.5206571858163132</v>
          </cell>
          <cell r="R57">
            <v>4.5999999999999996</v>
          </cell>
        </row>
        <row r="58">
          <cell r="C58">
            <v>13.43</v>
          </cell>
          <cell r="E58">
            <v>14.95</v>
          </cell>
          <cell r="G58">
            <v>12.39</v>
          </cell>
          <cell r="K58">
            <v>9</v>
          </cell>
          <cell r="O58">
            <v>1.5199999999999996</v>
          </cell>
          <cell r="P58">
            <v>1.5206571858163132</v>
          </cell>
          <cell r="R58">
            <v>4.2</v>
          </cell>
        </row>
        <row r="59">
          <cell r="C59">
            <v>13.44</v>
          </cell>
          <cell r="E59">
            <v>15.16</v>
          </cell>
          <cell r="G59">
            <v>12.6</v>
          </cell>
          <cell r="K59">
            <v>9</v>
          </cell>
          <cell r="O59">
            <v>1.7200000000000006</v>
          </cell>
          <cell r="P59">
            <v>1.5206571858163132</v>
          </cell>
          <cell r="R59">
            <v>4.2</v>
          </cell>
        </row>
        <row r="60">
          <cell r="C60">
            <v>13.21</v>
          </cell>
          <cell r="E60">
            <v>14.92</v>
          </cell>
          <cell r="G60">
            <v>13</v>
          </cell>
          <cell r="K60">
            <v>9</v>
          </cell>
          <cell r="O60">
            <v>1.7099999999999991</v>
          </cell>
          <cell r="P60">
            <v>1.5206571858163132</v>
          </cell>
          <cell r="R60">
            <v>4.2</v>
          </cell>
        </row>
        <row r="61">
          <cell r="C61">
            <v>12.54</v>
          </cell>
          <cell r="E61">
            <v>14.29</v>
          </cell>
          <cell r="G61">
            <v>13</v>
          </cell>
          <cell r="K61">
            <v>9</v>
          </cell>
          <cell r="O61">
            <v>1.75</v>
          </cell>
          <cell r="P61">
            <v>1.5206571858163132</v>
          </cell>
          <cell r="R61">
            <v>4.3</v>
          </cell>
        </row>
        <row r="62">
          <cell r="C62">
            <v>12.29</v>
          </cell>
          <cell r="E62">
            <v>14.04</v>
          </cell>
          <cell r="G62">
            <v>12.97</v>
          </cell>
          <cell r="K62">
            <v>9</v>
          </cell>
          <cell r="O62">
            <v>1.75</v>
          </cell>
          <cell r="P62">
            <v>1.5206571858163132</v>
          </cell>
          <cell r="R62">
            <v>4.3</v>
          </cell>
        </row>
        <row r="63">
          <cell r="C63">
            <v>11.98</v>
          </cell>
          <cell r="E63">
            <v>13.68</v>
          </cell>
          <cell r="G63">
            <v>12.58</v>
          </cell>
          <cell r="K63">
            <v>9</v>
          </cell>
          <cell r="O63">
            <v>1.6999999999999993</v>
          </cell>
          <cell r="P63">
            <v>1.5206571858163132</v>
          </cell>
          <cell r="R63">
            <v>4.3</v>
          </cell>
        </row>
        <row r="64">
          <cell r="C64">
            <v>11.56</v>
          </cell>
          <cell r="E64">
            <v>13.15</v>
          </cell>
          <cell r="G64">
            <v>11.77</v>
          </cell>
          <cell r="K64">
            <v>8.5</v>
          </cell>
          <cell r="O64">
            <v>1.5899999999999999</v>
          </cell>
          <cell r="P64">
            <v>1.5206571858163132</v>
          </cell>
          <cell r="R64">
            <v>4.0999999999999996</v>
          </cell>
        </row>
        <row r="65">
          <cell r="C65">
            <v>11.52</v>
          </cell>
          <cell r="E65">
            <v>12.96</v>
          </cell>
          <cell r="G65">
            <v>11.06</v>
          </cell>
          <cell r="K65">
            <v>8</v>
          </cell>
          <cell r="O65">
            <v>1.4400000000000013</v>
          </cell>
          <cell r="P65">
            <v>1.5206571858163132</v>
          </cell>
          <cell r="R65">
            <v>3.9</v>
          </cell>
        </row>
        <row r="66">
          <cell r="B66" t="str">
            <v>85</v>
          </cell>
          <cell r="C66">
            <v>11.45</v>
          </cell>
          <cell r="E66">
            <v>12.88</v>
          </cell>
          <cell r="G66">
            <v>10.61</v>
          </cell>
          <cell r="K66">
            <v>8</v>
          </cell>
          <cell r="O66">
            <v>1.4300000000000015</v>
          </cell>
          <cell r="P66">
            <v>1.5206571858163132</v>
          </cell>
          <cell r="R66">
            <v>3.5</v>
          </cell>
        </row>
        <row r="67">
          <cell r="C67">
            <v>11.47</v>
          </cell>
          <cell r="E67">
            <v>13</v>
          </cell>
          <cell r="G67">
            <v>10.5</v>
          </cell>
          <cell r="K67">
            <v>8</v>
          </cell>
          <cell r="O67">
            <v>1.5299999999999994</v>
          </cell>
          <cell r="P67">
            <v>1.5206571858163132</v>
          </cell>
          <cell r="R67">
            <v>3.5</v>
          </cell>
        </row>
        <row r="68">
          <cell r="C68">
            <v>11.81</v>
          </cell>
          <cell r="E68">
            <v>13.66</v>
          </cell>
          <cell r="G68">
            <v>10.5</v>
          </cell>
          <cell r="K68">
            <v>8</v>
          </cell>
          <cell r="O68">
            <v>1.8499999999999996</v>
          </cell>
          <cell r="P68">
            <v>1.5206571858163132</v>
          </cell>
          <cell r="R68">
            <v>3.7</v>
          </cell>
        </row>
        <row r="69">
          <cell r="C69">
            <v>11.47</v>
          </cell>
          <cell r="E69">
            <v>13.42</v>
          </cell>
          <cell r="G69">
            <v>10.5</v>
          </cell>
          <cell r="K69">
            <v>8</v>
          </cell>
          <cell r="O69">
            <v>1.9499999999999993</v>
          </cell>
          <cell r="P69">
            <v>1.5206571858163132</v>
          </cell>
          <cell r="R69">
            <v>3.7</v>
          </cell>
        </row>
        <row r="70">
          <cell r="C70">
            <v>11.05</v>
          </cell>
          <cell r="E70">
            <v>12.89</v>
          </cell>
          <cell r="G70">
            <v>10.31</v>
          </cell>
          <cell r="K70">
            <v>7.5</v>
          </cell>
          <cell r="O70">
            <v>1.8399999999999999</v>
          </cell>
          <cell r="P70">
            <v>1.5206571858163132</v>
          </cell>
          <cell r="R70">
            <v>3.8</v>
          </cell>
        </row>
        <row r="71">
          <cell r="C71">
            <v>10.44</v>
          </cell>
          <cell r="E71">
            <v>11.91</v>
          </cell>
          <cell r="G71">
            <v>9.7799999999999994</v>
          </cell>
          <cell r="K71">
            <v>7.5</v>
          </cell>
          <cell r="O71">
            <v>1.4700000000000006</v>
          </cell>
          <cell r="P71">
            <v>1.5206571858163132</v>
          </cell>
          <cell r="R71">
            <v>3.8</v>
          </cell>
        </row>
        <row r="72">
          <cell r="C72">
            <v>10.5</v>
          </cell>
          <cell r="E72">
            <v>11.88</v>
          </cell>
          <cell r="G72">
            <v>9.5</v>
          </cell>
          <cell r="K72">
            <v>7.5</v>
          </cell>
          <cell r="O72">
            <v>1.3800000000000008</v>
          </cell>
          <cell r="P72">
            <v>1.5206571858163132</v>
          </cell>
          <cell r="R72">
            <v>3.6</v>
          </cell>
        </row>
        <row r="73">
          <cell r="C73">
            <v>10.56</v>
          </cell>
          <cell r="E73">
            <v>11.93</v>
          </cell>
          <cell r="G73">
            <v>9.5</v>
          </cell>
          <cell r="K73">
            <v>7.5</v>
          </cell>
          <cell r="O73">
            <v>1.3699999999999992</v>
          </cell>
          <cell r="P73">
            <v>1.5206571858163132</v>
          </cell>
          <cell r="R73">
            <v>3.3</v>
          </cell>
        </row>
        <row r="74">
          <cell r="C74">
            <v>10.61</v>
          </cell>
          <cell r="E74">
            <v>11.95</v>
          </cell>
          <cell r="G74">
            <v>9.5</v>
          </cell>
          <cell r="K74">
            <v>7.5</v>
          </cell>
          <cell r="O74">
            <v>1.3399999999999999</v>
          </cell>
          <cell r="P74">
            <v>1.5206571858163132</v>
          </cell>
          <cell r="R74">
            <v>3.1</v>
          </cell>
        </row>
        <row r="75">
          <cell r="C75">
            <v>10.5</v>
          </cell>
          <cell r="E75">
            <v>11.84</v>
          </cell>
          <cell r="G75">
            <v>9.5</v>
          </cell>
          <cell r="K75">
            <v>7.5</v>
          </cell>
          <cell r="O75">
            <v>1.3399999999999999</v>
          </cell>
          <cell r="P75">
            <v>1.5206571858163132</v>
          </cell>
          <cell r="R75">
            <v>3.2</v>
          </cell>
        </row>
        <row r="76">
          <cell r="C76">
            <v>10.06</v>
          </cell>
          <cell r="E76">
            <v>11.33</v>
          </cell>
          <cell r="G76">
            <v>9.5</v>
          </cell>
          <cell r="K76">
            <v>7.5</v>
          </cell>
          <cell r="O76">
            <v>1.2699999999999996</v>
          </cell>
          <cell r="P76">
            <v>1.5206571858163132</v>
          </cell>
          <cell r="R76">
            <v>3.5</v>
          </cell>
        </row>
        <row r="77">
          <cell r="C77">
            <v>9.5399999999999991</v>
          </cell>
          <cell r="E77">
            <v>10.82</v>
          </cell>
          <cell r="G77">
            <v>9.5</v>
          </cell>
          <cell r="K77">
            <v>7.5</v>
          </cell>
          <cell r="O77">
            <v>1.2800000000000011</v>
          </cell>
          <cell r="P77">
            <v>1.5206571858163132</v>
          </cell>
          <cell r="R77">
            <v>3.8</v>
          </cell>
        </row>
        <row r="78">
          <cell r="B78" t="str">
            <v>86</v>
          </cell>
          <cell r="C78">
            <v>9.4</v>
          </cell>
          <cell r="E78">
            <v>10.66</v>
          </cell>
          <cell r="G78">
            <v>9.5</v>
          </cell>
          <cell r="K78">
            <v>7.5</v>
          </cell>
          <cell r="O78">
            <v>1.2599999999999998</v>
          </cell>
          <cell r="P78">
            <v>1.5206571858163132</v>
          </cell>
          <cell r="R78">
            <v>3.9</v>
          </cell>
        </row>
        <row r="79">
          <cell r="C79">
            <v>8.93</v>
          </cell>
          <cell r="E79">
            <v>10.16</v>
          </cell>
          <cell r="G79">
            <v>9.5</v>
          </cell>
          <cell r="K79">
            <v>7.5</v>
          </cell>
          <cell r="O79">
            <v>1.2300000000000004</v>
          </cell>
          <cell r="P79">
            <v>1.5206571858163132</v>
          </cell>
          <cell r="R79">
            <v>3.1</v>
          </cell>
        </row>
        <row r="80">
          <cell r="C80">
            <v>7.96</v>
          </cell>
          <cell r="E80">
            <v>9.33</v>
          </cell>
          <cell r="G80">
            <v>9.1</v>
          </cell>
          <cell r="K80">
            <v>7</v>
          </cell>
          <cell r="O80">
            <v>1.37</v>
          </cell>
          <cell r="P80">
            <v>1.5206571858163132</v>
          </cell>
          <cell r="R80">
            <v>2.2999999999999998</v>
          </cell>
        </row>
        <row r="81">
          <cell r="C81">
            <v>7.39</v>
          </cell>
          <cell r="E81">
            <v>9.02</v>
          </cell>
          <cell r="G81">
            <v>8.83</v>
          </cell>
          <cell r="K81">
            <v>6.5</v>
          </cell>
          <cell r="O81">
            <v>1.63</v>
          </cell>
          <cell r="P81">
            <v>1.5206571858163132</v>
          </cell>
          <cell r="R81">
            <v>1.6</v>
          </cell>
        </row>
        <row r="82">
          <cell r="C82">
            <v>7.52</v>
          </cell>
          <cell r="E82">
            <v>9.52</v>
          </cell>
          <cell r="G82">
            <v>8.5</v>
          </cell>
          <cell r="K82">
            <v>6.5</v>
          </cell>
          <cell r="O82">
            <v>2</v>
          </cell>
          <cell r="P82">
            <v>1.5206571858163132</v>
          </cell>
          <cell r="R82">
            <v>1.5</v>
          </cell>
        </row>
        <row r="83">
          <cell r="C83">
            <v>7.57</v>
          </cell>
          <cell r="E83">
            <v>9.51</v>
          </cell>
          <cell r="G83">
            <v>8.5</v>
          </cell>
          <cell r="K83">
            <v>6.5</v>
          </cell>
          <cell r="O83">
            <v>1.9399999999999995</v>
          </cell>
          <cell r="P83">
            <v>1.5206571858163132</v>
          </cell>
          <cell r="R83">
            <v>1.8</v>
          </cell>
        </row>
        <row r="84">
          <cell r="C84">
            <v>7.27</v>
          </cell>
          <cell r="E84">
            <v>9.19</v>
          </cell>
          <cell r="G84">
            <v>8.16</v>
          </cell>
          <cell r="K84">
            <v>6</v>
          </cell>
          <cell r="O84">
            <v>1.92</v>
          </cell>
          <cell r="P84">
            <v>1.5206571858163132</v>
          </cell>
          <cell r="R84">
            <v>1.6</v>
          </cell>
        </row>
        <row r="85">
          <cell r="C85">
            <v>7.33</v>
          </cell>
          <cell r="E85">
            <v>9.15</v>
          </cell>
          <cell r="G85">
            <v>7.9</v>
          </cell>
          <cell r="K85">
            <v>5.5</v>
          </cell>
          <cell r="O85">
            <v>1.8200000000000003</v>
          </cell>
          <cell r="P85">
            <v>1.5206571858163132</v>
          </cell>
          <cell r="R85">
            <v>1.6</v>
          </cell>
        </row>
        <row r="86">
          <cell r="C86">
            <v>7.62</v>
          </cell>
          <cell r="E86">
            <v>9.42</v>
          </cell>
          <cell r="G86">
            <v>7.5</v>
          </cell>
          <cell r="K86">
            <v>5.5</v>
          </cell>
          <cell r="O86">
            <v>1.7999999999999998</v>
          </cell>
          <cell r="P86">
            <v>1.5206571858163132</v>
          </cell>
          <cell r="R86">
            <v>1.8</v>
          </cell>
        </row>
        <row r="87">
          <cell r="C87">
            <v>7.7</v>
          </cell>
          <cell r="E87">
            <v>9.39</v>
          </cell>
          <cell r="G87">
            <v>7.5</v>
          </cell>
          <cell r="K87">
            <v>5.5</v>
          </cell>
          <cell r="O87">
            <v>1.6900000000000004</v>
          </cell>
          <cell r="P87">
            <v>1.5206571858163132</v>
          </cell>
          <cell r="R87">
            <v>1.5</v>
          </cell>
        </row>
        <row r="88">
          <cell r="C88">
            <v>7.52</v>
          </cell>
          <cell r="E88">
            <v>9.15</v>
          </cell>
          <cell r="G88">
            <v>7.5</v>
          </cell>
          <cell r="K88">
            <v>5.5</v>
          </cell>
          <cell r="O88">
            <v>1.6300000000000008</v>
          </cell>
          <cell r="P88">
            <v>1.5206571858163132</v>
          </cell>
          <cell r="R88">
            <v>1.3</v>
          </cell>
        </row>
        <row r="89">
          <cell r="C89">
            <v>7.37</v>
          </cell>
          <cell r="E89">
            <v>8.9600000000000009</v>
          </cell>
          <cell r="G89">
            <v>7.5</v>
          </cell>
          <cell r="K89">
            <v>5.5</v>
          </cell>
          <cell r="O89">
            <v>1.5900000000000007</v>
          </cell>
          <cell r="P89">
            <v>1.5206571858163132</v>
          </cell>
          <cell r="R89">
            <v>1.1000000000000001</v>
          </cell>
        </row>
        <row r="90">
          <cell r="B90">
            <v>87</v>
          </cell>
          <cell r="C90">
            <v>7.39</v>
          </cell>
          <cell r="E90">
            <v>8.77</v>
          </cell>
          <cell r="G90">
            <v>7.5</v>
          </cell>
          <cell r="K90">
            <v>5.5</v>
          </cell>
          <cell r="O90">
            <v>1.38</v>
          </cell>
          <cell r="P90">
            <v>1.5206571858163132</v>
          </cell>
          <cell r="R90">
            <v>1.5</v>
          </cell>
        </row>
        <row r="91">
          <cell r="C91">
            <v>7.54</v>
          </cell>
          <cell r="E91">
            <v>8.81</v>
          </cell>
          <cell r="G91">
            <v>7.5</v>
          </cell>
          <cell r="K91">
            <v>5.5</v>
          </cell>
          <cell r="O91">
            <v>1.2700000000000005</v>
          </cell>
          <cell r="P91">
            <v>1.5206571858163132</v>
          </cell>
          <cell r="R91">
            <v>2.1</v>
          </cell>
        </row>
        <row r="92">
          <cell r="C92">
            <v>7.55</v>
          </cell>
          <cell r="E92">
            <v>8.75</v>
          </cell>
          <cell r="G92">
            <v>7.5</v>
          </cell>
          <cell r="K92">
            <v>5.5</v>
          </cell>
          <cell r="O92">
            <v>1.2000000000000002</v>
          </cell>
          <cell r="P92">
            <v>1.5206571858163132</v>
          </cell>
          <cell r="R92">
            <v>3</v>
          </cell>
        </row>
        <row r="93">
          <cell r="C93">
            <v>8.25</v>
          </cell>
          <cell r="E93">
            <v>9.3000000000000007</v>
          </cell>
          <cell r="G93">
            <v>7.75</v>
          </cell>
          <cell r="K93">
            <v>5.5</v>
          </cell>
          <cell r="O93">
            <v>1.0500000000000007</v>
          </cell>
          <cell r="P93">
            <v>1.5206571858163132</v>
          </cell>
          <cell r="R93">
            <v>3.8</v>
          </cell>
        </row>
        <row r="94">
          <cell r="C94">
            <v>8.7799999999999994</v>
          </cell>
          <cell r="E94">
            <v>9.82</v>
          </cell>
          <cell r="G94">
            <v>8.14</v>
          </cell>
          <cell r="K94">
            <v>5.5</v>
          </cell>
          <cell r="O94">
            <v>1.0400000000000009</v>
          </cell>
          <cell r="P94">
            <v>1.5206571858163132</v>
          </cell>
          <cell r="R94">
            <v>3.9</v>
          </cell>
        </row>
        <row r="95">
          <cell r="C95">
            <v>8.57</v>
          </cell>
          <cell r="E95">
            <v>9.8699999999999992</v>
          </cell>
          <cell r="G95">
            <v>8.25</v>
          </cell>
          <cell r="K95">
            <v>5.5</v>
          </cell>
          <cell r="O95">
            <v>1.2999999999999989</v>
          </cell>
          <cell r="P95">
            <v>1.5206571858163132</v>
          </cell>
          <cell r="R95">
            <v>3.7</v>
          </cell>
        </row>
        <row r="96">
          <cell r="C96">
            <v>8.64</v>
          </cell>
          <cell r="E96">
            <v>10.01</v>
          </cell>
          <cell r="G96">
            <v>8.25</v>
          </cell>
          <cell r="K96">
            <v>5.5</v>
          </cell>
          <cell r="O96">
            <v>1.3699999999999992</v>
          </cell>
          <cell r="P96">
            <v>1.5206571858163132</v>
          </cell>
          <cell r="R96">
            <v>3.9</v>
          </cell>
        </row>
        <row r="97">
          <cell r="C97">
            <v>8.9700000000000006</v>
          </cell>
          <cell r="E97">
            <v>10.33</v>
          </cell>
          <cell r="G97">
            <v>8.25</v>
          </cell>
          <cell r="K97">
            <v>5.5</v>
          </cell>
          <cell r="O97">
            <v>1.3599999999999994</v>
          </cell>
          <cell r="P97">
            <v>1.5206571858163132</v>
          </cell>
          <cell r="R97">
            <v>4.3</v>
          </cell>
        </row>
        <row r="98">
          <cell r="C98">
            <v>9.59</v>
          </cell>
          <cell r="E98">
            <v>11</v>
          </cell>
          <cell r="G98">
            <v>8.6999999999999993</v>
          </cell>
          <cell r="K98">
            <v>6</v>
          </cell>
          <cell r="O98">
            <v>1.4100000000000001</v>
          </cell>
          <cell r="P98">
            <v>1.5206571858163132</v>
          </cell>
          <cell r="R98">
            <v>4.4000000000000004</v>
          </cell>
        </row>
        <row r="99">
          <cell r="C99">
            <v>9.61</v>
          </cell>
          <cell r="E99">
            <v>11.32</v>
          </cell>
          <cell r="G99">
            <v>9.07</v>
          </cell>
          <cell r="K99">
            <v>6</v>
          </cell>
          <cell r="O99">
            <v>1.7100000000000009</v>
          </cell>
          <cell r="P99">
            <v>1.5206571858163132</v>
          </cell>
          <cell r="R99">
            <v>4.5</v>
          </cell>
        </row>
        <row r="100">
          <cell r="C100">
            <v>8.9499999999999993</v>
          </cell>
          <cell r="E100">
            <v>10.82</v>
          </cell>
          <cell r="G100">
            <v>8.7799999999999994</v>
          </cell>
          <cell r="K100">
            <v>6</v>
          </cell>
          <cell r="O100">
            <v>1.870000000000001</v>
          </cell>
          <cell r="P100">
            <v>1.5206571858163132</v>
          </cell>
          <cell r="R100">
            <v>4.5</v>
          </cell>
        </row>
        <row r="101">
          <cell r="C101">
            <v>9.1199999999999992</v>
          </cell>
          <cell r="E101">
            <v>10.99</v>
          </cell>
          <cell r="G101">
            <v>8.75</v>
          </cell>
          <cell r="K101">
            <v>6</v>
          </cell>
          <cell r="O101">
            <v>1.870000000000001</v>
          </cell>
          <cell r="P101">
            <v>1.5206571858163132</v>
          </cell>
          <cell r="R101">
            <v>4.4000000000000004</v>
          </cell>
        </row>
        <row r="102">
          <cell r="B102" t="str">
            <v>88</v>
          </cell>
          <cell r="C102">
            <v>8.83</v>
          </cell>
          <cell r="E102">
            <v>10.75</v>
          </cell>
          <cell r="G102">
            <v>8.75</v>
          </cell>
          <cell r="K102">
            <v>6</v>
          </cell>
          <cell r="O102">
            <v>1.92</v>
          </cell>
          <cell r="P102">
            <v>1.5206571858163132</v>
          </cell>
          <cell r="R102">
            <v>4</v>
          </cell>
        </row>
        <row r="103">
          <cell r="C103">
            <v>8.43</v>
          </cell>
          <cell r="E103">
            <v>10.11</v>
          </cell>
          <cell r="G103">
            <v>8.51</v>
          </cell>
          <cell r="K103">
            <v>6</v>
          </cell>
          <cell r="O103">
            <v>1.6799999999999997</v>
          </cell>
          <cell r="P103">
            <v>1.5206571858163132</v>
          </cell>
          <cell r="R103">
            <v>3.9</v>
          </cell>
        </row>
        <row r="104">
          <cell r="C104">
            <v>8.6300000000000008</v>
          </cell>
          <cell r="E104">
            <v>10.11</v>
          </cell>
          <cell r="G104">
            <v>8.5</v>
          </cell>
          <cell r="K104">
            <v>6</v>
          </cell>
          <cell r="O104">
            <v>1.4799999999999986</v>
          </cell>
          <cell r="P104">
            <v>1.5206571858163132</v>
          </cell>
          <cell r="R104">
            <v>3.9</v>
          </cell>
        </row>
        <row r="105">
          <cell r="C105">
            <v>8.9499999999999993</v>
          </cell>
          <cell r="E105">
            <v>10.53</v>
          </cell>
          <cell r="G105">
            <v>8.5</v>
          </cell>
          <cell r="K105">
            <v>6</v>
          </cell>
          <cell r="O105">
            <v>1.58</v>
          </cell>
          <cell r="P105">
            <v>1.5206571858163132</v>
          </cell>
          <cell r="R105">
            <v>3.9</v>
          </cell>
        </row>
        <row r="106">
          <cell r="C106">
            <v>9.23</v>
          </cell>
          <cell r="E106">
            <v>10.75</v>
          </cell>
          <cell r="G106">
            <v>8.84</v>
          </cell>
          <cell r="K106">
            <v>6</v>
          </cell>
          <cell r="O106">
            <v>1.5199999999999996</v>
          </cell>
          <cell r="P106">
            <v>1.5206571858163132</v>
          </cell>
          <cell r="R106">
            <v>3.9</v>
          </cell>
        </row>
        <row r="107">
          <cell r="C107">
            <v>9</v>
          </cell>
          <cell r="E107">
            <v>10.71</v>
          </cell>
          <cell r="G107">
            <v>9</v>
          </cell>
          <cell r="K107">
            <v>6</v>
          </cell>
          <cell r="O107">
            <v>1.7100000000000009</v>
          </cell>
          <cell r="P107">
            <v>1.5206571858163132</v>
          </cell>
          <cell r="R107">
            <v>4</v>
          </cell>
        </row>
        <row r="108">
          <cell r="C108">
            <v>9.14</v>
          </cell>
          <cell r="E108">
            <v>10.96</v>
          </cell>
          <cell r="G108">
            <v>9.2899999999999991</v>
          </cell>
          <cell r="K108">
            <v>6</v>
          </cell>
          <cell r="O108">
            <v>1.8200000000000003</v>
          </cell>
          <cell r="P108">
            <v>1.5206571858163132</v>
          </cell>
          <cell r="R108">
            <v>4.0999999999999996</v>
          </cell>
        </row>
        <row r="109">
          <cell r="C109">
            <v>9.32</v>
          </cell>
          <cell r="E109">
            <v>11.09</v>
          </cell>
          <cell r="G109">
            <v>9.84</v>
          </cell>
          <cell r="K109">
            <v>6.5</v>
          </cell>
          <cell r="O109">
            <v>1.7699999999999996</v>
          </cell>
          <cell r="P109">
            <v>1.5206571858163132</v>
          </cell>
          <cell r="R109">
            <v>4</v>
          </cell>
        </row>
        <row r="110">
          <cell r="C110">
            <v>9.06</v>
          </cell>
          <cell r="E110">
            <v>10.56</v>
          </cell>
          <cell r="G110">
            <v>10</v>
          </cell>
          <cell r="K110">
            <v>6.5</v>
          </cell>
          <cell r="O110">
            <v>1.5</v>
          </cell>
          <cell r="P110">
            <v>1.5206571858163132</v>
          </cell>
          <cell r="R110">
            <v>4.2</v>
          </cell>
        </row>
        <row r="111">
          <cell r="C111">
            <v>8.89</v>
          </cell>
          <cell r="E111">
            <v>9.92</v>
          </cell>
          <cell r="G111">
            <v>10</v>
          </cell>
          <cell r="K111">
            <v>6.5</v>
          </cell>
          <cell r="O111">
            <v>1.0299999999999994</v>
          </cell>
          <cell r="P111">
            <v>1.5206571858163132</v>
          </cell>
          <cell r="R111">
            <v>4.2</v>
          </cell>
        </row>
        <row r="112">
          <cell r="C112">
            <v>9.02</v>
          </cell>
          <cell r="E112">
            <v>9.89</v>
          </cell>
          <cell r="G112">
            <v>10.050000000000001</v>
          </cell>
          <cell r="K112">
            <v>6.5</v>
          </cell>
          <cell r="O112">
            <v>0.87000000000000099</v>
          </cell>
          <cell r="P112">
            <v>1.5206571858163132</v>
          </cell>
          <cell r="R112">
            <v>4.2</v>
          </cell>
        </row>
        <row r="113">
          <cell r="C113">
            <v>9.01</v>
          </cell>
          <cell r="E113">
            <v>10.02</v>
          </cell>
          <cell r="G113">
            <v>10.5</v>
          </cell>
          <cell r="K113">
            <v>6.5</v>
          </cell>
          <cell r="O113">
            <v>1.0099999999999998</v>
          </cell>
          <cell r="P113">
            <v>1.5206571858163132</v>
          </cell>
          <cell r="R113">
            <v>4.4000000000000004</v>
          </cell>
        </row>
        <row r="114">
          <cell r="B114" t="str">
            <v>89</v>
          </cell>
          <cell r="C114">
            <v>8.93</v>
          </cell>
          <cell r="E114">
            <v>10.02</v>
          </cell>
          <cell r="G114">
            <v>10.5</v>
          </cell>
          <cell r="K114">
            <v>6.5</v>
          </cell>
          <cell r="O114">
            <v>1.0899999999999999</v>
          </cell>
          <cell r="P114">
            <v>1.5206571858163132</v>
          </cell>
          <cell r="R114">
            <v>4.7</v>
          </cell>
        </row>
        <row r="115">
          <cell r="C115">
            <v>9.01</v>
          </cell>
          <cell r="E115">
            <v>10.02</v>
          </cell>
          <cell r="G115">
            <v>10.93</v>
          </cell>
          <cell r="K115">
            <v>7</v>
          </cell>
          <cell r="O115">
            <v>1.0099999999999998</v>
          </cell>
          <cell r="P115">
            <v>1.5206571858163132</v>
          </cell>
          <cell r="R115">
            <v>4.8</v>
          </cell>
        </row>
        <row r="116">
          <cell r="C116">
            <v>9.17</v>
          </cell>
          <cell r="E116">
            <v>10.16</v>
          </cell>
          <cell r="G116">
            <v>11.5</v>
          </cell>
          <cell r="K116">
            <v>7</v>
          </cell>
          <cell r="O116">
            <v>0.99000000000000021</v>
          </cell>
          <cell r="P116">
            <v>1.5206571858163132</v>
          </cell>
          <cell r="R116">
            <v>5</v>
          </cell>
        </row>
        <row r="117">
          <cell r="C117">
            <v>9.0299999999999994</v>
          </cell>
          <cell r="E117">
            <v>10.14</v>
          </cell>
          <cell r="G117">
            <v>11.5</v>
          </cell>
          <cell r="K117">
            <v>7</v>
          </cell>
          <cell r="O117">
            <v>1.1100000000000012</v>
          </cell>
          <cell r="P117">
            <v>1.5206571858163132</v>
          </cell>
          <cell r="R117">
            <v>5.0999999999999996</v>
          </cell>
        </row>
        <row r="118">
          <cell r="C118">
            <v>8.83</v>
          </cell>
          <cell r="E118">
            <v>9.92</v>
          </cell>
          <cell r="G118">
            <v>11.5</v>
          </cell>
          <cell r="K118">
            <v>7</v>
          </cell>
          <cell r="O118">
            <v>1.0899999999999999</v>
          </cell>
          <cell r="P118">
            <v>1.5206571858163132</v>
          </cell>
          <cell r="R118">
            <v>5.4</v>
          </cell>
        </row>
        <row r="119">
          <cell r="C119">
            <v>8.27</v>
          </cell>
          <cell r="E119">
            <v>9.49</v>
          </cell>
          <cell r="G119">
            <v>11.07</v>
          </cell>
          <cell r="K119">
            <v>7</v>
          </cell>
          <cell r="O119">
            <v>1.2200000000000006</v>
          </cell>
          <cell r="P119">
            <v>1.5206571858163132</v>
          </cell>
          <cell r="R119">
            <v>5.2</v>
          </cell>
        </row>
        <row r="120">
          <cell r="C120">
            <v>8.08</v>
          </cell>
          <cell r="E120">
            <v>9.34</v>
          </cell>
          <cell r="G120">
            <v>10.98</v>
          </cell>
          <cell r="K120">
            <v>7</v>
          </cell>
          <cell r="O120">
            <v>1.2599999999999998</v>
          </cell>
          <cell r="P120">
            <v>1.5206571858163132</v>
          </cell>
          <cell r="R120">
            <v>5</v>
          </cell>
        </row>
        <row r="121">
          <cell r="C121">
            <v>8.1199999999999992</v>
          </cell>
          <cell r="E121">
            <v>9.3699999999999992</v>
          </cell>
          <cell r="G121">
            <v>10.5</v>
          </cell>
          <cell r="K121">
            <v>7</v>
          </cell>
          <cell r="O121">
            <v>1.25</v>
          </cell>
          <cell r="P121">
            <v>1.5206571858163132</v>
          </cell>
          <cell r="R121">
            <v>4.7</v>
          </cell>
        </row>
        <row r="122">
          <cell r="C122">
            <v>8.15</v>
          </cell>
          <cell r="E122">
            <v>9.43</v>
          </cell>
          <cell r="G122">
            <v>10.5</v>
          </cell>
          <cell r="K122">
            <v>7</v>
          </cell>
          <cell r="O122">
            <v>1.2799999999999994</v>
          </cell>
          <cell r="P122">
            <v>1.5206571858163132</v>
          </cell>
          <cell r="R122">
            <v>4.3</v>
          </cell>
        </row>
        <row r="123">
          <cell r="C123">
            <v>8</v>
          </cell>
          <cell r="E123">
            <v>9.3699999999999992</v>
          </cell>
          <cell r="G123">
            <v>10.5</v>
          </cell>
          <cell r="K123">
            <v>7</v>
          </cell>
          <cell r="O123">
            <v>1.3699999999999992</v>
          </cell>
          <cell r="P123">
            <v>1.5206571858163132</v>
          </cell>
          <cell r="R123">
            <v>4.5</v>
          </cell>
        </row>
        <row r="124">
          <cell r="C124">
            <v>7.9</v>
          </cell>
          <cell r="E124">
            <v>9.33</v>
          </cell>
          <cell r="G124">
            <v>10.5</v>
          </cell>
          <cell r="K124">
            <v>7</v>
          </cell>
          <cell r="O124">
            <v>1.4299999999999997</v>
          </cell>
          <cell r="P124">
            <v>1.5206571858163132</v>
          </cell>
          <cell r="R124">
            <v>4.7</v>
          </cell>
        </row>
        <row r="125">
          <cell r="C125">
            <v>7.9</v>
          </cell>
          <cell r="E125">
            <v>9.31</v>
          </cell>
          <cell r="G125">
            <v>10.5</v>
          </cell>
          <cell r="K125">
            <v>7</v>
          </cell>
          <cell r="O125">
            <v>1.4100000000000001</v>
          </cell>
          <cell r="P125">
            <v>1.5206571858163132</v>
          </cell>
          <cell r="R125">
            <v>4.5999999999999996</v>
          </cell>
        </row>
        <row r="126">
          <cell r="B126" t="str">
            <v>90</v>
          </cell>
          <cell r="C126">
            <v>8.26</v>
          </cell>
          <cell r="E126">
            <v>9.44</v>
          </cell>
          <cell r="G126">
            <v>10.11</v>
          </cell>
          <cell r="K126">
            <v>7</v>
          </cell>
          <cell r="O126">
            <v>1.1799999999999997</v>
          </cell>
          <cell r="P126">
            <v>1.5206571858163132</v>
          </cell>
          <cell r="R126">
            <v>5.2</v>
          </cell>
        </row>
        <row r="127">
          <cell r="C127">
            <v>8.5</v>
          </cell>
          <cell r="E127">
            <v>9.66</v>
          </cell>
          <cell r="G127">
            <v>10</v>
          </cell>
          <cell r="K127">
            <v>7</v>
          </cell>
          <cell r="O127">
            <v>1.1600000000000001</v>
          </cell>
          <cell r="P127">
            <v>1.5206571858163132</v>
          </cell>
          <cell r="R127">
            <v>5.3</v>
          </cell>
        </row>
        <row r="128">
          <cell r="C128">
            <v>8.56</v>
          </cell>
          <cell r="E128">
            <v>9.75</v>
          </cell>
          <cell r="G128">
            <v>10</v>
          </cell>
          <cell r="K128">
            <v>7</v>
          </cell>
          <cell r="O128">
            <v>1.1899999999999995</v>
          </cell>
          <cell r="P128">
            <v>1.5206571858163132</v>
          </cell>
          <cell r="R128">
            <v>5.2</v>
          </cell>
        </row>
        <row r="129">
          <cell r="C129">
            <v>8.76</v>
          </cell>
          <cell r="E129">
            <v>9.8699999999999992</v>
          </cell>
          <cell r="G129">
            <v>10</v>
          </cell>
          <cell r="K129">
            <v>7</v>
          </cell>
          <cell r="O129">
            <v>1.1099999999999994</v>
          </cell>
          <cell r="P129">
            <v>1.5206571858163132</v>
          </cell>
          <cell r="R129">
            <v>4.7</v>
          </cell>
        </row>
        <row r="130">
          <cell r="C130">
            <v>8.73</v>
          </cell>
          <cell r="E130">
            <v>9.89</v>
          </cell>
          <cell r="G130">
            <v>10</v>
          </cell>
          <cell r="K130">
            <v>7</v>
          </cell>
          <cell r="O130">
            <v>1.1600000000000001</v>
          </cell>
          <cell r="P130">
            <v>1.5206571858163132</v>
          </cell>
          <cell r="R130">
            <v>4.4000000000000004</v>
          </cell>
        </row>
        <row r="131">
          <cell r="C131">
            <v>8.4600000000000009</v>
          </cell>
          <cell r="E131">
            <v>9.69</v>
          </cell>
          <cell r="G131">
            <v>10</v>
          </cell>
          <cell r="K131">
            <v>7</v>
          </cell>
          <cell r="O131">
            <v>1.2299999999999986</v>
          </cell>
          <cell r="P131">
            <v>1.5206571858163132</v>
          </cell>
          <cell r="R131">
            <v>4.7</v>
          </cell>
        </row>
        <row r="132">
          <cell r="C132">
            <v>8.5</v>
          </cell>
          <cell r="E132">
            <v>9.66</v>
          </cell>
          <cell r="G132">
            <v>10</v>
          </cell>
          <cell r="K132">
            <v>7</v>
          </cell>
          <cell r="O132">
            <v>1.1600000000000001</v>
          </cell>
          <cell r="P132">
            <v>1.5206571858163132</v>
          </cell>
          <cell r="R132">
            <v>4.8</v>
          </cell>
        </row>
        <row r="133">
          <cell r="C133">
            <v>8.86</v>
          </cell>
          <cell r="E133">
            <v>9.84</v>
          </cell>
          <cell r="G133">
            <v>10</v>
          </cell>
          <cell r="K133">
            <v>7</v>
          </cell>
          <cell r="O133">
            <v>0.98000000000000043</v>
          </cell>
          <cell r="P133">
            <v>1.5206571858163132</v>
          </cell>
          <cell r="R133">
            <v>5.6</v>
          </cell>
        </row>
        <row r="134">
          <cell r="C134">
            <v>9.0299999999999994</v>
          </cell>
          <cell r="E134">
            <v>10.01</v>
          </cell>
          <cell r="G134">
            <v>10</v>
          </cell>
          <cell r="K134">
            <v>7</v>
          </cell>
          <cell r="O134">
            <v>0.98000000000000043</v>
          </cell>
          <cell r="P134">
            <v>1.5206571858163132</v>
          </cell>
          <cell r="R134">
            <v>6.2</v>
          </cell>
        </row>
        <row r="135">
          <cell r="C135">
            <v>8.86</v>
          </cell>
          <cell r="E135">
            <v>9.94</v>
          </cell>
          <cell r="G135">
            <v>10</v>
          </cell>
          <cell r="K135">
            <v>7</v>
          </cell>
          <cell r="O135">
            <v>1.08</v>
          </cell>
          <cell r="P135">
            <v>1.5206571858163132</v>
          </cell>
          <cell r="R135">
            <v>6.3</v>
          </cell>
        </row>
        <row r="136">
          <cell r="C136">
            <v>8.5399999999999991</v>
          </cell>
          <cell r="E136">
            <v>9.76</v>
          </cell>
          <cell r="G136">
            <v>10</v>
          </cell>
          <cell r="K136">
            <v>7</v>
          </cell>
          <cell r="O136">
            <v>1.2200000000000006</v>
          </cell>
          <cell r="P136">
            <v>1.5206571858163132</v>
          </cell>
          <cell r="R136">
            <v>6.3</v>
          </cell>
        </row>
        <row r="137">
          <cell r="C137">
            <v>8.24</v>
          </cell>
          <cell r="E137">
            <v>9.57</v>
          </cell>
          <cell r="G137">
            <v>10</v>
          </cell>
          <cell r="K137">
            <v>6.5</v>
          </cell>
          <cell r="O137">
            <v>1.33</v>
          </cell>
          <cell r="P137">
            <v>1.5206571858163132</v>
          </cell>
          <cell r="R137">
            <v>6.1</v>
          </cell>
        </row>
        <row r="138">
          <cell r="B138" t="str">
            <v>91</v>
          </cell>
          <cell r="C138">
            <v>8.27</v>
          </cell>
          <cell r="E138">
            <v>9.56</v>
          </cell>
          <cell r="G138">
            <v>9.52</v>
          </cell>
          <cell r="K138">
            <v>6.5</v>
          </cell>
          <cell r="O138">
            <v>1.2900000000000009</v>
          </cell>
          <cell r="P138">
            <v>1.5206571858163132</v>
          </cell>
          <cell r="R138">
            <v>5.7</v>
          </cell>
        </row>
        <row r="139">
          <cell r="C139">
            <v>8.0299999999999994</v>
          </cell>
          <cell r="E139">
            <v>9.31</v>
          </cell>
          <cell r="G139">
            <v>9.0500000000000007</v>
          </cell>
          <cell r="K139">
            <v>6</v>
          </cell>
          <cell r="O139">
            <v>1.2800000000000011</v>
          </cell>
          <cell r="P139">
            <v>1.5206571858163132</v>
          </cell>
          <cell r="R139">
            <v>5.3</v>
          </cell>
        </row>
        <row r="140">
          <cell r="C140">
            <v>8.2899999999999991</v>
          </cell>
          <cell r="E140">
            <v>9.39</v>
          </cell>
          <cell r="G140">
            <v>9</v>
          </cell>
          <cell r="K140">
            <v>6</v>
          </cell>
          <cell r="O140">
            <v>1.1000000000000014</v>
          </cell>
          <cell r="P140">
            <v>1.5206571858163132</v>
          </cell>
          <cell r="R140">
            <v>4.9000000000000004</v>
          </cell>
        </row>
        <row r="141">
          <cell r="C141">
            <v>8.2100000000000009</v>
          </cell>
          <cell r="E141">
            <v>9.3000000000000007</v>
          </cell>
          <cell r="G141">
            <v>9</v>
          </cell>
          <cell r="K141">
            <v>5.5</v>
          </cell>
          <cell r="O141">
            <v>1.0899999999999999</v>
          </cell>
          <cell r="P141">
            <v>1.5206571858163132</v>
          </cell>
          <cell r="R141">
            <v>4.9000000000000004</v>
          </cell>
        </row>
        <row r="142">
          <cell r="C142">
            <v>8.27</v>
          </cell>
          <cell r="E142">
            <v>9.2899999999999991</v>
          </cell>
          <cell r="G142">
            <v>8.5</v>
          </cell>
          <cell r="K142">
            <v>5.5</v>
          </cell>
          <cell r="O142">
            <v>1.0199999999999996</v>
          </cell>
          <cell r="P142">
            <v>1.5206571858163132</v>
          </cell>
          <cell r="R142">
            <v>5</v>
          </cell>
        </row>
        <row r="143">
          <cell r="C143">
            <v>8.4700000000000006</v>
          </cell>
          <cell r="E143">
            <v>9.44</v>
          </cell>
          <cell r="G143">
            <v>8.5</v>
          </cell>
          <cell r="K143">
            <v>5.5</v>
          </cell>
          <cell r="O143">
            <v>0.96999999999999886</v>
          </cell>
          <cell r="P143">
            <v>1.5206571858163132</v>
          </cell>
          <cell r="R143">
            <v>4.7</v>
          </cell>
        </row>
        <row r="144">
          <cell r="C144">
            <v>8.4499999999999993</v>
          </cell>
          <cell r="E144">
            <v>9.4</v>
          </cell>
          <cell r="G144">
            <v>8.5</v>
          </cell>
          <cell r="K144">
            <v>5.5</v>
          </cell>
          <cell r="O144">
            <v>0.95000000000000107</v>
          </cell>
          <cell r="P144">
            <v>1.5206571858163132</v>
          </cell>
          <cell r="R144">
            <v>4.4000000000000004</v>
          </cell>
        </row>
        <row r="145">
          <cell r="C145">
            <v>8.14</v>
          </cell>
          <cell r="E145">
            <v>9.16</v>
          </cell>
          <cell r="G145">
            <v>8.5</v>
          </cell>
          <cell r="K145">
            <v>5.5</v>
          </cell>
          <cell r="O145">
            <v>1.0199999999999996</v>
          </cell>
          <cell r="P145">
            <v>1.5206571858163132</v>
          </cell>
          <cell r="R145">
            <v>3.8</v>
          </cell>
        </row>
        <row r="146">
          <cell r="C146">
            <v>7.95</v>
          </cell>
          <cell r="E146">
            <v>9.0299999999999994</v>
          </cell>
          <cell r="G146">
            <v>8.1999999999999993</v>
          </cell>
          <cell r="K146">
            <v>5</v>
          </cell>
          <cell r="O146">
            <v>1.0799999999999992</v>
          </cell>
          <cell r="P146">
            <v>1.5206571858163132</v>
          </cell>
          <cell r="R146">
            <v>3.4</v>
          </cell>
        </row>
        <row r="147">
          <cell r="C147">
            <v>7.93</v>
          </cell>
          <cell r="E147">
            <v>8.99</v>
          </cell>
          <cell r="G147">
            <v>8</v>
          </cell>
          <cell r="K147">
            <v>5</v>
          </cell>
          <cell r="O147">
            <v>1.0600000000000005</v>
          </cell>
          <cell r="P147">
            <v>1.5206571858163132</v>
          </cell>
          <cell r="R147">
            <v>2.9</v>
          </cell>
        </row>
        <row r="148">
          <cell r="C148">
            <v>7.92</v>
          </cell>
          <cell r="E148">
            <v>8.93</v>
          </cell>
          <cell r="G148">
            <v>7.58</v>
          </cell>
          <cell r="K148">
            <v>5</v>
          </cell>
          <cell r="O148">
            <v>1.0099999999999998</v>
          </cell>
          <cell r="P148">
            <v>1.5206571858163132</v>
          </cell>
          <cell r="R148">
            <v>3</v>
          </cell>
        </row>
        <row r="149">
          <cell r="C149">
            <v>7.7</v>
          </cell>
          <cell r="E149">
            <v>8.76</v>
          </cell>
          <cell r="G149">
            <v>7.21</v>
          </cell>
          <cell r="K149">
            <v>4.5</v>
          </cell>
          <cell r="O149">
            <v>1.0599999999999996</v>
          </cell>
          <cell r="P149">
            <v>1.5206571858163132</v>
          </cell>
          <cell r="R149">
            <v>3.1</v>
          </cell>
        </row>
        <row r="150">
          <cell r="B150" t="str">
            <v>92</v>
          </cell>
          <cell r="C150">
            <v>7.58</v>
          </cell>
          <cell r="E150">
            <v>8.67</v>
          </cell>
          <cell r="G150">
            <v>6.5</v>
          </cell>
          <cell r="K150">
            <v>3.5</v>
          </cell>
          <cell r="O150">
            <v>1.0899999999999999</v>
          </cell>
          <cell r="P150">
            <v>1.5206571858163132</v>
          </cell>
          <cell r="R150">
            <v>2.6</v>
          </cell>
        </row>
        <row r="151">
          <cell r="C151">
            <v>7.85</v>
          </cell>
          <cell r="E151">
            <v>8.77</v>
          </cell>
          <cell r="G151">
            <v>6.5</v>
          </cell>
          <cell r="K151">
            <v>3.5</v>
          </cell>
          <cell r="O151">
            <v>0.91999999999999993</v>
          </cell>
          <cell r="P151">
            <v>1.5206571858163132</v>
          </cell>
          <cell r="R151">
            <v>2.8</v>
          </cell>
        </row>
        <row r="152">
          <cell r="C152">
            <v>7.97</v>
          </cell>
          <cell r="E152">
            <v>8.84</v>
          </cell>
          <cell r="G152">
            <v>6.5</v>
          </cell>
          <cell r="K152">
            <v>3.5</v>
          </cell>
          <cell r="O152">
            <v>0.87000000000000011</v>
          </cell>
          <cell r="P152">
            <v>1.5206571858163132</v>
          </cell>
          <cell r="R152">
            <v>3.2</v>
          </cell>
        </row>
        <row r="153">
          <cell r="C153">
            <v>7.96</v>
          </cell>
          <cell r="E153">
            <v>8.7899999999999991</v>
          </cell>
          <cell r="G153">
            <v>6.5</v>
          </cell>
          <cell r="K153">
            <v>3.5</v>
          </cell>
          <cell r="O153">
            <v>0.82999999999999918</v>
          </cell>
          <cell r="P153">
            <v>1.5206571858163132</v>
          </cell>
          <cell r="R153">
            <v>3.2</v>
          </cell>
        </row>
        <row r="154">
          <cell r="C154">
            <v>7.89</v>
          </cell>
          <cell r="E154">
            <v>8.7200000000000006</v>
          </cell>
          <cell r="G154">
            <v>6.5</v>
          </cell>
          <cell r="K154">
            <v>3.5</v>
          </cell>
          <cell r="O154">
            <v>0.83000000000000096</v>
          </cell>
          <cell r="P154">
            <v>1.5206571858163132</v>
          </cell>
          <cell r="R154">
            <v>3</v>
          </cell>
        </row>
        <row r="155">
          <cell r="C155">
            <v>7.84</v>
          </cell>
          <cell r="E155">
            <v>8.64</v>
          </cell>
          <cell r="G155">
            <v>6.5</v>
          </cell>
          <cell r="K155">
            <v>3.5</v>
          </cell>
          <cell r="O155">
            <v>0.80000000000000071</v>
          </cell>
          <cell r="P155">
            <v>1.5206571858163132</v>
          </cell>
          <cell r="R155">
            <v>3.1</v>
          </cell>
        </row>
        <row r="156">
          <cell r="C156">
            <v>7.6</v>
          </cell>
          <cell r="E156">
            <v>8.4600000000000009</v>
          </cell>
          <cell r="G156">
            <v>6.02</v>
          </cell>
          <cell r="K156">
            <v>3</v>
          </cell>
          <cell r="O156">
            <v>0.86000000000000121</v>
          </cell>
          <cell r="P156">
            <v>1.5206571858163132</v>
          </cell>
          <cell r="R156">
            <v>3.2</v>
          </cell>
        </row>
        <row r="157">
          <cell r="C157">
            <v>7.39</v>
          </cell>
          <cell r="E157">
            <v>8.34</v>
          </cell>
          <cell r="G157">
            <v>6</v>
          </cell>
          <cell r="K157">
            <v>3</v>
          </cell>
          <cell r="O157">
            <v>0.95000000000000018</v>
          </cell>
          <cell r="P157">
            <v>1.5206571858163132</v>
          </cell>
          <cell r="R157">
            <v>3.1</v>
          </cell>
        </row>
        <row r="158">
          <cell r="C158">
            <v>7.34</v>
          </cell>
          <cell r="E158">
            <v>8.32</v>
          </cell>
          <cell r="G158">
            <v>6</v>
          </cell>
          <cell r="K158">
            <v>3</v>
          </cell>
          <cell r="O158">
            <v>0.98000000000000043</v>
          </cell>
          <cell r="P158">
            <v>1.5206571858163132</v>
          </cell>
          <cell r="R158">
            <v>3</v>
          </cell>
        </row>
        <row r="159">
          <cell r="C159">
            <v>7.53</v>
          </cell>
          <cell r="E159">
            <v>8.44</v>
          </cell>
          <cell r="G159">
            <v>6</v>
          </cell>
          <cell r="K159">
            <v>3</v>
          </cell>
          <cell r="O159">
            <v>0.90999999999999925</v>
          </cell>
          <cell r="P159">
            <v>1.5206571858163132</v>
          </cell>
          <cell r="R159">
            <v>3.2</v>
          </cell>
        </row>
        <row r="160">
          <cell r="C160">
            <v>7.61</v>
          </cell>
          <cell r="E160">
            <v>8.5299999999999994</v>
          </cell>
          <cell r="G160">
            <v>6</v>
          </cell>
          <cell r="K160">
            <v>3</v>
          </cell>
          <cell r="O160">
            <v>0.91999999999999904</v>
          </cell>
          <cell r="P160">
            <v>1.5206571858163132</v>
          </cell>
          <cell r="R160">
            <v>3</v>
          </cell>
        </row>
        <row r="161">
          <cell r="C161">
            <v>7.44</v>
          </cell>
          <cell r="E161">
            <v>8.36</v>
          </cell>
          <cell r="G161">
            <v>6</v>
          </cell>
          <cell r="K161">
            <v>3</v>
          </cell>
          <cell r="O161">
            <v>0.91999999999999904</v>
          </cell>
          <cell r="P161">
            <v>1.5206571858163132</v>
          </cell>
          <cell r="R161">
            <v>2.9</v>
          </cell>
        </row>
        <row r="162">
          <cell r="B162" t="str">
            <v>93</v>
          </cell>
          <cell r="C162">
            <v>7.34</v>
          </cell>
          <cell r="E162">
            <v>8.23</v>
          </cell>
          <cell r="G162">
            <v>6</v>
          </cell>
          <cell r="K162">
            <v>3</v>
          </cell>
          <cell r="O162">
            <v>0.89000000000000057</v>
          </cell>
          <cell r="P162">
            <v>1.5206571858163132</v>
          </cell>
          <cell r="R162">
            <v>3.3</v>
          </cell>
        </row>
        <row r="163">
          <cell r="C163">
            <v>7.09</v>
          </cell>
          <cell r="E163">
            <v>8</v>
          </cell>
          <cell r="G163">
            <v>6</v>
          </cell>
          <cell r="K163">
            <v>3</v>
          </cell>
          <cell r="O163">
            <v>0.91000000000000014</v>
          </cell>
          <cell r="P163">
            <v>1.5206571858163132</v>
          </cell>
          <cell r="R163">
            <v>3.2</v>
          </cell>
        </row>
        <row r="164">
          <cell r="C164">
            <v>6.82</v>
          </cell>
          <cell r="E164">
            <v>7.85</v>
          </cell>
          <cell r="G164">
            <v>6</v>
          </cell>
          <cell r="K164">
            <v>3</v>
          </cell>
          <cell r="O164">
            <v>1.0299999999999994</v>
          </cell>
          <cell r="P164">
            <v>1.5206571858163132</v>
          </cell>
          <cell r="R164">
            <v>3.1</v>
          </cell>
        </row>
        <row r="165">
          <cell r="C165">
            <v>6.85</v>
          </cell>
          <cell r="E165">
            <v>7.76</v>
          </cell>
          <cell r="G165">
            <v>6</v>
          </cell>
          <cell r="K165">
            <v>3</v>
          </cell>
          <cell r="O165">
            <v>0.91000000000000014</v>
          </cell>
          <cell r="P165">
            <v>1.5206571858163132</v>
          </cell>
          <cell r="R165">
            <v>3.2</v>
          </cell>
        </row>
        <row r="166">
          <cell r="C166">
            <v>6.92</v>
          </cell>
          <cell r="E166">
            <v>7.78</v>
          </cell>
          <cell r="G166">
            <v>6</v>
          </cell>
          <cell r="K166">
            <v>3</v>
          </cell>
          <cell r="O166">
            <v>0.86000000000000032</v>
          </cell>
          <cell r="P166">
            <v>1.5206571858163132</v>
          </cell>
          <cell r="R166">
            <v>3.2</v>
          </cell>
        </row>
        <row r="167">
          <cell r="C167">
            <v>6.81</v>
          </cell>
          <cell r="E167">
            <v>7.68</v>
          </cell>
          <cell r="G167">
            <v>6</v>
          </cell>
          <cell r="K167">
            <v>3</v>
          </cell>
          <cell r="O167">
            <v>0.87000000000000011</v>
          </cell>
          <cell r="P167">
            <v>1.5206571858163132</v>
          </cell>
          <cell r="R167">
            <v>3</v>
          </cell>
        </row>
        <row r="168">
          <cell r="C168">
            <v>6.63</v>
          </cell>
          <cell r="E168">
            <v>7.53</v>
          </cell>
          <cell r="G168">
            <v>6</v>
          </cell>
          <cell r="K168">
            <v>3</v>
          </cell>
          <cell r="O168">
            <v>0.90000000000000036</v>
          </cell>
          <cell r="P168">
            <v>1.5206571858163132</v>
          </cell>
          <cell r="R168">
            <v>2.8</v>
          </cell>
        </row>
        <row r="169">
          <cell r="C169">
            <v>6.32</v>
          </cell>
          <cell r="E169">
            <v>7.21</v>
          </cell>
          <cell r="G169">
            <v>6</v>
          </cell>
          <cell r="K169">
            <v>3</v>
          </cell>
          <cell r="O169">
            <v>0.88999999999999968</v>
          </cell>
          <cell r="P169">
            <v>1.5206571858163132</v>
          </cell>
          <cell r="R169">
            <v>2.8</v>
          </cell>
        </row>
        <row r="170">
          <cell r="C170">
            <v>6</v>
          </cell>
          <cell r="E170">
            <v>7.01</v>
          </cell>
          <cell r="G170">
            <v>6</v>
          </cell>
          <cell r="K170">
            <v>3</v>
          </cell>
          <cell r="O170">
            <v>1.0099999999999998</v>
          </cell>
          <cell r="P170">
            <v>1.5206571858163132</v>
          </cell>
          <cell r="R170">
            <v>2.7</v>
          </cell>
        </row>
        <row r="171">
          <cell r="C171">
            <v>5.94</v>
          </cell>
          <cell r="E171">
            <v>6.99</v>
          </cell>
          <cell r="G171">
            <v>6</v>
          </cell>
          <cell r="K171">
            <v>3</v>
          </cell>
          <cell r="O171">
            <v>1.0499999999999998</v>
          </cell>
          <cell r="P171">
            <v>1.5206571858163132</v>
          </cell>
          <cell r="R171">
            <v>2.8</v>
          </cell>
        </row>
        <row r="172">
          <cell r="C172">
            <v>6.21</v>
          </cell>
          <cell r="E172">
            <v>7.3</v>
          </cell>
          <cell r="G172">
            <v>6</v>
          </cell>
          <cell r="K172">
            <v>3</v>
          </cell>
          <cell r="O172">
            <v>1.0899999999999999</v>
          </cell>
          <cell r="P172">
            <v>1.5206571858163132</v>
          </cell>
          <cell r="R172">
            <v>2.7</v>
          </cell>
        </row>
        <row r="173">
          <cell r="C173">
            <v>6.25</v>
          </cell>
          <cell r="E173">
            <v>7.33</v>
          </cell>
          <cell r="G173">
            <v>6</v>
          </cell>
          <cell r="K173">
            <v>3</v>
          </cell>
          <cell r="O173">
            <v>1.08</v>
          </cell>
          <cell r="P173">
            <v>1.5206571858163132</v>
          </cell>
          <cell r="R173">
            <v>2.7</v>
          </cell>
        </row>
        <row r="174">
          <cell r="B174" t="str">
            <v>94</v>
          </cell>
          <cell r="C174">
            <v>6.29</v>
          </cell>
          <cell r="E174">
            <v>7.31</v>
          </cell>
          <cell r="G174">
            <v>6</v>
          </cell>
          <cell r="K174">
            <v>3</v>
          </cell>
          <cell r="O174">
            <v>1.0199999999999996</v>
          </cell>
          <cell r="P174">
            <v>1.5206571858163132</v>
          </cell>
          <cell r="R174">
            <v>2.5</v>
          </cell>
        </row>
        <row r="175">
          <cell r="C175">
            <v>6.49</v>
          </cell>
          <cell r="E175">
            <v>7.44</v>
          </cell>
          <cell r="G175">
            <v>6</v>
          </cell>
          <cell r="K175">
            <v>3</v>
          </cell>
          <cell r="O175">
            <v>0.95000000000000018</v>
          </cell>
          <cell r="P175">
            <v>1.5206571858163132</v>
          </cell>
          <cell r="R175">
            <v>2.5</v>
          </cell>
        </row>
        <row r="176">
          <cell r="C176">
            <v>6.91</v>
          </cell>
          <cell r="E176">
            <v>7.83</v>
          </cell>
          <cell r="G176">
            <v>6.06</v>
          </cell>
          <cell r="K176">
            <v>3</v>
          </cell>
          <cell r="O176">
            <v>0.91999999999999993</v>
          </cell>
          <cell r="P176">
            <v>1.5206571858163132</v>
          </cell>
          <cell r="R176">
            <v>2.5</v>
          </cell>
        </row>
        <row r="177">
          <cell r="C177">
            <v>7.27</v>
          </cell>
          <cell r="E177">
            <v>8.1999999999999993</v>
          </cell>
          <cell r="G177">
            <v>6.45</v>
          </cell>
          <cell r="K177">
            <v>3</v>
          </cell>
          <cell r="O177">
            <v>0.92999999999999972</v>
          </cell>
          <cell r="P177">
            <v>1.5206571858163132</v>
          </cell>
          <cell r="R177">
            <v>2.4</v>
          </cell>
        </row>
        <row r="178">
          <cell r="C178">
            <v>7.41</v>
          </cell>
          <cell r="E178">
            <v>8.32</v>
          </cell>
          <cell r="G178">
            <v>6.99</v>
          </cell>
          <cell r="K178">
            <v>3</v>
          </cell>
          <cell r="O178">
            <v>0.91000000000000014</v>
          </cell>
          <cell r="P178">
            <v>1.5206571858163132</v>
          </cell>
          <cell r="R178">
            <v>2.2999999999999998</v>
          </cell>
        </row>
        <row r="179">
          <cell r="C179">
            <v>7.4</v>
          </cell>
          <cell r="E179">
            <v>8.31</v>
          </cell>
          <cell r="G179">
            <v>7.25</v>
          </cell>
          <cell r="K179">
            <v>3.5</v>
          </cell>
          <cell r="O179">
            <v>0.91000000000000014</v>
          </cell>
          <cell r="P179">
            <v>1.5206571858163132</v>
          </cell>
          <cell r="R179">
            <v>2.5</v>
          </cell>
        </row>
        <row r="180">
          <cell r="C180">
            <v>7.58</v>
          </cell>
          <cell r="E180">
            <v>8.4700000000000006</v>
          </cell>
          <cell r="G180">
            <v>7.25</v>
          </cell>
          <cell r="K180">
            <v>3.5</v>
          </cell>
          <cell r="O180">
            <v>0.89000000000000057</v>
          </cell>
          <cell r="P180">
            <v>1.5206571858163132</v>
          </cell>
          <cell r="R180">
            <v>2.9</v>
          </cell>
        </row>
        <row r="181">
          <cell r="C181">
            <v>7.49</v>
          </cell>
          <cell r="E181">
            <v>8.41</v>
          </cell>
          <cell r="G181">
            <v>7.51</v>
          </cell>
          <cell r="K181">
            <v>3.5</v>
          </cell>
          <cell r="O181">
            <v>0.91999999999999993</v>
          </cell>
          <cell r="P181">
            <v>1.5206571858163132</v>
          </cell>
          <cell r="R181">
            <v>3</v>
          </cell>
        </row>
        <row r="182">
          <cell r="C182">
            <v>7.71</v>
          </cell>
          <cell r="E182">
            <v>8.65</v>
          </cell>
          <cell r="G182">
            <v>7.75</v>
          </cell>
          <cell r="K182">
            <v>4</v>
          </cell>
          <cell r="O182">
            <v>0.94000000000000039</v>
          </cell>
          <cell r="P182">
            <v>1.5206571858163132</v>
          </cell>
          <cell r="R182">
            <v>2.6</v>
          </cell>
        </row>
        <row r="183">
          <cell r="C183">
            <v>7.94</v>
          </cell>
          <cell r="E183">
            <v>8.8800000000000008</v>
          </cell>
          <cell r="G183">
            <v>7.75</v>
          </cell>
          <cell r="K183">
            <v>4</v>
          </cell>
          <cell r="O183">
            <v>0.94000000000000039</v>
          </cell>
          <cell r="P183">
            <v>1.5206571858163132</v>
          </cell>
          <cell r="R183">
            <v>2.7</v>
          </cell>
        </row>
        <row r="184">
          <cell r="C184">
            <v>8.08</v>
          </cell>
          <cell r="E184">
            <v>9</v>
          </cell>
          <cell r="G184">
            <v>8.15</v>
          </cell>
          <cell r="K184">
            <v>4.75</v>
          </cell>
          <cell r="O184">
            <v>0.91999999999999993</v>
          </cell>
          <cell r="P184">
            <v>1.5206571858163132</v>
          </cell>
          <cell r="R184">
            <v>2.7</v>
          </cell>
        </row>
        <row r="185">
          <cell r="C185">
            <v>7.87</v>
          </cell>
          <cell r="E185">
            <v>8.7899999999999991</v>
          </cell>
          <cell r="G185">
            <v>8.5</v>
          </cell>
          <cell r="K185">
            <v>4.75</v>
          </cell>
          <cell r="O185">
            <v>0.91999999999999904</v>
          </cell>
          <cell r="P185">
            <v>1.5206571858163132</v>
          </cell>
          <cell r="R185">
            <v>2.8</v>
          </cell>
        </row>
        <row r="186">
          <cell r="B186" t="str">
            <v>95</v>
          </cell>
          <cell r="C186">
            <v>7.85</v>
          </cell>
          <cell r="E186">
            <v>8.77</v>
          </cell>
          <cell r="G186">
            <v>8.5</v>
          </cell>
          <cell r="K186">
            <v>4.75</v>
          </cell>
          <cell r="O186">
            <v>0.91999999999999993</v>
          </cell>
          <cell r="P186">
            <v>1.5206571858163132</v>
          </cell>
          <cell r="R186">
            <v>2.9</v>
          </cell>
        </row>
        <row r="187">
          <cell r="C187">
            <v>7.61</v>
          </cell>
          <cell r="E187">
            <v>8.56</v>
          </cell>
          <cell r="G187">
            <v>9</v>
          </cell>
          <cell r="K187">
            <v>5.25</v>
          </cell>
          <cell r="O187">
            <v>0.95000000000000018</v>
          </cell>
          <cell r="P187">
            <v>1.5206571858163132</v>
          </cell>
          <cell r="R187">
            <v>2.9</v>
          </cell>
        </row>
        <row r="188">
          <cell r="C188">
            <v>7.45</v>
          </cell>
          <cell r="E188">
            <v>8.41</v>
          </cell>
          <cell r="G188">
            <v>9</v>
          </cell>
          <cell r="K188">
            <v>5.25</v>
          </cell>
          <cell r="O188">
            <v>0.96</v>
          </cell>
          <cell r="P188">
            <v>1.5206571858163132</v>
          </cell>
          <cell r="R188">
            <v>3.1</v>
          </cell>
        </row>
        <row r="189">
          <cell r="C189">
            <v>7.36</v>
          </cell>
          <cell r="E189">
            <v>8.3000000000000007</v>
          </cell>
          <cell r="G189">
            <v>9</v>
          </cell>
          <cell r="K189">
            <v>5.25</v>
          </cell>
          <cell r="O189">
            <v>0.94000000000000039</v>
          </cell>
          <cell r="P189">
            <v>1.5206571858163132</v>
          </cell>
          <cell r="R189">
            <v>2.4</v>
          </cell>
        </row>
        <row r="190">
          <cell r="C190">
            <v>6.95</v>
          </cell>
          <cell r="E190">
            <v>7.93</v>
          </cell>
          <cell r="G190">
            <v>9</v>
          </cell>
          <cell r="K190">
            <v>5.25</v>
          </cell>
          <cell r="O190">
            <v>0.97999999999999954</v>
          </cell>
          <cell r="P190">
            <v>1.5206571858163132</v>
          </cell>
          <cell r="R190">
            <v>3.2</v>
          </cell>
        </row>
        <row r="191">
          <cell r="C191">
            <v>6.57</v>
          </cell>
          <cell r="E191">
            <v>7.62</v>
          </cell>
          <cell r="G191">
            <v>9</v>
          </cell>
          <cell r="K191">
            <v>5.25</v>
          </cell>
          <cell r="O191">
            <v>1.0499999999999998</v>
          </cell>
          <cell r="P191">
            <v>1.5206571858163132</v>
          </cell>
          <cell r="R191">
            <v>3</v>
          </cell>
        </row>
        <row r="192">
          <cell r="C192">
            <v>6.72</v>
          </cell>
          <cell r="E192">
            <v>7.73</v>
          </cell>
          <cell r="G192">
            <v>8.8000000000000007</v>
          </cell>
          <cell r="K192">
            <v>5.25</v>
          </cell>
          <cell r="O192">
            <v>1.0100000000000007</v>
          </cell>
          <cell r="P192">
            <v>1.5206571858163132</v>
          </cell>
          <cell r="R192">
            <v>2.8</v>
          </cell>
        </row>
        <row r="193">
          <cell r="C193">
            <v>6.86</v>
          </cell>
          <cell r="E193">
            <v>7.86</v>
          </cell>
          <cell r="G193">
            <v>8.75</v>
          </cell>
          <cell r="K193">
            <v>5.25</v>
          </cell>
          <cell r="O193">
            <v>1</v>
          </cell>
          <cell r="P193">
            <v>1.5206571858163132</v>
          </cell>
          <cell r="R193">
            <v>2.6</v>
          </cell>
        </row>
        <row r="194">
          <cell r="C194">
            <v>6.55</v>
          </cell>
          <cell r="E194">
            <v>7.62</v>
          </cell>
          <cell r="G194">
            <v>8.75</v>
          </cell>
          <cell r="K194">
            <v>5.25</v>
          </cell>
          <cell r="O194">
            <v>1.0700000000000003</v>
          </cell>
          <cell r="P194">
            <v>1.5206571858163132</v>
          </cell>
          <cell r="R194">
            <v>2.5</v>
          </cell>
        </row>
        <row r="195">
          <cell r="C195">
            <v>6.37</v>
          </cell>
          <cell r="E195">
            <v>7.46</v>
          </cell>
          <cell r="G195">
            <v>8.75</v>
          </cell>
          <cell r="K195">
            <v>5.25</v>
          </cell>
          <cell r="O195">
            <v>1.0899999999999999</v>
          </cell>
          <cell r="P195">
            <v>1.5206571858163132</v>
          </cell>
          <cell r="R195">
            <v>2.8</v>
          </cell>
        </row>
        <row r="196">
          <cell r="C196">
            <v>6.26</v>
          </cell>
          <cell r="E196">
            <v>7.4</v>
          </cell>
          <cell r="G196">
            <v>8.75</v>
          </cell>
          <cell r="K196">
            <v>5.25</v>
          </cell>
          <cell r="O196">
            <v>1.1400000000000006</v>
          </cell>
          <cell r="P196">
            <v>1.5206571858163132</v>
          </cell>
          <cell r="R196">
            <v>2.6</v>
          </cell>
        </row>
        <row r="197">
          <cell r="C197">
            <v>6.06</v>
          </cell>
          <cell r="E197">
            <v>7.21</v>
          </cell>
          <cell r="G197">
            <v>8.65</v>
          </cell>
          <cell r="K197">
            <v>5.25</v>
          </cell>
          <cell r="O197">
            <v>1.1500000000000004</v>
          </cell>
          <cell r="P197">
            <v>1.5206571858163132</v>
          </cell>
          <cell r="R197">
            <v>2.5</v>
          </cell>
        </row>
        <row r="198">
          <cell r="B198" t="str">
            <v>96</v>
          </cell>
          <cell r="C198">
            <v>6.05</v>
          </cell>
          <cell r="E198">
            <v>7.2</v>
          </cell>
          <cell r="G198">
            <v>8.5</v>
          </cell>
          <cell r="K198">
            <v>5.25</v>
          </cell>
          <cell r="O198">
            <v>1.1500000000000004</v>
          </cell>
          <cell r="P198">
            <v>1.5206571858163132</v>
          </cell>
          <cell r="R198">
            <v>2.7</v>
          </cell>
        </row>
        <row r="199">
          <cell r="C199">
            <v>6.24</v>
          </cell>
          <cell r="E199">
            <v>7.37</v>
          </cell>
          <cell r="G199">
            <v>8.25</v>
          </cell>
          <cell r="K199">
            <v>5</v>
          </cell>
          <cell r="O199">
            <v>1.1299999999999999</v>
          </cell>
          <cell r="P199">
            <v>1.5206571858163132</v>
          </cell>
          <cell r="R199">
            <v>2.7</v>
          </cell>
        </row>
        <row r="200">
          <cell r="C200">
            <v>6.6</v>
          </cell>
          <cell r="E200">
            <v>7.72</v>
          </cell>
          <cell r="G200">
            <v>8.25</v>
          </cell>
          <cell r="K200">
            <v>5</v>
          </cell>
          <cell r="O200">
            <v>1.1200000000000001</v>
          </cell>
          <cell r="P200">
            <v>1.5206571858163132</v>
          </cell>
          <cell r="R200">
            <v>2.8</v>
          </cell>
        </row>
        <row r="201">
          <cell r="C201">
            <v>6.79</v>
          </cell>
          <cell r="E201">
            <v>7.88</v>
          </cell>
          <cell r="G201">
            <v>8.25</v>
          </cell>
          <cell r="K201">
            <v>5</v>
          </cell>
          <cell r="O201">
            <v>1.0899999999999999</v>
          </cell>
          <cell r="P201">
            <v>1.5206571858163132</v>
          </cell>
          <cell r="R201">
            <v>2.9</v>
          </cell>
        </row>
        <row r="202">
          <cell r="C202">
            <v>6.93</v>
          </cell>
          <cell r="E202">
            <v>7.99</v>
          </cell>
          <cell r="G202">
            <v>8.25</v>
          </cell>
          <cell r="K202">
            <v>5</v>
          </cell>
          <cell r="O202">
            <v>1.0600000000000005</v>
          </cell>
          <cell r="P202">
            <v>1.5206571858163132</v>
          </cell>
          <cell r="R202">
            <v>2.9</v>
          </cell>
        </row>
        <row r="203">
          <cell r="C203">
            <v>7.06</v>
          </cell>
          <cell r="E203">
            <v>8.07</v>
          </cell>
          <cell r="G203">
            <v>8.25</v>
          </cell>
          <cell r="K203">
            <v>5</v>
          </cell>
          <cell r="O203">
            <v>1.0100000000000007</v>
          </cell>
          <cell r="P203">
            <v>1.5206571858163132</v>
          </cell>
          <cell r="R203">
            <v>2.8</v>
          </cell>
        </row>
        <row r="204">
          <cell r="C204">
            <v>7.03</v>
          </cell>
          <cell r="E204">
            <v>8.02</v>
          </cell>
          <cell r="G204">
            <v>8.25</v>
          </cell>
          <cell r="K204">
            <v>5</v>
          </cell>
          <cell r="O204">
            <v>0.98999999999999932</v>
          </cell>
          <cell r="P204">
            <v>1.5206571858163132</v>
          </cell>
          <cell r="R204">
            <v>3</v>
          </cell>
        </row>
        <row r="205">
          <cell r="C205">
            <v>6.84</v>
          </cell>
          <cell r="E205">
            <v>7.84</v>
          </cell>
          <cell r="G205">
            <v>8.25</v>
          </cell>
          <cell r="K205">
            <v>5</v>
          </cell>
          <cell r="O205">
            <v>1</v>
          </cell>
          <cell r="P205">
            <v>1.5206571858163132</v>
          </cell>
          <cell r="R205">
            <v>2.9</v>
          </cell>
        </row>
        <row r="206">
          <cell r="C206">
            <v>7.03</v>
          </cell>
          <cell r="E206">
            <v>8.01</v>
          </cell>
          <cell r="G206">
            <v>8.25</v>
          </cell>
          <cell r="K206">
            <v>5</v>
          </cell>
          <cell r="O206">
            <v>0.97999999999999954</v>
          </cell>
          <cell r="P206">
            <v>1.5206571858163132</v>
          </cell>
          <cell r="R206">
            <v>3</v>
          </cell>
        </row>
        <row r="207">
          <cell r="C207">
            <v>6.81</v>
          </cell>
          <cell r="E207">
            <v>7.76</v>
          </cell>
          <cell r="G207">
            <v>8.25</v>
          </cell>
          <cell r="K207">
            <v>5</v>
          </cell>
          <cell r="O207">
            <v>0.95000000000000018</v>
          </cell>
          <cell r="P207">
            <v>1.5206571858163132</v>
          </cell>
          <cell r="R207">
            <v>3</v>
          </cell>
        </row>
        <row r="208">
          <cell r="C208">
            <v>6.48</v>
          </cell>
          <cell r="E208">
            <v>7.48</v>
          </cell>
          <cell r="G208">
            <v>8.25</v>
          </cell>
          <cell r="K208">
            <v>5</v>
          </cell>
          <cell r="O208">
            <v>1</v>
          </cell>
          <cell r="P208">
            <v>1.5206571858163132</v>
          </cell>
          <cell r="R208">
            <v>3.3</v>
          </cell>
        </row>
        <row r="209">
          <cell r="C209">
            <v>6.55</v>
          </cell>
          <cell r="E209">
            <v>7.58</v>
          </cell>
          <cell r="G209">
            <v>8.25</v>
          </cell>
          <cell r="K209">
            <v>5</v>
          </cell>
          <cell r="O209">
            <v>1.0300000000000002</v>
          </cell>
          <cell r="P209">
            <v>1.5206571858163132</v>
          </cell>
          <cell r="R209">
            <v>3.3</v>
          </cell>
        </row>
        <row r="210">
          <cell r="B210" t="str">
            <v>97</v>
          </cell>
          <cell r="C210">
            <v>6.83</v>
          </cell>
          <cell r="E210">
            <v>7.79</v>
          </cell>
          <cell r="G210">
            <v>8.25</v>
          </cell>
          <cell r="K210">
            <v>5</v>
          </cell>
          <cell r="O210">
            <v>0.96</v>
          </cell>
          <cell r="P210">
            <v>1.5206571858163132</v>
          </cell>
          <cell r="R210">
            <v>3</v>
          </cell>
        </row>
        <row r="211">
          <cell r="C211">
            <v>6.69</v>
          </cell>
          <cell r="E211">
            <v>7.68</v>
          </cell>
          <cell r="G211">
            <v>8.25</v>
          </cell>
          <cell r="K211">
            <v>5</v>
          </cell>
          <cell r="O211">
            <v>0.98999999999999932</v>
          </cell>
          <cell r="P211">
            <v>1.5206571858163132</v>
          </cell>
          <cell r="R211">
            <v>3</v>
          </cell>
        </row>
        <row r="212">
          <cell r="C212">
            <v>6.93</v>
          </cell>
          <cell r="E212">
            <v>7.92</v>
          </cell>
          <cell r="G212">
            <v>8.3000000000000007</v>
          </cell>
          <cell r="K212">
            <v>5</v>
          </cell>
          <cell r="O212">
            <v>0.99000000000000021</v>
          </cell>
          <cell r="P212">
            <v>1.5206571858163132</v>
          </cell>
          <cell r="R212">
            <v>2.8</v>
          </cell>
        </row>
        <row r="213">
          <cell r="C213">
            <v>7.09</v>
          </cell>
          <cell r="E213">
            <v>8.08</v>
          </cell>
          <cell r="G213">
            <v>8.5</v>
          </cell>
          <cell r="K213">
            <v>5</v>
          </cell>
          <cell r="O213">
            <v>0.99000000000000021</v>
          </cell>
          <cell r="P213">
            <v>1.5206571858163132</v>
          </cell>
          <cell r="R213">
            <v>2.5</v>
          </cell>
        </row>
        <row r="214">
          <cell r="C214">
            <v>6.94</v>
          </cell>
          <cell r="E214">
            <v>7.94</v>
          </cell>
          <cell r="G214">
            <v>8.5</v>
          </cell>
          <cell r="K214">
            <v>5</v>
          </cell>
          <cell r="O214">
            <v>1</v>
          </cell>
          <cell r="P214">
            <v>1.5206571858163132</v>
          </cell>
          <cell r="R214">
            <v>2.2000000000000002</v>
          </cell>
        </row>
        <row r="215">
          <cell r="C215">
            <v>6.77</v>
          </cell>
          <cell r="E215">
            <v>7.77</v>
          </cell>
          <cell r="G215">
            <v>8.5</v>
          </cell>
          <cell r="K215">
            <v>5</v>
          </cell>
          <cell r="O215">
            <v>1</v>
          </cell>
          <cell r="P215">
            <v>1.5206571858163132</v>
          </cell>
          <cell r="R215">
            <v>2.2999999999999998</v>
          </cell>
        </row>
        <row r="216">
          <cell r="C216">
            <v>6.51</v>
          </cell>
          <cell r="E216">
            <v>7.52</v>
          </cell>
          <cell r="G216">
            <v>8.5</v>
          </cell>
          <cell r="K216">
            <v>5</v>
          </cell>
          <cell r="O216">
            <v>1.0099999999999998</v>
          </cell>
          <cell r="P216">
            <v>1.5206571858163132</v>
          </cell>
          <cell r="R216">
            <v>2.2000000000000002</v>
          </cell>
        </row>
        <row r="217">
          <cell r="C217">
            <v>6.58</v>
          </cell>
          <cell r="E217">
            <v>7.57</v>
          </cell>
          <cell r="G217">
            <v>8.5</v>
          </cell>
          <cell r="K217">
            <v>5</v>
          </cell>
          <cell r="O217">
            <v>0.99000000000000021</v>
          </cell>
          <cell r="P217">
            <v>1.5206571858163132</v>
          </cell>
          <cell r="R217">
            <v>2.2000000000000002</v>
          </cell>
        </row>
        <row r="218">
          <cell r="C218">
            <v>6.5</v>
          </cell>
          <cell r="E218">
            <v>7.5</v>
          </cell>
          <cell r="G218">
            <v>8.5</v>
          </cell>
          <cell r="K218">
            <v>5</v>
          </cell>
          <cell r="O218">
            <v>1</v>
          </cell>
          <cell r="P218">
            <v>1.5206571858163132</v>
          </cell>
          <cell r="R218">
            <v>2.2000000000000002</v>
          </cell>
        </row>
        <row r="219">
          <cell r="C219">
            <v>6.33</v>
          </cell>
          <cell r="E219">
            <v>7.37</v>
          </cell>
          <cell r="G219">
            <v>8.5</v>
          </cell>
          <cell r="K219">
            <v>5</v>
          </cell>
          <cell r="O219">
            <v>1.04</v>
          </cell>
          <cell r="P219">
            <v>1.5206571858163132</v>
          </cell>
          <cell r="R219">
            <v>2.1</v>
          </cell>
        </row>
        <row r="220">
          <cell r="C220">
            <v>6.11</v>
          </cell>
          <cell r="E220">
            <v>7.24</v>
          </cell>
          <cell r="G220">
            <v>8.5</v>
          </cell>
          <cell r="K220">
            <v>5</v>
          </cell>
          <cell r="O220">
            <v>1.1299999999999999</v>
          </cell>
          <cell r="P220">
            <v>1.5206571858163132</v>
          </cell>
          <cell r="R220">
            <v>1.8</v>
          </cell>
        </row>
        <row r="221">
          <cell r="C221">
            <v>5.99</v>
          </cell>
          <cell r="E221">
            <v>7.16</v>
          </cell>
          <cell r="G221">
            <v>8.5</v>
          </cell>
          <cell r="K221">
            <v>5</v>
          </cell>
          <cell r="O221">
            <v>1.17</v>
          </cell>
          <cell r="P221">
            <v>1.5206571858163132</v>
          </cell>
          <cell r="R221">
            <v>1.7</v>
          </cell>
        </row>
        <row r="222">
          <cell r="B222" t="str">
            <v>98</v>
          </cell>
          <cell r="C222">
            <v>5.81</v>
          </cell>
          <cell r="E222">
            <v>7.03</v>
          </cell>
          <cell r="G222">
            <v>8.5</v>
          </cell>
          <cell r="K222">
            <v>5</v>
          </cell>
          <cell r="O222">
            <v>1.2200000000000006</v>
          </cell>
          <cell r="P222">
            <v>1.5206571858163132</v>
          </cell>
          <cell r="R222">
            <v>1.6</v>
          </cell>
        </row>
        <row r="223">
          <cell r="C223">
            <v>5.89</v>
          </cell>
          <cell r="E223">
            <v>7.09</v>
          </cell>
          <cell r="G223">
            <v>8.5</v>
          </cell>
          <cell r="K223">
            <v>5</v>
          </cell>
          <cell r="O223">
            <v>1.2000000000000002</v>
          </cell>
          <cell r="P223">
            <v>1.5206571858163132</v>
          </cell>
          <cell r="R223">
            <v>1.4</v>
          </cell>
        </row>
        <row r="224">
          <cell r="C224">
            <v>5.95</v>
          </cell>
          <cell r="E224">
            <v>7.13</v>
          </cell>
          <cell r="G224">
            <v>8.5</v>
          </cell>
          <cell r="K224">
            <v>5</v>
          </cell>
          <cell r="O224">
            <v>1.1799999999999997</v>
          </cell>
          <cell r="P224">
            <v>1.5206571858163132</v>
          </cell>
          <cell r="R224">
            <v>1.4</v>
          </cell>
        </row>
        <row r="225">
          <cell r="C225">
            <v>5.92</v>
          </cell>
          <cell r="E225">
            <v>7.12</v>
          </cell>
          <cell r="G225">
            <v>8.5</v>
          </cell>
          <cell r="K225">
            <v>5</v>
          </cell>
          <cell r="O225">
            <v>1.2000000000000002</v>
          </cell>
          <cell r="P225">
            <v>1.5206571858163132</v>
          </cell>
          <cell r="R225">
            <v>1.4</v>
          </cell>
        </row>
        <row r="226">
          <cell r="C226">
            <v>5.93</v>
          </cell>
          <cell r="E226">
            <v>7.11</v>
          </cell>
          <cell r="G226">
            <v>8.5</v>
          </cell>
          <cell r="K226">
            <v>5</v>
          </cell>
          <cell r="O226">
            <v>1.1800000000000006</v>
          </cell>
          <cell r="P226">
            <v>1.5206571858163132</v>
          </cell>
          <cell r="R226">
            <v>1.7</v>
          </cell>
        </row>
        <row r="227">
          <cell r="C227">
            <v>5.7</v>
          </cell>
          <cell r="E227">
            <v>6.99</v>
          </cell>
          <cell r="G227">
            <v>8.5</v>
          </cell>
          <cell r="K227">
            <v>5</v>
          </cell>
          <cell r="P227">
            <v>1.5206571858163132</v>
          </cell>
          <cell r="R227">
            <v>1.7</v>
          </cell>
        </row>
        <row r="228">
          <cell r="C228">
            <v>5.68</v>
          </cell>
          <cell r="E228">
            <v>6.99</v>
          </cell>
          <cell r="G228">
            <v>8.5</v>
          </cell>
          <cell r="K228">
            <v>5</v>
          </cell>
          <cell r="P228">
            <v>1.5206571858163132</v>
          </cell>
          <cell r="R228">
            <v>1.7</v>
          </cell>
        </row>
        <row r="229">
          <cell r="C229">
            <v>5.54</v>
          </cell>
          <cell r="E229">
            <v>6.96</v>
          </cell>
          <cell r="G229">
            <v>8.5</v>
          </cell>
          <cell r="P229">
            <v>1.5206571858163132</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 software &lt;25k"/>
      <sheetName val="14802"/>
      <sheetName val="sched_m"/>
      <sheetName val="YTD"/>
    </sheetNames>
    <sheetDataSet>
      <sheetData sheetId="0"/>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verage Spreads"/>
      <sheetName val="BondsOnline Data"/>
      <sheetName val="Moody's Bond Yield Data"/>
      <sheetName val="Discount Rate "/>
      <sheetName val="Chart1"/>
      <sheetName val="Prime Rate"/>
      <sheetName val="Chart2"/>
      <sheetName val="Inflation"/>
      <sheetName val="Chart3"/>
      <sheetName val="Utility Bonds"/>
      <sheetName val="30 Yr. Bonds"/>
      <sheetName val="Chart4"/>
      <sheetName val="Chart5"/>
      <sheetName val="Chart6"/>
      <sheetName val="Compatibility Report"/>
      <sheetName val="Sheet1"/>
      <sheetName val="Sheet2"/>
    </sheetNames>
    <sheetDataSet>
      <sheetData sheetId="0">
        <row r="6">
          <cell r="B6" t="str">
            <v xml:space="preserve"> 80</v>
          </cell>
        </row>
      </sheetData>
      <sheetData sheetId="1"/>
      <sheetData sheetId="2"/>
      <sheetData sheetId="3">
        <row r="14">
          <cell r="A14">
            <v>6941</v>
          </cell>
        </row>
      </sheetData>
      <sheetData sheetId="4"/>
      <sheetData sheetId="5" refreshError="1"/>
      <sheetData sheetId="6"/>
      <sheetData sheetId="7" refreshError="1"/>
      <sheetData sheetId="8"/>
      <sheetData sheetId="9" refreshError="1"/>
      <sheetData sheetId="10"/>
      <sheetData sheetId="11"/>
      <sheetData sheetId="12" refreshError="1"/>
      <sheetData sheetId="13" refreshError="1"/>
      <sheetData sheetId="14" refreshError="1"/>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WP 2-16 Support do not file"/>
      <sheetName val="WP-H-14-682015 Lobby"/>
      <sheetName val="WP H14 W_Koenig"/>
      <sheetName val="WP-H-14-682010_Lobby"/>
      <sheetName val="WP-H-14-682010_LobbyA"/>
      <sheetName val="WP-H-14-682015_Lobby"/>
      <sheetName val="WP H-2-32 2009 Fuel detail"/>
    </sheetNames>
    <sheetDataSet>
      <sheetData sheetId="0"/>
      <sheetData sheetId="1"/>
      <sheetData sheetId="2">
        <row r="14">
          <cell r="L14">
            <v>28170</v>
          </cell>
        </row>
      </sheetData>
      <sheetData sheetId="3"/>
      <sheetData sheetId="4">
        <row r="1">
          <cell r="A1" t="str">
            <v>X0005020</v>
          </cell>
          <cell r="B1" t="str">
            <v>682010</v>
          </cell>
          <cell r="C1" t="str">
            <v>4500151507</v>
          </cell>
          <cell r="D1" t="str">
            <v>Clayton C. Raylor</v>
          </cell>
          <cell r="E1"/>
          <cell r="F1" t="str">
            <v>Lobbying &amp; consult services Inv #624</v>
          </cell>
          <cell r="G1">
            <v>5000</v>
          </cell>
        </row>
        <row r="3">
          <cell r="A3" t="str">
            <v>X0005020</v>
          </cell>
          <cell r="B3" t="str">
            <v>682010</v>
          </cell>
          <cell r="C3" t="str">
            <v>4500154364</v>
          </cell>
          <cell r="D3" t="str">
            <v>Jeff Applekamp</v>
          </cell>
          <cell r="E3"/>
          <cell r="F3" t="str">
            <v>Consultant services</v>
          </cell>
          <cell r="G3">
            <v>3000</v>
          </cell>
        </row>
        <row r="4">
          <cell r="A4" t="str">
            <v>X0005020</v>
          </cell>
          <cell r="B4" t="str">
            <v>682010</v>
          </cell>
          <cell r="C4" t="str">
            <v>4500155349</v>
          </cell>
          <cell r="D4" t="str">
            <v>Jeff Applekamp</v>
          </cell>
          <cell r="E4"/>
          <cell r="F4" t="str">
            <v>Contract expenses</v>
          </cell>
          <cell r="G4">
            <v>357.35</v>
          </cell>
        </row>
        <row r="5">
          <cell r="G5">
            <v>3357.35</v>
          </cell>
        </row>
        <row r="6">
          <cell r="A6" t="str">
            <v>X0005020</v>
          </cell>
          <cell r="B6" t="str">
            <v>682010</v>
          </cell>
          <cell r="C6" t="str">
            <v>4500164665</v>
          </cell>
          <cell r="D6" t="str">
            <v>Lee Slater</v>
          </cell>
          <cell r="E6"/>
          <cell r="F6" t="str">
            <v>Legal services</v>
          </cell>
          <cell r="G6">
            <v>3000</v>
          </cell>
        </row>
        <row r="7">
          <cell r="A7" t="str">
            <v>X0005020</v>
          </cell>
          <cell r="B7" t="str">
            <v>682010</v>
          </cell>
          <cell r="C7" t="str">
            <v>4500178284</v>
          </cell>
          <cell r="D7" t="str">
            <v>Lee Slater</v>
          </cell>
          <cell r="E7"/>
          <cell r="F7" t="str">
            <v>Legal fees</v>
          </cell>
          <cell r="G7">
            <v>1170</v>
          </cell>
        </row>
        <row r="8">
          <cell r="G8">
            <v>4170</v>
          </cell>
        </row>
        <row r="9">
          <cell r="A9" t="str">
            <v>X0005020</v>
          </cell>
          <cell r="B9" t="str">
            <v>682010</v>
          </cell>
          <cell r="C9" t="str">
            <v>4500147506</v>
          </cell>
          <cell r="D9" t="str">
            <v>Okla. Assoc. of Tax Repr.</v>
          </cell>
          <cell r="E9"/>
          <cell r="F9" t="str">
            <v>Expert Witness Services</v>
          </cell>
          <cell r="G9">
            <v>175</v>
          </cell>
        </row>
        <row r="10">
          <cell r="A10" t="str">
            <v>X0005020</v>
          </cell>
          <cell r="B10" t="str">
            <v>682010</v>
          </cell>
          <cell r="C10" t="str">
            <v>4500117667</v>
          </cell>
          <cell r="D10" t="str">
            <v>Walker, Ferguson &amp; Ferguson</v>
          </cell>
          <cell r="E10" t="str">
            <v>File No 1693-0003D Statement 100</v>
          </cell>
          <cell r="F10" t="str">
            <v>services on legislative issues</v>
          </cell>
          <cell r="G10">
            <v>2000</v>
          </cell>
        </row>
        <row r="11">
          <cell r="A11" t="str">
            <v>X0005020</v>
          </cell>
          <cell r="B11" t="str">
            <v>682010</v>
          </cell>
          <cell r="C11" t="str">
            <v>4500144599</v>
          </cell>
          <cell r="D11" t="str">
            <v>Walker, Ferguson &amp; Ferguson</v>
          </cell>
          <cell r="E11" t="str">
            <v>File No. 1693-0003D Statement 101</v>
          </cell>
          <cell r="F11" t="str">
            <v>services on legislative issues</v>
          </cell>
          <cell r="G11">
            <v>2000</v>
          </cell>
        </row>
        <row r="12">
          <cell r="A12" t="str">
            <v>X0005020</v>
          </cell>
          <cell r="B12" t="str">
            <v>682010</v>
          </cell>
          <cell r="C12" t="str">
            <v>4500144599</v>
          </cell>
          <cell r="D12" t="str">
            <v>Walker, Ferguson &amp; Ferguson</v>
          </cell>
          <cell r="E12" t="str">
            <v>Statement 102 File No. 1693-0003D</v>
          </cell>
          <cell r="F12" t="str">
            <v>services on legislative issues</v>
          </cell>
          <cell r="G12">
            <v>2000</v>
          </cell>
        </row>
        <row r="13">
          <cell r="A13" t="str">
            <v>X0005020</v>
          </cell>
          <cell r="B13" t="str">
            <v>682010</v>
          </cell>
          <cell r="C13" t="str">
            <v>4500144599</v>
          </cell>
          <cell r="D13" t="str">
            <v>Walker, Ferguson &amp; Ferguson</v>
          </cell>
          <cell r="E13" t="str">
            <v>File No. 1693-0003D Statement 103</v>
          </cell>
          <cell r="F13" t="str">
            <v>services on legislative issues</v>
          </cell>
          <cell r="G13">
            <v>2000</v>
          </cell>
        </row>
        <row r="14">
          <cell r="A14" t="str">
            <v>X0005020</v>
          </cell>
          <cell r="B14" t="str">
            <v>682010</v>
          </cell>
          <cell r="C14" t="str">
            <v>4500144599</v>
          </cell>
          <cell r="D14" t="str">
            <v>Walker, Ferguson &amp; Ferguson</v>
          </cell>
          <cell r="E14" t="str">
            <v>File No. 1693-0003D, Stmt. 104</v>
          </cell>
          <cell r="F14" t="str">
            <v>services on legislative issues</v>
          </cell>
          <cell r="G14">
            <v>2000</v>
          </cell>
        </row>
        <row r="15">
          <cell r="A15" t="str">
            <v>X0005020</v>
          </cell>
          <cell r="B15" t="str">
            <v>682010</v>
          </cell>
          <cell r="C15" t="str">
            <v>4500144599</v>
          </cell>
          <cell r="D15" t="str">
            <v>Walker, Ferguson &amp; Ferguson</v>
          </cell>
          <cell r="E15" t="str">
            <v>File No. 1693-0003D, Stmt. 105</v>
          </cell>
          <cell r="F15" t="str">
            <v>services on legislative issues</v>
          </cell>
          <cell r="G15">
            <v>2000</v>
          </cell>
        </row>
        <row r="16">
          <cell r="A16" t="str">
            <v>X0005020</v>
          </cell>
          <cell r="B16" t="str">
            <v>682010</v>
          </cell>
          <cell r="C16" t="str">
            <v>4500144599</v>
          </cell>
          <cell r="D16" t="str">
            <v>Walker, Ferguson &amp; Ferguson</v>
          </cell>
          <cell r="E16" t="str">
            <v>Statement 106</v>
          </cell>
          <cell r="F16" t="str">
            <v>services on legislative issues</v>
          </cell>
          <cell r="G16">
            <v>2000</v>
          </cell>
        </row>
        <row r="17">
          <cell r="A17" t="str">
            <v>X0005020</v>
          </cell>
          <cell r="B17" t="str">
            <v>682010</v>
          </cell>
          <cell r="C17" t="str">
            <v>4500144599</v>
          </cell>
          <cell r="D17" t="str">
            <v>Walker, Ferguson &amp; Ferguson</v>
          </cell>
          <cell r="E17" t="str">
            <v>File No: 1693-0003D Statement 107</v>
          </cell>
          <cell r="F17" t="str">
            <v>services on legislative issues</v>
          </cell>
          <cell r="G17">
            <v>2000</v>
          </cell>
        </row>
        <row r="18">
          <cell r="A18" t="str">
            <v>X0005020</v>
          </cell>
          <cell r="B18" t="str">
            <v>682010</v>
          </cell>
          <cell r="C18" t="str">
            <v>4500144599</v>
          </cell>
          <cell r="D18" t="str">
            <v>Walker, Ferguson &amp; Ferguson</v>
          </cell>
          <cell r="E18"/>
          <cell r="F18" t="str">
            <v>services on legislative issues</v>
          </cell>
          <cell r="G18">
            <v>2000</v>
          </cell>
        </row>
        <row r="19">
          <cell r="A19" t="str">
            <v>X0005020</v>
          </cell>
          <cell r="B19" t="str">
            <v>682010</v>
          </cell>
          <cell r="C19" t="str">
            <v>4500144599</v>
          </cell>
          <cell r="D19" t="str">
            <v>Walker, Ferguson &amp; Ferguson</v>
          </cell>
          <cell r="E19" t="str">
            <v>File No. 1693-0003D Statement 109</v>
          </cell>
          <cell r="F19" t="str">
            <v>services on legislative issues</v>
          </cell>
          <cell r="G19">
            <v>2000</v>
          </cell>
        </row>
        <row r="20">
          <cell r="A20" t="str">
            <v>X0005020</v>
          </cell>
          <cell r="B20" t="str">
            <v>682010</v>
          </cell>
          <cell r="C20" t="str">
            <v>4500144599</v>
          </cell>
          <cell r="D20" t="str">
            <v>Walker, Ferguson &amp; Ferguson</v>
          </cell>
          <cell r="E20" t="str">
            <v>File No. 1693-0003D, Statement 110</v>
          </cell>
          <cell r="F20" t="str">
            <v>services on legislative issues</v>
          </cell>
          <cell r="G20">
            <v>2000</v>
          </cell>
        </row>
        <row r="21">
          <cell r="G21">
            <v>22000</v>
          </cell>
        </row>
        <row r="22">
          <cell r="A22" t="str">
            <v>X0005020</v>
          </cell>
          <cell r="B22" t="str">
            <v>682010</v>
          </cell>
          <cell r="C22" t="str">
            <v>4500169294</v>
          </cell>
          <cell r="D22" t="str">
            <v>Williams &amp; Jensen</v>
          </cell>
          <cell r="E22" t="str">
            <v>Lobbying services Invoice 6329</v>
          </cell>
          <cell r="F22" t="str">
            <v>NON-LOBBYING COST(0001)</v>
          </cell>
          <cell r="G22">
            <v>5921.9</v>
          </cell>
        </row>
        <row r="23">
          <cell r="A23" t="str">
            <v>Cost ctr</v>
          </cell>
          <cell r="B23" t="str">
            <v>Cost elem.</v>
          </cell>
          <cell r="C23" t="str">
            <v>Purch.doc.</v>
          </cell>
          <cell r="E23" t="str">
            <v>Name</v>
          </cell>
          <cell r="F23" t="str">
            <v>Purchase order text</v>
          </cell>
          <cell r="G23" t="str">
            <v>Value COCurr</v>
          </cell>
        </row>
        <row r="24">
          <cell r="A24" t="str">
            <v>X0005020</v>
          </cell>
          <cell r="B24" t="str">
            <v>682010</v>
          </cell>
          <cell r="C24"/>
          <cell r="E24" t="str">
            <v>Inv 5714</v>
          </cell>
          <cell r="F24"/>
          <cell r="G24">
            <v>-571.16</v>
          </cell>
        </row>
        <row r="25">
          <cell r="A25" t="str">
            <v>X0005020</v>
          </cell>
          <cell r="B25" t="str">
            <v>682010</v>
          </cell>
          <cell r="C25" t="str">
            <v>4500169294</v>
          </cell>
          <cell r="E25" t="str">
            <v>Non-lobbying expenses Invoice 5949</v>
          </cell>
          <cell r="F25" t="str">
            <v>NON-LOBBYING COST(0001)</v>
          </cell>
        </row>
        <row r="26">
          <cell r="A26" t="str">
            <v>X0005020</v>
          </cell>
          <cell r="B26" t="str">
            <v>682010</v>
          </cell>
          <cell r="C26" t="str">
            <v>4500169294</v>
          </cell>
          <cell r="E26" t="str">
            <v>Non-lobbying services Invoice 6175</v>
          </cell>
          <cell r="F26" t="str">
            <v>NON-LOBBYING COST(0001)</v>
          </cell>
          <cell r="G26">
            <v>1562.5</v>
          </cell>
        </row>
        <row r="27">
          <cell r="G27">
            <v>991.34</v>
          </cell>
        </row>
        <row r="28">
          <cell r="A28" t="str">
            <v>X0005020</v>
          </cell>
          <cell r="B28" t="str">
            <v>682010</v>
          </cell>
          <cell r="C28" t="str">
            <v>4500169294</v>
          </cell>
          <cell r="E28" t="str">
            <v>Non-lobbying services Inv 6445</v>
          </cell>
          <cell r="F28" t="str">
            <v>NON-LOBBYING COST(0001)</v>
          </cell>
        </row>
        <row r="29">
          <cell r="A29" t="str">
            <v>X0005020</v>
          </cell>
          <cell r="B29" t="str">
            <v>682010</v>
          </cell>
          <cell r="C29" t="str">
            <v>4500169294</v>
          </cell>
          <cell r="E29" t="str">
            <v>Non-lobbying services Inv. 6521</v>
          </cell>
          <cell r="F29" t="str">
            <v>NON-LOBBYING COST(0001)</v>
          </cell>
        </row>
        <row r="30">
          <cell r="A30" t="str">
            <v>X0005020</v>
          </cell>
          <cell r="B30" t="str">
            <v>682010</v>
          </cell>
          <cell r="C30" t="str">
            <v>4500169294</v>
          </cell>
          <cell r="E30"/>
          <cell r="F30" t="str">
            <v>NON-LOBBYING COST(0001)</v>
          </cell>
        </row>
      </sheetData>
      <sheetData sheetId="5">
        <row r="2">
          <cell r="G2"/>
          <cell r="H2">
            <v>38076</v>
          </cell>
          <cell r="I2">
            <v>200</v>
          </cell>
          <cell r="J2">
            <v>38076</v>
          </cell>
        </row>
        <row r="3">
          <cell r="G3"/>
          <cell r="H3">
            <v>38079</v>
          </cell>
          <cell r="I3">
            <v>1132.5</v>
          </cell>
          <cell r="J3">
            <v>38077</v>
          </cell>
        </row>
        <row r="4">
          <cell r="G4"/>
          <cell r="H4">
            <v>38202</v>
          </cell>
          <cell r="I4">
            <v>-16000</v>
          </cell>
          <cell r="J4">
            <v>38199</v>
          </cell>
        </row>
        <row r="5">
          <cell r="G5"/>
          <cell r="H5">
            <v>38232</v>
          </cell>
          <cell r="I5">
            <v>-14650.41</v>
          </cell>
          <cell r="J5">
            <v>38230</v>
          </cell>
        </row>
        <row r="6">
          <cell r="G6"/>
          <cell r="H6">
            <v>38232</v>
          </cell>
          <cell r="I6">
            <v>-16431.849999999999</v>
          </cell>
          <cell r="J6">
            <v>38230</v>
          </cell>
        </row>
        <row r="7">
          <cell r="G7"/>
          <cell r="H7">
            <v>38232</v>
          </cell>
          <cell r="I7">
            <v>-39615.4</v>
          </cell>
          <cell r="J7">
            <v>38230</v>
          </cell>
        </row>
        <row r="8">
          <cell r="G8" t="str">
            <v>K CAMPBELL</v>
          </cell>
          <cell r="H8">
            <v>38254</v>
          </cell>
          <cell r="I8">
            <v>2500</v>
          </cell>
          <cell r="J8">
            <v>38254</v>
          </cell>
        </row>
        <row r="9">
          <cell r="G9"/>
          <cell r="H9">
            <v>38264</v>
          </cell>
          <cell r="I9">
            <v>-5779.53</v>
          </cell>
          <cell r="J9">
            <v>38260</v>
          </cell>
        </row>
        <row r="10">
          <cell r="G10"/>
          <cell r="H10">
            <v>38264</v>
          </cell>
          <cell r="I10">
            <v>-114915.72</v>
          </cell>
          <cell r="J10">
            <v>38260</v>
          </cell>
        </row>
        <row r="11">
          <cell r="G11"/>
          <cell r="H11">
            <v>38293</v>
          </cell>
          <cell r="I11">
            <v>-163593.79999999999</v>
          </cell>
          <cell r="J11">
            <v>38291</v>
          </cell>
        </row>
        <row r="12">
          <cell r="G12"/>
          <cell r="H12">
            <v>38309</v>
          </cell>
          <cell r="I12">
            <v>-779.7</v>
          </cell>
          <cell r="J12">
            <v>38309</v>
          </cell>
        </row>
        <row r="13">
          <cell r="G13"/>
          <cell r="H13">
            <v>38328</v>
          </cell>
          <cell r="I13">
            <v>-26945</v>
          </cell>
          <cell r="J13">
            <v>38321</v>
          </cell>
        </row>
        <row r="14">
          <cell r="G14"/>
          <cell r="H14">
            <v>38356</v>
          </cell>
          <cell r="I14">
            <v>8949.6</v>
          </cell>
          <cell r="J14">
            <v>38352</v>
          </cell>
        </row>
        <row r="15">
          <cell r="G15"/>
          <cell r="H15">
            <v>38356</v>
          </cell>
          <cell r="I15">
            <v>-9850.6</v>
          </cell>
          <cell r="J15">
            <v>38352</v>
          </cell>
        </row>
        <row r="16">
          <cell r="G16" t="str">
            <v>393823</v>
          </cell>
          <cell r="H16">
            <v>37827</v>
          </cell>
          <cell r="I16">
            <v>61.36</v>
          </cell>
          <cell r="J16">
            <v>38018</v>
          </cell>
        </row>
        <row r="17">
          <cell r="G17" t="str">
            <v>11077</v>
          </cell>
          <cell r="H17">
            <v>38058</v>
          </cell>
          <cell r="I17">
            <v>230.64</v>
          </cell>
          <cell r="J17">
            <v>38071</v>
          </cell>
        </row>
        <row r="18">
          <cell r="G18" t="str">
            <v>7795</v>
          </cell>
          <cell r="H18">
            <v>38057</v>
          </cell>
          <cell r="I18">
            <v>346.8</v>
          </cell>
          <cell r="J18">
            <v>38071</v>
          </cell>
        </row>
        <row r="19">
          <cell r="G19" t="str">
            <v>00585</v>
          </cell>
          <cell r="H19">
            <v>38064</v>
          </cell>
          <cell r="I19">
            <v>46583.73</v>
          </cell>
          <cell r="J19">
            <v>38071</v>
          </cell>
        </row>
        <row r="20">
          <cell r="G20" t="str">
            <v>46329</v>
          </cell>
          <cell r="H20">
            <v>38018</v>
          </cell>
          <cell r="I20">
            <v>10200</v>
          </cell>
          <cell r="J20">
            <v>38071</v>
          </cell>
        </row>
        <row r="21">
          <cell r="G21" t="str">
            <v>47375</v>
          </cell>
          <cell r="H21">
            <v>38058</v>
          </cell>
          <cell r="I21">
            <v>750</v>
          </cell>
          <cell r="J21">
            <v>38075</v>
          </cell>
        </row>
        <row r="22">
          <cell r="G22" t="str">
            <v>00663</v>
          </cell>
          <cell r="H22">
            <v>38076</v>
          </cell>
          <cell r="I22">
            <v>11576</v>
          </cell>
          <cell r="J22">
            <v>38097</v>
          </cell>
        </row>
        <row r="23">
          <cell r="G23" t="str">
            <v>CONSULTING FEE</v>
          </cell>
          <cell r="H23">
            <v>38117</v>
          </cell>
          <cell r="I23">
            <v>250</v>
          </cell>
          <cell r="J23">
            <v>38117</v>
          </cell>
        </row>
        <row r="24">
          <cell r="G24" t="str">
            <v>CONSULTING FEE</v>
          </cell>
          <cell r="H24">
            <v>38148</v>
          </cell>
          <cell r="I24">
            <v>250</v>
          </cell>
          <cell r="J24">
            <v>38148</v>
          </cell>
        </row>
        <row r="25">
          <cell r="G25" t="str">
            <v>CONSULTING FEE</v>
          </cell>
          <cell r="H25">
            <v>38178</v>
          </cell>
          <cell r="I25">
            <v>250</v>
          </cell>
          <cell r="J25">
            <v>38178</v>
          </cell>
        </row>
        <row r="26">
          <cell r="G26" t="str">
            <v>1424</v>
          </cell>
          <cell r="H26">
            <v>38182</v>
          </cell>
          <cell r="I26">
            <v>160</v>
          </cell>
          <cell r="J26">
            <v>38200</v>
          </cell>
        </row>
        <row r="27">
          <cell r="G27" t="str">
            <v>CONSULTING FEE</v>
          </cell>
          <cell r="H27">
            <v>38209</v>
          </cell>
          <cell r="I27">
            <v>250</v>
          </cell>
          <cell r="J27">
            <v>38209</v>
          </cell>
        </row>
        <row r="28">
          <cell r="G28"/>
          <cell r="H28">
            <v>37999</v>
          </cell>
          <cell r="I28">
            <v>135.46</v>
          </cell>
          <cell r="J28">
            <v>38014</v>
          </cell>
        </row>
        <row r="29">
          <cell r="G29"/>
          <cell r="H29">
            <v>37991</v>
          </cell>
          <cell r="I29">
            <v>94</v>
          </cell>
          <cell r="J29">
            <v>38020</v>
          </cell>
        </row>
        <row r="30">
          <cell r="G30"/>
          <cell r="H30">
            <v>37993</v>
          </cell>
          <cell r="I30">
            <v>97.54</v>
          </cell>
          <cell r="J30">
            <v>38020</v>
          </cell>
        </row>
        <row r="31">
          <cell r="G31"/>
          <cell r="H31">
            <v>38023</v>
          </cell>
          <cell r="I31">
            <v>253.4</v>
          </cell>
          <cell r="J31">
            <v>38033</v>
          </cell>
        </row>
        <row r="32">
          <cell r="G32"/>
          <cell r="H32">
            <v>38019</v>
          </cell>
          <cell r="I32">
            <v>102</v>
          </cell>
          <cell r="J32">
            <v>38033</v>
          </cell>
        </row>
        <row r="33">
          <cell r="G33"/>
          <cell r="H33">
            <v>38035</v>
          </cell>
          <cell r="I33">
            <v>600</v>
          </cell>
          <cell r="J33">
            <v>38049</v>
          </cell>
        </row>
        <row r="34">
          <cell r="G34"/>
          <cell r="H34">
            <v>38035</v>
          </cell>
          <cell r="I34">
            <v>140</v>
          </cell>
          <cell r="J34">
            <v>38056</v>
          </cell>
        </row>
        <row r="35">
          <cell r="G35"/>
          <cell r="H35">
            <v>38049</v>
          </cell>
          <cell r="I35">
            <v>22.63</v>
          </cell>
          <cell r="J35">
            <v>38056</v>
          </cell>
        </row>
        <row r="36">
          <cell r="G36"/>
          <cell r="H36">
            <v>38047</v>
          </cell>
          <cell r="I36">
            <v>104</v>
          </cell>
          <cell r="J36">
            <v>38056</v>
          </cell>
        </row>
        <row r="37">
          <cell r="G37"/>
          <cell r="H37">
            <v>38050</v>
          </cell>
          <cell r="I37">
            <v>225</v>
          </cell>
          <cell r="J37">
            <v>38061</v>
          </cell>
        </row>
        <row r="38">
          <cell r="G38"/>
          <cell r="H38">
            <v>38043</v>
          </cell>
          <cell r="I38">
            <v>39</v>
          </cell>
          <cell r="J38">
            <v>38082</v>
          </cell>
        </row>
        <row r="39">
          <cell r="G39"/>
          <cell r="H39">
            <v>38051</v>
          </cell>
          <cell r="I39">
            <v>19.399999999999999</v>
          </cell>
          <cell r="J39">
            <v>38082</v>
          </cell>
        </row>
        <row r="40">
          <cell r="G40"/>
          <cell r="H40">
            <v>38069</v>
          </cell>
          <cell r="I40">
            <v>45</v>
          </cell>
          <cell r="J40">
            <v>38082</v>
          </cell>
        </row>
        <row r="41">
          <cell r="G41"/>
          <cell r="H41">
            <v>38078</v>
          </cell>
          <cell r="I41">
            <v>114</v>
          </cell>
          <cell r="J41">
            <v>38100</v>
          </cell>
        </row>
        <row r="42">
          <cell r="G42"/>
          <cell r="H42">
            <v>38085</v>
          </cell>
          <cell r="I42">
            <v>2.95</v>
          </cell>
          <cell r="J42">
            <v>38100</v>
          </cell>
        </row>
        <row r="43">
          <cell r="G43"/>
          <cell r="H43">
            <v>38101</v>
          </cell>
          <cell r="I43">
            <v>2.95</v>
          </cell>
          <cell r="J43">
            <v>38113</v>
          </cell>
        </row>
        <row r="44">
          <cell r="G44"/>
          <cell r="H44">
            <v>38110</v>
          </cell>
          <cell r="I44">
            <v>114</v>
          </cell>
          <cell r="J44">
            <v>38113</v>
          </cell>
        </row>
        <row r="45">
          <cell r="G45"/>
          <cell r="H45">
            <v>38110</v>
          </cell>
          <cell r="I45">
            <v>225</v>
          </cell>
          <cell r="J45">
            <v>38120</v>
          </cell>
        </row>
        <row r="46">
          <cell r="G46"/>
          <cell r="H46">
            <v>38139</v>
          </cell>
          <cell r="I46">
            <v>225</v>
          </cell>
          <cell r="J46">
            <v>38145</v>
          </cell>
        </row>
        <row r="47">
          <cell r="G47"/>
          <cell r="H47">
            <v>38139</v>
          </cell>
          <cell r="I47">
            <v>76</v>
          </cell>
          <cell r="J47">
            <v>38145</v>
          </cell>
        </row>
        <row r="48">
          <cell r="G48"/>
          <cell r="H48">
            <v>38149</v>
          </cell>
          <cell r="I48">
            <v>269.99</v>
          </cell>
          <cell r="J48">
            <v>38159</v>
          </cell>
        </row>
        <row r="49">
          <cell r="G49"/>
          <cell r="H49">
            <v>38169</v>
          </cell>
          <cell r="I49">
            <v>225</v>
          </cell>
          <cell r="J49">
            <v>38175</v>
          </cell>
        </row>
        <row r="50">
          <cell r="G50"/>
          <cell r="H50">
            <v>38169</v>
          </cell>
          <cell r="I50">
            <v>128</v>
          </cell>
          <cell r="J50">
            <v>38176</v>
          </cell>
        </row>
        <row r="51">
          <cell r="G51"/>
          <cell r="H51">
            <v>38201</v>
          </cell>
          <cell r="I51">
            <v>100</v>
          </cell>
          <cell r="J51">
            <v>38205</v>
          </cell>
        </row>
        <row r="52">
          <cell r="G52"/>
          <cell r="H52">
            <v>38201</v>
          </cell>
          <cell r="I52">
            <v>225</v>
          </cell>
          <cell r="J52">
            <v>38209</v>
          </cell>
        </row>
        <row r="53">
          <cell r="G53"/>
          <cell r="H53">
            <v>38190</v>
          </cell>
          <cell r="I53">
            <v>8.9499999999999993</v>
          </cell>
          <cell r="J53">
            <v>38210</v>
          </cell>
        </row>
        <row r="54">
          <cell r="G54"/>
          <cell r="H54">
            <v>38180</v>
          </cell>
          <cell r="I54">
            <v>8.9499999999999993</v>
          </cell>
          <cell r="J54">
            <v>38210</v>
          </cell>
        </row>
        <row r="55">
          <cell r="G55"/>
          <cell r="H55">
            <v>38231</v>
          </cell>
          <cell r="I55">
            <v>225</v>
          </cell>
          <cell r="J55">
            <v>38240</v>
          </cell>
        </row>
        <row r="56">
          <cell r="G56"/>
          <cell r="H56">
            <v>38247</v>
          </cell>
          <cell r="I56">
            <v>45</v>
          </cell>
          <cell r="J56">
            <v>38261</v>
          </cell>
        </row>
        <row r="57">
          <cell r="G57"/>
          <cell r="H57">
            <v>38232</v>
          </cell>
          <cell r="I57">
            <v>75</v>
          </cell>
          <cell r="J57">
            <v>38261</v>
          </cell>
        </row>
        <row r="58">
          <cell r="G58"/>
          <cell r="H58">
            <v>38222</v>
          </cell>
          <cell r="I58">
            <v>75</v>
          </cell>
          <cell r="J58">
            <v>38261</v>
          </cell>
        </row>
        <row r="59">
          <cell r="G59"/>
          <cell r="H59">
            <v>38231</v>
          </cell>
          <cell r="I59">
            <v>172</v>
          </cell>
          <cell r="J59">
            <v>38261</v>
          </cell>
        </row>
        <row r="60">
          <cell r="G60"/>
          <cell r="H60">
            <v>38261</v>
          </cell>
          <cell r="I60">
            <v>118</v>
          </cell>
          <cell r="J60">
            <v>38266</v>
          </cell>
        </row>
        <row r="61">
          <cell r="G61"/>
          <cell r="H61">
            <v>38265</v>
          </cell>
          <cell r="I61">
            <v>225</v>
          </cell>
          <cell r="J61">
            <v>38274</v>
          </cell>
        </row>
        <row r="62">
          <cell r="G62"/>
          <cell r="H62">
            <v>38292</v>
          </cell>
          <cell r="I62">
            <v>88</v>
          </cell>
          <cell r="J62">
            <v>38296</v>
          </cell>
        </row>
        <row r="63">
          <cell r="G63"/>
          <cell r="H63">
            <v>38292</v>
          </cell>
          <cell r="I63">
            <v>225</v>
          </cell>
          <cell r="J63">
            <v>38302</v>
          </cell>
        </row>
        <row r="64">
          <cell r="G64"/>
          <cell r="H64">
            <v>38322</v>
          </cell>
          <cell r="I64">
            <v>92</v>
          </cell>
          <cell r="J64">
            <v>38328</v>
          </cell>
        </row>
        <row r="65">
          <cell r="G65"/>
          <cell r="H65">
            <v>38322</v>
          </cell>
          <cell r="I65">
            <v>300</v>
          </cell>
          <cell r="J65">
            <v>38330</v>
          </cell>
        </row>
        <row r="66">
          <cell r="G66"/>
          <cell r="H66">
            <v>38049</v>
          </cell>
          <cell r="I66">
            <v>-13959.51</v>
          </cell>
          <cell r="J66">
            <v>38049</v>
          </cell>
        </row>
        <row r="67">
          <cell r="G67"/>
          <cell r="H67">
            <v>38049</v>
          </cell>
          <cell r="I67">
            <v>13959.51</v>
          </cell>
          <cell r="J67">
            <v>38049</v>
          </cell>
        </row>
        <row r="68">
          <cell r="G68"/>
          <cell r="H68">
            <v>38077</v>
          </cell>
          <cell r="I68">
            <v>-13959.51</v>
          </cell>
          <cell r="J68">
            <v>38077</v>
          </cell>
        </row>
        <row r="69">
          <cell r="G69"/>
          <cell r="H69">
            <v>38077</v>
          </cell>
          <cell r="I69">
            <v>-1132.5</v>
          </cell>
          <cell r="J69">
            <v>38077</v>
          </cell>
        </row>
        <row r="70">
          <cell r="G70"/>
          <cell r="H70">
            <v>38204</v>
          </cell>
          <cell r="I70">
            <v>-364</v>
          </cell>
          <cell r="J70">
            <v>38204</v>
          </cell>
        </row>
        <row r="71">
          <cell r="G71"/>
          <cell r="H71">
            <v>38204</v>
          </cell>
          <cell r="I71">
            <v>-220</v>
          </cell>
          <cell r="J71">
            <v>38204</v>
          </cell>
        </row>
        <row r="72">
          <cell r="G72" t="str">
            <v>INVOICE 162109 D</v>
          </cell>
          <cell r="H72">
            <v>38000</v>
          </cell>
          <cell r="I72">
            <v>364</v>
          </cell>
          <cell r="J72">
            <v>38000</v>
          </cell>
        </row>
        <row r="73">
          <cell r="G73"/>
          <cell r="H73">
            <v>38001</v>
          </cell>
          <cell r="I73">
            <v>3600</v>
          </cell>
          <cell r="J73">
            <v>38001</v>
          </cell>
        </row>
        <row r="74">
          <cell r="G74"/>
          <cell r="H74">
            <v>38001</v>
          </cell>
          <cell r="I74">
            <v>3870</v>
          </cell>
          <cell r="J74">
            <v>38001</v>
          </cell>
        </row>
        <row r="75">
          <cell r="G75"/>
          <cell r="H75">
            <v>38001</v>
          </cell>
          <cell r="I75">
            <v>450</v>
          </cell>
          <cell r="J75">
            <v>38001</v>
          </cell>
        </row>
        <row r="76">
          <cell r="G76" t="str">
            <v>INVOICE 162109 D</v>
          </cell>
          <cell r="H76">
            <v>38005</v>
          </cell>
          <cell r="I76">
            <v>364</v>
          </cell>
          <cell r="J76">
            <v>38005</v>
          </cell>
        </row>
        <row r="77">
          <cell r="G77" t="str">
            <v>INVOICE 16914 DA</v>
          </cell>
          <cell r="H77">
            <v>38005</v>
          </cell>
          <cell r="I77">
            <v>12</v>
          </cell>
          <cell r="J77">
            <v>38005</v>
          </cell>
        </row>
        <row r="78">
          <cell r="G78" t="str">
            <v>INVOICE IVC-03/4</v>
          </cell>
          <cell r="H78">
            <v>38005</v>
          </cell>
          <cell r="I78">
            <v>123.13</v>
          </cell>
          <cell r="J78">
            <v>38005</v>
          </cell>
        </row>
        <row r="79">
          <cell r="G79"/>
          <cell r="H79">
            <v>38009</v>
          </cell>
          <cell r="I79">
            <v>2880</v>
          </cell>
          <cell r="J79">
            <v>38009</v>
          </cell>
        </row>
        <row r="80">
          <cell r="G80"/>
          <cell r="H80">
            <v>38009</v>
          </cell>
          <cell r="I80">
            <v>720</v>
          </cell>
          <cell r="J80">
            <v>38009</v>
          </cell>
        </row>
        <row r="81">
          <cell r="G81"/>
          <cell r="H81">
            <v>38009</v>
          </cell>
          <cell r="I81">
            <v>2880</v>
          </cell>
          <cell r="J81">
            <v>38009</v>
          </cell>
        </row>
        <row r="82">
          <cell r="G82" t="str">
            <v>INVOICE 1353 DAT</v>
          </cell>
          <cell r="H82">
            <v>38015</v>
          </cell>
          <cell r="I82">
            <v>467.1</v>
          </cell>
          <cell r="J82">
            <v>38015</v>
          </cell>
        </row>
        <row r="83">
          <cell r="G83" t="str">
            <v>INVOICE IVC-03/4</v>
          </cell>
          <cell r="H83">
            <v>38015</v>
          </cell>
          <cell r="I83">
            <v>123.13</v>
          </cell>
          <cell r="J83">
            <v>38015</v>
          </cell>
        </row>
        <row r="84">
          <cell r="G84" t="str">
            <v>INVOICE IVC-03/4</v>
          </cell>
          <cell r="H84">
            <v>38015</v>
          </cell>
          <cell r="I84">
            <v>-123.13</v>
          </cell>
          <cell r="J84">
            <v>38015</v>
          </cell>
        </row>
        <row r="85">
          <cell r="G85" t="str">
            <v>IVC-03/4-01-0273</v>
          </cell>
          <cell r="H85">
            <v>38026</v>
          </cell>
          <cell r="I85">
            <v>105.48</v>
          </cell>
          <cell r="J85">
            <v>38026</v>
          </cell>
        </row>
        <row r="86">
          <cell r="G86"/>
          <cell r="H86">
            <v>38028</v>
          </cell>
          <cell r="I86">
            <v>1083.75</v>
          </cell>
          <cell r="J86">
            <v>38028</v>
          </cell>
        </row>
        <row r="87">
          <cell r="G87"/>
          <cell r="H87">
            <v>38029</v>
          </cell>
          <cell r="I87">
            <v>4545.3599999999997</v>
          </cell>
          <cell r="J87">
            <v>38029</v>
          </cell>
        </row>
        <row r="88">
          <cell r="G88"/>
          <cell r="H88">
            <v>38043</v>
          </cell>
          <cell r="I88">
            <v>528.36</v>
          </cell>
          <cell r="J88">
            <v>38043</v>
          </cell>
        </row>
        <row r="89">
          <cell r="G89" t="str">
            <v>INVOICE 17271 DA</v>
          </cell>
          <cell r="H89">
            <v>38050</v>
          </cell>
          <cell r="I89">
            <v>12</v>
          </cell>
          <cell r="J89">
            <v>38050</v>
          </cell>
        </row>
        <row r="90">
          <cell r="G90" t="str">
            <v>INVOICE IVC-03/4</v>
          </cell>
          <cell r="H90">
            <v>38069</v>
          </cell>
          <cell r="I90">
            <v>80.819999999999993</v>
          </cell>
          <cell r="J90">
            <v>38069</v>
          </cell>
        </row>
        <row r="91">
          <cell r="G91"/>
          <cell r="H91">
            <v>38070</v>
          </cell>
          <cell r="I91">
            <v>65</v>
          </cell>
          <cell r="J91">
            <v>38070</v>
          </cell>
        </row>
        <row r="92">
          <cell r="G92" t="str">
            <v>INVOICE 162186 D</v>
          </cell>
          <cell r="H92">
            <v>38072</v>
          </cell>
          <cell r="I92">
            <v>480</v>
          </cell>
          <cell r="J92">
            <v>38072</v>
          </cell>
        </row>
        <row r="93">
          <cell r="G93" t="str">
            <v>INVOICE 162200 D</v>
          </cell>
          <cell r="H93">
            <v>38076</v>
          </cell>
          <cell r="I93">
            <v>130</v>
          </cell>
          <cell r="J93">
            <v>38076</v>
          </cell>
        </row>
        <row r="94">
          <cell r="G94"/>
          <cell r="H94">
            <v>38079</v>
          </cell>
          <cell r="I94">
            <v>151.19999999999999</v>
          </cell>
          <cell r="J94">
            <v>38079</v>
          </cell>
        </row>
        <row r="95">
          <cell r="G95" t="str">
            <v>INVOICE 17528 DA</v>
          </cell>
          <cell r="H95">
            <v>38083</v>
          </cell>
          <cell r="I95">
            <v>48</v>
          </cell>
          <cell r="J95">
            <v>38083</v>
          </cell>
        </row>
        <row r="96">
          <cell r="G96" t="str">
            <v>INVOICE 162226 D</v>
          </cell>
          <cell r="H96">
            <v>38105</v>
          </cell>
          <cell r="I96">
            <v>130</v>
          </cell>
          <cell r="J96">
            <v>38105</v>
          </cell>
        </row>
        <row r="97">
          <cell r="G97"/>
          <cell r="H97">
            <v>38111</v>
          </cell>
          <cell r="I97">
            <v>12000</v>
          </cell>
          <cell r="J97">
            <v>38111</v>
          </cell>
        </row>
        <row r="98">
          <cell r="G98"/>
          <cell r="H98">
            <v>38111</v>
          </cell>
          <cell r="I98">
            <v>23000</v>
          </cell>
          <cell r="J98">
            <v>38111</v>
          </cell>
        </row>
        <row r="99">
          <cell r="G99" t="str">
            <v>INVOICE IVC-03/4</v>
          </cell>
          <cell r="H99">
            <v>38114</v>
          </cell>
          <cell r="I99">
            <v>113.73</v>
          </cell>
          <cell r="J99">
            <v>38114</v>
          </cell>
        </row>
        <row r="100">
          <cell r="G100" t="str">
            <v>INVOICE 162198 D</v>
          </cell>
          <cell r="H100">
            <v>38114</v>
          </cell>
          <cell r="I100">
            <v>220</v>
          </cell>
          <cell r="J100">
            <v>38114</v>
          </cell>
        </row>
        <row r="101">
          <cell r="G101" t="str">
            <v>INVOICE 03/4/-03</v>
          </cell>
          <cell r="H101">
            <v>38120</v>
          </cell>
          <cell r="I101">
            <v>93.52</v>
          </cell>
          <cell r="J101">
            <v>38120</v>
          </cell>
        </row>
        <row r="102">
          <cell r="G102"/>
          <cell r="H102">
            <v>38124</v>
          </cell>
          <cell r="I102">
            <v>440</v>
          </cell>
          <cell r="J102">
            <v>38124</v>
          </cell>
        </row>
        <row r="103">
          <cell r="G103" t="str">
            <v>INVOICE 162237 D</v>
          </cell>
          <cell r="H103">
            <v>38128</v>
          </cell>
          <cell r="I103">
            <v>350</v>
          </cell>
          <cell r="J103">
            <v>38128</v>
          </cell>
        </row>
        <row r="104">
          <cell r="G104"/>
          <cell r="H104">
            <v>38131</v>
          </cell>
          <cell r="I104">
            <v>20450.36</v>
          </cell>
          <cell r="J104">
            <v>38131</v>
          </cell>
        </row>
        <row r="105">
          <cell r="G105"/>
          <cell r="H105">
            <v>38131</v>
          </cell>
          <cell r="I105">
            <v>440.45</v>
          </cell>
          <cell r="J105">
            <v>38131</v>
          </cell>
        </row>
        <row r="106">
          <cell r="G106" t="str">
            <v>INVOICE IVC-03/4</v>
          </cell>
          <cell r="H106">
            <v>38160</v>
          </cell>
          <cell r="I106">
            <v>99.2</v>
          </cell>
          <cell r="J106">
            <v>38160</v>
          </cell>
        </row>
        <row r="107">
          <cell r="G107" t="str">
            <v>INVOICE 162291 D</v>
          </cell>
          <cell r="H107">
            <v>38162</v>
          </cell>
          <cell r="I107">
            <v>717.5</v>
          </cell>
          <cell r="J107">
            <v>38162</v>
          </cell>
        </row>
        <row r="108">
          <cell r="G108" t="str">
            <v>INVOICE 162264 D</v>
          </cell>
          <cell r="H108">
            <v>38162</v>
          </cell>
          <cell r="I108">
            <v>432.5</v>
          </cell>
          <cell r="J108">
            <v>38162</v>
          </cell>
        </row>
        <row r="109">
          <cell r="G109" t="str">
            <v>INVOICE 162286 D</v>
          </cell>
          <cell r="H109">
            <v>38162</v>
          </cell>
          <cell r="I109">
            <v>340</v>
          </cell>
          <cell r="J109">
            <v>38162</v>
          </cell>
        </row>
        <row r="110">
          <cell r="G110"/>
          <cell r="H110">
            <v>38166</v>
          </cell>
          <cell r="I110">
            <v>1800</v>
          </cell>
          <cell r="J110">
            <v>38166</v>
          </cell>
        </row>
        <row r="111">
          <cell r="G111"/>
          <cell r="H111">
            <v>38167</v>
          </cell>
          <cell r="I111">
            <v>812.81</v>
          </cell>
          <cell r="J111">
            <v>38167</v>
          </cell>
        </row>
        <row r="112">
          <cell r="G112"/>
          <cell r="H112">
            <v>38167</v>
          </cell>
          <cell r="I112">
            <v>734.67</v>
          </cell>
          <cell r="J112">
            <v>38167</v>
          </cell>
        </row>
        <row r="113">
          <cell r="G113"/>
          <cell r="H113">
            <v>38167</v>
          </cell>
          <cell r="I113">
            <v>734.67</v>
          </cell>
          <cell r="J113">
            <v>38167</v>
          </cell>
        </row>
        <row r="114">
          <cell r="G114"/>
          <cell r="H114">
            <v>38167</v>
          </cell>
          <cell r="I114">
            <v>734.07</v>
          </cell>
          <cell r="J114">
            <v>38167</v>
          </cell>
        </row>
        <row r="115">
          <cell r="G115" t="str">
            <v>INV 17800 (5/6/0</v>
          </cell>
          <cell r="H115">
            <v>38177</v>
          </cell>
          <cell r="I115">
            <v>24</v>
          </cell>
          <cell r="J115">
            <v>38177</v>
          </cell>
        </row>
        <row r="116">
          <cell r="G116" t="str">
            <v>INVOICE IVC-3/4-</v>
          </cell>
          <cell r="H116">
            <v>38177</v>
          </cell>
          <cell r="I116">
            <v>113.14</v>
          </cell>
          <cell r="J116">
            <v>38177</v>
          </cell>
        </row>
        <row r="117">
          <cell r="G117"/>
          <cell r="H117">
            <v>38183</v>
          </cell>
          <cell r="I117">
            <v>149.35</v>
          </cell>
          <cell r="J117">
            <v>38183</v>
          </cell>
        </row>
        <row r="118">
          <cell r="G118"/>
          <cell r="H118">
            <v>38183</v>
          </cell>
          <cell r="I118">
            <v>223.16</v>
          </cell>
          <cell r="J118">
            <v>38183</v>
          </cell>
        </row>
        <row r="119">
          <cell r="G119"/>
          <cell r="H119">
            <v>38195</v>
          </cell>
          <cell r="I119">
            <v>515.09</v>
          </cell>
          <cell r="J119">
            <v>38195</v>
          </cell>
        </row>
        <row r="120">
          <cell r="G120"/>
          <cell r="H120">
            <v>38201</v>
          </cell>
          <cell r="I120">
            <v>205.54</v>
          </cell>
          <cell r="J120">
            <v>38201</v>
          </cell>
        </row>
        <row r="121">
          <cell r="G121"/>
          <cell r="H121">
            <v>38209</v>
          </cell>
          <cell r="I121">
            <v>50000</v>
          </cell>
          <cell r="J121">
            <v>38209</v>
          </cell>
        </row>
        <row r="122">
          <cell r="G122" t="str">
            <v>INVOICE 0704175</v>
          </cell>
          <cell r="H122">
            <v>38212</v>
          </cell>
          <cell r="I122">
            <v>118.59</v>
          </cell>
          <cell r="J122">
            <v>38212</v>
          </cell>
        </row>
        <row r="123">
          <cell r="G123" t="str">
            <v>INVOICE 18009 DA</v>
          </cell>
          <cell r="H123">
            <v>38216</v>
          </cell>
          <cell r="I123">
            <v>105</v>
          </cell>
          <cell r="J123">
            <v>38216</v>
          </cell>
        </row>
        <row r="124">
          <cell r="G124"/>
          <cell r="H124">
            <v>38216</v>
          </cell>
          <cell r="I124">
            <v>812.81</v>
          </cell>
          <cell r="J124">
            <v>38216</v>
          </cell>
        </row>
        <row r="125">
          <cell r="G125"/>
          <cell r="H125">
            <v>38226</v>
          </cell>
          <cell r="I125">
            <v>45000</v>
          </cell>
          <cell r="J125">
            <v>38226</v>
          </cell>
        </row>
        <row r="126">
          <cell r="G126"/>
          <cell r="H126">
            <v>38230</v>
          </cell>
          <cell r="I126">
            <v>1464.62</v>
          </cell>
          <cell r="J126">
            <v>38230</v>
          </cell>
        </row>
        <row r="127">
          <cell r="G127"/>
          <cell r="H127">
            <v>38230</v>
          </cell>
          <cell r="I127">
            <v>845</v>
          </cell>
          <cell r="J127">
            <v>38230</v>
          </cell>
        </row>
        <row r="128">
          <cell r="G128"/>
          <cell r="H128">
            <v>38239</v>
          </cell>
          <cell r="I128">
            <v>75475.8</v>
          </cell>
          <cell r="J128">
            <v>38239</v>
          </cell>
        </row>
        <row r="129">
          <cell r="G129"/>
          <cell r="H129">
            <v>38239</v>
          </cell>
          <cell r="I129">
            <v>39439.919999999998</v>
          </cell>
          <cell r="J129">
            <v>38239</v>
          </cell>
        </row>
        <row r="130">
          <cell r="G130" t="str">
            <v>INVOICE 1261D DA</v>
          </cell>
          <cell r="H130">
            <v>38243</v>
          </cell>
          <cell r="I130">
            <v>2000</v>
          </cell>
          <cell r="J130">
            <v>38243</v>
          </cell>
        </row>
        <row r="131">
          <cell r="G131" t="str">
            <v>INVOICE 1261C  D</v>
          </cell>
          <cell r="H131">
            <v>38243</v>
          </cell>
          <cell r="I131">
            <v>1750</v>
          </cell>
          <cell r="J131">
            <v>38243</v>
          </cell>
        </row>
        <row r="132">
          <cell r="G132" t="str">
            <v>INV. 18668 DATED</v>
          </cell>
          <cell r="H132">
            <v>38243</v>
          </cell>
          <cell r="I132">
            <v>24</v>
          </cell>
          <cell r="J132">
            <v>38243</v>
          </cell>
        </row>
        <row r="133">
          <cell r="G133"/>
          <cell r="H133">
            <v>38244</v>
          </cell>
          <cell r="I133">
            <v>490.36</v>
          </cell>
          <cell r="J133">
            <v>38244</v>
          </cell>
        </row>
        <row r="134">
          <cell r="G134"/>
          <cell r="H134">
            <v>38244</v>
          </cell>
          <cell r="I134">
            <v>108.28</v>
          </cell>
          <cell r="J134">
            <v>38244</v>
          </cell>
        </row>
        <row r="135">
          <cell r="G135"/>
          <cell r="H135">
            <v>38245</v>
          </cell>
          <cell r="I135">
            <v>1139.42</v>
          </cell>
          <cell r="J135">
            <v>38245</v>
          </cell>
        </row>
        <row r="136">
          <cell r="G136"/>
          <cell r="H136">
            <v>38268</v>
          </cell>
          <cell r="I136">
            <v>445.06</v>
          </cell>
          <cell r="J136">
            <v>38268</v>
          </cell>
        </row>
        <row r="137">
          <cell r="G137"/>
          <cell r="H137">
            <v>38273</v>
          </cell>
          <cell r="I137">
            <v>135.47</v>
          </cell>
          <cell r="J137">
            <v>38273</v>
          </cell>
        </row>
        <row r="138">
          <cell r="G138" t="str">
            <v>INVOICE 18110 DA</v>
          </cell>
          <cell r="H138">
            <v>38274</v>
          </cell>
          <cell r="I138">
            <v>109.5</v>
          </cell>
          <cell r="J138">
            <v>38274</v>
          </cell>
        </row>
        <row r="139">
          <cell r="G139" t="str">
            <v>INVOICE 0904183</v>
          </cell>
          <cell r="H139">
            <v>38274</v>
          </cell>
          <cell r="I139">
            <v>105.8</v>
          </cell>
          <cell r="J139">
            <v>38274</v>
          </cell>
        </row>
        <row r="140">
          <cell r="G140" t="str">
            <v>INVOICE 18982 DA</v>
          </cell>
          <cell r="H140">
            <v>38275</v>
          </cell>
          <cell r="I140">
            <v>23.8</v>
          </cell>
          <cell r="J140">
            <v>38275</v>
          </cell>
        </row>
        <row r="141">
          <cell r="G141" t="str">
            <v>INVOICE 18883 DA</v>
          </cell>
          <cell r="H141">
            <v>38275</v>
          </cell>
          <cell r="I141">
            <v>23.33</v>
          </cell>
          <cell r="J141">
            <v>38275</v>
          </cell>
        </row>
        <row r="142">
          <cell r="G142" t="str">
            <v>FITZGERALD INV.</v>
          </cell>
          <cell r="H142">
            <v>38287</v>
          </cell>
          <cell r="I142">
            <v>780</v>
          </cell>
          <cell r="J142">
            <v>38287</v>
          </cell>
        </row>
        <row r="143">
          <cell r="G143" t="str">
            <v>INVOICE 18109 (P</v>
          </cell>
          <cell r="H143">
            <v>38287</v>
          </cell>
          <cell r="I143">
            <v>56</v>
          </cell>
          <cell r="J143">
            <v>38287</v>
          </cell>
        </row>
        <row r="144">
          <cell r="G144"/>
          <cell r="H144">
            <v>38296</v>
          </cell>
          <cell r="I144">
            <v>1625.63</v>
          </cell>
          <cell r="J144">
            <v>38296</v>
          </cell>
        </row>
        <row r="145">
          <cell r="G145"/>
          <cell r="H145">
            <v>38302</v>
          </cell>
          <cell r="I145">
            <v>3900</v>
          </cell>
          <cell r="J145">
            <v>38302</v>
          </cell>
        </row>
        <row r="146">
          <cell r="G146" t="str">
            <v>INVOICE 1004184</v>
          </cell>
          <cell r="H146">
            <v>38306</v>
          </cell>
          <cell r="I146">
            <v>94.48</v>
          </cell>
          <cell r="J146">
            <v>38306</v>
          </cell>
        </row>
        <row r="147">
          <cell r="G147" t="str">
            <v>INVOICE 19103 DA</v>
          </cell>
          <cell r="H147">
            <v>38306</v>
          </cell>
          <cell r="I147">
            <v>23.93</v>
          </cell>
          <cell r="J147">
            <v>38306</v>
          </cell>
        </row>
        <row r="148">
          <cell r="G148"/>
          <cell r="H148">
            <v>38308</v>
          </cell>
          <cell r="I148">
            <v>1500</v>
          </cell>
          <cell r="J148">
            <v>38308</v>
          </cell>
        </row>
        <row r="149">
          <cell r="G149"/>
          <cell r="H149">
            <v>38322</v>
          </cell>
          <cell r="I149">
            <v>345.2</v>
          </cell>
          <cell r="J149">
            <v>38322</v>
          </cell>
        </row>
        <row r="150">
          <cell r="G150"/>
          <cell r="H150">
            <v>38322</v>
          </cell>
          <cell r="I150">
            <v>1725.2</v>
          </cell>
          <cell r="J150">
            <v>38322</v>
          </cell>
        </row>
        <row r="151">
          <cell r="G151"/>
          <cell r="H151">
            <v>38322</v>
          </cell>
          <cell r="I151">
            <v>1610.2</v>
          </cell>
          <cell r="J151">
            <v>38322</v>
          </cell>
        </row>
        <row r="152">
          <cell r="G152"/>
          <cell r="H152">
            <v>38322</v>
          </cell>
          <cell r="I152">
            <v>115.2</v>
          </cell>
          <cell r="J152">
            <v>38322</v>
          </cell>
        </row>
        <row r="153">
          <cell r="G153"/>
          <cell r="H153">
            <v>38322</v>
          </cell>
          <cell r="I153">
            <v>460.2</v>
          </cell>
          <cell r="J153">
            <v>38322</v>
          </cell>
        </row>
        <row r="154">
          <cell r="G154" t="str">
            <v>INVOICE 18162 DA</v>
          </cell>
          <cell r="H154">
            <v>38328</v>
          </cell>
          <cell r="I154">
            <v>175</v>
          </cell>
          <cell r="J154">
            <v>38328</v>
          </cell>
        </row>
        <row r="155">
          <cell r="G155" t="str">
            <v>INVOICE 1104181</v>
          </cell>
          <cell r="H155">
            <v>38328</v>
          </cell>
          <cell r="I155">
            <v>104.38</v>
          </cell>
          <cell r="J155">
            <v>38328</v>
          </cell>
        </row>
        <row r="156">
          <cell r="G156"/>
          <cell r="H156">
            <v>38335</v>
          </cell>
          <cell r="I156">
            <v>48577</v>
          </cell>
          <cell r="J156">
            <v>38335</v>
          </cell>
        </row>
        <row r="157">
          <cell r="G157" t="str">
            <v>INV. 19436 DATED</v>
          </cell>
          <cell r="H157">
            <v>38337</v>
          </cell>
          <cell r="I157">
            <v>23.82</v>
          </cell>
          <cell r="J157">
            <v>38337</v>
          </cell>
        </row>
        <row r="158">
          <cell r="G158" t="str">
            <v>1353</v>
          </cell>
          <cell r="H158">
            <v>37889</v>
          </cell>
          <cell r="I158">
            <v>-36.1</v>
          </cell>
          <cell r="J158">
            <v>38019</v>
          </cell>
        </row>
        <row r="159">
          <cell r="G159" t="str">
            <v>6007722</v>
          </cell>
          <cell r="H159">
            <v>38007</v>
          </cell>
          <cell r="I159">
            <v>-83.75</v>
          </cell>
          <cell r="J159">
            <v>38030</v>
          </cell>
        </row>
        <row r="160">
          <cell r="G160" t="str">
            <v>061033</v>
          </cell>
          <cell r="H160">
            <v>38006</v>
          </cell>
          <cell r="I160">
            <v>-351.25</v>
          </cell>
          <cell r="J160">
            <v>38030</v>
          </cell>
        </row>
        <row r="161">
          <cell r="G161" t="str">
            <v>040123</v>
          </cell>
          <cell r="H161">
            <v>38015</v>
          </cell>
          <cell r="I161">
            <v>-40.83</v>
          </cell>
          <cell r="J161">
            <v>38048</v>
          </cell>
        </row>
        <row r="162">
          <cell r="G162" t="str">
            <v>162198</v>
          </cell>
          <cell r="H162">
            <v>38064</v>
          </cell>
          <cell r="I162">
            <v>220</v>
          </cell>
          <cell r="J162">
            <v>38078</v>
          </cell>
        </row>
        <row r="163">
          <cell r="G163" t="str">
            <v>3170</v>
          </cell>
          <cell r="H163">
            <v>38063</v>
          </cell>
          <cell r="I163">
            <v>50</v>
          </cell>
          <cell r="J163">
            <v>38079</v>
          </cell>
        </row>
        <row r="164">
          <cell r="G164" t="str">
            <v>1171</v>
          </cell>
          <cell r="H164">
            <v>38076</v>
          </cell>
          <cell r="I164">
            <v>125</v>
          </cell>
          <cell r="J164">
            <v>38084</v>
          </cell>
        </row>
        <row r="165">
          <cell r="G165" t="str">
            <v>7801</v>
          </cell>
          <cell r="H165">
            <v>38096</v>
          </cell>
          <cell r="I165">
            <v>-34.04</v>
          </cell>
          <cell r="J165">
            <v>38141</v>
          </cell>
        </row>
        <row r="166">
          <cell r="G166" t="str">
            <v>162264</v>
          </cell>
          <cell r="H166">
            <v>38126</v>
          </cell>
          <cell r="I166">
            <v>-285</v>
          </cell>
          <cell r="J166">
            <v>38162</v>
          </cell>
        </row>
        <row r="167">
          <cell r="G167" t="str">
            <v>162291</v>
          </cell>
          <cell r="H167">
            <v>38152</v>
          </cell>
          <cell r="I167">
            <v>285</v>
          </cell>
          <cell r="J167">
            <v>38162</v>
          </cell>
        </row>
        <row r="168">
          <cell r="G168" t="str">
            <v>7806</v>
          </cell>
          <cell r="H168">
            <v>38124</v>
          </cell>
          <cell r="I168">
            <v>-56.73</v>
          </cell>
          <cell r="J168">
            <v>38175</v>
          </cell>
        </row>
        <row r="169">
          <cell r="G169" t="str">
            <v>18017</v>
          </cell>
          <cell r="H169">
            <v>38141</v>
          </cell>
          <cell r="I169">
            <v>-12</v>
          </cell>
          <cell r="J169">
            <v>38180</v>
          </cell>
        </row>
        <row r="170">
          <cell r="G170" t="str">
            <v>17800</v>
          </cell>
          <cell r="H170">
            <v>38113</v>
          </cell>
          <cell r="I170">
            <v>12</v>
          </cell>
          <cell r="J170">
            <v>38180</v>
          </cell>
        </row>
        <row r="171">
          <cell r="G171" t="str">
            <v>50513</v>
          </cell>
          <cell r="H171">
            <v>38134</v>
          </cell>
          <cell r="I171">
            <v>-56.78</v>
          </cell>
          <cell r="J171">
            <v>38181</v>
          </cell>
        </row>
        <row r="172">
          <cell r="G172" t="str">
            <v>50649</v>
          </cell>
          <cell r="H172">
            <v>38139</v>
          </cell>
          <cell r="I172">
            <v>-56.78</v>
          </cell>
          <cell r="J172">
            <v>38181</v>
          </cell>
        </row>
        <row r="173">
          <cell r="G173" t="str">
            <v>7812</v>
          </cell>
          <cell r="H173">
            <v>38161</v>
          </cell>
          <cell r="I173">
            <v>-17.25</v>
          </cell>
          <cell r="J173">
            <v>38189</v>
          </cell>
        </row>
        <row r="174">
          <cell r="G174" t="str">
            <v>1326</v>
          </cell>
          <cell r="H174">
            <v>38189</v>
          </cell>
          <cell r="I174">
            <v>-39.81</v>
          </cell>
          <cell r="J174">
            <v>38197</v>
          </cell>
        </row>
        <row r="175">
          <cell r="G175" t="str">
            <v>7817</v>
          </cell>
          <cell r="H175">
            <v>38191</v>
          </cell>
          <cell r="I175">
            <v>-15.88</v>
          </cell>
          <cell r="J175">
            <v>38204</v>
          </cell>
        </row>
        <row r="176">
          <cell r="G176" t="str">
            <v>063298</v>
          </cell>
          <cell r="H176">
            <v>38168</v>
          </cell>
          <cell r="I176">
            <v>-1224.6400000000001</v>
          </cell>
          <cell r="J176">
            <v>38217</v>
          </cell>
        </row>
        <row r="177">
          <cell r="G177" t="str">
            <v>STATEMENT</v>
          </cell>
          <cell r="H177">
            <v>38196</v>
          </cell>
          <cell r="I177">
            <v>-33.11</v>
          </cell>
          <cell r="J177">
            <v>38218</v>
          </cell>
        </row>
        <row r="178">
          <cell r="G178" t="str">
            <v>BILL FOR AUG 12</v>
          </cell>
          <cell r="H178">
            <v>38211</v>
          </cell>
          <cell r="I178">
            <v>-113.18</v>
          </cell>
          <cell r="J178">
            <v>38243</v>
          </cell>
        </row>
        <row r="179">
          <cell r="G179" t="str">
            <v>PHOTOGRAPHY</v>
          </cell>
          <cell r="H179">
            <v>38231</v>
          </cell>
          <cell r="I179">
            <v>-65.3</v>
          </cell>
          <cell r="J179">
            <v>38243</v>
          </cell>
        </row>
        <row r="180">
          <cell r="G180" t="str">
            <v>INVOICE</v>
          </cell>
          <cell r="H180">
            <v>38217</v>
          </cell>
          <cell r="I180">
            <v>-72.86</v>
          </cell>
          <cell r="J180">
            <v>38251</v>
          </cell>
        </row>
        <row r="181">
          <cell r="G181" t="str">
            <v>11092</v>
          </cell>
          <cell r="H181">
            <v>38231</v>
          </cell>
          <cell r="I181">
            <v>-88.05</v>
          </cell>
          <cell r="J181">
            <v>38260</v>
          </cell>
        </row>
        <row r="182">
          <cell r="G182" t="str">
            <v>US0122680246</v>
          </cell>
          <cell r="H182">
            <v>38252</v>
          </cell>
          <cell r="I182">
            <v>20000</v>
          </cell>
          <cell r="J182">
            <v>38265</v>
          </cell>
        </row>
        <row r="183">
          <cell r="G183" t="str">
            <v>403679</v>
          </cell>
          <cell r="H183">
            <v>38231</v>
          </cell>
          <cell r="I183">
            <v>750</v>
          </cell>
          <cell r="J183">
            <v>38273</v>
          </cell>
        </row>
        <row r="184">
          <cell r="G184" t="str">
            <v>11094</v>
          </cell>
          <cell r="H184">
            <v>38243</v>
          </cell>
          <cell r="I184">
            <v>220.2</v>
          </cell>
          <cell r="J184">
            <v>38273</v>
          </cell>
        </row>
        <row r="185">
          <cell r="G185" t="str">
            <v>INVOICE</v>
          </cell>
          <cell r="H185">
            <v>38254</v>
          </cell>
          <cell r="I185">
            <v>-10.47</v>
          </cell>
          <cell r="J185">
            <v>38273</v>
          </cell>
        </row>
        <row r="186">
          <cell r="G186" t="str">
            <v>208683</v>
          </cell>
          <cell r="H186">
            <v>38260</v>
          </cell>
          <cell r="I186">
            <v>0.06</v>
          </cell>
          <cell r="J186">
            <v>38274</v>
          </cell>
        </row>
        <row r="187">
          <cell r="G187" t="str">
            <v>09/22/04</v>
          </cell>
          <cell r="H187">
            <v>38252</v>
          </cell>
          <cell r="I187">
            <v>630</v>
          </cell>
          <cell r="J187">
            <v>38281</v>
          </cell>
        </row>
        <row r="188">
          <cell r="G188" t="str">
            <v>064634</v>
          </cell>
          <cell r="H188">
            <v>38275</v>
          </cell>
          <cell r="I188">
            <v>4328.5</v>
          </cell>
          <cell r="J188">
            <v>38282</v>
          </cell>
        </row>
        <row r="189">
          <cell r="G189" t="str">
            <v>18109</v>
          </cell>
          <cell r="H189">
            <v>38253</v>
          </cell>
          <cell r="I189">
            <v>140</v>
          </cell>
          <cell r="J189">
            <v>38288</v>
          </cell>
        </row>
        <row r="190">
          <cell r="G190" t="str">
            <v>18109</v>
          </cell>
          <cell r="H190">
            <v>38253</v>
          </cell>
          <cell r="I190">
            <v>364</v>
          </cell>
          <cell r="J190">
            <v>38288</v>
          </cell>
        </row>
        <row r="191">
          <cell r="G191" t="str">
            <v>18109</v>
          </cell>
          <cell r="H191">
            <v>38253</v>
          </cell>
          <cell r="I191">
            <v>220</v>
          </cell>
          <cell r="J191">
            <v>38288</v>
          </cell>
        </row>
        <row r="192">
          <cell r="G192" t="str">
            <v>064764</v>
          </cell>
          <cell r="H192">
            <v>38289</v>
          </cell>
          <cell r="I192">
            <v>-1224.6400000000001</v>
          </cell>
          <cell r="J192">
            <v>38294</v>
          </cell>
        </row>
        <row r="193">
          <cell r="G193" t="str">
            <v>HURRICANE</v>
          </cell>
          <cell r="H193">
            <v>38270</v>
          </cell>
          <cell r="I193">
            <v>-125.63</v>
          </cell>
          <cell r="J193">
            <v>38302</v>
          </cell>
        </row>
        <row r="194">
          <cell r="G194" t="str">
            <v>US0122701913</v>
          </cell>
          <cell r="H194">
            <v>38281</v>
          </cell>
          <cell r="I194">
            <v>15795</v>
          </cell>
          <cell r="J194">
            <v>38306</v>
          </cell>
        </row>
        <row r="195">
          <cell r="G195" t="str">
            <v>JM150813</v>
          </cell>
          <cell r="H195">
            <v>38250</v>
          </cell>
          <cell r="I195">
            <v>650</v>
          </cell>
          <cell r="J195">
            <v>38336</v>
          </cell>
        </row>
        <row r="196">
          <cell r="G196" t="str">
            <v>JM52499</v>
          </cell>
          <cell r="H196">
            <v>38289</v>
          </cell>
          <cell r="I196">
            <v>650</v>
          </cell>
          <cell r="J196">
            <v>38336</v>
          </cell>
        </row>
        <row r="197">
          <cell r="G197" t="str">
            <v>JM51105</v>
          </cell>
          <cell r="H197">
            <v>38259</v>
          </cell>
          <cell r="I197">
            <v>4550</v>
          </cell>
          <cell r="J197">
            <v>38336</v>
          </cell>
        </row>
        <row r="198">
          <cell r="G198" t="str">
            <v>2475684</v>
          </cell>
          <cell r="H198">
            <v>38330</v>
          </cell>
          <cell r="I198">
            <v>-1</v>
          </cell>
          <cell r="J198">
            <v>38338</v>
          </cell>
        </row>
        <row r="199">
          <cell r="G199" t="str">
            <v>JM153112</v>
          </cell>
          <cell r="H199">
            <v>38310</v>
          </cell>
          <cell r="I199">
            <v>650</v>
          </cell>
          <cell r="J199">
            <v>38338</v>
          </cell>
        </row>
        <row r="200">
          <cell r="G200" t="str">
            <v>1261E</v>
          </cell>
          <cell r="H200">
            <v>38324</v>
          </cell>
          <cell r="I200">
            <v>93.75</v>
          </cell>
          <cell r="J200">
            <v>38341</v>
          </cell>
        </row>
        <row r="201">
          <cell r="G201" t="str">
            <v>444182</v>
          </cell>
          <cell r="H201">
            <v>38322</v>
          </cell>
          <cell r="I201">
            <v>750</v>
          </cell>
          <cell r="J201">
            <v>38343</v>
          </cell>
        </row>
        <row r="202">
          <cell r="G202"/>
          <cell r="H202">
            <v>38017</v>
          </cell>
          <cell r="I202">
            <v>-6480</v>
          </cell>
          <cell r="J202">
            <v>38017</v>
          </cell>
        </row>
        <row r="203">
          <cell r="G203"/>
          <cell r="H203">
            <v>38017</v>
          </cell>
          <cell r="I203">
            <v>0.56999999999999995</v>
          </cell>
          <cell r="J203">
            <v>38017</v>
          </cell>
        </row>
        <row r="204">
          <cell r="G204"/>
          <cell r="H204">
            <v>38138</v>
          </cell>
          <cell r="I204">
            <v>-35250</v>
          </cell>
          <cell r="J204">
            <v>38138</v>
          </cell>
        </row>
        <row r="205">
          <cell r="G205"/>
          <cell r="H205">
            <v>38168</v>
          </cell>
          <cell r="I205">
            <v>-250</v>
          </cell>
          <cell r="J205">
            <v>38168</v>
          </cell>
        </row>
        <row r="206">
          <cell r="G206"/>
          <cell r="H206">
            <v>38199</v>
          </cell>
          <cell r="I206">
            <v>-250</v>
          </cell>
          <cell r="J206">
            <v>38199</v>
          </cell>
        </row>
        <row r="207">
          <cell r="G207"/>
          <cell r="H207">
            <v>38230</v>
          </cell>
          <cell r="I207">
            <v>-50250</v>
          </cell>
          <cell r="J207">
            <v>38230</v>
          </cell>
        </row>
        <row r="208">
          <cell r="G208"/>
          <cell r="H208">
            <v>38230</v>
          </cell>
          <cell r="I208">
            <v>-1225</v>
          </cell>
          <cell r="J208">
            <v>38230</v>
          </cell>
        </row>
        <row r="209">
          <cell r="G209"/>
          <cell r="H209">
            <v>38291</v>
          </cell>
          <cell r="I209">
            <v>-445.12</v>
          </cell>
          <cell r="J209">
            <v>38291</v>
          </cell>
        </row>
        <row r="210">
          <cell r="G210"/>
          <cell r="H210">
            <v>38291</v>
          </cell>
          <cell r="I210">
            <v>-2500</v>
          </cell>
          <cell r="J210">
            <v>38291</v>
          </cell>
        </row>
        <row r="211">
          <cell r="G211"/>
          <cell r="H211">
            <v>38291</v>
          </cell>
          <cell r="I211">
            <v>-20000</v>
          </cell>
          <cell r="J211">
            <v>38291</v>
          </cell>
        </row>
        <row r="212">
          <cell r="G212"/>
          <cell r="H212">
            <v>38321</v>
          </cell>
          <cell r="I212">
            <v>-2730</v>
          </cell>
          <cell r="J212">
            <v>38321</v>
          </cell>
        </row>
        <row r="213">
          <cell r="G213"/>
          <cell r="H213">
            <v>38321</v>
          </cell>
          <cell r="I213">
            <v>-1170</v>
          </cell>
          <cell r="J213">
            <v>38321</v>
          </cell>
        </row>
        <row r="214">
          <cell r="G214"/>
          <cell r="H214">
            <v>38352</v>
          </cell>
          <cell r="I214">
            <v>-58264.79</v>
          </cell>
          <cell r="J214">
            <v>38352</v>
          </cell>
        </row>
        <row r="215">
          <cell r="G215"/>
          <cell r="H215">
            <v>38352</v>
          </cell>
          <cell r="I215">
            <v>-18400</v>
          </cell>
          <cell r="J215">
            <v>38352</v>
          </cell>
        </row>
        <row r="216">
          <cell r="G216"/>
          <cell r="H216">
            <v>38352</v>
          </cell>
          <cell r="I216">
            <v>-2230.8000000000002</v>
          </cell>
          <cell r="J216">
            <v>38352</v>
          </cell>
        </row>
        <row r="217">
          <cell r="G217"/>
          <cell r="H217">
            <v>38033</v>
          </cell>
          <cell r="I217">
            <v>-3250</v>
          </cell>
          <cell r="J217">
            <v>38033</v>
          </cell>
        </row>
        <row r="218">
          <cell r="G218"/>
          <cell r="H218">
            <v>37994</v>
          </cell>
          <cell r="I218">
            <v>2000</v>
          </cell>
          <cell r="J218">
            <v>37994</v>
          </cell>
        </row>
        <row r="219">
          <cell r="G219"/>
          <cell r="H219">
            <v>38023</v>
          </cell>
          <cell r="I219">
            <v>2000</v>
          </cell>
          <cell r="J219">
            <v>38023</v>
          </cell>
        </row>
        <row r="220">
          <cell r="G220"/>
          <cell r="H220">
            <v>38054</v>
          </cell>
          <cell r="I220">
            <v>2000</v>
          </cell>
          <cell r="J220">
            <v>38054</v>
          </cell>
        </row>
        <row r="221">
          <cell r="G221"/>
          <cell r="H221">
            <v>38089</v>
          </cell>
          <cell r="I221">
            <v>2000</v>
          </cell>
          <cell r="J221">
            <v>38089</v>
          </cell>
        </row>
        <row r="222">
          <cell r="G222"/>
          <cell r="H222">
            <v>38119</v>
          </cell>
          <cell r="I222">
            <v>2000</v>
          </cell>
          <cell r="J222">
            <v>38119</v>
          </cell>
        </row>
        <row r="223">
          <cell r="G223"/>
          <cell r="H223">
            <v>38152</v>
          </cell>
          <cell r="I223">
            <v>2000</v>
          </cell>
          <cell r="J223">
            <v>38152</v>
          </cell>
        </row>
        <row r="224">
          <cell r="G224"/>
          <cell r="H224">
            <v>38175</v>
          </cell>
          <cell r="I224">
            <v>2000</v>
          </cell>
          <cell r="J224">
            <v>38175</v>
          </cell>
        </row>
        <row r="225">
          <cell r="G225"/>
          <cell r="H225">
            <v>38211</v>
          </cell>
          <cell r="I225">
            <v>2000</v>
          </cell>
          <cell r="J225">
            <v>38211</v>
          </cell>
        </row>
        <row r="226">
          <cell r="G226"/>
          <cell r="H226">
            <v>38247</v>
          </cell>
          <cell r="I226">
            <v>2000</v>
          </cell>
          <cell r="J226">
            <v>38247</v>
          </cell>
        </row>
        <row r="227">
          <cell r="G227"/>
          <cell r="H227">
            <v>38267</v>
          </cell>
          <cell r="I227">
            <v>2000</v>
          </cell>
          <cell r="J227">
            <v>38267</v>
          </cell>
        </row>
        <row r="228">
          <cell r="G228"/>
          <cell r="H228">
            <v>38302</v>
          </cell>
          <cell r="I228">
            <v>2000</v>
          </cell>
          <cell r="J228">
            <v>38302</v>
          </cell>
        </row>
        <row r="229">
          <cell r="G229"/>
          <cell r="H229">
            <v>38049</v>
          </cell>
          <cell r="I229">
            <v>175</v>
          </cell>
          <cell r="J229">
            <v>38049</v>
          </cell>
        </row>
        <row r="230">
          <cell r="G230"/>
          <cell r="H230">
            <v>38051</v>
          </cell>
          <cell r="I230">
            <v>5000</v>
          </cell>
          <cell r="J230">
            <v>38051</v>
          </cell>
        </row>
        <row r="231">
          <cell r="G231" t="str">
            <v>CONSULTANT SVCS</v>
          </cell>
          <cell r="H231">
            <v>38076</v>
          </cell>
          <cell r="I231">
            <v>3000</v>
          </cell>
          <cell r="J231">
            <v>38077</v>
          </cell>
        </row>
        <row r="232">
          <cell r="G232"/>
          <cell r="H232">
            <v>38089</v>
          </cell>
          <cell r="I232">
            <v>2040.54</v>
          </cell>
          <cell r="J232">
            <v>38089</v>
          </cell>
        </row>
        <row r="233">
          <cell r="G233"/>
          <cell r="H233">
            <v>38106</v>
          </cell>
          <cell r="I233">
            <v>2103.29</v>
          </cell>
          <cell r="J233">
            <v>38106</v>
          </cell>
        </row>
        <row r="234">
          <cell r="G234"/>
          <cell r="H234">
            <v>38202</v>
          </cell>
          <cell r="I234">
            <v>22625</v>
          </cell>
          <cell r="J234">
            <v>38202</v>
          </cell>
        </row>
        <row r="235">
          <cell r="G235"/>
          <cell r="H235">
            <v>38202</v>
          </cell>
          <cell r="I235">
            <v>-22625</v>
          </cell>
          <cell r="J235">
            <v>38272</v>
          </cell>
        </row>
        <row r="236">
          <cell r="G236"/>
          <cell r="H236">
            <v>38089</v>
          </cell>
          <cell r="I236">
            <v>357.35</v>
          </cell>
          <cell r="J236">
            <v>38089</v>
          </cell>
        </row>
        <row r="237">
          <cell r="G237" t="str">
            <v>ANNUAL RETAINER</v>
          </cell>
          <cell r="H237">
            <v>38155</v>
          </cell>
          <cell r="I237">
            <v>3000</v>
          </cell>
          <cell r="J237">
            <v>38167</v>
          </cell>
        </row>
        <row r="238">
          <cell r="G238"/>
          <cell r="H238">
            <v>38203</v>
          </cell>
          <cell r="I238">
            <v>22625</v>
          </cell>
          <cell r="J238">
            <v>38203</v>
          </cell>
        </row>
        <row r="239">
          <cell r="G239"/>
          <cell r="H239">
            <v>38210</v>
          </cell>
          <cell r="I239">
            <v>1562.5</v>
          </cell>
          <cell r="J239">
            <v>38210</v>
          </cell>
        </row>
        <row r="240">
          <cell r="G240"/>
          <cell r="H240">
            <v>38247</v>
          </cell>
          <cell r="I240">
            <v>5921.9</v>
          </cell>
          <cell r="J240">
            <v>38247</v>
          </cell>
        </row>
        <row r="241">
          <cell r="G241"/>
          <cell r="H241">
            <v>38264</v>
          </cell>
          <cell r="I241">
            <v>3875</v>
          </cell>
          <cell r="J241">
            <v>38264</v>
          </cell>
        </row>
        <row r="242">
          <cell r="G242"/>
          <cell r="H242">
            <v>38300</v>
          </cell>
          <cell r="I242">
            <v>5446.89</v>
          </cell>
          <cell r="J242">
            <v>38300</v>
          </cell>
        </row>
        <row r="243">
          <cell r="G243"/>
          <cell r="H243">
            <v>38327</v>
          </cell>
          <cell r="I243">
            <v>3000</v>
          </cell>
          <cell r="J243">
            <v>38327</v>
          </cell>
        </row>
        <row r="244">
          <cell r="G244"/>
          <cell r="H244">
            <v>38265</v>
          </cell>
          <cell r="I244">
            <v>1170</v>
          </cell>
          <cell r="J244">
            <v>38265</v>
          </cell>
        </row>
        <row r="245">
          <cell r="G245" t="str">
            <v>J COACHMAN</v>
          </cell>
          <cell r="H245">
            <v>38199</v>
          </cell>
          <cell r="I245">
            <v>-571.16</v>
          </cell>
          <cell r="J245">
            <v>38199</v>
          </cell>
        </row>
        <row r="246">
          <cell r="G246"/>
          <cell r="H246">
            <v>38167</v>
          </cell>
          <cell r="I246">
            <v>3500</v>
          </cell>
          <cell r="J246">
            <v>38167</v>
          </cell>
        </row>
        <row r="247">
          <cell r="G247" t="str">
            <v>CHARLES RIVER AS</v>
          </cell>
          <cell r="H247">
            <v>38199</v>
          </cell>
          <cell r="I247">
            <v>-59805.36</v>
          </cell>
          <cell r="J247">
            <v>38199</v>
          </cell>
        </row>
        <row r="248">
          <cell r="G248" t="str">
            <v>M00026944</v>
          </cell>
          <cell r="H248">
            <v>38015</v>
          </cell>
          <cell r="I248">
            <v>-20000</v>
          </cell>
          <cell r="J248">
            <v>38042</v>
          </cell>
        </row>
        <row r="249">
          <cell r="G249" t="str">
            <v>3116</v>
          </cell>
          <cell r="H249">
            <v>37960</v>
          </cell>
          <cell r="I249">
            <v>2750</v>
          </cell>
          <cell r="J249">
            <v>37999</v>
          </cell>
        </row>
        <row r="250">
          <cell r="G250" t="str">
            <v>24654</v>
          </cell>
          <cell r="H250">
            <v>37928</v>
          </cell>
          <cell r="I250">
            <v>102000</v>
          </cell>
          <cell r="J250">
            <v>37999</v>
          </cell>
        </row>
        <row r="251">
          <cell r="G251" t="str">
            <v>4004</v>
          </cell>
          <cell r="H251">
            <v>37993</v>
          </cell>
          <cell r="I251">
            <v>7250</v>
          </cell>
          <cell r="J251">
            <v>38013</v>
          </cell>
        </row>
        <row r="252">
          <cell r="G252" t="str">
            <v>CONSULTING</v>
          </cell>
          <cell r="H252">
            <v>38015</v>
          </cell>
          <cell r="I252">
            <v>250</v>
          </cell>
          <cell r="J252">
            <v>38015</v>
          </cell>
        </row>
        <row r="253">
          <cell r="G253" t="str">
            <v>M00026944</v>
          </cell>
          <cell r="H253">
            <v>38015</v>
          </cell>
          <cell r="I253">
            <v>20000</v>
          </cell>
          <cell r="J253">
            <v>38028</v>
          </cell>
        </row>
        <row r="254">
          <cell r="G254" t="str">
            <v>4867</v>
          </cell>
          <cell r="H254">
            <v>38016</v>
          </cell>
          <cell r="I254">
            <v>6260.59</v>
          </cell>
          <cell r="J254">
            <v>38033</v>
          </cell>
        </row>
        <row r="255">
          <cell r="G255" t="str">
            <v>CONSULTING FEE</v>
          </cell>
          <cell r="H255">
            <v>38027</v>
          </cell>
          <cell r="I255">
            <v>250</v>
          </cell>
          <cell r="J255">
            <v>38027</v>
          </cell>
        </row>
        <row r="256">
          <cell r="G256" t="str">
            <v>M00026944</v>
          </cell>
          <cell r="H256">
            <v>38015</v>
          </cell>
          <cell r="I256">
            <v>20000</v>
          </cell>
          <cell r="J256">
            <v>38042</v>
          </cell>
        </row>
        <row r="257">
          <cell r="G257" t="str">
            <v>CONSULTING FEE</v>
          </cell>
          <cell r="H257">
            <v>38056</v>
          </cell>
          <cell r="I257">
            <v>250</v>
          </cell>
          <cell r="J257">
            <v>38056</v>
          </cell>
        </row>
        <row r="258">
          <cell r="G258" t="str">
            <v>0104-OGE04-PS</v>
          </cell>
          <cell r="H258">
            <v>38041</v>
          </cell>
          <cell r="I258">
            <v>19957</v>
          </cell>
          <cell r="J258">
            <v>38064</v>
          </cell>
        </row>
        <row r="259">
          <cell r="G259" t="str">
            <v>4019</v>
          </cell>
          <cell r="H259">
            <v>38033</v>
          </cell>
          <cell r="I259">
            <v>8000</v>
          </cell>
          <cell r="J259">
            <v>38065</v>
          </cell>
        </row>
        <row r="260">
          <cell r="G260" t="str">
            <v>CONSULTING FEE</v>
          </cell>
          <cell r="H260">
            <v>38087</v>
          </cell>
          <cell r="I260">
            <v>250</v>
          </cell>
          <cell r="J260">
            <v>38087</v>
          </cell>
        </row>
        <row r="261">
          <cell r="G261" t="str">
            <v>021100</v>
          </cell>
          <cell r="H261">
            <v>38065</v>
          </cell>
          <cell r="I261">
            <v>59805.36</v>
          </cell>
          <cell r="J261">
            <v>38093</v>
          </cell>
        </row>
        <row r="262">
          <cell r="G262" t="str">
            <v>25291</v>
          </cell>
          <cell r="H262">
            <v>38105</v>
          </cell>
          <cell r="I262">
            <v>3356.83</v>
          </cell>
          <cell r="J262">
            <v>38118</v>
          </cell>
        </row>
        <row r="263">
          <cell r="G263" t="str">
            <v>4060</v>
          </cell>
          <cell r="H263">
            <v>38152</v>
          </cell>
          <cell r="I263">
            <v>4250</v>
          </cell>
          <cell r="J263">
            <v>38184</v>
          </cell>
        </row>
        <row r="264">
          <cell r="G264" t="str">
            <v>695</v>
          </cell>
          <cell r="H264">
            <v>38168</v>
          </cell>
          <cell r="I264">
            <v>12845.4</v>
          </cell>
          <cell r="J264">
            <v>38197</v>
          </cell>
        </row>
        <row r="265">
          <cell r="G265"/>
          <cell r="H265">
            <v>38313</v>
          </cell>
          <cell r="I265">
            <v>5680.94</v>
          </cell>
          <cell r="J265">
            <v>38313</v>
          </cell>
        </row>
        <row r="266">
          <cell r="G266"/>
          <cell r="H266">
            <v>38322</v>
          </cell>
          <cell r="I266">
            <v>5500</v>
          </cell>
          <cell r="J266">
            <v>38322</v>
          </cell>
        </row>
        <row r="267">
          <cell r="G267" t="str">
            <v>4027</v>
          </cell>
          <cell r="H267">
            <v>38071</v>
          </cell>
          <cell r="I267">
            <v>1750</v>
          </cell>
          <cell r="J267">
            <v>38097</v>
          </cell>
        </row>
        <row r="268">
          <cell r="G268" t="str">
            <v>CONSULTING</v>
          </cell>
          <cell r="H268">
            <v>38082</v>
          </cell>
          <cell r="I268">
            <v>9002.32</v>
          </cell>
          <cell r="J268">
            <v>38097</v>
          </cell>
        </row>
        <row r="269">
          <cell r="G269" t="str">
            <v>026449</v>
          </cell>
          <cell r="H269">
            <v>38198</v>
          </cell>
          <cell r="I269">
            <v>33216.31</v>
          </cell>
          <cell r="J269">
            <v>38215</v>
          </cell>
        </row>
        <row r="270">
          <cell r="G270" t="str">
            <v>INV-0000046060</v>
          </cell>
          <cell r="H270">
            <v>38190</v>
          </cell>
          <cell r="I270">
            <v>47851.29</v>
          </cell>
          <cell r="J270">
            <v>38225</v>
          </cell>
        </row>
        <row r="271">
          <cell r="G271" t="str">
            <v>INV0000046350</v>
          </cell>
          <cell r="H271">
            <v>38208</v>
          </cell>
          <cell r="I271">
            <v>34181.32</v>
          </cell>
          <cell r="J271">
            <v>38264</v>
          </cell>
        </row>
        <row r="272">
          <cell r="G272" t="str">
            <v>741</v>
          </cell>
          <cell r="H272">
            <v>38260</v>
          </cell>
          <cell r="I272">
            <v>38026.21</v>
          </cell>
          <cell r="J272">
            <v>38289</v>
          </cell>
        </row>
        <row r="273">
          <cell r="G273" t="str">
            <v>004723</v>
          </cell>
          <cell r="H273">
            <v>38244</v>
          </cell>
          <cell r="I273">
            <v>32825</v>
          </cell>
          <cell r="J273">
            <v>38289</v>
          </cell>
        </row>
        <row r="274">
          <cell r="G274" t="str">
            <v>25724</v>
          </cell>
          <cell r="H274">
            <v>38259</v>
          </cell>
          <cell r="I274">
            <v>77300</v>
          </cell>
          <cell r="J274">
            <v>38292</v>
          </cell>
        </row>
        <row r="275">
          <cell r="G275" t="str">
            <v>INV-0000046676</v>
          </cell>
          <cell r="H275">
            <v>38240</v>
          </cell>
          <cell r="I275">
            <v>59896.78</v>
          </cell>
          <cell r="J275">
            <v>38294</v>
          </cell>
        </row>
        <row r="276">
          <cell r="G276" t="str">
            <v>INV-0000046849</v>
          </cell>
          <cell r="H276">
            <v>38272</v>
          </cell>
          <cell r="I276">
            <v>10187.75</v>
          </cell>
          <cell r="J276">
            <v>38294</v>
          </cell>
        </row>
        <row r="277">
          <cell r="G277" t="str">
            <v>755</v>
          </cell>
          <cell r="H277">
            <v>38291</v>
          </cell>
          <cell r="I277">
            <v>34084.76</v>
          </cell>
          <cell r="J277">
            <v>38306</v>
          </cell>
        </row>
        <row r="278">
          <cell r="G278" t="str">
            <v>4122</v>
          </cell>
          <cell r="H278">
            <v>38273</v>
          </cell>
          <cell r="I278">
            <v>4000</v>
          </cell>
          <cell r="J278">
            <v>38310</v>
          </cell>
        </row>
        <row r="279">
          <cell r="G279" t="str">
            <v>RETAINER</v>
          </cell>
          <cell r="H279">
            <v>38315</v>
          </cell>
          <cell r="I279">
            <v>2000</v>
          </cell>
          <cell r="J279">
            <v>38315</v>
          </cell>
        </row>
        <row r="280">
          <cell r="G280" t="str">
            <v>INV-0000047329</v>
          </cell>
          <cell r="H280">
            <v>38301</v>
          </cell>
          <cell r="I280">
            <v>18675</v>
          </cell>
          <cell r="J280">
            <v>38320</v>
          </cell>
        </row>
        <row r="281">
          <cell r="G281" t="str">
            <v>765</v>
          </cell>
          <cell r="H281">
            <v>38336</v>
          </cell>
          <cell r="I281">
            <v>18566.12</v>
          </cell>
          <cell r="J281">
            <v>38350</v>
          </cell>
        </row>
        <row r="282">
          <cell r="G282" t="str">
            <v>ANITA BELL</v>
          </cell>
          <cell r="H282">
            <v>38247</v>
          </cell>
          <cell r="I282">
            <v>2500</v>
          </cell>
          <cell r="J282">
            <v>38247</v>
          </cell>
        </row>
        <row r="283">
          <cell r="G283" t="str">
            <v>ANITA BELL</v>
          </cell>
          <cell r="H283">
            <v>38247</v>
          </cell>
          <cell r="I283">
            <v>-2500</v>
          </cell>
          <cell r="J283">
            <v>38247</v>
          </cell>
        </row>
        <row r="284">
          <cell r="G284" t="str">
            <v>ANITA BELL</v>
          </cell>
          <cell r="H284">
            <v>38254</v>
          </cell>
          <cell r="I284">
            <v>92675</v>
          </cell>
          <cell r="J284">
            <v>38254</v>
          </cell>
        </row>
        <row r="285">
          <cell r="G285" t="str">
            <v>ANITA BELL</v>
          </cell>
          <cell r="H285">
            <v>38254</v>
          </cell>
          <cell r="I285">
            <v>-92675</v>
          </cell>
          <cell r="J285">
            <v>38254</v>
          </cell>
        </row>
        <row r="286">
          <cell r="G286" t="str">
            <v>ANITA BELL</v>
          </cell>
          <cell r="H286">
            <v>38254</v>
          </cell>
          <cell r="I286">
            <v>13910</v>
          </cell>
          <cell r="J286">
            <v>38254</v>
          </cell>
        </row>
        <row r="287">
          <cell r="G287" t="str">
            <v>ANITA BELL</v>
          </cell>
          <cell r="H287">
            <v>38254</v>
          </cell>
          <cell r="I287">
            <v>-13910</v>
          </cell>
          <cell r="J287">
            <v>38254</v>
          </cell>
        </row>
        <row r="288">
          <cell r="G288" t="str">
            <v>Z. MCMILLEN</v>
          </cell>
          <cell r="H288">
            <v>38260</v>
          </cell>
          <cell r="I288">
            <v>-274789</v>
          </cell>
          <cell r="J288">
            <v>38260</v>
          </cell>
        </row>
        <row r="289">
          <cell r="G289" t="str">
            <v>Z. MCMILLEN</v>
          </cell>
          <cell r="H289">
            <v>38260</v>
          </cell>
          <cell r="I289">
            <v>-11447</v>
          </cell>
          <cell r="J289">
            <v>38260</v>
          </cell>
        </row>
        <row r="290">
          <cell r="G290" t="str">
            <v>ANITA BELL</v>
          </cell>
          <cell r="H290">
            <v>38341</v>
          </cell>
          <cell r="I290">
            <v>1655</v>
          </cell>
          <cell r="J290">
            <v>38341</v>
          </cell>
        </row>
        <row r="291">
          <cell r="G291" t="str">
            <v>ANITA BELL</v>
          </cell>
          <cell r="H291">
            <v>38341</v>
          </cell>
          <cell r="I291">
            <v>-1655</v>
          </cell>
          <cell r="J291">
            <v>38341</v>
          </cell>
        </row>
        <row r="292">
          <cell r="G292" t="str">
            <v>22219726</v>
          </cell>
          <cell r="H292">
            <v>38000</v>
          </cell>
          <cell r="I292">
            <v>91000</v>
          </cell>
          <cell r="J292">
            <v>38008</v>
          </cell>
        </row>
        <row r="293">
          <cell r="G293" t="str">
            <v>22368451</v>
          </cell>
          <cell r="H293">
            <v>38030</v>
          </cell>
          <cell r="I293">
            <v>6350</v>
          </cell>
          <cell r="J293">
            <v>38030</v>
          </cell>
        </row>
        <row r="294">
          <cell r="G294" t="str">
            <v>22368451</v>
          </cell>
          <cell r="H294">
            <v>38030</v>
          </cell>
          <cell r="I294">
            <v>3700</v>
          </cell>
          <cell r="J294">
            <v>38030</v>
          </cell>
        </row>
        <row r="295">
          <cell r="G295" t="str">
            <v>22368451</v>
          </cell>
          <cell r="H295">
            <v>38030</v>
          </cell>
          <cell r="I295">
            <v>925</v>
          </cell>
          <cell r="J295">
            <v>38030</v>
          </cell>
        </row>
        <row r="296">
          <cell r="G296" t="str">
            <v>22349011</v>
          </cell>
          <cell r="H296">
            <v>38027</v>
          </cell>
          <cell r="I296">
            <v>30400</v>
          </cell>
          <cell r="J296">
            <v>38030</v>
          </cell>
        </row>
        <row r="297">
          <cell r="G297" t="str">
            <v>22349011</v>
          </cell>
          <cell r="H297">
            <v>38027</v>
          </cell>
          <cell r="I297">
            <v>10723</v>
          </cell>
          <cell r="J297">
            <v>38030</v>
          </cell>
        </row>
        <row r="298">
          <cell r="G298" t="str">
            <v>22349011</v>
          </cell>
          <cell r="H298">
            <v>38027</v>
          </cell>
          <cell r="I298">
            <v>18250</v>
          </cell>
          <cell r="J298">
            <v>38030</v>
          </cell>
        </row>
        <row r="299">
          <cell r="G299" t="str">
            <v>22349011</v>
          </cell>
          <cell r="H299">
            <v>38027</v>
          </cell>
          <cell r="I299">
            <v>2450</v>
          </cell>
          <cell r="J299">
            <v>38030</v>
          </cell>
        </row>
        <row r="300">
          <cell r="G300" t="str">
            <v>22349011</v>
          </cell>
          <cell r="H300">
            <v>38027</v>
          </cell>
          <cell r="I300">
            <v>3700</v>
          </cell>
          <cell r="J300">
            <v>38030</v>
          </cell>
        </row>
        <row r="301">
          <cell r="G301" t="str">
            <v>22368486</v>
          </cell>
          <cell r="H301">
            <v>38030</v>
          </cell>
          <cell r="I301">
            <v>75000</v>
          </cell>
          <cell r="J301">
            <v>38030</v>
          </cell>
        </row>
        <row r="302">
          <cell r="G302" t="str">
            <v>22368486</v>
          </cell>
          <cell r="H302">
            <v>38030</v>
          </cell>
          <cell r="I302">
            <v>19200</v>
          </cell>
          <cell r="J302">
            <v>38030</v>
          </cell>
        </row>
        <row r="303">
          <cell r="G303" t="str">
            <v>950999491</v>
          </cell>
          <cell r="H303">
            <v>37950</v>
          </cell>
          <cell r="I303">
            <v>1400</v>
          </cell>
          <cell r="J303">
            <v>38041</v>
          </cell>
        </row>
        <row r="304">
          <cell r="G304" t="str">
            <v>22500821</v>
          </cell>
          <cell r="H304">
            <v>38056</v>
          </cell>
          <cell r="I304">
            <v>5900</v>
          </cell>
          <cell r="J304">
            <v>38061</v>
          </cell>
        </row>
        <row r="305">
          <cell r="G305" t="str">
            <v>22500821</v>
          </cell>
          <cell r="H305">
            <v>38056</v>
          </cell>
          <cell r="I305">
            <v>3500</v>
          </cell>
          <cell r="J305">
            <v>38061</v>
          </cell>
        </row>
        <row r="306">
          <cell r="G306" t="str">
            <v>P-106770-302</v>
          </cell>
          <cell r="H306">
            <v>38042</v>
          </cell>
          <cell r="I306">
            <v>13300</v>
          </cell>
          <cell r="J306">
            <v>38063</v>
          </cell>
        </row>
        <row r="307">
          <cell r="G307" t="str">
            <v>F-106770-302</v>
          </cell>
          <cell r="H307">
            <v>38042</v>
          </cell>
          <cell r="I307">
            <v>3300</v>
          </cell>
          <cell r="J307">
            <v>38063</v>
          </cell>
        </row>
        <row r="308">
          <cell r="G308" t="str">
            <v>US0122532193</v>
          </cell>
          <cell r="H308">
            <v>38071</v>
          </cell>
          <cell r="I308">
            <v>1655</v>
          </cell>
          <cell r="J308">
            <v>38082</v>
          </cell>
        </row>
        <row r="309">
          <cell r="G309" t="str">
            <v>US0122532193</v>
          </cell>
          <cell r="H309">
            <v>38071</v>
          </cell>
          <cell r="I309">
            <v>24300</v>
          </cell>
          <cell r="J309">
            <v>38082</v>
          </cell>
        </row>
        <row r="310">
          <cell r="G310" t="str">
            <v>US0122532193</v>
          </cell>
          <cell r="H310">
            <v>38071</v>
          </cell>
          <cell r="I310">
            <v>1095</v>
          </cell>
          <cell r="J310">
            <v>38082</v>
          </cell>
        </row>
        <row r="311">
          <cell r="G311" t="str">
            <v>US0122554039</v>
          </cell>
          <cell r="H311">
            <v>38097</v>
          </cell>
          <cell r="I311">
            <v>9400</v>
          </cell>
          <cell r="J311">
            <v>38106</v>
          </cell>
        </row>
        <row r="312">
          <cell r="G312" t="str">
            <v>US0122554039</v>
          </cell>
          <cell r="H312">
            <v>38097</v>
          </cell>
          <cell r="I312">
            <v>575</v>
          </cell>
          <cell r="J312">
            <v>38106</v>
          </cell>
        </row>
        <row r="313">
          <cell r="G313" t="str">
            <v>US0122547118</v>
          </cell>
          <cell r="H313">
            <v>38086</v>
          </cell>
          <cell r="I313">
            <v>6000</v>
          </cell>
          <cell r="J313">
            <v>38106</v>
          </cell>
        </row>
        <row r="314">
          <cell r="G314" t="str">
            <v>US0122547118</v>
          </cell>
          <cell r="H314">
            <v>38086</v>
          </cell>
          <cell r="I314">
            <v>9515</v>
          </cell>
          <cell r="J314">
            <v>38106</v>
          </cell>
        </row>
        <row r="315">
          <cell r="G315" t="str">
            <v>US0122555068</v>
          </cell>
          <cell r="H315">
            <v>38098</v>
          </cell>
          <cell r="I315">
            <v>18500</v>
          </cell>
          <cell r="J315">
            <v>38106</v>
          </cell>
        </row>
        <row r="316">
          <cell r="G316" t="str">
            <v>US0122555068</v>
          </cell>
          <cell r="H316">
            <v>38098</v>
          </cell>
          <cell r="I316">
            <v>21666</v>
          </cell>
          <cell r="J316">
            <v>38106</v>
          </cell>
        </row>
        <row r="317">
          <cell r="G317" t="str">
            <v>US0122598448</v>
          </cell>
          <cell r="H317">
            <v>38139</v>
          </cell>
          <cell r="I317">
            <v>2500</v>
          </cell>
          <cell r="J317">
            <v>38154</v>
          </cell>
        </row>
        <row r="318">
          <cell r="G318" t="str">
            <v>US0122598448</v>
          </cell>
          <cell r="H318">
            <v>38139</v>
          </cell>
          <cell r="I318">
            <v>9750</v>
          </cell>
          <cell r="J318">
            <v>38154</v>
          </cell>
        </row>
        <row r="319">
          <cell r="G319" t="str">
            <v>US0122598448</v>
          </cell>
          <cell r="H319">
            <v>38139</v>
          </cell>
          <cell r="I319">
            <v>6500</v>
          </cell>
          <cell r="J319">
            <v>38154</v>
          </cell>
        </row>
        <row r="320">
          <cell r="G320" t="str">
            <v>US0122598448</v>
          </cell>
          <cell r="H320">
            <v>38139</v>
          </cell>
          <cell r="I320">
            <v>1500</v>
          </cell>
          <cell r="J320">
            <v>38154</v>
          </cell>
        </row>
        <row r="321">
          <cell r="G321" t="str">
            <v>US0122598448</v>
          </cell>
          <cell r="H321">
            <v>38139</v>
          </cell>
          <cell r="I321">
            <v>6500</v>
          </cell>
          <cell r="J321">
            <v>38154</v>
          </cell>
        </row>
        <row r="322">
          <cell r="G322" t="str">
            <v>US0122598448</v>
          </cell>
          <cell r="H322">
            <v>38139</v>
          </cell>
          <cell r="I322">
            <v>17500</v>
          </cell>
          <cell r="J322">
            <v>38154</v>
          </cell>
        </row>
        <row r="323">
          <cell r="G323" t="str">
            <v>US0122598448</v>
          </cell>
          <cell r="H323">
            <v>38139</v>
          </cell>
          <cell r="I323">
            <v>10250</v>
          </cell>
          <cell r="J323">
            <v>38154</v>
          </cell>
        </row>
        <row r="324">
          <cell r="G324" t="str">
            <v>US0122598448</v>
          </cell>
          <cell r="H324">
            <v>38139</v>
          </cell>
          <cell r="I324">
            <v>10250</v>
          </cell>
          <cell r="J324">
            <v>38154</v>
          </cell>
        </row>
        <row r="325">
          <cell r="G325" t="str">
            <v>US0122598448</v>
          </cell>
          <cell r="H325">
            <v>38139</v>
          </cell>
          <cell r="I325">
            <v>11750</v>
          </cell>
          <cell r="J325">
            <v>38154</v>
          </cell>
        </row>
        <row r="326">
          <cell r="G326" t="str">
            <v>US0122598448</v>
          </cell>
          <cell r="H326">
            <v>38139</v>
          </cell>
          <cell r="I326">
            <v>11750</v>
          </cell>
          <cell r="J326">
            <v>38154</v>
          </cell>
        </row>
        <row r="327">
          <cell r="G327" t="str">
            <v>US0122598448</v>
          </cell>
          <cell r="H327">
            <v>38139</v>
          </cell>
          <cell r="I327">
            <v>9500</v>
          </cell>
          <cell r="J327">
            <v>38154</v>
          </cell>
        </row>
        <row r="328">
          <cell r="G328" t="str">
            <v>US0122598448</v>
          </cell>
          <cell r="H328">
            <v>38139</v>
          </cell>
          <cell r="I328">
            <v>1500</v>
          </cell>
          <cell r="J328">
            <v>38154</v>
          </cell>
        </row>
        <row r="329">
          <cell r="G329" t="str">
            <v>US0122611312</v>
          </cell>
          <cell r="H329">
            <v>38149</v>
          </cell>
          <cell r="I329">
            <v>19500</v>
          </cell>
          <cell r="J329">
            <v>38154</v>
          </cell>
        </row>
        <row r="330">
          <cell r="G330" t="str">
            <v>US0122589395</v>
          </cell>
          <cell r="H330">
            <v>38131</v>
          </cell>
          <cell r="I330">
            <v>3725</v>
          </cell>
          <cell r="J330">
            <v>38156</v>
          </cell>
        </row>
        <row r="331">
          <cell r="G331" t="str">
            <v>US0122589395</v>
          </cell>
          <cell r="H331">
            <v>38131</v>
          </cell>
          <cell r="I331">
            <v>490</v>
          </cell>
          <cell r="J331">
            <v>38156</v>
          </cell>
        </row>
        <row r="332">
          <cell r="G332" t="str">
            <v>US0122589395</v>
          </cell>
          <cell r="H332">
            <v>38131</v>
          </cell>
          <cell r="I332">
            <v>2250</v>
          </cell>
          <cell r="J332">
            <v>38156</v>
          </cell>
        </row>
        <row r="333">
          <cell r="G333" t="str">
            <v>915084029</v>
          </cell>
          <cell r="H333">
            <v>38107</v>
          </cell>
          <cell r="I333">
            <v>412.5</v>
          </cell>
          <cell r="J333">
            <v>38156</v>
          </cell>
        </row>
        <row r="334">
          <cell r="G334" t="str">
            <v>US0122621313</v>
          </cell>
          <cell r="H334">
            <v>38160</v>
          </cell>
          <cell r="I334">
            <v>1750</v>
          </cell>
          <cell r="J334">
            <v>38161</v>
          </cell>
        </row>
        <row r="335">
          <cell r="G335" t="str">
            <v>US0122621313</v>
          </cell>
          <cell r="H335">
            <v>38160</v>
          </cell>
          <cell r="I335">
            <v>1225</v>
          </cell>
          <cell r="J335">
            <v>38161</v>
          </cell>
        </row>
        <row r="336">
          <cell r="G336" t="str">
            <v>US0122621313</v>
          </cell>
          <cell r="H336">
            <v>38160</v>
          </cell>
          <cell r="I336">
            <v>375</v>
          </cell>
          <cell r="J336">
            <v>38161</v>
          </cell>
        </row>
        <row r="337">
          <cell r="G337" t="str">
            <v>US0122621314</v>
          </cell>
          <cell r="H337">
            <v>38160</v>
          </cell>
          <cell r="I337">
            <v>75000</v>
          </cell>
          <cell r="J337">
            <v>38161</v>
          </cell>
        </row>
        <row r="338">
          <cell r="G338" t="str">
            <v>US0122647550</v>
          </cell>
          <cell r="H338">
            <v>38201</v>
          </cell>
          <cell r="I338">
            <v>2500</v>
          </cell>
          <cell r="J338">
            <v>38208</v>
          </cell>
        </row>
        <row r="339">
          <cell r="G339" t="str">
            <v>US0122662007</v>
          </cell>
          <cell r="H339">
            <v>38224</v>
          </cell>
          <cell r="I339">
            <v>412400</v>
          </cell>
          <cell r="J339">
            <v>38229</v>
          </cell>
        </row>
        <row r="340">
          <cell r="G340" t="str">
            <v>US0122661770</v>
          </cell>
          <cell r="H340">
            <v>38224</v>
          </cell>
          <cell r="I340">
            <v>62245</v>
          </cell>
          <cell r="J340">
            <v>38231</v>
          </cell>
        </row>
        <row r="341">
          <cell r="G341" t="str">
            <v>US0122655390</v>
          </cell>
          <cell r="H341">
            <v>38212</v>
          </cell>
          <cell r="I341">
            <v>3250</v>
          </cell>
          <cell r="J341">
            <v>38231</v>
          </cell>
        </row>
        <row r="342">
          <cell r="G342" t="str">
            <v>US0122655390</v>
          </cell>
          <cell r="H342">
            <v>38212</v>
          </cell>
          <cell r="I342">
            <v>94950</v>
          </cell>
          <cell r="J342">
            <v>38231</v>
          </cell>
        </row>
        <row r="343">
          <cell r="G343"/>
          <cell r="H343">
            <v>38335</v>
          </cell>
          <cell r="I343">
            <v>7180</v>
          </cell>
          <cell r="J343">
            <v>38335</v>
          </cell>
        </row>
        <row r="344">
          <cell r="G344"/>
          <cell r="H344">
            <v>38335</v>
          </cell>
          <cell r="I344">
            <v>2940</v>
          </cell>
          <cell r="J344">
            <v>38335</v>
          </cell>
        </row>
        <row r="345">
          <cell r="G345"/>
          <cell r="H345">
            <v>38335</v>
          </cell>
          <cell r="I345">
            <v>3650</v>
          </cell>
          <cell r="J345">
            <v>38335</v>
          </cell>
        </row>
        <row r="346">
          <cell r="G346"/>
          <cell r="H346">
            <v>38335</v>
          </cell>
          <cell r="I346">
            <v>60346</v>
          </cell>
          <cell r="J346">
            <v>38335</v>
          </cell>
        </row>
        <row r="347">
          <cell r="G347" t="str">
            <v>US0122668211</v>
          </cell>
          <cell r="H347">
            <v>38232</v>
          </cell>
          <cell r="I347">
            <v>92675</v>
          </cell>
          <cell r="J347">
            <v>38252</v>
          </cell>
        </row>
        <row r="348">
          <cell r="G348" t="str">
            <v>US0122668211</v>
          </cell>
          <cell r="H348">
            <v>38232</v>
          </cell>
          <cell r="I348">
            <v>13910</v>
          </cell>
          <cell r="J348">
            <v>38252</v>
          </cell>
        </row>
        <row r="349">
          <cell r="G349" t="str">
            <v>US0122663055</v>
          </cell>
          <cell r="H349">
            <v>38225</v>
          </cell>
          <cell r="I349">
            <v>5000</v>
          </cell>
          <cell r="J349">
            <v>38252</v>
          </cell>
        </row>
        <row r="350">
          <cell r="G350" t="str">
            <v>US0122663056</v>
          </cell>
          <cell r="H350">
            <v>38225</v>
          </cell>
          <cell r="I350">
            <v>2100</v>
          </cell>
          <cell r="J350">
            <v>38252</v>
          </cell>
        </row>
        <row r="351">
          <cell r="G351" t="str">
            <v>US0122663056</v>
          </cell>
          <cell r="H351">
            <v>38225</v>
          </cell>
          <cell r="I351">
            <v>12500</v>
          </cell>
          <cell r="J351">
            <v>38252</v>
          </cell>
        </row>
        <row r="352">
          <cell r="G352" t="str">
            <v>US0122680267</v>
          </cell>
          <cell r="H352">
            <v>38252</v>
          </cell>
          <cell r="I352">
            <v>5600</v>
          </cell>
          <cell r="J352">
            <v>38265</v>
          </cell>
        </row>
        <row r="353">
          <cell r="G353" t="str">
            <v>US0122680267</v>
          </cell>
          <cell r="H353">
            <v>38252</v>
          </cell>
          <cell r="I353">
            <v>32400</v>
          </cell>
          <cell r="J353">
            <v>38265</v>
          </cell>
        </row>
        <row r="354">
          <cell r="G354" t="str">
            <v>US0122680255</v>
          </cell>
          <cell r="H354">
            <v>38252</v>
          </cell>
          <cell r="I354">
            <v>20253</v>
          </cell>
          <cell r="J354">
            <v>38265</v>
          </cell>
        </row>
        <row r="355">
          <cell r="G355" t="str">
            <v>US0122680096</v>
          </cell>
          <cell r="H355">
            <v>38252</v>
          </cell>
          <cell r="I355">
            <v>35026</v>
          </cell>
          <cell r="J355">
            <v>38265</v>
          </cell>
        </row>
        <row r="356">
          <cell r="G356" t="str">
            <v>US0122680096</v>
          </cell>
          <cell r="H356">
            <v>38252</v>
          </cell>
          <cell r="I356">
            <v>11732</v>
          </cell>
          <cell r="J356">
            <v>38265</v>
          </cell>
        </row>
        <row r="357">
          <cell r="G357" t="str">
            <v>US0122680096</v>
          </cell>
          <cell r="H357">
            <v>38252</v>
          </cell>
          <cell r="I357">
            <v>9250</v>
          </cell>
          <cell r="J357">
            <v>38265</v>
          </cell>
        </row>
        <row r="358">
          <cell r="G358" t="str">
            <v>US0122680096</v>
          </cell>
          <cell r="H358">
            <v>38252</v>
          </cell>
          <cell r="I358">
            <v>2250</v>
          </cell>
          <cell r="J358">
            <v>38265</v>
          </cell>
        </row>
        <row r="359">
          <cell r="G359" t="str">
            <v>US0122691407</v>
          </cell>
          <cell r="H359">
            <v>38265</v>
          </cell>
          <cell r="I359">
            <v>73006</v>
          </cell>
          <cell r="J359">
            <v>38282</v>
          </cell>
        </row>
        <row r="360">
          <cell r="G360" t="str">
            <v>US0122691407</v>
          </cell>
          <cell r="H360">
            <v>38265</v>
          </cell>
          <cell r="I360">
            <v>16225</v>
          </cell>
          <cell r="J360">
            <v>38282</v>
          </cell>
        </row>
        <row r="361">
          <cell r="G361" t="str">
            <v>US0122691407</v>
          </cell>
          <cell r="H361">
            <v>38265</v>
          </cell>
          <cell r="I361">
            <v>4750</v>
          </cell>
          <cell r="J361">
            <v>38282</v>
          </cell>
        </row>
        <row r="362">
          <cell r="G362" t="str">
            <v>US0122691407</v>
          </cell>
          <cell r="H362">
            <v>38265</v>
          </cell>
          <cell r="I362">
            <v>49500</v>
          </cell>
          <cell r="J362">
            <v>38282</v>
          </cell>
        </row>
        <row r="363">
          <cell r="G363" t="str">
            <v>US0122643259</v>
          </cell>
          <cell r="H363">
            <v>38194</v>
          </cell>
          <cell r="I363">
            <v>49500</v>
          </cell>
          <cell r="J363">
            <v>38288</v>
          </cell>
        </row>
        <row r="364">
          <cell r="G364" t="str">
            <v>US0122643259</v>
          </cell>
          <cell r="H364">
            <v>38194</v>
          </cell>
          <cell r="I364">
            <v>7250</v>
          </cell>
          <cell r="J364">
            <v>38288</v>
          </cell>
        </row>
        <row r="365">
          <cell r="G365" t="str">
            <v>US0122643259</v>
          </cell>
          <cell r="H365">
            <v>38194</v>
          </cell>
          <cell r="I365">
            <v>121865</v>
          </cell>
          <cell r="J365">
            <v>38288</v>
          </cell>
        </row>
        <row r="366">
          <cell r="G366" t="str">
            <v>US0122701913</v>
          </cell>
          <cell r="H366">
            <v>38281</v>
          </cell>
          <cell r="I366">
            <v>66887</v>
          </cell>
          <cell r="J366">
            <v>38306</v>
          </cell>
        </row>
        <row r="367">
          <cell r="G367" t="str">
            <v>US0122719509</v>
          </cell>
          <cell r="H367">
            <v>38302</v>
          </cell>
          <cell r="I367">
            <v>140948</v>
          </cell>
          <cell r="J367">
            <v>38315</v>
          </cell>
        </row>
        <row r="368">
          <cell r="G368" t="str">
            <v>US0122719509</v>
          </cell>
          <cell r="H368">
            <v>38302</v>
          </cell>
          <cell r="I368">
            <v>11150</v>
          </cell>
          <cell r="J368">
            <v>38315</v>
          </cell>
        </row>
        <row r="369">
          <cell r="G369" t="str">
            <v>US0122719509</v>
          </cell>
          <cell r="H369">
            <v>38302</v>
          </cell>
          <cell r="I369">
            <v>14250</v>
          </cell>
          <cell r="J369">
            <v>38315</v>
          </cell>
        </row>
        <row r="370">
          <cell r="G370" t="str">
            <v>US0122719509</v>
          </cell>
          <cell r="H370">
            <v>38302</v>
          </cell>
          <cell r="I370">
            <v>85525</v>
          </cell>
          <cell r="J370">
            <v>38315</v>
          </cell>
        </row>
        <row r="371">
          <cell r="G371" t="str">
            <v>US0122719509</v>
          </cell>
          <cell r="H371">
            <v>38302</v>
          </cell>
          <cell r="I371">
            <v>5950</v>
          </cell>
          <cell r="J371">
            <v>38315</v>
          </cell>
        </row>
        <row r="372">
          <cell r="G372"/>
          <cell r="H372">
            <v>38107</v>
          </cell>
          <cell r="I372">
            <v>153058</v>
          </cell>
          <cell r="J372">
            <v>38107</v>
          </cell>
        </row>
        <row r="373">
          <cell r="G373" t="str">
            <v>10034210</v>
          </cell>
          <cell r="H373">
            <v>38118</v>
          </cell>
          <cell r="I373">
            <v>42500</v>
          </cell>
          <cell r="J373">
            <v>38142</v>
          </cell>
        </row>
        <row r="374">
          <cell r="G374" t="str">
            <v>584179</v>
          </cell>
          <cell r="H374">
            <v>38015</v>
          </cell>
          <cell r="I374">
            <v>782.77</v>
          </cell>
          <cell r="J374">
            <v>38036</v>
          </cell>
        </row>
        <row r="375">
          <cell r="G375" t="str">
            <v>00101989</v>
          </cell>
          <cell r="H375">
            <v>38030</v>
          </cell>
          <cell r="I375">
            <v>25000</v>
          </cell>
          <cell r="J375">
            <v>38050</v>
          </cell>
        </row>
        <row r="376">
          <cell r="G376" t="str">
            <v>351106</v>
          </cell>
          <cell r="H376">
            <v>38085</v>
          </cell>
          <cell r="I376">
            <v>35000</v>
          </cell>
          <cell r="J376">
            <v>38132</v>
          </cell>
        </row>
        <row r="377">
          <cell r="G377" t="str">
            <v>00102040</v>
          </cell>
          <cell r="H377">
            <v>38121</v>
          </cell>
          <cell r="I377">
            <v>15534.84</v>
          </cell>
          <cell r="J377">
            <v>38145</v>
          </cell>
        </row>
        <row r="378">
          <cell r="G378" t="str">
            <v>612962</v>
          </cell>
          <cell r="H378">
            <v>38113</v>
          </cell>
          <cell r="I378">
            <v>606.41999999999996</v>
          </cell>
          <cell r="J378">
            <v>38156</v>
          </cell>
        </row>
        <row r="379">
          <cell r="G379" t="str">
            <v>639793</v>
          </cell>
          <cell r="H379">
            <v>38204</v>
          </cell>
          <cell r="I379">
            <v>686.53</v>
          </cell>
          <cell r="J379">
            <v>38253</v>
          </cell>
        </row>
        <row r="380">
          <cell r="G380" t="str">
            <v>00102091</v>
          </cell>
          <cell r="H380">
            <v>38205</v>
          </cell>
          <cell r="I380">
            <v>30000</v>
          </cell>
          <cell r="J380">
            <v>38289</v>
          </cell>
        </row>
        <row r="381">
          <cell r="G381" t="str">
            <v>CA0189216610</v>
          </cell>
          <cell r="H381">
            <v>38163</v>
          </cell>
          <cell r="I381">
            <v>1332</v>
          </cell>
          <cell r="J381">
            <v>38168</v>
          </cell>
        </row>
        <row r="382">
          <cell r="G382" t="str">
            <v>12298934</v>
          </cell>
          <cell r="H382">
            <v>38331</v>
          </cell>
          <cell r="I382">
            <v>11200</v>
          </cell>
          <cell r="J382">
            <v>38343</v>
          </cell>
        </row>
        <row r="383">
          <cell r="G383" t="str">
            <v>611</v>
          </cell>
          <cell r="H383">
            <v>37955</v>
          </cell>
          <cell r="I383">
            <v>23505.63</v>
          </cell>
          <cell r="J383">
            <v>37999</v>
          </cell>
        </row>
        <row r="384">
          <cell r="G384" t="str">
            <v>SVC THRU 1/31/04</v>
          </cell>
          <cell r="H384">
            <v>38022</v>
          </cell>
          <cell r="I384">
            <v>7687.46</v>
          </cell>
          <cell r="J384">
            <v>38026</v>
          </cell>
        </row>
        <row r="385">
          <cell r="G385" t="str">
            <v>ETHICS CLASSES</v>
          </cell>
          <cell r="H385">
            <v>38026</v>
          </cell>
          <cell r="I385">
            <v>9375</v>
          </cell>
          <cell r="J385">
            <v>38035</v>
          </cell>
        </row>
        <row r="386">
          <cell r="G386" t="str">
            <v>07928097</v>
          </cell>
          <cell r="H386">
            <v>38033</v>
          </cell>
          <cell r="I386">
            <v>9264</v>
          </cell>
          <cell r="J386">
            <v>38040</v>
          </cell>
        </row>
        <row r="387">
          <cell r="G387" t="str">
            <v>02/01 - 03/15/04</v>
          </cell>
          <cell r="H387">
            <v>38061</v>
          </cell>
          <cell r="I387">
            <v>26221.22</v>
          </cell>
          <cell r="J387">
            <v>38065</v>
          </cell>
        </row>
        <row r="388">
          <cell r="G388" t="str">
            <v>08997746</v>
          </cell>
          <cell r="H388">
            <v>38119</v>
          </cell>
          <cell r="I388">
            <v>16644.919999999998</v>
          </cell>
          <cell r="J388">
            <v>38142</v>
          </cell>
        </row>
        <row r="389">
          <cell r="G389" t="str">
            <v>08997748</v>
          </cell>
          <cell r="H389">
            <v>38119</v>
          </cell>
          <cell r="I389">
            <v>5000</v>
          </cell>
          <cell r="J389">
            <v>38142</v>
          </cell>
        </row>
        <row r="390">
          <cell r="G390" t="str">
            <v>TRAINING</v>
          </cell>
          <cell r="H390">
            <v>38124</v>
          </cell>
          <cell r="I390">
            <v>16875</v>
          </cell>
          <cell r="J390">
            <v>38145</v>
          </cell>
        </row>
        <row r="391">
          <cell r="G391" t="str">
            <v>IN024255</v>
          </cell>
          <cell r="H391">
            <v>38133</v>
          </cell>
          <cell r="I391">
            <v>664.03</v>
          </cell>
          <cell r="J391">
            <v>38152</v>
          </cell>
        </row>
        <row r="392">
          <cell r="G392" t="str">
            <v>04/16 - 05/31/04</v>
          </cell>
          <cell r="H392">
            <v>38138</v>
          </cell>
          <cell r="I392">
            <v>3876.19</v>
          </cell>
          <cell r="J392">
            <v>38152</v>
          </cell>
        </row>
        <row r="393">
          <cell r="G393" t="str">
            <v>08997850</v>
          </cell>
          <cell r="H393">
            <v>38146</v>
          </cell>
          <cell r="I393">
            <v>17471.5</v>
          </cell>
          <cell r="J393">
            <v>38160</v>
          </cell>
        </row>
        <row r="394">
          <cell r="G394" t="str">
            <v>08997923</v>
          </cell>
          <cell r="H394">
            <v>38152</v>
          </cell>
          <cell r="I394">
            <v>17278</v>
          </cell>
          <cell r="J394">
            <v>38166</v>
          </cell>
        </row>
        <row r="395">
          <cell r="G395" t="str">
            <v>06/01 - 06/15/04</v>
          </cell>
          <cell r="H395">
            <v>38162</v>
          </cell>
          <cell r="I395">
            <v>8006.2</v>
          </cell>
          <cell r="J395">
            <v>38168</v>
          </cell>
        </row>
        <row r="396">
          <cell r="G396" t="str">
            <v>08997936</v>
          </cell>
          <cell r="H396">
            <v>38177</v>
          </cell>
          <cell r="I396">
            <v>5425</v>
          </cell>
          <cell r="J396">
            <v>38184</v>
          </cell>
        </row>
        <row r="397">
          <cell r="G397" t="str">
            <v>THRU 06/30/04</v>
          </cell>
          <cell r="H397">
            <v>38176</v>
          </cell>
          <cell r="I397">
            <v>8006.2</v>
          </cell>
          <cell r="J397">
            <v>38184</v>
          </cell>
        </row>
        <row r="398">
          <cell r="G398" t="str">
            <v>41729586</v>
          </cell>
          <cell r="H398">
            <v>38162</v>
          </cell>
          <cell r="I398">
            <v>25422</v>
          </cell>
          <cell r="J398">
            <v>38196</v>
          </cell>
        </row>
        <row r="399">
          <cell r="G399" t="str">
            <v>08997942</v>
          </cell>
          <cell r="H399">
            <v>38181</v>
          </cell>
          <cell r="I399">
            <v>17548.98</v>
          </cell>
          <cell r="J399">
            <v>38198</v>
          </cell>
        </row>
        <row r="400">
          <cell r="G400" t="str">
            <v>08995693</v>
          </cell>
          <cell r="H400">
            <v>38191</v>
          </cell>
          <cell r="I400">
            <v>10511.86</v>
          </cell>
          <cell r="J400">
            <v>38201</v>
          </cell>
        </row>
        <row r="401">
          <cell r="G401" t="str">
            <v>41749857</v>
          </cell>
          <cell r="H401">
            <v>38187</v>
          </cell>
          <cell r="I401">
            <v>50000</v>
          </cell>
          <cell r="J401">
            <v>38201</v>
          </cell>
        </row>
        <row r="402">
          <cell r="G402" t="str">
            <v>41749860</v>
          </cell>
          <cell r="H402">
            <v>38187</v>
          </cell>
          <cell r="I402">
            <v>15000</v>
          </cell>
          <cell r="J402">
            <v>38201</v>
          </cell>
        </row>
        <row r="403">
          <cell r="G403"/>
          <cell r="H403">
            <v>38007</v>
          </cell>
          <cell r="I403">
            <v>68.81</v>
          </cell>
          <cell r="J403">
            <v>38021</v>
          </cell>
        </row>
        <row r="404">
          <cell r="G404"/>
          <cell r="H404">
            <v>38007</v>
          </cell>
          <cell r="I404">
            <v>16.62</v>
          </cell>
          <cell r="J404">
            <v>38021</v>
          </cell>
        </row>
        <row r="405">
          <cell r="G405"/>
          <cell r="H405">
            <v>38006</v>
          </cell>
          <cell r="I405">
            <v>17.23</v>
          </cell>
          <cell r="J405">
            <v>38021</v>
          </cell>
        </row>
        <row r="406">
          <cell r="G406"/>
          <cell r="H406">
            <v>38000</v>
          </cell>
          <cell r="I406">
            <v>38.32</v>
          </cell>
          <cell r="J406">
            <v>38021</v>
          </cell>
        </row>
        <row r="407">
          <cell r="G407"/>
          <cell r="H407">
            <v>38000</v>
          </cell>
          <cell r="I407">
            <v>16.62</v>
          </cell>
          <cell r="J407">
            <v>38021</v>
          </cell>
        </row>
        <row r="408">
          <cell r="G408"/>
          <cell r="H408">
            <v>37997</v>
          </cell>
          <cell r="I408">
            <v>55.15</v>
          </cell>
          <cell r="J408">
            <v>38021</v>
          </cell>
        </row>
        <row r="409">
          <cell r="G409"/>
          <cell r="H409">
            <v>38042</v>
          </cell>
          <cell r="I409">
            <v>16.600000000000001</v>
          </cell>
          <cell r="J409">
            <v>38049</v>
          </cell>
        </row>
        <row r="410">
          <cell r="G410"/>
          <cell r="H410">
            <v>38035</v>
          </cell>
          <cell r="I410">
            <v>60.34</v>
          </cell>
          <cell r="J410">
            <v>38049</v>
          </cell>
        </row>
        <row r="411">
          <cell r="G411"/>
          <cell r="H411">
            <v>38035</v>
          </cell>
          <cell r="I411">
            <v>16.62</v>
          </cell>
          <cell r="J411">
            <v>38049</v>
          </cell>
        </row>
        <row r="412">
          <cell r="G412"/>
          <cell r="H412">
            <v>38035</v>
          </cell>
          <cell r="I412">
            <v>4.25</v>
          </cell>
          <cell r="J412">
            <v>38049</v>
          </cell>
        </row>
        <row r="413">
          <cell r="G413"/>
          <cell r="H413">
            <v>38042</v>
          </cell>
          <cell r="I413">
            <v>41.58</v>
          </cell>
          <cell r="J413">
            <v>38049</v>
          </cell>
        </row>
        <row r="414">
          <cell r="G414"/>
          <cell r="H414">
            <v>38055</v>
          </cell>
          <cell r="I414">
            <v>51.14</v>
          </cell>
          <cell r="J414">
            <v>38076</v>
          </cell>
        </row>
        <row r="415">
          <cell r="G415"/>
          <cell r="H415">
            <v>38056</v>
          </cell>
          <cell r="I415">
            <v>9.67</v>
          </cell>
          <cell r="J415">
            <v>38076</v>
          </cell>
        </row>
        <row r="416">
          <cell r="G416"/>
          <cell r="H416">
            <v>38054</v>
          </cell>
          <cell r="I416">
            <v>15.76</v>
          </cell>
          <cell r="J416">
            <v>38083</v>
          </cell>
        </row>
        <row r="417">
          <cell r="G417"/>
          <cell r="H417">
            <v>38054</v>
          </cell>
          <cell r="I417">
            <v>53.93</v>
          </cell>
          <cell r="J417">
            <v>38083</v>
          </cell>
        </row>
        <row r="418">
          <cell r="G418"/>
          <cell r="H418">
            <v>38054</v>
          </cell>
          <cell r="I418">
            <v>10.83</v>
          </cell>
          <cell r="J418">
            <v>38083</v>
          </cell>
        </row>
        <row r="419">
          <cell r="G419"/>
          <cell r="H419">
            <v>38243</v>
          </cell>
          <cell r="I419">
            <v>16823.86</v>
          </cell>
          <cell r="J419">
            <v>38243</v>
          </cell>
        </row>
        <row r="420">
          <cell r="G420"/>
          <cell r="H420">
            <v>38260</v>
          </cell>
          <cell r="I420">
            <v>52890</v>
          </cell>
          <cell r="J420">
            <v>38260</v>
          </cell>
        </row>
        <row r="421">
          <cell r="G421"/>
          <cell r="H421">
            <v>38274</v>
          </cell>
          <cell r="I421">
            <v>500</v>
          </cell>
          <cell r="J421">
            <v>38274</v>
          </cell>
        </row>
        <row r="422">
          <cell r="G422"/>
          <cell r="H422">
            <v>38274</v>
          </cell>
          <cell r="I422">
            <v>-500</v>
          </cell>
          <cell r="J422">
            <v>38274</v>
          </cell>
        </row>
        <row r="423">
          <cell r="G423"/>
          <cell r="H423">
            <v>38274</v>
          </cell>
          <cell r="I423">
            <v>500</v>
          </cell>
          <cell r="J423">
            <v>38274</v>
          </cell>
        </row>
        <row r="424">
          <cell r="G424"/>
          <cell r="H424">
            <v>38285</v>
          </cell>
          <cell r="I424">
            <v>31418.55</v>
          </cell>
          <cell r="J424">
            <v>38285</v>
          </cell>
        </row>
        <row r="425">
          <cell r="G425"/>
          <cell r="H425">
            <v>38287</v>
          </cell>
          <cell r="I425">
            <v>43592</v>
          </cell>
          <cell r="J425">
            <v>38287</v>
          </cell>
        </row>
        <row r="426">
          <cell r="G426"/>
          <cell r="H426">
            <v>38307</v>
          </cell>
          <cell r="I426">
            <v>100000</v>
          </cell>
          <cell r="J426">
            <v>38307</v>
          </cell>
        </row>
        <row r="427">
          <cell r="G427"/>
          <cell r="H427">
            <v>38331</v>
          </cell>
          <cell r="I427">
            <v>104500</v>
          </cell>
          <cell r="J427">
            <v>38331</v>
          </cell>
        </row>
        <row r="428">
          <cell r="G428"/>
          <cell r="H428">
            <v>38334</v>
          </cell>
          <cell r="I428">
            <v>30370.68</v>
          </cell>
          <cell r="J428">
            <v>38334</v>
          </cell>
        </row>
        <row r="429">
          <cell r="G429" t="str">
            <v>08997643</v>
          </cell>
          <cell r="H429">
            <v>38090</v>
          </cell>
          <cell r="I429">
            <v>4892.21</v>
          </cell>
          <cell r="J429">
            <v>38105</v>
          </cell>
        </row>
        <row r="430">
          <cell r="G430" t="str">
            <v>LEGAL SERVICES</v>
          </cell>
          <cell r="H430">
            <v>38077</v>
          </cell>
          <cell r="I430">
            <v>2737.66</v>
          </cell>
          <cell r="J430">
            <v>38105</v>
          </cell>
        </row>
        <row r="431">
          <cell r="G431" t="str">
            <v>08995708</v>
          </cell>
          <cell r="H431">
            <v>38211</v>
          </cell>
          <cell r="I431">
            <v>10465.85</v>
          </cell>
          <cell r="J431">
            <v>38225</v>
          </cell>
        </row>
        <row r="432">
          <cell r="G432" t="str">
            <v>07/01-07/31/04</v>
          </cell>
          <cell r="H432">
            <v>38200</v>
          </cell>
          <cell r="I432">
            <v>20310.37</v>
          </cell>
          <cell r="J432">
            <v>38226</v>
          </cell>
        </row>
        <row r="433">
          <cell r="G433" t="str">
            <v>08995715</v>
          </cell>
          <cell r="H433">
            <v>38218</v>
          </cell>
          <cell r="I433">
            <v>1172</v>
          </cell>
          <cell r="J433">
            <v>38240</v>
          </cell>
        </row>
        <row r="434">
          <cell r="G434" t="str">
            <v>08995725</v>
          </cell>
          <cell r="H434">
            <v>38222</v>
          </cell>
          <cell r="I434">
            <v>11426.76</v>
          </cell>
          <cell r="J434">
            <v>38252</v>
          </cell>
        </row>
        <row r="435">
          <cell r="G435" t="str">
            <v>763038</v>
          </cell>
          <cell r="H435">
            <v>38291</v>
          </cell>
          <cell r="I435">
            <v>3250</v>
          </cell>
          <cell r="J435">
            <v>38314</v>
          </cell>
        </row>
        <row r="436">
          <cell r="G436" t="str">
            <v>QD000577</v>
          </cell>
          <cell r="H436">
            <v>38019</v>
          </cell>
          <cell r="I436">
            <v>-500</v>
          </cell>
          <cell r="J436">
            <v>38027</v>
          </cell>
        </row>
        <row r="437">
          <cell r="G437" t="str">
            <v>287850</v>
          </cell>
          <cell r="H437">
            <v>37993</v>
          </cell>
          <cell r="I437">
            <v>26497.7</v>
          </cell>
          <cell r="J437">
            <v>37994</v>
          </cell>
        </row>
        <row r="438">
          <cell r="G438" t="str">
            <v>QD000541</v>
          </cell>
          <cell r="H438">
            <v>38000</v>
          </cell>
          <cell r="I438">
            <v>263.77999999999997</v>
          </cell>
          <cell r="J438">
            <v>38001</v>
          </cell>
        </row>
        <row r="439">
          <cell r="G439" t="str">
            <v>330012526</v>
          </cell>
          <cell r="H439">
            <v>38006</v>
          </cell>
          <cell r="I439">
            <v>346.5</v>
          </cell>
          <cell r="J439">
            <v>38008</v>
          </cell>
        </row>
        <row r="440">
          <cell r="G440" t="str">
            <v>330030420</v>
          </cell>
          <cell r="H440">
            <v>38006</v>
          </cell>
          <cell r="I440">
            <v>722.25</v>
          </cell>
          <cell r="J440">
            <v>38008</v>
          </cell>
        </row>
        <row r="441">
          <cell r="G441" t="str">
            <v>121-402182</v>
          </cell>
          <cell r="H441">
            <v>38015</v>
          </cell>
          <cell r="I441">
            <v>44708</v>
          </cell>
          <cell r="J441">
            <v>38016</v>
          </cell>
        </row>
        <row r="442">
          <cell r="G442" t="str">
            <v>121-402175</v>
          </cell>
          <cell r="H442">
            <v>38015</v>
          </cell>
          <cell r="I442">
            <v>71746</v>
          </cell>
          <cell r="J442">
            <v>38016</v>
          </cell>
        </row>
        <row r="443">
          <cell r="G443" t="str">
            <v>121-402063</v>
          </cell>
          <cell r="H443">
            <v>38015</v>
          </cell>
          <cell r="I443">
            <v>55158</v>
          </cell>
          <cell r="J443">
            <v>38016</v>
          </cell>
        </row>
        <row r="444">
          <cell r="G444" t="str">
            <v>121-402011</v>
          </cell>
          <cell r="H444">
            <v>37993</v>
          </cell>
          <cell r="I444">
            <v>42429</v>
          </cell>
          <cell r="J444">
            <v>38016</v>
          </cell>
        </row>
        <row r="445">
          <cell r="G445" t="str">
            <v>QD000577</v>
          </cell>
          <cell r="H445">
            <v>38019</v>
          </cell>
          <cell r="I445">
            <v>500</v>
          </cell>
          <cell r="J445">
            <v>38022</v>
          </cell>
        </row>
        <row r="446">
          <cell r="G446" t="str">
            <v>QD000577</v>
          </cell>
          <cell r="H446">
            <v>38027</v>
          </cell>
          <cell r="I446">
            <v>512.82000000000005</v>
          </cell>
          <cell r="J446">
            <v>38028</v>
          </cell>
        </row>
        <row r="447">
          <cell r="G447" t="str">
            <v>330049488</v>
          </cell>
          <cell r="H447">
            <v>38029</v>
          </cell>
          <cell r="I447">
            <v>254</v>
          </cell>
          <cell r="J447">
            <v>38033</v>
          </cell>
        </row>
        <row r="448">
          <cell r="G448" t="str">
            <v>330049487</v>
          </cell>
          <cell r="H448">
            <v>38036</v>
          </cell>
          <cell r="I448">
            <v>345.5</v>
          </cell>
          <cell r="J448">
            <v>38040</v>
          </cell>
        </row>
        <row r="449">
          <cell r="G449" t="str">
            <v>330062916</v>
          </cell>
          <cell r="H449">
            <v>38063</v>
          </cell>
          <cell r="I449">
            <v>141</v>
          </cell>
          <cell r="J449">
            <v>38064</v>
          </cell>
        </row>
        <row r="450">
          <cell r="G450" t="str">
            <v>330049487</v>
          </cell>
          <cell r="H450">
            <v>38063</v>
          </cell>
          <cell r="I450">
            <v>345.5</v>
          </cell>
          <cell r="J450">
            <v>38064</v>
          </cell>
        </row>
        <row r="451">
          <cell r="G451" t="str">
            <v>QD000577</v>
          </cell>
          <cell r="H451">
            <v>38063</v>
          </cell>
          <cell r="I451">
            <v>766.42</v>
          </cell>
          <cell r="J451">
            <v>38064</v>
          </cell>
        </row>
        <row r="452">
          <cell r="G452" t="str">
            <v>121-402277</v>
          </cell>
          <cell r="H452">
            <v>38063</v>
          </cell>
          <cell r="I452">
            <v>116801</v>
          </cell>
          <cell r="J452">
            <v>38064</v>
          </cell>
        </row>
        <row r="453">
          <cell r="G453" t="str">
            <v>QD000637</v>
          </cell>
          <cell r="H453">
            <v>38075</v>
          </cell>
          <cell r="I453">
            <v>762.97</v>
          </cell>
          <cell r="J453">
            <v>38076</v>
          </cell>
        </row>
        <row r="454">
          <cell r="G454" t="str">
            <v>330081776</v>
          </cell>
          <cell r="H454">
            <v>38104</v>
          </cell>
          <cell r="I454">
            <v>122.25</v>
          </cell>
          <cell r="J454">
            <v>38105</v>
          </cell>
        </row>
        <row r="455">
          <cell r="G455" t="str">
            <v>QD000668</v>
          </cell>
          <cell r="H455">
            <v>38099</v>
          </cell>
          <cell r="I455">
            <v>1020.53</v>
          </cell>
          <cell r="J455">
            <v>38106</v>
          </cell>
        </row>
        <row r="456">
          <cell r="G456" t="str">
            <v>ADMIN. EXPENSE</v>
          </cell>
          <cell r="H456">
            <v>38107</v>
          </cell>
          <cell r="I456">
            <v>413770</v>
          </cell>
          <cell r="J456">
            <v>38107</v>
          </cell>
        </row>
        <row r="457">
          <cell r="G457" t="str">
            <v>6505</v>
          </cell>
          <cell r="H457">
            <v>38119</v>
          </cell>
          <cell r="I457">
            <v>2700</v>
          </cell>
          <cell r="J457">
            <v>38121</v>
          </cell>
        </row>
        <row r="458">
          <cell r="G458" t="str">
            <v>330081777</v>
          </cell>
          <cell r="H458">
            <v>38127</v>
          </cell>
          <cell r="I458">
            <v>341</v>
          </cell>
          <cell r="J458">
            <v>38128</v>
          </cell>
        </row>
        <row r="459">
          <cell r="G459" t="str">
            <v>330100795</v>
          </cell>
          <cell r="H459">
            <v>38127</v>
          </cell>
          <cell r="I459">
            <v>94</v>
          </cell>
          <cell r="J459">
            <v>38128</v>
          </cell>
        </row>
        <row r="460">
          <cell r="G460" t="str">
            <v>121-402375</v>
          </cell>
          <cell r="H460">
            <v>38135</v>
          </cell>
          <cell r="I460">
            <v>114361</v>
          </cell>
          <cell r="J460">
            <v>38139</v>
          </cell>
        </row>
        <row r="461">
          <cell r="G461" t="str">
            <v>121-402494</v>
          </cell>
          <cell r="H461">
            <v>38112</v>
          </cell>
          <cell r="I461">
            <v>106547</v>
          </cell>
          <cell r="J461">
            <v>38139</v>
          </cell>
        </row>
        <row r="462">
          <cell r="G462" t="str">
            <v>330114282</v>
          </cell>
          <cell r="H462">
            <v>38145</v>
          </cell>
          <cell r="I462">
            <v>401</v>
          </cell>
          <cell r="J462">
            <v>38148</v>
          </cell>
        </row>
        <row r="463">
          <cell r="G463" t="str">
            <v>330114281</v>
          </cell>
          <cell r="H463">
            <v>38145</v>
          </cell>
          <cell r="I463">
            <v>261.5</v>
          </cell>
          <cell r="J463">
            <v>38148</v>
          </cell>
        </row>
        <row r="464">
          <cell r="G464" t="str">
            <v>QD000684</v>
          </cell>
          <cell r="H464">
            <v>38148</v>
          </cell>
          <cell r="I464">
            <v>1263.81</v>
          </cell>
          <cell r="J464">
            <v>38148</v>
          </cell>
        </row>
        <row r="465">
          <cell r="G465" t="str">
            <v>3290010</v>
          </cell>
          <cell r="H465">
            <v>38148</v>
          </cell>
          <cell r="I465">
            <v>19653.759999999998</v>
          </cell>
          <cell r="J465">
            <v>38148</v>
          </cell>
        </row>
        <row r="466">
          <cell r="G466" t="str">
            <v>121-402580</v>
          </cell>
          <cell r="H466">
            <v>38147</v>
          </cell>
          <cell r="I466">
            <v>102786</v>
          </cell>
          <cell r="J466">
            <v>38154</v>
          </cell>
        </row>
        <row r="467">
          <cell r="G467" t="str">
            <v>330114281</v>
          </cell>
          <cell r="H467">
            <v>38188</v>
          </cell>
          <cell r="I467">
            <v>144.75</v>
          </cell>
          <cell r="J467">
            <v>38189</v>
          </cell>
        </row>
        <row r="468">
          <cell r="G468" t="str">
            <v>121-402684</v>
          </cell>
          <cell r="H468">
            <v>38188</v>
          </cell>
          <cell r="I468">
            <v>117773</v>
          </cell>
          <cell r="J468">
            <v>38189</v>
          </cell>
        </row>
        <row r="469">
          <cell r="G469" t="str">
            <v>3290027</v>
          </cell>
          <cell r="H469">
            <v>38196</v>
          </cell>
          <cell r="I469">
            <v>8124.51</v>
          </cell>
          <cell r="J469">
            <v>38197</v>
          </cell>
        </row>
        <row r="470">
          <cell r="G470" t="str">
            <v>330114282</v>
          </cell>
          <cell r="H470">
            <v>38196</v>
          </cell>
          <cell r="I470">
            <v>374</v>
          </cell>
          <cell r="J470">
            <v>38198</v>
          </cell>
        </row>
        <row r="471">
          <cell r="G471" t="str">
            <v>330187780</v>
          </cell>
          <cell r="H471">
            <v>38223</v>
          </cell>
          <cell r="I471">
            <v>308.51</v>
          </cell>
          <cell r="J471">
            <v>38224</v>
          </cell>
        </row>
        <row r="472">
          <cell r="G472"/>
          <cell r="H472">
            <v>38238</v>
          </cell>
          <cell r="I472">
            <v>407.88</v>
          </cell>
          <cell r="J472">
            <v>38238</v>
          </cell>
        </row>
        <row r="473">
          <cell r="G473"/>
          <cell r="H473">
            <v>38238</v>
          </cell>
          <cell r="I473">
            <v>2624.4</v>
          </cell>
          <cell r="J473">
            <v>38238</v>
          </cell>
        </row>
        <row r="474">
          <cell r="G474"/>
          <cell r="H474">
            <v>38246</v>
          </cell>
          <cell r="I474">
            <v>394.8</v>
          </cell>
          <cell r="J474">
            <v>38246</v>
          </cell>
        </row>
        <row r="475">
          <cell r="G475"/>
          <cell r="H475">
            <v>38246</v>
          </cell>
          <cell r="I475">
            <v>2634.4</v>
          </cell>
          <cell r="J475">
            <v>38246</v>
          </cell>
        </row>
        <row r="476">
          <cell r="G476"/>
          <cell r="H476">
            <v>38278</v>
          </cell>
          <cell r="I476">
            <v>242.92</v>
          </cell>
          <cell r="J476">
            <v>38278</v>
          </cell>
        </row>
        <row r="477">
          <cell r="G477"/>
          <cell r="H477">
            <v>38278</v>
          </cell>
          <cell r="I477">
            <v>394.8</v>
          </cell>
          <cell r="J477">
            <v>38278</v>
          </cell>
        </row>
        <row r="478">
          <cell r="G478"/>
          <cell r="H478">
            <v>38289</v>
          </cell>
          <cell r="I478">
            <v>18125</v>
          </cell>
          <cell r="J478">
            <v>38289</v>
          </cell>
        </row>
        <row r="479">
          <cell r="G479"/>
          <cell r="H479">
            <v>38306</v>
          </cell>
          <cell r="I479">
            <v>185.02</v>
          </cell>
          <cell r="J479">
            <v>38306</v>
          </cell>
        </row>
        <row r="480">
          <cell r="G480"/>
          <cell r="H480">
            <v>38306</v>
          </cell>
          <cell r="I480">
            <v>404.8</v>
          </cell>
          <cell r="J480">
            <v>38306</v>
          </cell>
        </row>
        <row r="481">
          <cell r="G481"/>
          <cell r="H481">
            <v>38329</v>
          </cell>
          <cell r="I481">
            <v>404.8</v>
          </cell>
          <cell r="J481">
            <v>38329</v>
          </cell>
        </row>
        <row r="482">
          <cell r="G482"/>
          <cell r="H482">
            <v>38330</v>
          </cell>
          <cell r="I482">
            <v>96.36</v>
          </cell>
          <cell r="J482">
            <v>38330</v>
          </cell>
        </row>
        <row r="483">
          <cell r="G483" t="str">
            <v>330081777</v>
          </cell>
          <cell r="H483">
            <v>38104</v>
          </cell>
          <cell r="I483">
            <v>345.5</v>
          </cell>
          <cell r="J483">
            <v>38105</v>
          </cell>
        </row>
        <row r="484">
          <cell r="G484" t="str">
            <v>121-402733</v>
          </cell>
          <cell r="H484">
            <v>38223</v>
          </cell>
          <cell r="I484">
            <v>114127</v>
          </cell>
          <cell r="J484">
            <v>38230</v>
          </cell>
        </row>
        <row r="485">
          <cell r="G485" t="str">
            <v>IN00005945</v>
          </cell>
          <cell r="H485">
            <v>38238</v>
          </cell>
          <cell r="I485">
            <v>43938</v>
          </cell>
          <cell r="J485">
            <v>38244</v>
          </cell>
        </row>
        <row r="486">
          <cell r="G486" t="str">
            <v>IN00015332</v>
          </cell>
          <cell r="H486">
            <v>38286</v>
          </cell>
          <cell r="I486">
            <v>130652</v>
          </cell>
          <cell r="J486">
            <v>38287</v>
          </cell>
        </row>
        <row r="487">
          <cell r="G487" t="str">
            <v>3290048</v>
          </cell>
          <cell r="H487">
            <v>38287</v>
          </cell>
          <cell r="I487">
            <v>9160</v>
          </cell>
          <cell r="J487">
            <v>38287</v>
          </cell>
        </row>
        <row r="488">
          <cell r="G488" t="str">
            <v>INV00021065</v>
          </cell>
          <cell r="H488">
            <v>38294</v>
          </cell>
          <cell r="I488">
            <v>141058</v>
          </cell>
          <cell r="J488">
            <v>38295</v>
          </cell>
        </row>
        <row r="489">
          <cell r="G489" t="str">
            <v>INV00026464</v>
          </cell>
          <cell r="H489">
            <v>38336</v>
          </cell>
          <cell r="I489">
            <v>133120</v>
          </cell>
          <cell r="J489">
            <v>38337</v>
          </cell>
        </row>
        <row r="490">
          <cell r="G490" t="str">
            <v>INV00026464</v>
          </cell>
          <cell r="H490">
            <v>38338</v>
          </cell>
          <cell r="I490">
            <v>133273</v>
          </cell>
          <cell r="J490">
            <v>38338</v>
          </cell>
        </row>
        <row r="491">
          <cell r="G491" t="str">
            <v>IN00026464</v>
          </cell>
          <cell r="H491">
            <v>38338</v>
          </cell>
          <cell r="I491">
            <v>133165</v>
          </cell>
          <cell r="J491">
            <v>38339</v>
          </cell>
        </row>
        <row r="492">
          <cell r="G492"/>
          <cell r="H492">
            <v>38327</v>
          </cell>
          <cell r="I492">
            <v>9850.6</v>
          </cell>
          <cell r="J492">
            <v>38327</v>
          </cell>
        </row>
        <row r="493">
          <cell r="G493" t="str">
            <v>151612929</v>
          </cell>
          <cell r="H493">
            <v>37921</v>
          </cell>
          <cell r="I493">
            <v>2131</v>
          </cell>
          <cell r="J493">
            <v>38021</v>
          </cell>
        </row>
        <row r="494">
          <cell r="G494"/>
          <cell r="H494">
            <v>38140</v>
          </cell>
          <cell r="I494">
            <v>2131</v>
          </cell>
          <cell r="J494">
            <v>38140</v>
          </cell>
        </row>
        <row r="495">
          <cell r="G495"/>
          <cell r="H495">
            <v>38140</v>
          </cell>
          <cell r="I495">
            <v>-2131</v>
          </cell>
          <cell r="J495">
            <v>38140</v>
          </cell>
        </row>
        <row r="496">
          <cell r="G496"/>
          <cell r="H496">
            <v>38009</v>
          </cell>
          <cell r="I496">
            <v>936</v>
          </cell>
          <cell r="J496">
            <v>38009</v>
          </cell>
        </row>
        <row r="497">
          <cell r="G497"/>
          <cell r="H497">
            <v>38009</v>
          </cell>
          <cell r="I497">
            <v>936</v>
          </cell>
          <cell r="J497">
            <v>38009</v>
          </cell>
        </row>
        <row r="498">
          <cell r="G498"/>
          <cell r="H498">
            <v>38009</v>
          </cell>
          <cell r="I498">
            <v>13572</v>
          </cell>
          <cell r="J498">
            <v>38009</v>
          </cell>
        </row>
        <row r="499">
          <cell r="G499"/>
          <cell r="H499">
            <v>38014</v>
          </cell>
          <cell r="I499">
            <v>40000</v>
          </cell>
          <cell r="J499">
            <v>38014</v>
          </cell>
        </row>
        <row r="500">
          <cell r="G500"/>
          <cell r="H500">
            <v>38020</v>
          </cell>
          <cell r="I500">
            <v>2132</v>
          </cell>
          <cell r="J500">
            <v>38020</v>
          </cell>
        </row>
        <row r="501">
          <cell r="G501"/>
          <cell r="H501">
            <v>38020</v>
          </cell>
          <cell r="I501">
            <v>13572</v>
          </cell>
          <cell r="J501">
            <v>38020</v>
          </cell>
        </row>
        <row r="502">
          <cell r="G502"/>
          <cell r="H502">
            <v>38020</v>
          </cell>
          <cell r="I502">
            <v>936</v>
          </cell>
          <cell r="J502">
            <v>38020</v>
          </cell>
        </row>
        <row r="503">
          <cell r="G503"/>
          <cell r="H503">
            <v>38020</v>
          </cell>
          <cell r="I503">
            <v>936</v>
          </cell>
          <cell r="J503">
            <v>38020</v>
          </cell>
        </row>
        <row r="504">
          <cell r="G504"/>
          <cell r="H504">
            <v>38036</v>
          </cell>
          <cell r="I504">
            <v>2309.0500000000002</v>
          </cell>
          <cell r="J504">
            <v>38036</v>
          </cell>
        </row>
        <row r="505">
          <cell r="G505"/>
          <cell r="H505">
            <v>38047</v>
          </cell>
          <cell r="I505">
            <v>936</v>
          </cell>
          <cell r="J505">
            <v>38047</v>
          </cell>
        </row>
        <row r="506">
          <cell r="G506"/>
          <cell r="H506">
            <v>38047</v>
          </cell>
          <cell r="I506">
            <v>13572</v>
          </cell>
          <cell r="J506">
            <v>38047</v>
          </cell>
        </row>
        <row r="507">
          <cell r="G507"/>
          <cell r="H507">
            <v>38047</v>
          </cell>
          <cell r="I507">
            <v>936</v>
          </cell>
          <cell r="J507">
            <v>38047</v>
          </cell>
        </row>
        <row r="508">
          <cell r="G508"/>
          <cell r="H508">
            <v>38065</v>
          </cell>
          <cell r="I508">
            <v>2131</v>
          </cell>
          <cell r="J508">
            <v>38065</v>
          </cell>
        </row>
        <row r="509">
          <cell r="G509"/>
          <cell r="H509">
            <v>38240</v>
          </cell>
          <cell r="I509">
            <v>828.18</v>
          </cell>
          <cell r="J509">
            <v>38240</v>
          </cell>
        </row>
        <row r="510">
          <cell r="G510"/>
          <cell r="H510">
            <v>38257</v>
          </cell>
          <cell r="I510">
            <v>2131</v>
          </cell>
          <cell r="J510">
            <v>38257</v>
          </cell>
        </row>
        <row r="511">
          <cell r="G511"/>
          <cell r="H511">
            <v>38258</v>
          </cell>
          <cell r="I511">
            <v>16353</v>
          </cell>
          <cell r="J511">
            <v>38258</v>
          </cell>
        </row>
        <row r="512">
          <cell r="G512"/>
          <cell r="H512">
            <v>38258</v>
          </cell>
          <cell r="I512">
            <v>16353</v>
          </cell>
          <cell r="J512">
            <v>38258</v>
          </cell>
        </row>
        <row r="513">
          <cell r="G513"/>
          <cell r="H513">
            <v>38258</v>
          </cell>
          <cell r="I513">
            <v>16353</v>
          </cell>
          <cell r="J513">
            <v>38258</v>
          </cell>
        </row>
        <row r="514">
          <cell r="G514"/>
          <cell r="H514">
            <v>38258</v>
          </cell>
          <cell r="I514">
            <v>16353</v>
          </cell>
          <cell r="J514">
            <v>38258</v>
          </cell>
        </row>
        <row r="515">
          <cell r="G515"/>
          <cell r="H515">
            <v>38258</v>
          </cell>
          <cell r="I515">
            <v>1500</v>
          </cell>
          <cell r="J515">
            <v>38258</v>
          </cell>
        </row>
        <row r="516">
          <cell r="G516"/>
          <cell r="H516">
            <v>38258</v>
          </cell>
          <cell r="I516">
            <v>1500</v>
          </cell>
          <cell r="J516">
            <v>38258</v>
          </cell>
        </row>
        <row r="517">
          <cell r="G517"/>
          <cell r="H517">
            <v>38258</v>
          </cell>
          <cell r="I517">
            <v>1500</v>
          </cell>
          <cell r="J517">
            <v>38258</v>
          </cell>
        </row>
        <row r="518">
          <cell r="G518"/>
          <cell r="H518">
            <v>38258</v>
          </cell>
          <cell r="I518">
            <v>1500</v>
          </cell>
          <cell r="J518">
            <v>38258</v>
          </cell>
        </row>
        <row r="519">
          <cell r="G519"/>
          <cell r="H519">
            <v>38308</v>
          </cell>
          <cell r="I519">
            <v>2202.21</v>
          </cell>
          <cell r="J519">
            <v>38308</v>
          </cell>
        </row>
        <row r="520">
          <cell r="G520" t="str">
            <v>151634286</v>
          </cell>
          <cell r="H520">
            <v>38013</v>
          </cell>
          <cell r="I520">
            <v>-1</v>
          </cell>
          <cell r="J520">
            <v>38020</v>
          </cell>
        </row>
        <row r="521">
          <cell r="G521" t="str">
            <v>IN00022654</v>
          </cell>
          <cell r="H521">
            <v>38225</v>
          </cell>
          <cell r="I521">
            <v>-1</v>
          </cell>
          <cell r="J521">
            <v>38246</v>
          </cell>
        </row>
        <row r="522">
          <cell r="G522" t="str">
            <v>100018557</v>
          </cell>
          <cell r="H522">
            <v>38244</v>
          </cell>
          <cell r="I522">
            <v>-170.18</v>
          </cell>
          <cell r="J522">
            <v>38313</v>
          </cell>
        </row>
        <row r="523">
          <cell r="G523"/>
          <cell r="H523">
            <v>38114</v>
          </cell>
          <cell r="I523">
            <v>1250</v>
          </cell>
          <cell r="J523">
            <v>38114</v>
          </cell>
        </row>
        <row r="524">
          <cell r="G524"/>
          <cell r="H524">
            <v>38114</v>
          </cell>
          <cell r="I524">
            <v>125</v>
          </cell>
          <cell r="J524">
            <v>38114</v>
          </cell>
        </row>
        <row r="525">
          <cell r="G525"/>
          <cell r="H525">
            <v>38114</v>
          </cell>
          <cell r="I525">
            <v>310</v>
          </cell>
          <cell r="J525">
            <v>38114</v>
          </cell>
        </row>
        <row r="526">
          <cell r="G526"/>
          <cell r="H526">
            <v>38181</v>
          </cell>
          <cell r="I526">
            <v>17340</v>
          </cell>
          <cell r="J526">
            <v>38181</v>
          </cell>
        </row>
        <row r="527">
          <cell r="G527"/>
          <cell r="H527">
            <v>38215</v>
          </cell>
          <cell r="I527">
            <v>1225</v>
          </cell>
          <cell r="J527">
            <v>38215</v>
          </cell>
        </row>
        <row r="528">
          <cell r="G528"/>
          <cell r="H528">
            <v>38224</v>
          </cell>
          <cell r="I528">
            <v>12000</v>
          </cell>
          <cell r="J528">
            <v>38224</v>
          </cell>
        </row>
        <row r="529">
          <cell r="G529"/>
          <cell r="H529">
            <v>38224</v>
          </cell>
          <cell r="I529">
            <v>3640</v>
          </cell>
          <cell r="J529">
            <v>38224</v>
          </cell>
        </row>
        <row r="530">
          <cell r="G530"/>
          <cell r="H530">
            <v>38224</v>
          </cell>
          <cell r="I530">
            <v>791.85</v>
          </cell>
          <cell r="J530">
            <v>38224</v>
          </cell>
        </row>
        <row r="531">
          <cell r="G531"/>
          <cell r="H531">
            <v>38240</v>
          </cell>
          <cell r="I531">
            <v>966.08</v>
          </cell>
          <cell r="J531">
            <v>38240</v>
          </cell>
        </row>
        <row r="532">
          <cell r="G532"/>
          <cell r="H532">
            <v>38244</v>
          </cell>
          <cell r="I532">
            <v>4815.45</v>
          </cell>
          <cell r="J532">
            <v>38244</v>
          </cell>
        </row>
        <row r="533">
          <cell r="G533"/>
          <cell r="H533">
            <v>38329</v>
          </cell>
          <cell r="I533">
            <v>3510</v>
          </cell>
          <cell r="J533">
            <v>38329</v>
          </cell>
        </row>
        <row r="534">
          <cell r="G534"/>
          <cell r="H534">
            <v>38331</v>
          </cell>
          <cell r="I534">
            <v>18400</v>
          </cell>
          <cell r="J534">
            <v>38331</v>
          </cell>
        </row>
        <row r="535">
          <cell r="G535"/>
          <cell r="H535">
            <v>38337</v>
          </cell>
          <cell r="I535">
            <v>16000</v>
          </cell>
          <cell r="J535">
            <v>38337</v>
          </cell>
        </row>
        <row r="536">
          <cell r="G536"/>
          <cell r="H536">
            <v>38337</v>
          </cell>
          <cell r="I536">
            <v>4160.5</v>
          </cell>
          <cell r="J536">
            <v>38337</v>
          </cell>
        </row>
        <row r="537">
          <cell r="G537"/>
          <cell r="H537">
            <v>38351</v>
          </cell>
          <cell r="I537">
            <v>2990</v>
          </cell>
          <cell r="J537">
            <v>38351</v>
          </cell>
        </row>
        <row r="538">
          <cell r="G538" t="str">
            <v>18635</v>
          </cell>
          <cell r="H538">
            <v>38107</v>
          </cell>
          <cell r="I538">
            <v>-125</v>
          </cell>
          <cell r="J538">
            <v>38127</v>
          </cell>
        </row>
        <row r="539">
          <cell r="G539" t="str">
            <v>6435773</v>
          </cell>
          <cell r="H539">
            <v>38167</v>
          </cell>
          <cell r="I539">
            <v>-1340</v>
          </cell>
          <cell r="J539">
            <v>38194</v>
          </cell>
        </row>
        <row r="540">
          <cell r="G540" t="str">
            <v>8434398</v>
          </cell>
          <cell r="H540">
            <v>38227</v>
          </cell>
          <cell r="I540">
            <v>3849.37</v>
          </cell>
          <cell r="J540">
            <v>38246</v>
          </cell>
        </row>
        <row r="541">
          <cell r="G541" t="str">
            <v>8434398</v>
          </cell>
          <cell r="H541">
            <v>38227</v>
          </cell>
          <cell r="I541">
            <v>-1</v>
          </cell>
          <cell r="J541">
            <v>38246</v>
          </cell>
        </row>
        <row r="542">
          <cell r="G542" t="str">
            <v>8434398</v>
          </cell>
          <cell r="H542">
            <v>38227</v>
          </cell>
          <cell r="I542">
            <v>-3849.37</v>
          </cell>
          <cell r="J542">
            <v>38246</v>
          </cell>
        </row>
        <row r="543">
          <cell r="G543" t="str">
            <v>8434398</v>
          </cell>
          <cell r="H543">
            <v>38227</v>
          </cell>
          <cell r="I543">
            <v>1</v>
          </cell>
          <cell r="J543">
            <v>38246</v>
          </cell>
        </row>
        <row r="544">
          <cell r="G544" t="str">
            <v>8434398</v>
          </cell>
          <cell r="H544">
            <v>38227</v>
          </cell>
          <cell r="I544">
            <v>-1</v>
          </cell>
          <cell r="J544">
            <v>38246</v>
          </cell>
        </row>
        <row r="545">
          <cell r="G545" t="str">
            <v>8434399</v>
          </cell>
          <cell r="H545">
            <v>38227</v>
          </cell>
          <cell r="I545">
            <v>-1</v>
          </cell>
          <cell r="J545">
            <v>38253</v>
          </cell>
        </row>
        <row r="546">
          <cell r="G546" t="str">
            <v>D423533</v>
          </cell>
          <cell r="H546">
            <v>38335</v>
          </cell>
          <cell r="I546">
            <v>-1.04</v>
          </cell>
          <cell r="J546">
            <v>38349</v>
          </cell>
        </row>
        <row r="547">
          <cell r="G547" t="str">
            <v>D423533</v>
          </cell>
          <cell r="H547">
            <v>38335</v>
          </cell>
          <cell r="I547">
            <v>-0.36</v>
          </cell>
          <cell r="J547">
            <v>38349</v>
          </cell>
        </row>
        <row r="548">
          <cell r="G548"/>
          <cell r="H548">
            <v>38274</v>
          </cell>
          <cell r="I548">
            <v>1500</v>
          </cell>
          <cell r="J548">
            <v>38274</v>
          </cell>
        </row>
        <row r="549">
          <cell r="G549"/>
          <cell r="H549">
            <v>38274</v>
          </cell>
          <cell r="I549">
            <v>-1500</v>
          </cell>
          <cell r="J549">
            <v>38274</v>
          </cell>
        </row>
        <row r="550">
          <cell r="G550" t="str">
            <v>490434147</v>
          </cell>
          <cell r="H550">
            <v>38243</v>
          </cell>
          <cell r="I550">
            <v>126.03</v>
          </cell>
          <cell r="J550">
            <v>38259</v>
          </cell>
        </row>
        <row r="551">
          <cell r="G551" t="str">
            <v>490434147</v>
          </cell>
          <cell r="H551">
            <v>38273</v>
          </cell>
          <cell r="I551">
            <v>128.76</v>
          </cell>
          <cell r="J551">
            <v>38289</v>
          </cell>
        </row>
        <row r="552">
          <cell r="G552" t="str">
            <v>490434147</v>
          </cell>
          <cell r="H552">
            <v>38304</v>
          </cell>
          <cell r="I552">
            <v>128.88</v>
          </cell>
          <cell r="J552">
            <v>38329</v>
          </cell>
        </row>
        <row r="553">
          <cell r="G553" t="str">
            <v>RETAINER FEE</v>
          </cell>
          <cell r="H553">
            <v>38134</v>
          </cell>
          <cell r="I553">
            <v>50000</v>
          </cell>
          <cell r="J553">
            <v>38154</v>
          </cell>
        </row>
        <row r="554">
          <cell r="G554" t="str">
            <v>36</v>
          </cell>
          <cell r="H554">
            <v>38266</v>
          </cell>
          <cell r="I554">
            <v>3125</v>
          </cell>
          <cell r="J554">
            <v>38278</v>
          </cell>
        </row>
        <row r="555">
          <cell r="G555" t="str">
            <v>BM-0946-001</v>
          </cell>
          <cell r="H555">
            <v>38261</v>
          </cell>
          <cell r="I555">
            <v>175000</v>
          </cell>
          <cell r="J555">
            <v>38288</v>
          </cell>
        </row>
        <row r="556">
          <cell r="G556" t="str">
            <v>742</v>
          </cell>
          <cell r="H556">
            <v>38260</v>
          </cell>
          <cell r="I556">
            <v>79508.67</v>
          </cell>
          <cell r="J556">
            <v>38288</v>
          </cell>
        </row>
        <row r="557">
          <cell r="G557" t="str">
            <v>756</v>
          </cell>
          <cell r="H557">
            <v>38291</v>
          </cell>
          <cell r="I557">
            <v>41024.959999999999</v>
          </cell>
          <cell r="J557">
            <v>38320</v>
          </cell>
        </row>
        <row r="558">
          <cell r="G558" t="str">
            <v>0408009041</v>
          </cell>
          <cell r="H558">
            <v>38285</v>
          </cell>
          <cell r="I558">
            <v>51130</v>
          </cell>
          <cell r="J558">
            <v>38302</v>
          </cell>
        </row>
        <row r="559">
          <cell r="G559" t="str">
            <v>233175</v>
          </cell>
          <cell r="H559">
            <v>38258</v>
          </cell>
          <cell r="I559">
            <v>7500</v>
          </cell>
          <cell r="J559">
            <v>38308</v>
          </cell>
        </row>
        <row r="560">
          <cell r="G560" t="str">
            <v>783</v>
          </cell>
          <cell r="H560">
            <v>38348</v>
          </cell>
          <cell r="I560">
            <v>45000</v>
          </cell>
          <cell r="J560">
            <v>38350</v>
          </cell>
        </row>
        <row r="561">
          <cell r="G561" t="str">
            <v>781</v>
          </cell>
          <cell r="H561">
            <v>38335</v>
          </cell>
          <cell r="I561">
            <v>42150.25</v>
          </cell>
          <cell r="J561">
            <v>38350</v>
          </cell>
        </row>
        <row r="562">
          <cell r="G562"/>
          <cell r="H562">
            <v>38323</v>
          </cell>
          <cell r="I562">
            <v>-8949.6</v>
          </cell>
          <cell r="J562">
            <v>38323</v>
          </cell>
        </row>
        <row r="563">
          <cell r="G563"/>
          <cell r="H563">
            <v>38049</v>
          </cell>
          <cell r="I563">
            <v>1420</v>
          </cell>
          <cell r="J563">
            <v>38049</v>
          </cell>
        </row>
        <row r="564">
          <cell r="G564"/>
          <cell r="H564">
            <v>38196</v>
          </cell>
          <cell r="I564">
            <v>1600</v>
          </cell>
          <cell r="J564">
            <v>38196</v>
          </cell>
        </row>
        <row r="565">
          <cell r="G565"/>
          <cell r="H565">
            <v>38211</v>
          </cell>
          <cell r="I565">
            <v>600</v>
          </cell>
          <cell r="J565">
            <v>38211</v>
          </cell>
        </row>
        <row r="566">
          <cell r="G566"/>
          <cell r="H566">
            <v>38211</v>
          </cell>
          <cell r="I566">
            <v>39600</v>
          </cell>
          <cell r="J566">
            <v>38211</v>
          </cell>
        </row>
        <row r="567">
          <cell r="G567" t="str">
            <v>30006349</v>
          </cell>
          <cell r="H567">
            <v>38199</v>
          </cell>
          <cell r="I567">
            <v>15.4</v>
          </cell>
          <cell r="J567">
            <v>38215</v>
          </cell>
        </row>
        <row r="568">
          <cell r="G568"/>
          <cell r="H568">
            <v>38022</v>
          </cell>
          <cell r="I568">
            <v>12180</v>
          </cell>
          <cell r="J568">
            <v>38022</v>
          </cell>
        </row>
        <row r="569">
          <cell r="G569"/>
          <cell r="H569">
            <v>38146</v>
          </cell>
          <cell r="I569">
            <v>12180</v>
          </cell>
          <cell r="J569">
            <v>38146</v>
          </cell>
        </row>
        <row r="570">
          <cell r="G570"/>
          <cell r="H570">
            <v>38184</v>
          </cell>
          <cell r="I570">
            <v>12180</v>
          </cell>
          <cell r="J570">
            <v>38184</v>
          </cell>
        </row>
        <row r="571">
          <cell r="G571"/>
          <cell r="H571">
            <v>38189</v>
          </cell>
          <cell r="I571">
            <v>40000</v>
          </cell>
          <cell r="J571">
            <v>38189</v>
          </cell>
        </row>
        <row r="572">
          <cell r="G572"/>
          <cell r="H572">
            <v>38211</v>
          </cell>
          <cell r="I572">
            <v>13000</v>
          </cell>
          <cell r="J572">
            <v>38211</v>
          </cell>
        </row>
        <row r="573">
          <cell r="G573"/>
          <cell r="H573">
            <v>38211</v>
          </cell>
          <cell r="I573">
            <v>1650.41</v>
          </cell>
          <cell r="J573">
            <v>38211</v>
          </cell>
        </row>
        <row r="574">
          <cell r="G574"/>
          <cell r="H574">
            <v>38223</v>
          </cell>
          <cell r="I574">
            <v>10000</v>
          </cell>
          <cell r="J574">
            <v>38223</v>
          </cell>
        </row>
        <row r="575">
          <cell r="G575"/>
          <cell r="H575">
            <v>38229</v>
          </cell>
          <cell r="I575">
            <v>11704</v>
          </cell>
          <cell r="J575">
            <v>38229</v>
          </cell>
        </row>
        <row r="576">
          <cell r="G576"/>
          <cell r="H576">
            <v>38267</v>
          </cell>
          <cell r="I576">
            <v>16353</v>
          </cell>
          <cell r="J576">
            <v>38267</v>
          </cell>
        </row>
        <row r="577">
          <cell r="G577"/>
          <cell r="H577">
            <v>38267</v>
          </cell>
          <cell r="I577">
            <v>18953</v>
          </cell>
          <cell r="J577">
            <v>38267</v>
          </cell>
        </row>
        <row r="578">
          <cell r="G578"/>
          <cell r="H578">
            <v>38267</v>
          </cell>
          <cell r="I578">
            <v>1500</v>
          </cell>
          <cell r="J578">
            <v>38267</v>
          </cell>
        </row>
        <row r="579">
          <cell r="G579"/>
          <cell r="H579">
            <v>38267</v>
          </cell>
          <cell r="I579">
            <v>3756</v>
          </cell>
          <cell r="J579">
            <v>38267</v>
          </cell>
        </row>
        <row r="580">
          <cell r="G580"/>
          <cell r="H580">
            <v>38268</v>
          </cell>
          <cell r="I580">
            <v>81796.899999999994</v>
          </cell>
          <cell r="J580">
            <v>38268</v>
          </cell>
        </row>
        <row r="581">
          <cell r="G581"/>
          <cell r="H581">
            <v>38268</v>
          </cell>
          <cell r="I581">
            <v>81796.899999999994</v>
          </cell>
          <cell r="J581">
            <v>38268</v>
          </cell>
        </row>
        <row r="582">
          <cell r="G582"/>
          <cell r="H582">
            <v>38301</v>
          </cell>
          <cell r="I582">
            <v>675</v>
          </cell>
          <cell r="J582">
            <v>38301</v>
          </cell>
        </row>
        <row r="583">
          <cell r="G583"/>
          <cell r="H583">
            <v>38323</v>
          </cell>
          <cell r="I583">
            <v>12180</v>
          </cell>
          <cell r="J583">
            <v>38323</v>
          </cell>
        </row>
        <row r="584">
          <cell r="G584"/>
          <cell r="H584">
            <v>38337</v>
          </cell>
          <cell r="I584">
            <v>7436</v>
          </cell>
          <cell r="J584">
            <v>38337</v>
          </cell>
        </row>
        <row r="585">
          <cell r="G585"/>
          <cell r="H585">
            <v>38350</v>
          </cell>
          <cell r="I585">
            <v>227.59</v>
          </cell>
          <cell r="J585">
            <v>38350</v>
          </cell>
        </row>
        <row r="586">
          <cell r="G586" t="str">
            <v>C10091650</v>
          </cell>
          <cell r="H586">
            <v>37972</v>
          </cell>
          <cell r="I586">
            <v>-1</v>
          </cell>
          <cell r="J586">
            <v>37991</v>
          </cell>
        </row>
      </sheetData>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Revenue Comparison"/>
      <sheetName val="Earnings Comparison"/>
      <sheetName val="Check Earnings"/>
      <sheetName val="MIRR Comparisons"/>
      <sheetName val="MIRR Calculations"/>
      <sheetName val="MIRR SAW as Filed"/>
      <sheetName val="MIRR SAW wo IS &amp; SG"/>
      <sheetName val="(A) MIRR SAW - 36 Mos LM"/>
      <sheetName val="(A) wo IS &amp; SG - 36 Mos LM"/>
      <sheetName val="(B) MIRR PS - 5% &amp; 10%"/>
      <sheetName val="(B) MIRR PS - 5% &amp; 10% wo ISSG"/>
      <sheetName val="(C) MIRR PS - 8% &amp; 13%"/>
      <sheetName val="(C) MIRR PS - 8% &amp; 13% wo ISSG"/>
      <sheetName val="(D) MIRR PEC - 8% &amp; 13%"/>
      <sheetName val="(D) MIRR PEC - 8% &amp; 13% wo ISSG"/>
      <sheetName val="(E) MIRR PEC - 10% &amp; 15%"/>
      <sheetName val="(E) MIRR PEC - 10 &amp; 15% wo ISSG"/>
      <sheetName val="(F) MIRR Mod SAW - 60% &amp; 75%"/>
      <sheetName val="(F) MIRR MSAW - 60%&amp;75% wo ISSG"/>
      <sheetName val="(G) MIRR Mod SAW - 65% &amp; 80%"/>
      <sheetName val="(G) MIRR MSAW - 65%&amp;80% wo ISSG"/>
      <sheetName val="Input Data"/>
      <sheetName val="Inputs"/>
      <sheetName val="Avoided Costs by Vintage"/>
      <sheetName val="Stevie Ex 4"/>
      <sheetName val="Program Lives"/>
      <sheetName val="Cost of Capital"/>
      <sheetName val="PowerShare"/>
      <sheetName val="AC by Pgm by Vint"/>
      <sheetName val="Forecast Summary"/>
      <sheetName val="Fall 2008 Forecast"/>
      <sheetName val="Old Discount Rate"/>
      <sheetName val="36 Months Lost Margins"/>
      <sheetName val="Lost Margins - 3 Years"/>
      <sheetName val="As Filed Data"/>
      <sheetName val="SAW as Filed"/>
      <sheetName val="Ted's Exhibit"/>
      <sheetName val="PS 25Yr Level for Revenue"/>
      <sheetName val="As Filed Rider"/>
      <sheetName val="As Filed SAW"/>
      <sheetName val="(A) SAW with 36 Mos LM"/>
      <sheetName val="(B) &amp; (C) PS Model"/>
      <sheetName val="(B) PS Method"/>
      <sheetName val="(B) PS Method wo IS &amp; SG"/>
      <sheetName val="(C) PS Method"/>
      <sheetName val="25Yr PS Revenue"/>
      <sheetName val="25Yr PS Lost Margin Level"/>
      <sheetName val="25Yr PS Incentive Level"/>
      <sheetName val="25Yr Revenue Adj"/>
      <sheetName val="25Yr Incentive Adj"/>
      <sheetName val="As Filed PS"/>
      <sheetName val="(C) PS Method wo IS &amp; SG"/>
      <sheetName val="PS Method"/>
      <sheetName val="PS Sensitivity"/>
      <sheetName val="PS PowerShare"/>
      <sheetName val="PS PowerShare wo IS &amp; SG"/>
      <sheetName val="(D) &amp; (E) PEC Model"/>
      <sheetName val="(D) PEC Method"/>
      <sheetName val="(D) PEC Method wo IS &amp; SG"/>
      <sheetName val="(E) PEC Method"/>
      <sheetName val="(E) PEC Method wo IS &amp; SG"/>
      <sheetName val="(F) &amp; (G) Modified SAW"/>
      <sheetName val="Mod SAW without IS Scaled"/>
      <sheetName val="(F) Mod SAW"/>
      <sheetName val="Sum Mod SAW without IS &amp; SG"/>
      <sheetName val="Sum Mod SAW"/>
      <sheetName val="(F) Mod SAW wo IS &amp; SG"/>
      <sheetName val="(G) Mod SAW"/>
      <sheetName val="(G) Mod SAW wo IS &amp; SG"/>
      <sheetName val="Analysis"/>
      <sheetName val="Prove MIRR"/>
      <sheetName val="Sheet2 (4)"/>
      <sheetName val="Sheet2 (3)"/>
      <sheetName val="Sheet2 (2)"/>
      <sheetName val="Sheet2"/>
      <sheetName val="Sheet1"/>
      <sheetName val="Proof"/>
      <sheetName val="Vintage 1"/>
      <sheetName val="Sheet6"/>
      <sheetName val="A"/>
      <sheetName val="B"/>
      <sheetName val="C"/>
      <sheetName val="x"/>
      <sheetName val="Stevie Ex 4 wLM Sw"/>
      <sheetName val="data"/>
      <sheetName val="Lost Margins - 4 Years"/>
      <sheetName val="25Yr PS SAW Revenue"/>
      <sheetName val="Stevie Ex 4 (IS Removed)"/>
      <sheetName val="Save A Watt (IS removed)"/>
      <sheetName val="Save A Watt (as filed)"/>
      <sheetName val="Sales Forecast"/>
      <sheetName val="Spring 2007 Forecast"/>
      <sheetName val="New DR Calc"/>
      <sheetName val="Check DR Rev Calc"/>
      <sheetName val="North Carolina"/>
      <sheetName val="As Filed SAW for Mod Term"/>
      <sheetName val="Scaled Data"/>
      <sheetName val="Lost Margins - 3 Years Scaled"/>
      <sheetName val="Avoided Costs by Vintage Scaled"/>
      <sheetName val="Lost Margins - 3 Years - Carol"/>
      <sheetName val="Mod SAW Cap"/>
      <sheetName val="Prog Meth Sum"/>
      <sheetName val="PS Meth Sensitivity"/>
      <sheetName val="PS Meth Mod"/>
      <sheetName val="Progress Method"/>
      <sheetName val="PS 25Yr for 4 Years"/>
      <sheetName val="PS 25Yr Unlevel"/>
      <sheetName val="4Yr PS Revenue"/>
      <sheetName val="PS 4Yr Level for Revenue"/>
      <sheetName val="PS 4Yr Unlevel"/>
      <sheetName val="DSM in Current Rates"/>
      <sheetName val="PS High Level"/>
      <sheetName val="Indiana Proposal"/>
      <sheetName val="Calcs"/>
      <sheetName val="Sum 2 Rnd Old"/>
      <sheetName val="Sum 2 Old"/>
      <sheetName val="25Yr PS Incentive Unlevel"/>
      <sheetName val="Graph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B23">
            <v>7.4999999999999997E-2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1">
          <cell r="E51">
            <v>2810350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4">
          <cell r="C4" t="str">
            <v>C:\Documents and Settings\RMujumd\My Documents\SAW Model\Carolinas\NC\NC v18 (05 09 08) (85%)\</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RAM-2"/>
      <sheetName val="Schedule RAM-3"/>
      <sheetName val="Schedule RAM-4"/>
      <sheetName val="Schedule RAM-5"/>
      <sheetName val="Schedule RAM-6"/>
      <sheetName val="Schedule RAM-7"/>
      <sheetName val="Schedule RAM-8"/>
      <sheetName val="Schedule RAM-9"/>
      <sheetName val="Schedule RAM-10"/>
      <sheetName val="Schedule RAM-11"/>
      <sheetName val="Schedule RAM-12"/>
      <sheetName val="Schedule RAM-13"/>
      <sheetName val="Schedule RAM-14"/>
      <sheetName val="Schedule RAM-15"/>
      <sheetName val="Schedule RAM-16"/>
      <sheetName val="Schedule RAM-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Link File"/>
      <sheetName val="DATABASE"/>
      <sheetName val="Sheet1"/>
      <sheetName val="Prior Period"/>
      <sheetName val="#REF"/>
      <sheetName val="CIAC Detail by Month"/>
      <sheetName val="METERS_&amp;_TRANSFORMERS"/>
      <sheetName val="JAN"/>
      <sheetName val="YTD"/>
      <sheetName val="APRIL"/>
      <sheetName val="FEDERAL"/>
      <sheetName val="purch software &lt;25k"/>
      <sheetName val="summary 98_1"/>
      <sheetName val="14802"/>
      <sheetName val="purch software expensed"/>
      <sheetName val="Headings"/>
      <sheetName val="Update Dates"/>
      <sheetName val="PARTNERSHIP RECAP"/>
      <sheetName val="Electric - FY1997"/>
      <sheetName val="Non-Statutory Deferred Taxes"/>
      <sheetName val="ADFIT Activity   {A}"/>
      <sheetName val="Adj. 2"/>
      <sheetName val="YE DEFN"/>
      <sheetName val="100144-Am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AC Detail by Month"/>
      <sheetName val="METERS_&amp;_TRANSFORMERS"/>
      <sheetName val="Table of Contents"/>
      <sheetName val="Job Order Review"/>
      <sheetName val="Job Order Requests"/>
      <sheetName val="Job Order Requests Status"/>
      <sheetName val="PSC_PPE"/>
      <sheetName val="1999 P2A"/>
      <sheetName val="1998 P2A"/>
      <sheetName val="PSC_TAX_BASIS_ADDITIONS"/>
      <sheetName val="Hayden Poll Control Summary"/>
      <sheetName val="Hayden Poll Control-Unit 1 Detl"/>
      <sheetName val="Hayden Poll Control-Com Detail"/>
      <sheetName val="CIACS_&amp;_CUST_ADV_PSC"/>
      <sheetName val="ProjDetl Elec 11_99"/>
      <sheetName val="ProjDetl Elec 12_99"/>
      <sheetName val="ProjDetl Gas 03_99"/>
      <sheetName val="ProjDetl Gas 06_99"/>
      <sheetName val="ProjDetl Gas 08_99"/>
      <sheetName val="ProjDetl Gas 10_99"/>
      <sheetName val="ProjDetl Gas 11_99"/>
      <sheetName val="ProjDetl Gas 12_99"/>
      <sheetName val="tax overheads"/>
      <sheetName val="ptrep10d"/>
      <sheetName val="book overheads"/>
      <sheetName val="pm10dy99"/>
      <sheetName val="PSC_DEPR_CAP_ANAL"/>
      <sheetName val="DEPR_CAP_ANAL"/>
      <sheetName val="voucher #6 anlysis"/>
      <sheetName val="voucher #9 analysis"/>
      <sheetName val="Use Taxes Capitalized"/>
      <sheetName val="Use Tax Summary"/>
      <sheetName val="meals cap"/>
      <sheetName val="meals99"/>
      <sheetName val="RELOCATION_PYMTS"/>
      <sheetName val="elec meters exchanged"/>
      <sheetName val="NEW METERS"/>
      <sheetName val="1999LRGS"/>
      <sheetName val="Gas Regulator Report"/>
      <sheetName val="Contributions Restored to Basis"/>
      <sheetName val="Ponnequin Wind Power Project"/>
      <sheetName val="PLT_TRFS_BETWEEN_FGROUPS"/>
      <sheetName val="PLT_TRFS_BY FUNCGRP_BY_VINTAGE"/>
      <sheetName val="undergnr_storg_detail_analysis"/>
      <sheetName val="LEYDON_UNGND_STORAGE LIFO ADJ"/>
      <sheetName val="WGS_UNGND_STORAGE LIFO ADJ"/>
      <sheetName val="Tax Software Summary"/>
      <sheetName val="Tax Software Amort 1999 Detail"/>
      <sheetName val="FSV ANALYSI"/>
      <sheetName val="PSC_DCAS"/>
      <sheetName val="PSC_Tax_Basis_Recon"/>
      <sheetName val="Retirement Corrections"/>
      <sheetName val="Cost of Removal Analysiis"/>
      <sheetName val="EMER_FAC"/>
      <sheetName val="POLL_CONT_RETIRE"/>
      <sheetName val="Gain_Loss Detail"/>
      <sheetName val="RAR1"/>
      <sheetName val="RAR6"/>
      <sheetName val="CO_EZone_Credit_Qual_Prop"/>
      <sheetName val="CO_EZone_Credit_Lookup_Table"/>
      <sheetName val="EZone 01"/>
      <sheetName val="EZone 02"/>
      <sheetName val="EZone 02 revised"/>
      <sheetName val="EZone 06"/>
      <sheetName val="EZone 07"/>
      <sheetName val="Ezone 07 - FSV Additions"/>
      <sheetName val="EZone 08"/>
      <sheetName val="EZone 10"/>
      <sheetName val="EZone 11"/>
      <sheetName val="EZone 13"/>
      <sheetName val="EZone 13-Upper Arkansas Valley"/>
      <sheetName val="EZone 13 - San Luis Valley"/>
      <sheetName val="EZone 14"/>
      <sheetName val="EZone 15"/>
      <sheetName val="EZone 16"/>
      <sheetName val="EZone 17"/>
      <sheetName val="EZONE SUMMARY"/>
      <sheetName val="EZONE summary payroll info"/>
      <sheetName val="EZone original payroll info"/>
      <sheetName val="BOOK_DEPR RATES"/>
      <sheetName val="MASTER LEASE BOOK DEPR RATES"/>
      <sheetName val="GENERAL PROPERTY BOOK DEPR RATE"/>
      <sheetName val="Module1"/>
      <sheetName val="Module2"/>
    </sheetNames>
    <sheetDataSet>
      <sheetData sheetId="0">
        <row r="1">
          <cell r="A1" t="str">
            <v>Public Service Company of Colorado</v>
          </cell>
        </row>
      </sheetData>
      <sheetData sheetId="1" refreshError="1">
        <row r="324">
          <cell r="AB324" t="str">
            <v>1995 TAX RETURN</v>
          </cell>
        </row>
        <row r="326">
          <cell r="AC326" t="str">
            <v>ELECTRIC</v>
          </cell>
          <cell r="AD326" t="str">
            <v>ELECTRIC</v>
          </cell>
          <cell r="AE326" t="str">
            <v>TOTAL</v>
          </cell>
          <cell r="AF326" t="str">
            <v>GAS</v>
          </cell>
          <cell r="AG326" t="str">
            <v>GAS</v>
          </cell>
          <cell r="AH326" t="str">
            <v>TOTAL</v>
          </cell>
        </row>
        <row r="327">
          <cell r="AB327">
            <v>1994</v>
          </cell>
          <cell r="AC327" t="str">
            <v>METERS</v>
          </cell>
          <cell r="AD327" t="str">
            <v>TRANSFORMERS</v>
          </cell>
          <cell r="AE327" t="str">
            <v>ELECTRIC</v>
          </cell>
          <cell r="AF327" t="str">
            <v>METERS</v>
          </cell>
          <cell r="AG327" t="str">
            <v>REGULATORS</v>
          </cell>
          <cell r="AH327" t="str">
            <v>GAS</v>
          </cell>
        </row>
        <row r="329">
          <cell r="AB329" t="str">
            <v>Year Additions</v>
          </cell>
          <cell r="AC329">
            <v>2819353</v>
          </cell>
          <cell r="AD329">
            <v>5758789</v>
          </cell>
          <cell r="AF329">
            <v>2377989</v>
          </cell>
          <cell r="AG329">
            <v>744442</v>
          </cell>
        </row>
        <row r="331">
          <cell r="AB331" t="str">
            <v xml:space="preserve">% Percent Remaining </v>
          </cell>
        </row>
        <row r="332">
          <cell r="AB332" t="str">
            <v>In Inventory</v>
          </cell>
          <cell r="AC332">
            <v>0.23150000000000004</v>
          </cell>
          <cell r="AD332">
            <v>0.4849</v>
          </cell>
          <cell r="AF332">
            <v>5.7400000000000007E-2</v>
          </cell>
          <cell r="AG332">
            <v>9.2199999999999949E-2</v>
          </cell>
        </row>
        <row r="334">
          <cell r="AB334" t="str">
            <v>Additions in Inventory</v>
          </cell>
          <cell r="AC334">
            <v>652680</v>
          </cell>
          <cell r="AD334">
            <v>2792437</v>
          </cell>
          <cell r="AE334">
            <v>3445117</v>
          </cell>
          <cell r="AF334">
            <v>136497</v>
          </cell>
          <cell r="AG334">
            <v>68638</v>
          </cell>
          <cell r="AH334">
            <v>205135</v>
          </cell>
        </row>
        <row r="338">
          <cell r="AC338" t="str">
            <v>ELECTRIC</v>
          </cell>
          <cell r="AD338" t="str">
            <v>ELECTRIC</v>
          </cell>
          <cell r="AE338" t="str">
            <v>TOTAL</v>
          </cell>
          <cell r="AF338" t="str">
            <v>GAS</v>
          </cell>
          <cell r="AG338" t="str">
            <v>GAS</v>
          </cell>
          <cell r="AH338" t="str">
            <v>TOTAL</v>
          </cell>
        </row>
        <row r="339">
          <cell r="AB339">
            <v>1995</v>
          </cell>
          <cell r="AC339" t="str">
            <v>METERS</v>
          </cell>
          <cell r="AD339" t="str">
            <v>TRANSFORMERS</v>
          </cell>
          <cell r="AE339" t="str">
            <v>ELECTRIC</v>
          </cell>
          <cell r="AF339" t="str">
            <v>METERS</v>
          </cell>
          <cell r="AG339" t="str">
            <v>REGULATORS</v>
          </cell>
          <cell r="AH339" t="str">
            <v>GAS</v>
          </cell>
        </row>
        <row r="341">
          <cell r="AB341" t="str">
            <v xml:space="preserve">Year Additions </v>
          </cell>
          <cell r="AC341">
            <v>8312225</v>
          </cell>
          <cell r="AD341">
            <v>7173940</v>
          </cell>
          <cell r="AF341">
            <v>2715057</v>
          </cell>
          <cell r="AG341">
            <v>821256</v>
          </cell>
        </row>
        <row r="343">
          <cell r="AB343" t="str">
            <v xml:space="preserve">% Percent Remaining </v>
          </cell>
        </row>
        <row r="344">
          <cell r="AB344" t="str">
            <v>In Inventory</v>
          </cell>
          <cell r="AC344">
            <v>0.19720000000000004</v>
          </cell>
          <cell r="AD344">
            <v>0.39659999999999995</v>
          </cell>
          <cell r="AF344">
            <v>4.6000000000000041E-2</v>
          </cell>
          <cell r="AG344">
            <v>0.10099999999999998</v>
          </cell>
        </row>
        <row r="346">
          <cell r="AB346" t="str">
            <v>Additions in Inventory</v>
          </cell>
          <cell r="AC346">
            <v>1639171</v>
          </cell>
          <cell r="AD346">
            <v>2845185</v>
          </cell>
          <cell r="AE346">
            <v>4484356</v>
          </cell>
          <cell r="AF346">
            <v>124893</v>
          </cell>
          <cell r="AG346">
            <v>82947</v>
          </cell>
          <cell r="AH346">
            <v>207840</v>
          </cell>
        </row>
        <row r="349">
          <cell r="AB349" t="str">
            <v>IMPACT ON TAX RETURN</v>
          </cell>
          <cell r="AD349">
            <v>1994</v>
          </cell>
          <cell r="AE349">
            <v>1995</v>
          </cell>
          <cell r="AG349">
            <v>1994</v>
          </cell>
          <cell r="AH349">
            <v>1995</v>
          </cell>
        </row>
        <row r="351">
          <cell r="AB351" t="str">
            <v>Adjustment to Basis</v>
          </cell>
          <cell r="AD351">
            <v>-3445117</v>
          </cell>
          <cell r="AE351">
            <v>-4484356</v>
          </cell>
          <cell r="AG351">
            <v>-205135</v>
          </cell>
          <cell r="AH351">
            <v>-207840</v>
          </cell>
        </row>
        <row r="352">
          <cell r="AB352" t="str">
            <v>Add Back Prior Year Adjustment</v>
          </cell>
          <cell r="AE352">
            <v>3445117</v>
          </cell>
          <cell r="AH352">
            <v>205135</v>
          </cell>
        </row>
        <row r="354">
          <cell r="AB354" t="str">
            <v>NET ADJUSTMENT TO BASIS</v>
          </cell>
          <cell r="AE354">
            <v>-1039239</v>
          </cell>
          <cell r="AH354">
            <v>-2705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Bill Details (External"/>
      <sheetName val="RevSle"/>
      <sheetName val="Customer Results"/>
      <sheetName val="Customer Actuals"/>
      <sheetName val="Lookups"/>
      <sheetName val="OGEPriceReport OK"/>
      <sheetName val="OGEPriceReport AR"/>
      <sheetName val="Sysco"/>
      <sheetName val="ExpDurant"/>
      <sheetName val="ExpGlenpool"/>
      <sheetName val="GeoriaPac"/>
      <sheetName val="HertzData"/>
      <sheetName val="HertzRes"/>
      <sheetName val="Airport"/>
      <sheetName val="Plains"/>
      <sheetName val="MacSteel"/>
      <sheetName val="RoseState"/>
    </sheetNames>
    <sheetDataSet>
      <sheetData sheetId="0">
        <row r="41">
          <cell r="O41">
            <v>64265.129999999983</v>
          </cell>
        </row>
        <row r="77">
          <cell r="O77">
            <v>1752793.8300000003</v>
          </cell>
        </row>
        <row r="113">
          <cell r="O113">
            <v>21301.919999999998</v>
          </cell>
        </row>
        <row r="157">
          <cell r="O157">
            <v>87555.539999999979</v>
          </cell>
        </row>
        <row r="198">
          <cell r="O198">
            <v>12282.62</v>
          </cell>
        </row>
        <row r="239">
          <cell r="O239">
            <v>67080.010000000024</v>
          </cell>
        </row>
        <row r="280">
          <cell r="O280">
            <v>114801.68000000005</v>
          </cell>
        </row>
        <row r="319">
          <cell r="O319">
            <v>131485.06</v>
          </cell>
        </row>
        <row r="362">
          <cell r="O362">
            <v>32439.759999999998</v>
          </cell>
        </row>
        <row r="402">
          <cell r="O402">
            <v>2336.8299999999995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Book12"/>
      <sheetName val="Sheet1"/>
      <sheetName val="Sheet1 (2)"/>
    </sheetNames>
    <definedNames>
      <definedName name="AmtTable" refersTo="#REF!"/>
      <definedName name="DTTable" refersTo="#REF!"/>
      <definedName name="End_Bal" refersTo="#REF!"/>
    </defined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heetName val="Colorado"/>
      <sheetName val="Kansas"/>
      <sheetName val="Minnesota"/>
      <sheetName val="NewMexico"/>
      <sheetName val="North Dakota"/>
      <sheetName val="Oklahoma"/>
      <sheetName val="summary"/>
      <sheetName val="DECFinal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oka"/>
    </sheetNames>
    <sheetDataSet>
      <sheetData sheetId="0" refreshError="1">
        <row r="1">
          <cell r="A1" t="str">
            <v>ATOKA PIPELINE FUEL ADJUSTMENT CALCULATIONS</v>
          </cell>
        </row>
        <row r="2">
          <cell r="A2" t="str">
            <v>The FEBRUARY 1997 Billing Period</v>
          </cell>
        </row>
        <row r="5">
          <cell r="C5" t="str">
            <v xml:space="preserve">     FUEL COST / MBTU</v>
          </cell>
          <cell r="F5">
            <v>1.307949</v>
          </cell>
        </row>
        <row r="7">
          <cell r="C7" t="str">
            <v>times 100</v>
          </cell>
          <cell r="F7">
            <v>130.79490000000001</v>
          </cell>
        </row>
        <row r="9">
          <cell r="C9" t="str">
            <v>minus 14</v>
          </cell>
          <cell r="F9">
            <v>-14</v>
          </cell>
        </row>
        <row r="11">
          <cell r="C11" t="str">
            <v xml:space="preserve">   SUBTOTAL</v>
          </cell>
          <cell r="F11">
            <v>116.79490000000001</v>
          </cell>
        </row>
        <row r="13">
          <cell r="C13" t="str">
            <v>times 0.013</v>
          </cell>
          <cell r="F13">
            <v>1.2999999999999999E-2</v>
          </cell>
        </row>
        <row r="15">
          <cell r="C15" t="str">
            <v xml:space="preserve">   SUBTOTAL</v>
          </cell>
          <cell r="F15">
            <v>1.5183340000000001</v>
          </cell>
        </row>
        <row r="17">
          <cell r="C17" t="str">
            <v>divided by 100</v>
          </cell>
          <cell r="F17">
            <v>100</v>
          </cell>
        </row>
        <row r="21">
          <cell r="C21" t="str">
            <v>SUBTOTAL</v>
          </cell>
          <cell r="F21">
            <v>1.5183E-2</v>
          </cell>
        </row>
        <row r="27">
          <cell r="C27" t="str">
            <v xml:space="preserve">   FUEL ADJ. FAC.</v>
          </cell>
          <cell r="F27">
            <v>1.5183E-2</v>
          </cell>
        </row>
        <row r="32">
          <cell r="A32" t="str">
            <v>Prepared by:</v>
          </cell>
          <cell r="B32" t="str">
            <v>Jeffrey D Keyser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
      <sheetName val="TabNames"/>
      <sheetName val="Cap_St_for_Indirect"/>
      <sheetName val="Capital Structure Temp"/>
      <sheetName val="Data for Implicit Yield"/>
      <sheetName val="Utility Yields"/>
      <sheetName val="Company Bond Ratings"/>
      <sheetName val="Market Value of Debt"/>
      <sheetName val="Valueline Info"/>
      <sheetName val="IBES Info"/>
      <sheetName val="bloomberg_data_template"/>
      <sheetName val="Raw_TCP"/>
      <sheetName val="Raw_BWP"/>
      <sheetName val="Raw_EPB"/>
      <sheetName val="Raw_SEP"/>
      <sheetName val="Raw_WPZ"/>
      <sheetName val="Raw_SE"/>
      <sheetName val="Raw_EPD"/>
      <sheetName val="Raw_EEP"/>
      <sheetName val="Input Sheet"/>
      <sheetName val="Tables -----&gt;"/>
      <sheetName val="table of Contents"/>
      <sheetName val="Regulated Assets"/>
      <sheetName val="Assets Wrkpapers"/>
      <sheetName val="Cap_Struct_TCP"/>
      <sheetName val="Cap_Struct_BWP"/>
      <sheetName val="Cap_Struct_EPB"/>
      <sheetName val="Cap_Struct_SEP"/>
      <sheetName val="Cap_Struct_WPZ"/>
      <sheetName val="Cap_Struct_SE"/>
      <sheetName val="Cap_Struct_EPD"/>
      <sheetName val="Cap_Struct_EEP"/>
      <sheetName val="Capital Structure Average Summa"/>
      <sheetName val="Common Equity Market Ratio"/>
      <sheetName val="Preferred Equity Market Ratio"/>
      <sheetName val="Debt Market Ratio"/>
      <sheetName val="IBES and Value Line GR"/>
      <sheetName val="DCF RoE -A"/>
      <sheetName val="DCF RoE -B"/>
      <sheetName val="WP1 DCF RoE"/>
      <sheetName val="WP2 DCF RoE"/>
      <sheetName val="WP3 DCF RoE"/>
      <sheetName val="DCF ATWACC"/>
      <sheetName val="DCF Client RoE"/>
      <sheetName val="WP2 CAPM RoE-A,B"/>
      <sheetName val="WP3 CAPM RoE-A"/>
      <sheetName val="WP3 CAPM RoE-B"/>
      <sheetName val="WP3 CAPM RoE-C"/>
      <sheetName val="CAPM RoE"/>
      <sheetName val="CAPM RoE 2"/>
      <sheetName val="WP1 CAPM RoE-A"/>
      <sheetName val="CAPM ATWACC"/>
      <sheetName val="CAPM ATWACC 2"/>
      <sheetName val="Rating to Yield"/>
      <sheetName val="Bond Ratings"/>
      <sheetName val="Pref Ratings"/>
      <sheetName val="Utility Bond Yield"/>
      <sheetName val="Bond Yields"/>
      <sheetName val="Pref Yields"/>
      <sheetName val="CAPM Client RoE - Panel A"/>
      <sheetName val="CAPM Client RoE - Panel B"/>
    </sheetNames>
    <sheetDataSet>
      <sheetData sheetId="0">
        <row r="1">
          <cell r="A1" t="str">
            <v>No.</v>
          </cell>
          <cell r="B1" t="str">
            <v>Ticker</v>
          </cell>
          <cell r="C1" t="str">
            <v>Company</v>
          </cell>
          <cell r="D1" t="str">
            <v>Bloomberg Tickers</v>
          </cell>
          <cell r="E1" t="str">
            <v>Raw Data</v>
          </cell>
          <cell r="F1" t="str">
            <v>Cap_Struct_</v>
          </cell>
          <cell r="G1" t="str">
            <v>Panel</v>
          </cell>
          <cell r="H1" t="str">
            <v>DCF Analysis</v>
          </cell>
          <cell r="I1" t="str">
            <v>CAPM Analysis</v>
          </cell>
          <cell r="J1" t="str">
            <v>Subsample</v>
          </cell>
          <cell r="K1" t="str">
            <v>Sub</v>
          </cell>
          <cell r="L1" t="str">
            <v>State_code</v>
          </cell>
          <cell r="M1">
            <v>0</v>
          </cell>
        </row>
        <row r="2">
          <cell r="A2">
            <v>1</v>
          </cell>
          <cell r="B2" t="str">
            <v>TCP</v>
          </cell>
          <cell r="C2" t="str">
            <v>TC Pipelines LP</v>
          </cell>
          <cell r="D2" t="str">
            <v>TCP US</v>
          </cell>
          <cell r="E2" t="str">
            <v>Raw_TCP</v>
          </cell>
          <cell r="F2" t="str">
            <v>Cap_Struct_TCP</v>
          </cell>
          <cell r="G2" t="str">
            <v>A</v>
          </cell>
          <cell r="H2" t="str">
            <v>*</v>
          </cell>
          <cell r="I2" t="str">
            <v>*</v>
          </cell>
          <cell r="K2" t="str">
            <v>*</v>
          </cell>
          <cell r="L2">
            <v>0</v>
          </cell>
          <cell r="M2">
            <v>0</v>
          </cell>
        </row>
        <row r="3">
          <cell r="A3">
            <v>2</v>
          </cell>
          <cell r="B3" t="str">
            <v>BWP</v>
          </cell>
          <cell r="C3" t="str">
            <v>Boardwalk Pipeline Partners LP</v>
          </cell>
          <cell r="D3" t="str">
            <v>BWP US</v>
          </cell>
          <cell r="E3" t="str">
            <v>Raw_BWP</v>
          </cell>
          <cell r="F3" t="str">
            <v>Cap_Struct_BWP</v>
          </cell>
          <cell r="G3" t="str">
            <v>B</v>
          </cell>
          <cell r="H3" t="str">
            <v>*</v>
          </cell>
          <cell r="I3" t="str">
            <v>*</v>
          </cell>
          <cell r="K3" t="str">
            <v>*</v>
          </cell>
          <cell r="L3">
            <v>0</v>
          </cell>
          <cell r="M3">
            <v>0</v>
          </cell>
        </row>
        <row r="4">
          <cell r="A4">
            <v>3</v>
          </cell>
          <cell r="B4" t="str">
            <v>EPB</v>
          </cell>
          <cell r="C4" t="str">
            <v>El Paso Pipeline Partners LP</v>
          </cell>
          <cell r="D4" t="str">
            <v>EPB US</v>
          </cell>
          <cell r="E4" t="str">
            <v>Raw_EPB</v>
          </cell>
          <cell r="F4" t="str">
            <v>Cap_Struct_EPB</v>
          </cell>
          <cell r="G4" t="str">
            <v>C</v>
          </cell>
          <cell r="H4" t="str">
            <v>*</v>
          </cell>
          <cell r="I4" t="str">
            <v>*</v>
          </cell>
          <cell r="K4" t="str">
            <v>*</v>
          </cell>
          <cell r="L4">
            <v>0</v>
          </cell>
          <cell r="M4">
            <v>0</v>
          </cell>
        </row>
        <row r="5">
          <cell r="A5">
            <v>4</v>
          </cell>
          <cell r="B5" t="str">
            <v>SEP</v>
          </cell>
          <cell r="C5" t="str">
            <v>Spectra Energy Partners LP</v>
          </cell>
          <cell r="D5" t="str">
            <v>SEP US</v>
          </cell>
          <cell r="E5" t="str">
            <v>Raw_SEP</v>
          </cell>
          <cell r="F5" t="str">
            <v>Cap_Struct_SEP</v>
          </cell>
          <cell r="G5" t="str">
            <v>D</v>
          </cell>
          <cell r="H5" t="str">
            <v>*</v>
          </cell>
          <cell r="I5" t="str">
            <v>*</v>
          </cell>
          <cell r="K5" t="str">
            <v>*</v>
          </cell>
          <cell r="L5">
            <v>0</v>
          </cell>
          <cell r="M5">
            <v>0</v>
          </cell>
        </row>
        <row r="6">
          <cell r="A6">
            <v>5</v>
          </cell>
          <cell r="B6" t="str">
            <v>WPZ</v>
          </cell>
          <cell r="C6" t="str">
            <v>Williams Partners LP</v>
          </cell>
          <cell r="D6" t="str">
            <v>WPZ US</v>
          </cell>
          <cell r="E6" t="str">
            <v>Raw_WPZ</v>
          </cell>
          <cell r="F6" t="str">
            <v>Cap_Struct_WPZ</v>
          </cell>
          <cell r="G6" t="str">
            <v>E</v>
          </cell>
          <cell r="H6" t="str">
            <v>*</v>
          </cell>
          <cell r="I6" t="str">
            <v>*</v>
          </cell>
          <cell r="K6" t="str">
            <v>*</v>
          </cell>
          <cell r="L6">
            <v>0</v>
          </cell>
        </row>
        <row r="7">
          <cell r="A7">
            <v>6</v>
          </cell>
          <cell r="B7" t="str">
            <v>SE</v>
          </cell>
          <cell r="C7" t="str">
            <v>Spectra Energy Corp</v>
          </cell>
          <cell r="D7" t="str">
            <v>SE US</v>
          </cell>
          <cell r="E7" t="str">
            <v>Raw_SE</v>
          </cell>
          <cell r="F7" t="str">
            <v>Cap_Struct_SE</v>
          </cell>
          <cell r="G7" t="str">
            <v>F</v>
          </cell>
          <cell r="H7" t="str">
            <v>*</v>
          </cell>
          <cell r="I7" t="str">
            <v>*</v>
          </cell>
          <cell r="K7">
            <v>0</v>
          </cell>
          <cell r="L7">
            <v>0</v>
          </cell>
        </row>
        <row r="8">
          <cell r="A8">
            <v>7</v>
          </cell>
          <cell r="B8" t="str">
            <v>EPD</v>
          </cell>
          <cell r="C8" t="str">
            <v>Enterprise Products Partners LP</v>
          </cell>
          <cell r="D8" t="str">
            <v>EPD US</v>
          </cell>
          <cell r="E8" t="str">
            <v>Raw_EPD</v>
          </cell>
          <cell r="F8" t="str">
            <v>Cap_Struct_EPD</v>
          </cell>
          <cell r="G8" t="str">
            <v>G</v>
          </cell>
          <cell r="H8" t="str">
            <v>*</v>
          </cell>
          <cell r="I8" t="str">
            <v>*</v>
          </cell>
          <cell r="K8">
            <v>0</v>
          </cell>
        </row>
        <row r="9">
          <cell r="A9">
            <v>8</v>
          </cell>
          <cell r="B9" t="str">
            <v>EEP</v>
          </cell>
          <cell r="C9" t="str">
            <v>Enbridge Energy Partners LP</v>
          </cell>
          <cell r="D9" t="str">
            <v>EEP US</v>
          </cell>
          <cell r="E9" t="str">
            <v>Raw_EEP</v>
          </cell>
          <cell r="F9" t="str">
            <v>Cap_Struct_EEP</v>
          </cell>
          <cell r="G9" t="str">
            <v>H</v>
          </cell>
          <cell r="H9" t="str">
            <v>*</v>
          </cell>
          <cell r="I9" t="str">
            <v>*</v>
          </cell>
          <cell r="K9">
            <v>0</v>
          </cell>
        </row>
        <row r="10">
          <cell r="D10">
            <v>0</v>
          </cell>
          <cell r="E10">
            <v>0</v>
          </cell>
          <cell r="F10">
            <v>0</v>
          </cell>
          <cell r="G10">
            <v>0</v>
          </cell>
          <cell r="H10">
            <v>0</v>
          </cell>
          <cell r="I10">
            <v>0</v>
          </cell>
        </row>
        <row r="11">
          <cell r="A11">
            <v>0</v>
          </cell>
          <cell r="D11">
            <v>0</v>
          </cell>
          <cell r="E11">
            <v>0</v>
          </cell>
          <cell r="F11">
            <v>0</v>
          </cell>
          <cell r="G11">
            <v>0</v>
          </cell>
          <cell r="H11">
            <v>0</v>
          </cell>
          <cell r="I11">
            <v>0</v>
          </cell>
          <cell r="K11">
            <v>0</v>
          </cell>
        </row>
        <row r="12">
          <cell r="A12">
            <v>0</v>
          </cell>
          <cell r="D12">
            <v>0</v>
          </cell>
          <cell r="E12">
            <v>0</v>
          </cell>
          <cell r="F12">
            <v>0</v>
          </cell>
          <cell r="G12">
            <v>0</v>
          </cell>
          <cell r="H12">
            <v>0</v>
          </cell>
          <cell r="I12">
            <v>0</v>
          </cell>
          <cell r="K12">
            <v>0</v>
          </cell>
        </row>
        <row r="13">
          <cell r="A13">
            <v>0</v>
          </cell>
          <cell r="D13">
            <v>0</v>
          </cell>
          <cell r="E13">
            <v>0</v>
          </cell>
          <cell r="F13">
            <v>0</v>
          </cell>
          <cell r="G13">
            <v>0</v>
          </cell>
          <cell r="H13">
            <v>0</v>
          </cell>
          <cell r="I13">
            <v>0</v>
          </cell>
          <cell r="K13">
            <v>0</v>
          </cell>
        </row>
        <row r="14">
          <cell r="A14">
            <v>0</v>
          </cell>
          <cell r="D14">
            <v>0</v>
          </cell>
          <cell r="E14">
            <v>0</v>
          </cell>
          <cell r="G14">
            <v>0</v>
          </cell>
          <cell r="H14">
            <v>0</v>
          </cell>
        </row>
      </sheetData>
      <sheetData sheetId="1"/>
      <sheetData sheetId="2"/>
      <sheetData sheetId="3"/>
      <sheetData sheetId="4"/>
      <sheetData sheetId="5"/>
      <sheetData sheetId="6">
        <row r="2">
          <cell r="A2">
            <v>0</v>
          </cell>
          <cell r="B2" t="str">
            <v>RTG_SP_LT_LC_ISSUER_CREDIT</v>
          </cell>
          <cell r="D2">
            <v>0</v>
          </cell>
          <cell r="E2">
            <v>0</v>
          </cell>
          <cell r="F2">
            <v>0</v>
          </cell>
          <cell r="G2">
            <v>0</v>
          </cell>
          <cell r="H2">
            <v>0</v>
          </cell>
          <cell r="I2">
            <v>0</v>
          </cell>
          <cell r="J2">
            <v>0</v>
          </cell>
        </row>
        <row r="3">
          <cell r="B3" t="str">
            <v>Raw_</v>
          </cell>
          <cell r="C3">
            <v>0</v>
          </cell>
          <cell r="D3">
            <v>0</v>
          </cell>
          <cell r="E3">
            <v>0</v>
          </cell>
          <cell r="F3">
            <v>0</v>
          </cell>
          <cell r="G3">
            <v>0</v>
          </cell>
          <cell r="H3">
            <v>0</v>
          </cell>
          <cell r="I3">
            <v>0</v>
          </cell>
          <cell r="J3">
            <v>0</v>
          </cell>
        </row>
        <row r="4">
          <cell r="B4">
            <v>0</v>
          </cell>
          <cell r="C4">
            <v>0</v>
          </cell>
          <cell r="D4">
            <v>0</v>
          </cell>
          <cell r="E4">
            <v>0</v>
          </cell>
          <cell r="F4">
            <v>0</v>
          </cell>
          <cell r="G4">
            <v>0</v>
          </cell>
          <cell r="H4">
            <v>0</v>
          </cell>
          <cell r="I4">
            <v>0</v>
          </cell>
          <cell r="J4">
            <v>0</v>
          </cell>
        </row>
        <row r="5">
          <cell r="D5">
            <v>0</v>
          </cell>
          <cell r="E5">
            <v>0</v>
          </cell>
          <cell r="F5">
            <v>0</v>
          </cell>
          <cell r="G5">
            <v>0</v>
          </cell>
          <cell r="H5">
            <v>0</v>
          </cell>
          <cell r="I5">
            <v>0</v>
          </cell>
          <cell r="J5">
            <v>0</v>
          </cell>
        </row>
        <row r="6">
          <cell r="A6">
            <v>0</v>
          </cell>
          <cell r="B6">
            <v>0</v>
          </cell>
          <cell r="C6" t="str">
            <v>Company</v>
          </cell>
          <cell r="D6">
            <v>41182</v>
          </cell>
          <cell r="E6">
            <v>40908</v>
          </cell>
          <cell r="F6">
            <v>40543</v>
          </cell>
          <cell r="G6">
            <v>40178</v>
          </cell>
          <cell r="H6">
            <v>39813</v>
          </cell>
          <cell r="I6">
            <v>39447</v>
          </cell>
          <cell r="J6">
            <v>39082</v>
          </cell>
        </row>
        <row r="7">
          <cell r="B7">
            <v>0</v>
          </cell>
          <cell r="C7">
            <v>0</v>
          </cell>
          <cell r="D7">
            <v>0</v>
          </cell>
          <cell r="E7">
            <v>0</v>
          </cell>
          <cell r="F7">
            <v>0</v>
          </cell>
          <cell r="G7">
            <v>0</v>
          </cell>
          <cell r="H7">
            <v>0</v>
          </cell>
          <cell r="I7">
            <v>0</v>
          </cell>
          <cell r="J7">
            <v>0</v>
          </cell>
        </row>
        <row r="8">
          <cell r="A8" t="str">
            <v>Start</v>
          </cell>
        </row>
        <row r="9">
          <cell r="A9">
            <v>1</v>
          </cell>
          <cell r="B9" t="str">
            <v>TCP</v>
          </cell>
          <cell r="C9" t="str">
            <v>TC Pipelines LP</v>
          </cell>
          <cell r="D9" t="str">
            <v>BBB</v>
          </cell>
          <cell r="E9" t="str">
            <v>BBB</v>
          </cell>
          <cell r="F9" t="str">
            <v>BBB</v>
          </cell>
          <cell r="G9" t="str">
            <v>BBB</v>
          </cell>
          <cell r="H9" t="str">
            <v>BBB</v>
          </cell>
          <cell r="I9" t="str">
            <v>BBB</v>
          </cell>
          <cell r="J9" t="str">
            <v>BBB</v>
          </cell>
        </row>
        <row r="10">
          <cell r="A10">
            <v>2</v>
          </cell>
          <cell r="B10" t="str">
            <v>BWP</v>
          </cell>
          <cell r="C10" t="str">
            <v>Boardwalk Pipeline Partners LP</v>
          </cell>
          <cell r="D10" t="str">
            <v>BBB</v>
          </cell>
          <cell r="E10" t="str">
            <v>BBB</v>
          </cell>
          <cell r="F10" t="str">
            <v>BBB</v>
          </cell>
          <cell r="G10" t="str">
            <v>BBB</v>
          </cell>
          <cell r="H10" t="str">
            <v>BBB</v>
          </cell>
          <cell r="I10" t="str">
            <v>BBB</v>
          </cell>
          <cell r="J10" t="str">
            <v>BBB</v>
          </cell>
        </row>
        <row r="11">
          <cell r="A11">
            <v>3</v>
          </cell>
          <cell r="B11" t="str">
            <v>EPB</v>
          </cell>
          <cell r="C11" t="str">
            <v>El Paso Pipeline Partners LP</v>
          </cell>
          <cell r="D11" t="str">
            <v>BBB</v>
          </cell>
          <cell r="E11" t="str">
            <v>BBB</v>
          </cell>
          <cell r="F11" t="str">
            <v>BBB</v>
          </cell>
          <cell r="G11" t="str">
            <v>BBB</v>
          </cell>
          <cell r="H11" t="str">
            <v>BBB</v>
          </cell>
          <cell r="I11" t="str">
            <v>BBB</v>
          </cell>
          <cell r="J11" t="str">
            <v>BBB</v>
          </cell>
        </row>
        <row r="12">
          <cell r="A12">
            <v>4</v>
          </cell>
          <cell r="B12" t="str">
            <v>SEP</v>
          </cell>
          <cell r="C12" t="str">
            <v>Spectra Energy Partners LP</v>
          </cell>
          <cell r="D12" t="str">
            <v>BBB</v>
          </cell>
          <cell r="E12" t="str">
            <v>BBB</v>
          </cell>
          <cell r="F12" t="str">
            <v>BBB</v>
          </cell>
          <cell r="G12" t="str">
            <v>BBB</v>
          </cell>
          <cell r="H12" t="str">
            <v>BBB</v>
          </cell>
          <cell r="I12" t="str">
            <v>BBB</v>
          </cell>
          <cell r="J12" t="str">
            <v>BBB</v>
          </cell>
        </row>
        <row r="13">
          <cell r="A13">
            <v>5</v>
          </cell>
          <cell r="B13" t="str">
            <v>WPZ</v>
          </cell>
          <cell r="C13" t="str">
            <v>Williams Partners LP</v>
          </cell>
          <cell r="D13" t="str">
            <v>BBB</v>
          </cell>
          <cell r="E13" t="str">
            <v>BBB</v>
          </cell>
          <cell r="F13" t="str">
            <v>BBB</v>
          </cell>
          <cell r="G13" t="str">
            <v>BBB</v>
          </cell>
          <cell r="H13" t="str">
            <v>BBB</v>
          </cell>
          <cell r="I13" t="str">
            <v>BBB</v>
          </cell>
          <cell r="J13" t="str">
            <v>BB</v>
          </cell>
        </row>
        <row r="14">
          <cell r="A14">
            <v>6</v>
          </cell>
          <cell r="B14" t="str">
            <v>SE</v>
          </cell>
          <cell r="C14" t="str">
            <v>Spectra Energy Corp</v>
          </cell>
          <cell r="D14" t="str">
            <v>BBB</v>
          </cell>
          <cell r="E14" t="str">
            <v>BBB</v>
          </cell>
          <cell r="F14" t="str">
            <v>BBB</v>
          </cell>
          <cell r="G14" t="str">
            <v>BBB</v>
          </cell>
          <cell r="H14" t="str">
            <v>BBB</v>
          </cell>
          <cell r="I14" t="str">
            <v>BBB</v>
          </cell>
          <cell r="J14" t="str">
            <v>BBB</v>
          </cell>
        </row>
        <row r="15">
          <cell r="A15">
            <v>7</v>
          </cell>
          <cell r="B15" t="str">
            <v>EPD</v>
          </cell>
          <cell r="C15" t="str">
            <v>Enterprise Products Partners LP</v>
          </cell>
          <cell r="D15" t="str">
            <v>BBB</v>
          </cell>
          <cell r="E15" t="str">
            <v>BBB</v>
          </cell>
          <cell r="F15" t="str">
            <v>BBB</v>
          </cell>
          <cell r="G15" t="str">
            <v>BBB</v>
          </cell>
          <cell r="H15" t="str">
            <v>BBB</v>
          </cell>
          <cell r="I15" t="str">
            <v>BBB</v>
          </cell>
          <cell r="J15" t="str">
            <v>BBB</v>
          </cell>
        </row>
        <row r="16">
          <cell r="A16">
            <v>8</v>
          </cell>
          <cell r="B16" t="str">
            <v>EEP</v>
          </cell>
          <cell r="C16" t="str">
            <v>Enbridge Energy Partners LP</v>
          </cell>
          <cell r="D16" t="str">
            <v>BBB</v>
          </cell>
          <cell r="E16" t="str">
            <v>BBB</v>
          </cell>
          <cell r="F16" t="str">
            <v>BBB</v>
          </cell>
          <cell r="G16" t="str">
            <v>BBB</v>
          </cell>
          <cell r="H16" t="str">
            <v>BBB</v>
          </cell>
          <cell r="I16" t="str">
            <v>BBB</v>
          </cell>
          <cell r="J16" t="str">
            <v>BBB</v>
          </cell>
        </row>
      </sheetData>
      <sheetData sheetId="7"/>
      <sheetData sheetId="8">
        <row r="1">
          <cell r="C1" t="str">
            <v>Value Line Information</v>
          </cell>
          <cell r="D1">
            <v>0</v>
          </cell>
          <cell r="E1">
            <v>0</v>
          </cell>
          <cell r="F1">
            <v>0</v>
          </cell>
          <cell r="G1">
            <v>0</v>
          </cell>
          <cell r="H1">
            <v>0</v>
          </cell>
        </row>
        <row r="2">
          <cell r="A2">
            <v>0</v>
          </cell>
          <cell r="B2">
            <v>0</v>
          </cell>
          <cell r="C2">
            <v>0</v>
          </cell>
          <cell r="D2">
            <v>0</v>
          </cell>
          <cell r="E2">
            <v>0</v>
          </cell>
          <cell r="F2">
            <v>0</v>
          </cell>
          <cell r="G2">
            <v>0</v>
          </cell>
          <cell r="H2">
            <v>0</v>
          </cell>
          <cell r="I2">
            <v>0</v>
          </cell>
        </row>
        <row r="3">
          <cell r="H3">
            <v>0</v>
          </cell>
        </row>
        <row r="4">
          <cell r="A4" t="str">
            <v>No</v>
          </cell>
          <cell r="B4" t="str">
            <v>Ticker</v>
          </cell>
          <cell r="C4" t="str">
            <v>Company</v>
          </cell>
          <cell r="D4" t="str">
            <v>EPS Year 2012 Estimate</v>
          </cell>
          <cell r="E4" t="str">
            <v>EPS Year 2015 - 2017 Estimate</v>
          </cell>
          <cell r="F4" t="str">
            <v>Value Line Betas</v>
          </cell>
          <cell r="G4" t="str">
            <v>Report Date</v>
          </cell>
          <cell r="H4">
            <v>0</v>
          </cell>
          <cell r="I4" t="str">
            <v>Bloomberg Adjusted Betas</v>
          </cell>
        </row>
        <row r="5">
          <cell r="A5">
            <v>0</v>
          </cell>
          <cell r="B5">
            <v>0</v>
          </cell>
          <cell r="C5">
            <v>0</v>
          </cell>
          <cell r="D5">
            <v>0</v>
          </cell>
          <cell r="E5">
            <v>0</v>
          </cell>
          <cell r="F5">
            <v>0</v>
          </cell>
          <cell r="G5">
            <v>0</v>
          </cell>
          <cell r="H5">
            <v>0</v>
          </cell>
          <cell r="I5">
            <v>0</v>
          </cell>
        </row>
        <row r="6">
          <cell r="A6" t="str">
            <v>Start</v>
          </cell>
          <cell r="F6">
            <v>0</v>
          </cell>
          <cell r="H6">
            <v>0</v>
          </cell>
        </row>
        <row r="7">
          <cell r="A7">
            <v>1</v>
          </cell>
          <cell r="B7" t="str">
            <v>TCP</v>
          </cell>
          <cell r="C7" t="str">
            <v>TC Pipelines LP</v>
          </cell>
          <cell r="D7">
            <v>2.62</v>
          </cell>
          <cell r="E7">
            <v>2.7</v>
          </cell>
          <cell r="F7">
            <v>0.75</v>
          </cell>
          <cell r="G7">
            <v>41222</v>
          </cell>
          <cell r="H7">
            <v>0</v>
          </cell>
          <cell r="I7">
            <v>0.77100000000000002</v>
          </cell>
        </row>
        <row r="8">
          <cell r="A8">
            <v>2</v>
          </cell>
          <cell r="B8" t="str">
            <v>BWP</v>
          </cell>
          <cell r="C8" t="str">
            <v>Boardwalk Pipeline Partners LP</v>
          </cell>
          <cell r="D8">
            <v>1.35</v>
          </cell>
          <cell r="E8">
            <v>2.0499999999999998</v>
          </cell>
          <cell r="F8">
            <v>0.8</v>
          </cell>
          <cell r="G8">
            <v>41159</v>
          </cell>
          <cell r="H8">
            <v>0</v>
          </cell>
          <cell r="I8">
            <v>0.82499999999999996</v>
          </cell>
        </row>
        <row r="9">
          <cell r="A9">
            <v>3</v>
          </cell>
          <cell r="B9" t="str">
            <v>EPB</v>
          </cell>
          <cell r="C9" t="str">
            <v>El Paso Pipeline Partners LP</v>
          </cell>
          <cell r="D9">
            <v>2.0499999999999998</v>
          </cell>
          <cell r="E9">
            <v>3.4</v>
          </cell>
          <cell r="F9">
            <v>0.75</v>
          </cell>
          <cell r="G9">
            <v>41159</v>
          </cell>
          <cell r="H9">
            <v>0</v>
          </cell>
          <cell r="I9">
            <v>0.81299999999999994</v>
          </cell>
        </row>
        <row r="10">
          <cell r="A10">
            <v>4</v>
          </cell>
          <cell r="B10" t="str">
            <v>SEP</v>
          </cell>
          <cell r="C10" t="str">
            <v>Spectra Energy Partners LP</v>
          </cell>
          <cell r="D10">
            <v>1.68</v>
          </cell>
          <cell r="E10">
            <v>1.74</v>
          </cell>
          <cell r="F10">
            <v>0.7</v>
          </cell>
          <cell r="G10">
            <v>41222</v>
          </cell>
          <cell r="H10">
            <v>0</v>
          </cell>
          <cell r="I10">
            <v>0.77900000000000003</v>
          </cell>
        </row>
        <row r="11">
          <cell r="A11">
            <v>5</v>
          </cell>
          <cell r="B11" t="str">
            <v>WPZ</v>
          </cell>
          <cell r="C11" t="str">
            <v>Williams Partners LP</v>
          </cell>
          <cell r="D11">
            <v>2.2000000000000002</v>
          </cell>
          <cell r="E11">
            <v>4.5</v>
          </cell>
          <cell r="F11">
            <v>1.05</v>
          </cell>
          <cell r="G11">
            <v>41159</v>
          </cell>
          <cell r="H11">
            <v>0</v>
          </cell>
          <cell r="I11">
            <v>0.99</v>
          </cell>
        </row>
        <row r="12">
          <cell r="A12">
            <v>6</v>
          </cell>
          <cell r="B12" t="str">
            <v>SE</v>
          </cell>
          <cell r="C12" t="str">
            <v>Spectra Energy Corp</v>
          </cell>
          <cell r="D12">
            <v>1.55</v>
          </cell>
          <cell r="E12">
            <v>2.65</v>
          </cell>
          <cell r="F12">
            <v>1</v>
          </cell>
          <cell r="G12">
            <v>41159</v>
          </cell>
          <cell r="H12">
            <v>0</v>
          </cell>
          <cell r="I12">
            <v>1.0149999999999999</v>
          </cell>
        </row>
        <row r="13">
          <cell r="A13">
            <v>7</v>
          </cell>
          <cell r="B13" t="str">
            <v>EPD</v>
          </cell>
          <cell r="C13" t="str">
            <v>Enterprise Products Partners LP</v>
          </cell>
          <cell r="D13">
            <v>2.5499999999999998</v>
          </cell>
          <cell r="E13">
            <v>3.4</v>
          </cell>
          <cell r="F13">
            <v>0.85</v>
          </cell>
          <cell r="G13">
            <v>41159</v>
          </cell>
          <cell r="I13">
            <v>0.95199999999999996</v>
          </cell>
        </row>
        <row r="14">
          <cell r="A14">
            <v>8</v>
          </cell>
          <cell r="B14" t="str">
            <v>EEP</v>
          </cell>
          <cell r="C14" t="str">
            <v>Enbridge Energy Partners LP</v>
          </cell>
          <cell r="D14">
            <v>1.05</v>
          </cell>
          <cell r="E14">
            <v>1.34</v>
          </cell>
          <cell r="F14">
            <v>0.9</v>
          </cell>
          <cell r="G14">
            <v>41159</v>
          </cell>
          <cell r="I14">
            <v>0.93799999999999994</v>
          </cell>
        </row>
        <row r="16">
          <cell r="A16" t="str">
            <v>Sources and Notes:</v>
          </cell>
        </row>
        <row r="17">
          <cell r="A17" t="str">
            <v>Most recent Value Line Plus Edition, dated September 7 and November 9, 2012.</v>
          </cell>
        </row>
      </sheetData>
      <sheetData sheetId="9"/>
      <sheetData sheetId="10"/>
      <sheetData sheetId="11"/>
      <sheetData sheetId="12"/>
      <sheetData sheetId="13"/>
      <sheetData sheetId="14"/>
      <sheetData sheetId="15"/>
      <sheetData sheetId="16"/>
      <sheetData sheetId="17"/>
      <sheetData sheetId="18"/>
      <sheetData sheetId="19">
        <row r="5">
          <cell r="B5">
            <v>2.4273333333333334E-2</v>
          </cell>
        </row>
        <row r="6">
          <cell r="B6">
            <v>2.5000000000000001E-3</v>
          </cell>
          <cell r="F6" t="str">
            <v>Rocky Mountain</v>
          </cell>
        </row>
        <row r="13">
          <cell r="F13" t="str">
            <v>Value Line Betas</v>
          </cell>
        </row>
        <row r="14">
          <cell r="F14">
            <v>2012</v>
          </cell>
        </row>
        <row r="15">
          <cell r="F15">
            <v>3</v>
          </cell>
        </row>
        <row r="16">
          <cell r="B16">
            <v>6.5000000000000002E-2</v>
          </cell>
        </row>
        <row r="17">
          <cell r="B17">
            <v>0</v>
          </cell>
        </row>
        <row r="19">
          <cell r="F19">
            <v>41182</v>
          </cell>
        </row>
        <row r="24">
          <cell r="F24" t="str">
            <v>Vilbert Direct Testimony</v>
          </cell>
        </row>
        <row r="27">
          <cell r="B27">
            <v>5.0000000000000001E-3</v>
          </cell>
        </row>
        <row r="28">
          <cell r="B28">
            <v>1.4999999999999999E-2</v>
          </cell>
        </row>
        <row r="32">
          <cell r="B32">
            <v>0.49590000000000001</v>
          </cell>
        </row>
        <row r="33">
          <cell r="B33">
            <v>0</v>
          </cell>
        </row>
        <row r="34">
          <cell r="B34">
            <v>0.50409999999999999</v>
          </cell>
        </row>
        <row r="43">
          <cell r="F43" t="str">
            <v>BBB</v>
          </cell>
        </row>
        <row r="44">
          <cell r="F44">
            <v>0.38009999999999999</v>
          </cell>
        </row>
        <row r="45">
          <cell r="F45">
            <v>4.4033333333333334E-2</v>
          </cell>
        </row>
        <row r="46">
          <cell r="F46">
            <v>4.4033333333333334E-2</v>
          </cell>
        </row>
        <row r="55">
          <cell r="B55" t="str">
            <v>Table No. 4</v>
          </cell>
          <cell r="F55">
            <v>8</v>
          </cell>
        </row>
        <row r="57">
          <cell r="B57" t="str">
            <v>Table No. 6</v>
          </cell>
        </row>
        <row r="58">
          <cell r="B58" t="str">
            <v>Table No. 7</v>
          </cell>
        </row>
        <row r="59">
          <cell r="B59" t="str">
            <v>Table No. 8</v>
          </cell>
        </row>
        <row r="66">
          <cell r="A66" t="str">
            <v>Bloomberg as of November 16, 2012</v>
          </cell>
        </row>
        <row r="67">
          <cell r="A67" t="str">
            <v>Bloomberg as of November 16, 2012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ow r="2">
          <cell r="C2" t="str">
            <v>Table No. 4</v>
          </cell>
          <cell r="D2">
            <v>0</v>
          </cell>
          <cell r="E2">
            <v>0</v>
          </cell>
          <cell r="F2">
            <v>0</v>
          </cell>
          <cell r="G2">
            <v>0</v>
          </cell>
          <cell r="H2">
            <v>0</v>
          </cell>
          <cell r="I2">
            <v>0</v>
          </cell>
          <cell r="J2">
            <v>0</v>
          </cell>
          <cell r="K2">
            <v>0</v>
          </cell>
          <cell r="L2">
            <v>0</v>
          </cell>
          <cell r="M2">
            <v>0</v>
          </cell>
          <cell r="N2">
            <v>0</v>
          </cell>
          <cell r="O2">
            <v>0</v>
          </cell>
          <cell r="P2">
            <v>0</v>
          </cell>
        </row>
        <row r="3">
          <cell r="C3">
            <v>0</v>
          </cell>
          <cell r="D3">
            <v>0</v>
          </cell>
          <cell r="E3">
            <v>0</v>
          </cell>
          <cell r="F3">
            <v>0</v>
          </cell>
          <cell r="G3">
            <v>0</v>
          </cell>
          <cell r="H3">
            <v>0</v>
          </cell>
          <cell r="I3">
            <v>0</v>
          </cell>
          <cell r="J3">
            <v>0</v>
          </cell>
          <cell r="K3">
            <v>0</v>
          </cell>
          <cell r="L3">
            <v>0</v>
          </cell>
          <cell r="M3">
            <v>0</v>
          </cell>
          <cell r="N3">
            <v>0</v>
          </cell>
          <cell r="O3">
            <v>0</v>
          </cell>
          <cell r="P3">
            <v>0</v>
          </cell>
        </row>
        <row r="4">
          <cell r="C4" t="str">
            <v>Gas Pipeline Sample</v>
          </cell>
          <cell r="D4">
            <v>0</v>
          </cell>
          <cell r="E4">
            <v>0</v>
          </cell>
          <cell r="F4">
            <v>0</v>
          </cell>
          <cell r="G4">
            <v>0</v>
          </cell>
          <cell r="H4">
            <v>0</v>
          </cell>
          <cell r="I4">
            <v>0</v>
          </cell>
          <cell r="J4">
            <v>0</v>
          </cell>
          <cell r="K4">
            <v>0</v>
          </cell>
          <cell r="L4">
            <v>0</v>
          </cell>
          <cell r="M4">
            <v>0</v>
          </cell>
          <cell r="N4">
            <v>0</v>
          </cell>
          <cell r="O4">
            <v>0</v>
          </cell>
          <cell r="P4">
            <v>0</v>
          </cell>
        </row>
        <row r="5">
          <cell r="C5">
            <v>0</v>
          </cell>
          <cell r="D5">
            <v>0</v>
          </cell>
          <cell r="E5">
            <v>0</v>
          </cell>
          <cell r="F5">
            <v>0</v>
          </cell>
          <cell r="G5">
            <v>0</v>
          </cell>
          <cell r="H5">
            <v>0</v>
          </cell>
          <cell r="I5">
            <v>0</v>
          </cell>
          <cell r="J5">
            <v>0</v>
          </cell>
          <cell r="K5">
            <v>0</v>
          </cell>
          <cell r="L5">
            <v>0</v>
          </cell>
          <cell r="M5">
            <v>0</v>
          </cell>
          <cell r="N5">
            <v>0</v>
          </cell>
          <cell r="O5">
            <v>0</v>
          </cell>
          <cell r="P5">
            <v>0</v>
          </cell>
        </row>
        <row r="6">
          <cell r="C6" t="str">
            <v>Capital Structure Summary</v>
          </cell>
          <cell r="D6">
            <v>0</v>
          </cell>
          <cell r="E6">
            <v>0</v>
          </cell>
          <cell r="F6">
            <v>0</v>
          </cell>
          <cell r="G6">
            <v>0</v>
          </cell>
          <cell r="H6">
            <v>0</v>
          </cell>
          <cell r="I6">
            <v>0</v>
          </cell>
          <cell r="J6">
            <v>0</v>
          </cell>
          <cell r="K6">
            <v>0</v>
          </cell>
          <cell r="L6">
            <v>0</v>
          </cell>
          <cell r="M6">
            <v>0</v>
          </cell>
          <cell r="N6">
            <v>0</v>
          </cell>
          <cell r="O6">
            <v>0</v>
          </cell>
          <cell r="P6">
            <v>0</v>
          </cell>
        </row>
        <row r="7">
          <cell r="A7">
            <v>0</v>
          </cell>
          <cell r="B7">
            <v>0</v>
          </cell>
          <cell r="C7">
            <v>0</v>
          </cell>
          <cell r="D7">
            <v>0</v>
          </cell>
          <cell r="E7">
            <v>0</v>
          </cell>
          <cell r="F7">
            <v>0</v>
          </cell>
          <cell r="G7">
            <v>0</v>
          </cell>
          <cell r="H7">
            <v>0</v>
          </cell>
          <cell r="I7">
            <v>0</v>
          </cell>
          <cell r="J7">
            <v>0</v>
          </cell>
          <cell r="K7">
            <v>0</v>
          </cell>
          <cell r="L7">
            <v>0</v>
          </cell>
          <cell r="M7">
            <v>0</v>
          </cell>
        </row>
        <row r="8">
          <cell r="G8">
            <v>0</v>
          </cell>
          <cell r="H8">
            <v>0</v>
          </cell>
          <cell r="I8">
            <v>0</v>
          </cell>
        </row>
        <row r="9">
          <cell r="G9" t="str">
            <v>DCF Capital Structure</v>
          </cell>
          <cell r="H9">
            <v>0</v>
          </cell>
          <cell r="I9">
            <v>0</v>
          </cell>
          <cell r="K9" t="str">
            <v>5-Year  Average Capital Structure</v>
          </cell>
          <cell r="L9">
            <v>0</v>
          </cell>
          <cell r="M9">
            <v>0</v>
          </cell>
        </row>
        <row r="10">
          <cell r="G10">
            <v>0</v>
          </cell>
          <cell r="H10">
            <v>0</v>
          </cell>
          <cell r="I10">
            <v>0</v>
          </cell>
          <cell r="K10">
            <v>0</v>
          </cell>
          <cell r="L10">
            <v>0</v>
          </cell>
          <cell r="M10">
            <v>0</v>
          </cell>
        </row>
        <row r="12">
          <cell r="C12" t="str">
            <v>Company</v>
          </cell>
          <cell r="F12" t="str">
            <v>Sub Sample</v>
          </cell>
          <cell r="G12" t="str">
            <v>Common
Equity - Value 
Ratio</v>
          </cell>
          <cell r="H12" t="str">
            <v>Preferred
Equity - Value
Ratio</v>
          </cell>
          <cell r="I12" t="str">
            <v>Debt - Value
Ratio</v>
          </cell>
          <cell r="K12" t="str">
            <v>Common
Equity - Value 
Ratio</v>
          </cell>
          <cell r="L12" t="str">
            <v>Preferred
Equity - Value
Ratio</v>
          </cell>
          <cell r="M12" t="str">
            <v>Debt - Value
Ratio</v>
          </cell>
        </row>
        <row r="13">
          <cell r="G13">
            <v>1</v>
          </cell>
          <cell r="H13">
            <v>2</v>
          </cell>
          <cell r="I13">
            <v>3</v>
          </cell>
          <cell r="K13">
            <v>4</v>
          </cell>
          <cell r="L13">
            <v>5</v>
          </cell>
          <cell r="M13">
            <v>6</v>
          </cell>
        </row>
        <row r="14">
          <cell r="A14">
            <v>0</v>
          </cell>
          <cell r="B14">
            <v>0</v>
          </cell>
          <cell r="C14">
            <v>0</v>
          </cell>
          <cell r="D14">
            <v>0</v>
          </cell>
          <cell r="E14">
            <v>0</v>
          </cell>
          <cell r="F14">
            <v>0</v>
          </cell>
          <cell r="G14">
            <v>0</v>
          </cell>
          <cell r="H14">
            <v>0</v>
          </cell>
          <cell r="I14">
            <v>0</v>
          </cell>
          <cell r="J14">
            <v>0</v>
          </cell>
          <cell r="K14">
            <v>0</v>
          </cell>
          <cell r="L14">
            <v>0</v>
          </cell>
          <cell r="M14">
            <v>0</v>
          </cell>
        </row>
        <row r="16">
          <cell r="A16" t="str">
            <v>No</v>
          </cell>
          <cell r="B16" t="str">
            <v>Ticker</v>
          </cell>
          <cell r="C16" t="str">
            <v>Company</v>
          </cell>
          <cell r="D16" t="str">
            <v>DCF Analysis</v>
          </cell>
          <cell r="E16" t="str">
            <v>CAPM Analysis</v>
          </cell>
          <cell r="F16" t="str">
            <v>Sub</v>
          </cell>
          <cell r="G16" t="str">
            <v>DCF Capital Structure</v>
          </cell>
          <cell r="H16" t="str">
            <v>DCF Capital Structure</v>
          </cell>
          <cell r="I16" t="str">
            <v>DCF Capital Structure</v>
          </cell>
          <cell r="K16" t="str">
            <v>5-Year Average</v>
          </cell>
          <cell r="L16" t="str">
            <v>5-Year Average</v>
          </cell>
          <cell r="M16" t="str">
            <v>5-Year Average</v>
          </cell>
        </row>
        <row r="17">
          <cell r="A17" t="str">
            <v>Start</v>
          </cell>
          <cell r="C17" t="str">
            <v>FOR INDEX IN ATWACC CALCULATION</v>
          </cell>
          <cell r="D17">
            <v>0</v>
          </cell>
          <cell r="E17">
            <v>0</v>
          </cell>
          <cell r="F17">
            <v>0</v>
          </cell>
          <cell r="G17" t="str">
            <v>dcf_equity_ratio</v>
          </cell>
          <cell r="H17" t="str">
            <v>dcf_pref_ratio</v>
          </cell>
          <cell r="I17" t="str">
            <v>dcf_debt_ratio</v>
          </cell>
          <cell r="J17">
            <v>0</v>
          </cell>
          <cell r="K17" t="str">
            <v>capm_equity_ratio</v>
          </cell>
          <cell r="L17" t="str">
            <v>capm_pref_ratio</v>
          </cell>
          <cell r="M17" t="str">
            <v>capm_debt_ratio</v>
          </cell>
        </row>
        <row r="18">
          <cell r="A18">
            <v>1</v>
          </cell>
          <cell r="B18" t="str">
            <v>TCP</v>
          </cell>
          <cell r="C18" t="str">
            <v>TC Pipelines LP</v>
          </cell>
          <cell r="D18" t="str">
            <v>*</v>
          </cell>
          <cell r="E18" t="str">
            <v>*</v>
          </cell>
          <cell r="F18" t="str">
            <v>*</v>
          </cell>
          <cell r="G18">
            <v>0.76107335674673671</v>
          </cell>
          <cell r="H18">
            <v>0</v>
          </cell>
          <cell r="I18">
            <v>0.23892664325326324</v>
          </cell>
          <cell r="J18">
            <v>0</v>
          </cell>
          <cell r="K18">
            <v>0.73829635016421968</v>
          </cell>
          <cell r="L18">
            <v>0</v>
          </cell>
          <cell r="M18">
            <v>0.26170364983578037</v>
          </cell>
        </row>
        <row r="19">
          <cell r="A19">
            <v>2</v>
          </cell>
          <cell r="B19" t="str">
            <v>BWP</v>
          </cell>
          <cell r="C19" t="str">
            <v>Boardwalk Pipeline Partners LP</v>
          </cell>
          <cell r="D19" t="str">
            <v>*</v>
          </cell>
          <cell r="E19" t="str">
            <v>*</v>
          </cell>
          <cell r="F19" t="str">
            <v>*</v>
          </cell>
          <cell r="G19">
            <v>0.62171890591776524</v>
          </cell>
          <cell r="H19">
            <v>0</v>
          </cell>
          <cell r="I19">
            <v>0.37828109408223476</v>
          </cell>
          <cell r="J19">
            <v>0</v>
          </cell>
          <cell r="K19">
            <v>0.6087139583615585</v>
          </cell>
          <cell r="L19">
            <v>0</v>
          </cell>
          <cell r="M19">
            <v>0.39128604163844161</v>
          </cell>
        </row>
        <row r="20">
          <cell r="A20">
            <v>3</v>
          </cell>
          <cell r="B20" t="str">
            <v>EPB</v>
          </cell>
          <cell r="C20" t="str">
            <v>El Paso Pipeline Partners LP</v>
          </cell>
          <cell r="D20" t="str">
            <v>*</v>
          </cell>
          <cell r="E20" t="str">
            <v>*</v>
          </cell>
          <cell r="F20" t="str">
            <v>*</v>
          </cell>
          <cell r="G20">
            <v>0.62455419895764075</v>
          </cell>
          <cell r="H20">
            <v>0</v>
          </cell>
          <cell r="I20">
            <v>0.3754458010423592</v>
          </cell>
          <cell r="J20">
            <v>0</v>
          </cell>
          <cell r="K20">
            <v>0.64374778094437601</v>
          </cell>
          <cell r="L20">
            <v>0</v>
          </cell>
          <cell r="M20">
            <v>0.35625221905562399</v>
          </cell>
        </row>
        <row r="21">
          <cell r="A21">
            <v>4</v>
          </cell>
          <cell r="B21" t="str">
            <v>SEP</v>
          </cell>
          <cell r="C21" t="str">
            <v>Spectra Energy Partners LP</v>
          </cell>
          <cell r="D21" t="str">
            <v>*</v>
          </cell>
          <cell r="E21" t="str">
            <v>*</v>
          </cell>
          <cell r="F21" t="str">
            <v>*</v>
          </cell>
          <cell r="G21">
            <v>0.79612194013500504</v>
          </cell>
          <cell r="H21">
            <v>0</v>
          </cell>
          <cell r="I21">
            <v>0.20387805986499496</v>
          </cell>
          <cell r="J21">
            <v>0</v>
          </cell>
          <cell r="K21">
            <v>0.81194767464496587</v>
          </cell>
          <cell r="L21">
            <v>0</v>
          </cell>
          <cell r="M21">
            <v>0.18805232535503408</v>
          </cell>
        </row>
        <row r="22">
          <cell r="A22">
            <v>5</v>
          </cell>
          <cell r="B22" t="str">
            <v>WPZ</v>
          </cell>
          <cell r="C22" t="str">
            <v>Williams Partners LP</v>
          </cell>
          <cell r="D22" t="str">
            <v>*</v>
          </cell>
          <cell r="E22" t="str">
            <v>*</v>
          </cell>
          <cell r="F22" t="str">
            <v>*</v>
          </cell>
          <cell r="G22">
            <v>0.6606115892933252</v>
          </cell>
          <cell r="H22">
            <v>0</v>
          </cell>
          <cell r="I22">
            <v>0.3393884107066748</v>
          </cell>
          <cell r="J22">
            <v>0</v>
          </cell>
          <cell r="K22">
            <v>0.56249179344280065</v>
          </cell>
          <cell r="L22">
            <v>0</v>
          </cell>
          <cell r="M22">
            <v>0.4375082065571993</v>
          </cell>
        </row>
        <row r="23">
          <cell r="A23">
            <v>6</v>
          </cell>
          <cell r="B23" t="str">
            <v>SE</v>
          </cell>
          <cell r="C23" t="str">
            <v>Spectra Energy Corp</v>
          </cell>
          <cell r="D23" t="str">
            <v>*</v>
          </cell>
          <cell r="E23" t="str">
            <v>*</v>
          </cell>
          <cell r="F23"/>
          <cell r="G23">
            <v>0.5599458253956624</v>
          </cell>
          <cell r="H23">
            <v>7.9117754040361754E-3</v>
          </cell>
          <cell r="I23">
            <v>0.43214239920030145</v>
          </cell>
          <cell r="J23">
            <v>0</v>
          </cell>
          <cell r="K23">
            <v>0.55318462383132805</v>
          </cell>
          <cell r="L23">
            <v>6.3639609524448332E-3</v>
          </cell>
          <cell r="M23">
            <v>0.4404514152162271</v>
          </cell>
        </row>
        <row r="24">
          <cell r="A24">
            <v>7</v>
          </cell>
          <cell r="B24" t="str">
            <v>EPD</v>
          </cell>
          <cell r="C24" t="str">
            <v>Enterprise Products Partners LP</v>
          </cell>
          <cell r="D24" t="str">
            <v>*</v>
          </cell>
          <cell r="E24" t="str">
            <v>*</v>
          </cell>
          <cell r="F24"/>
          <cell r="G24">
            <v>0.72936564361985257</v>
          </cell>
          <cell r="H24">
            <v>0</v>
          </cell>
          <cell r="I24">
            <v>0.27063435638014743</v>
          </cell>
          <cell r="J24">
            <v>0</v>
          </cell>
          <cell r="K24">
            <v>0.59031694782106425</v>
          </cell>
          <cell r="L24">
            <v>0</v>
          </cell>
          <cell r="M24">
            <v>0.40968305217893575</v>
          </cell>
        </row>
        <row r="25">
          <cell r="A25">
            <v>8</v>
          </cell>
          <cell r="B25" t="str">
            <v>EEP</v>
          </cell>
          <cell r="C25" t="str">
            <v>Enbridge Energy Partners LP</v>
          </cell>
          <cell r="D25" t="str">
            <v>*</v>
          </cell>
          <cell r="E25" t="str">
            <v>*</v>
          </cell>
          <cell r="F25"/>
          <cell r="G25">
            <v>0.58098680149421567</v>
          </cell>
          <cell r="H25">
            <v>0</v>
          </cell>
          <cell r="I25">
            <v>0.41901319850578428</v>
          </cell>
          <cell r="J25">
            <v>0</v>
          </cell>
          <cell r="K25">
            <v>0.54783840286347185</v>
          </cell>
          <cell r="L25">
            <v>0</v>
          </cell>
          <cell r="M25">
            <v>0.45216159713652815</v>
          </cell>
        </row>
        <row r="26">
          <cell r="A26">
            <v>0</v>
          </cell>
          <cell r="B26">
            <v>0</v>
          </cell>
          <cell r="D26">
            <v>0</v>
          </cell>
          <cell r="E26">
            <v>0</v>
          </cell>
          <cell r="F26">
            <v>0</v>
          </cell>
          <cell r="G26">
            <v>0</v>
          </cell>
          <cell r="H26">
            <v>0</v>
          </cell>
          <cell r="I26">
            <v>0</v>
          </cell>
          <cell r="J26">
            <v>0</v>
          </cell>
          <cell r="K26">
            <v>0</v>
          </cell>
          <cell r="L26">
            <v>0</v>
          </cell>
          <cell r="M26">
            <v>0</v>
          </cell>
        </row>
        <row r="27">
          <cell r="A27">
            <v>0</v>
          </cell>
          <cell r="B27">
            <v>0</v>
          </cell>
          <cell r="C27" t="str">
            <v>Average</v>
          </cell>
          <cell r="D27">
            <v>0</v>
          </cell>
          <cell r="E27">
            <v>0</v>
          </cell>
          <cell r="F27">
            <v>0</v>
          </cell>
          <cell r="G27">
            <v>0.66679728269502547</v>
          </cell>
          <cell r="H27">
            <v>9.8897192550452193E-4</v>
          </cell>
          <cell r="I27">
            <v>0.33221374537947002</v>
          </cell>
          <cell r="J27">
            <v>0</v>
          </cell>
          <cell r="K27">
            <v>0.63206719150922308</v>
          </cell>
          <cell r="L27">
            <v>7.9549511905560415E-4</v>
          </cell>
          <cell r="M27">
            <v>0.36713731337172129</v>
          </cell>
        </row>
        <row r="28">
          <cell r="A28">
            <v>0</v>
          </cell>
          <cell r="B28">
            <v>0</v>
          </cell>
          <cell r="C28" t="str">
            <v>Sub-sample Average</v>
          </cell>
          <cell r="D28">
            <v>0</v>
          </cell>
          <cell r="E28">
            <v>0</v>
          </cell>
          <cell r="F28">
            <v>0</v>
          </cell>
          <cell r="G28">
            <v>0.69281599821009465</v>
          </cell>
          <cell r="H28">
            <v>0</v>
          </cell>
          <cell r="I28">
            <v>0.30718400178990535</v>
          </cell>
          <cell r="J28">
            <v>0</v>
          </cell>
          <cell r="K28">
            <v>0.67303951151158414</v>
          </cell>
          <cell r="L28">
            <v>0</v>
          </cell>
          <cell r="M28">
            <v>0.32696048848841591</v>
          </cell>
        </row>
        <row r="29">
          <cell r="A29">
            <v>0</v>
          </cell>
          <cell r="B29">
            <v>0</v>
          </cell>
          <cell r="C29">
            <v>0</v>
          </cell>
          <cell r="D29">
            <v>0</v>
          </cell>
          <cell r="E29">
            <v>0</v>
          </cell>
          <cell r="F29">
            <v>0</v>
          </cell>
          <cell r="G29">
            <v>0</v>
          </cell>
          <cell r="H29">
            <v>0</v>
          </cell>
          <cell r="I29">
            <v>0</v>
          </cell>
          <cell r="J29">
            <v>0</v>
          </cell>
          <cell r="K29">
            <v>0</v>
          </cell>
          <cell r="L29">
            <v>0</v>
          </cell>
          <cell r="M29">
            <v>0</v>
          </cell>
        </row>
        <row r="30">
          <cell r="A30">
            <v>0</v>
          </cell>
          <cell r="B30">
            <v>0</v>
          </cell>
          <cell r="D30">
            <v>0</v>
          </cell>
          <cell r="E30">
            <v>0</v>
          </cell>
          <cell r="F30">
            <v>0</v>
          </cell>
          <cell r="G30">
            <v>0</v>
          </cell>
          <cell r="H30">
            <v>0</v>
          </cell>
          <cell r="I30">
            <v>0</v>
          </cell>
          <cell r="J30">
            <v>0</v>
          </cell>
          <cell r="K30">
            <v>0</v>
          </cell>
          <cell r="L30">
            <v>0</v>
          </cell>
          <cell r="M30">
            <v>0</v>
          </cell>
        </row>
        <row r="31">
          <cell r="A31">
            <v>18</v>
          </cell>
          <cell r="B31">
            <v>0</v>
          </cell>
          <cell r="D31" t="str">
            <v>$D$18:$D$25</v>
          </cell>
          <cell r="E31" t="str">
            <v>$E$18:$E$25</v>
          </cell>
          <cell r="F31" t="str">
            <v>$F$18:$F$25</v>
          </cell>
          <cell r="G31" t="str">
            <v>$G$18:$G$25</v>
          </cell>
          <cell r="H31" t="str">
            <v>$H$18:$H$25</v>
          </cell>
          <cell r="I31" t="str">
            <v>$I$18:$I$25</v>
          </cell>
          <cell r="J31" t="str">
            <v>$J$18:$J$25</v>
          </cell>
          <cell r="K31" t="str">
            <v>$K$18:$K$25</v>
          </cell>
          <cell r="L31" t="str">
            <v>$L$18:$L$25</v>
          </cell>
          <cell r="M31" t="str">
            <v>$M$18:$M$25</v>
          </cell>
        </row>
        <row r="32">
          <cell r="A32" t="str">
            <v>Find Start</v>
          </cell>
          <cell r="B32">
            <v>0</v>
          </cell>
          <cell r="C32" t="str">
            <v>Sources and Notes:</v>
          </cell>
          <cell r="D32">
            <v>0</v>
          </cell>
          <cell r="E32">
            <v>0</v>
          </cell>
          <cell r="F32">
            <v>0</v>
          </cell>
          <cell r="G32">
            <v>0</v>
          </cell>
          <cell r="H32">
            <v>0</v>
          </cell>
          <cell r="I32">
            <v>0</v>
          </cell>
          <cell r="J32">
            <v>0</v>
          </cell>
          <cell r="K32">
            <v>0</v>
          </cell>
          <cell r="L32">
            <v>0</v>
          </cell>
          <cell r="M32">
            <v>0</v>
          </cell>
        </row>
        <row r="33">
          <cell r="A33">
            <v>0</v>
          </cell>
          <cell r="B33">
            <v>0</v>
          </cell>
          <cell r="C33" t="str">
            <v>[1], [4]:Workpaper #1 to Table No. 4.</v>
          </cell>
          <cell r="D33">
            <v>0</v>
          </cell>
          <cell r="E33">
            <v>0</v>
          </cell>
          <cell r="F33">
            <v>0</v>
          </cell>
          <cell r="G33">
            <v>0</v>
          </cell>
          <cell r="H33">
            <v>0</v>
          </cell>
          <cell r="I33">
            <v>0</v>
          </cell>
          <cell r="J33">
            <v>0</v>
          </cell>
          <cell r="K33">
            <v>0</v>
          </cell>
          <cell r="L33">
            <v>0</v>
          </cell>
          <cell r="M33">
            <v>0</v>
          </cell>
        </row>
        <row r="34">
          <cell r="A34">
            <v>0</v>
          </cell>
          <cell r="B34">
            <v>0</v>
          </cell>
          <cell r="C34" t="str">
            <v>[2], [5]:Workpaper #2 to Table No. 4.</v>
          </cell>
          <cell r="D34">
            <v>0</v>
          </cell>
          <cell r="E34">
            <v>0</v>
          </cell>
          <cell r="F34">
            <v>0</v>
          </cell>
          <cell r="G34">
            <v>0</v>
          </cell>
          <cell r="H34">
            <v>0</v>
          </cell>
          <cell r="I34">
            <v>0</v>
          </cell>
          <cell r="J34">
            <v>0</v>
          </cell>
          <cell r="K34">
            <v>0</v>
          </cell>
          <cell r="L34">
            <v>0</v>
          </cell>
          <cell r="M34">
            <v>0</v>
          </cell>
        </row>
        <row r="35">
          <cell r="A35">
            <v>0</v>
          </cell>
          <cell r="B35">
            <v>0</v>
          </cell>
          <cell r="C35" t="str">
            <v>[3], [6]:Workpaper #3 to Table No. 4.</v>
          </cell>
          <cell r="D35">
            <v>0</v>
          </cell>
          <cell r="E35">
            <v>0</v>
          </cell>
          <cell r="F35">
            <v>0</v>
          </cell>
          <cell r="G35">
            <v>0</v>
          </cell>
          <cell r="H35">
            <v>0</v>
          </cell>
          <cell r="I35">
            <v>0</v>
          </cell>
          <cell r="J35">
            <v>0</v>
          </cell>
          <cell r="K35">
            <v>0</v>
          </cell>
          <cell r="L35">
            <v>0</v>
          </cell>
          <cell r="M35">
            <v>0</v>
          </cell>
        </row>
        <row r="36">
          <cell r="C36" t="str">
            <v>Values in this table may not add up exactly to 1.0 because of rounding.</v>
          </cell>
        </row>
        <row r="37">
          <cell r="C37">
            <v>0</v>
          </cell>
          <cell r="D37">
            <v>0</v>
          </cell>
          <cell r="E37">
            <v>0</v>
          </cell>
          <cell r="F37">
            <v>0</v>
          </cell>
          <cell r="G37">
            <v>0</v>
          </cell>
          <cell r="H37">
            <v>0</v>
          </cell>
          <cell r="I37">
            <v>0</v>
          </cell>
          <cell r="J37">
            <v>0</v>
          </cell>
          <cell r="K37">
            <v>0</v>
          </cell>
          <cell r="L37">
            <v>0</v>
          </cell>
          <cell r="M37">
            <v>0</v>
          </cell>
        </row>
        <row r="38">
          <cell r="G38">
            <v>0</v>
          </cell>
          <cell r="H38">
            <v>0</v>
          </cell>
          <cell r="I38">
            <v>0</v>
          </cell>
          <cell r="J38">
            <v>0</v>
          </cell>
          <cell r="K38">
            <v>0</v>
          </cell>
          <cell r="L38">
            <v>0</v>
          </cell>
          <cell r="M38">
            <v>0</v>
          </cell>
        </row>
        <row r="39">
          <cell r="G39">
            <v>0</v>
          </cell>
          <cell r="K39">
            <v>0</v>
          </cell>
          <cell r="P39">
            <v>0</v>
          </cell>
          <cell r="Q39">
            <v>0</v>
          </cell>
          <cell r="R39">
            <v>0</v>
          </cell>
        </row>
        <row r="40">
          <cell r="G40">
            <v>0</v>
          </cell>
          <cell r="H40">
            <v>0</v>
          </cell>
          <cell r="I40">
            <v>0</v>
          </cell>
          <cell r="J40">
            <v>0</v>
          </cell>
          <cell r="K40">
            <v>0</v>
          </cell>
          <cell r="L40">
            <v>0</v>
          </cell>
          <cell r="M40">
            <v>0</v>
          </cell>
          <cell r="P40">
            <v>0</v>
          </cell>
          <cell r="Q40">
            <v>0</v>
          </cell>
          <cell r="R40">
            <v>0</v>
          </cell>
        </row>
        <row r="41">
          <cell r="P41">
            <v>0</v>
          </cell>
          <cell r="Q41">
            <v>0</v>
          </cell>
          <cell r="R41">
            <v>0</v>
          </cell>
        </row>
        <row r="42">
          <cell r="P42">
            <v>0</v>
          </cell>
          <cell r="Q42">
            <v>0</v>
          </cell>
          <cell r="R42">
            <v>0</v>
          </cell>
        </row>
        <row r="156">
          <cell r="C156">
            <v>0</v>
          </cell>
          <cell r="D156">
            <v>0</v>
          </cell>
          <cell r="E156">
            <v>0</v>
          </cell>
          <cell r="F156">
            <v>0</v>
          </cell>
        </row>
        <row r="157">
          <cell r="C157">
            <v>0</v>
          </cell>
          <cell r="D157">
            <v>0</v>
          </cell>
          <cell r="E157">
            <v>0</v>
          </cell>
          <cell r="F157">
            <v>0</v>
          </cell>
        </row>
        <row r="160">
          <cell r="C160">
            <v>0</v>
          </cell>
          <cell r="D160">
            <v>0</v>
          </cell>
          <cell r="E160">
            <v>0</v>
          </cell>
          <cell r="F160">
            <v>0</v>
          </cell>
        </row>
      </sheetData>
      <sheetData sheetId="33"/>
      <sheetData sheetId="34">
        <row r="1">
          <cell r="F1">
            <v>1</v>
          </cell>
          <cell r="G1">
            <v>2</v>
          </cell>
          <cell r="H1">
            <v>3</v>
          </cell>
          <cell r="I1">
            <v>4</v>
          </cell>
          <cell r="J1">
            <v>5</v>
          </cell>
          <cell r="K1">
            <v>6</v>
          </cell>
        </row>
        <row r="2">
          <cell r="A2" t="str">
            <v xml:space="preserve">Worksheet Look-Up: </v>
          </cell>
          <cell r="B2" t="str">
            <v>Cap_Struct_</v>
          </cell>
          <cell r="C2" t="str">
            <v>Workpaper #2 to Table No. 4</v>
          </cell>
          <cell r="D2">
            <v>0</v>
          </cell>
          <cell r="E2">
            <v>0</v>
          </cell>
          <cell r="F2">
            <v>0</v>
          </cell>
          <cell r="G2">
            <v>0</v>
          </cell>
          <cell r="H2">
            <v>0</v>
          </cell>
          <cell r="I2">
            <v>0</v>
          </cell>
          <cell r="J2">
            <v>0</v>
          </cell>
          <cell r="K2">
            <v>0</v>
          </cell>
        </row>
        <row r="3">
          <cell r="A3">
            <v>0</v>
          </cell>
          <cell r="C3">
            <v>0</v>
          </cell>
          <cell r="D3">
            <v>0</v>
          </cell>
          <cell r="E3">
            <v>0</v>
          </cell>
          <cell r="F3">
            <v>0</v>
          </cell>
          <cell r="G3">
            <v>0</v>
          </cell>
          <cell r="H3">
            <v>0</v>
          </cell>
          <cell r="I3">
            <v>0</v>
          </cell>
          <cell r="J3">
            <v>0</v>
          </cell>
          <cell r="K3">
            <v>0</v>
          </cell>
        </row>
        <row r="4">
          <cell r="A4" t="str">
            <v>Category Look-Up:</v>
          </cell>
          <cell r="B4" t="str">
            <v>p_v</v>
          </cell>
          <cell r="C4" t="str">
            <v>Gas Pipeline Sample</v>
          </cell>
          <cell r="D4">
            <v>0</v>
          </cell>
          <cell r="E4">
            <v>0</v>
          </cell>
          <cell r="F4">
            <v>0</v>
          </cell>
          <cell r="G4">
            <v>0</v>
          </cell>
          <cell r="H4">
            <v>0</v>
          </cell>
          <cell r="I4">
            <v>0</v>
          </cell>
          <cell r="J4">
            <v>0</v>
          </cell>
          <cell r="K4">
            <v>0</v>
          </cell>
        </row>
        <row r="5">
          <cell r="A5">
            <v>0</v>
          </cell>
          <cell r="B5">
            <v>0</v>
          </cell>
          <cell r="C5">
            <v>0</v>
          </cell>
          <cell r="D5">
            <v>0</v>
          </cell>
          <cell r="E5">
            <v>0</v>
          </cell>
          <cell r="F5">
            <v>0</v>
          </cell>
          <cell r="G5">
            <v>0</v>
          </cell>
          <cell r="H5">
            <v>0</v>
          </cell>
          <cell r="I5">
            <v>0</v>
          </cell>
          <cell r="J5">
            <v>0</v>
          </cell>
          <cell r="K5">
            <v>0</v>
          </cell>
        </row>
        <row r="6">
          <cell r="A6" t="str">
            <v>Type:</v>
          </cell>
          <cell r="B6" t="str">
            <v>n/a</v>
          </cell>
          <cell r="C6" t="str">
            <v xml:space="preserve">Calculation of the Average Preferred Equity - Market Value Ratio </v>
          </cell>
          <cell r="D6">
            <v>0</v>
          </cell>
          <cell r="E6">
            <v>0</v>
          </cell>
          <cell r="F6">
            <v>0</v>
          </cell>
          <cell r="G6">
            <v>0</v>
          </cell>
          <cell r="H6">
            <v>0</v>
          </cell>
          <cell r="I6">
            <v>0</v>
          </cell>
          <cell r="J6">
            <v>0</v>
          </cell>
          <cell r="K6">
            <v>0</v>
          </cell>
        </row>
        <row r="7">
          <cell r="A7">
            <v>0</v>
          </cell>
          <cell r="B7">
            <v>0</v>
          </cell>
          <cell r="C7">
            <v>0</v>
          </cell>
          <cell r="D7">
            <v>0</v>
          </cell>
          <cell r="E7">
            <v>0</v>
          </cell>
          <cell r="F7">
            <v>0</v>
          </cell>
          <cell r="G7">
            <v>0</v>
          </cell>
          <cell r="H7">
            <v>0</v>
          </cell>
          <cell r="I7">
            <v>0</v>
          </cell>
          <cell r="J7">
            <v>0</v>
          </cell>
          <cell r="K7">
            <v>0</v>
          </cell>
        </row>
        <row r="9">
          <cell r="C9" t="str">
            <v>Company</v>
          </cell>
          <cell r="D9" t="str">
            <v>DCF Capital Structure</v>
          </cell>
          <cell r="E9" t="str">
            <v>3rd Quarter, 2012</v>
          </cell>
          <cell r="F9">
            <v>2011</v>
          </cell>
          <cell r="G9">
            <v>2010</v>
          </cell>
          <cell r="H9">
            <v>2009</v>
          </cell>
          <cell r="I9">
            <v>2008</v>
          </cell>
          <cell r="J9">
            <v>2007</v>
          </cell>
          <cell r="K9" t="str">
            <v>5-Year Average</v>
          </cell>
        </row>
        <row r="10">
          <cell r="D10">
            <v>1</v>
          </cell>
          <cell r="E10">
            <v>2</v>
          </cell>
          <cell r="F10">
            <v>3</v>
          </cell>
          <cell r="G10">
            <v>4</v>
          </cell>
          <cell r="H10">
            <v>5</v>
          </cell>
          <cell r="I10">
            <v>6</v>
          </cell>
          <cell r="J10">
            <v>7</v>
          </cell>
          <cell r="K10">
            <v>8</v>
          </cell>
        </row>
        <row r="11">
          <cell r="C11">
            <v>0</v>
          </cell>
          <cell r="D11">
            <v>0</v>
          </cell>
          <cell r="E11">
            <v>0</v>
          </cell>
          <cell r="F11">
            <v>0</v>
          </cell>
          <cell r="G11">
            <v>0</v>
          </cell>
          <cell r="H11">
            <v>0</v>
          </cell>
          <cell r="I11">
            <v>0</v>
          </cell>
          <cell r="J11">
            <v>0</v>
          </cell>
          <cell r="K11">
            <v>0</v>
          </cell>
        </row>
        <row r="13">
          <cell r="A13" t="str">
            <v>No</v>
          </cell>
          <cell r="C13" t="str">
            <v>Company</v>
          </cell>
          <cell r="D13" t="str">
            <v>DCF Capital Structure</v>
          </cell>
          <cell r="E13">
            <v>41182</v>
          </cell>
          <cell r="F13">
            <v>40908</v>
          </cell>
          <cell r="G13">
            <v>40543</v>
          </cell>
          <cell r="H13">
            <v>40178</v>
          </cell>
          <cell r="I13">
            <v>39813</v>
          </cell>
          <cell r="J13">
            <v>39447</v>
          </cell>
          <cell r="K13" t="str">
            <v>5-Year Average</v>
          </cell>
        </row>
        <row r="14">
          <cell r="D14" t="str">
            <v>$D$50</v>
          </cell>
          <cell r="E14" t="str">
            <v>$E$50</v>
          </cell>
          <cell r="F14" t="str">
            <v>$F$50</v>
          </cell>
          <cell r="G14" t="str">
            <v>$G$50</v>
          </cell>
          <cell r="H14" t="str">
            <v>$H$50</v>
          </cell>
          <cell r="I14" t="str">
            <v>$I$50</v>
          </cell>
          <cell r="J14" t="str">
            <v>$J$50</v>
          </cell>
        </row>
        <row r="15">
          <cell r="A15" t="str">
            <v>Start</v>
          </cell>
          <cell r="C15" t="str">
            <v>Weight</v>
          </cell>
          <cell r="E15">
            <v>0.75</v>
          </cell>
          <cell r="F15">
            <v>1</v>
          </cell>
          <cell r="G15">
            <v>1</v>
          </cell>
          <cell r="H15">
            <v>1</v>
          </cell>
          <cell r="I15">
            <v>1</v>
          </cell>
          <cell r="J15">
            <v>0.25</v>
          </cell>
        </row>
        <row r="16">
          <cell r="A16">
            <v>1</v>
          </cell>
          <cell r="B16" t="str">
            <v>TCP</v>
          </cell>
          <cell r="C16" t="str">
            <v>TC Pipelines LP</v>
          </cell>
          <cell r="D16">
            <v>0</v>
          </cell>
          <cell r="E16">
            <v>0</v>
          </cell>
          <cell r="F16">
            <v>0</v>
          </cell>
          <cell r="G16">
            <v>0</v>
          </cell>
          <cell r="H16">
            <v>0</v>
          </cell>
          <cell r="I16">
            <v>0</v>
          </cell>
          <cell r="J16">
            <v>0</v>
          </cell>
          <cell r="K16">
            <v>0</v>
          </cell>
          <cell r="L16">
            <v>0</v>
          </cell>
        </row>
        <row r="17">
          <cell r="A17">
            <v>2</v>
          </cell>
          <cell r="B17" t="str">
            <v>BWP</v>
          </cell>
          <cell r="C17" t="str">
            <v>Boardwalk Pipeline Partners LP</v>
          </cell>
          <cell r="D17">
            <v>0</v>
          </cell>
          <cell r="E17">
            <v>0</v>
          </cell>
          <cell r="F17">
            <v>0</v>
          </cell>
          <cell r="G17">
            <v>0</v>
          </cell>
          <cell r="H17">
            <v>0</v>
          </cell>
          <cell r="I17">
            <v>0</v>
          </cell>
          <cell r="J17">
            <v>0</v>
          </cell>
          <cell r="K17">
            <v>0</v>
          </cell>
          <cell r="L17">
            <v>0</v>
          </cell>
        </row>
        <row r="18">
          <cell r="A18">
            <v>3</v>
          </cell>
          <cell r="B18" t="str">
            <v>EPB</v>
          </cell>
          <cell r="C18" t="str">
            <v>El Paso Pipeline Partners LP</v>
          </cell>
          <cell r="D18">
            <v>0</v>
          </cell>
          <cell r="E18">
            <v>0</v>
          </cell>
          <cell r="F18">
            <v>0</v>
          </cell>
          <cell r="G18">
            <v>0</v>
          </cell>
          <cell r="H18">
            <v>0</v>
          </cell>
          <cell r="I18">
            <v>0</v>
          </cell>
          <cell r="J18">
            <v>0</v>
          </cell>
          <cell r="K18">
            <v>0</v>
          </cell>
          <cell r="L18">
            <v>0</v>
          </cell>
        </row>
        <row r="19">
          <cell r="A19">
            <v>4</v>
          </cell>
          <cell r="B19" t="str">
            <v>SEP</v>
          </cell>
          <cell r="C19" t="str">
            <v>Spectra Energy Partners LP</v>
          </cell>
          <cell r="D19">
            <v>0</v>
          </cell>
          <cell r="E19">
            <v>0</v>
          </cell>
          <cell r="F19">
            <v>0</v>
          </cell>
          <cell r="G19">
            <v>0</v>
          </cell>
          <cell r="H19">
            <v>0</v>
          </cell>
          <cell r="I19">
            <v>0</v>
          </cell>
          <cell r="J19">
            <v>0</v>
          </cell>
          <cell r="K19">
            <v>0</v>
          </cell>
          <cell r="L19">
            <v>0</v>
          </cell>
        </row>
        <row r="20">
          <cell r="A20">
            <v>5</v>
          </cell>
          <cell r="B20" t="str">
            <v>WPZ</v>
          </cell>
          <cell r="C20" t="str">
            <v>Williams Partners LP</v>
          </cell>
          <cell r="D20">
            <v>0</v>
          </cell>
          <cell r="E20">
            <v>0</v>
          </cell>
          <cell r="F20">
            <v>0</v>
          </cell>
          <cell r="G20">
            <v>0</v>
          </cell>
          <cell r="H20">
            <v>0</v>
          </cell>
          <cell r="I20">
            <v>0</v>
          </cell>
          <cell r="J20">
            <v>0</v>
          </cell>
          <cell r="K20">
            <v>0</v>
          </cell>
          <cell r="L20">
            <v>0</v>
          </cell>
        </row>
        <row r="21">
          <cell r="A21">
            <v>6</v>
          </cell>
          <cell r="B21" t="str">
            <v>SE</v>
          </cell>
          <cell r="C21" t="str">
            <v>Spectra Energy Corp</v>
          </cell>
          <cell r="D21">
            <v>7.9117754040361754E-3</v>
          </cell>
          <cell r="E21">
            <v>7.754018645389371E-3</v>
          </cell>
          <cell r="F21">
            <v>7.8015616549253174E-3</v>
          </cell>
          <cell r="G21">
            <v>8.9436169428988646E-3</v>
          </cell>
          <cell r="H21">
            <v>9.2591121803579594E-3</v>
          </cell>
          <cell r="I21">
            <v>0</v>
          </cell>
          <cell r="J21">
            <v>0</v>
          </cell>
          <cell r="K21">
            <v>6.3639609524448332E-3</v>
          </cell>
          <cell r="L21">
            <v>0</v>
          </cell>
        </row>
        <row r="22">
          <cell r="A22">
            <v>7</v>
          </cell>
          <cell r="B22" t="str">
            <v>EPD</v>
          </cell>
          <cell r="C22" t="str">
            <v>Enterprise Products Partners LP</v>
          </cell>
          <cell r="D22">
            <v>0</v>
          </cell>
          <cell r="E22">
            <v>0</v>
          </cell>
          <cell r="F22">
            <v>0</v>
          </cell>
          <cell r="G22">
            <v>0</v>
          </cell>
          <cell r="H22">
            <v>0</v>
          </cell>
          <cell r="I22">
            <v>0</v>
          </cell>
          <cell r="J22">
            <v>0</v>
          </cell>
          <cell r="K22">
            <v>0</v>
          </cell>
          <cell r="L22">
            <v>0</v>
          </cell>
        </row>
        <row r="23">
          <cell r="A23">
            <v>8</v>
          </cell>
          <cell r="B23" t="str">
            <v>EEP</v>
          </cell>
          <cell r="C23" t="str">
            <v>Enbridge Energy Partners LP</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row>
        <row r="26">
          <cell r="C26" t="str">
            <v>Sources and Notes:</v>
          </cell>
        </row>
        <row r="27">
          <cell r="C27" t="str">
            <v>[1] - [7]: Table No. 3; Panels A - H, [u].</v>
          </cell>
        </row>
        <row r="28">
          <cell r="C28" t="str">
            <v>[8]: {([2] x 0.75) + [3] + [4] + [5] + [6] + ([7] x 0.25)} / 5.</v>
          </cell>
        </row>
        <row r="144">
          <cell r="C144">
            <v>0</v>
          </cell>
        </row>
        <row r="145">
          <cell r="C145">
            <v>0</v>
          </cell>
        </row>
        <row r="148">
          <cell r="C148">
            <v>0</v>
          </cell>
        </row>
      </sheetData>
      <sheetData sheetId="35"/>
      <sheetData sheetId="36"/>
      <sheetData sheetId="37">
        <row r="1">
          <cell r="A1" t="str">
            <v>No</v>
          </cell>
          <cell r="C1" t="str">
            <v>Company</v>
          </cell>
          <cell r="D1">
            <v>1</v>
          </cell>
          <cell r="E1">
            <v>2</v>
          </cell>
          <cell r="F1">
            <v>3</v>
          </cell>
          <cell r="G1">
            <v>4</v>
          </cell>
          <cell r="H1">
            <v>5</v>
          </cell>
          <cell r="I1">
            <v>6</v>
          </cell>
        </row>
        <row r="2">
          <cell r="A2" t="str">
            <v xml:space="preserve">Worksheet Look-Up: </v>
          </cell>
          <cell r="B2" t="str">
            <v>Raw Data</v>
          </cell>
          <cell r="C2" t="str">
            <v>Table No. 6</v>
          </cell>
          <cell r="D2">
            <v>0</v>
          </cell>
          <cell r="E2">
            <v>0</v>
          </cell>
          <cell r="F2">
            <v>0</v>
          </cell>
          <cell r="G2">
            <v>0</v>
          </cell>
          <cell r="H2">
            <v>0</v>
          </cell>
          <cell r="I2">
            <v>0</v>
          </cell>
        </row>
        <row r="3">
          <cell r="A3">
            <v>0</v>
          </cell>
          <cell r="B3">
            <v>0</v>
          </cell>
          <cell r="C3">
            <v>0</v>
          </cell>
          <cell r="D3">
            <v>0</v>
          </cell>
          <cell r="E3">
            <v>0</v>
          </cell>
          <cell r="F3">
            <v>0</v>
          </cell>
          <cell r="G3">
            <v>0</v>
          </cell>
          <cell r="H3">
            <v>0</v>
          </cell>
          <cell r="I3">
            <v>0</v>
          </cell>
        </row>
        <row r="4">
          <cell r="A4" t="str">
            <v>Category Look-Up:</v>
          </cell>
          <cell r="B4">
            <v>0</v>
          </cell>
          <cell r="C4" t="str">
            <v>DCF Cost of Equity of the Gas Pipeline Sample</v>
          </cell>
          <cell r="D4">
            <v>0</v>
          </cell>
          <cell r="E4">
            <v>0</v>
          </cell>
          <cell r="F4">
            <v>0</v>
          </cell>
          <cell r="G4">
            <v>0</v>
          </cell>
          <cell r="H4">
            <v>0</v>
          </cell>
          <cell r="I4">
            <v>0</v>
          </cell>
        </row>
        <row r="5">
          <cell r="A5">
            <v>0</v>
          </cell>
          <cell r="B5">
            <v>0</v>
          </cell>
          <cell r="C5">
            <v>0</v>
          </cell>
          <cell r="D5">
            <v>0</v>
          </cell>
          <cell r="E5">
            <v>0</v>
          </cell>
          <cell r="F5">
            <v>0</v>
          </cell>
          <cell r="G5">
            <v>0</v>
          </cell>
          <cell r="H5">
            <v>0</v>
          </cell>
          <cell r="I5">
            <v>0</v>
          </cell>
        </row>
        <row r="6">
          <cell r="A6" t="str">
            <v>Type:</v>
          </cell>
          <cell r="B6">
            <v>0</v>
          </cell>
          <cell r="C6" t="str">
            <v>Panel A: Simple DCF Method (Quarterly)</v>
          </cell>
          <cell r="D6">
            <v>0</v>
          </cell>
          <cell r="E6">
            <v>0</v>
          </cell>
          <cell r="F6">
            <v>0</v>
          </cell>
          <cell r="G6">
            <v>0</v>
          </cell>
          <cell r="H6">
            <v>0</v>
          </cell>
          <cell r="I6">
            <v>0</v>
          </cell>
        </row>
        <row r="7">
          <cell r="A7">
            <v>0</v>
          </cell>
          <cell r="B7">
            <v>0</v>
          </cell>
          <cell r="C7">
            <v>0</v>
          </cell>
          <cell r="D7">
            <v>0</v>
          </cell>
          <cell r="E7">
            <v>0</v>
          </cell>
          <cell r="F7">
            <v>0</v>
          </cell>
          <cell r="G7">
            <v>0</v>
          </cell>
          <cell r="H7">
            <v>0</v>
          </cell>
          <cell r="I7">
            <v>0</v>
          </cell>
        </row>
        <row r="8">
          <cell r="B8">
            <v>0</v>
          </cell>
        </row>
        <row r="9">
          <cell r="B9">
            <v>0</v>
          </cell>
          <cell r="C9" t="str">
            <v>Company</v>
          </cell>
          <cell r="D9" t="str">
            <v>Stock Price</v>
          </cell>
          <cell r="E9" t="str">
            <v>Most Recent Dividend</v>
          </cell>
          <cell r="F9" t="str">
            <v>Quarterly Dividend Yield</v>
          </cell>
          <cell r="G9" t="str">
            <v>Combined BEst and Value Line Long-Term Growth Rate</v>
          </cell>
          <cell r="H9" t="str">
            <v>Quarterly Growth Rate</v>
          </cell>
          <cell r="I9" t="str">
            <v>DCF Cost of Equity</v>
          </cell>
        </row>
        <row r="10">
          <cell r="B10">
            <v>0</v>
          </cell>
          <cell r="D10" t="str">
            <v>[1]</v>
          </cell>
          <cell r="E10" t="str">
            <v>[2]</v>
          </cell>
          <cell r="F10" t="str">
            <v>[3]</v>
          </cell>
          <cell r="G10" t="str">
            <v>[4]</v>
          </cell>
          <cell r="H10" t="str">
            <v>[5]</v>
          </cell>
          <cell r="I10" t="str">
            <v>[6]</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A11">
            <v>0</v>
          </cell>
          <cell r="B11">
            <v>0</v>
          </cell>
          <cell r="C11">
            <v>0</v>
          </cell>
          <cell r="D11">
            <v>0</v>
          </cell>
          <cell r="E11">
            <v>0</v>
          </cell>
          <cell r="F11">
            <v>0</v>
          </cell>
          <cell r="G11">
            <v>0</v>
          </cell>
          <cell r="H11">
            <v>0</v>
          </cell>
          <cell r="I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B12">
            <v>0</v>
          </cell>
          <cell r="E12">
            <v>0</v>
          </cell>
          <cell r="F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A13" t="str">
            <v>Start</v>
          </cell>
          <cell r="B13">
            <v>0</v>
          </cell>
          <cell r="D13" t="str">
            <v>average</v>
          </cell>
          <cell r="E13" t="str">
            <v>Most Recent Paid Dividend</v>
          </cell>
          <cell r="F13">
            <v>0</v>
          </cell>
          <cell r="G13" t="str">
            <v>Combined_grate</v>
          </cell>
          <cell r="I13" t="str">
            <v>dcf_roe_quarter</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A14">
            <v>1</v>
          </cell>
          <cell r="B14" t="str">
            <v>TCP</v>
          </cell>
          <cell r="C14" t="str">
            <v>TC Pipelines LP</v>
          </cell>
          <cell r="D14">
            <v>42.445999999999998</v>
          </cell>
          <cell r="E14">
            <v>0.78</v>
          </cell>
          <cell r="F14">
            <v>1.8376289874193093E-2</v>
          </cell>
          <cell r="G14">
            <v>2.6267175572519109E-2</v>
          </cell>
          <cell r="H14">
            <v>6.5030832915784487E-3</v>
          </cell>
          <cell r="I14">
            <v>0.10380804768099861</v>
          </cell>
          <cell r="K14">
            <v>0.10380804768099861</v>
          </cell>
          <cell r="L14">
            <v>0</v>
          </cell>
          <cell r="M14">
            <v>7.3505159496772374E-2</v>
          </cell>
          <cell r="N14">
            <v>2.6012333166313795E-2</v>
          </cell>
          <cell r="O14">
            <v>9.9517492663086168E-2</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A15">
            <v>2</v>
          </cell>
          <cell r="B15" t="str">
            <v>BWP</v>
          </cell>
          <cell r="C15" t="str">
            <v>Boardwalk Pipeline Partners LP</v>
          </cell>
          <cell r="D15">
            <v>25.534000000000002</v>
          </cell>
          <cell r="E15">
            <v>0.53249999999999997</v>
          </cell>
          <cell r="F15">
            <v>2.0854546878671571E-2</v>
          </cell>
          <cell r="G15">
            <v>5.5027301401980734E-2</v>
          </cell>
          <cell r="H15">
            <v>1.3481731082149562E-2</v>
          </cell>
          <cell r="I15">
            <v>0.14582730716579873</v>
          </cell>
          <cell r="K15">
            <v>0.14582730716579873</v>
          </cell>
          <cell r="L15">
            <v>0</v>
          </cell>
          <cell r="M15">
            <v>8.3418187514686284E-2</v>
          </cell>
          <cell r="N15">
            <v>5.3926924328598247E-2</v>
          </cell>
          <cell r="O15">
            <v>0.13734511184328452</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A16">
            <v>3</v>
          </cell>
          <cell r="B16" t="str">
            <v>EPB</v>
          </cell>
          <cell r="C16" t="str">
            <v>El Paso Pipeline Partners LP</v>
          </cell>
          <cell r="D16">
            <v>35.78</v>
          </cell>
          <cell r="E16">
            <v>0.57999999999999996</v>
          </cell>
          <cell r="F16">
            <v>1.621017328116266E-2</v>
          </cell>
          <cell r="G16">
            <v>6.9000000000000006E-2</v>
          </cell>
          <cell r="H16">
            <v>1.6820811178167583E-2</v>
          </cell>
          <cell r="I16">
            <v>0.1400183935368946</v>
          </cell>
          <cell r="K16">
            <v>0.1400183935368946</v>
          </cell>
          <cell r="L16">
            <v>0</v>
          </cell>
          <cell r="M16">
            <v>6.4840693124650642E-2</v>
          </cell>
          <cell r="N16">
            <v>6.7283244712670331E-2</v>
          </cell>
          <cell r="O16">
            <v>0.13212393783732096</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A17">
            <v>4</v>
          </cell>
          <cell r="B17" t="str">
            <v>SEP</v>
          </cell>
          <cell r="C17" t="str">
            <v>Spectra Energy Partners LP</v>
          </cell>
          <cell r="D17">
            <v>29.002666666666666</v>
          </cell>
          <cell r="E17">
            <v>0.49</v>
          </cell>
          <cell r="F17">
            <v>1.6894998161088637E-2</v>
          </cell>
          <cell r="G17">
            <v>3.7857142857142909E-2</v>
          </cell>
          <cell r="H17">
            <v>9.3328186588950146E-3</v>
          </cell>
          <cell r="I17">
            <v>0.10979310751753335</v>
          </cell>
          <cell r="K17">
            <v>0.10979310751753335</v>
          </cell>
          <cell r="L17">
            <v>0</v>
          </cell>
          <cell r="M17">
            <v>6.7579992644354547E-2</v>
          </cell>
          <cell r="N17">
            <v>3.7331274635580058E-2</v>
          </cell>
          <cell r="O17">
            <v>0.10491126727993461</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A18">
            <v>5</v>
          </cell>
          <cell r="B18" t="str">
            <v>WPZ</v>
          </cell>
          <cell r="C18" t="str">
            <v>Williams Partners LP</v>
          </cell>
          <cell r="D18">
            <v>51.075333333333333</v>
          </cell>
          <cell r="E18">
            <v>0.8075</v>
          </cell>
          <cell r="F18">
            <v>1.5809980029498912E-2</v>
          </cell>
          <cell r="G18">
            <v>7.0000000000000007E-2</v>
          </cell>
          <cell r="H18">
            <v>1.7058525001811375E-2</v>
          </cell>
          <cell r="I18">
            <v>0.1392884091507498</v>
          </cell>
          <cell r="K18">
            <v>0.1392884091507498</v>
          </cell>
          <cell r="L18">
            <v>0</v>
          </cell>
          <cell r="M18">
            <v>6.3239920117995646E-2</v>
          </cell>
          <cell r="N18">
            <v>6.8234100007245502E-2</v>
          </cell>
          <cell r="O18">
            <v>0.13147402012524115</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A19">
            <v>6</v>
          </cell>
          <cell r="B19" t="str">
            <v>SE</v>
          </cell>
          <cell r="C19" t="str">
            <v>Spectra Energy Corp</v>
          </cell>
          <cell r="D19">
            <v>27.962666666666664</v>
          </cell>
          <cell r="E19">
            <v>0.30499999999999999</v>
          </cell>
          <cell r="F19">
            <v>1.0907400343314897E-2</v>
          </cell>
          <cell r="G19">
            <v>0.05</v>
          </cell>
          <cell r="H19">
            <v>1.2272234429039353E-2</v>
          </cell>
          <cell r="I19">
            <v>9.6566066219674562E-2</v>
          </cell>
          <cell r="K19">
            <v>9.6566066219674562E-2</v>
          </cell>
          <cell r="L19">
            <v>0</v>
          </cell>
          <cell r="M19">
            <v>4.3629601373259587E-2</v>
          </cell>
          <cell r="N19">
            <v>4.908893771615741E-2</v>
          </cell>
          <cell r="O19">
            <v>9.271853908941699E-2</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A20">
            <v>7</v>
          </cell>
          <cell r="B20" t="str">
            <v>EPD</v>
          </cell>
          <cell r="C20" t="str">
            <v>Enterprise Products Partners LP</v>
          </cell>
          <cell r="D20">
            <v>52.025999999999989</v>
          </cell>
          <cell r="E20">
            <v>0.65</v>
          </cell>
          <cell r="F20">
            <v>1.2493753123438284E-2</v>
          </cell>
          <cell r="G20">
            <v>6.5189977274513991E-2</v>
          </cell>
          <cell r="H20">
            <v>1.5913585012705234E-2</v>
          </cell>
          <cell r="I20">
            <v>0.11942881271372507</v>
          </cell>
          <cell r="K20">
            <v>0.11942881271372507</v>
          </cell>
          <cell r="L20">
            <v>0</v>
          </cell>
          <cell r="M20">
            <v>4.9975012493753135E-2</v>
          </cell>
          <cell r="N20">
            <v>6.3654340050820934E-2</v>
          </cell>
          <cell r="O20">
            <v>0.11362935254457407</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A21">
            <v>8</v>
          </cell>
          <cell r="B21" t="str">
            <v>EEP</v>
          </cell>
          <cell r="C21" t="str">
            <v>Enbridge Energy Partners LP</v>
          </cell>
          <cell r="D21">
            <v>29.173333333333336</v>
          </cell>
          <cell r="E21">
            <v>0.54349999999999998</v>
          </cell>
          <cell r="F21">
            <v>1.863002742230347E-2</v>
          </cell>
          <cell r="G21">
            <v>3.4000000000000002E-2</v>
          </cell>
          <cell r="H21">
            <v>8.3937254420483054E-3</v>
          </cell>
          <cell r="I21">
            <v>0.11323393307453156</v>
          </cell>
          <cell r="K21">
            <v>0.11323393307453156</v>
          </cell>
          <cell r="L21">
            <v>0</v>
          </cell>
          <cell r="M21">
            <v>7.4520109689213881E-2</v>
          </cell>
          <cell r="N21">
            <v>3.3574901768193222E-2</v>
          </cell>
          <cell r="O21">
            <v>0.1080950114574071</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C24" t="str">
            <v>Sources and Notes:</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C25" t="str">
            <v>[1]: Workpaper #1 to Table No. 6.</v>
          </cell>
          <cell r="H25" t="str">
            <v>Average</v>
          </cell>
          <cell r="I25">
            <v>0.12099550963248829</v>
          </cell>
          <cell r="K25">
            <v>0.12099550963248829</v>
          </cell>
          <cell r="L25">
            <v>0</v>
          </cell>
          <cell r="M25">
            <v>6.5088584556835763E-2</v>
          </cell>
          <cell r="N25">
            <v>4.9888257048197437E-2</v>
          </cell>
          <cell r="O25">
            <v>0.11497684160503319</v>
          </cell>
          <cell r="P25">
            <v>0</v>
          </cell>
          <cell r="Q25">
            <v>0</v>
          </cell>
          <cell r="R25">
            <v>0</v>
          </cell>
          <cell r="S25">
            <v>0</v>
          </cell>
          <cell r="T25">
            <v>0</v>
          </cell>
          <cell r="U25">
            <v>0</v>
          </cell>
          <cell r="V25">
            <v>0</v>
          </cell>
          <cell r="W25">
            <v>0</v>
          </cell>
          <cell r="X25">
            <v>0</v>
          </cell>
          <cell r="Y25">
            <v>0</v>
          </cell>
          <cell r="Z25">
            <v>0</v>
          </cell>
          <cell r="AA25">
            <v>0</v>
          </cell>
          <cell r="AB25">
            <v>0</v>
          </cell>
          <cell r="AC25">
            <v>0</v>
          </cell>
        </row>
        <row r="26">
          <cell r="C26" t="str">
            <v>[2]: Workpaper #2 to Table No. 6.</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C27" t="str">
            <v>[3]: [2] / [1].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C28" t="str">
            <v>[4]: Table No. 5, [6].</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C29" t="str">
            <v>[5]: {(1 + [4]) ^ (1/4)} - 1.</v>
          </cell>
          <cell r="I29" t="e">
            <v>#DIV/0!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C30" t="str">
            <v>[6]: {(([2] / [1]) x (1 + [5]) + [5] + 1) ^ 4} - 1.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row>
        <row r="31">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row>
        <row r="32">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row>
        <row r="33">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row>
        <row r="36">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row>
        <row r="37">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row>
        <row r="38">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row>
        <row r="41">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row>
        <row r="47">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row>
        <row r="51">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row>
        <row r="52">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row>
        <row r="53">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row>
        <row r="54">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row>
        <row r="55">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row>
        <row r="56">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row>
      </sheetData>
      <sheetData sheetId="38">
        <row r="1">
          <cell r="A1" t="str">
            <v>No</v>
          </cell>
          <cell r="B1" t="str">
            <v>Ticker</v>
          </cell>
          <cell r="C1" t="str">
            <v>Company</v>
          </cell>
          <cell r="D1">
            <v>1</v>
          </cell>
          <cell r="E1">
            <v>2</v>
          </cell>
          <cell r="F1">
            <v>3</v>
          </cell>
          <cell r="G1">
            <v>4</v>
          </cell>
          <cell r="H1">
            <v>5</v>
          </cell>
          <cell r="I1">
            <v>6</v>
          </cell>
          <cell r="J1">
            <v>7</v>
          </cell>
          <cell r="K1">
            <v>8</v>
          </cell>
          <cell r="L1">
            <v>9</v>
          </cell>
          <cell r="M1">
            <v>10</v>
          </cell>
        </row>
        <row r="2">
          <cell r="B2">
            <v>0</v>
          </cell>
          <cell r="C2" t="str">
            <v>Table No. 6</v>
          </cell>
          <cell r="D2">
            <v>0</v>
          </cell>
          <cell r="E2">
            <v>0</v>
          </cell>
          <cell r="F2">
            <v>0</v>
          </cell>
          <cell r="G2">
            <v>0</v>
          </cell>
          <cell r="H2">
            <v>0</v>
          </cell>
          <cell r="I2">
            <v>0</v>
          </cell>
          <cell r="J2">
            <v>0</v>
          </cell>
          <cell r="K2">
            <v>0</v>
          </cell>
          <cell r="L2">
            <v>0</v>
          </cell>
          <cell r="M2">
            <v>0</v>
          </cell>
        </row>
        <row r="3">
          <cell r="B3">
            <v>0</v>
          </cell>
          <cell r="C3">
            <v>0</v>
          </cell>
          <cell r="D3">
            <v>0</v>
          </cell>
          <cell r="E3">
            <v>0</v>
          </cell>
          <cell r="F3">
            <v>0</v>
          </cell>
          <cell r="G3">
            <v>0</v>
          </cell>
          <cell r="H3">
            <v>0</v>
          </cell>
          <cell r="I3">
            <v>0</v>
          </cell>
          <cell r="J3">
            <v>0</v>
          </cell>
          <cell r="K3">
            <v>0</v>
          </cell>
          <cell r="L3">
            <v>0</v>
          </cell>
          <cell r="M3">
            <v>0</v>
          </cell>
        </row>
        <row r="4">
          <cell r="B4">
            <v>0</v>
          </cell>
          <cell r="C4" t="str">
            <v>DCF Cost of Equity of the Gas Pipeline Sample</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t="str">
            <v>Panel B: Multi-Stage DCF (Using Blue Chip Long-Term GDP Growth Forecast as the Perpetual Rate)</v>
          </cell>
          <cell r="D6">
            <v>0</v>
          </cell>
          <cell r="E6">
            <v>0</v>
          </cell>
          <cell r="F6">
            <v>0</v>
          </cell>
          <cell r="G6">
            <v>0</v>
          </cell>
          <cell r="H6">
            <v>0</v>
          </cell>
          <cell r="I6">
            <v>0</v>
          </cell>
          <cell r="J6">
            <v>0</v>
          </cell>
          <cell r="K6">
            <v>0</v>
          </cell>
          <cell r="L6">
            <v>0</v>
          </cell>
          <cell r="M6">
            <v>0</v>
          </cell>
        </row>
        <row r="7">
          <cell r="A7">
            <v>0</v>
          </cell>
          <cell r="B7">
            <v>0</v>
          </cell>
          <cell r="C7">
            <v>0</v>
          </cell>
          <cell r="D7">
            <v>0</v>
          </cell>
          <cell r="E7">
            <v>0</v>
          </cell>
          <cell r="F7">
            <v>0</v>
          </cell>
          <cell r="G7">
            <v>0</v>
          </cell>
          <cell r="H7">
            <v>0</v>
          </cell>
          <cell r="I7">
            <v>0</v>
          </cell>
          <cell r="J7">
            <v>0</v>
          </cell>
          <cell r="K7">
            <v>0</v>
          </cell>
          <cell r="L7">
            <v>0</v>
          </cell>
          <cell r="M7">
            <v>0</v>
          </cell>
        </row>
        <row r="8">
          <cell r="B8">
            <v>0</v>
          </cell>
          <cell r="F8">
            <v>0</v>
          </cell>
          <cell r="G8">
            <v>0</v>
          </cell>
          <cell r="H8">
            <v>0</v>
          </cell>
          <cell r="I8">
            <v>0</v>
          </cell>
        </row>
        <row r="9">
          <cell r="B9">
            <v>0</v>
          </cell>
          <cell r="C9" t="str">
            <v>Company</v>
          </cell>
          <cell r="D9" t="str">
            <v>Stock Price</v>
          </cell>
          <cell r="E9" t="str">
            <v>Most Recent Dividend</v>
          </cell>
          <cell r="F9" t="str">
            <v>Combined BEst and Value Line Long-Term Growth Rate</v>
          </cell>
          <cell r="G9" t="str">
            <v>Growth Rate: 
Year 6</v>
          </cell>
          <cell r="H9" t="str">
            <v>Growth Rate: 
Year 7</v>
          </cell>
          <cell r="I9" t="str">
            <v>Growth Rate: 
Year 8</v>
          </cell>
          <cell r="J9" t="str">
            <v>Growth Rate: 
Year 9</v>
          </cell>
          <cell r="K9" t="str">
            <v>Growth Rate: 
Year 10</v>
          </cell>
          <cell r="L9" t="str">
            <v>GDP Long-Term Growth Rate</v>
          </cell>
          <cell r="M9" t="str">
            <v>DCF Cost of Equity</v>
          </cell>
        </row>
        <row r="10">
          <cell r="B10">
            <v>0</v>
          </cell>
          <cell r="D10" t="str">
            <v>[1]</v>
          </cell>
          <cell r="E10" t="str">
            <v>[2]</v>
          </cell>
          <cell r="F10" t="str">
            <v>[3]</v>
          </cell>
          <cell r="G10" t="str">
            <v>[4]</v>
          </cell>
          <cell r="H10" t="str">
            <v>[5]</v>
          </cell>
          <cell r="I10" t="str">
            <v>[6]</v>
          </cell>
          <cell r="J10" t="str">
            <v>[7]</v>
          </cell>
          <cell r="K10" t="str">
            <v>[8]</v>
          </cell>
          <cell r="L10" t="str">
            <v>[9]</v>
          </cell>
          <cell r="M10" t="str">
            <v>[10]</v>
          </cell>
        </row>
        <row r="11">
          <cell r="A11">
            <v>0</v>
          </cell>
          <cell r="B11">
            <v>0</v>
          </cell>
          <cell r="C11">
            <v>0</v>
          </cell>
          <cell r="D11">
            <v>0</v>
          </cell>
          <cell r="E11">
            <v>0</v>
          </cell>
          <cell r="F11">
            <v>0</v>
          </cell>
          <cell r="G11">
            <v>0</v>
          </cell>
          <cell r="H11">
            <v>0</v>
          </cell>
          <cell r="I11">
            <v>0</v>
          </cell>
          <cell r="J11">
            <v>0</v>
          </cell>
          <cell r="K11">
            <v>0</v>
          </cell>
          <cell r="L11">
            <v>0</v>
          </cell>
          <cell r="M11">
            <v>0</v>
          </cell>
        </row>
        <row r="12">
          <cell r="B12">
            <v>0</v>
          </cell>
          <cell r="L12">
            <v>0</v>
          </cell>
          <cell r="M12">
            <v>0</v>
          </cell>
        </row>
        <row r="13">
          <cell r="D13" t="str">
            <v>average</v>
          </cell>
          <cell r="E13" t="str">
            <v>Most Recent Paid Dividend</v>
          </cell>
          <cell r="F13" t="str">
            <v>Combined_grate</v>
          </cell>
          <cell r="G13">
            <v>2018</v>
          </cell>
          <cell r="H13">
            <v>2019</v>
          </cell>
          <cell r="I13">
            <v>2020</v>
          </cell>
          <cell r="J13">
            <v>2021</v>
          </cell>
          <cell r="K13">
            <v>2022</v>
          </cell>
          <cell r="L13">
            <v>1</v>
          </cell>
        </row>
        <row r="14">
          <cell r="A14" t="str">
            <v>Start</v>
          </cell>
          <cell r="B14">
            <v>0</v>
          </cell>
          <cell r="C14" t="str">
            <v>FOR MULTI-STAGE DCF INDEX</v>
          </cell>
          <cell r="D14">
            <v>0</v>
          </cell>
          <cell r="E14">
            <v>0</v>
          </cell>
          <cell r="F14" t="str">
            <v>LT</v>
          </cell>
          <cell r="G14" t="str">
            <v>Year 6</v>
          </cell>
          <cell r="H14" t="str">
            <v>Year 7</v>
          </cell>
          <cell r="I14" t="str">
            <v>Year 8</v>
          </cell>
          <cell r="J14" t="str">
            <v>Year 9</v>
          </cell>
          <cell r="K14" t="str">
            <v>Year 10</v>
          </cell>
          <cell r="L14" t="str">
            <v>GDP</v>
          </cell>
          <cell r="M14" t="str">
            <v>dcf_roe_gdp</v>
          </cell>
        </row>
        <row r="15">
          <cell r="A15">
            <v>1</v>
          </cell>
          <cell r="B15" t="str">
            <v>TCP</v>
          </cell>
          <cell r="C15" t="str">
            <v>TC Pipelines LP</v>
          </cell>
          <cell r="D15">
            <v>42.445999999999998</v>
          </cell>
          <cell r="E15">
            <v>0.78</v>
          </cell>
          <cell r="F15">
            <v>2.6267175572519109E-2</v>
          </cell>
          <cell r="G15">
            <v>2.9555979643765926E-2</v>
          </cell>
          <cell r="H15">
            <v>3.2844783715012739E-2</v>
          </cell>
          <cell r="I15">
            <v>3.6133587786259552E-2</v>
          </cell>
          <cell r="J15">
            <v>3.9422391857506366E-2</v>
          </cell>
          <cell r="K15">
            <v>4.2711195928753179E-2</v>
          </cell>
          <cell r="L15">
            <v>4.5999999999999999E-2</v>
          </cell>
          <cell r="M15">
            <v>0.11647698518678662</v>
          </cell>
        </row>
        <row r="16">
          <cell r="A16">
            <v>2</v>
          </cell>
          <cell r="B16" t="str">
            <v>BWP</v>
          </cell>
          <cell r="C16" t="str">
            <v>Boardwalk Pipeline Partners LP</v>
          </cell>
          <cell r="D16">
            <v>25.534000000000002</v>
          </cell>
          <cell r="E16">
            <v>0.53249999999999997</v>
          </cell>
          <cell r="F16">
            <v>5.5027301401980734E-2</v>
          </cell>
          <cell r="G16">
            <v>5.3522751168317277E-2</v>
          </cell>
          <cell r="H16">
            <v>5.201820093465382E-2</v>
          </cell>
          <cell r="I16">
            <v>5.0513650700990363E-2</v>
          </cell>
          <cell r="J16">
            <v>4.9009100467326906E-2</v>
          </cell>
          <cell r="K16">
            <v>4.7504550233663449E-2</v>
          </cell>
          <cell r="L16">
            <v>4.5999999999999999E-2</v>
          </cell>
          <cell r="M16">
            <v>0.14055600920554601</v>
          </cell>
        </row>
        <row r="17">
          <cell r="A17">
            <v>3</v>
          </cell>
          <cell r="B17" t="str">
            <v>EPB</v>
          </cell>
          <cell r="C17" t="str">
            <v>El Paso Pipeline Partners LP</v>
          </cell>
          <cell r="D17">
            <v>35.78</v>
          </cell>
          <cell r="E17">
            <v>0.57999999999999996</v>
          </cell>
          <cell r="F17">
            <v>6.9000000000000006E-2</v>
          </cell>
          <cell r="G17">
            <v>6.5166666666666678E-2</v>
          </cell>
          <cell r="H17">
            <v>6.1333333333333344E-2</v>
          </cell>
          <cell r="I17">
            <v>5.7500000000000009E-2</v>
          </cell>
          <cell r="J17">
            <v>5.3666666666666675E-2</v>
          </cell>
          <cell r="K17">
            <v>4.9833333333333341E-2</v>
          </cell>
          <cell r="L17">
            <v>4.5999999999999999E-2</v>
          </cell>
          <cell r="M17">
            <v>0.12515075195676539</v>
          </cell>
        </row>
        <row r="18">
          <cell r="A18">
            <v>4</v>
          </cell>
          <cell r="B18" t="str">
            <v>SEP</v>
          </cell>
          <cell r="C18" t="str">
            <v>Spectra Energy Partners LP</v>
          </cell>
          <cell r="D18">
            <v>29.002666666666666</v>
          </cell>
          <cell r="E18">
            <v>0.49</v>
          </cell>
          <cell r="F18">
            <v>3.7857142857142909E-2</v>
          </cell>
          <cell r="G18">
            <v>3.9214285714285757E-2</v>
          </cell>
          <cell r="H18">
            <v>4.0571428571428605E-2</v>
          </cell>
          <cell r="I18">
            <v>4.1928571428571454E-2</v>
          </cell>
          <cell r="J18">
            <v>4.3285714285714302E-2</v>
          </cell>
          <cell r="K18">
            <v>4.4642857142857151E-2</v>
          </cell>
          <cell r="L18">
            <v>4.5999999999999999E-2</v>
          </cell>
          <cell r="M18">
            <v>0.11514360606835616</v>
          </cell>
        </row>
        <row r="19">
          <cell r="A19">
            <v>5</v>
          </cell>
          <cell r="B19" t="str">
            <v>WPZ</v>
          </cell>
          <cell r="C19" t="str">
            <v>Williams Partners LP</v>
          </cell>
          <cell r="D19">
            <v>51.075333333333333</v>
          </cell>
          <cell r="E19">
            <v>0.8075</v>
          </cell>
          <cell r="F19">
            <v>7.0000000000000007E-2</v>
          </cell>
          <cell r="G19">
            <v>6.6000000000000003E-2</v>
          </cell>
          <cell r="H19">
            <v>6.2E-2</v>
          </cell>
          <cell r="I19">
            <v>5.7999999999999996E-2</v>
          </cell>
          <cell r="J19">
            <v>5.3999999999999992E-2</v>
          </cell>
          <cell r="K19">
            <v>4.9999999999999989E-2</v>
          </cell>
          <cell r="L19">
            <v>4.5999999999999999E-2</v>
          </cell>
          <cell r="M19">
            <v>0.12362992161238462</v>
          </cell>
        </row>
        <row r="20">
          <cell r="A20">
            <v>6</v>
          </cell>
          <cell r="B20" t="str">
            <v>SE</v>
          </cell>
          <cell r="C20" t="str">
            <v>Spectra Energy Corp</v>
          </cell>
          <cell r="D20">
            <v>27.962666666666664</v>
          </cell>
          <cell r="E20">
            <v>0.30499999999999999</v>
          </cell>
          <cell r="F20">
            <v>0.05</v>
          </cell>
          <cell r="G20">
            <v>4.9333333333333333E-2</v>
          </cell>
          <cell r="H20">
            <v>4.8666666666666664E-2</v>
          </cell>
          <cell r="I20">
            <v>4.7999999999999994E-2</v>
          </cell>
          <cell r="J20">
            <v>4.7333333333333324E-2</v>
          </cell>
          <cell r="K20">
            <v>4.6666666666666655E-2</v>
          </cell>
          <cell r="L20">
            <v>4.5999999999999999E-2</v>
          </cell>
          <cell r="M20">
            <v>9.3550561356669837E-2</v>
          </cell>
        </row>
        <row r="21">
          <cell r="A21">
            <v>7</v>
          </cell>
          <cell r="B21" t="str">
            <v>EPD</v>
          </cell>
          <cell r="C21" t="str">
            <v>Enterprise Products Partners LP</v>
          </cell>
          <cell r="D21">
            <v>52.025999999999989</v>
          </cell>
          <cell r="E21">
            <v>0.65</v>
          </cell>
          <cell r="F21">
            <v>6.5189977274513991E-2</v>
          </cell>
          <cell r="G21">
            <v>6.1991647728761659E-2</v>
          </cell>
          <cell r="H21">
            <v>5.8793318183009327E-2</v>
          </cell>
          <cell r="I21">
            <v>5.5594988637256995E-2</v>
          </cell>
          <cell r="J21">
            <v>5.2396659091504663E-2</v>
          </cell>
          <cell r="K21">
            <v>4.9198329545752331E-2</v>
          </cell>
          <cell r="L21">
            <v>4.5999999999999999E-2</v>
          </cell>
          <cell r="M21">
            <v>0.10572114022070656</v>
          </cell>
        </row>
        <row r="22">
          <cell r="A22">
            <v>8</v>
          </cell>
          <cell r="B22" t="str">
            <v>EEP</v>
          </cell>
          <cell r="C22" t="str">
            <v>Enbridge Energy Partners LP</v>
          </cell>
          <cell r="D22">
            <v>29.173333333333336</v>
          </cell>
          <cell r="E22">
            <v>0.54349999999999998</v>
          </cell>
          <cell r="F22">
            <v>3.4000000000000002E-2</v>
          </cell>
          <cell r="G22">
            <v>3.6000000000000004E-2</v>
          </cell>
          <cell r="H22">
            <v>3.8000000000000006E-2</v>
          </cell>
          <cell r="I22">
            <v>4.0000000000000008E-2</v>
          </cell>
          <cell r="J22">
            <v>4.200000000000001E-2</v>
          </cell>
          <cell r="K22">
            <v>4.4000000000000011E-2</v>
          </cell>
          <cell r="L22">
            <v>4.5999999999999999E-2</v>
          </cell>
          <cell r="M22">
            <v>9.8312453093573504E-2</v>
          </cell>
        </row>
        <row r="23">
          <cell r="A23">
            <v>0</v>
          </cell>
          <cell r="C23">
            <v>0</v>
          </cell>
          <cell r="D23">
            <v>0</v>
          </cell>
          <cell r="E23">
            <v>0</v>
          </cell>
          <cell r="F23">
            <v>0</v>
          </cell>
          <cell r="G23">
            <v>0</v>
          </cell>
          <cell r="H23">
            <v>0</v>
          </cell>
          <cell r="I23">
            <v>0</v>
          </cell>
          <cell r="J23">
            <v>0</v>
          </cell>
          <cell r="K23">
            <v>0</v>
          </cell>
          <cell r="L23">
            <v>0</v>
          </cell>
          <cell r="M23">
            <v>0</v>
          </cell>
        </row>
        <row r="24">
          <cell r="A24">
            <v>0</v>
          </cell>
          <cell r="D24">
            <v>0</v>
          </cell>
          <cell r="E24">
            <v>0</v>
          </cell>
          <cell r="F24">
            <v>0</v>
          </cell>
          <cell r="G24">
            <v>0</v>
          </cell>
          <cell r="H24">
            <v>0</v>
          </cell>
          <cell r="I24">
            <v>0</v>
          </cell>
          <cell r="J24">
            <v>0</v>
          </cell>
          <cell r="K24">
            <v>0</v>
          </cell>
          <cell r="L24">
            <v>0</v>
          </cell>
          <cell r="M24">
            <v>0</v>
          </cell>
        </row>
        <row r="25">
          <cell r="A25">
            <v>0</v>
          </cell>
          <cell r="C25" t="str">
            <v>Sources and Notes:</v>
          </cell>
          <cell r="D25">
            <v>0</v>
          </cell>
          <cell r="E25">
            <v>0</v>
          </cell>
          <cell r="F25">
            <v>0</v>
          </cell>
          <cell r="G25">
            <v>0</v>
          </cell>
          <cell r="H25">
            <v>0</v>
          </cell>
          <cell r="I25">
            <v>0</v>
          </cell>
          <cell r="J25">
            <v>0</v>
          </cell>
          <cell r="K25">
            <v>0</v>
          </cell>
          <cell r="L25">
            <v>0</v>
          </cell>
          <cell r="M25">
            <v>0</v>
          </cell>
        </row>
        <row r="26">
          <cell r="A26">
            <v>0</v>
          </cell>
          <cell r="C26" t="str">
            <v>[1]: Workpaper #1 to Table No. 6.</v>
          </cell>
          <cell r="D26">
            <v>0</v>
          </cell>
          <cell r="E26">
            <v>0</v>
          </cell>
          <cell r="F26">
            <v>0</v>
          </cell>
          <cell r="G26">
            <v>0</v>
          </cell>
          <cell r="H26">
            <v>0</v>
          </cell>
          <cell r="I26">
            <v>0</v>
          </cell>
          <cell r="J26">
            <v>0</v>
          </cell>
          <cell r="K26">
            <v>0</v>
          </cell>
          <cell r="L26" t="str">
            <v>Average</v>
          </cell>
          <cell r="M26">
            <v>0.11481767858759859</v>
          </cell>
        </row>
        <row r="27">
          <cell r="A27">
            <v>0</v>
          </cell>
          <cell r="C27" t="str">
            <v>[2]: Workpaper #2 to Table No. 6.</v>
          </cell>
          <cell r="D27">
            <v>0</v>
          </cell>
          <cell r="E27">
            <v>0</v>
          </cell>
          <cell r="F27">
            <v>0</v>
          </cell>
          <cell r="G27">
            <v>0</v>
          </cell>
          <cell r="H27">
            <v>0</v>
          </cell>
          <cell r="I27">
            <v>0</v>
          </cell>
          <cell r="J27">
            <v>0</v>
          </cell>
          <cell r="K27">
            <v>0</v>
          </cell>
          <cell r="L27">
            <v>0</v>
          </cell>
          <cell r="M27">
            <v>0</v>
          </cell>
        </row>
        <row r="28">
          <cell r="A28">
            <v>0</v>
          </cell>
          <cell r="C28" t="str">
            <v>[3]: Table No. 5, [6].</v>
          </cell>
          <cell r="D28">
            <v>0</v>
          </cell>
          <cell r="E28">
            <v>0</v>
          </cell>
          <cell r="F28">
            <v>0</v>
          </cell>
          <cell r="G28">
            <v>0</v>
          </cell>
          <cell r="H28">
            <v>0</v>
          </cell>
          <cell r="I28">
            <v>0</v>
          </cell>
          <cell r="J28">
            <v>0</v>
          </cell>
          <cell r="K28">
            <v>0</v>
          </cell>
          <cell r="L28">
            <v>0</v>
          </cell>
          <cell r="M28">
            <v>0</v>
          </cell>
        </row>
        <row r="29">
          <cell r="A29">
            <v>0</v>
          </cell>
          <cell r="C29" t="str">
            <v>[4]: [3] - {([3] - [9])/ 6}.</v>
          </cell>
          <cell r="D29">
            <v>0</v>
          </cell>
          <cell r="E29">
            <v>0</v>
          </cell>
          <cell r="F29">
            <v>0</v>
          </cell>
          <cell r="G29">
            <v>0</v>
          </cell>
          <cell r="H29">
            <v>0</v>
          </cell>
          <cell r="I29">
            <v>0</v>
          </cell>
          <cell r="J29">
            <v>0</v>
          </cell>
          <cell r="K29">
            <v>0</v>
          </cell>
          <cell r="L29">
            <v>0</v>
          </cell>
          <cell r="M29">
            <v>0</v>
          </cell>
        </row>
        <row r="30">
          <cell r="A30">
            <v>0</v>
          </cell>
          <cell r="C30" t="str">
            <v>[5]: [4] - {([3] - [9])/ 6}.</v>
          </cell>
          <cell r="D30">
            <v>0</v>
          </cell>
          <cell r="E30">
            <v>0</v>
          </cell>
          <cell r="F30">
            <v>0</v>
          </cell>
          <cell r="G30">
            <v>0</v>
          </cell>
          <cell r="H30">
            <v>0</v>
          </cell>
          <cell r="I30">
            <v>0</v>
          </cell>
          <cell r="J30">
            <v>0</v>
          </cell>
          <cell r="K30">
            <v>0</v>
          </cell>
          <cell r="L30">
            <v>0</v>
          </cell>
          <cell r="M30">
            <v>0</v>
          </cell>
        </row>
        <row r="31">
          <cell r="A31">
            <v>0</v>
          </cell>
          <cell r="C31" t="str">
            <v>[6]: [5] - {([3] - [9])/ 6}.</v>
          </cell>
          <cell r="D31">
            <v>0</v>
          </cell>
          <cell r="E31">
            <v>0</v>
          </cell>
          <cell r="F31">
            <v>0</v>
          </cell>
          <cell r="G31">
            <v>0</v>
          </cell>
          <cell r="H31">
            <v>0</v>
          </cell>
          <cell r="I31">
            <v>0</v>
          </cell>
          <cell r="J31">
            <v>0</v>
          </cell>
          <cell r="K31">
            <v>0</v>
          </cell>
          <cell r="L31">
            <v>0</v>
          </cell>
          <cell r="M31">
            <v>0</v>
          </cell>
        </row>
        <row r="32">
          <cell r="A32">
            <v>0</v>
          </cell>
          <cell r="C32" t="str">
            <v>[7]: [6] - {([3] - [9])/ 6}.</v>
          </cell>
          <cell r="D32">
            <v>0</v>
          </cell>
          <cell r="E32">
            <v>0</v>
          </cell>
          <cell r="F32">
            <v>0</v>
          </cell>
          <cell r="G32">
            <v>0</v>
          </cell>
          <cell r="H32">
            <v>0</v>
          </cell>
          <cell r="I32">
            <v>0</v>
          </cell>
          <cell r="J32">
            <v>0</v>
          </cell>
          <cell r="K32">
            <v>0</v>
          </cell>
          <cell r="L32">
            <v>0</v>
          </cell>
          <cell r="M32">
            <v>0</v>
          </cell>
        </row>
        <row r="33">
          <cell r="B33">
            <v>0</v>
          </cell>
          <cell r="C33" t="str">
            <v>[8]: [7] - {([3] - [9])/ 6}.</v>
          </cell>
          <cell r="F33">
            <v>0</v>
          </cell>
          <cell r="G33">
            <v>0</v>
          </cell>
          <cell r="H33">
            <v>0</v>
          </cell>
          <cell r="I33">
            <v>0</v>
          </cell>
          <cell r="J33">
            <v>0</v>
          </cell>
          <cell r="K33">
            <v>0</v>
          </cell>
          <cell r="M33">
            <v>0</v>
          </cell>
        </row>
        <row r="34">
          <cell r="B34">
            <v>0</v>
          </cell>
          <cell r="C34" t="str">
            <v>[9]: Blue Chip Economic Indicators published  October 10, 2012. This number is assumed to be the perpetual growth rate.</v>
          </cell>
          <cell r="F34">
            <v>0</v>
          </cell>
          <cell r="G34">
            <v>0</v>
          </cell>
          <cell r="H34">
            <v>0</v>
          </cell>
          <cell r="I34">
            <v>0</v>
          </cell>
          <cell r="J34">
            <v>0</v>
          </cell>
          <cell r="K34">
            <v>0</v>
          </cell>
        </row>
        <row r="35">
          <cell r="B35">
            <v>0</v>
          </cell>
          <cell r="C35" t="str">
            <v>[10]: Workpaper #3 to Table No. 6.</v>
          </cell>
          <cell r="F35">
            <v>0</v>
          </cell>
          <cell r="G35">
            <v>0</v>
          </cell>
          <cell r="H35">
            <v>0</v>
          </cell>
          <cell r="I35">
            <v>0</v>
          </cell>
          <cell r="J35">
            <v>0</v>
          </cell>
          <cell r="K35">
            <v>0</v>
          </cell>
        </row>
        <row r="36">
          <cell r="G36">
            <v>0</v>
          </cell>
          <cell r="H36">
            <v>0</v>
          </cell>
          <cell r="I36">
            <v>0</v>
          </cell>
          <cell r="J36">
            <v>0</v>
          </cell>
          <cell r="K36">
            <v>0</v>
          </cell>
        </row>
        <row r="39">
          <cell r="M39">
            <v>0</v>
          </cell>
        </row>
        <row r="40">
          <cell r="M40">
            <v>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D1">
            <v>1</v>
          </cell>
          <cell r="E1">
            <v>2</v>
          </cell>
          <cell r="F1">
            <v>3</v>
          </cell>
          <cell r="G1">
            <v>4</v>
          </cell>
          <cell r="H1">
            <v>5</v>
          </cell>
          <cell r="I1">
            <v>6</v>
          </cell>
          <cell r="J1">
            <v>7</v>
          </cell>
        </row>
        <row r="2">
          <cell r="C2" t="str">
            <v>Workpaper #2 to Table No. 11</v>
          </cell>
          <cell r="D2">
            <v>0</v>
          </cell>
          <cell r="E2">
            <v>0</v>
          </cell>
          <cell r="F2">
            <v>0</v>
          </cell>
          <cell r="G2">
            <v>0</v>
          </cell>
          <cell r="H2">
            <v>0</v>
          </cell>
          <cell r="I2">
            <v>0</v>
          </cell>
          <cell r="J2">
            <v>0</v>
          </cell>
        </row>
        <row r="3">
          <cell r="C3">
            <v>0</v>
          </cell>
          <cell r="D3">
            <v>0</v>
          </cell>
          <cell r="E3">
            <v>0</v>
          </cell>
          <cell r="F3">
            <v>0</v>
          </cell>
          <cell r="G3">
            <v>0</v>
          </cell>
          <cell r="H3">
            <v>0</v>
          </cell>
          <cell r="I3">
            <v>0</v>
          </cell>
          <cell r="J3">
            <v>0</v>
          </cell>
        </row>
        <row r="4">
          <cell r="C4" t="str">
            <v>Gas Pipeline Sample</v>
          </cell>
          <cell r="D4">
            <v>0</v>
          </cell>
          <cell r="E4">
            <v>0</v>
          </cell>
          <cell r="F4">
            <v>0</v>
          </cell>
          <cell r="G4">
            <v>0</v>
          </cell>
          <cell r="H4">
            <v>0</v>
          </cell>
          <cell r="I4">
            <v>0</v>
          </cell>
          <cell r="J4">
            <v>0</v>
          </cell>
        </row>
        <row r="5">
          <cell r="C5">
            <v>0</v>
          </cell>
          <cell r="D5">
            <v>0</v>
          </cell>
          <cell r="E5">
            <v>0</v>
          </cell>
          <cell r="F5">
            <v>0</v>
          </cell>
          <cell r="G5">
            <v>0</v>
          </cell>
          <cell r="H5">
            <v>0</v>
          </cell>
          <cell r="I5">
            <v>0</v>
          </cell>
          <cell r="J5">
            <v>0</v>
          </cell>
        </row>
        <row r="6">
          <cell r="C6" t="str">
            <v>Panel B: Bond Yield Summary</v>
          </cell>
          <cell r="D6">
            <v>0</v>
          </cell>
          <cell r="E6">
            <v>0</v>
          </cell>
          <cell r="F6">
            <v>0</v>
          </cell>
          <cell r="G6">
            <v>0</v>
          </cell>
          <cell r="H6">
            <v>0</v>
          </cell>
          <cell r="I6">
            <v>0</v>
          </cell>
          <cell r="J6">
            <v>0</v>
          </cell>
        </row>
        <row r="7">
          <cell r="A7">
            <v>0</v>
          </cell>
          <cell r="B7">
            <v>0</v>
          </cell>
          <cell r="C7">
            <v>0</v>
          </cell>
          <cell r="D7">
            <v>0</v>
          </cell>
          <cell r="E7">
            <v>0</v>
          </cell>
          <cell r="F7">
            <v>0</v>
          </cell>
          <cell r="G7">
            <v>0</v>
          </cell>
          <cell r="H7">
            <v>0</v>
          </cell>
          <cell r="I7">
            <v>0</v>
          </cell>
          <cell r="J7">
            <v>0</v>
          </cell>
        </row>
        <row r="9">
          <cell r="C9" t="str">
            <v>Company</v>
          </cell>
          <cell r="D9" t="str">
            <v>3rd Quarter, 2012</v>
          </cell>
          <cell r="E9">
            <v>2011</v>
          </cell>
          <cell r="F9">
            <v>2010</v>
          </cell>
          <cell r="G9">
            <v>2009</v>
          </cell>
          <cell r="H9">
            <v>2008</v>
          </cell>
          <cell r="I9">
            <v>2007</v>
          </cell>
          <cell r="J9" t="str">
            <v>5-Year Average</v>
          </cell>
        </row>
        <row r="10">
          <cell r="D10" t="str">
            <v>[1]</v>
          </cell>
          <cell r="E10" t="str">
            <v>[2]</v>
          </cell>
          <cell r="F10" t="str">
            <v>[3]</v>
          </cell>
          <cell r="G10" t="str">
            <v>[4]</v>
          </cell>
          <cell r="H10" t="str">
            <v>[5]</v>
          </cell>
          <cell r="I10" t="str">
            <v>[6]</v>
          </cell>
          <cell r="J10" t="str">
            <v>[7]</v>
          </cell>
        </row>
        <row r="11">
          <cell r="A11">
            <v>0</v>
          </cell>
          <cell r="B11">
            <v>0</v>
          </cell>
          <cell r="C11">
            <v>0</v>
          </cell>
          <cell r="D11">
            <v>0</v>
          </cell>
          <cell r="E11">
            <v>0</v>
          </cell>
          <cell r="F11">
            <v>0</v>
          </cell>
          <cell r="G11">
            <v>0</v>
          </cell>
          <cell r="H11">
            <v>0</v>
          </cell>
          <cell r="I11">
            <v>0</v>
          </cell>
          <cell r="J11">
            <v>0</v>
          </cell>
        </row>
        <row r="12">
          <cell r="D12">
            <v>0</v>
          </cell>
        </row>
        <row r="13">
          <cell r="B13" t="str">
            <v>Ticker</v>
          </cell>
          <cell r="C13" t="str">
            <v>Company</v>
          </cell>
          <cell r="D13">
            <v>41182</v>
          </cell>
          <cell r="E13">
            <v>40908</v>
          </cell>
          <cell r="F13">
            <v>40543</v>
          </cell>
          <cell r="G13">
            <v>40178</v>
          </cell>
          <cell r="H13">
            <v>39813</v>
          </cell>
          <cell r="I13">
            <v>39447</v>
          </cell>
          <cell r="J13" t="str">
            <v>average</v>
          </cell>
        </row>
        <row r="14">
          <cell r="A14" t="str">
            <v>Start</v>
          </cell>
          <cell r="D14">
            <v>0.75</v>
          </cell>
          <cell r="E14">
            <v>1</v>
          </cell>
          <cell r="F14">
            <v>1</v>
          </cell>
          <cell r="G14">
            <v>1</v>
          </cell>
          <cell r="H14">
            <v>1</v>
          </cell>
          <cell r="I14">
            <v>0.25</v>
          </cell>
        </row>
        <row r="15">
          <cell r="A15">
            <v>1</v>
          </cell>
          <cell r="B15" t="str">
            <v>TCP</v>
          </cell>
          <cell r="C15" t="str">
            <v>TC Pipelines LP</v>
          </cell>
          <cell r="D15">
            <v>4.4033333333333334E-2</v>
          </cell>
          <cell r="E15">
            <v>4.4033333333333334E-2</v>
          </cell>
          <cell r="F15">
            <v>4.4033333333333334E-2</v>
          </cell>
          <cell r="G15">
            <v>4.4033333333333334E-2</v>
          </cell>
          <cell r="H15">
            <v>4.4033333333333334E-2</v>
          </cell>
          <cell r="I15">
            <v>4.4033333333333334E-2</v>
          </cell>
          <cell r="J15">
            <v>4.4033333333333341E-2</v>
          </cell>
        </row>
        <row r="16">
          <cell r="A16">
            <v>2</v>
          </cell>
          <cell r="B16" t="str">
            <v>BWP</v>
          </cell>
          <cell r="C16" t="str">
            <v>Boardwalk Pipeline Partners LP</v>
          </cell>
          <cell r="D16">
            <v>4.4033333333333334E-2</v>
          </cell>
          <cell r="E16">
            <v>4.4033333333333334E-2</v>
          </cell>
          <cell r="F16">
            <v>4.4033333333333334E-2</v>
          </cell>
          <cell r="G16">
            <v>4.4033333333333334E-2</v>
          </cell>
          <cell r="H16">
            <v>4.4033333333333334E-2</v>
          </cell>
          <cell r="I16">
            <v>4.4033333333333334E-2</v>
          </cell>
          <cell r="J16">
            <v>4.4033333333333341E-2</v>
          </cell>
        </row>
        <row r="17">
          <cell r="A17">
            <v>3</v>
          </cell>
          <cell r="B17" t="str">
            <v>EPB</v>
          </cell>
          <cell r="C17" t="str">
            <v>El Paso Pipeline Partners LP</v>
          </cell>
          <cell r="D17">
            <v>4.4033333333333334E-2</v>
          </cell>
          <cell r="E17">
            <v>4.4033333333333334E-2</v>
          </cell>
          <cell r="F17">
            <v>4.4033333333333334E-2</v>
          </cell>
          <cell r="G17">
            <v>4.4033333333333334E-2</v>
          </cell>
          <cell r="H17">
            <v>4.4033333333333334E-2</v>
          </cell>
          <cell r="I17">
            <v>4.4033333333333334E-2</v>
          </cell>
          <cell r="J17">
            <v>4.4033333333333341E-2</v>
          </cell>
        </row>
        <row r="18">
          <cell r="A18">
            <v>4</v>
          </cell>
          <cell r="B18" t="str">
            <v>SEP</v>
          </cell>
          <cell r="C18" t="str">
            <v>Spectra Energy Partners LP</v>
          </cell>
          <cell r="D18">
            <v>4.4033333333333334E-2</v>
          </cell>
          <cell r="E18">
            <v>4.4033333333333334E-2</v>
          </cell>
          <cell r="F18">
            <v>4.4033333333333334E-2</v>
          </cell>
          <cell r="G18">
            <v>4.4033333333333334E-2</v>
          </cell>
          <cell r="H18">
            <v>4.4033333333333334E-2</v>
          </cell>
          <cell r="I18">
            <v>4.4033333333333334E-2</v>
          </cell>
          <cell r="J18">
            <v>4.4033333333333341E-2</v>
          </cell>
        </row>
        <row r="19">
          <cell r="A19">
            <v>5</v>
          </cell>
          <cell r="B19" t="str">
            <v>WPZ</v>
          </cell>
          <cell r="C19" t="str">
            <v>Williams Partners LP</v>
          </cell>
          <cell r="D19">
            <v>4.4033333333333334E-2</v>
          </cell>
          <cell r="E19">
            <v>4.4033333333333334E-2</v>
          </cell>
          <cell r="F19">
            <v>4.4033333333333334E-2</v>
          </cell>
          <cell r="G19">
            <v>4.4033333333333334E-2</v>
          </cell>
          <cell r="H19">
            <v>4.4033333333333334E-2</v>
          </cell>
          <cell r="I19">
            <v>4.4033333333333334E-2</v>
          </cell>
          <cell r="J19">
            <v>4.4033333333333341E-2</v>
          </cell>
        </row>
        <row r="20">
          <cell r="A20">
            <v>6</v>
          </cell>
          <cell r="B20" t="str">
            <v>SE</v>
          </cell>
          <cell r="C20" t="str">
            <v>Spectra Energy Corp</v>
          </cell>
          <cell r="D20">
            <v>4.4033333333333334E-2</v>
          </cell>
          <cell r="E20">
            <v>4.4033333333333334E-2</v>
          </cell>
          <cell r="F20">
            <v>4.4033333333333334E-2</v>
          </cell>
          <cell r="G20">
            <v>4.4033333333333334E-2</v>
          </cell>
          <cell r="H20">
            <v>4.4033333333333334E-2</v>
          </cell>
          <cell r="I20">
            <v>4.4033333333333334E-2</v>
          </cell>
          <cell r="J20">
            <v>4.4033333333333341E-2</v>
          </cell>
        </row>
        <row r="21">
          <cell r="A21">
            <v>7</v>
          </cell>
          <cell r="B21" t="str">
            <v>EPD</v>
          </cell>
          <cell r="C21" t="str">
            <v>Enterprise Products Partners LP</v>
          </cell>
          <cell r="D21">
            <v>4.4033333333333334E-2</v>
          </cell>
          <cell r="E21">
            <v>4.4033333333333334E-2</v>
          </cell>
          <cell r="F21">
            <v>4.4033333333333334E-2</v>
          </cell>
          <cell r="G21">
            <v>4.4033333333333334E-2</v>
          </cell>
          <cell r="H21">
            <v>4.4033333333333334E-2</v>
          </cell>
          <cell r="I21">
            <v>4.4033333333333334E-2</v>
          </cell>
          <cell r="J21">
            <v>4.4033333333333341E-2</v>
          </cell>
        </row>
        <row r="22">
          <cell r="A22">
            <v>8</v>
          </cell>
          <cell r="B22" t="str">
            <v>EEP</v>
          </cell>
          <cell r="C22" t="str">
            <v>Enbridge Energy Partners LP</v>
          </cell>
          <cell r="D22">
            <v>4.4033333333333334E-2</v>
          </cell>
          <cell r="E22">
            <v>4.4033333333333334E-2</v>
          </cell>
          <cell r="F22">
            <v>4.4033333333333334E-2</v>
          </cell>
          <cell r="G22">
            <v>4.4033333333333334E-2</v>
          </cell>
          <cell r="H22">
            <v>4.4033333333333334E-2</v>
          </cell>
          <cell r="I22">
            <v>4.4033333333333334E-2</v>
          </cell>
          <cell r="J22">
            <v>4.4033333333333341E-2</v>
          </cell>
        </row>
        <row r="23">
          <cell r="C23">
            <v>0</v>
          </cell>
          <cell r="D23">
            <v>0</v>
          </cell>
          <cell r="E23">
            <v>0</v>
          </cell>
          <cell r="F23">
            <v>0</v>
          </cell>
          <cell r="G23">
            <v>0</v>
          </cell>
          <cell r="H23">
            <v>0</v>
          </cell>
          <cell r="I23">
            <v>0</v>
          </cell>
          <cell r="J23">
            <v>0</v>
          </cell>
        </row>
        <row r="25">
          <cell r="C25" t="str">
            <v>Sources and Notes:</v>
          </cell>
        </row>
        <row r="26">
          <cell r="C26" t="str">
            <v>[1] - [6]: Ratings based on Workpaper #1 to Table No. 11, Panel B.  Bond yields from Bloomberg as of November 16, 2012.</v>
          </cell>
        </row>
        <row r="27">
          <cell r="C27" t="str">
            <v>[7]: {([1] x 0.75) + [2] + [3] + [4] + [5] + ([6] x 0.25)} / 5.</v>
          </cell>
        </row>
        <row r="28">
          <cell r="E28">
            <v>1</v>
          </cell>
          <cell r="F28">
            <v>2</v>
          </cell>
          <cell r="G28">
            <v>3</v>
          </cell>
          <cell r="H28">
            <v>4</v>
          </cell>
          <cell r="I28">
            <v>5</v>
          </cell>
        </row>
        <row r="84">
          <cell r="B84">
            <v>0</v>
          </cell>
        </row>
      </sheetData>
      <sheetData sheetId="58"/>
      <sheetData sheetId="59"/>
      <sheetData sheetId="6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ces and Betas"/>
      <sheetName val="Long Term Growth Rate"/>
      <sheetName val="Historical GDP"/>
      <sheetName val="H.15 Data"/>
      <sheetName val="Long Term Payout Ratio"/>
      <sheetName val="Past Rate Cases"/>
      <sheetName val="Treasuries"/>
      <sheetName val="Alt RP Rate Case Data"/>
      <sheetName val="Credit Ratings History"/>
      <sheetName val="BFV Credit Data"/>
      <sheetName val="Phipps LTG Calc"/>
      <sheetName val="Div Yld Comparison"/>
      <sheetName val="20.7 Summary"/>
      <sheetName val="20.7 Quarterly Avg"/>
      <sheetName val="20.7 Quarterly Spot"/>
      <sheetName val="20.7 Prices"/>
      <sheetName val="Charts 1 and 2"/>
      <sheetName val="Chart 3"/>
      <sheetName val="Charts 5 and 9"/>
      <sheetName val="Charts 6 and 7"/>
      <sheetName val="Chart 8"/>
      <sheetName val="Chart 10"/>
      <sheetName val="Chart 11"/>
      <sheetName val="Charts 12 and 13"/>
      <sheetName val="Chart 14"/>
      <sheetName val="SNL Growth Rates - GAS"/>
      <sheetName val="SNL Growth Rates - ATO"/>
      <sheetName val="SNL Growth Rates - LG"/>
      <sheetName val="SNL Growth Rates - NJR"/>
      <sheetName val="SNL Growth Rates - NWN"/>
      <sheetName val="SNL Growth Rates - PNY"/>
      <sheetName val="SNL Growth Rates - SJI"/>
      <sheetName val="SNL Growth Rates - SWX"/>
      <sheetName val="SNL Growth Rates - WG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GAS</v>
          </cell>
          <cell r="C4" t="str">
            <v>ATO</v>
          </cell>
          <cell r="D4" t="str">
            <v>LG</v>
          </cell>
          <cell r="E4" t="str">
            <v>NJR</v>
          </cell>
          <cell r="F4" t="str">
            <v>NWN</v>
          </cell>
          <cell r="G4" t="str">
            <v>PNY</v>
          </cell>
          <cell r="H4" t="str">
            <v>SJI</v>
          </cell>
          <cell r="I4" t="str">
            <v>SWX</v>
          </cell>
          <cell r="J4" t="str">
            <v>WGL</v>
          </cell>
          <cell r="M4" t="str">
            <v>GAS</v>
          </cell>
          <cell r="N4" t="str">
            <v>ATO</v>
          </cell>
          <cell r="O4" t="str">
            <v>LG</v>
          </cell>
          <cell r="P4" t="str">
            <v>NJR</v>
          </cell>
          <cell r="Q4" t="str">
            <v>NWN</v>
          </cell>
          <cell r="R4" t="str">
            <v>PNY</v>
          </cell>
          <cell r="S4" t="str">
            <v>SJI</v>
          </cell>
          <cell r="T4" t="str">
            <v>SWX</v>
          </cell>
          <cell r="U4" t="str">
            <v>WGL</v>
          </cell>
        </row>
        <row r="5">
          <cell r="A5">
            <v>41446</v>
          </cell>
          <cell r="B5">
            <v>42.19</v>
          </cell>
          <cell r="C5">
            <v>38.69</v>
          </cell>
          <cell r="D5">
            <v>44.65</v>
          </cell>
          <cell r="E5">
            <v>41.97</v>
          </cell>
          <cell r="F5">
            <v>41.8</v>
          </cell>
          <cell r="G5">
            <v>33.03</v>
          </cell>
          <cell r="H5">
            <v>56.27</v>
          </cell>
          <cell r="I5">
            <v>46.14</v>
          </cell>
          <cell r="J5">
            <v>41.98</v>
          </cell>
          <cell r="L5">
            <v>41446</v>
          </cell>
          <cell r="M5">
            <v>42.898666666666664</v>
          </cell>
          <cell r="N5">
            <v>42.234666666666676</v>
          </cell>
          <cell r="O5">
            <v>46.275666666666673</v>
          </cell>
          <cell r="P5">
            <v>45.205333333333321</v>
          </cell>
          <cell r="Q5">
            <v>43.586333333333329</v>
          </cell>
          <cell r="R5">
            <v>34.108333333333334</v>
          </cell>
          <cell r="S5">
            <v>58.73566666666666</v>
          </cell>
          <cell r="T5">
            <v>48.52</v>
          </cell>
          <cell r="U5">
            <v>43.765000000000008</v>
          </cell>
        </row>
        <row r="6">
          <cell r="A6">
            <v>41445</v>
          </cell>
          <cell r="B6">
            <v>41.86</v>
          </cell>
          <cell r="C6">
            <v>38.880000000000003</v>
          </cell>
          <cell r="D6">
            <v>44.52</v>
          </cell>
          <cell r="E6">
            <v>41.92</v>
          </cell>
          <cell r="F6">
            <v>41.98</v>
          </cell>
          <cell r="G6">
            <v>32.85</v>
          </cell>
          <cell r="H6">
            <v>55.92</v>
          </cell>
          <cell r="I6">
            <v>45.76</v>
          </cell>
          <cell r="J6">
            <v>41.78</v>
          </cell>
          <cell r="L6">
            <v>41445</v>
          </cell>
          <cell r="M6">
            <v>42.932333333333325</v>
          </cell>
          <cell r="N6">
            <v>42.414333333333339</v>
          </cell>
          <cell r="O6">
            <v>46.297333333333334</v>
          </cell>
          <cell r="P6">
            <v>45.322666666666656</v>
          </cell>
          <cell r="Q6">
            <v>43.687333333333328</v>
          </cell>
          <cell r="R6">
            <v>34.13333333333334</v>
          </cell>
          <cell r="S6">
            <v>58.820999999999991</v>
          </cell>
          <cell r="T6">
            <v>48.662666666666674</v>
          </cell>
          <cell r="U6">
            <v>43.858333333333341</v>
          </cell>
        </row>
        <row r="7">
          <cell r="A7">
            <v>41444</v>
          </cell>
          <cell r="B7">
            <v>42.77</v>
          </cell>
          <cell r="C7">
            <v>40.07</v>
          </cell>
          <cell r="D7">
            <v>46.11</v>
          </cell>
          <cell r="E7">
            <v>43.37</v>
          </cell>
          <cell r="F7">
            <v>42.55</v>
          </cell>
          <cell r="G7">
            <v>34.56</v>
          </cell>
          <cell r="H7">
            <v>57.82</v>
          </cell>
          <cell r="I7">
            <v>47.36</v>
          </cell>
          <cell r="J7">
            <v>42.86</v>
          </cell>
          <cell r="L7">
            <v>41444</v>
          </cell>
          <cell r="M7">
            <v>42.99966666666667</v>
          </cell>
          <cell r="N7">
            <v>42.605666666666664</v>
          </cell>
          <cell r="O7">
            <v>46.360000000000007</v>
          </cell>
          <cell r="P7">
            <v>45.471333333333334</v>
          </cell>
          <cell r="Q7">
            <v>43.80533333333333</v>
          </cell>
          <cell r="R7">
            <v>34.184333333333342</v>
          </cell>
          <cell r="S7">
            <v>58.959333333333326</v>
          </cell>
          <cell r="T7">
            <v>48.843000000000004</v>
          </cell>
          <cell r="U7">
            <v>43.982000000000006</v>
          </cell>
        </row>
        <row r="8">
          <cell r="A8">
            <v>41443</v>
          </cell>
          <cell r="B8">
            <v>43.7</v>
          </cell>
          <cell r="C8">
            <v>41.1</v>
          </cell>
          <cell r="D8">
            <v>46.89</v>
          </cell>
          <cell r="E8">
            <v>44.4</v>
          </cell>
          <cell r="F8">
            <v>43.29</v>
          </cell>
          <cell r="G8">
            <v>34.799999999999997</v>
          </cell>
          <cell r="H8">
            <v>58.62</v>
          </cell>
          <cell r="I8">
            <v>48.72</v>
          </cell>
          <cell r="J8">
            <v>43.86</v>
          </cell>
          <cell r="L8">
            <v>41443</v>
          </cell>
          <cell r="M8">
            <v>43.042999999999992</v>
          </cell>
          <cell r="N8">
            <v>42.761999999999986</v>
          </cell>
          <cell r="O8">
            <v>46.368333333333339</v>
          </cell>
          <cell r="P8">
            <v>45.577333333333335</v>
          </cell>
          <cell r="Q8">
            <v>43.888666666666659</v>
          </cell>
          <cell r="R8">
            <v>34.177999999999997</v>
          </cell>
          <cell r="S8">
            <v>59.034333333333315</v>
          </cell>
          <cell r="T8">
            <v>48.963000000000001</v>
          </cell>
          <cell r="U8">
            <v>44.065000000000005</v>
          </cell>
        </row>
        <row r="9">
          <cell r="A9">
            <v>41442</v>
          </cell>
          <cell r="B9">
            <v>43.33</v>
          </cell>
          <cell r="C9">
            <v>40.74</v>
          </cell>
          <cell r="D9">
            <v>46.37</v>
          </cell>
          <cell r="E9">
            <v>44.12</v>
          </cell>
          <cell r="F9">
            <v>42.81</v>
          </cell>
          <cell r="G9">
            <v>34.36</v>
          </cell>
          <cell r="H9">
            <v>57.68</v>
          </cell>
          <cell r="I9">
            <v>47.97</v>
          </cell>
          <cell r="J9">
            <v>43.27</v>
          </cell>
          <cell r="L9">
            <v>41442</v>
          </cell>
          <cell r="M9">
            <v>43.044666666666664</v>
          </cell>
          <cell r="N9">
            <v>42.871999999999993</v>
          </cell>
          <cell r="O9">
            <v>46.337333333333341</v>
          </cell>
          <cell r="P9">
            <v>45.628666666666668</v>
          </cell>
          <cell r="Q9">
            <v>43.928999999999995</v>
          </cell>
          <cell r="R9">
            <v>34.150999999999996</v>
          </cell>
          <cell r="S9">
            <v>59.060666666666656</v>
          </cell>
          <cell r="T9">
            <v>49.02033333333334</v>
          </cell>
          <cell r="U9">
            <v>44.080666666666666</v>
          </cell>
        </row>
        <row r="10">
          <cell r="A10">
            <v>41439</v>
          </cell>
          <cell r="B10">
            <v>42.98</v>
          </cell>
          <cell r="C10">
            <v>40.58</v>
          </cell>
          <cell r="D10">
            <v>46.41</v>
          </cell>
          <cell r="E10">
            <v>44.47</v>
          </cell>
          <cell r="F10">
            <v>42.83</v>
          </cell>
          <cell r="G10">
            <v>34.15</v>
          </cell>
          <cell r="H10">
            <v>57.85</v>
          </cell>
          <cell r="I10">
            <v>48</v>
          </cell>
          <cell r="J10">
            <v>43.41</v>
          </cell>
          <cell r="L10">
            <v>41439</v>
          </cell>
          <cell r="M10">
            <v>43.063333333333325</v>
          </cell>
          <cell r="N10">
            <v>42.996999999999993</v>
          </cell>
          <cell r="O10">
            <v>46.337666666666678</v>
          </cell>
          <cell r="P10">
            <v>45.687333333333342</v>
          </cell>
          <cell r="Q10">
            <v>43.965666666666678</v>
          </cell>
          <cell r="R10">
            <v>34.145666666666671</v>
          </cell>
          <cell r="S10">
            <v>59.130999999999993</v>
          </cell>
          <cell r="T10">
            <v>49.100000000000009</v>
          </cell>
          <cell r="U10">
            <v>44.124999999999993</v>
          </cell>
        </row>
        <row r="11">
          <cell r="A11">
            <v>41438</v>
          </cell>
          <cell r="B11">
            <v>42.78</v>
          </cell>
          <cell r="C11">
            <v>40.869999999999997</v>
          </cell>
          <cell r="D11">
            <v>46.06</v>
          </cell>
          <cell r="E11">
            <v>44.88</v>
          </cell>
          <cell r="F11">
            <v>43.04</v>
          </cell>
          <cell r="G11">
            <v>34</v>
          </cell>
          <cell r="H11">
            <v>58.35</v>
          </cell>
          <cell r="I11">
            <v>48.15</v>
          </cell>
          <cell r="J11">
            <v>43.74</v>
          </cell>
          <cell r="L11">
            <v>41438</v>
          </cell>
          <cell r="M11">
            <v>43.088000000000001</v>
          </cell>
          <cell r="N11">
            <v>43.120666666666665</v>
          </cell>
          <cell r="O11">
            <v>46.323</v>
          </cell>
          <cell r="P11">
            <v>45.735666666666681</v>
          </cell>
          <cell r="Q11">
            <v>43.973333333333336</v>
          </cell>
          <cell r="R11">
            <v>34.131333333333338</v>
          </cell>
          <cell r="S11">
            <v>59.204333333333324</v>
          </cell>
          <cell r="T11">
            <v>49.171666666666674</v>
          </cell>
          <cell r="U11">
            <v>44.172999999999988</v>
          </cell>
        </row>
        <row r="12">
          <cell r="A12">
            <v>41437</v>
          </cell>
          <cell r="B12">
            <v>41.98</v>
          </cell>
          <cell r="C12">
            <v>40.74</v>
          </cell>
          <cell r="D12">
            <v>45.66</v>
          </cell>
          <cell r="E12">
            <v>43.97</v>
          </cell>
          <cell r="F12">
            <v>42.73</v>
          </cell>
          <cell r="G12">
            <v>33.619999999999997</v>
          </cell>
          <cell r="H12">
            <v>57.3</v>
          </cell>
          <cell r="I12">
            <v>47.39</v>
          </cell>
          <cell r="J12">
            <v>42.74</v>
          </cell>
          <cell r="L12">
            <v>41437</v>
          </cell>
          <cell r="M12">
            <v>43.129333333333335</v>
          </cell>
          <cell r="N12">
            <v>43.212333333333326</v>
          </cell>
          <cell r="O12">
            <v>46.323666666666661</v>
          </cell>
          <cell r="P12">
            <v>45.755666666666684</v>
          </cell>
          <cell r="Q12">
            <v>43.984666666666676</v>
          </cell>
          <cell r="R12">
            <v>34.119666666666667</v>
          </cell>
          <cell r="S12">
            <v>59.252999999999993</v>
          </cell>
          <cell r="T12">
            <v>49.223333333333343</v>
          </cell>
          <cell r="U12">
            <v>44.199333333333321</v>
          </cell>
        </row>
        <row r="13">
          <cell r="A13">
            <v>41436</v>
          </cell>
          <cell r="B13">
            <v>42.11</v>
          </cell>
          <cell r="C13">
            <v>40.97</v>
          </cell>
          <cell r="D13">
            <v>45.8</v>
          </cell>
          <cell r="E13">
            <v>44.92</v>
          </cell>
          <cell r="F13">
            <v>42.89</v>
          </cell>
          <cell r="G13">
            <v>33.97</v>
          </cell>
          <cell r="H13">
            <v>57.8</v>
          </cell>
          <cell r="I13">
            <v>47.85</v>
          </cell>
          <cell r="J13">
            <v>42.97</v>
          </cell>
          <cell r="L13">
            <v>41436</v>
          </cell>
          <cell r="M13">
            <v>43.19166666666667</v>
          </cell>
          <cell r="N13">
            <v>43.333333333333329</v>
          </cell>
          <cell r="O13">
            <v>46.358666666666664</v>
          </cell>
          <cell r="P13">
            <v>45.863333333333344</v>
          </cell>
          <cell r="Q13">
            <v>44.042666666666683</v>
          </cell>
          <cell r="R13">
            <v>34.146666666666661</v>
          </cell>
          <cell r="S13">
            <v>59.399666666666654</v>
          </cell>
          <cell r="T13">
            <v>49.332666666666682</v>
          </cell>
          <cell r="U13">
            <v>44.315333333333328</v>
          </cell>
        </row>
        <row r="14">
          <cell r="A14">
            <v>41435</v>
          </cell>
          <cell r="B14">
            <v>42.52</v>
          </cell>
          <cell r="C14">
            <v>41.33</v>
          </cell>
          <cell r="D14">
            <v>46.05</v>
          </cell>
          <cell r="E14">
            <v>45.46</v>
          </cell>
          <cell r="F14">
            <v>43.31</v>
          </cell>
          <cell r="G14">
            <v>34.29</v>
          </cell>
          <cell r="H14">
            <v>58.61</v>
          </cell>
          <cell r="I14">
            <v>48.31</v>
          </cell>
          <cell r="J14">
            <v>43.4</v>
          </cell>
          <cell r="L14">
            <v>41435</v>
          </cell>
          <cell r="M14">
            <v>43.256</v>
          </cell>
          <cell r="N14">
            <v>43.438333333333325</v>
          </cell>
          <cell r="O14">
            <v>46.368333333333332</v>
          </cell>
          <cell r="P14">
            <v>45.920666666666676</v>
          </cell>
          <cell r="Q14">
            <v>44.096333333333341</v>
          </cell>
          <cell r="R14">
            <v>34.154666666666664</v>
          </cell>
          <cell r="S14">
            <v>59.499666666666648</v>
          </cell>
          <cell r="T14">
            <v>49.412000000000013</v>
          </cell>
          <cell r="U14">
            <v>44.397999999999996</v>
          </cell>
        </row>
        <row r="15">
          <cell r="A15">
            <v>41432</v>
          </cell>
          <cell r="B15">
            <v>42.53</v>
          </cell>
          <cell r="C15">
            <v>41.42</v>
          </cell>
          <cell r="D15">
            <v>46.45</v>
          </cell>
          <cell r="E15">
            <v>45.4</v>
          </cell>
          <cell r="F15">
            <v>43.13</v>
          </cell>
          <cell r="G15">
            <v>33.9</v>
          </cell>
          <cell r="H15">
            <v>58.44</v>
          </cell>
          <cell r="I15">
            <v>48.24</v>
          </cell>
          <cell r="J15">
            <v>43.24</v>
          </cell>
          <cell r="L15">
            <v>41432</v>
          </cell>
          <cell r="M15">
            <v>43.279999999999994</v>
          </cell>
          <cell r="N15">
            <v>43.517333333333326</v>
          </cell>
          <cell r="O15">
            <v>46.365333333333332</v>
          </cell>
          <cell r="P15">
            <v>45.947666666666684</v>
          </cell>
          <cell r="Q15">
            <v>44.130333333333347</v>
          </cell>
          <cell r="R15">
            <v>34.139333333333326</v>
          </cell>
          <cell r="S15">
            <v>59.546333333333322</v>
          </cell>
          <cell r="T15">
            <v>49.458000000000013</v>
          </cell>
          <cell r="U15">
            <v>44.453999999999994</v>
          </cell>
        </row>
        <row r="16">
          <cell r="A16">
            <v>41431</v>
          </cell>
          <cell r="B16">
            <v>42.44</v>
          </cell>
          <cell r="C16">
            <v>41.46</v>
          </cell>
          <cell r="D16">
            <v>47.5</v>
          </cell>
          <cell r="E16">
            <v>45.41</v>
          </cell>
          <cell r="F16">
            <v>42.99</v>
          </cell>
          <cell r="G16">
            <v>33.94</v>
          </cell>
          <cell r="H16">
            <v>58.47</v>
          </cell>
          <cell r="I16">
            <v>48.1</v>
          </cell>
          <cell r="J16">
            <v>43.3</v>
          </cell>
          <cell r="L16">
            <v>41431</v>
          </cell>
          <cell r="M16">
            <v>43.311999999999998</v>
          </cell>
          <cell r="N16">
            <v>43.606999999999978</v>
          </cell>
          <cell r="O16">
            <v>46.359666666666662</v>
          </cell>
          <cell r="P16">
            <v>45.991666666666674</v>
          </cell>
          <cell r="Q16">
            <v>44.195999999999998</v>
          </cell>
          <cell r="R16">
            <v>34.156666666666666</v>
          </cell>
          <cell r="S16">
            <v>59.623333333333328</v>
          </cell>
          <cell r="T16">
            <v>49.52</v>
          </cell>
          <cell r="U16">
            <v>44.522333333333329</v>
          </cell>
        </row>
        <row r="17">
          <cell r="A17">
            <v>41430</v>
          </cell>
          <cell r="B17">
            <v>41.95</v>
          </cell>
          <cell r="C17">
            <v>41.14</v>
          </cell>
          <cell r="D17">
            <v>47.08</v>
          </cell>
          <cell r="E17">
            <v>45.13</v>
          </cell>
          <cell r="F17">
            <v>42.86</v>
          </cell>
          <cell r="G17">
            <v>33.53</v>
          </cell>
          <cell r="H17">
            <v>57.8</v>
          </cell>
          <cell r="I17">
            <v>47.57</v>
          </cell>
          <cell r="J17">
            <v>43.09</v>
          </cell>
          <cell r="L17">
            <v>41430</v>
          </cell>
          <cell r="M17">
            <v>43.350333333333332</v>
          </cell>
          <cell r="N17">
            <v>43.697333333333319</v>
          </cell>
          <cell r="O17">
            <v>46.316333333333333</v>
          </cell>
          <cell r="P17">
            <v>46.039000000000009</v>
          </cell>
          <cell r="Q17">
            <v>44.268000000000001</v>
          </cell>
          <cell r="R17">
            <v>34.178999999999995</v>
          </cell>
          <cell r="S17">
            <v>59.686333333333323</v>
          </cell>
          <cell r="T17">
            <v>49.594333333333338</v>
          </cell>
          <cell r="U17">
            <v>44.593333333333334</v>
          </cell>
        </row>
        <row r="18">
          <cell r="A18">
            <v>41429</v>
          </cell>
          <cell r="B18">
            <v>42.11</v>
          </cell>
          <cell r="C18">
            <v>41.69</v>
          </cell>
          <cell r="D18">
            <v>47.49</v>
          </cell>
          <cell r="E18">
            <v>45.3</v>
          </cell>
          <cell r="F18">
            <v>43.18</v>
          </cell>
          <cell r="G18">
            <v>33.64</v>
          </cell>
          <cell r="H18">
            <v>58.52</v>
          </cell>
          <cell r="I18">
            <v>47.9</v>
          </cell>
          <cell r="J18">
            <v>43.41</v>
          </cell>
          <cell r="L18">
            <v>41429</v>
          </cell>
          <cell r="M18">
            <v>43.400333333333336</v>
          </cell>
          <cell r="N18">
            <v>43.800333333333327</v>
          </cell>
          <cell r="O18">
            <v>46.271666666666661</v>
          </cell>
          <cell r="P18">
            <v>46.092333333333336</v>
          </cell>
          <cell r="Q18">
            <v>44.347333333333339</v>
          </cell>
          <cell r="R18">
            <v>34.221333333333334</v>
          </cell>
          <cell r="S18">
            <v>59.763999999999996</v>
          </cell>
          <cell r="T18">
            <v>49.677666666666667</v>
          </cell>
          <cell r="U18">
            <v>44.663333333333334</v>
          </cell>
        </row>
        <row r="19">
          <cell r="A19">
            <v>41428</v>
          </cell>
          <cell r="B19">
            <v>42.4</v>
          </cell>
          <cell r="C19">
            <v>42.35</v>
          </cell>
          <cell r="D19">
            <v>48.16</v>
          </cell>
          <cell r="E19">
            <v>46.04</v>
          </cell>
          <cell r="F19">
            <v>43.12</v>
          </cell>
          <cell r="G19">
            <v>33.840000000000003</v>
          </cell>
          <cell r="H19">
            <v>59.41</v>
          </cell>
          <cell r="I19">
            <v>48.34</v>
          </cell>
          <cell r="J19">
            <v>43.52</v>
          </cell>
          <cell r="L19">
            <v>41428</v>
          </cell>
          <cell r="M19">
            <v>43.444666666666663</v>
          </cell>
          <cell r="N19">
            <v>43.876999999999995</v>
          </cell>
          <cell r="O19">
            <v>46.187666666666665</v>
          </cell>
          <cell r="P19">
            <v>46.132666666666665</v>
          </cell>
          <cell r="Q19">
            <v>44.402999999999992</v>
          </cell>
          <cell r="R19">
            <v>34.25</v>
          </cell>
          <cell r="S19">
            <v>59.822333333333326</v>
          </cell>
          <cell r="T19">
            <v>49.731666666666669</v>
          </cell>
          <cell r="U19">
            <v>44.711999999999996</v>
          </cell>
        </row>
        <row r="20">
          <cell r="A20">
            <v>41425</v>
          </cell>
          <cell r="B20">
            <v>42.33</v>
          </cell>
          <cell r="C20">
            <v>42.22</v>
          </cell>
          <cell r="D20">
            <v>47.33</v>
          </cell>
          <cell r="E20">
            <v>45.38</v>
          </cell>
          <cell r="F20">
            <v>42.73</v>
          </cell>
          <cell r="G20">
            <v>33.79</v>
          </cell>
          <cell r="H20">
            <v>58.42</v>
          </cell>
          <cell r="I20">
            <v>47.35</v>
          </cell>
          <cell r="J20">
            <v>42.92</v>
          </cell>
          <cell r="L20">
            <v>41425</v>
          </cell>
          <cell r="M20">
            <v>43.479666666666681</v>
          </cell>
          <cell r="N20">
            <v>43.933666666666667</v>
          </cell>
          <cell r="O20">
            <v>46.069666666666663</v>
          </cell>
          <cell r="P20">
            <v>46.154666666666671</v>
          </cell>
          <cell r="Q20">
            <v>44.470333333333322</v>
          </cell>
          <cell r="R20">
            <v>34.276666666666671</v>
          </cell>
          <cell r="S20">
            <v>59.863666666666667</v>
          </cell>
          <cell r="T20">
            <v>49.769333333333329</v>
          </cell>
          <cell r="U20">
            <v>44.757666666666665</v>
          </cell>
        </row>
        <row r="21">
          <cell r="A21">
            <v>41424</v>
          </cell>
          <cell r="B21">
            <v>42.28</v>
          </cell>
          <cell r="C21">
            <v>42.48</v>
          </cell>
          <cell r="D21">
            <v>47.39</v>
          </cell>
          <cell r="E21">
            <v>45.66</v>
          </cell>
          <cell r="F21">
            <v>43.04</v>
          </cell>
          <cell r="G21">
            <v>34.07</v>
          </cell>
          <cell r="H21">
            <v>58.61</v>
          </cell>
          <cell r="I21">
            <v>47.65</v>
          </cell>
          <cell r="J21">
            <v>43.48</v>
          </cell>
          <cell r="L21">
            <v>41424</v>
          </cell>
          <cell r="M21">
            <v>43.49366666666667</v>
          </cell>
          <cell r="N21">
            <v>43.958333333333336</v>
          </cell>
          <cell r="O21">
            <v>45.966666666666661</v>
          </cell>
          <cell r="P21">
            <v>46.167666666666669</v>
          </cell>
          <cell r="Q21">
            <v>44.520999999999994</v>
          </cell>
          <cell r="R21">
            <v>34.283666666666676</v>
          </cell>
          <cell r="S21">
            <v>59.888000000000005</v>
          </cell>
          <cell r="T21">
            <v>49.812666666666672</v>
          </cell>
          <cell r="U21">
            <v>44.793333333333329</v>
          </cell>
        </row>
        <row r="22">
          <cell r="A22">
            <v>41423</v>
          </cell>
          <cell r="B22">
            <v>42.04</v>
          </cell>
          <cell r="C22">
            <v>42.17</v>
          </cell>
          <cell r="D22">
            <v>46.5</v>
          </cell>
          <cell r="E22">
            <v>44.94</v>
          </cell>
          <cell r="F22">
            <v>42.97</v>
          </cell>
          <cell r="G22">
            <v>33.64</v>
          </cell>
          <cell r="H22">
            <v>58.46</v>
          </cell>
          <cell r="I22">
            <v>47.14</v>
          </cell>
          <cell r="J22">
            <v>43</v>
          </cell>
          <cell r="L22">
            <v>41423</v>
          </cell>
          <cell r="M22">
            <v>43.50800000000001</v>
          </cell>
          <cell r="N22">
            <v>43.974000000000011</v>
          </cell>
          <cell r="O22">
            <v>45.850333333333332</v>
          </cell>
          <cell r="P22">
            <v>46.158666666666676</v>
          </cell>
          <cell r="Q22">
            <v>44.562333333333328</v>
          </cell>
          <cell r="R22">
            <v>34.272000000000006</v>
          </cell>
          <cell r="S22">
            <v>59.89266666666667</v>
          </cell>
          <cell r="T22">
            <v>49.836666666666666</v>
          </cell>
          <cell r="U22">
            <v>44.805333333333337</v>
          </cell>
        </row>
        <row r="23">
          <cell r="A23">
            <v>41422</v>
          </cell>
          <cell r="B23">
            <v>42.55</v>
          </cell>
          <cell r="C23">
            <v>43.02</v>
          </cell>
          <cell r="D23">
            <v>46.46</v>
          </cell>
          <cell r="E23">
            <v>45.56</v>
          </cell>
          <cell r="F23">
            <v>43.56</v>
          </cell>
          <cell r="G23">
            <v>34.11</v>
          </cell>
          <cell r="H23">
            <v>59.21</v>
          </cell>
          <cell r="I23">
            <v>48.42</v>
          </cell>
          <cell r="J23">
            <v>43.75</v>
          </cell>
          <cell r="L23">
            <v>41422</v>
          </cell>
          <cell r="M23">
            <v>43.538333333333341</v>
          </cell>
          <cell r="N23">
            <v>44.006666666666675</v>
          </cell>
          <cell r="O23">
            <v>45.76400000000001</v>
          </cell>
          <cell r="P23">
            <v>46.196333333333328</v>
          </cell>
          <cell r="Q23">
            <v>44.619333333333337</v>
          </cell>
          <cell r="R23">
            <v>34.282666666666664</v>
          </cell>
          <cell r="S23">
            <v>59.903666666666673</v>
          </cell>
          <cell r="T23">
            <v>49.894333333333314</v>
          </cell>
          <cell r="U23">
            <v>44.852333333333341</v>
          </cell>
        </row>
        <row r="24">
          <cell r="A24">
            <v>41418</v>
          </cell>
          <cell r="B24">
            <v>42.78</v>
          </cell>
          <cell r="C24">
            <v>42.71</v>
          </cell>
          <cell r="D24">
            <v>46.05</v>
          </cell>
          <cell r="E24">
            <v>45.77</v>
          </cell>
          <cell r="F24">
            <v>43.77</v>
          </cell>
          <cell r="G24">
            <v>34.08</v>
          </cell>
          <cell r="H24">
            <v>59.06</v>
          </cell>
          <cell r="I24">
            <v>48.72</v>
          </cell>
          <cell r="J24">
            <v>43.82</v>
          </cell>
          <cell r="L24">
            <v>41418</v>
          </cell>
          <cell r="M24">
            <v>43.529000000000011</v>
          </cell>
          <cell r="N24">
            <v>43.981000000000002</v>
          </cell>
          <cell r="O24">
            <v>45.668666666666674</v>
          </cell>
          <cell r="P24">
            <v>46.174666666666674</v>
          </cell>
          <cell r="Q24">
            <v>44.633000000000003</v>
          </cell>
          <cell r="R24">
            <v>34.251666666666672</v>
          </cell>
          <cell r="S24">
            <v>59.844333333333338</v>
          </cell>
          <cell r="T24">
            <v>49.870666666666651</v>
          </cell>
          <cell r="U24">
            <v>44.846000000000004</v>
          </cell>
        </row>
        <row r="25">
          <cell r="A25">
            <v>41417</v>
          </cell>
          <cell r="B25">
            <v>43.38</v>
          </cell>
          <cell r="C25">
            <v>43.12</v>
          </cell>
          <cell r="D25">
            <v>45.06</v>
          </cell>
          <cell r="E25">
            <v>45.88</v>
          </cell>
          <cell r="F25">
            <v>43.95</v>
          </cell>
          <cell r="G25">
            <v>34.130000000000003</v>
          </cell>
          <cell r="H25">
            <v>59.26</v>
          </cell>
          <cell r="I25">
            <v>48.85</v>
          </cell>
          <cell r="J25">
            <v>44.14</v>
          </cell>
          <cell r="L25">
            <v>41417</v>
          </cell>
          <cell r="M25">
            <v>43.553000000000011</v>
          </cell>
          <cell r="N25">
            <v>44</v>
          </cell>
          <cell r="O25">
            <v>45.618000000000009</v>
          </cell>
          <cell r="P25">
            <v>46.188333333333347</v>
          </cell>
          <cell r="Q25">
            <v>44.673999999999999</v>
          </cell>
          <cell r="R25">
            <v>34.261333333333333</v>
          </cell>
          <cell r="S25">
            <v>59.820000000000007</v>
          </cell>
          <cell r="T25">
            <v>49.888666666666651</v>
          </cell>
          <cell r="U25">
            <v>44.87</v>
          </cell>
        </row>
        <row r="26">
          <cell r="A26">
            <v>41416</v>
          </cell>
          <cell r="B26">
            <v>43.65</v>
          </cell>
          <cell r="C26">
            <v>43.89</v>
          </cell>
          <cell r="D26">
            <v>45.09</v>
          </cell>
          <cell r="E26">
            <v>46.19</v>
          </cell>
          <cell r="F26">
            <v>44.34</v>
          </cell>
          <cell r="G26">
            <v>34.450000000000003</v>
          </cell>
          <cell r="H26">
            <v>60.4</v>
          </cell>
          <cell r="I26">
            <v>49.43</v>
          </cell>
          <cell r="J26">
            <v>44.74</v>
          </cell>
          <cell r="L26">
            <v>41416</v>
          </cell>
          <cell r="M26">
            <v>43.547000000000011</v>
          </cell>
          <cell r="N26">
            <v>44.011000000000003</v>
          </cell>
          <cell r="O26">
            <v>45.598666666666674</v>
          </cell>
          <cell r="P26">
            <v>46.204666666666668</v>
          </cell>
          <cell r="Q26">
            <v>44.724666666666664</v>
          </cell>
          <cell r="R26">
            <v>34.269999999999996</v>
          </cell>
          <cell r="S26">
            <v>59.786666666666669</v>
          </cell>
          <cell r="T26">
            <v>49.902666666666661</v>
          </cell>
          <cell r="U26">
            <v>44.888333333333335</v>
          </cell>
        </row>
        <row r="27">
          <cell r="A27">
            <v>41415</v>
          </cell>
          <cell r="B27">
            <v>44.48</v>
          </cell>
          <cell r="C27">
            <v>44.73</v>
          </cell>
          <cell r="D27">
            <v>46.37</v>
          </cell>
          <cell r="E27">
            <v>47.1</v>
          </cell>
          <cell r="F27">
            <v>45.53</v>
          </cell>
          <cell r="G27">
            <v>35.15</v>
          </cell>
          <cell r="H27">
            <v>61.12</v>
          </cell>
          <cell r="I27">
            <v>50.72</v>
          </cell>
          <cell r="J27">
            <v>45.7</v>
          </cell>
          <cell r="L27">
            <v>41415</v>
          </cell>
          <cell r="M27">
            <v>43.522000000000013</v>
          </cell>
          <cell r="N27">
            <v>43.995666666666672</v>
          </cell>
          <cell r="O27">
            <v>45.561666666666682</v>
          </cell>
          <cell r="P27">
            <v>46.216000000000001</v>
          </cell>
          <cell r="Q27">
            <v>44.758000000000003</v>
          </cell>
          <cell r="R27">
            <v>34.269666666666666</v>
          </cell>
          <cell r="S27">
            <v>59.694333333333347</v>
          </cell>
          <cell r="T27">
            <v>49.893000000000001</v>
          </cell>
          <cell r="U27">
            <v>44.885666666666673</v>
          </cell>
        </row>
        <row r="28">
          <cell r="A28">
            <v>41414</v>
          </cell>
          <cell r="B28">
            <v>44.12</v>
          </cell>
          <cell r="C28">
            <v>44.87</v>
          </cell>
          <cell r="D28">
            <v>46.87</v>
          </cell>
          <cell r="E28">
            <v>46.96</v>
          </cell>
          <cell r="F28">
            <v>45.7</v>
          </cell>
          <cell r="G28">
            <v>34.97</v>
          </cell>
          <cell r="H28">
            <v>61.19</v>
          </cell>
          <cell r="I28">
            <v>50.79</v>
          </cell>
          <cell r="J28">
            <v>45.64</v>
          </cell>
          <cell r="L28">
            <v>41414</v>
          </cell>
          <cell r="M28">
            <v>43.45300000000001</v>
          </cell>
          <cell r="N28">
            <v>43.936000000000007</v>
          </cell>
          <cell r="O28">
            <v>45.46200000000001</v>
          </cell>
          <cell r="P28">
            <v>46.166000000000004</v>
          </cell>
          <cell r="Q28">
            <v>44.731333333333332</v>
          </cell>
          <cell r="R28">
            <v>34.217333333333322</v>
          </cell>
          <cell r="S28">
            <v>59.546333333333344</v>
          </cell>
          <cell r="T28">
            <v>49.811333333333337</v>
          </cell>
          <cell r="U28">
            <v>44.829666666666668</v>
          </cell>
        </row>
        <row r="29">
          <cell r="A29">
            <v>41411</v>
          </cell>
          <cell r="B29">
            <v>44.18</v>
          </cell>
          <cell r="C29">
            <v>44.62</v>
          </cell>
          <cell r="D29">
            <v>46.7</v>
          </cell>
          <cell r="E29">
            <v>46.57</v>
          </cell>
          <cell r="F29">
            <v>44.9</v>
          </cell>
          <cell r="G29">
            <v>34.86</v>
          </cell>
          <cell r="H29">
            <v>60.59</v>
          </cell>
          <cell r="I29">
            <v>50.63</v>
          </cell>
          <cell r="J29">
            <v>45.25</v>
          </cell>
          <cell r="L29">
            <v>41411</v>
          </cell>
          <cell r="M29">
            <v>43.401333333333341</v>
          </cell>
          <cell r="N29">
            <v>43.868333333333339</v>
          </cell>
          <cell r="O29">
            <v>45.344000000000015</v>
          </cell>
          <cell r="P29">
            <v>46.120666666666665</v>
          </cell>
          <cell r="Q29">
            <v>44.696666666666673</v>
          </cell>
          <cell r="R29">
            <v>34.177666666666674</v>
          </cell>
          <cell r="S29">
            <v>59.377666666666677</v>
          </cell>
          <cell r="T29">
            <v>49.734000000000002</v>
          </cell>
          <cell r="U29">
            <v>44.777333333333331</v>
          </cell>
        </row>
        <row r="30">
          <cell r="A30">
            <v>41410</v>
          </cell>
          <cell r="B30">
            <v>43.49</v>
          </cell>
          <cell r="C30">
            <v>44.13</v>
          </cell>
          <cell r="D30">
            <v>46.2</v>
          </cell>
          <cell r="E30">
            <v>46.05</v>
          </cell>
          <cell r="F30">
            <v>44.72</v>
          </cell>
          <cell r="G30">
            <v>34.47</v>
          </cell>
          <cell r="H30">
            <v>59.89</v>
          </cell>
          <cell r="I30">
            <v>50.08</v>
          </cell>
          <cell r="J30">
            <v>44.94</v>
          </cell>
          <cell r="L30">
            <v>41410</v>
          </cell>
          <cell r="M30">
            <v>43.31900000000001</v>
          </cell>
          <cell r="N30">
            <v>43.784999999999997</v>
          </cell>
          <cell r="O30">
            <v>45.225333333333339</v>
          </cell>
          <cell r="P30">
            <v>46.073333333333338</v>
          </cell>
          <cell r="Q30">
            <v>44.674666666666674</v>
          </cell>
          <cell r="R30">
            <v>34.128</v>
          </cell>
          <cell r="S30">
            <v>59.198000000000008</v>
          </cell>
          <cell r="T30">
            <v>49.64533333333334</v>
          </cell>
          <cell r="U30">
            <v>44.730666666666671</v>
          </cell>
        </row>
        <row r="31">
          <cell r="A31">
            <v>41409</v>
          </cell>
          <cell r="B31">
            <v>43.41</v>
          </cell>
          <cell r="C31">
            <v>44.52</v>
          </cell>
          <cell r="D31">
            <v>46.15</v>
          </cell>
          <cell r="E31">
            <v>46.23</v>
          </cell>
          <cell r="F31">
            <v>45.29</v>
          </cell>
          <cell r="G31">
            <v>34.64</v>
          </cell>
          <cell r="H31">
            <v>59.78</v>
          </cell>
          <cell r="I31">
            <v>50.33</v>
          </cell>
          <cell r="J31">
            <v>44.97</v>
          </cell>
          <cell r="L31">
            <v>41409</v>
          </cell>
          <cell r="M31">
            <v>43.256000000000007</v>
          </cell>
          <cell r="N31">
            <v>43.714000000000006</v>
          </cell>
          <cell r="O31">
            <v>45.11866666666667</v>
          </cell>
          <cell r="P31">
            <v>46.033000000000001</v>
          </cell>
          <cell r="Q31">
            <v>44.649333333333331</v>
          </cell>
          <cell r="R31">
            <v>34.086666666666666</v>
          </cell>
          <cell r="S31">
            <v>59.041000000000018</v>
          </cell>
          <cell r="T31">
            <v>49.578333333333333</v>
          </cell>
          <cell r="U31">
            <v>44.695</v>
          </cell>
        </row>
        <row r="32">
          <cell r="A32">
            <v>41408</v>
          </cell>
          <cell r="B32">
            <v>43.81</v>
          </cell>
          <cell r="C32">
            <v>44.42</v>
          </cell>
          <cell r="D32">
            <v>45.93</v>
          </cell>
          <cell r="E32">
            <v>45.96</v>
          </cell>
          <cell r="F32">
            <v>45.08</v>
          </cell>
          <cell r="G32">
            <v>34.479999999999997</v>
          </cell>
          <cell r="H32">
            <v>59.12</v>
          </cell>
          <cell r="I32">
            <v>49.96</v>
          </cell>
          <cell r="J32">
            <v>44.88</v>
          </cell>
          <cell r="L32">
            <v>41408</v>
          </cell>
          <cell r="M32">
            <v>43.185000000000009</v>
          </cell>
          <cell r="N32">
            <v>43.617666666666665</v>
          </cell>
          <cell r="O32">
            <v>45.001000000000005</v>
          </cell>
          <cell r="P32">
            <v>45.974999999999994</v>
          </cell>
          <cell r="Q32">
            <v>44.587000000000003</v>
          </cell>
          <cell r="R32">
            <v>34.020000000000003</v>
          </cell>
          <cell r="S32">
            <v>58.858333333333348</v>
          </cell>
          <cell r="T32">
            <v>49.481000000000009</v>
          </cell>
          <cell r="U32">
            <v>44.634666666666668</v>
          </cell>
        </row>
        <row r="33">
          <cell r="A33">
            <v>41407</v>
          </cell>
          <cell r="B33">
            <v>43.22</v>
          </cell>
          <cell r="C33">
            <v>44.04</v>
          </cell>
          <cell r="D33">
            <v>45.41</v>
          </cell>
          <cell r="E33">
            <v>45.5</v>
          </cell>
          <cell r="F33">
            <v>44.56</v>
          </cell>
          <cell r="G33">
            <v>34.04</v>
          </cell>
          <cell r="H33">
            <v>58.87</v>
          </cell>
          <cell r="I33">
            <v>49.5</v>
          </cell>
          <cell r="J33">
            <v>44.38</v>
          </cell>
          <cell r="L33">
            <v>41407</v>
          </cell>
          <cell r="M33">
            <v>43.116666666666674</v>
          </cell>
          <cell r="N33">
            <v>43.546333333333337</v>
          </cell>
          <cell r="O33">
            <v>44.891666666666666</v>
          </cell>
          <cell r="P33">
            <v>45.941999999999993</v>
          </cell>
          <cell r="Q33">
            <v>44.538666666666671</v>
          </cell>
          <cell r="R33">
            <v>33.969000000000001</v>
          </cell>
          <cell r="S33">
            <v>58.709666666666678</v>
          </cell>
          <cell r="T33">
            <v>49.404666666666678</v>
          </cell>
          <cell r="U33">
            <v>44.600666666666662</v>
          </cell>
        </row>
        <row r="34">
          <cell r="A34">
            <v>41404</v>
          </cell>
          <cell r="B34">
            <v>43.59</v>
          </cell>
          <cell r="C34">
            <v>44.07</v>
          </cell>
          <cell r="D34">
            <v>45.56</v>
          </cell>
          <cell r="E34">
            <v>45.65</v>
          </cell>
          <cell r="F34">
            <v>44.94</v>
          </cell>
          <cell r="G34">
            <v>33.89</v>
          </cell>
          <cell r="H34">
            <v>59.23</v>
          </cell>
          <cell r="I34">
            <v>50.23</v>
          </cell>
          <cell r="J34">
            <v>44.77</v>
          </cell>
          <cell r="L34">
            <v>41404</v>
          </cell>
          <cell r="M34">
            <v>43.06733333333333</v>
          </cell>
          <cell r="N34">
            <v>43.487666666666662</v>
          </cell>
          <cell r="O34">
            <v>44.787000000000006</v>
          </cell>
          <cell r="P34">
            <v>45.918333333333329</v>
          </cell>
          <cell r="Q34">
            <v>44.504000000000005</v>
          </cell>
          <cell r="R34">
            <v>33.934666666666672</v>
          </cell>
          <cell r="S34">
            <v>58.58666666666668</v>
          </cell>
          <cell r="T34">
            <v>49.340333333333341</v>
          </cell>
          <cell r="U34">
            <v>44.582666666666654</v>
          </cell>
        </row>
        <row r="35">
          <cell r="A35">
            <v>41403</v>
          </cell>
          <cell r="B35">
            <v>43.2</v>
          </cell>
          <cell r="C35">
            <v>44.08</v>
          </cell>
          <cell r="D35">
            <v>45.3</v>
          </cell>
          <cell r="E35">
            <v>45.49</v>
          </cell>
          <cell r="F35">
            <v>44.83</v>
          </cell>
          <cell r="G35">
            <v>33.78</v>
          </cell>
          <cell r="H35">
            <v>58.83</v>
          </cell>
          <cell r="I35">
            <v>50.42</v>
          </cell>
          <cell r="J35">
            <v>44.78</v>
          </cell>
          <cell r="L35">
            <v>41403</v>
          </cell>
          <cell r="M35">
            <v>43.012666666666668</v>
          </cell>
          <cell r="N35">
            <v>43.44166666666667</v>
          </cell>
          <cell r="O35">
            <v>44.691666666666677</v>
          </cell>
          <cell r="P35">
            <v>45.891666666666659</v>
          </cell>
          <cell r="Q35">
            <v>44.466666666666676</v>
          </cell>
          <cell r="R35">
            <v>33.901000000000003</v>
          </cell>
          <cell r="S35">
            <v>58.465333333333341</v>
          </cell>
          <cell r="T35">
            <v>49.248000000000012</v>
          </cell>
          <cell r="U35">
            <v>44.560333333333318</v>
          </cell>
        </row>
        <row r="36">
          <cell r="A36">
            <v>41402</v>
          </cell>
          <cell r="B36">
            <v>43.88</v>
          </cell>
          <cell r="C36">
            <v>44.62</v>
          </cell>
          <cell r="D36">
            <v>46.4</v>
          </cell>
          <cell r="E36">
            <v>46.38</v>
          </cell>
          <cell r="F36">
            <v>45.52</v>
          </cell>
          <cell r="G36">
            <v>34.380000000000003</v>
          </cell>
          <cell r="H36">
            <v>60.07</v>
          </cell>
          <cell r="I36">
            <v>51.17</v>
          </cell>
          <cell r="J36">
            <v>45.49</v>
          </cell>
          <cell r="L36">
            <v>41402</v>
          </cell>
          <cell r="M36">
            <v>42.95333333333334</v>
          </cell>
          <cell r="N36">
            <v>43.37533333333333</v>
          </cell>
          <cell r="O36">
            <v>44.583999999999996</v>
          </cell>
          <cell r="P36">
            <v>45.867999999999988</v>
          </cell>
          <cell r="Q36">
            <v>44.429000000000002</v>
          </cell>
          <cell r="R36">
            <v>33.871333333333332</v>
          </cell>
          <cell r="S36">
            <v>58.343666666666678</v>
          </cell>
          <cell r="T36">
            <v>49.14800000000001</v>
          </cell>
          <cell r="U36">
            <v>44.534333333333315</v>
          </cell>
        </row>
        <row r="37">
          <cell r="A37">
            <v>41401</v>
          </cell>
          <cell r="B37">
            <v>44.07</v>
          </cell>
          <cell r="C37">
            <v>44.76</v>
          </cell>
          <cell r="D37">
            <v>46.36</v>
          </cell>
          <cell r="E37">
            <v>46.55</v>
          </cell>
          <cell r="F37">
            <v>45.05</v>
          </cell>
          <cell r="G37">
            <v>34.369999999999997</v>
          </cell>
          <cell r="H37">
            <v>60.07</v>
          </cell>
          <cell r="I37">
            <v>50.96</v>
          </cell>
          <cell r="J37">
            <v>45.35</v>
          </cell>
          <cell r="L37">
            <v>41401</v>
          </cell>
          <cell r="M37">
            <v>42.877000000000002</v>
          </cell>
          <cell r="N37">
            <v>43.291333333333334</v>
          </cell>
          <cell r="O37">
            <v>44.44166666666667</v>
          </cell>
          <cell r="P37">
            <v>45.820999999999998</v>
          </cell>
          <cell r="Q37">
            <v>44.373000000000005</v>
          </cell>
          <cell r="R37">
            <v>33.823333333333338</v>
          </cell>
          <cell r="S37">
            <v>58.188666666666677</v>
          </cell>
          <cell r="T37">
            <v>49.035666666666671</v>
          </cell>
          <cell r="U37">
            <v>44.488666666666646</v>
          </cell>
        </row>
        <row r="38">
          <cell r="A38">
            <v>41400</v>
          </cell>
          <cell r="B38">
            <v>43.75</v>
          </cell>
          <cell r="C38">
            <v>44.4</v>
          </cell>
          <cell r="D38">
            <v>45.96</v>
          </cell>
          <cell r="E38">
            <v>45.94</v>
          </cell>
          <cell r="F38">
            <v>44.5</v>
          </cell>
          <cell r="G38">
            <v>33.99</v>
          </cell>
          <cell r="H38">
            <v>59.41</v>
          </cell>
          <cell r="I38">
            <v>50.44</v>
          </cell>
          <cell r="J38">
            <v>44.33</v>
          </cell>
          <cell r="L38">
            <v>41400</v>
          </cell>
          <cell r="M38">
            <v>42.785333333333341</v>
          </cell>
          <cell r="N38">
            <v>43.189</v>
          </cell>
          <cell r="O38">
            <v>44.282666666666657</v>
          </cell>
          <cell r="P38">
            <v>45.750333333333323</v>
          </cell>
          <cell r="Q38">
            <v>44.329333333333338</v>
          </cell>
          <cell r="R38">
            <v>33.768000000000001</v>
          </cell>
          <cell r="S38">
            <v>58.008333333333347</v>
          </cell>
          <cell r="T38">
            <v>48.917666666666676</v>
          </cell>
          <cell r="U38">
            <v>44.434333333333328</v>
          </cell>
        </row>
        <row r="39">
          <cell r="A39">
            <v>41397</v>
          </cell>
          <cell r="B39">
            <v>43.89</v>
          </cell>
          <cell r="C39">
            <v>44.49</v>
          </cell>
          <cell r="D39">
            <v>46.38</v>
          </cell>
          <cell r="E39">
            <v>45.88</v>
          </cell>
          <cell r="F39">
            <v>43.91</v>
          </cell>
          <cell r="G39">
            <v>34.200000000000003</v>
          </cell>
          <cell r="H39">
            <v>59.79</v>
          </cell>
          <cell r="I39">
            <v>50.36</v>
          </cell>
          <cell r="J39">
            <v>44.6</v>
          </cell>
          <cell r="L39">
            <v>41397</v>
          </cell>
          <cell r="M39">
            <v>42.70933333333334</v>
          </cell>
          <cell r="N39">
            <v>43.100333333333339</v>
          </cell>
          <cell r="O39">
            <v>44.145999999999994</v>
          </cell>
          <cell r="P39">
            <v>45.711999999999996</v>
          </cell>
          <cell r="Q39">
            <v>44.31466666666666</v>
          </cell>
          <cell r="R39">
            <v>33.734666666666662</v>
          </cell>
          <cell r="S39">
            <v>57.863000000000021</v>
          </cell>
          <cell r="T39">
            <v>48.829000000000001</v>
          </cell>
          <cell r="U39">
            <v>44.416333333333327</v>
          </cell>
        </row>
        <row r="40">
          <cell r="A40">
            <v>41396</v>
          </cell>
          <cell r="B40">
            <v>43.72</v>
          </cell>
          <cell r="C40">
            <v>44.29</v>
          </cell>
          <cell r="D40">
            <v>45.97</v>
          </cell>
          <cell r="E40">
            <v>45.92</v>
          </cell>
          <cell r="F40">
            <v>43.06</v>
          </cell>
          <cell r="G40">
            <v>33.72</v>
          </cell>
          <cell r="H40">
            <v>60.05</v>
          </cell>
          <cell r="I40">
            <v>50.15</v>
          </cell>
          <cell r="J40">
            <v>44.85</v>
          </cell>
          <cell r="L40">
            <v>41396</v>
          </cell>
          <cell r="M40">
            <v>42.624000000000002</v>
          </cell>
          <cell r="N40">
            <v>43.001333333333335</v>
          </cell>
          <cell r="O40">
            <v>43.981000000000002</v>
          </cell>
          <cell r="P40">
            <v>45.66866666666666</v>
          </cell>
          <cell r="Q40">
            <v>44.315000000000005</v>
          </cell>
          <cell r="R40">
            <v>33.69133333333334</v>
          </cell>
          <cell r="S40">
            <v>57.695333333333345</v>
          </cell>
          <cell r="T40">
            <v>48.731333333333346</v>
          </cell>
          <cell r="U40">
            <v>44.383333333333319</v>
          </cell>
        </row>
        <row r="41">
          <cell r="A41">
            <v>41395</v>
          </cell>
          <cell r="B41">
            <v>44.02</v>
          </cell>
          <cell r="C41">
            <v>43.62</v>
          </cell>
          <cell r="D41">
            <v>46.08</v>
          </cell>
          <cell r="E41">
            <v>45.48</v>
          </cell>
          <cell r="F41">
            <v>43.38</v>
          </cell>
          <cell r="G41">
            <v>33.65</v>
          </cell>
          <cell r="H41">
            <v>59.81</v>
          </cell>
          <cell r="I41">
            <v>49.7</v>
          </cell>
          <cell r="J41">
            <v>44.53</v>
          </cell>
          <cell r="L41">
            <v>41395</v>
          </cell>
          <cell r="M41">
            <v>42.550333333333334</v>
          </cell>
          <cell r="N41">
            <v>42.912999999999997</v>
          </cell>
          <cell r="O41">
            <v>43.832999999999991</v>
          </cell>
          <cell r="P41">
            <v>45.629333333333328</v>
          </cell>
          <cell r="Q41">
            <v>44.349333333333334</v>
          </cell>
          <cell r="R41">
            <v>33.685333333333332</v>
          </cell>
          <cell r="S41">
            <v>57.529333333333334</v>
          </cell>
          <cell r="T41">
            <v>48.651000000000003</v>
          </cell>
          <cell r="U41">
            <v>44.360666666666667</v>
          </cell>
        </row>
        <row r="42">
          <cell r="A42">
            <v>41394</v>
          </cell>
          <cell r="B42">
            <v>43.85</v>
          </cell>
          <cell r="C42">
            <v>44.37</v>
          </cell>
          <cell r="D42">
            <v>46.71</v>
          </cell>
          <cell r="E42">
            <v>47.2</v>
          </cell>
          <cell r="F42">
            <v>44.47</v>
          </cell>
          <cell r="G42">
            <v>34.43</v>
          </cell>
          <cell r="H42">
            <v>61.7</v>
          </cell>
          <cell r="I42">
            <v>50.67</v>
          </cell>
          <cell r="J42">
            <v>46.22</v>
          </cell>
          <cell r="L42">
            <v>41394</v>
          </cell>
          <cell r="M42">
            <v>42.454666666666668</v>
          </cell>
          <cell r="N42">
            <v>42.833333333333329</v>
          </cell>
          <cell r="O42">
            <v>43.669333333333341</v>
          </cell>
          <cell r="P42">
            <v>45.592333333333322</v>
          </cell>
          <cell r="Q42">
            <v>44.36366666666666</v>
          </cell>
          <cell r="R42">
            <v>33.672999999999995</v>
          </cell>
          <cell r="S42">
            <v>57.356666666666669</v>
          </cell>
          <cell r="T42">
            <v>48.57533333333334</v>
          </cell>
          <cell r="U42">
            <v>44.334333333333333</v>
          </cell>
        </row>
        <row r="43">
          <cell r="A43">
            <v>41393</v>
          </cell>
          <cell r="B43">
            <v>44.04</v>
          </cell>
          <cell r="C43">
            <v>44.12</v>
          </cell>
          <cell r="D43">
            <v>46.09</v>
          </cell>
          <cell r="E43">
            <v>46.64</v>
          </cell>
          <cell r="F43">
            <v>44.5</v>
          </cell>
          <cell r="G43">
            <v>34.21</v>
          </cell>
          <cell r="H43">
            <v>60.8</v>
          </cell>
          <cell r="I43">
            <v>50.23</v>
          </cell>
          <cell r="J43">
            <v>45.45</v>
          </cell>
          <cell r="L43">
            <v>41393</v>
          </cell>
          <cell r="M43">
            <v>42.361666666666665</v>
          </cell>
          <cell r="N43">
            <v>42.718333333333341</v>
          </cell>
          <cell r="O43">
            <v>43.472000000000001</v>
          </cell>
          <cell r="P43">
            <v>45.481666666666669</v>
          </cell>
          <cell r="Q43">
            <v>44.342999999999996</v>
          </cell>
          <cell r="R43">
            <v>33.633333333333333</v>
          </cell>
          <cell r="S43">
            <v>57.11933333333333</v>
          </cell>
          <cell r="T43">
            <v>48.463666666666668</v>
          </cell>
          <cell r="U43">
            <v>44.248666666666665</v>
          </cell>
        </row>
        <row r="44">
          <cell r="A44">
            <v>41390</v>
          </cell>
          <cell r="B44">
            <v>43.24</v>
          </cell>
          <cell r="C44">
            <v>43.7</v>
          </cell>
          <cell r="D44">
            <v>45.96</v>
          </cell>
          <cell r="E44">
            <v>46.27</v>
          </cell>
          <cell r="F44">
            <v>44.33</v>
          </cell>
          <cell r="G44">
            <v>33.83</v>
          </cell>
          <cell r="H44">
            <v>60.01</v>
          </cell>
          <cell r="I44">
            <v>49.69</v>
          </cell>
          <cell r="J44">
            <v>45.08</v>
          </cell>
          <cell r="L44">
            <v>41390</v>
          </cell>
          <cell r="M44">
            <v>42.265333333333338</v>
          </cell>
          <cell r="N44">
            <v>42.623333333333335</v>
          </cell>
          <cell r="O44">
            <v>43.293999999999997</v>
          </cell>
          <cell r="P44">
            <v>45.414999999999999</v>
          </cell>
          <cell r="Q44">
            <v>44.321333333333328</v>
          </cell>
          <cell r="R44">
            <v>33.611999999999995</v>
          </cell>
          <cell r="S44">
            <v>56.93266666666667</v>
          </cell>
          <cell r="T44">
            <v>48.381333333333338</v>
          </cell>
          <cell r="U44">
            <v>44.198666666666668</v>
          </cell>
        </row>
        <row r="45">
          <cell r="A45">
            <v>41389</v>
          </cell>
          <cell r="B45">
            <v>43.49</v>
          </cell>
          <cell r="C45">
            <v>44.11</v>
          </cell>
          <cell r="D45">
            <v>46.28</v>
          </cell>
          <cell r="E45">
            <v>46.72</v>
          </cell>
          <cell r="F45">
            <v>45.1</v>
          </cell>
          <cell r="G45">
            <v>34.42</v>
          </cell>
          <cell r="H45">
            <v>60.75</v>
          </cell>
          <cell r="I45">
            <v>50.1</v>
          </cell>
          <cell r="J45">
            <v>45.29</v>
          </cell>
          <cell r="L45">
            <v>41389</v>
          </cell>
          <cell r="M45">
            <v>42.188333333333347</v>
          </cell>
          <cell r="N45">
            <v>42.537000000000006</v>
          </cell>
          <cell r="O45">
            <v>43.137333333333338</v>
          </cell>
          <cell r="P45">
            <v>45.356000000000002</v>
          </cell>
          <cell r="Q45">
            <v>44.301666666666662</v>
          </cell>
          <cell r="R45">
            <v>33.601333333333329</v>
          </cell>
          <cell r="S45">
            <v>56.785333333333334</v>
          </cell>
          <cell r="T45">
            <v>48.294000000000004</v>
          </cell>
          <cell r="U45">
            <v>44.154333333333348</v>
          </cell>
        </row>
        <row r="46">
          <cell r="A46">
            <v>41388</v>
          </cell>
          <cell r="B46">
            <v>43.59</v>
          </cell>
          <cell r="C46">
            <v>44.17</v>
          </cell>
          <cell r="D46">
            <v>46.2</v>
          </cell>
          <cell r="E46">
            <v>46.83</v>
          </cell>
          <cell r="F46">
            <v>45.15</v>
          </cell>
          <cell r="G46">
            <v>34.61</v>
          </cell>
          <cell r="H46">
            <v>60.36</v>
          </cell>
          <cell r="I46">
            <v>50.33</v>
          </cell>
          <cell r="J46">
            <v>45.43</v>
          </cell>
          <cell r="L46">
            <v>41388</v>
          </cell>
          <cell r="M46">
            <v>42.096666666666678</v>
          </cell>
          <cell r="N46">
            <v>42.43833333333334</v>
          </cell>
          <cell r="O46">
            <v>42.962333333333341</v>
          </cell>
          <cell r="P46">
            <v>45.278000000000006</v>
          </cell>
          <cell r="Q46">
            <v>44.255333333333326</v>
          </cell>
          <cell r="R46">
            <v>33.568333333333335</v>
          </cell>
          <cell r="S46">
            <v>56.608666666666664</v>
          </cell>
          <cell r="T46">
            <v>48.183999999999997</v>
          </cell>
          <cell r="U46">
            <v>44.096333333333341</v>
          </cell>
        </row>
        <row r="47">
          <cell r="A47">
            <v>41387</v>
          </cell>
          <cell r="B47">
            <v>43.45</v>
          </cell>
          <cell r="C47">
            <v>44.23</v>
          </cell>
          <cell r="D47">
            <v>45.74</v>
          </cell>
          <cell r="E47">
            <v>46.73</v>
          </cell>
          <cell r="F47">
            <v>45.24</v>
          </cell>
          <cell r="G47">
            <v>34.799999999999997</v>
          </cell>
          <cell r="H47">
            <v>60.13</v>
          </cell>
          <cell r="I47">
            <v>50.07</v>
          </cell>
          <cell r="J47">
            <v>45.19</v>
          </cell>
          <cell r="L47">
            <v>41387</v>
          </cell>
          <cell r="M47">
            <v>42.000666666666682</v>
          </cell>
          <cell r="N47">
            <v>42.333333333333336</v>
          </cell>
          <cell r="O47">
            <v>42.783999999999999</v>
          </cell>
          <cell r="P47">
            <v>45.215333333333341</v>
          </cell>
          <cell r="Q47">
            <v>44.203666666666663</v>
          </cell>
          <cell r="R47">
            <v>33.523999999999994</v>
          </cell>
          <cell r="S47">
            <v>56.443666666666672</v>
          </cell>
          <cell r="T47">
            <v>48.063666666666663</v>
          </cell>
          <cell r="U47">
            <v>44.030000000000008</v>
          </cell>
        </row>
        <row r="48">
          <cell r="A48">
            <v>41386</v>
          </cell>
          <cell r="B48">
            <v>43.44</v>
          </cell>
          <cell r="C48">
            <v>43.99</v>
          </cell>
          <cell r="D48">
            <v>44.97</v>
          </cell>
          <cell r="E48">
            <v>46.51</v>
          </cell>
          <cell r="F48">
            <v>44.85</v>
          </cell>
          <cell r="G48">
            <v>34.5</v>
          </cell>
          <cell r="H48">
            <v>60.27</v>
          </cell>
          <cell r="I48">
            <v>49.52</v>
          </cell>
          <cell r="J48">
            <v>44.87</v>
          </cell>
          <cell r="L48">
            <v>41386</v>
          </cell>
          <cell r="M48">
            <v>41.92</v>
          </cell>
          <cell r="N48">
            <v>42.24</v>
          </cell>
          <cell r="O48">
            <v>42.631999999999998</v>
          </cell>
          <cell r="P48">
            <v>45.166666666666671</v>
          </cell>
          <cell r="Q48">
            <v>44.168999999999997</v>
          </cell>
          <cell r="R48">
            <v>33.476999999999997</v>
          </cell>
          <cell r="S48">
            <v>56.299666666666667</v>
          </cell>
          <cell r="T48">
            <v>47.964666666666659</v>
          </cell>
          <cell r="U48">
            <v>43.965666666666671</v>
          </cell>
        </row>
        <row r="49">
          <cell r="A49">
            <v>41383</v>
          </cell>
          <cell r="B49">
            <v>43.45</v>
          </cell>
          <cell r="C49">
            <v>44.05</v>
          </cell>
          <cell r="D49">
            <v>44.62</v>
          </cell>
          <cell r="E49">
            <v>46.7</v>
          </cell>
          <cell r="F49">
            <v>45.14</v>
          </cell>
          <cell r="G49">
            <v>34.64</v>
          </cell>
          <cell r="H49">
            <v>60.65</v>
          </cell>
          <cell r="I49">
            <v>49.47</v>
          </cell>
          <cell r="J49">
            <v>44.89</v>
          </cell>
          <cell r="L49">
            <v>41383</v>
          </cell>
          <cell r="M49">
            <v>41.83100000000001</v>
          </cell>
          <cell r="N49">
            <v>42.135333333333328</v>
          </cell>
          <cell r="O49">
            <v>42.507333333333328</v>
          </cell>
          <cell r="P49">
            <v>45.125333333333337</v>
          </cell>
          <cell r="Q49">
            <v>44.145000000000003</v>
          </cell>
          <cell r="R49">
            <v>33.436</v>
          </cell>
          <cell r="S49">
            <v>56.133333333333326</v>
          </cell>
          <cell r="T49">
            <v>47.876666666666658</v>
          </cell>
          <cell r="U49">
            <v>43.903000000000006</v>
          </cell>
        </row>
        <row r="50">
          <cell r="A50">
            <v>41382</v>
          </cell>
          <cell r="B50">
            <v>42.75</v>
          </cell>
          <cell r="C50">
            <v>42.96</v>
          </cell>
          <cell r="D50">
            <v>44.24</v>
          </cell>
          <cell r="E50">
            <v>45.77</v>
          </cell>
          <cell r="F50">
            <v>44.25</v>
          </cell>
          <cell r="G50">
            <v>34</v>
          </cell>
          <cell r="H50">
            <v>59.15</v>
          </cell>
          <cell r="I50">
            <v>48.65</v>
          </cell>
          <cell r="J50">
            <v>43.99</v>
          </cell>
          <cell r="L50">
            <v>41382</v>
          </cell>
          <cell r="M50">
            <v>41.725333333333332</v>
          </cell>
          <cell r="N50">
            <v>42.016333333333336</v>
          </cell>
          <cell r="O50">
            <v>42.379333333333328</v>
          </cell>
          <cell r="P50">
            <v>45.068000000000012</v>
          </cell>
          <cell r="Q50">
            <v>44.107333333333344</v>
          </cell>
          <cell r="R50">
            <v>33.383999999999993</v>
          </cell>
          <cell r="S50">
            <v>55.947333333333319</v>
          </cell>
          <cell r="T50">
            <v>47.785333333333327</v>
          </cell>
          <cell r="U50">
            <v>43.82833333333334</v>
          </cell>
        </row>
        <row r="51">
          <cell r="A51">
            <v>41381</v>
          </cell>
          <cell r="B51">
            <v>42.71</v>
          </cell>
          <cell r="C51">
            <v>42.95</v>
          </cell>
          <cell r="D51">
            <v>43.9</v>
          </cell>
          <cell r="E51">
            <v>45.39</v>
          </cell>
          <cell r="F51">
            <v>44.28</v>
          </cell>
          <cell r="G51">
            <v>33.72</v>
          </cell>
          <cell r="H51">
            <v>58.75</v>
          </cell>
          <cell r="I51">
            <v>48.37</v>
          </cell>
          <cell r="J51">
            <v>43.84</v>
          </cell>
          <cell r="L51">
            <v>41381</v>
          </cell>
          <cell r="M51">
            <v>41.637333333333331</v>
          </cell>
          <cell r="N51">
            <v>41.928333333333327</v>
          </cell>
          <cell r="O51">
            <v>42.29966666666666</v>
          </cell>
          <cell r="P51">
            <v>45.042333333333339</v>
          </cell>
          <cell r="Q51">
            <v>44.095000000000013</v>
          </cell>
          <cell r="R51">
            <v>33.349999999999994</v>
          </cell>
          <cell r="S51">
            <v>55.826999999999991</v>
          </cell>
          <cell r="T51">
            <v>47.719666666666662</v>
          </cell>
          <cell r="U51">
            <v>43.781666666666666</v>
          </cell>
        </row>
        <row r="52">
          <cell r="A52">
            <v>41380</v>
          </cell>
          <cell r="B52">
            <v>42.95</v>
          </cell>
          <cell r="C52">
            <v>43.15</v>
          </cell>
          <cell r="D52">
            <v>43.91</v>
          </cell>
          <cell r="E52">
            <v>46.07</v>
          </cell>
          <cell r="F52">
            <v>44.68</v>
          </cell>
          <cell r="G52">
            <v>33.96</v>
          </cell>
          <cell r="H52">
            <v>58.79</v>
          </cell>
          <cell r="I52">
            <v>48.87</v>
          </cell>
          <cell r="J52">
            <v>44.41</v>
          </cell>
          <cell r="L52">
            <v>41380</v>
          </cell>
          <cell r="M52">
            <v>41.555999999999997</v>
          </cell>
          <cell r="N52">
            <v>41.833666666666659</v>
          </cell>
          <cell r="O52">
            <v>42.218333333333334</v>
          </cell>
          <cell r="P52">
            <v>45.033000000000001</v>
          </cell>
          <cell r="Q52">
            <v>44.086000000000013</v>
          </cell>
          <cell r="R52">
            <v>33.321999999999996</v>
          </cell>
          <cell r="S52">
            <v>55.728333333333325</v>
          </cell>
          <cell r="T52">
            <v>47.662333333333336</v>
          </cell>
          <cell r="U52">
            <v>43.740666666666669</v>
          </cell>
        </row>
        <row r="53">
          <cell r="A53">
            <v>41379</v>
          </cell>
          <cell r="B53">
            <v>42.27</v>
          </cell>
          <cell r="C53">
            <v>42.25</v>
          </cell>
          <cell r="D53">
            <v>43.6</v>
          </cell>
          <cell r="E53">
            <v>44.91</v>
          </cell>
          <cell r="F53">
            <v>43.97</v>
          </cell>
          <cell r="G53">
            <v>33.18</v>
          </cell>
          <cell r="H53">
            <v>57.43</v>
          </cell>
          <cell r="I53">
            <v>47.71</v>
          </cell>
          <cell r="J53">
            <v>43.56</v>
          </cell>
          <cell r="L53">
            <v>41379</v>
          </cell>
          <cell r="M53">
            <v>41.465666666666671</v>
          </cell>
          <cell r="N53">
            <v>41.711333333333322</v>
          </cell>
          <cell r="O53">
            <v>42.124666666666663</v>
          </cell>
          <cell r="P53">
            <v>44.983999999999995</v>
          </cell>
          <cell r="Q53">
            <v>44.054666666666677</v>
          </cell>
          <cell r="R53">
            <v>33.280666666666662</v>
          </cell>
          <cell r="S53">
            <v>55.620666666666658</v>
          </cell>
          <cell r="T53">
            <v>47.590666666666671</v>
          </cell>
          <cell r="U53">
            <v>43.674333333333337</v>
          </cell>
        </row>
        <row r="54">
          <cell r="A54">
            <v>41376</v>
          </cell>
          <cell r="B54">
            <v>43.5</v>
          </cell>
          <cell r="C54">
            <v>43.28</v>
          </cell>
          <cell r="D54">
            <v>44.53</v>
          </cell>
          <cell r="E54">
            <v>46.18</v>
          </cell>
          <cell r="F54">
            <v>45</v>
          </cell>
          <cell r="G54">
            <v>34.369999999999997</v>
          </cell>
          <cell r="H54">
            <v>58.33</v>
          </cell>
          <cell r="I54">
            <v>49.26</v>
          </cell>
          <cell r="J54">
            <v>44.54</v>
          </cell>
          <cell r="L54">
            <v>41376</v>
          </cell>
          <cell r="M54">
            <v>41.395999999999994</v>
          </cell>
          <cell r="N54">
            <v>41.598333333333322</v>
          </cell>
          <cell r="O54">
            <v>42.04133333333332</v>
          </cell>
          <cell r="P54">
            <v>44.989999999999995</v>
          </cell>
          <cell r="Q54">
            <v>44.113333333333344</v>
          </cell>
          <cell r="R54">
            <v>33.262999999999998</v>
          </cell>
          <cell r="S54">
            <v>55.557999999999986</v>
          </cell>
          <cell r="T54">
            <v>47.550333333333342</v>
          </cell>
          <cell r="U54">
            <v>43.631999999999998</v>
          </cell>
        </row>
        <row r="55">
          <cell r="A55">
            <v>41375</v>
          </cell>
          <cell r="B55">
            <v>43.2</v>
          </cell>
          <cell r="C55">
            <v>43.45</v>
          </cell>
          <cell r="D55">
            <v>44.48</v>
          </cell>
          <cell r="E55">
            <v>46.37</v>
          </cell>
          <cell r="F55">
            <v>45.47</v>
          </cell>
          <cell r="G55">
            <v>34.39</v>
          </cell>
          <cell r="H55">
            <v>58.26</v>
          </cell>
          <cell r="I55">
            <v>49.27</v>
          </cell>
          <cell r="J55">
            <v>44.69</v>
          </cell>
          <cell r="L55">
            <v>41375</v>
          </cell>
          <cell r="M55">
            <v>41.277999999999999</v>
          </cell>
          <cell r="N55">
            <v>41.42799999999999</v>
          </cell>
          <cell r="O55">
            <v>41.915666666666652</v>
          </cell>
          <cell r="P55">
            <v>44.936</v>
          </cell>
          <cell r="Q55">
            <v>44.131666666666668</v>
          </cell>
          <cell r="R55">
            <v>33.191999999999993</v>
          </cell>
          <cell r="S55">
            <v>55.451666666666661</v>
          </cell>
          <cell r="T55">
            <v>47.418333333333329</v>
          </cell>
          <cell r="U55">
            <v>43.552999999999997</v>
          </cell>
        </row>
        <row r="56">
          <cell r="A56">
            <v>41374</v>
          </cell>
          <cell r="B56">
            <v>42.9</v>
          </cell>
          <cell r="C56">
            <v>43.43</v>
          </cell>
          <cell r="D56">
            <v>43.98</v>
          </cell>
          <cell r="E56">
            <v>46.53</v>
          </cell>
          <cell r="F56">
            <v>45.34</v>
          </cell>
          <cell r="G56">
            <v>34.44</v>
          </cell>
          <cell r="H56">
            <v>57.63</v>
          </cell>
          <cell r="I56">
            <v>49.14</v>
          </cell>
          <cell r="J56">
            <v>44.66</v>
          </cell>
          <cell r="L56">
            <v>41374</v>
          </cell>
          <cell r="M56">
            <v>41.170666666666662</v>
          </cell>
          <cell r="N56">
            <v>41.258666666666649</v>
          </cell>
          <cell r="O56">
            <v>41.781333333333322</v>
          </cell>
          <cell r="P56">
            <v>44.870666666666665</v>
          </cell>
          <cell r="Q56">
            <v>44.128666666666682</v>
          </cell>
          <cell r="R56">
            <v>33.115333333333332</v>
          </cell>
          <cell r="S56">
            <v>55.326333333333324</v>
          </cell>
          <cell r="T56">
            <v>47.275000000000006</v>
          </cell>
          <cell r="U56">
            <v>43.469000000000008</v>
          </cell>
        </row>
        <row r="57">
          <cell r="A57">
            <v>41373</v>
          </cell>
          <cell r="B57">
            <v>42.41</v>
          </cell>
          <cell r="C57">
            <v>42.94</v>
          </cell>
          <cell r="D57">
            <v>43.38</v>
          </cell>
          <cell r="E57">
            <v>45.6</v>
          </cell>
          <cell r="F57">
            <v>44.73</v>
          </cell>
          <cell r="G57">
            <v>33.58</v>
          </cell>
          <cell r="H57">
            <v>56.68</v>
          </cell>
          <cell r="I57">
            <v>48.27</v>
          </cell>
          <cell r="J57">
            <v>44.02</v>
          </cell>
          <cell r="L57">
            <v>41373</v>
          </cell>
          <cell r="M57">
            <v>41.062000000000005</v>
          </cell>
          <cell r="N57">
            <v>41.072666666666663</v>
          </cell>
          <cell r="O57">
            <v>41.670999999999985</v>
          </cell>
          <cell r="P57">
            <v>44.795999999999999</v>
          </cell>
          <cell r="Q57">
            <v>44.125000000000007</v>
          </cell>
          <cell r="R57">
            <v>33.033000000000001</v>
          </cell>
          <cell r="S57">
            <v>55.220333333333329</v>
          </cell>
          <cell r="T57">
            <v>47.126666666666672</v>
          </cell>
          <cell r="U57">
            <v>43.374333333333333</v>
          </cell>
        </row>
        <row r="58">
          <cell r="A58">
            <v>41372</v>
          </cell>
          <cell r="B58">
            <v>42.57</v>
          </cell>
          <cell r="C58">
            <v>42.84</v>
          </cell>
          <cell r="D58">
            <v>43.33</v>
          </cell>
          <cell r="E58">
            <v>45.6</v>
          </cell>
          <cell r="F58">
            <v>44.66</v>
          </cell>
          <cell r="G58">
            <v>33.78</v>
          </cell>
          <cell r="H58">
            <v>56.13</v>
          </cell>
          <cell r="I58">
            <v>48.47</v>
          </cell>
          <cell r="J58">
            <v>44.07</v>
          </cell>
          <cell r="L58">
            <v>41372</v>
          </cell>
          <cell r="M58">
            <v>40.962333333333341</v>
          </cell>
          <cell r="N58">
            <v>40.898999999999994</v>
          </cell>
          <cell r="O58">
            <v>41.569666666666663</v>
          </cell>
          <cell r="P58">
            <v>44.73833333333333</v>
          </cell>
          <cell r="Q58">
            <v>44.142666666666678</v>
          </cell>
          <cell r="R58">
            <v>32.979666666666667</v>
          </cell>
          <cell r="S58">
            <v>55.142333333333333</v>
          </cell>
          <cell r="T58">
            <v>46.992333333333342</v>
          </cell>
          <cell r="U58">
            <v>43.294666666666672</v>
          </cell>
        </row>
        <row r="59">
          <cell r="A59">
            <v>41369</v>
          </cell>
          <cell r="B59">
            <v>41.71</v>
          </cell>
          <cell r="C59">
            <v>42.12</v>
          </cell>
          <cell r="D59">
            <v>43.14</v>
          </cell>
          <cell r="E59">
            <v>45.15</v>
          </cell>
          <cell r="F59">
            <v>44.24</v>
          </cell>
          <cell r="G59">
            <v>33.369999999999997</v>
          </cell>
          <cell r="H59">
            <v>55.2</v>
          </cell>
          <cell r="I59">
            <v>47.97</v>
          </cell>
          <cell r="J59">
            <v>43.85</v>
          </cell>
          <cell r="L59">
            <v>41369</v>
          </cell>
          <cell r="M59">
            <v>40.869666666666674</v>
          </cell>
          <cell r="N59">
            <v>40.736999999999995</v>
          </cell>
          <cell r="O59">
            <v>41.486666666666665</v>
          </cell>
          <cell r="P59">
            <v>44.687333333333321</v>
          </cell>
          <cell r="Q59">
            <v>44.182333333333332</v>
          </cell>
          <cell r="R59">
            <v>32.936999999999998</v>
          </cell>
          <cell r="S59">
            <v>55.11333333333333</v>
          </cell>
          <cell r="T59">
            <v>46.885000000000005</v>
          </cell>
          <cell r="U59">
            <v>43.234000000000009</v>
          </cell>
        </row>
        <row r="60">
          <cell r="A60">
            <v>41368</v>
          </cell>
          <cell r="B60">
            <v>41.6</v>
          </cell>
          <cell r="C60">
            <v>42</v>
          </cell>
          <cell r="D60">
            <v>43</v>
          </cell>
          <cell r="E60">
            <v>44.84</v>
          </cell>
          <cell r="F60">
            <v>43.96</v>
          </cell>
          <cell r="G60">
            <v>33.229999999999997</v>
          </cell>
          <cell r="H60">
            <v>55.18</v>
          </cell>
          <cell r="I60">
            <v>48.07</v>
          </cell>
          <cell r="J60">
            <v>43.87</v>
          </cell>
          <cell r="L60">
            <v>41368</v>
          </cell>
          <cell r="M60">
            <v>40.800666666666665</v>
          </cell>
          <cell r="N60">
            <v>40.589666666666659</v>
          </cell>
          <cell r="O60">
            <v>41.404000000000003</v>
          </cell>
          <cell r="P60">
            <v>44.633999999999993</v>
          </cell>
          <cell r="Q60">
            <v>44.227666666666664</v>
          </cell>
          <cell r="R60">
            <v>32.891666666666673</v>
          </cell>
          <cell r="S60">
            <v>55.099000000000004</v>
          </cell>
          <cell r="T60">
            <v>46.768000000000008</v>
          </cell>
          <cell r="U60">
            <v>43.163666666666671</v>
          </cell>
        </row>
        <row r="61">
          <cell r="A61">
            <v>41367</v>
          </cell>
          <cell r="B61">
            <v>41.28</v>
          </cell>
          <cell r="C61">
            <v>41.63</v>
          </cell>
          <cell r="D61">
            <v>42.62</v>
          </cell>
          <cell r="E61">
            <v>44.49</v>
          </cell>
          <cell r="F61">
            <v>43.42</v>
          </cell>
          <cell r="G61">
            <v>32.64</v>
          </cell>
          <cell r="H61">
            <v>54.3</v>
          </cell>
          <cell r="I61">
            <v>47.41</v>
          </cell>
          <cell r="J61">
            <v>43.16</v>
          </cell>
          <cell r="L61">
            <v>41367</v>
          </cell>
          <cell r="M61">
            <v>40.739000000000004</v>
          </cell>
          <cell r="N61">
            <v>40.450000000000003</v>
          </cell>
          <cell r="O61">
            <v>41.333666666666673</v>
          </cell>
          <cell r="P61">
            <v>44.598333333333329</v>
          </cell>
          <cell r="Q61">
            <v>44.280333333333338</v>
          </cell>
          <cell r="R61">
            <v>32.852000000000004</v>
          </cell>
          <cell r="S61">
            <v>55.087999999999994</v>
          </cell>
          <cell r="T61">
            <v>46.649666666666675</v>
          </cell>
          <cell r="U61">
            <v>43.099333333333341</v>
          </cell>
        </row>
        <row r="62">
          <cell r="A62">
            <v>41366</v>
          </cell>
          <cell r="B62">
            <v>41.76</v>
          </cell>
          <cell r="C62">
            <v>42.28</v>
          </cell>
          <cell r="D62">
            <v>42.65</v>
          </cell>
          <cell r="E62">
            <v>44.97</v>
          </cell>
          <cell r="F62">
            <v>43.63</v>
          </cell>
          <cell r="G62">
            <v>32.950000000000003</v>
          </cell>
          <cell r="H62">
            <v>54.66</v>
          </cell>
          <cell r="I62">
            <v>47.67</v>
          </cell>
          <cell r="J62">
            <v>43.86</v>
          </cell>
          <cell r="L62">
            <v>41366</v>
          </cell>
          <cell r="M62">
            <v>40.688666666666663</v>
          </cell>
          <cell r="N62">
            <v>40.331333333333326</v>
          </cell>
          <cell r="O62">
            <v>41.278000000000006</v>
          </cell>
          <cell r="P62">
            <v>44.585999999999991</v>
          </cell>
          <cell r="Q62">
            <v>44.358333333333334</v>
          </cell>
          <cell r="R62">
            <v>32.854000000000006</v>
          </cell>
          <cell r="S62">
            <v>55.123000000000005</v>
          </cell>
          <cell r="T62">
            <v>46.57533333333334</v>
          </cell>
          <cell r="U62">
            <v>43.073999999999998</v>
          </cell>
        </row>
        <row r="63">
          <cell r="A63">
            <v>41365</v>
          </cell>
          <cell r="B63">
            <v>41.74</v>
          </cell>
          <cell r="C63">
            <v>42.28</v>
          </cell>
          <cell r="D63">
            <v>42.27</v>
          </cell>
          <cell r="E63">
            <v>44.79</v>
          </cell>
          <cell r="F63">
            <v>43.52</v>
          </cell>
          <cell r="G63">
            <v>33.01</v>
          </cell>
          <cell r="H63">
            <v>55.18</v>
          </cell>
          <cell r="I63">
            <v>47.57</v>
          </cell>
          <cell r="J63">
            <v>43.84</v>
          </cell>
          <cell r="L63">
            <v>41365</v>
          </cell>
          <cell r="M63">
            <v>40.621333333333332</v>
          </cell>
          <cell r="N63">
            <v>40.18533333333334</v>
          </cell>
          <cell r="O63">
            <v>41.204333333333345</v>
          </cell>
          <cell r="P63">
            <v>44.54699999999999</v>
          </cell>
          <cell r="Q63">
            <v>44.419666666666664</v>
          </cell>
          <cell r="R63">
            <v>32.823</v>
          </cell>
          <cell r="S63">
            <v>55.118000000000002</v>
          </cell>
          <cell r="T63">
            <v>46.469666666666676</v>
          </cell>
          <cell r="U63">
            <v>43.014333333333333</v>
          </cell>
        </row>
        <row r="64">
          <cell r="A64">
            <v>41361</v>
          </cell>
          <cell r="B64">
            <v>41.95</v>
          </cell>
          <cell r="C64">
            <v>42.69</v>
          </cell>
          <cell r="D64">
            <v>42.7</v>
          </cell>
          <cell r="E64">
            <v>44.85</v>
          </cell>
          <cell r="F64">
            <v>43.82</v>
          </cell>
          <cell r="G64">
            <v>32.880000000000003</v>
          </cell>
          <cell r="H64">
            <v>55.59</v>
          </cell>
          <cell r="I64">
            <v>47.46</v>
          </cell>
          <cell r="J64">
            <v>44.1</v>
          </cell>
          <cell r="L64">
            <v>41361</v>
          </cell>
          <cell r="M64">
            <v>40.554666666666662</v>
          </cell>
          <cell r="N64">
            <v>40.037666666666674</v>
          </cell>
          <cell r="O64">
            <v>41.140000000000008</v>
          </cell>
          <cell r="P64">
            <v>44.508666666666656</v>
          </cell>
          <cell r="Q64">
            <v>44.48533333333333</v>
          </cell>
          <cell r="R64">
            <v>32.788333333333334</v>
          </cell>
          <cell r="S64">
            <v>55.087999999999994</v>
          </cell>
          <cell r="T64">
            <v>46.373000000000005</v>
          </cell>
          <cell r="U64">
            <v>42.954333333333331</v>
          </cell>
        </row>
        <row r="65">
          <cell r="A65">
            <v>41360</v>
          </cell>
          <cell r="B65">
            <v>41.42</v>
          </cell>
          <cell r="C65">
            <v>42.09</v>
          </cell>
          <cell r="D65">
            <v>42.07</v>
          </cell>
          <cell r="E65">
            <v>44.78</v>
          </cell>
          <cell r="F65">
            <v>43.7</v>
          </cell>
          <cell r="G65">
            <v>32.89</v>
          </cell>
          <cell r="H65">
            <v>55.18</v>
          </cell>
          <cell r="I65">
            <v>47.42</v>
          </cell>
          <cell r="J65">
            <v>44</v>
          </cell>
          <cell r="L65">
            <v>41360</v>
          </cell>
          <cell r="M65">
            <v>40.496666666666663</v>
          </cell>
          <cell r="N65">
            <v>39.884666666666668</v>
          </cell>
          <cell r="O65">
            <v>41.068333333333342</v>
          </cell>
          <cell r="P65">
            <v>44.476666666666667</v>
          </cell>
          <cell r="Q65">
            <v>44.553666666666665</v>
          </cell>
          <cell r="R65">
            <v>32.765000000000001</v>
          </cell>
          <cell r="S65">
            <v>55.056333333333328</v>
          </cell>
          <cell r="T65">
            <v>46.291666666666664</v>
          </cell>
          <cell r="U65">
            <v>42.895666666666664</v>
          </cell>
        </row>
        <row r="66">
          <cell r="A66">
            <v>41359</v>
          </cell>
          <cell r="B66">
            <v>41.59</v>
          </cell>
          <cell r="C66">
            <v>42.1</v>
          </cell>
          <cell r="D66">
            <v>42.13</v>
          </cell>
          <cell r="E66">
            <v>44.97</v>
          </cell>
          <cell r="F66">
            <v>43.84</v>
          </cell>
          <cell r="G66">
            <v>32.94</v>
          </cell>
          <cell r="H66">
            <v>55.42</v>
          </cell>
          <cell r="I66">
            <v>47.8</v>
          </cell>
          <cell r="J66">
            <v>44.12</v>
          </cell>
          <cell r="L66">
            <v>41359</v>
          </cell>
          <cell r="M66">
            <v>40.466999999999992</v>
          </cell>
          <cell r="N66">
            <v>39.748666666666665</v>
          </cell>
          <cell r="O66">
            <v>41.01466666666667</v>
          </cell>
          <cell r="P66">
            <v>44.435666666666663</v>
          </cell>
          <cell r="Q66">
            <v>44.615999999999993</v>
          </cell>
          <cell r="R66">
            <v>32.741666666666667</v>
          </cell>
          <cell r="S66">
            <v>55.04066666666666</v>
          </cell>
          <cell r="T66">
            <v>46.216000000000008</v>
          </cell>
          <cell r="U66">
            <v>42.845333333333329</v>
          </cell>
        </row>
        <row r="67">
          <cell r="A67">
            <v>41358</v>
          </cell>
          <cell r="B67">
            <v>41.32</v>
          </cell>
          <cell r="C67">
            <v>41.69</v>
          </cell>
          <cell r="D67">
            <v>41.59</v>
          </cell>
          <cell r="E67">
            <v>44.43</v>
          </cell>
          <cell r="F67">
            <v>43.74</v>
          </cell>
          <cell r="G67">
            <v>32.71</v>
          </cell>
          <cell r="H67">
            <v>54.66</v>
          </cell>
          <cell r="I67">
            <v>47.42</v>
          </cell>
          <cell r="J67">
            <v>43.72</v>
          </cell>
          <cell r="L67">
            <v>41358</v>
          </cell>
          <cell r="M67">
            <v>40.423333333333325</v>
          </cell>
          <cell r="N67">
            <v>39.60733333333333</v>
          </cell>
          <cell r="O67">
            <v>40.962666666666671</v>
          </cell>
          <cell r="P67">
            <v>44.361333333333341</v>
          </cell>
          <cell r="Q67">
            <v>44.669999999999995</v>
          </cell>
          <cell r="R67">
            <v>32.713666666666668</v>
          </cell>
          <cell r="S67">
            <v>55.011666666666656</v>
          </cell>
          <cell r="T67">
            <v>46.117333333333342</v>
          </cell>
          <cell r="U67">
            <v>42.778999999999996</v>
          </cell>
        </row>
        <row r="68">
          <cell r="A68">
            <v>41355</v>
          </cell>
          <cell r="B68">
            <v>41.47</v>
          </cell>
          <cell r="C68">
            <v>41.74</v>
          </cell>
          <cell r="D68">
            <v>41.86</v>
          </cell>
          <cell r="E68">
            <v>44.79</v>
          </cell>
          <cell r="F68">
            <v>44.06</v>
          </cell>
          <cell r="G68">
            <v>32.99</v>
          </cell>
          <cell r="H68">
            <v>55.05</v>
          </cell>
          <cell r="I68">
            <v>47.78</v>
          </cell>
          <cell r="J68">
            <v>43.79</v>
          </cell>
          <cell r="L68">
            <v>41355</v>
          </cell>
          <cell r="M68">
            <v>40.390999999999991</v>
          </cell>
          <cell r="N68">
            <v>39.477666666666664</v>
          </cell>
          <cell r="O68">
            <v>40.924000000000007</v>
          </cell>
          <cell r="P68">
            <v>44.288666666666671</v>
          </cell>
          <cell r="Q68">
            <v>44.726666666666667</v>
          </cell>
          <cell r="R68">
            <v>32.69533333333333</v>
          </cell>
          <cell r="S68">
            <v>55.006999999999984</v>
          </cell>
          <cell r="T68">
            <v>46.033666666666676</v>
          </cell>
          <cell r="U68">
            <v>42.729333333333336</v>
          </cell>
        </row>
        <row r="69">
          <cell r="A69">
            <v>41354</v>
          </cell>
          <cell r="B69">
            <v>41.33</v>
          </cell>
          <cell r="C69">
            <v>41.52</v>
          </cell>
          <cell r="D69">
            <v>41.43</v>
          </cell>
          <cell r="E69">
            <v>44.58</v>
          </cell>
          <cell r="F69">
            <v>43.92</v>
          </cell>
          <cell r="G69">
            <v>32.9</v>
          </cell>
          <cell r="H69">
            <v>54.76</v>
          </cell>
          <cell r="I69">
            <v>47.43</v>
          </cell>
          <cell r="J69">
            <v>43.61</v>
          </cell>
          <cell r="L69">
            <v>41354</v>
          </cell>
          <cell r="M69">
            <v>40.341999999999992</v>
          </cell>
          <cell r="N69">
            <v>39.344000000000001</v>
          </cell>
          <cell r="O69">
            <v>40.875666666666682</v>
          </cell>
          <cell r="P69">
            <v>44.145666666666671</v>
          </cell>
          <cell r="Q69">
            <v>44.774333333333331</v>
          </cell>
          <cell r="R69">
            <v>32.666999999999994</v>
          </cell>
          <cell r="S69">
            <v>54.977666666666664</v>
          </cell>
          <cell r="T69">
            <v>45.935000000000009</v>
          </cell>
          <cell r="U69">
            <v>42.69233333333333</v>
          </cell>
        </row>
        <row r="70">
          <cell r="A70">
            <v>41353</v>
          </cell>
          <cell r="B70">
            <v>41.51</v>
          </cell>
          <cell r="C70">
            <v>41.64</v>
          </cell>
          <cell r="D70">
            <v>41.53</v>
          </cell>
          <cell r="E70">
            <v>44.74</v>
          </cell>
          <cell r="F70">
            <v>44.09</v>
          </cell>
          <cell r="G70">
            <v>33.54</v>
          </cell>
          <cell r="H70">
            <v>55.07</v>
          </cell>
          <cell r="I70">
            <v>47.74</v>
          </cell>
          <cell r="J70">
            <v>44.17</v>
          </cell>
          <cell r="L70">
            <v>41353</v>
          </cell>
          <cell r="M70">
            <v>40.307333333333325</v>
          </cell>
          <cell r="N70">
            <v>39.212666666666671</v>
          </cell>
          <cell r="O70">
            <v>40.840333333333334</v>
          </cell>
          <cell r="P70">
            <v>44.05233333333333</v>
          </cell>
          <cell r="Q70">
            <v>44.833333333333336</v>
          </cell>
          <cell r="R70">
            <v>32.64</v>
          </cell>
          <cell r="S70">
            <v>54.953999999999994</v>
          </cell>
          <cell r="T70">
            <v>45.848333333333336</v>
          </cell>
          <cell r="U70">
            <v>42.611666666666672</v>
          </cell>
        </row>
        <row r="71">
          <cell r="A71">
            <v>41352</v>
          </cell>
          <cell r="B71">
            <v>41.15</v>
          </cell>
          <cell r="C71">
            <v>41.23</v>
          </cell>
          <cell r="D71">
            <v>41.17</v>
          </cell>
          <cell r="E71">
            <v>44.37</v>
          </cell>
          <cell r="F71">
            <v>43.81</v>
          </cell>
          <cell r="G71">
            <v>33.28</v>
          </cell>
          <cell r="H71">
            <v>54.63</v>
          </cell>
          <cell r="I71">
            <v>47.43</v>
          </cell>
          <cell r="J71">
            <v>43.74</v>
          </cell>
          <cell r="L71">
            <v>41352</v>
          </cell>
          <cell r="M71">
            <v>40.328999999999994</v>
          </cell>
          <cell r="N71">
            <v>39.07533333333334</v>
          </cell>
          <cell r="O71">
            <v>40.799999999999997</v>
          </cell>
          <cell r="P71">
            <v>43.955666666666652</v>
          </cell>
          <cell r="Q71">
            <v>44.885333333333328</v>
          </cell>
          <cell r="R71">
            <v>32.588333333333338</v>
          </cell>
          <cell r="S71">
            <v>54.92166666666666</v>
          </cell>
          <cell r="T71">
            <v>45.751999999999995</v>
          </cell>
          <cell r="U71">
            <v>42.549333333333337</v>
          </cell>
        </row>
        <row r="72">
          <cell r="A72">
            <v>41351</v>
          </cell>
          <cell r="B72">
            <v>41.06</v>
          </cell>
          <cell r="C72">
            <v>40.92</v>
          </cell>
          <cell r="D72">
            <v>40.79</v>
          </cell>
          <cell r="E72">
            <v>43.88</v>
          </cell>
          <cell r="F72">
            <v>43.85</v>
          </cell>
          <cell r="G72">
            <v>33.24</v>
          </cell>
          <cell r="H72">
            <v>54.58</v>
          </cell>
          <cell r="I72">
            <v>47.32</v>
          </cell>
          <cell r="J72">
            <v>43.65</v>
          </cell>
          <cell r="L72">
            <v>41351</v>
          </cell>
          <cell r="M72">
            <v>40.351999999999997</v>
          </cell>
          <cell r="N72">
            <v>38.952666666666666</v>
          </cell>
          <cell r="O72">
            <v>40.75833333333334</v>
          </cell>
          <cell r="P72">
            <v>43.858999999999995</v>
          </cell>
          <cell r="Q72">
            <v>44.932333333333332</v>
          </cell>
          <cell r="R72">
            <v>32.541333333333334</v>
          </cell>
          <cell r="S72">
            <v>54.889333333333326</v>
          </cell>
          <cell r="T72">
            <v>45.655333333333324</v>
          </cell>
          <cell r="U72">
            <v>42.490333333333332</v>
          </cell>
        </row>
        <row r="73">
          <cell r="A73">
            <v>41348</v>
          </cell>
          <cell r="B73">
            <v>41.15</v>
          </cell>
          <cell r="C73">
            <v>41.27</v>
          </cell>
          <cell r="D73">
            <v>40.75</v>
          </cell>
          <cell r="E73">
            <v>44.64</v>
          </cell>
          <cell r="F73">
            <v>43.85</v>
          </cell>
          <cell r="G73">
            <v>33.57</v>
          </cell>
          <cell r="H73">
            <v>55.2</v>
          </cell>
          <cell r="I73">
            <v>47.76</v>
          </cell>
          <cell r="J73">
            <v>43.95</v>
          </cell>
          <cell r="L73">
            <v>41348</v>
          </cell>
          <cell r="M73">
            <v>40.392666666666663</v>
          </cell>
          <cell r="N73">
            <v>38.844000000000008</v>
          </cell>
          <cell r="O73">
            <v>40.736333333333341</v>
          </cell>
          <cell r="P73">
            <v>43.81466666666666</v>
          </cell>
          <cell r="Q73">
            <v>45.005666666666677</v>
          </cell>
          <cell r="R73">
            <v>32.501666666666672</v>
          </cell>
          <cell r="S73">
            <v>54.88066666666667</v>
          </cell>
          <cell r="T73">
            <v>45.586666666666659</v>
          </cell>
          <cell r="U73">
            <v>42.44466666666667</v>
          </cell>
        </row>
        <row r="74">
          <cell r="A74">
            <v>41347</v>
          </cell>
          <cell r="B74">
            <v>40.93</v>
          </cell>
          <cell r="C74">
            <v>41.11</v>
          </cell>
          <cell r="D74">
            <v>41.26</v>
          </cell>
          <cell r="E74">
            <v>44.5</v>
          </cell>
          <cell r="F74">
            <v>43.74</v>
          </cell>
          <cell r="G74">
            <v>33.51</v>
          </cell>
          <cell r="H74">
            <v>55.59</v>
          </cell>
          <cell r="I74">
            <v>47.07</v>
          </cell>
          <cell r="J74">
            <v>43.75</v>
          </cell>
          <cell r="L74">
            <v>41347</v>
          </cell>
          <cell r="M74">
            <v>40.414333333333325</v>
          </cell>
          <cell r="N74">
            <v>38.713666666666668</v>
          </cell>
          <cell r="O74">
            <v>40.708666666666673</v>
          </cell>
          <cell r="P74">
            <v>43.727666666666657</v>
          </cell>
          <cell r="Q74">
            <v>45.058000000000014</v>
          </cell>
          <cell r="R74">
            <v>32.44133333333334</v>
          </cell>
          <cell r="S74">
            <v>54.85</v>
          </cell>
          <cell r="T74">
            <v>45.479333333333322</v>
          </cell>
          <cell r="U74">
            <v>42.377333333333347</v>
          </cell>
        </row>
        <row r="75">
          <cell r="A75">
            <v>41346</v>
          </cell>
          <cell r="B75">
            <v>40.74</v>
          </cell>
          <cell r="C75">
            <v>41.15</v>
          </cell>
          <cell r="D75">
            <v>41.03</v>
          </cell>
          <cell r="E75">
            <v>44.38</v>
          </cell>
          <cell r="F75">
            <v>43.71</v>
          </cell>
          <cell r="G75">
            <v>33.43</v>
          </cell>
          <cell r="H75">
            <v>55.45</v>
          </cell>
          <cell r="I75">
            <v>46.8</v>
          </cell>
          <cell r="J75">
            <v>43.55</v>
          </cell>
          <cell r="L75">
            <v>41346</v>
          </cell>
          <cell r="M75">
            <v>40.437333333333321</v>
          </cell>
          <cell r="N75">
            <v>38.585000000000008</v>
          </cell>
          <cell r="O75">
            <v>40.660666666666678</v>
          </cell>
          <cell r="P75">
            <v>43.643999999999991</v>
          </cell>
          <cell r="Q75">
            <v>45.109666666666676</v>
          </cell>
          <cell r="R75">
            <v>32.381</v>
          </cell>
          <cell r="S75">
            <v>54.800333333333342</v>
          </cell>
          <cell r="T75">
            <v>45.386666666666656</v>
          </cell>
          <cell r="U75">
            <v>42.310000000000009</v>
          </cell>
        </row>
        <row r="76">
          <cell r="A76">
            <v>41345</v>
          </cell>
          <cell r="B76">
            <v>40.71</v>
          </cell>
          <cell r="C76">
            <v>41.02</v>
          </cell>
          <cell r="D76">
            <v>40.85</v>
          </cell>
          <cell r="E76">
            <v>44.95</v>
          </cell>
          <cell r="F76">
            <v>43.6</v>
          </cell>
          <cell r="G76">
            <v>33.28</v>
          </cell>
          <cell r="H76">
            <v>55.41</v>
          </cell>
          <cell r="I76">
            <v>46.72</v>
          </cell>
          <cell r="J76">
            <v>43.44</v>
          </cell>
          <cell r="L76">
            <v>41345</v>
          </cell>
          <cell r="M76">
            <v>40.468666666666657</v>
          </cell>
          <cell r="N76">
            <v>38.465666666666671</v>
          </cell>
          <cell r="O76">
            <v>40.626000000000005</v>
          </cell>
          <cell r="P76">
            <v>43.578666666666663</v>
          </cell>
          <cell r="Q76">
            <v>45.195333333333345</v>
          </cell>
          <cell r="R76">
            <v>32.339333333333329</v>
          </cell>
          <cell r="S76">
            <v>54.763333333333328</v>
          </cell>
          <cell r="T76">
            <v>45.320999999999984</v>
          </cell>
          <cell r="U76">
            <v>42.257666666666665</v>
          </cell>
        </row>
        <row r="77">
          <cell r="A77">
            <v>41344</v>
          </cell>
          <cell r="B77">
            <v>41.03</v>
          </cell>
          <cell r="C77">
            <v>41.43</v>
          </cell>
          <cell r="D77">
            <v>41.18</v>
          </cell>
          <cell r="E77">
            <v>45.27</v>
          </cell>
          <cell r="F77">
            <v>44.2</v>
          </cell>
          <cell r="G77">
            <v>33.39</v>
          </cell>
          <cell r="H77">
            <v>55.81</v>
          </cell>
          <cell r="I77">
            <v>47.1</v>
          </cell>
          <cell r="J77">
            <v>43.26</v>
          </cell>
          <cell r="L77">
            <v>41344</v>
          </cell>
          <cell r="M77">
            <v>40.491</v>
          </cell>
          <cell r="N77">
            <v>38.341999999999999</v>
          </cell>
          <cell r="O77">
            <v>40.601666666666667</v>
          </cell>
          <cell r="P77">
            <v>43.486333333333327</v>
          </cell>
          <cell r="Q77">
            <v>45.288666666666678</v>
          </cell>
          <cell r="R77">
            <v>32.327666666666659</v>
          </cell>
          <cell r="S77">
            <v>54.715999999999994</v>
          </cell>
          <cell r="T77">
            <v>45.242999999999988</v>
          </cell>
          <cell r="U77">
            <v>42.203666666666663</v>
          </cell>
        </row>
        <row r="78">
          <cell r="A78">
            <v>41341</v>
          </cell>
          <cell r="B78">
            <v>40.770000000000003</v>
          </cell>
          <cell r="C78">
            <v>40.85</v>
          </cell>
          <cell r="D78">
            <v>41.23</v>
          </cell>
          <cell r="E78">
            <v>45.27</v>
          </cell>
          <cell r="F78">
            <v>44.13</v>
          </cell>
          <cell r="G78">
            <v>33.270000000000003</v>
          </cell>
          <cell r="H78">
            <v>55.28</v>
          </cell>
          <cell r="I78">
            <v>46.88</v>
          </cell>
          <cell r="J78">
            <v>42.99</v>
          </cell>
          <cell r="L78">
            <v>41341</v>
          </cell>
          <cell r="M78">
            <v>40.49966666666667</v>
          </cell>
          <cell r="N78">
            <v>38.197666666666663</v>
          </cell>
          <cell r="O78">
            <v>40.543666666666667</v>
          </cell>
          <cell r="P78">
            <v>43.37266666666666</v>
          </cell>
          <cell r="Q78">
            <v>45.341333333333338</v>
          </cell>
          <cell r="R78">
            <v>32.305999999999997</v>
          </cell>
          <cell r="S78">
            <v>54.649666666666661</v>
          </cell>
          <cell r="T78">
            <v>45.151999999999994</v>
          </cell>
          <cell r="U78">
            <v>42.148999999999994</v>
          </cell>
        </row>
        <row r="79">
          <cell r="A79">
            <v>41340</v>
          </cell>
          <cell r="B79">
            <v>40.28</v>
          </cell>
          <cell r="C79">
            <v>40.479999999999997</v>
          </cell>
          <cell r="D79">
            <v>40.78</v>
          </cell>
          <cell r="E79">
            <v>44.98</v>
          </cell>
          <cell r="F79">
            <v>44.01</v>
          </cell>
          <cell r="G79">
            <v>33.08</v>
          </cell>
          <cell r="H79">
            <v>55.07</v>
          </cell>
          <cell r="I79">
            <v>46.73</v>
          </cell>
          <cell r="J79">
            <v>42.65</v>
          </cell>
          <cell r="L79">
            <v>41340</v>
          </cell>
          <cell r="M79">
            <v>40.516666666666666</v>
          </cell>
          <cell r="N79">
            <v>38.069333333333333</v>
          </cell>
          <cell r="O79">
            <v>40.486666666666665</v>
          </cell>
          <cell r="P79">
            <v>43.244666666666674</v>
          </cell>
          <cell r="Q79">
            <v>45.385333333333342</v>
          </cell>
          <cell r="R79">
            <v>32.285666666666664</v>
          </cell>
          <cell r="S79">
            <v>54.59633333333332</v>
          </cell>
          <cell r="T79">
            <v>45.057999999999993</v>
          </cell>
          <cell r="U79">
            <v>42.092999999999996</v>
          </cell>
        </row>
        <row r="80">
          <cell r="A80">
            <v>41339</v>
          </cell>
          <cell r="B80">
            <v>40.11</v>
          </cell>
          <cell r="C80">
            <v>40.32</v>
          </cell>
          <cell r="D80">
            <v>41.85</v>
          </cell>
          <cell r="E80">
            <v>45</v>
          </cell>
          <cell r="F80">
            <v>43.88</v>
          </cell>
          <cell r="G80">
            <v>32.979999999999997</v>
          </cell>
          <cell r="H80">
            <v>55.54</v>
          </cell>
          <cell r="I80">
            <v>46.68</v>
          </cell>
          <cell r="J80">
            <v>42.59</v>
          </cell>
          <cell r="L80">
            <v>41339</v>
          </cell>
          <cell r="M80">
            <v>40.545666666666669</v>
          </cell>
          <cell r="N80">
            <v>37.960333333333331</v>
          </cell>
          <cell r="O80">
            <v>40.434333333333335</v>
          </cell>
          <cell r="P80">
            <v>43.118666666666662</v>
          </cell>
          <cell r="Q80">
            <v>45.427666666666681</v>
          </cell>
          <cell r="R80">
            <v>32.271666666666661</v>
          </cell>
          <cell r="S80">
            <v>54.542999999999992</v>
          </cell>
          <cell r="T80">
            <v>44.962999999999994</v>
          </cell>
          <cell r="U80">
            <v>42.034333333333322</v>
          </cell>
        </row>
        <row r="81">
          <cell r="A81">
            <v>41338</v>
          </cell>
          <cell r="B81">
            <v>40.270000000000003</v>
          </cell>
          <cell r="C81">
            <v>40.11</v>
          </cell>
          <cell r="D81">
            <v>41.46</v>
          </cell>
          <cell r="E81">
            <v>45.11</v>
          </cell>
          <cell r="F81">
            <v>44.01</v>
          </cell>
          <cell r="G81">
            <v>32.880000000000003</v>
          </cell>
          <cell r="H81">
            <v>55.79</v>
          </cell>
          <cell r="I81">
            <v>46.65</v>
          </cell>
          <cell r="J81">
            <v>42.61</v>
          </cell>
          <cell r="L81">
            <v>41338</v>
          </cell>
          <cell r="M81">
            <v>40.589333333333336</v>
          </cell>
          <cell r="N81">
            <v>37.864333333333335</v>
          </cell>
          <cell r="O81">
            <v>40.357999999999997</v>
          </cell>
          <cell r="P81">
            <v>43.005666666666663</v>
          </cell>
          <cell r="Q81">
            <v>45.472999999999999</v>
          </cell>
          <cell r="R81">
            <v>32.268666666666661</v>
          </cell>
          <cell r="S81">
            <v>54.470999999999989</v>
          </cell>
          <cell r="T81">
            <v>44.870000000000005</v>
          </cell>
          <cell r="U81">
            <v>41.982666666666653</v>
          </cell>
        </row>
        <row r="82">
          <cell r="A82">
            <v>41337</v>
          </cell>
          <cell r="B82">
            <v>40.24</v>
          </cell>
          <cell r="C82">
            <v>39.479999999999997</v>
          </cell>
          <cell r="D82">
            <v>41.1</v>
          </cell>
          <cell r="E82">
            <v>44.6</v>
          </cell>
          <cell r="F82">
            <v>43.74</v>
          </cell>
          <cell r="G82">
            <v>32.72</v>
          </cell>
          <cell r="H82">
            <v>55.56</v>
          </cell>
          <cell r="I82">
            <v>46.72</v>
          </cell>
          <cell r="J82">
            <v>42.42</v>
          </cell>
          <cell r="L82">
            <v>41337</v>
          </cell>
          <cell r="M82">
            <v>40.619000000000007</v>
          </cell>
          <cell r="N82">
            <v>37.76</v>
          </cell>
          <cell r="O82">
            <v>40.275999999999996</v>
          </cell>
          <cell r="P82">
            <v>42.871666666666663</v>
          </cell>
          <cell r="Q82">
            <v>45.470333333333336</v>
          </cell>
          <cell r="R82">
            <v>32.262666666666661</v>
          </cell>
          <cell r="S82">
            <v>54.372666666666653</v>
          </cell>
          <cell r="T82">
            <v>44.771000000000001</v>
          </cell>
          <cell r="U82">
            <v>41.913666666666664</v>
          </cell>
        </row>
        <row r="83">
          <cell r="A83">
            <v>41334</v>
          </cell>
          <cell r="B83">
            <v>40.18</v>
          </cell>
          <cell r="C83">
            <v>38.86</v>
          </cell>
          <cell r="D83">
            <v>41.1</v>
          </cell>
          <cell r="E83">
            <v>45.09</v>
          </cell>
          <cell r="F83">
            <v>45.73</v>
          </cell>
          <cell r="G83">
            <v>32.65</v>
          </cell>
          <cell r="H83">
            <v>55.55</v>
          </cell>
          <cell r="I83">
            <v>46.5</v>
          </cell>
          <cell r="J83">
            <v>42.29</v>
          </cell>
          <cell r="L83">
            <v>41334</v>
          </cell>
          <cell r="M83">
            <v>40.644333333333336</v>
          </cell>
          <cell r="N83">
            <v>37.657000000000004</v>
          </cell>
          <cell r="O83">
            <v>40.202333333333335</v>
          </cell>
          <cell r="P83">
            <v>42.746666666666655</v>
          </cell>
          <cell r="Q83">
            <v>45.469666666666669</v>
          </cell>
          <cell r="R83">
            <v>32.241</v>
          </cell>
          <cell r="S83">
            <v>54.262666666666654</v>
          </cell>
          <cell r="T83">
            <v>44.653000000000006</v>
          </cell>
          <cell r="U83">
            <v>41.831666666666663</v>
          </cell>
        </row>
        <row r="84">
          <cell r="A84">
            <v>41333</v>
          </cell>
          <cell r="B84">
            <v>39.96</v>
          </cell>
          <cell r="C84">
            <v>38.17</v>
          </cell>
          <cell r="D84">
            <v>40.76</v>
          </cell>
          <cell r="E84">
            <v>44.56</v>
          </cell>
          <cell r="F84">
            <v>45.55</v>
          </cell>
          <cell r="G84">
            <v>32.24</v>
          </cell>
          <cell r="H84">
            <v>55.14</v>
          </cell>
          <cell r="I84">
            <v>45.3</v>
          </cell>
          <cell r="J84">
            <v>42.17</v>
          </cell>
          <cell r="L84">
            <v>41333</v>
          </cell>
          <cell r="M84">
            <v>40.655333333333331</v>
          </cell>
          <cell r="N84">
            <v>37.565666666666665</v>
          </cell>
          <cell r="O84">
            <v>40.117333333333335</v>
          </cell>
          <cell r="P84">
            <v>42.595333333333322</v>
          </cell>
          <cell r="Q84">
            <v>45.404000000000003</v>
          </cell>
          <cell r="R84">
            <v>32.201666666666668</v>
          </cell>
          <cell r="S84">
            <v>54.139999999999986</v>
          </cell>
          <cell r="T84">
            <v>44.535666666666671</v>
          </cell>
          <cell r="U84">
            <v>41.731333333333332</v>
          </cell>
        </row>
        <row r="85">
          <cell r="A85">
            <v>41332</v>
          </cell>
          <cell r="B85">
            <v>39.979999999999997</v>
          </cell>
          <cell r="C85">
            <v>38.369999999999997</v>
          </cell>
          <cell r="D85">
            <v>40.450000000000003</v>
          </cell>
          <cell r="E85">
            <v>44.41</v>
          </cell>
          <cell r="F85">
            <v>45.38</v>
          </cell>
          <cell r="G85">
            <v>32.090000000000003</v>
          </cell>
          <cell r="H85">
            <v>54.5</v>
          </cell>
          <cell r="I85">
            <v>44.97</v>
          </cell>
          <cell r="J85">
            <v>42.17</v>
          </cell>
          <cell r="L85">
            <v>41332</v>
          </cell>
          <cell r="M85">
            <v>40.675666666666658</v>
          </cell>
          <cell r="N85">
            <v>37.495666666666665</v>
          </cell>
          <cell r="O85">
            <v>40.047666666666672</v>
          </cell>
          <cell r="P85">
            <v>42.455999999999989</v>
          </cell>
          <cell r="Q85">
            <v>45.357333333333344</v>
          </cell>
          <cell r="R85">
            <v>32.17966666666667</v>
          </cell>
          <cell r="S85">
            <v>54.030666666666654</v>
          </cell>
          <cell r="T85">
            <v>44.462000000000003</v>
          </cell>
          <cell r="U85">
            <v>41.622</v>
          </cell>
        </row>
        <row r="86">
          <cell r="A86">
            <v>41331</v>
          </cell>
          <cell r="B86">
            <v>39.64</v>
          </cell>
          <cell r="C86">
            <v>37.85</v>
          </cell>
          <cell r="D86">
            <v>40.67</v>
          </cell>
          <cell r="E86">
            <v>44.29</v>
          </cell>
          <cell r="F86">
            <v>45.23</v>
          </cell>
          <cell r="G86">
            <v>31.97</v>
          </cell>
          <cell r="H86">
            <v>54.45</v>
          </cell>
          <cell r="I86">
            <v>44.69</v>
          </cell>
          <cell r="J86">
            <v>41.82</v>
          </cell>
          <cell r="L86">
            <v>41331</v>
          </cell>
          <cell r="M86">
            <v>40.684666666666658</v>
          </cell>
          <cell r="N86">
            <v>37.408333333333331</v>
          </cell>
          <cell r="O86">
            <v>39.988333333333337</v>
          </cell>
          <cell r="P86">
            <v>42.317666666666653</v>
          </cell>
          <cell r="Q86">
            <v>45.326666666666668</v>
          </cell>
          <cell r="R86">
            <v>32.160666666666671</v>
          </cell>
          <cell r="S86">
            <v>53.953666666666656</v>
          </cell>
          <cell r="T86">
            <v>44.392666666666678</v>
          </cell>
          <cell r="U86">
            <v>41.507000000000012</v>
          </cell>
        </row>
        <row r="87">
          <cell r="A87">
            <v>41330</v>
          </cell>
          <cell r="B87">
            <v>39.42</v>
          </cell>
          <cell r="C87">
            <v>37.729999999999997</v>
          </cell>
          <cell r="D87">
            <v>40.340000000000003</v>
          </cell>
          <cell r="E87">
            <v>43.87</v>
          </cell>
          <cell r="F87">
            <v>45.26</v>
          </cell>
          <cell r="G87">
            <v>31.98</v>
          </cell>
          <cell r="H87">
            <v>54.34</v>
          </cell>
          <cell r="I87">
            <v>44.24</v>
          </cell>
          <cell r="J87">
            <v>41.63</v>
          </cell>
          <cell r="L87">
            <v>41330</v>
          </cell>
          <cell r="M87">
            <v>40.707999999999984</v>
          </cell>
          <cell r="N87">
            <v>37.331000000000003</v>
          </cell>
          <cell r="O87">
            <v>39.906000000000013</v>
          </cell>
          <cell r="P87">
            <v>42.158999999999992</v>
          </cell>
          <cell r="Q87">
            <v>45.297666666666672</v>
          </cell>
          <cell r="R87">
            <v>32.145000000000003</v>
          </cell>
          <cell r="S87">
            <v>53.871999999999993</v>
          </cell>
          <cell r="T87">
            <v>44.323333333333345</v>
          </cell>
          <cell r="U87">
            <v>41.403000000000006</v>
          </cell>
        </row>
        <row r="88">
          <cell r="A88">
            <v>41327</v>
          </cell>
          <cell r="B88">
            <v>39.79</v>
          </cell>
          <cell r="C88">
            <v>37.979999999999997</v>
          </cell>
          <cell r="D88">
            <v>40.840000000000003</v>
          </cell>
          <cell r="E88">
            <v>44.07</v>
          </cell>
          <cell r="F88">
            <v>45.85</v>
          </cell>
          <cell r="G88">
            <v>32.5</v>
          </cell>
          <cell r="H88">
            <v>55.26</v>
          </cell>
          <cell r="I88">
            <v>45.25</v>
          </cell>
          <cell r="J88">
            <v>42.25</v>
          </cell>
          <cell r="L88">
            <v>41327</v>
          </cell>
          <cell r="M88">
            <v>40.749666666666663</v>
          </cell>
          <cell r="N88">
            <v>37.263333333333335</v>
          </cell>
          <cell r="O88">
            <v>39.824333333333342</v>
          </cell>
          <cell r="P88">
            <v>42.013333333333328</v>
          </cell>
          <cell r="Q88">
            <v>45.267666666666656</v>
          </cell>
          <cell r="R88">
            <v>32.12733333333334</v>
          </cell>
          <cell r="S88">
            <v>53.785999999999987</v>
          </cell>
          <cell r="T88">
            <v>44.256666666666668</v>
          </cell>
          <cell r="U88">
            <v>41.305</v>
          </cell>
        </row>
        <row r="89">
          <cell r="A89">
            <v>41326</v>
          </cell>
          <cell r="B89">
            <v>39.64</v>
          </cell>
          <cell r="C89">
            <v>37.700000000000003</v>
          </cell>
          <cell r="D89">
            <v>40.659999999999997</v>
          </cell>
          <cell r="E89">
            <v>43.55</v>
          </cell>
          <cell r="F89">
            <v>45.6</v>
          </cell>
          <cell r="G89">
            <v>32.01</v>
          </cell>
          <cell r="H89">
            <v>54.77</v>
          </cell>
          <cell r="I89">
            <v>44.46</v>
          </cell>
          <cell r="J89">
            <v>41.74</v>
          </cell>
          <cell r="L89">
            <v>41326</v>
          </cell>
          <cell r="M89">
            <v>40.771666666666661</v>
          </cell>
          <cell r="N89">
            <v>37.178333333333349</v>
          </cell>
          <cell r="O89">
            <v>39.739666666666672</v>
          </cell>
          <cell r="P89">
            <v>41.855333333333334</v>
          </cell>
          <cell r="Q89">
            <v>45.219333333333331</v>
          </cell>
          <cell r="R89">
            <v>32.086333333333336</v>
          </cell>
          <cell r="S89">
            <v>53.661666666666662</v>
          </cell>
          <cell r="T89">
            <v>44.161999999999999</v>
          </cell>
          <cell r="U89">
            <v>41.190000000000012</v>
          </cell>
        </row>
        <row r="90">
          <cell r="A90">
            <v>41325</v>
          </cell>
          <cell r="B90">
            <v>39.75</v>
          </cell>
          <cell r="C90">
            <v>37.81</v>
          </cell>
          <cell r="D90">
            <v>40.89</v>
          </cell>
          <cell r="E90">
            <v>43.77</v>
          </cell>
          <cell r="F90">
            <v>45.54</v>
          </cell>
          <cell r="G90">
            <v>32.04</v>
          </cell>
          <cell r="H90">
            <v>54.85</v>
          </cell>
          <cell r="I90">
            <v>44.52</v>
          </cell>
          <cell r="J90">
            <v>41.94</v>
          </cell>
          <cell r="L90">
            <v>41325</v>
          </cell>
          <cell r="M90">
            <v>40.800666666666658</v>
          </cell>
          <cell r="N90">
            <v>37.094333333333338</v>
          </cell>
          <cell r="O90">
            <v>39.650666666666673</v>
          </cell>
          <cell r="P90">
            <v>41.713999999999992</v>
          </cell>
          <cell r="Q90">
            <v>45.180999999999997</v>
          </cell>
          <cell r="R90">
            <v>32.059333333333335</v>
          </cell>
          <cell r="S90">
            <v>53.553333333333327</v>
          </cell>
          <cell r="T90">
            <v>44.094999999999999</v>
          </cell>
          <cell r="U90">
            <v>41.085666666666661</v>
          </cell>
        </row>
        <row r="91">
          <cell r="A91">
            <v>41324</v>
          </cell>
          <cell r="B91">
            <v>39.770000000000003</v>
          </cell>
          <cell r="C91">
            <v>38.07</v>
          </cell>
          <cell r="D91">
            <v>40.950000000000003</v>
          </cell>
          <cell r="E91">
            <v>44.12</v>
          </cell>
          <cell r="F91">
            <v>45.76</v>
          </cell>
          <cell r="G91">
            <v>32.700000000000003</v>
          </cell>
          <cell r="H91">
            <v>55.35</v>
          </cell>
          <cell r="I91">
            <v>45.18</v>
          </cell>
          <cell r="J91">
            <v>42.4</v>
          </cell>
          <cell r="L91">
            <v>41324</v>
          </cell>
          <cell r="M91">
            <v>40.829666666666661</v>
          </cell>
          <cell r="N91">
            <v>37.004333333333335</v>
          </cell>
          <cell r="O91">
            <v>39.544333333333334</v>
          </cell>
          <cell r="P91">
            <v>41.581666666666663</v>
          </cell>
          <cell r="Q91">
            <v>45.143666666666668</v>
          </cell>
          <cell r="R91">
            <v>32.036666666666669</v>
          </cell>
          <cell r="S91">
            <v>53.445666666666654</v>
          </cell>
          <cell r="T91">
            <v>44.039999999999992</v>
          </cell>
          <cell r="U91">
            <v>41.002666666666663</v>
          </cell>
        </row>
        <row r="92">
          <cell r="A92">
            <v>41320</v>
          </cell>
          <cell r="B92">
            <v>39.74</v>
          </cell>
          <cell r="C92">
            <v>37.9</v>
          </cell>
          <cell r="D92">
            <v>40.44</v>
          </cell>
          <cell r="E92">
            <v>43.8</v>
          </cell>
          <cell r="F92">
            <v>45.47</v>
          </cell>
          <cell r="G92">
            <v>32.020000000000003</v>
          </cell>
          <cell r="H92">
            <v>54.51</v>
          </cell>
          <cell r="I92">
            <v>44.5</v>
          </cell>
          <cell r="J92">
            <v>42.07</v>
          </cell>
          <cell r="L92">
            <v>41320</v>
          </cell>
          <cell r="M92">
            <v>40.875</v>
          </cell>
          <cell r="N92">
            <v>36.93333333333333</v>
          </cell>
          <cell r="O92">
            <v>39.464666666666659</v>
          </cell>
          <cell r="P92">
            <v>41.458666666666666</v>
          </cell>
          <cell r="Q92">
            <v>45.133333333333333</v>
          </cell>
          <cell r="R92">
            <v>32.021333333333338</v>
          </cell>
          <cell r="S92">
            <v>53.325333333333326</v>
          </cell>
          <cell r="T92">
            <v>43.98599999999999</v>
          </cell>
          <cell r="U92">
            <v>40.937999999999995</v>
          </cell>
        </row>
        <row r="93">
          <cell r="A93">
            <v>41319</v>
          </cell>
          <cell r="B93">
            <v>39.74</v>
          </cell>
          <cell r="C93">
            <v>37.85</v>
          </cell>
          <cell r="D93">
            <v>40.340000000000003</v>
          </cell>
          <cell r="E93">
            <v>43.64</v>
          </cell>
          <cell r="F93">
            <v>45.49</v>
          </cell>
          <cell r="G93">
            <v>31.97</v>
          </cell>
          <cell r="H93">
            <v>54.28</v>
          </cell>
          <cell r="I93">
            <v>44.67</v>
          </cell>
          <cell r="J93">
            <v>42.04</v>
          </cell>
          <cell r="L93">
            <v>41319</v>
          </cell>
          <cell r="M93">
            <v>40.901333333333326</v>
          </cell>
          <cell r="N93">
            <v>36.856333333333332</v>
          </cell>
          <cell r="O93">
            <v>39.395333333333319</v>
          </cell>
          <cell r="P93">
            <v>41.330000000000005</v>
          </cell>
          <cell r="Q93">
            <v>45.109000000000002</v>
          </cell>
          <cell r="R93">
            <v>32.013666666666673</v>
          </cell>
          <cell r="S93">
            <v>53.213999999999992</v>
          </cell>
          <cell r="T93">
            <v>43.949333333333335</v>
          </cell>
          <cell r="U93">
            <v>40.871999999999993</v>
          </cell>
        </row>
        <row r="94">
          <cell r="A94">
            <v>41318</v>
          </cell>
          <cell r="B94">
            <v>40.21</v>
          </cell>
          <cell r="C94">
            <v>38.1</v>
          </cell>
          <cell r="D94">
            <v>40.549999999999997</v>
          </cell>
          <cell r="E94">
            <v>43.89</v>
          </cell>
          <cell r="F94">
            <v>45.87</v>
          </cell>
          <cell r="G94">
            <v>32.18</v>
          </cell>
          <cell r="H94">
            <v>54.64</v>
          </cell>
          <cell r="I94">
            <v>45.02</v>
          </cell>
          <cell r="J94">
            <v>42.34</v>
          </cell>
          <cell r="L94">
            <v>41318</v>
          </cell>
          <cell r="M94">
            <v>40.932999999999993</v>
          </cell>
          <cell r="N94">
            <v>36.786999999999999</v>
          </cell>
          <cell r="O94">
            <v>39.350666666666662</v>
          </cell>
          <cell r="P94">
            <v>41.207666666666668</v>
          </cell>
          <cell r="Q94">
            <v>45.087666666666671</v>
          </cell>
          <cell r="R94">
            <v>32.019666666666673</v>
          </cell>
          <cell r="S94">
            <v>53.110666666666667</v>
          </cell>
          <cell r="T94">
            <v>43.906333333333336</v>
          </cell>
          <cell r="U94">
            <v>40.808666666666667</v>
          </cell>
        </row>
        <row r="95">
          <cell r="A95">
            <v>41317</v>
          </cell>
          <cell r="B95">
            <v>40.53</v>
          </cell>
          <cell r="C95">
            <v>38.01</v>
          </cell>
          <cell r="D95">
            <v>40.46</v>
          </cell>
          <cell r="E95">
            <v>43.55</v>
          </cell>
          <cell r="F95">
            <v>45.57</v>
          </cell>
          <cell r="G95">
            <v>32.19</v>
          </cell>
          <cell r="H95">
            <v>54.71</v>
          </cell>
          <cell r="I95">
            <v>45.15</v>
          </cell>
          <cell r="J95">
            <v>42.49</v>
          </cell>
          <cell r="L95">
            <v>41317</v>
          </cell>
          <cell r="M95">
            <v>40.924999999999997</v>
          </cell>
          <cell r="N95">
            <v>36.687666666666665</v>
          </cell>
          <cell r="O95">
            <v>39.285999999999987</v>
          </cell>
          <cell r="P95">
            <v>41.065333333333335</v>
          </cell>
          <cell r="Q95">
            <v>45.032000000000011</v>
          </cell>
          <cell r="R95">
            <v>31.990666666666666</v>
          </cell>
          <cell r="S95">
            <v>52.966999999999999</v>
          </cell>
          <cell r="T95">
            <v>43.81933333333334</v>
          </cell>
          <cell r="U95">
            <v>40.70366666666667</v>
          </cell>
        </row>
        <row r="96">
          <cell r="A96">
            <v>41316</v>
          </cell>
          <cell r="B96">
            <v>40.28</v>
          </cell>
          <cell r="C96">
            <v>37.86</v>
          </cell>
          <cell r="D96">
            <v>40.57</v>
          </cell>
          <cell r="E96">
            <v>42.74</v>
          </cell>
          <cell r="F96">
            <v>45.46</v>
          </cell>
          <cell r="G96">
            <v>32.1</v>
          </cell>
          <cell r="H96">
            <v>54.55</v>
          </cell>
          <cell r="I96">
            <v>44.84</v>
          </cell>
          <cell r="J96">
            <v>42.13</v>
          </cell>
          <cell r="L96">
            <v>41316</v>
          </cell>
          <cell r="M96">
            <v>40.896666666666668</v>
          </cell>
          <cell r="N96">
            <v>36.57500000000001</v>
          </cell>
          <cell r="O96">
            <v>39.193999999999988</v>
          </cell>
          <cell r="P96">
            <v>40.914666666666669</v>
          </cell>
          <cell r="Q96">
            <v>44.957000000000008</v>
          </cell>
          <cell r="R96">
            <v>31.94166666666667</v>
          </cell>
          <cell r="S96">
            <v>52.792666666666676</v>
          </cell>
          <cell r="T96">
            <v>43.705333333333336</v>
          </cell>
          <cell r="U96">
            <v>40.57566666666667</v>
          </cell>
        </row>
        <row r="97">
          <cell r="A97">
            <v>41313</v>
          </cell>
          <cell r="B97">
            <v>40.35</v>
          </cell>
          <cell r="C97">
            <v>37.799999999999997</v>
          </cell>
          <cell r="D97">
            <v>40.43</v>
          </cell>
          <cell r="E97">
            <v>42.25</v>
          </cell>
          <cell r="F97">
            <v>45.44</v>
          </cell>
          <cell r="G97">
            <v>32.159999999999997</v>
          </cell>
          <cell r="H97">
            <v>54.52</v>
          </cell>
          <cell r="I97">
            <v>44.91</v>
          </cell>
          <cell r="J97">
            <v>42.23</v>
          </cell>
          <cell r="L97">
            <v>41313</v>
          </cell>
          <cell r="M97">
            <v>40.885000000000005</v>
          </cell>
          <cell r="N97">
            <v>36.478000000000002</v>
          </cell>
          <cell r="O97">
            <v>39.104333333333336</v>
          </cell>
          <cell r="P97">
            <v>40.803000000000004</v>
          </cell>
          <cell r="Q97">
            <v>44.902333333333331</v>
          </cell>
          <cell r="R97">
            <v>31.903000000000002</v>
          </cell>
          <cell r="S97">
            <v>52.641666666666666</v>
          </cell>
          <cell r="T97">
            <v>43.612333333333339</v>
          </cell>
          <cell r="U97">
            <v>40.46733333333335</v>
          </cell>
        </row>
        <row r="98">
          <cell r="A98">
            <v>41312</v>
          </cell>
          <cell r="B98">
            <v>40</v>
          </cell>
          <cell r="C98">
            <v>37.729999999999997</v>
          </cell>
          <cell r="D98">
            <v>40.409999999999997</v>
          </cell>
          <cell r="E98">
            <v>40.5</v>
          </cell>
          <cell r="F98">
            <v>45.49</v>
          </cell>
          <cell r="G98">
            <v>32.14</v>
          </cell>
          <cell r="H98">
            <v>54.17</v>
          </cell>
          <cell r="I98">
            <v>44.82</v>
          </cell>
          <cell r="J98">
            <v>42.68</v>
          </cell>
          <cell r="L98">
            <v>41312</v>
          </cell>
          <cell r="M98">
            <v>40.872333333333344</v>
          </cell>
          <cell r="N98">
            <v>36.389333333333333</v>
          </cell>
          <cell r="O98">
            <v>39.019666666666673</v>
          </cell>
          <cell r="P98">
            <v>40.725000000000001</v>
          </cell>
          <cell r="Q98">
            <v>44.847333333333331</v>
          </cell>
          <cell r="R98">
            <v>31.873000000000001</v>
          </cell>
          <cell r="S98">
            <v>52.491999999999997</v>
          </cell>
          <cell r="T98">
            <v>43.521666666666675</v>
          </cell>
          <cell r="U98">
            <v>40.362000000000009</v>
          </cell>
        </row>
        <row r="99">
          <cell r="A99">
            <v>41311</v>
          </cell>
          <cell r="B99">
            <v>40.29</v>
          </cell>
          <cell r="C99">
            <v>37.58</v>
          </cell>
          <cell r="D99">
            <v>40.369999999999997</v>
          </cell>
          <cell r="E99">
            <v>41.78</v>
          </cell>
          <cell r="F99">
            <v>45.69</v>
          </cell>
          <cell r="G99">
            <v>32.090000000000003</v>
          </cell>
          <cell r="H99">
            <v>54.05</v>
          </cell>
          <cell r="I99">
            <v>44.83</v>
          </cell>
          <cell r="J99">
            <v>41.19</v>
          </cell>
          <cell r="L99">
            <v>41311</v>
          </cell>
          <cell r="M99">
            <v>40.88533333333335</v>
          </cell>
          <cell r="N99">
            <v>36.324333333333335</v>
          </cell>
          <cell r="O99">
            <v>38.952666666666673</v>
          </cell>
          <cell r="P99">
            <v>40.708333333333336</v>
          </cell>
          <cell r="Q99">
            <v>44.810666666666663</v>
          </cell>
          <cell r="R99">
            <v>31.864333333333335</v>
          </cell>
          <cell r="S99">
            <v>52.379999999999995</v>
          </cell>
          <cell r="T99">
            <v>43.446000000000012</v>
          </cell>
          <cell r="U99">
            <v>40.260000000000005</v>
          </cell>
        </row>
        <row r="100">
          <cell r="A100">
            <v>41310</v>
          </cell>
          <cell r="B100">
            <v>42.16</v>
          </cell>
          <cell r="C100">
            <v>37.520000000000003</v>
          </cell>
          <cell r="D100">
            <v>40.32</v>
          </cell>
          <cell r="E100">
            <v>41.84</v>
          </cell>
          <cell r="F100">
            <v>45.65</v>
          </cell>
          <cell r="G100">
            <v>31.99</v>
          </cell>
          <cell r="H100">
            <v>54.1</v>
          </cell>
          <cell r="I100">
            <v>44.85</v>
          </cell>
          <cell r="J100">
            <v>42.3</v>
          </cell>
          <cell r="L100">
            <v>41310</v>
          </cell>
          <cell r="M100">
            <v>40.887666666666675</v>
          </cell>
          <cell r="N100">
            <v>36.272333333333329</v>
          </cell>
          <cell r="O100">
            <v>38.890333333333345</v>
          </cell>
          <cell r="P100">
            <v>40.64800000000001</v>
          </cell>
          <cell r="Q100">
            <v>44.795999999999999</v>
          </cell>
          <cell r="R100">
            <v>31.875333333333334</v>
          </cell>
          <cell r="S100">
            <v>52.308</v>
          </cell>
          <cell r="T100">
            <v>43.383333333333333</v>
          </cell>
          <cell r="U100">
            <v>40.213333333333338</v>
          </cell>
        </row>
        <row r="101">
          <cell r="A101">
            <v>41309</v>
          </cell>
          <cell r="B101">
            <v>41.84</v>
          </cell>
          <cell r="C101">
            <v>37.549999999999997</v>
          </cell>
          <cell r="D101">
            <v>39.92</v>
          </cell>
          <cell r="E101">
            <v>41.47</v>
          </cell>
          <cell r="F101">
            <v>45.22</v>
          </cell>
          <cell r="G101">
            <v>31.87</v>
          </cell>
          <cell r="H101">
            <v>53.66</v>
          </cell>
          <cell r="I101">
            <v>44.53</v>
          </cell>
          <cell r="J101">
            <v>41.97</v>
          </cell>
          <cell r="L101">
            <v>41309</v>
          </cell>
          <cell r="M101">
            <v>40.836666666666673</v>
          </cell>
          <cell r="N101">
            <v>36.22966666666666</v>
          </cell>
          <cell r="O101">
            <v>38.831000000000003</v>
          </cell>
          <cell r="P101">
            <v>40.594666666666662</v>
          </cell>
          <cell r="Q101">
            <v>44.771666666666668</v>
          </cell>
          <cell r="R101">
            <v>31.88133333333333</v>
          </cell>
          <cell r="S101">
            <v>52.216999999999992</v>
          </cell>
          <cell r="T101">
            <v>43.317</v>
          </cell>
          <cell r="U101">
            <v>40.135666666666665</v>
          </cell>
        </row>
        <row r="102">
          <cell r="A102">
            <v>41306</v>
          </cell>
          <cell r="B102">
            <v>42.28</v>
          </cell>
          <cell r="C102">
            <v>37.659999999999997</v>
          </cell>
          <cell r="D102">
            <v>40.130000000000003</v>
          </cell>
          <cell r="E102">
            <v>42.55</v>
          </cell>
          <cell r="F102">
            <v>46.05</v>
          </cell>
          <cell r="G102">
            <v>32.049999999999997</v>
          </cell>
          <cell r="H102">
            <v>54.32</v>
          </cell>
          <cell r="I102">
            <v>45.26</v>
          </cell>
          <cell r="J102">
            <v>42.28</v>
          </cell>
          <cell r="L102">
            <v>41306</v>
          </cell>
          <cell r="M102">
            <v>40.780333333333338</v>
          </cell>
          <cell r="N102">
            <v>36.18033333333333</v>
          </cell>
          <cell r="O102">
            <v>38.786333333333332</v>
          </cell>
          <cell r="P102">
            <v>40.549333333333337</v>
          </cell>
          <cell r="Q102">
            <v>44.745333333333335</v>
          </cell>
          <cell r="R102">
            <v>31.886999999999993</v>
          </cell>
          <cell r="S102">
            <v>52.120333333333328</v>
          </cell>
          <cell r="T102">
            <v>43.253999999999998</v>
          </cell>
          <cell r="U102">
            <v>40.061999999999998</v>
          </cell>
        </row>
        <row r="103">
          <cell r="A103">
            <v>41305</v>
          </cell>
          <cell r="B103">
            <v>41.8</v>
          </cell>
          <cell r="C103">
            <v>37.36</v>
          </cell>
          <cell r="D103">
            <v>39.92</v>
          </cell>
          <cell r="E103">
            <v>42.03</v>
          </cell>
          <cell r="F103">
            <v>45.42</v>
          </cell>
          <cell r="G103">
            <v>31.76</v>
          </cell>
          <cell r="H103">
            <v>54.28</v>
          </cell>
          <cell r="I103">
            <v>44.54</v>
          </cell>
          <cell r="J103">
            <v>41.93</v>
          </cell>
          <cell r="L103">
            <v>41305</v>
          </cell>
          <cell r="M103">
            <v>40.710333333333338</v>
          </cell>
          <cell r="N103">
            <v>36.128</v>
          </cell>
          <cell r="O103">
            <v>38.742333333333335</v>
          </cell>
          <cell r="P103">
            <v>40.484333333333332</v>
          </cell>
          <cell r="Q103">
            <v>44.702000000000005</v>
          </cell>
          <cell r="R103">
            <v>31.899333333333328</v>
          </cell>
          <cell r="S103">
            <v>52.020666666666664</v>
          </cell>
          <cell r="T103">
            <v>43.167000000000009</v>
          </cell>
          <cell r="U103">
            <v>39.980000000000004</v>
          </cell>
        </row>
        <row r="104">
          <cell r="A104">
            <v>41304</v>
          </cell>
          <cell r="B104">
            <v>41.62</v>
          </cell>
          <cell r="C104">
            <v>37.25</v>
          </cell>
          <cell r="D104">
            <v>39.82</v>
          </cell>
          <cell r="E104">
            <v>41.99</v>
          </cell>
          <cell r="F104">
            <v>45.29</v>
          </cell>
          <cell r="G104">
            <v>31.7</v>
          </cell>
          <cell r="H104">
            <v>54.1</v>
          </cell>
          <cell r="I104">
            <v>44.29</v>
          </cell>
          <cell r="J104">
            <v>41.73</v>
          </cell>
          <cell r="L104">
            <v>41304</v>
          </cell>
          <cell r="M104">
            <v>40.653000000000006</v>
          </cell>
          <cell r="N104">
            <v>36.089666666666666</v>
          </cell>
          <cell r="O104">
            <v>38.715000000000003</v>
          </cell>
          <cell r="P104">
            <v>40.440333333333321</v>
          </cell>
          <cell r="Q104">
            <v>44.672666666666679</v>
          </cell>
          <cell r="R104">
            <v>31.912333333333326</v>
          </cell>
          <cell r="S104">
            <v>51.922999999999988</v>
          </cell>
          <cell r="T104">
            <v>43.085333333333331</v>
          </cell>
          <cell r="U104">
            <v>39.905333333333338</v>
          </cell>
        </row>
        <row r="105">
          <cell r="A105">
            <v>41303</v>
          </cell>
          <cell r="B105">
            <v>41.68</v>
          </cell>
          <cell r="C105">
            <v>37.57</v>
          </cell>
          <cell r="D105">
            <v>39.99</v>
          </cell>
          <cell r="E105">
            <v>42.42</v>
          </cell>
          <cell r="F105">
            <v>46.28</v>
          </cell>
          <cell r="G105">
            <v>32.18</v>
          </cell>
          <cell r="H105">
            <v>54.34</v>
          </cell>
          <cell r="I105">
            <v>44.83</v>
          </cell>
          <cell r="J105">
            <v>41.98</v>
          </cell>
          <cell r="L105">
            <v>41303</v>
          </cell>
          <cell r="M105">
            <v>40.587333333333341</v>
          </cell>
          <cell r="N105">
            <v>36.027000000000001</v>
          </cell>
          <cell r="O105">
            <v>38.716333333333324</v>
          </cell>
          <cell r="P105">
            <v>40.362666666666655</v>
          </cell>
          <cell r="Q105">
            <v>44.624666666666677</v>
          </cell>
          <cell r="R105">
            <v>31.902999999999984</v>
          </cell>
          <cell r="S105">
            <v>51.797999999999988</v>
          </cell>
          <cell r="T105">
            <v>43.002666666666663</v>
          </cell>
          <cell r="U105">
            <v>39.816000000000003</v>
          </cell>
        </row>
        <row r="106">
          <cell r="A106">
            <v>41302</v>
          </cell>
          <cell r="B106">
            <v>41.38</v>
          </cell>
          <cell r="C106">
            <v>37.31</v>
          </cell>
          <cell r="D106">
            <v>40.119999999999997</v>
          </cell>
          <cell r="E106">
            <v>42.18</v>
          </cell>
          <cell r="F106">
            <v>46.4</v>
          </cell>
          <cell r="G106">
            <v>32.93</v>
          </cell>
          <cell r="H106">
            <v>53.99</v>
          </cell>
          <cell r="I106">
            <v>44.38</v>
          </cell>
          <cell r="J106">
            <v>41.82</v>
          </cell>
          <cell r="L106">
            <v>41302</v>
          </cell>
          <cell r="M106">
            <v>40.516666666666659</v>
          </cell>
          <cell r="N106">
            <v>35.953666666666663</v>
          </cell>
          <cell r="O106">
            <v>38.713333333333331</v>
          </cell>
          <cell r="P106">
            <v>40.282333333333334</v>
          </cell>
          <cell r="Q106">
            <v>44.551666666666662</v>
          </cell>
          <cell r="R106">
            <v>31.881999999999987</v>
          </cell>
          <cell r="S106">
            <v>51.658666666666662</v>
          </cell>
          <cell r="T106">
            <v>42.907333333333327</v>
          </cell>
          <cell r="U106">
            <v>39.720333333333329</v>
          </cell>
        </row>
        <row r="107">
          <cell r="A107">
            <v>41299</v>
          </cell>
          <cell r="B107">
            <v>41.29</v>
          </cell>
          <cell r="C107">
            <v>37.1</v>
          </cell>
          <cell r="D107">
            <v>39.44</v>
          </cell>
          <cell r="E107">
            <v>41.86</v>
          </cell>
          <cell r="F107">
            <v>45.78</v>
          </cell>
          <cell r="G107">
            <v>32.74</v>
          </cell>
          <cell r="H107">
            <v>53.82</v>
          </cell>
          <cell r="I107">
            <v>44.37</v>
          </cell>
          <cell r="J107">
            <v>41.62</v>
          </cell>
          <cell r="L107">
            <v>41299</v>
          </cell>
          <cell r="M107">
            <v>40.474666666666657</v>
          </cell>
          <cell r="N107">
            <v>35.897333333333336</v>
          </cell>
          <cell r="O107">
            <v>38.705666666666666</v>
          </cell>
          <cell r="P107">
            <v>40.231000000000002</v>
          </cell>
          <cell r="Q107">
            <v>44.474666666666664</v>
          </cell>
          <cell r="R107">
            <v>31.839666666666655</v>
          </cell>
          <cell r="S107">
            <v>51.531333333333329</v>
          </cell>
          <cell r="T107">
            <v>42.826000000000001</v>
          </cell>
          <cell r="U107">
            <v>39.62866666666666</v>
          </cell>
        </row>
        <row r="108">
          <cell r="A108">
            <v>41298</v>
          </cell>
          <cell r="B108">
            <v>41.28</v>
          </cell>
          <cell r="C108">
            <v>37</v>
          </cell>
          <cell r="D108">
            <v>39.520000000000003</v>
          </cell>
          <cell r="E108">
            <v>41.43</v>
          </cell>
          <cell r="F108">
            <v>45.45</v>
          </cell>
          <cell r="G108">
            <v>32.659999999999997</v>
          </cell>
          <cell r="H108">
            <v>53.68</v>
          </cell>
          <cell r="I108">
            <v>44.06</v>
          </cell>
          <cell r="J108">
            <v>41.31</v>
          </cell>
          <cell r="L108">
            <v>41298</v>
          </cell>
          <cell r="M108">
            <v>40.435666666666656</v>
          </cell>
          <cell r="N108">
            <v>35.857000000000006</v>
          </cell>
          <cell r="O108">
            <v>38.730333333333341</v>
          </cell>
          <cell r="P108">
            <v>40.207333333333331</v>
          </cell>
          <cell r="Q108">
            <v>44.427999999999997</v>
          </cell>
          <cell r="R108">
            <v>31.811333333333323</v>
          </cell>
          <cell r="S108">
            <v>51.41</v>
          </cell>
          <cell r="T108">
            <v>42.759666666666668</v>
          </cell>
          <cell r="U108">
            <v>39.55533333333333</v>
          </cell>
        </row>
        <row r="109">
          <cell r="A109">
            <v>41297</v>
          </cell>
          <cell r="B109">
            <v>41.15</v>
          </cell>
          <cell r="C109">
            <v>37.21</v>
          </cell>
          <cell r="D109">
            <v>39.21</v>
          </cell>
          <cell r="E109">
            <v>41.2</v>
          </cell>
          <cell r="F109">
            <v>45.28</v>
          </cell>
          <cell r="G109">
            <v>32.659999999999997</v>
          </cell>
          <cell r="H109">
            <v>53.47</v>
          </cell>
          <cell r="I109">
            <v>43.88</v>
          </cell>
          <cell r="J109">
            <v>40.89</v>
          </cell>
          <cell r="L109">
            <v>41297</v>
          </cell>
          <cell r="M109">
            <v>40.385999999999989</v>
          </cell>
          <cell r="N109">
            <v>35.812000000000012</v>
          </cell>
          <cell r="O109">
            <v>38.747666666666674</v>
          </cell>
          <cell r="P109">
            <v>40.18833333333334</v>
          </cell>
          <cell r="Q109">
            <v>44.379333333333328</v>
          </cell>
          <cell r="R109">
            <v>31.773666666666657</v>
          </cell>
          <cell r="S109">
            <v>51.288333333333327</v>
          </cell>
          <cell r="T109">
            <v>42.695666666666668</v>
          </cell>
          <cell r="U109">
            <v>39.474666666666664</v>
          </cell>
        </row>
        <row r="110">
          <cell r="A110">
            <v>41296</v>
          </cell>
          <cell r="B110">
            <v>41.42</v>
          </cell>
          <cell r="C110">
            <v>37.44</v>
          </cell>
          <cell r="D110">
            <v>39.56</v>
          </cell>
          <cell r="E110">
            <v>41.61</v>
          </cell>
          <cell r="F110">
            <v>45.24</v>
          </cell>
          <cell r="G110">
            <v>32.89</v>
          </cell>
          <cell r="H110">
            <v>53.38</v>
          </cell>
          <cell r="I110">
            <v>43.89</v>
          </cell>
          <cell r="J110">
            <v>41.04</v>
          </cell>
          <cell r="L110">
            <v>41296</v>
          </cell>
          <cell r="M110">
            <v>40.333666666666652</v>
          </cell>
          <cell r="N110">
            <v>35.760333333333342</v>
          </cell>
          <cell r="O110">
            <v>38.773000000000003</v>
          </cell>
          <cell r="P110">
            <v>40.18833333333334</v>
          </cell>
          <cell r="Q110">
            <v>44.317999999999998</v>
          </cell>
          <cell r="R110">
            <v>31.730666666666657</v>
          </cell>
          <cell r="S110">
            <v>51.168999999999997</v>
          </cell>
          <cell r="T110">
            <v>42.63300000000001</v>
          </cell>
          <cell r="U110">
            <v>39.402999999999999</v>
          </cell>
        </row>
        <row r="111">
          <cell r="A111">
            <v>41292</v>
          </cell>
          <cell r="B111">
            <v>41.16</v>
          </cell>
          <cell r="C111">
            <v>36.979999999999997</v>
          </cell>
          <cell r="D111">
            <v>39</v>
          </cell>
          <cell r="E111">
            <v>41.09</v>
          </cell>
          <cell r="F111">
            <v>43.93</v>
          </cell>
          <cell r="G111">
            <v>32.700000000000003</v>
          </cell>
          <cell r="H111">
            <v>52.84</v>
          </cell>
          <cell r="I111">
            <v>43.68</v>
          </cell>
          <cell r="J111">
            <v>40.54</v>
          </cell>
          <cell r="L111">
            <v>41292</v>
          </cell>
          <cell r="M111">
            <v>40.273999999999994</v>
          </cell>
          <cell r="N111">
            <v>35.708333333333343</v>
          </cell>
          <cell r="O111">
            <v>38.811666666666675</v>
          </cell>
          <cell r="P111">
            <v>40.174666666666667</v>
          </cell>
          <cell r="Q111">
            <v>44.249000000000002</v>
          </cell>
          <cell r="R111">
            <v>31.687666666666658</v>
          </cell>
          <cell r="S111">
            <v>51.05533333333333</v>
          </cell>
          <cell r="T111">
            <v>42.579666666666668</v>
          </cell>
          <cell r="U111">
            <v>39.322000000000003</v>
          </cell>
        </row>
        <row r="112">
          <cell r="A112">
            <v>41291</v>
          </cell>
          <cell r="B112">
            <v>41</v>
          </cell>
          <cell r="C112">
            <v>36.39</v>
          </cell>
          <cell r="D112">
            <v>38.89</v>
          </cell>
          <cell r="E112">
            <v>40.85</v>
          </cell>
          <cell r="F112">
            <v>43.72</v>
          </cell>
          <cell r="G112">
            <v>32.07</v>
          </cell>
          <cell r="H112">
            <v>52.26</v>
          </cell>
          <cell r="I112">
            <v>43.18</v>
          </cell>
          <cell r="J112">
            <v>39.96</v>
          </cell>
          <cell r="L112">
            <v>41291</v>
          </cell>
          <cell r="M112">
            <v>40.225333333333325</v>
          </cell>
          <cell r="N112">
            <v>35.665666666666674</v>
          </cell>
          <cell r="O112">
            <v>38.870666666666672</v>
          </cell>
          <cell r="P112">
            <v>40.182000000000002</v>
          </cell>
          <cell r="Q112">
            <v>44.232333333333344</v>
          </cell>
          <cell r="R112">
            <v>31.649666666666654</v>
          </cell>
          <cell r="S112">
            <v>50.984666666666662</v>
          </cell>
          <cell r="T112">
            <v>42.538333333333334</v>
          </cell>
          <cell r="U112">
            <v>39.261666666666663</v>
          </cell>
        </row>
        <row r="113">
          <cell r="A113">
            <v>41290</v>
          </cell>
          <cell r="B113">
            <v>40.51</v>
          </cell>
          <cell r="C113">
            <v>36.119999999999997</v>
          </cell>
          <cell r="D113">
            <v>38.549999999999997</v>
          </cell>
          <cell r="E113">
            <v>40.549999999999997</v>
          </cell>
          <cell r="F113">
            <v>43.76</v>
          </cell>
          <cell r="G113">
            <v>31.47</v>
          </cell>
          <cell r="H113">
            <v>51.87</v>
          </cell>
          <cell r="I113">
            <v>42.98</v>
          </cell>
          <cell r="J113">
            <v>39.28</v>
          </cell>
          <cell r="L113">
            <v>41290</v>
          </cell>
          <cell r="M113">
            <v>40.152333333333331</v>
          </cell>
          <cell r="N113">
            <v>35.635666666666673</v>
          </cell>
          <cell r="O113">
            <v>38.919999999999987</v>
          </cell>
          <cell r="P113">
            <v>40.178666666666665</v>
          </cell>
          <cell r="Q113">
            <v>44.225666666666676</v>
          </cell>
          <cell r="R113">
            <v>31.617666666666654</v>
          </cell>
          <cell r="S113">
            <v>50.912999999999997</v>
          </cell>
          <cell r="T113">
            <v>42.507666666666672</v>
          </cell>
          <cell r="U113">
            <v>39.222333333333331</v>
          </cell>
        </row>
        <row r="114">
          <cell r="A114">
            <v>41289</v>
          </cell>
          <cell r="B114">
            <v>40.57</v>
          </cell>
          <cell r="C114">
            <v>36.07</v>
          </cell>
          <cell r="D114">
            <v>38.67</v>
          </cell>
          <cell r="E114">
            <v>40.380000000000003</v>
          </cell>
          <cell r="F114">
            <v>44.15</v>
          </cell>
          <cell r="G114">
            <v>31.58</v>
          </cell>
          <cell r="H114">
            <v>51.86</v>
          </cell>
          <cell r="I114">
            <v>43.09</v>
          </cell>
          <cell r="J114">
            <v>38.89</v>
          </cell>
          <cell r="L114">
            <v>41289</v>
          </cell>
          <cell r="M114">
            <v>40.094333333333331</v>
          </cell>
          <cell r="N114">
            <v>35.612666666666669</v>
          </cell>
          <cell r="O114">
            <v>38.966666666666661</v>
          </cell>
          <cell r="P114">
            <v>40.197666666666663</v>
          </cell>
          <cell r="Q114">
            <v>44.220666666666673</v>
          </cell>
          <cell r="R114">
            <v>31.600999999999992</v>
          </cell>
          <cell r="S114">
            <v>50.846000000000004</v>
          </cell>
          <cell r="T114">
            <v>42.476333333333329</v>
          </cell>
          <cell r="U114">
            <v>39.204999999999998</v>
          </cell>
        </row>
        <row r="115">
          <cell r="A115">
            <v>41288</v>
          </cell>
          <cell r="B115">
            <v>40.25</v>
          </cell>
          <cell r="C115">
            <v>35.75</v>
          </cell>
          <cell r="D115">
            <v>38.67</v>
          </cell>
          <cell r="E115">
            <v>40.26</v>
          </cell>
          <cell r="F115">
            <v>44.46</v>
          </cell>
          <cell r="G115">
            <v>31.52</v>
          </cell>
          <cell r="H115">
            <v>52.19</v>
          </cell>
          <cell r="I115">
            <v>42.89</v>
          </cell>
          <cell r="J115">
            <v>38.72</v>
          </cell>
          <cell r="L115">
            <v>41288</v>
          </cell>
          <cell r="M115">
            <v>40.041333333333334</v>
          </cell>
          <cell r="N115">
            <v>35.577333333333335</v>
          </cell>
          <cell r="O115">
            <v>39.034666666666666</v>
          </cell>
          <cell r="P115">
            <v>40.204333333333331</v>
          </cell>
          <cell r="Q115">
            <v>44.210999999999999</v>
          </cell>
          <cell r="R115">
            <v>31.576999999999995</v>
          </cell>
          <cell r="S115">
            <v>50.783000000000008</v>
          </cell>
          <cell r="T115">
            <v>42.438000000000002</v>
          </cell>
          <cell r="U115">
            <v>39.210666666666654</v>
          </cell>
        </row>
        <row r="116">
          <cell r="A116">
            <v>41285</v>
          </cell>
          <cell r="B116">
            <v>40.340000000000003</v>
          </cell>
          <cell r="C116">
            <v>35.53</v>
          </cell>
          <cell r="D116">
            <v>38.200000000000003</v>
          </cell>
          <cell r="E116">
            <v>39.53</v>
          </cell>
          <cell r="F116">
            <v>44.36</v>
          </cell>
          <cell r="G116">
            <v>31.5</v>
          </cell>
          <cell r="H116">
            <v>52</v>
          </cell>
          <cell r="I116">
            <v>42.61</v>
          </cell>
          <cell r="J116">
            <v>38.700000000000003</v>
          </cell>
          <cell r="L116">
            <v>41285</v>
          </cell>
          <cell r="M116">
            <v>39.991999999999997</v>
          </cell>
          <cell r="N116">
            <v>35.546333333333337</v>
          </cell>
          <cell r="O116">
            <v>39.088666666666668</v>
          </cell>
          <cell r="P116">
            <v>40.247999999999998</v>
          </cell>
          <cell r="Q116">
            <v>44.18966666666666</v>
          </cell>
          <cell r="R116">
            <v>31.551666666666662</v>
          </cell>
          <cell r="S116">
            <v>50.704333333333338</v>
          </cell>
          <cell r="T116">
            <v>42.396333333333338</v>
          </cell>
          <cell r="U116">
            <v>39.206666666666671</v>
          </cell>
        </row>
        <row r="117">
          <cell r="A117">
            <v>41284</v>
          </cell>
          <cell r="B117">
            <v>40.67</v>
          </cell>
          <cell r="C117">
            <v>35.700000000000003</v>
          </cell>
          <cell r="D117">
            <v>37.89</v>
          </cell>
          <cell r="E117">
            <v>39.5</v>
          </cell>
          <cell r="F117">
            <v>44.36</v>
          </cell>
          <cell r="G117">
            <v>31.45</v>
          </cell>
          <cell r="H117">
            <v>51.76</v>
          </cell>
          <cell r="I117">
            <v>42.24</v>
          </cell>
          <cell r="J117">
            <v>38.69</v>
          </cell>
          <cell r="L117">
            <v>41284</v>
          </cell>
          <cell r="M117">
            <v>39.937000000000005</v>
          </cell>
          <cell r="N117">
            <v>35.51700000000001</v>
          </cell>
          <cell r="O117">
            <v>39.140999999999998</v>
          </cell>
          <cell r="P117">
            <v>40.277333333333331</v>
          </cell>
          <cell r="Q117">
            <v>44.154999999999994</v>
          </cell>
          <cell r="R117">
            <v>31.507999999999999</v>
          </cell>
          <cell r="S117">
            <v>50.597333333333331</v>
          </cell>
          <cell r="T117">
            <v>42.350666666666676</v>
          </cell>
          <cell r="U117">
            <v>39.177</v>
          </cell>
        </row>
        <row r="118">
          <cell r="A118">
            <v>41283</v>
          </cell>
          <cell r="B118">
            <v>40.450000000000003</v>
          </cell>
          <cell r="C118">
            <v>35.43</v>
          </cell>
          <cell r="D118">
            <v>38.299999999999997</v>
          </cell>
          <cell r="E118">
            <v>39.33</v>
          </cell>
          <cell r="F118">
            <v>44.4</v>
          </cell>
          <cell r="G118">
            <v>31.27</v>
          </cell>
          <cell r="H118">
            <v>51.53</v>
          </cell>
          <cell r="I118">
            <v>42.41</v>
          </cell>
          <cell r="J118">
            <v>38.799999999999997</v>
          </cell>
          <cell r="L118">
            <v>41283</v>
          </cell>
          <cell r="M118">
            <v>39.861666666666672</v>
          </cell>
          <cell r="N118">
            <v>35.486333333333327</v>
          </cell>
          <cell r="O118">
            <v>39.207666666666668</v>
          </cell>
          <cell r="P118">
            <v>40.304999999999993</v>
          </cell>
          <cell r="Q118">
            <v>44.118999999999986</v>
          </cell>
          <cell r="R118">
            <v>31.471</v>
          </cell>
          <cell r="S118">
            <v>50.503999999999998</v>
          </cell>
          <cell r="T118">
            <v>42.31933333333334</v>
          </cell>
          <cell r="U118">
            <v>39.147666666666659</v>
          </cell>
        </row>
        <row r="119">
          <cell r="A119">
            <v>41282</v>
          </cell>
          <cell r="B119">
            <v>40.51</v>
          </cell>
          <cell r="C119">
            <v>35.18</v>
          </cell>
          <cell r="D119">
            <v>37.99</v>
          </cell>
          <cell r="E119">
            <v>39.31</v>
          </cell>
          <cell r="F119">
            <v>44.45</v>
          </cell>
          <cell r="G119">
            <v>31.2</v>
          </cell>
          <cell r="H119">
            <v>51.52</v>
          </cell>
          <cell r="I119">
            <v>42.45</v>
          </cell>
          <cell r="J119">
            <v>38.61</v>
          </cell>
          <cell r="L119">
            <v>41282</v>
          </cell>
          <cell r="M119">
            <v>39.793000000000006</v>
          </cell>
          <cell r="N119">
            <v>35.460666666666675</v>
          </cell>
          <cell r="O119">
            <v>39.263333333333335</v>
          </cell>
          <cell r="P119">
            <v>40.315333333333342</v>
          </cell>
          <cell r="Q119">
            <v>44.079999999999991</v>
          </cell>
          <cell r="R119">
            <v>31.438000000000002</v>
          </cell>
          <cell r="S119">
            <v>50.416333333333334</v>
          </cell>
          <cell r="T119">
            <v>42.294000000000004</v>
          </cell>
          <cell r="U119">
            <v>39.120666666666665</v>
          </cell>
        </row>
        <row r="120">
          <cell r="A120">
            <v>41281</v>
          </cell>
          <cell r="B120">
            <v>40.619999999999997</v>
          </cell>
          <cell r="C120">
            <v>35.11</v>
          </cell>
          <cell r="D120">
            <v>37.700000000000003</v>
          </cell>
          <cell r="E120">
            <v>39.799999999999997</v>
          </cell>
          <cell r="F120">
            <v>44.42</v>
          </cell>
          <cell r="G120">
            <v>31.36</v>
          </cell>
          <cell r="H120">
            <v>51.62</v>
          </cell>
          <cell r="I120">
            <v>42.87</v>
          </cell>
          <cell r="J120">
            <v>39.450000000000003</v>
          </cell>
          <cell r="L120">
            <v>41281</v>
          </cell>
          <cell r="M120">
            <v>39.69433333333334</v>
          </cell>
          <cell r="N120">
            <v>35.427999999999997</v>
          </cell>
          <cell r="O120">
            <v>39.297333333333334</v>
          </cell>
          <cell r="P120">
            <v>40.311333333333344</v>
          </cell>
          <cell r="Q120">
            <v>44.003999999999991</v>
          </cell>
          <cell r="R120">
            <v>31.387</v>
          </cell>
          <cell r="S120">
            <v>50.300666666666658</v>
          </cell>
          <cell r="T120">
            <v>42.238333333333344</v>
          </cell>
          <cell r="U120">
            <v>39.077000000000005</v>
          </cell>
        </row>
        <row r="121">
          <cell r="A121">
            <v>41278</v>
          </cell>
          <cell r="B121">
            <v>41.13</v>
          </cell>
          <cell r="C121">
            <v>35.94</v>
          </cell>
          <cell r="D121">
            <v>38.56</v>
          </cell>
          <cell r="E121">
            <v>40.43</v>
          </cell>
          <cell r="F121">
            <v>45.45</v>
          </cell>
          <cell r="G121">
            <v>32.24</v>
          </cell>
          <cell r="H121">
            <v>51.74</v>
          </cell>
          <cell r="I121">
            <v>43.56</v>
          </cell>
          <cell r="J121">
            <v>40.46</v>
          </cell>
          <cell r="L121">
            <v>41278</v>
          </cell>
          <cell r="M121">
            <v>39.597000000000001</v>
          </cell>
          <cell r="N121">
            <v>35.399999999999991</v>
          </cell>
          <cell r="O121">
            <v>39.327333333333328</v>
          </cell>
          <cell r="P121">
            <v>40.296333333333337</v>
          </cell>
          <cell r="Q121">
            <v>43.928666666666672</v>
          </cell>
          <cell r="R121">
            <v>31.334000000000003</v>
          </cell>
          <cell r="S121">
            <v>50.177666666666667</v>
          </cell>
          <cell r="T121">
            <v>42.166666666666671</v>
          </cell>
          <cell r="U121">
            <v>39.004666666666665</v>
          </cell>
        </row>
        <row r="122">
          <cell r="A122">
            <v>41277</v>
          </cell>
          <cell r="B122">
            <v>40.53</v>
          </cell>
          <cell r="C122">
            <v>35.590000000000003</v>
          </cell>
          <cell r="D122">
            <v>38.36</v>
          </cell>
          <cell r="E122">
            <v>39.94</v>
          </cell>
          <cell r="F122">
            <v>44.74</v>
          </cell>
          <cell r="G122">
            <v>31.79</v>
          </cell>
          <cell r="H122">
            <v>51.17</v>
          </cell>
          <cell r="I122">
            <v>43.4</v>
          </cell>
          <cell r="J122">
            <v>40.090000000000003</v>
          </cell>
          <cell r="L122">
            <v>41277</v>
          </cell>
          <cell r="M122">
            <v>39.491333333333344</v>
          </cell>
          <cell r="N122">
            <v>35.351333333333329</v>
          </cell>
          <cell r="O122">
            <v>39.351333333333322</v>
          </cell>
          <cell r="P122">
            <v>40.26733333333334</v>
          </cell>
          <cell r="Q122">
            <v>43.820000000000007</v>
          </cell>
          <cell r="R122">
            <v>31.252000000000002</v>
          </cell>
          <cell r="S122">
            <v>50.06133333333333</v>
          </cell>
          <cell r="T122">
            <v>42.074333333333335</v>
          </cell>
          <cell r="U122">
            <v>38.893666666666668</v>
          </cell>
        </row>
        <row r="123">
          <cell r="A123">
            <v>41276</v>
          </cell>
          <cell r="B123">
            <v>40.69</v>
          </cell>
          <cell r="C123">
            <v>35.770000000000003</v>
          </cell>
          <cell r="D123">
            <v>39</v>
          </cell>
          <cell r="E123">
            <v>39.97</v>
          </cell>
          <cell r="F123">
            <v>44.85</v>
          </cell>
          <cell r="G123">
            <v>32.15</v>
          </cell>
          <cell r="H123">
            <v>51.18</v>
          </cell>
          <cell r="I123">
            <v>43.38</v>
          </cell>
          <cell r="J123">
            <v>40.14</v>
          </cell>
          <cell r="L123">
            <v>41276</v>
          </cell>
          <cell r="M123">
            <v>39.400666666666666</v>
          </cell>
          <cell r="N123">
            <v>35.298666666666669</v>
          </cell>
          <cell r="O123">
            <v>39.378</v>
          </cell>
          <cell r="P123">
            <v>40.256</v>
          </cell>
          <cell r="Q123">
            <v>43.719333333333346</v>
          </cell>
          <cell r="R123">
            <v>31.175000000000004</v>
          </cell>
          <cell r="S123">
            <v>49.947999999999993</v>
          </cell>
          <cell r="T123">
            <v>41.985000000000007</v>
          </cell>
          <cell r="U123">
            <v>38.799666666666667</v>
          </cell>
        </row>
        <row r="124">
          <cell r="A124">
            <v>41274</v>
          </cell>
          <cell r="B124">
            <v>39.97</v>
          </cell>
          <cell r="C124">
            <v>35.119999999999997</v>
          </cell>
          <cell r="D124">
            <v>38.61</v>
          </cell>
          <cell r="E124">
            <v>39.619999999999997</v>
          </cell>
          <cell r="F124">
            <v>44.2</v>
          </cell>
          <cell r="G124">
            <v>31.31</v>
          </cell>
          <cell r="H124">
            <v>50.33</v>
          </cell>
          <cell r="I124">
            <v>42.41</v>
          </cell>
          <cell r="J124">
            <v>39.19</v>
          </cell>
          <cell r="L124">
            <v>41274</v>
          </cell>
          <cell r="M124">
            <v>39.303999999999995</v>
          </cell>
          <cell r="N124">
            <v>35.226666666666667</v>
          </cell>
          <cell r="O124">
            <v>39.369666666666667</v>
          </cell>
          <cell r="P124">
            <v>40.228000000000002</v>
          </cell>
          <cell r="Q124">
            <v>43.618333333333339</v>
          </cell>
          <cell r="R124">
            <v>31.078333333333333</v>
          </cell>
          <cell r="S124">
            <v>49.808666666666667</v>
          </cell>
          <cell r="T124">
            <v>41.879333333333328</v>
          </cell>
          <cell r="U124">
            <v>38.695999999999998</v>
          </cell>
        </row>
        <row r="125">
          <cell r="A125">
            <v>41271</v>
          </cell>
          <cell r="B125">
            <v>39.68</v>
          </cell>
          <cell r="C125">
            <v>34.630000000000003</v>
          </cell>
          <cell r="D125">
            <v>37.700000000000003</v>
          </cell>
          <cell r="E125">
            <v>39.03</v>
          </cell>
          <cell r="F125">
            <v>43.32</v>
          </cell>
          <cell r="G125">
            <v>30.72</v>
          </cell>
          <cell r="H125">
            <v>49.48</v>
          </cell>
          <cell r="I125">
            <v>41.73</v>
          </cell>
          <cell r="J125">
            <v>38.65</v>
          </cell>
          <cell r="L125">
            <v>41271</v>
          </cell>
          <cell r="M125">
            <v>39.209333333333333</v>
          </cell>
          <cell r="N125">
            <v>35.162666666666659</v>
          </cell>
          <cell r="O125">
            <v>39.356999999999999</v>
          </cell>
          <cell r="P125">
            <v>40.207333333333331</v>
          </cell>
          <cell r="Q125">
            <v>43.536333333333346</v>
          </cell>
          <cell r="R125">
            <v>30.993666666666666</v>
          </cell>
          <cell r="S125">
            <v>49.676000000000002</v>
          </cell>
          <cell r="T125">
            <v>41.782999999999994</v>
          </cell>
          <cell r="U125">
            <v>38.618000000000002</v>
          </cell>
        </row>
        <row r="126">
          <cell r="A126">
            <v>41270</v>
          </cell>
          <cell r="B126">
            <v>39.93</v>
          </cell>
          <cell r="C126">
            <v>34.950000000000003</v>
          </cell>
          <cell r="D126">
            <v>37.880000000000003</v>
          </cell>
          <cell r="E126">
            <v>39.39</v>
          </cell>
          <cell r="F126">
            <v>43.82</v>
          </cell>
          <cell r="G126">
            <v>30.94</v>
          </cell>
          <cell r="H126">
            <v>50.02</v>
          </cell>
          <cell r="I126">
            <v>42.05</v>
          </cell>
          <cell r="J126">
            <v>38.880000000000003</v>
          </cell>
          <cell r="L126">
            <v>41270</v>
          </cell>
          <cell r="M126">
            <v>39.132666666666672</v>
          </cell>
          <cell r="N126">
            <v>35.130000000000003</v>
          </cell>
          <cell r="O126">
            <v>39.372333333333344</v>
          </cell>
          <cell r="P126">
            <v>40.233000000000011</v>
          </cell>
          <cell r="Q126">
            <v>43.498000000000012</v>
          </cell>
          <cell r="R126">
            <v>30.941333333333333</v>
          </cell>
          <cell r="S126">
            <v>49.589333333333343</v>
          </cell>
          <cell r="T126">
            <v>41.728666666666662</v>
          </cell>
          <cell r="U126">
            <v>38.574333333333328</v>
          </cell>
        </row>
        <row r="127">
          <cell r="A127">
            <v>41269</v>
          </cell>
          <cell r="B127">
            <v>39.97</v>
          </cell>
          <cell r="C127">
            <v>35.14</v>
          </cell>
          <cell r="D127">
            <v>37.89</v>
          </cell>
          <cell r="E127">
            <v>39.909999999999997</v>
          </cell>
          <cell r="F127">
            <v>43.79</v>
          </cell>
          <cell r="G127">
            <v>31.26</v>
          </cell>
          <cell r="H127">
            <v>50.03</v>
          </cell>
          <cell r="I127">
            <v>42.19</v>
          </cell>
          <cell r="J127">
            <v>39.07</v>
          </cell>
          <cell r="L127">
            <v>41269</v>
          </cell>
          <cell r="M127">
            <v>39.076666666666675</v>
          </cell>
          <cell r="N127">
            <v>35.106000000000002</v>
          </cell>
          <cell r="O127">
            <v>39.402333333333338</v>
          </cell>
          <cell r="P127">
            <v>40.274000000000008</v>
          </cell>
          <cell r="Q127">
            <v>43.454000000000001</v>
          </cell>
          <cell r="R127">
            <v>30.898</v>
          </cell>
          <cell r="S127">
            <v>49.516000000000005</v>
          </cell>
          <cell r="T127">
            <v>41.683999999999997</v>
          </cell>
          <cell r="U127">
            <v>38.539999999999992</v>
          </cell>
        </row>
        <row r="128">
          <cell r="A128">
            <v>41267</v>
          </cell>
          <cell r="B128">
            <v>40.39</v>
          </cell>
          <cell r="C128">
            <v>35.78</v>
          </cell>
          <cell r="D128">
            <v>38.4</v>
          </cell>
          <cell r="E128">
            <v>40</v>
          </cell>
          <cell r="F128">
            <v>44.39</v>
          </cell>
          <cell r="G128">
            <v>31.88</v>
          </cell>
          <cell r="H128">
            <v>50.81</v>
          </cell>
          <cell r="I128">
            <v>42.55</v>
          </cell>
          <cell r="J128">
            <v>39.619999999999997</v>
          </cell>
          <cell r="L128">
            <v>41267</v>
          </cell>
          <cell r="M128">
            <v>39.01733333333334</v>
          </cell>
          <cell r="N128">
            <v>35.073999999999998</v>
          </cell>
          <cell r="O128">
            <v>39.43333333333333</v>
          </cell>
          <cell r="P128">
            <v>40.303999999999995</v>
          </cell>
          <cell r="Q128">
            <v>43.407333333333341</v>
          </cell>
          <cell r="R128">
            <v>30.844333333333331</v>
          </cell>
          <cell r="S128">
            <v>49.44466666666667</v>
          </cell>
          <cell r="T128">
            <v>41.648666666666671</v>
          </cell>
          <cell r="U128">
            <v>38.495999999999988</v>
          </cell>
        </row>
        <row r="129">
          <cell r="A129">
            <v>41264</v>
          </cell>
          <cell r="B129">
            <v>40.36</v>
          </cell>
          <cell r="C129">
            <v>36.020000000000003</v>
          </cell>
          <cell r="D129">
            <v>38.5</v>
          </cell>
          <cell r="E129">
            <v>39.97</v>
          </cell>
          <cell r="F129">
            <v>45.25</v>
          </cell>
          <cell r="G129">
            <v>32.42</v>
          </cell>
          <cell r="H129">
            <v>51.89</v>
          </cell>
          <cell r="I129">
            <v>42.95</v>
          </cell>
          <cell r="J129">
            <v>39.79</v>
          </cell>
          <cell r="L129">
            <v>41264</v>
          </cell>
          <cell r="M129">
            <v>38.949666666666666</v>
          </cell>
          <cell r="N129">
            <v>35.045333333333332</v>
          </cell>
          <cell r="O129">
            <v>39.454333333333331</v>
          </cell>
          <cell r="P129">
            <v>40.344333333333331</v>
          </cell>
          <cell r="Q129">
            <v>43.353333333333339</v>
          </cell>
          <cell r="R129">
            <v>30.776333333333334</v>
          </cell>
          <cell r="S129">
            <v>49.361333333333341</v>
          </cell>
          <cell r="T129">
            <v>41.618000000000009</v>
          </cell>
          <cell r="U129">
            <v>38.448333333333331</v>
          </cell>
        </row>
        <row r="130">
          <cell r="A130">
            <v>41263</v>
          </cell>
          <cell r="B130">
            <v>40.630000000000003</v>
          </cell>
          <cell r="C130">
            <v>36.24</v>
          </cell>
          <cell r="D130">
            <v>38.54</v>
          </cell>
          <cell r="E130">
            <v>40.24</v>
          </cell>
          <cell r="F130">
            <v>44.92</v>
          </cell>
          <cell r="G130">
            <v>32.17</v>
          </cell>
          <cell r="H130">
            <v>51.37</v>
          </cell>
          <cell r="I130">
            <v>42.86</v>
          </cell>
          <cell r="J130">
            <v>39.97</v>
          </cell>
          <cell r="L130">
            <v>41263</v>
          </cell>
          <cell r="M130">
            <v>38.886999999999993</v>
          </cell>
          <cell r="N130">
            <v>34.994</v>
          </cell>
          <cell r="O130">
            <v>39.475999999999999</v>
          </cell>
          <cell r="P130">
            <v>40.394333333333329</v>
          </cell>
          <cell r="Q130">
            <v>43.276333333333341</v>
          </cell>
          <cell r="R130">
            <v>30.688666666666666</v>
          </cell>
          <cell r="S130">
            <v>49.251999999999995</v>
          </cell>
          <cell r="T130">
            <v>41.568000000000005</v>
          </cell>
          <cell r="U130">
            <v>38.386000000000003</v>
          </cell>
        </row>
        <row r="131">
          <cell r="A131">
            <v>41262</v>
          </cell>
          <cell r="B131">
            <v>40.15</v>
          </cell>
          <cell r="C131">
            <v>36.07</v>
          </cell>
          <cell r="D131">
            <v>38.58</v>
          </cell>
          <cell r="E131">
            <v>40.11</v>
          </cell>
          <cell r="F131">
            <v>44.43</v>
          </cell>
          <cell r="G131">
            <v>32.04</v>
          </cell>
          <cell r="H131">
            <v>50.76</v>
          </cell>
          <cell r="I131">
            <v>42.64</v>
          </cell>
          <cell r="J131">
            <v>39.76</v>
          </cell>
          <cell r="L131">
            <v>41262</v>
          </cell>
          <cell r="M131">
            <v>38.823666666666661</v>
          </cell>
          <cell r="N131">
            <v>34.939999999999991</v>
          </cell>
          <cell r="O131">
            <v>39.504000000000005</v>
          </cell>
          <cell r="P131">
            <v>40.447999999999993</v>
          </cell>
          <cell r="Q131">
            <v>43.225666666666683</v>
          </cell>
          <cell r="R131">
            <v>30.615333333333332</v>
          </cell>
          <cell r="S131">
            <v>49.144666666666666</v>
          </cell>
          <cell r="T131">
            <v>41.534333333333329</v>
          </cell>
          <cell r="U131">
            <v>38.324666666666673</v>
          </cell>
        </row>
        <row r="132">
          <cell r="A132">
            <v>41261</v>
          </cell>
          <cell r="B132">
            <v>40.18</v>
          </cell>
          <cell r="C132">
            <v>36.090000000000003</v>
          </cell>
          <cell r="D132">
            <v>38.81</v>
          </cell>
          <cell r="E132">
            <v>40.6</v>
          </cell>
          <cell r="F132">
            <v>44.75</v>
          </cell>
          <cell r="G132">
            <v>32.42</v>
          </cell>
          <cell r="H132">
            <v>51.33</v>
          </cell>
          <cell r="I132">
            <v>42.65</v>
          </cell>
          <cell r="J132">
            <v>39.82</v>
          </cell>
          <cell r="L132">
            <v>41261</v>
          </cell>
          <cell r="M132">
            <v>38.79433333333332</v>
          </cell>
          <cell r="N132">
            <v>34.923333333333332</v>
          </cell>
          <cell r="O132">
            <v>39.566333333333333</v>
          </cell>
          <cell r="P132">
            <v>40.567000000000007</v>
          </cell>
          <cell r="Q132">
            <v>43.223666666666674</v>
          </cell>
          <cell r="R132">
            <v>30.591333333333331</v>
          </cell>
          <cell r="S132">
            <v>49.130333333333333</v>
          </cell>
          <cell r="T132">
            <v>41.551000000000009</v>
          </cell>
          <cell r="U132">
            <v>38.310333333333332</v>
          </cell>
        </row>
        <row r="133">
          <cell r="A133">
            <v>41260</v>
          </cell>
          <cell r="B133">
            <v>40.08</v>
          </cell>
          <cell r="C133">
            <v>36.21</v>
          </cell>
          <cell r="D133">
            <v>39.1</v>
          </cell>
          <cell r="E133">
            <v>40.71</v>
          </cell>
          <cell r="F133">
            <v>44.54</v>
          </cell>
          <cell r="G133">
            <v>32.15</v>
          </cell>
          <cell r="H133">
            <v>51.35</v>
          </cell>
          <cell r="I133">
            <v>42.09</v>
          </cell>
          <cell r="J133">
            <v>39.69</v>
          </cell>
          <cell r="L133">
            <v>41260</v>
          </cell>
          <cell r="M133">
            <v>38.760999999999996</v>
          </cell>
          <cell r="N133">
            <v>34.896333333333338</v>
          </cell>
          <cell r="O133">
            <v>39.615666666666669</v>
          </cell>
          <cell r="P133">
            <v>40.667000000000002</v>
          </cell>
          <cell r="Q133">
            <v>43.229000000000013</v>
          </cell>
          <cell r="R133">
            <v>30.547666666666665</v>
          </cell>
          <cell r="S133">
            <v>49.076666666666668</v>
          </cell>
          <cell r="T133">
            <v>41.545333333333346</v>
          </cell>
          <cell r="U133">
            <v>38.285666666666671</v>
          </cell>
        </row>
        <row r="134">
          <cell r="A134">
            <v>41257</v>
          </cell>
          <cell r="B134">
            <v>39.65</v>
          </cell>
          <cell r="C134">
            <v>35.369999999999997</v>
          </cell>
          <cell r="D134">
            <v>39.86</v>
          </cell>
          <cell r="E134">
            <v>39.659999999999997</v>
          </cell>
          <cell r="F134">
            <v>43.85</v>
          </cell>
          <cell r="G134">
            <v>31.42</v>
          </cell>
          <cell r="H134">
            <v>50.35</v>
          </cell>
          <cell r="I134">
            <v>41.81</v>
          </cell>
          <cell r="J134">
            <v>39.049999999999997</v>
          </cell>
          <cell r="L134">
            <v>41257</v>
          </cell>
          <cell r="M134">
            <v>38.744</v>
          </cell>
          <cell r="N134">
            <v>34.865000000000002</v>
          </cell>
          <cell r="O134">
            <v>39.667000000000009</v>
          </cell>
          <cell r="P134">
            <v>40.763333333333328</v>
          </cell>
          <cell r="Q134">
            <v>43.241666666666681</v>
          </cell>
          <cell r="R134">
            <v>30.515666666666668</v>
          </cell>
          <cell r="S134">
            <v>49.031666666666666</v>
          </cell>
          <cell r="T134">
            <v>41.56966666666667</v>
          </cell>
          <cell r="U134">
            <v>38.261999999999993</v>
          </cell>
        </row>
        <row r="135">
          <cell r="A135">
            <v>41256</v>
          </cell>
          <cell r="B135">
            <v>39.56</v>
          </cell>
          <cell r="C135">
            <v>35.369999999999997</v>
          </cell>
          <cell r="D135">
            <v>39.9</v>
          </cell>
          <cell r="E135">
            <v>40.01</v>
          </cell>
          <cell r="F135">
            <v>44.09</v>
          </cell>
          <cell r="G135">
            <v>31.55</v>
          </cell>
          <cell r="H135">
            <v>50.16</v>
          </cell>
          <cell r="I135">
            <v>41.97</v>
          </cell>
          <cell r="J135">
            <v>39.11</v>
          </cell>
          <cell r="L135">
            <v>41256</v>
          </cell>
          <cell r="M135">
            <v>38.763333333333335</v>
          </cell>
          <cell r="N135">
            <v>34.886999999999993</v>
          </cell>
          <cell r="O135">
            <v>39.720333333333336</v>
          </cell>
          <cell r="P135">
            <v>40.919333333333334</v>
          </cell>
          <cell r="Q135">
            <v>43.297333333333341</v>
          </cell>
          <cell r="R135">
            <v>30.523333333333333</v>
          </cell>
          <cell r="S135">
            <v>49.035333333333334</v>
          </cell>
          <cell r="T135">
            <v>41.620999999999995</v>
          </cell>
          <cell r="U135">
            <v>38.286999999999992</v>
          </cell>
        </row>
        <row r="136">
          <cell r="A136">
            <v>41255</v>
          </cell>
          <cell r="B136">
            <v>40.119999999999997</v>
          </cell>
          <cell r="C136">
            <v>35.619999999999997</v>
          </cell>
          <cell r="D136">
            <v>39.89</v>
          </cell>
          <cell r="E136">
            <v>40.64</v>
          </cell>
          <cell r="F136">
            <v>44.09</v>
          </cell>
          <cell r="G136">
            <v>31.66</v>
          </cell>
          <cell r="H136">
            <v>50.17</v>
          </cell>
          <cell r="I136">
            <v>41.94</v>
          </cell>
          <cell r="J136">
            <v>39.07</v>
          </cell>
          <cell r="L136">
            <v>41255</v>
          </cell>
          <cell r="M136">
            <v>38.80566666666666</v>
          </cell>
          <cell r="N136">
            <v>34.906999999999996</v>
          </cell>
          <cell r="O136">
            <v>39.778333333333336</v>
          </cell>
          <cell r="P136">
            <v>41.067666666666668</v>
          </cell>
          <cell r="Q136">
            <v>43.37866666666666</v>
          </cell>
          <cell r="R136">
            <v>30.534000000000002</v>
          </cell>
          <cell r="S136">
            <v>49.04966666666666</v>
          </cell>
          <cell r="T136">
            <v>41.671000000000006</v>
          </cell>
          <cell r="U136">
            <v>38.308999999999997</v>
          </cell>
        </row>
        <row r="137">
          <cell r="A137">
            <v>41254</v>
          </cell>
          <cell r="B137">
            <v>40.119999999999997</v>
          </cell>
          <cell r="C137">
            <v>35.89</v>
          </cell>
          <cell r="D137">
            <v>40.18</v>
          </cell>
          <cell r="E137">
            <v>41.15</v>
          </cell>
          <cell r="F137">
            <v>44.38</v>
          </cell>
          <cell r="G137">
            <v>31.89</v>
          </cell>
          <cell r="H137">
            <v>50.18</v>
          </cell>
          <cell r="I137">
            <v>42.38</v>
          </cell>
          <cell r="J137">
            <v>39.42</v>
          </cell>
          <cell r="L137">
            <v>41254</v>
          </cell>
          <cell r="M137">
            <v>38.811</v>
          </cell>
          <cell r="N137">
            <v>34.912999999999997</v>
          </cell>
          <cell r="O137">
            <v>39.838333333333345</v>
          </cell>
          <cell r="P137">
            <v>41.199666666666658</v>
          </cell>
          <cell r="Q137">
            <v>43.501666666666665</v>
          </cell>
          <cell r="R137">
            <v>30.531000000000002</v>
          </cell>
          <cell r="S137">
            <v>49.076666666666668</v>
          </cell>
          <cell r="T137">
            <v>41.734000000000002</v>
          </cell>
          <cell r="U137">
            <v>38.323333333333338</v>
          </cell>
        </row>
        <row r="138">
          <cell r="A138">
            <v>41253</v>
          </cell>
          <cell r="B138">
            <v>39.79</v>
          </cell>
          <cell r="C138">
            <v>35.65</v>
          </cell>
          <cell r="D138">
            <v>40.04</v>
          </cell>
          <cell r="E138">
            <v>40.86</v>
          </cell>
          <cell r="F138">
            <v>43.99</v>
          </cell>
          <cell r="G138">
            <v>31.53</v>
          </cell>
          <cell r="H138">
            <v>50.03</v>
          </cell>
          <cell r="I138">
            <v>42.14</v>
          </cell>
          <cell r="J138">
            <v>38.89</v>
          </cell>
          <cell r="L138">
            <v>41253</v>
          </cell>
          <cell r="M138">
            <v>38.821666666666665</v>
          </cell>
          <cell r="N138">
            <v>34.904999999999994</v>
          </cell>
          <cell r="O138">
            <v>39.894333333333329</v>
          </cell>
          <cell r="P138">
            <v>41.320999999999998</v>
          </cell>
          <cell r="Q138">
            <v>43.61866666666667</v>
          </cell>
          <cell r="R138">
            <v>30.522666666666669</v>
          </cell>
          <cell r="S138">
            <v>49.112666666666662</v>
          </cell>
          <cell r="T138">
            <v>41.789666666666662</v>
          </cell>
          <cell r="U138">
            <v>38.321666666666665</v>
          </cell>
        </row>
        <row r="139">
          <cell r="A139">
            <v>41250</v>
          </cell>
          <cell r="B139">
            <v>39.58</v>
          </cell>
          <cell r="C139">
            <v>35.659999999999997</v>
          </cell>
          <cell r="D139">
            <v>39.97</v>
          </cell>
          <cell r="E139">
            <v>41.2</v>
          </cell>
          <cell r="F139">
            <v>43.44</v>
          </cell>
          <cell r="G139">
            <v>31.37</v>
          </cell>
          <cell r="H139">
            <v>49.89</v>
          </cell>
          <cell r="I139">
            <v>42</v>
          </cell>
          <cell r="J139">
            <v>38.74</v>
          </cell>
          <cell r="L139">
            <v>41250</v>
          </cell>
          <cell r="M139">
            <v>38.831666666666671</v>
          </cell>
          <cell r="N139">
            <v>34.891333333333328</v>
          </cell>
          <cell r="O139">
            <v>39.956000000000003</v>
          </cell>
          <cell r="P139">
            <v>41.454333333333331</v>
          </cell>
          <cell r="Q139">
            <v>43.739000000000004</v>
          </cell>
          <cell r="R139">
            <v>30.524666666666672</v>
          </cell>
          <cell r="S139">
            <v>49.135999999999996</v>
          </cell>
          <cell r="T139">
            <v>41.841666666666669</v>
          </cell>
          <cell r="U139">
            <v>38.325000000000003</v>
          </cell>
        </row>
        <row r="140">
          <cell r="A140">
            <v>41249</v>
          </cell>
          <cell r="B140">
            <v>39.630000000000003</v>
          </cell>
          <cell r="C140">
            <v>35.880000000000003</v>
          </cell>
          <cell r="D140">
            <v>40.72</v>
          </cell>
          <cell r="E140">
            <v>41.2</v>
          </cell>
          <cell r="F140">
            <v>43.17</v>
          </cell>
          <cell r="G140">
            <v>31.6</v>
          </cell>
          <cell r="H140">
            <v>49.97</v>
          </cell>
          <cell r="I140">
            <v>42.29</v>
          </cell>
          <cell r="J140">
            <v>38.61</v>
          </cell>
          <cell r="L140">
            <v>41249</v>
          </cell>
          <cell r="M140">
            <v>38.840999999999994</v>
          </cell>
          <cell r="N140">
            <v>34.880999999999993</v>
          </cell>
          <cell r="O140">
            <v>40.026666666666664</v>
          </cell>
          <cell r="P140">
            <v>41.570333333333323</v>
          </cell>
          <cell r="Q140">
            <v>43.875333333333323</v>
          </cell>
          <cell r="R140">
            <v>30.529666666666671</v>
          </cell>
          <cell r="S140">
            <v>49.171000000000006</v>
          </cell>
          <cell r="T140">
            <v>41.892666666666663</v>
          </cell>
          <cell r="U140">
            <v>38.331333333333333</v>
          </cell>
        </row>
        <row r="141">
          <cell r="A141">
            <v>41248</v>
          </cell>
          <cell r="B141">
            <v>39.700000000000003</v>
          </cell>
          <cell r="C141">
            <v>35.700000000000003</v>
          </cell>
          <cell r="D141">
            <v>40.770000000000003</v>
          </cell>
          <cell r="E141">
            <v>41.31</v>
          </cell>
          <cell r="F141">
            <v>43.43</v>
          </cell>
          <cell r="G141">
            <v>31.56</v>
          </cell>
          <cell r="H141">
            <v>50.72</v>
          </cell>
          <cell r="I141">
            <v>42.44</v>
          </cell>
          <cell r="J141">
            <v>38.729999999999997</v>
          </cell>
          <cell r="L141">
            <v>41248</v>
          </cell>
          <cell r="M141">
            <v>38.86933333333333</v>
          </cell>
          <cell r="N141">
            <v>34.882999999999996</v>
          </cell>
          <cell r="O141">
            <v>40.080999999999996</v>
          </cell>
          <cell r="P141">
            <v>41.705999999999996</v>
          </cell>
          <cell r="Q141">
            <v>44.051000000000002</v>
          </cell>
          <cell r="R141">
            <v>30.535333333333334</v>
          </cell>
          <cell r="S141">
            <v>49.212333333333341</v>
          </cell>
          <cell r="T141">
            <v>41.94233333333333</v>
          </cell>
          <cell r="U141">
            <v>38.35</v>
          </cell>
        </row>
        <row r="142">
          <cell r="A142">
            <v>41247</v>
          </cell>
          <cell r="B142">
            <v>38.81</v>
          </cell>
          <cell r="C142">
            <v>35.49</v>
          </cell>
          <cell r="D142">
            <v>40.369999999999997</v>
          </cell>
          <cell r="E142">
            <v>40.75</v>
          </cell>
          <cell r="F142">
            <v>43.52</v>
          </cell>
          <cell r="G142">
            <v>31.11</v>
          </cell>
          <cell r="H142">
            <v>50.11</v>
          </cell>
          <cell r="I142">
            <v>42.26</v>
          </cell>
          <cell r="J142">
            <v>38.78</v>
          </cell>
          <cell r="L142">
            <v>41247</v>
          </cell>
          <cell r="M142">
            <v>38.903999999999996</v>
          </cell>
          <cell r="N142">
            <v>34.891333333333336</v>
          </cell>
          <cell r="O142">
            <v>40.148999999999994</v>
          </cell>
          <cell r="P142">
            <v>41.857666666666667</v>
          </cell>
          <cell r="Q142">
            <v>44.227999999999994</v>
          </cell>
          <cell r="R142">
            <v>30.558333333333337</v>
          </cell>
          <cell r="S142">
            <v>49.238000000000007</v>
          </cell>
          <cell r="T142">
            <v>41.994666666666674</v>
          </cell>
          <cell r="U142">
            <v>38.377333333333333</v>
          </cell>
        </row>
        <row r="143">
          <cell r="A143">
            <v>41246</v>
          </cell>
          <cell r="B143">
            <v>38.770000000000003</v>
          </cell>
          <cell r="C143">
            <v>35.43</v>
          </cell>
          <cell r="D143">
            <v>39.950000000000003</v>
          </cell>
          <cell r="E143">
            <v>41.12</v>
          </cell>
          <cell r="F143">
            <v>43.61</v>
          </cell>
          <cell r="G143">
            <v>30.97</v>
          </cell>
          <cell r="H143">
            <v>49.86</v>
          </cell>
          <cell r="I143">
            <v>42.04</v>
          </cell>
          <cell r="J143">
            <v>38.76</v>
          </cell>
          <cell r="L143">
            <v>41246</v>
          </cell>
          <cell r="M143">
            <v>38.985000000000007</v>
          </cell>
          <cell r="N143">
            <v>34.926000000000002</v>
          </cell>
          <cell r="O143">
            <v>40.239999999999988</v>
          </cell>
          <cell r="P143">
            <v>42.037333333333336</v>
          </cell>
          <cell r="Q143">
            <v>44.428999999999988</v>
          </cell>
          <cell r="R143">
            <v>30.59866666666667</v>
          </cell>
          <cell r="S143">
            <v>49.304999999999993</v>
          </cell>
          <cell r="T143">
            <v>42.064</v>
          </cell>
          <cell r="U143">
            <v>38.422666666666672</v>
          </cell>
        </row>
        <row r="144">
          <cell r="A144">
            <v>41243</v>
          </cell>
          <cell r="B144">
            <v>38.979999999999997</v>
          </cell>
          <cell r="C144">
            <v>35.01</v>
          </cell>
          <cell r="D144">
            <v>40.71</v>
          </cell>
          <cell r="E144">
            <v>40.58</v>
          </cell>
          <cell r="F144">
            <v>43.86</v>
          </cell>
          <cell r="G144">
            <v>30.86</v>
          </cell>
          <cell r="H144">
            <v>49.97</v>
          </cell>
          <cell r="I144">
            <v>41.94</v>
          </cell>
          <cell r="J144">
            <v>39.06</v>
          </cell>
          <cell r="L144">
            <v>41243</v>
          </cell>
          <cell r="M144">
            <v>39.06633333333334</v>
          </cell>
          <cell r="N144">
            <v>34.973666666666659</v>
          </cell>
          <cell r="O144">
            <v>40.355666666666657</v>
          </cell>
          <cell r="P144">
            <v>42.200333333333333</v>
          </cell>
          <cell r="Q144">
            <v>44.63133333333333</v>
          </cell>
          <cell r="R144">
            <v>30.640000000000004</v>
          </cell>
          <cell r="S144">
            <v>49.386000000000003</v>
          </cell>
          <cell r="T144">
            <v>42.153333333333329</v>
          </cell>
          <cell r="U144">
            <v>38.465000000000003</v>
          </cell>
        </row>
        <row r="145">
          <cell r="A145">
            <v>41242</v>
          </cell>
          <cell r="B145">
            <v>38.770000000000003</v>
          </cell>
          <cell r="C145">
            <v>34.82</v>
          </cell>
          <cell r="D145">
            <v>40.29</v>
          </cell>
          <cell r="E145">
            <v>41.57</v>
          </cell>
          <cell r="F145">
            <v>43.82</v>
          </cell>
          <cell r="G145">
            <v>30.76</v>
          </cell>
          <cell r="H145">
            <v>49.83</v>
          </cell>
          <cell r="I145">
            <v>41.64</v>
          </cell>
          <cell r="J145">
            <v>38.6</v>
          </cell>
          <cell r="L145">
            <v>41242</v>
          </cell>
          <cell r="M145">
            <v>39.132333333333342</v>
          </cell>
          <cell r="N145">
            <v>35.018000000000001</v>
          </cell>
          <cell r="O145">
            <v>40.436333333333337</v>
          </cell>
          <cell r="P145">
            <v>42.355666666666671</v>
          </cell>
          <cell r="Q145">
            <v>44.822999999999993</v>
          </cell>
          <cell r="R145">
            <v>30.668333333333337</v>
          </cell>
          <cell r="S145">
            <v>49.44133333333334</v>
          </cell>
          <cell r="T145">
            <v>42.222000000000001</v>
          </cell>
          <cell r="U145">
            <v>38.486000000000004</v>
          </cell>
        </row>
        <row r="146">
          <cell r="A146">
            <v>41241</v>
          </cell>
          <cell r="B146">
            <v>38.69</v>
          </cell>
          <cell r="C146">
            <v>34.65</v>
          </cell>
          <cell r="D146">
            <v>39.770000000000003</v>
          </cell>
          <cell r="E146">
            <v>40.409999999999997</v>
          </cell>
          <cell r="F146">
            <v>43.32</v>
          </cell>
          <cell r="G146">
            <v>30.19</v>
          </cell>
          <cell r="H146">
            <v>48.79</v>
          </cell>
          <cell r="I146">
            <v>41.24</v>
          </cell>
          <cell r="J146">
            <v>37.81</v>
          </cell>
          <cell r="L146">
            <v>41241</v>
          </cell>
          <cell r="M146">
            <v>39.188666666666677</v>
          </cell>
          <cell r="N146">
            <v>35.046000000000006</v>
          </cell>
          <cell r="O146">
            <v>40.525999999999996</v>
          </cell>
          <cell r="P146">
            <v>42.474333333333341</v>
          </cell>
          <cell r="Q146">
            <v>45.005333333333326</v>
          </cell>
          <cell r="R146">
            <v>30.684666666666669</v>
          </cell>
          <cell r="S146">
            <v>49.487000000000009</v>
          </cell>
          <cell r="T146">
            <v>42.291000000000011</v>
          </cell>
          <cell r="U146">
            <v>38.514000000000003</v>
          </cell>
        </row>
        <row r="147">
          <cell r="A147">
            <v>41240</v>
          </cell>
          <cell r="B147">
            <v>38.409999999999997</v>
          </cell>
          <cell r="C147">
            <v>34.78</v>
          </cell>
          <cell r="D147">
            <v>39.89</v>
          </cell>
          <cell r="E147">
            <v>40.33</v>
          </cell>
          <cell r="F147">
            <v>43.28</v>
          </cell>
          <cell r="G147">
            <v>30.34</v>
          </cell>
          <cell r="H147">
            <v>48.96</v>
          </cell>
          <cell r="I147">
            <v>41.3</v>
          </cell>
          <cell r="J147">
            <v>37.81</v>
          </cell>
          <cell r="L147">
            <v>41240</v>
          </cell>
          <cell r="M147">
            <v>39.236666666666679</v>
          </cell>
          <cell r="N147">
            <v>35.080333333333328</v>
          </cell>
          <cell r="O147">
            <v>40.63066666666667</v>
          </cell>
          <cell r="P147">
            <v>42.63633333333334</v>
          </cell>
          <cell r="Q147">
            <v>45.197666666666656</v>
          </cell>
          <cell r="R147">
            <v>30.721000000000004</v>
          </cell>
          <cell r="S147">
            <v>49.577000000000012</v>
          </cell>
          <cell r="T147">
            <v>42.37466666666667</v>
          </cell>
          <cell r="U147">
            <v>38.556666666666665</v>
          </cell>
        </row>
        <row r="148">
          <cell r="A148">
            <v>41239</v>
          </cell>
          <cell r="B148">
            <v>38.39</v>
          </cell>
          <cell r="C148">
            <v>34.659999999999997</v>
          </cell>
          <cell r="D148">
            <v>39.97</v>
          </cell>
          <cell r="E148">
            <v>39.64</v>
          </cell>
          <cell r="F148">
            <v>43.23</v>
          </cell>
          <cell r="G148">
            <v>30.28</v>
          </cell>
          <cell r="H148">
            <v>48.9</v>
          </cell>
          <cell r="I148">
            <v>41.65</v>
          </cell>
          <cell r="J148">
            <v>37.99</v>
          </cell>
          <cell r="L148">
            <v>41239</v>
          </cell>
          <cell r="M148">
            <v>39.311333333333344</v>
          </cell>
          <cell r="N148">
            <v>35.11933333333333</v>
          </cell>
          <cell r="O148">
            <v>40.736666666666672</v>
          </cell>
          <cell r="P148">
            <v>42.81066666666667</v>
          </cell>
          <cell r="Q148">
            <v>45.416999999999987</v>
          </cell>
          <cell r="R148">
            <v>30.764333333333337</v>
          </cell>
          <cell r="S148">
            <v>49.674666666666674</v>
          </cell>
          <cell r="T148">
            <v>42.450333333333333</v>
          </cell>
          <cell r="U148">
            <v>38.602666666666664</v>
          </cell>
        </row>
        <row r="149">
          <cell r="A149">
            <v>41236</v>
          </cell>
          <cell r="B149">
            <v>37.549999999999997</v>
          </cell>
          <cell r="C149">
            <v>34.200000000000003</v>
          </cell>
          <cell r="D149">
            <v>39.01</v>
          </cell>
          <cell r="E149">
            <v>39.19</v>
          </cell>
          <cell r="F149">
            <v>42.17</v>
          </cell>
          <cell r="G149">
            <v>29.67</v>
          </cell>
          <cell r="H149">
            <v>48.05</v>
          </cell>
          <cell r="I149">
            <v>40.78</v>
          </cell>
          <cell r="J149">
            <v>37.299999999999997</v>
          </cell>
          <cell r="L149">
            <v>41236</v>
          </cell>
          <cell r="M149">
            <v>39.392333333333347</v>
          </cell>
          <cell r="N149">
            <v>35.161666666666669</v>
          </cell>
          <cell r="O149">
            <v>40.843333333333341</v>
          </cell>
          <cell r="P149">
            <v>43.00566666666667</v>
          </cell>
          <cell r="Q149">
            <v>45.655999999999985</v>
          </cell>
          <cell r="R149">
            <v>30.813000000000002</v>
          </cell>
          <cell r="S149">
            <v>49.780333333333346</v>
          </cell>
          <cell r="T149">
            <v>42.52033333333334</v>
          </cell>
          <cell r="U149">
            <v>38.645666666666664</v>
          </cell>
        </row>
        <row r="150">
          <cell r="A150">
            <v>41234</v>
          </cell>
          <cell r="B150">
            <v>37.700000000000003</v>
          </cell>
          <cell r="C150">
            <v>34.270000000000003</v>
          </cell>
          <cell r="D150">
            <v>38.6</v>
          </cell>
          <cell r="E150">
            <v>39.35</v>
          </cell>
          <cell r="F150">
            <v>42.16</v>
          </cell>
          <cell r="G150">
            <v>29.77</v>
          </cell>
          <cell r="H150">
            <v>47.93</v>
          </cell>
          <cell r="I150">
            <v>40.72</v>
          </cell>
          <cell r="J150">
            <v>37.28</v>
          </cell>
          <cell r="L150">
            <v>41234</v>
          </cell>
          <cell r="M150">
            <v>39.509000000000015</v>
          </cell>
          <cell r="N150">
            <v>35.217999999999996</v>
          </cell>
          <cell r="O150">
            <v>40.975999999999999</v>
          </cell>
          <cell r="P150">
            <v>43.216000000000001</v>
          </cell>
          <cell r="Q150">
            <v>45.929333333333311</v>
          </cell>
          <cell r="R150">
            <v>30.883000000000003</v>
          </cell>
          <cell r="S150">
            <v>49.919666666666679</v>
          </cell>
          <cell r="T150">
            <v>42.63066666666667</v>
          </cell>
          <cell r="U150">
            <v>38.711999999999989</v>
          </cell>
        </row>
        <row r="151">
          <cell r="A151">
            <v>41233</v>
          </cell>
          <cell r="B151">
            <v>37.96</v>
          </cell>
          <cell r="C151">
            <v>34.479999999999997</v>
          </cell>
          <cell r="D151">
            <v>39.28</v>
          </cell>
          <cell r="E151">
            <v>39.56</v>
          </cell>
          <cell r="F151">
            <v>42.19</v>
          </cell>
          <cell r="G151">
            <v>29.78</v>
          </cell>
          <cell r="H151">
            <v>48.25</v>
          </cell>
          <cell r="I151">
            <v>40.79</v>
          </cell>
          <cell r="J151">
            <v>37.130000000000003</v>
          </cell>
          <cell r="L151">
            <v>41233</v>
          </cell>
          <cell r="M151">
            <v>39.624666666666684</v>
          </cell>
          <cell r="N151">
            <v>35.282333333333334</v>
          </cell>
          <cell r="O151">
            <v>41.137666666666668</v>
          </cell>
          <cell r="P151">
            <v>43.428666666666665</v>
          </cell>
          <cell r="Q151">
            <v>46.206333333333319</v>
          </cell>
          <cell r="R151">
            <v>30.960666666666672</v>
          </cell>
          <cell r="S151">
            <v>50.076000000000008</v>
          </cell>
          <cell r="T151">
            <v>42.748000000000005</v>
          </cell>
          <cell r="U151">
            <v>38.786333333333324</v>
          </cell>
        </row>
        <row r="152">
          <cell r="A152">
            <v>41232</v>
          </cell>
          <cell r="B152">
            <v>37.81</v>
          </cell>
          <cell r="C152">
            <v>34.01</v>
          </cell>
          <cell r="D152">
            <v>39.159999999999997</v>
          </cell>
          <cell r="E152">
            <v>39.6</v>
          </cell>
          <cell r="F152">
            <v>41.72</v>
          </cell>
          <cell r="G152">
            <v>29.48</v>
          </cell>
          <cell r="H152">
            <v>47.77</v>
          </cell>
          <cell r="I152">
            <v>40.72</v>
          </cell>
          <cell r="J152">
            <v>37.270000000000003</v>
          </cell>
          <cell r="L152">
            <v>41232</v>
          </cell>
          <cell r="M152">
            <v>39.736000000000004</v>
          </cell>
          <cell r="N152">
            <v>35.335666666666661</v>
          </cell>
          <cell r="O152">
            <v>41.277000000000001</v>
          </cell>
          <cell r="P152">
            <v>43.634333333333331</v>
          </cell>
          <cell r="Q152">
            <v>46.472666666666655</v>
          </cell>
          <cell r="R152">
            <v>31.043000000000003</v>
          </cell>
          <cell r="S152">
            <v>50.223666666666666</v>
          </cell>
          <cell r="T152">
            <v>42.854999999999997</v>
          </cell>
          <cell r="U152">
            <v>38.871999999999993</v>
          </cell>
        </row>
        <row r="153">
          <cell r="A153">
            <v>41229</v>
          </cell>
          <cell r="B153">
            <v>37.79</v>
          </cell>
          <cell r="C153">
            <v>33.61</v>
          </cell>
          <cell r="D153">
            <v>38.75</v>
          </cell>
          <cell r="E153">
            <v>39.130000000000003</v>
          </cell>
          <cell r="F153">
            <v>41.82</v>
          </cell>
          <cell r="G153">
            <v>29.25</v>
          </cell>
          <cell r="H153">
            <v>47</v>
          </cell>
          <cell r="I153">
            <v>40.21</v>
          </cell>
          <cell r="J153">
            <v>37.03</v>
          </cell>
          <cell r="L153">
            <v>41229</v>
          </cell>
          <cell r="M153">
            <v>39.853666666666669</v>
          </cell>
          <cell r="N153">
            <v>35.399333333333331</v>
          </cell>
          <cell r="O153">
            <v>41.419333333333341</v>
          </cell>
          <cell r="P153">
            <v>43.837333333333341</v>
          </cell>
          <cell r="Q153">
            <v>46.748666666666658</v>
          </cell>
          <cell r="R153">
            <v>31.131333333333334</v>
          </cell>
          <cell r="S153">
            <v>50.39266666666667</v>
          </cell>
          <cell r="T153">
            <v>42.966999999999999</v>
          </cell>
          <cell r="U153">
            <v>38.959333333333333</v>
          </cell>
        </row>
        <row r="154">
          <cell r="A154">
            <v>41228</v>
          </cell>
          <cell r="B154">
            <v>37.130000000000003</v>
          </cell>
          <cell r="C154">
            <v>33.200000000000003</v>
          </cell>
          <cell r="D154">
            <v>38.229999999999997</v>
          </cell>
          <cell r="E154">
            <v>39</v>
          </cell>
          <cell r="F154">
            <v>41.74</v>
          </cell>
          <cell r="G154">
            <v>28.77</v>
          </cell>
          <cell r="H154">
            <v>46.35</v>
          </cell>
          <cell r="I154">
            <v>39.520000000000003</v>
          </cell>
          <cell r="J154">
            <v>36.85</v>
          </cell>
          <cell r="L154">
            <v>41228</v>
          </cell>
          <cell r="M154">
            <v>39.961333333333336</v>
          </cell>
          <cell r="N154">
            <v>35.46</v>
          </cell>
          <cell r="O154">
            <v>41.576666666666675</v>
          </cell>
          <cell r="P154">
            <v>44.042666666666669</v>
          </cell>
          <cell r="Q154">
            <v>47.013999999999996</v>
          </cell>
          <cell r="R154">
            <v>31.223666666666666</v>
          </cell>
          <cell r="S154">
            <v>50.579666666666661</v>
          </cell>
          <cell r="T154">
            <v>43.086333333333329</v>
          </cell>
          <cell r="U154">
            <v>39.050999999999995</v>
          </cell>
        </row>
        <row r="155">
          <cell r="A155">
            <v>41227</v>
          </cell>
          <cell r="B155">
            <v>37.380000000000003</v>
          </cell>
          <cell r="C155">
            <v>33.65</v>
          </cell>
          <cell r="D155">
            <v>38.159999999999997</v>
          </cell>
          <cell r="E155">
            <v>39.799999999999997</v>
          </cell>
          <cell r="F155">
            <v>42.17</v>
          </cell>
          <cell r="G155">
            <v>29.15</v>
          </cell>
          <cell r="H155">
            <v>46.88</v>
          </cell>
          <cell r="I155">
            <v>40.1</v>
          </cell>
          <cell r="J155">
            <v>37.340000000000003</v>
          </cell>
          <cell r="L155">
            <v>41227</v>
          </cell>
          <cell r="M155">
            <v>40.085000000000001</v>
          </cell>
          <cell r="N155">
            <v>35.530999999999999</v>
          </cell>
          <cell r="O155">
            <v>41.744666666666674</v>
          </cell>
          <cell r="P155">
            <v>44.259666666666668</v>
          </cell>
          <cell r="Q155">
            <v>47.271666666666668</v>
          </cell>
          <cell r="R155">
            <v>31.333333333333332</v>
          </cell>
          <cell r="S155">
            <v>50.79699999999999</v>
          </cell>
          <cell r="T155">
            <v>43.230999999999995</v>
          </cell>
          <cell r="U155">
            <v>39.152333333333331</v>
          </cell>
        </row>
        <row r="156">
          <cell r="A156">
            <v>41226</v>
          </cell>
          <cell r="B156">
            <v>38.25</v>
          </cell>
          <cell r="C156">
            <v>34.229999999999997</v>
          </cell>
          <cell r="D156">
            <v>38.78</v>
          </cell>
          <cell r="E156">
            <v>40.619999999999997</v>
          </cell>
          <cell r="F156">
            <v>42.5</v>
          </cell>
          <cell r="G156">
            <v>29.64</v>
          </cell>
          <cell r="H156">
            <v>47.82</v>
          </cell>
          <cell r="I156">
            <v>40.71</v>
          </cell>
          <cell r="J156">
            <v>37.85</v>
          </cell>
          <cell r="L156">
            <v>41226</v>
          </cell>
          <cell r="M156">
            <v>40.193333333333335</v>
          </cell>
          <cell r="N156">
            <v>35.586333333333329</v>
          </cell>
          <cell r="O156">
            <v>41.906666666666673</v>
          </cell>
          <cell r="P156">
            <v>44.448666666666668</v>
          </cell>
          <cell r="Q156">
            <v>47.507666666666665</v>
          </cell>
          <cell r="R156">
            <v>31.43333333333333</v>
          </cell>
          <cell r="S156">
            <v>50.994666666666653</v>
          </cell>
          <cell r="T156">
            <v>43.352333333333334</v>
          </cell>
          <cell r="U156">
            <v>39.235666666666667</v>
          </cell>
        </row>
        <row r="157">
          <cell r="A157">
            <v>41225</v>
          </cell>
          <cell r="B157">
            <v>38.19</v>
          </cell>
          <cell r="C157">
            <v>34.18</v>
          </cell>
          <cell r="D157">
            <v>38.82</v>
          </cell>
          <cell r="E157">
            <v>40.81</v>
          </cell>
          <cell r="F157">
            <v>42.39</v>
          </cell>
          <cell r="G157">
            <v>29.65</v>
          </cell>
          <cell r="H157">
            <v>47.89</v>
          </cell>
          <cell r="I157">
            <v>41.13</v>
          </cell>
          <cell r="J157">
            <v>37.75</v>
          </cell>
          <cell r="L157">
            <v>41225</v>
          </cell>
          <cell r="M157">
            <v>40.282000000000004</v>
          </cell>
          <cell r="N157">
            <v>35.638333333333335</v>
          </cell>
          <cell r="O157">
            <v>42.047333333333334</v>
          </cell>
          <cell r="P157">
            <v>44.61866666666667</v>
          </cell>
          <cell r="Q157">
            <v>47.732333333333337</v>
          </cell>
          <cell r="R157">
            <v>31.527999999999995</v>
          </cell>
          <cell r="S157">
            <v>51.164999999999992</v>
          </cell>
          <cell r="T157">
            <v>43.468666666666664</v>
          </cell>
          <cell r="U157">
            <v>39.315666666666665</v>
          </cell>
        </row>
        <row r="158">
          <cell r="A158">
            <v>41222</v>
          </cell>
          <cell r="B158">
            <v>38.36</v>
          </cell>
          <cell r="C158">
            <v>34.92</v>
          </cell>
          <cell r="D158">
            <v>39.03</v>
          </cell>
          <cell r="E158">
            <v>41.21</v>
          </cell>
          <cell r="F158">
            <v>42.77</v>
          </cell>
          <cell r="G158">
            <v>29.84</v>
          </cell>
          <cell r="H158">
            <v>48.31</v>
          </cell>
          <cell r="I158">
            <v>41.63</v>
          </cell>
          <cell r="J158">
            <v>38.19</v>
          </cell>
          <cell r="L158">
            <v>41222</v>
          </cell>
          <cell r="M158">
            <v>40.37133333333334</v>
          </cell>
          <cell r="N158">
            <v>35.684333333333335</v>
          </cell>
          <cell r="O158">
            <v>42.184666666666672</v>
          </cell>
          <cell r="P158">
            <v>44.783666666666669</v>
          </cell>
          <cell r="Q158">
            <v>47.951333333333331</v>
          </cell>
          <cell r="R158">
            <v>31.625666666666667</v>
          </cell>
          <cell r="S158">
            <v>51.337666666666657</v>
          </cell>
          <cell r="T158">
            <v>43.56933333333334</v>
          </cell>
          <cell r="U158">
            <v>39.404666666666664</v>
          </cell>
        </row>
        <row r="159">
          <cell r="A159">
            <v>41221</v>
          </cell>
          <cell r="B159">
            <v>38.479999999999997</v>
          </cell>
          <cell r="C159">
            <v>34.479999999999997</v>
          </cell>
          <cell r="D159">
            <v>39.15</v>
          </cell>
          <cell r="E159">
            <v>41.47</v>
          </cell>
          <cell r="F159">
            <v>42.94</v>
          </cell>
          <cell r="G159">
            <v>29.79</v>
          </cell>
          <cell r="H159">
            <v>48.61</v>
          </cell>
          <cell r="I159">
            <v>41.45</v>
          </cell>
          <cell r="J159">
            <v>37.92</v>
          </cell>
          <cell r="L159">
            <v>41221</v>
          </cell>
          <cell r="M159">
            <v>40.470666666666666</v>
          </cell>
          <cell r="N159">
            <v>35.713999999999992</v>
          </cell>
          <cell r="O159">
            <v>42.310666666666663</v>
          </cell>
          <cell r="P159">
            <v>44.954333333333338</v>
          </cell>
          <cell r="Q159">
            <v>48.156666666666666</v>
          </cell>
          <cell r="R159">
            <v>31.728666666666658</v>
          </cell>
          <cell r="S159">
            <v>51.493666666666655</v>
          </cell>
          <cell r="T159">
            <v>43.663333333333334</v>
          </cell>
          <cell r="U159">
            <v>39.486666666666672</v>
          </cell>
        </row>
        <row r="160">
          <cell r="A160">
            <v>41220</v>
          </cell>
          <cell r="B160">
            <v>38.729999999999997</v>
          </cell>
          <cell r="C160">
            <v>34.619999999999997</v>
          </cell>
          <cell r="D160">
            <v>39.380000000000003</v>
          </cell>
          <cell r="E160">
            <v>41.85</v>
          </cell>
          <cell r="F160">
            <v>43.4</v>
          </cell>
          <cell r="G160">
            <v>29.97</v>
          </cell>
          <cell r="H160">
            <v>48.15</v>
          </cell>
          <cell r="I160">
            <v>41.85</v>
          </cell>
          <cell r="J160">
            <v>38.130000000000003</v>
          </cell>
          <cell r="L160">
            <v>41220</v>
          </cell>
          <cell r="M160">
            <v>40.565000000000005</v>
          </cell>
          <cell r="N160">
            <v>35.767166666666661</v>
          </cell>
          <cell r="O160">
            <v>42.429333333333339</v>
          </cell>
          <cell r="P160">
            <v>45.122333333333337</v>
          </cell>
          <cell r="Q160">
            <v>48.355000000000004</v>
          </cell>
          <cell r="R160">
            <v>31.835999999999995</v>
          </cell>
          <cell r="S160">
            <v>51.643333333333324</v>
          </cell>
          <cell r="T160">
            <v>43.760000000000005</v>
          </cell>
          <cell r="U160">
            <v>39.573</v>
          </cell>
        </row>
        <row r="161">
          <cell r="A161">
            <v>41219</v>
          </cell>
          <cell r="B161">
            <v>39.270000000000003</v>
          </cell>
          <cell r="C161">
            <v>35.57</v>
          </cell>
          <cell r="D161">
            <v>40.450000000000003</v>
          </cell>
          <cell r="E161">
            <v>43.68</v>
          </cell>
          <cell r="F161">
            <v>44.37</v>
          </cell>
          <cell r="G161">
            <v>31.32</v>
          </cell>
          <cell r="H161">
            <v>50.33</v>
          </cell>
          <cell r="I161">
            <v>43.14</v>
          </cell>
          <cell r="J161">
            <v>39.33</v>
          </cell>
          <cell r="L161">
            <v>41219</v>
          </cell>
          <cell r="M161">
            <v>40.656666666666659</v>
          </cell>
          <cell r="N161">
            <v>35.823166666666665</v>
          </cell>
          <cell r="O161">
            <v>42.553000000000004</v>
          </cell>
          <cell r="P161">
            <v>45.292000000000009</v>
          </cell>
          <cell r="Q161">
            <v>48.545333333333332</v>
          </cell>
          <cell r="R161">
            <v>31.95</v>
          </cell>
          <cell r="S161">
            <v>51.816333333333318</v>
          </cell>
          <cell r="T161">
            <v>43.855666666666679</v>
          </cell>
          <cell r="U161">
            <v>39.655666666666669</v>
          </cell>
        </row>
        <row r="162">
          <cell r="A162">
            <v>41218</v>
          </cell>
          <cell r="B162">
            <v>39.18</v>
          </cell>
          <cell r="C162">
            <v>35.28</v>
          </cell>
          <cell r="D162">
            <v>40.29</v>
          </cell>
          <cell r="E162">
            <v>43.6</v>
          </cell>
          <cell r="F162">
            <v>44.91</v>
          </cell>
          <cell r="G162">
            <v>31.11</v>
          </cell>
          <cell r="H162">
            <v>49.72</v>
          </cell>
          <cell r="I162">
            <v>42.48</v>
          </cell>
          <cell r="J162">
            <v>39.08</v>
          </cell>
          <cell r="L162">
            <v>41218</v>
          </cell>
          <cell r="M162">
            <v>40.723666666666659</v>
          </cell>
          <cell r="N162">
            <v>35.827499999999993</v>
          </cell>
          <cell r="O162">
            <v>42.616</v>
          </cell>
          <cell r="P162">
            <v>45.388333333333335</v>
          </cell>
          <cell r="Q162">
            <v>48.695000000000007</v>
          </cell>
          <cell r="R162">
            <v>32.005333333333326</v>
          </cell>
          <cell r="S162">
            <v>51.890999999999984</v>
          </cell>
          <cell r="T162">
            <v>43.899666666666675</v>
          </cell>
          <cell r="U162">
            <v>39.681333333333328</v>
          </cell>
        </row>
        <row r="163">
          <cell r="A163">
            <v>41215</v>
          </cell>
          <cell r="B163">
            <v>39.57</v>
          </cell>
          <cell r="C163">
            <v>35.270000000000003</v>
          </cell>
          <cell r="D163">
            <v>40.64</v>
          </cell>
          <cell r="E163">
            <v>43.6</v>
          </cell>
          <cell r="F163">
            <v>44.92</v>
          </cell>
          <cell r="G163">
            <v>31.19</v>
          </cell>
          <cell r="H163">
            <v>50</v>
          </cell>
          <cell r="I163">
            <v>42.82</v>
          </cell>
          <cell r="J163">
            <v>38.979999999999997</v>
          </cell>
          <cell r="L163">
            <v>41215</v>
          </cell>
          <cell r="M163">
            <v>40.79433333333332</v>
          </cell>
          <cell r="N163">
            <v>35.840166666666661</v>
          </cell>
          <cell r="O163">
            <v>42.669000000000004</v>
          </cell>
          <cell r="P163">
            <v>45.48</v>
          </cell>
          <cell r="Q163">
            <v>48.824666666666658</v>
          </cell>
          <cell r="R163">
            <v>32.051666666666662</v>
          </cell>
          <cell r="S163">
            <v>51.967333333333315</v>
          </cell>
          <cell r="T163">
            <v>43.954000000000001</v>
          </cell>
          <cell r="U163">
            <v>39.705666666666659</v>
          </cell>
        </row>
        <row r="164">
          <cell r="A164">
            <v>41214</v>
          </cell>
          <cell r="B164">
            <v>40.229999999999997</v>
          </cell>
          <cell r="C164">
            <v>36.03</v>
          </cell>
          <cell r="D164">
            <v>41.46</v>
          </cell>
          <cell r="E164">
            <v>44.34</v>
          </cell>
          <cell r="F164">
            <v>45.52</v>
          </cell>
          <cell r="G164">
            <v>31.65</v>
          </cell>
          <cell r="H164">
            <v>50.46</v>
          </cell>
          <cell r="I164">
            <v>43.35</v>
          </cell>
          <cell r="J164">
            <v>39.799999999999997</v>
          </cell>
          <cell r="L164">
            <v>41214</v>
          </cell>
          <cell r="M164">
            <v>40.847666666666669</v>
          </cell>
          <cell r="N164">
            <v>35.849166666666662</v>
          </cell>
          <cell r="O164">
            <v>42.706333333333333</v>
          </cell>
          <cell r="P164">
            <v>45.57</v>
          </cell>
          <cell r="Q164">
            <v>48.947333333333326</v>
          </cell>
          <cell r="R164">
            <v>32.100666666666662</v>
          </cell>
          <cell r="S164">
            <v>52.041999999999987</v>
          </cell>
          <cell r="T164">
            <v>43.990666666666677</v>
          </cell>
          <cell r="U164">
            <v>39.719666666666662</v>
          </cell>
        </row>
        <row r="165">
          <cell r="A165">
            <v>41213</v>
          </cell>
          <cell r="B165">
            <v>40.83</v>
          </cell>
          <cell r="C165">
            <v>35.97</v>
          </cell>
          <cell r="D165">
            <v>41.64</v>
          </cell>
          <cell r="E165">
            <v>44.46</v>
          </cell>
          <cell r="F165">
            <v>46.53</v>
          </cell>
          <cell r="G165">
            <v>31.87</v>
          </cell>
          <cell r="H165">
            <v>50.59</v>
          </cell>
          <cell r="I165">
            <v>43.47</v>
          </cell>
          <cell r="J165">
            <v>39.770000000000003</v>
          </cell>
          <cell r="L165">
            <v>41213</v>
          </cell>
          <cell r="M165">
            <v>40.87566666666666</v>
          </cell>
          <cell r="N165">
            <v>35.827166666666663</v>
          </cell>
          <cell r="O165">
            <v>42.715000000000003</v>
          </cell>
          <cell r="P165">
            <v>45.637666666666654</v>
          </cell>
          <cell r="Q165">
            <v>49.054666666666662</v>
          </cell>
          <cell r="R165">
            <v>32.134</v>
          </cell>
          <cell r="S165">
            <v>52.108333333333327</v>
          </cell>
          <cell r="T165">
            <v>44.011000000000003</v>
          </cell>
          <cell r="U165">
            <v>39.714666666666666</v>
          </cell>
        </row>
        <row r="166">
          <cell r="A166">
            <v>41208</v>
          </cell>
          <cell r="B166">
            <v>40.28</v>
          </cell>
          <cell r="C166">
            <v>35.799999999999997</v>
          </cell>
          <cell r="D166">
            <v>41.69</v>
          </cell>
          <cell r="E166">
            <v>44.6</v>
          </cell>
          <cell r="F166">
            <v>47.78</v>
          </cell>
          <cell r="G166">
            <v>31.57</v>
          </cell>
          <cell r="H166">
            <v>50.98</v>
          </cell>
          <cell r="I166">
            <v>43.83</v>
          </cell>
          <cell r="J166">
            <v>39.5</v>
          </cell>
          <cell r="L166">
            <v>41208</v>
          </cell>
          <cell r="M166">
            <v>40.879666666666665</v>
          </cell>
          <cell r="N166">
            <v>35.803166666666662</v>
          </cell>
          <cell r="O166">
            <v>42.715000000000003</v>
          </cell>
          <cell r="P166">
            <v>45.687333333333321</v>
          </cell>
          <cell r="Q166">
            <v>49.121333333333332</v>
          </cell>
          <cell r="R166">
            <v>32.150666666666659</v>
          </cell>
          <cell r="S166">
            <v>52.156333333333329</v>
          </cell>
          <cell r="T166">
            <v>44.024000000000001</v>
          </cell>
          <cell r="U166">
            <v>39.712000000000003</v>
          </cell>
        </row>
        <row r="167">
          <cell r="A167">
            <v>41207</v>
          </cell>
          <cell r="B167">
            <v>40.44</v>
          </cell>
          <cell r="C167">
            <v>35.65</v>
          </cell>
          <cell r="D167">
            <v>41.86</v>
          </cell>
          <cell r="E167">
            <v>44.79</v>
          </cell>
          <cell r="F167">
            <v>47.89</v>
          </cell>
          <cell r="G167">
            <v>31.64</v>
          </cell>
          <cell r="H167">
            <v>51.26</v>
          </cell>
          <cell r="I167">
            <v>44.05</v>
          </cell>
          <cell r="J167">
            <v>39.369999999999997</v>
          </cell>
          <cell r="L167">
            <v>41207</v>
          </cell>
          <cell r="M167">
            <v>40.910666666666664</v>
          </cell>
          <cell r="N167">
            <v>35.788499999999992</v>
          </cell>
          <cell r="O167">
            <v>42.720666666666666</v>
          </cell>
          <cell r="P167">
            <v>45.738333333333337</v>
          </cell>
          <cell r="Q167">
            <v>49.154666666666664</v>
          </cell>
          <cell r="R167">
            <v>32.182666666666663</v>
          </cell>
          <cell r="S167">
            <v>52.206333333333326</v>
          </cell>
          <cell r="T167">
            <v>44.024666666666668</v>
          </cell>
          <cell r="U167">
            <v>39.728333333333339</v>
          </cell>
        </row>
        <row r="168">
          <cell r="A168">
            <v>41206</v>
          </cell>
          <cell r="B168">
            <v>40.090000000000003</v>
          </cell>
          <cell r="C168">
            <v>35.24</v>
          </cell>
          <cell r="D168">
            <v>41.89</v>
          </cell>
          <cell r="E168">
            <v>44.86</v>
          </cell>
          <cell r="F168">
            <v>47.6</v>
          </cell>
          <cell r="G168">
            <v>31.59</v>
          </cell>
          <cell r="H168">
            <v>50.73</v>
          </cell>
          <cell r="I168">
            <v>43.7</v>
          </cell>
          <cell r="J168">
            <v>38.99</v>
          </cell>
          <cell r="L168">
            <v>41206</v>
          </cell>
          <cell r="M168">
            <v>40.945666666666668</v>
          </cell>
          <cell r="N168">
            <v>35.796166666666657</v>
          </cell>
          <cell r="O168">
            <v>42.742000000000004</v>
          </cell>
          <cell r="P168">
            <v>45.792000000000002</v>
          </cell>
          <cell r="Q168">
            <v>49.185999999999993</v>
          </cell>
          <cell r="R168">
            <v>32.212666666666657</v>
          </cell>
          <cell r="S168">
            <v>52.254666666666665</v>
          </cell>
          <cell r="T168">
            <v>44.026666666666657</v>
          </cell>
          <cell r="U168">
            <v>39.779333333333348</v>
          </cell>
        </row>
        <row r="169">
          <cell r="A169">
            <v>41205</v>
          </cell>
          <cell r="B169">
            <v>39.86</v>
          </cell>
          <cell r="C169">
            <v>35.35</v>
          </cell>
          <cell r="D169">
            <v>42.09</v>
          </cell>
          <cell r="E169">
            <v>44.68</v>
          </cell>
          <cell r="F169">
            <v>47.53</v>
          </cell>
          <cell r="G169">
            <v>31.52</v>
          </cell>
          <cell r="H169">
            <v>50.94</v>
          </cell>
          <cell r="I169">
            <v>43.53</v>
          </cell>
          <cell r="J169">
            <v>38.93</v>
          </cell>
          <cell r="L169">
            <v>41205</v>
          </cell>
          <cell r="M169">
            <v>40.970333333333336</v>
          </cell>
          <cell r="N169">
            <v>35.796833333333325</v>
          </cell>
          <cell r="O169">
            <v>42.74</v>
          </cell>
          <cell r="P169">
            <v>45.81433333333333</v>
          </cell>
          <cell r="Q169">
            <v>49.204666666666654</v>
          </cell>
          <cell r="R169">
            <v>32.218999999999994</v>
          </cell>
          <cell r="S169">
            <v>52.273333333333326</v>
          </cell>
          <cell r="T169">
            <v>44.013999999999996</v>
          </cell>
          <cell r="U169">
            <v>39.815000000000005</v>
          </cell>
        </row>
        <row r="170">
          <cell r="A170">
            <v>41204</v>
          </cell>
          <cell r="B170">
            <v>40.479999999999997</v>
          </cell>
          <cell r="C170">
            <v>35.94</v>
          </cell>
          <cell r="D170">
            <v>42.35</v>
          </cell>
          <cell r="E170">
            <v>45.27</v>
          </cell>
          <cell r="F170">
            <v>48.44</v>
          </cell>
          <cell r="G170">
            <v>31.77</v>
          </cell>
          <cell r="H170">
            <v>51.21</v>
          </cell>
          <cell r="I170">
            <v>43.78</v>
          </cell>
          <cell r="J170">
            <v>39.17</v>
          </cell>
          <cell r="L170">
            <v>41204</v>
          </cell>
          <cell r="M170">
            <v>41.000999999999998</v>
          </cell>
          <cell r="N170">
            <v>35.800166666666662</v>
          </cell>
          <cell r="O170">
            <v>42.737666666666669</v>
          </cell>
          <cell r="P170">
            <v>45.846333333333334</v>
          </cell>
          <cell r="Q170">
            <v>49.244333333333323</v>
          </cell>
          <cell r="R170">
            <v>32.242333333333328</v>
          </cell>
          <cell r="S170">
            <v>52.271999999999998</v>
          </cell>
          <cell r="T170">
            <v>44.018000000000001</v>
          </cell>
          <cell r="U170">
            <v>39.859333333333332</v>
          </cell>
        </row>
        <row r="171">
          <cell r="A171">
            <v>41201</v>
          </cell>
          <cell r="B171">
            <v>40.74</v>
          </cell>
          <cell r="C171">
            <v>35.950000000000003</v>
          </cell>
          <cell r="D171">
            <v>42.81</v>
          </cell>
          <cell r="E171">
            <v>45.86</v>
          </cell>
          <cell r="F171">
            <v>48.74</v>
          </cell>
          <cell r="G171">
            <v>32.25</v>
          </cell>
          <cell r="H171">
            <v>51.49</v>
          </cell>
          <cell r="I171">
            <v>44.01</v>
          </cell>
          <cell r="J171">
            <v>39.549999999999997</v>
          </cell>
          <cell r="L171">
            <v>41201</v>
          </cell>
          <cell r="M171">
            <v>41.013999999999996</v>
          </cell>
          <cell r="N171">
            <v>35.795833333333327</v>
          </cell>
          <cell r="O171">
            <v>42.736666666666657</v>
          </cell>
          <cell r="P171">
            <v>45.849000000000011</v>
          </cell>
          <cell r="Q171">
            <v>49.257666666666651</v>
          </cell>
          <cell r="R171">
            <v>32.264666666666663</v>
          </cell>
          <cell r="S171">
            <v>52.281333333333336</v>
          </cell>
          <cell r="T171">
            <v>44.021999999999998</v>
          </cell>
          <cell r="U171">
            <v>39.898666666666664</v>
          </cell>
        </row>
        <row r="172">
          <cell r="A172">
            <v>41200</v>
          </cell>
          <cell r="B172">
            <v>41.24</v>
          </cell>
          <cell r="C172">
            <v>36.53</v>
          </cell>
          <cell r="D172">
            <v>43.1</v>
          </cell>
          <cell r="E172">
            <v>46.14</v>
          </cell>
          <cell r="F172">
            <v>49.55</v>
          </cell>
          <cell r="G172">
            <v>32.32</v>
          </cell>
          <cell r="H172">
            <v>52.12</v>
          </cell>
          <cell r="I172">
            <v>44.34</v>
          </cell>
          <cell r="J172">
            <v>40.14</v>
          </cell>
          <cell r="L172">
            <v>41200</v>
          </cell>
          <cell r="M172">
            <v>41.018333333333324</v>
          </cell>
          <cell r="N172">
            <v>35.774499999999996</v>
          </cell>
          <cell r="O172">
            <v>42.716666666666661</v>
          </cell>
          <cell r="P172">
            <v>45.827000000000012</v>
          </cell>
          <cell r="Q172">
            <v>49.252666666666656</v>
          </cell>
          <cell r="R172">
            <v>32.26</v>
          </cell>
          <cell r="S172">
            <v>52.280000000000008</v>
          </cell>
          <cell r="T172">
            <v>44.019666666666673</v>
          </cell>
          <cell r="U172">
            <v>39.918333333333329</v>
          </cell>
        </row>
        <row r="173">
          <cell r="A173">
            <v>41199</v>
          </cell>
          <cell r="B173">
            <v>41.21</v>
          </cell>
          <cell r="C173">
            <v>36.86</v>
          </cell>
          <cell r="D173">
            <v>43.42</v>
          </cell>
          <cell r="E173">
            <v>46.01</v>
          </cell>
          <cell r="F173">
            <v>49.68</v>
          </cell>
          <cell r="G173">
            <v>32.21</v>
          </cell>
          <cell r="H173">
            <v>52.29</v>
          </cell>
          <cell r="I173">
            <v>44.72</v>
          </cell>
          <cell r="J173">
            <v>40.03</v>
          </cell>
          <cell r="L173">
            <v>41199</v>
          </cell>
          <cell r="M173">
            <v>41.010333333333321</v>
          </cell>
          <cell r="N173">
            <v>35.746833333333335</v>
          </cell>
          <cell r="O173">
            <v>42.704666666666661</v>
          </cell>
          <cell r="P173">
            <v>45.795666666666676</v>
          </cell>
          <cell r="Q173">
            <v>49.24199999999999</v>
          </cell>
          <cell r="R173">
            <v>32.249333333333333</v>
          </cell>
          <cell r="S173">
            <v>52.261666666666677</v>
          </cell>
          <cell r="T173">
            <v>44.012666666666675</v>
          </cell>
          <cell r="U173">
            <v>39.921666666666667</v>
          </cell>
        </row>
        <row r="174">
          <cell r="A174">
            <v>41198</v>
          </cell>
          <cell r="B174">
            <v>40.96</v>
          </cell>
          <cell r="C174">
            <v>36.340000000000003</v>
          </cell>
          <cell r="D174">
            <v>43.13</v>
          </cell>
          <cell r="E174">
            <v>45.24</v>
          </cell>
          <cell r="F174">
            <v>49.61</v>
          </cell>
          <cell r="G174">
            <v>31.71</v>
          </cell>
          <cell r="H174">
            <v>51.63</v>
          </cell>
          <cell r="I174">
            <v>44</v>
          </cell>
          <cell r="J174">
            <v>39.69</v>
          </cell>
          <cell r="L174">
            <v>41198</v>
          </cell>
          <cell r="M174">
            <v>40.98266666666666</v>
          </cell>
          <cell r="N174">
            <v>35.69316666666667</v>
          </cell>
          <cell r="O174">
            <v>42.672666666666665</v>
          </cell>
          <cell r="P174">
            <v>45.756666666666675</v>
          </cell>
          <cell r="Q174">
            <v>49.228666666666662</v>
          </cell>
          <cell r="R174">
            <v>32.223666666666666</v>
          </cell>
          <cell r="S174">
            <v>52.225000000000009</v>
          </cell>
          <cell r="T174">
            <v>43.972333333333353</v>
          </cell>
          <cell r="U174">
            <v>39.908000000000001</v>
          </cell>
        </row>
        <row r="175">
          <cell r="A175">
            <v>41197</v>
          </cell>
          <cell r="B175">
            <v>40.46</v>
          </cell>
          <cell r="C175">
            <v>35.659999999999997</v>
          </cell>
          <cell r="D175">
            <v>42.98</v>
          </cell>
          <cell r="E175">
            <v>45.13</v>
          </cell>
          <cell r="F175">
            <v>49.29</v>
          </cell>
          <cell r="G175">
            <v>31.25</v>
          </cell>
          <cell r="H175">
            <v>51.2</v>
          </cell>
          <cell r="I175">
            <v>43.71</v>
          </cell>
          <cell r="J175">
            <v>39.44</v>
          </cell>
          <cell r="L175">
            <v>41197</v>
          </cell>
          <cell r="M175">
            <v>40.963333333333345</v>
          </cell>
          <cell r="N175">
            <v>35.667833333333327</v>
          </cell>
          <cell r="O175">
            <v>42.654999999999994</v>
          </cell>
          <cell r="P175">
            <v>45.755666666666677</v>
          </cell>
          <cell r="Q175">
            <v>49.236333333333327</v>
          </cell>
          <cell r="R175">
            <v>32.226333333333329</v>
          </cell>
          <cell r="S175">
            <v>52.216000000000001</v>
          </cell>
          <cell r="T175">
            <v>43.956333333333347</v>
          </cell>
          <cell r="U175">
            <v>39.905999999999999</v>
          </cell>
        </row>
        <row r="176">
          <cell r="A176">
            <v>41194</v>
          </cell>
          <cell r="B176">
            <v>40.130000000000003</v>
          </cell>
          <cell r="C176">
            <v>35.68</v>
          </cell>
          <cell r="D176">
            <v>42.91</v>
          </cell>
          <cell r="E176">
            <v>45.27</v>
          </cell>
          <cell r="F176">
            <v>49.09</v>
          </cell>
          <cell r="G176">
            <v>31.28</v>
          </cell>
          <cell r="H176">
            <v>51.49</v>
          </cell>
          <cell r="I176">
            <v>43.75</v>
          </cell>
          <cell r="J176">
            <v>39.090000000000003</v>
          </cell>
          <cell r="L176">
            <v>41194</v>
          </cell>
          <cell r="M176">
            <v>40.936333333333344</v>
          </cell>
          <cell r="N176">
            <v>35.643833333333333</v>
          </cell>
          <cell r="O176">
            <v>42.630666666666663</v>
          </cell>
          <cell r="P176">
            <v>45.745000000000005</v>
          </cell>
          <cell r="Q176">
            <v>49.23233333333333</v>
          </cell>
          <cell r="R176">
            <v>32.225666666666662</v>
          </cell>
          <cell r="S176">
            <v>52.196666666666673</v>
          </cell>
          <cell r="T176">
            <v>43.924333333333351</v>
          </cell>
          <cell r="U176">
            <v>39.89266666666667</v>
          </cell>
        </row>
        <row r="177">
          <cell r="A177">
            <v>41193</v>
          </cell>
          <cell r="B177">
            <v>40.65</v>
          </cell>
          <cell r="C177">
            <v>35.950000000000003</v>
          </cell>
          <cell r="D177">
            <v>43.07</v>
          </cell>
          <cell r="E177">
            <v>45.56</v>
          </cell>
          <cell r="F177">
            <v>49.86</v>
          </cell>
          <cell r="G177">
            <v>31.64</v>
          </cell>
          <cell r="H177">
            <v>51.89</v>
          </cell>
          <cell r="I177">
            <v>43.57</v>
          </cell>
          <cell r="J177">
            <v>39.19</v>
          </cell>
          <cell r="L177">
            <v>41193</v>
          </cell>
          <cell r="M177">
            <v>40.919000000000004</v>
          </cell>
          <cell r="N177">
            <v>35.621833333333335</v>
          </cell>
          <cell r="O177">
            <v>42.606333333333332</v>
          </cell>
          <cell r="P177">
            <v>45.740666666666669</v>
          </cell>
          <cell r="Q177">
            <v>49.23833333333333</v>
          </cell>
          <cell r="R177">
            <v>32.224333333333327</v>
          </cell>
          <cell r="S177">
            <v>52.180666666666667</v>
          </cell>
          <cell r="T177">
            <v>43.89133333333335</v>
          </cell>
          <cell r="U177">
            <v>39.902333333333338</v>
          </cell>
        </row>
        <row r="178">
          <cell r="A178">
            <v>41192</v>
          </cell>
          <cell r="B178">
            <v>40.82</v>
          </cell>
          <cell r="C178">
            <v>35.93</v>
          </cell>
          <cell r="D178">
            <v>43.17</v>
          </cell>
          <cell r="E178">
            <v>45.49</v>
          </cell>
          <cell r="F178">
            <v>50.4</v>
          </cell>
          <cell r="G178">
            <v>31.74</v>
          </cell>
          <cell r="H178">
            <v>52.07</v>
          </cell>
          <cell r="I178">
            <v>43.75</v>
          </cell>
          <cell r="J178">
            <v>39.28</v>
          </cell>
          <cell r="L178">
            <v>41192</v>
          </cell>
          <cell r="M178">
            <v>40.887333333333345</v>
          </cell>
          <cell r="N178">
            <v>35.596833333333329</v>
          </cell>
          <cell r="O178">
            <v>42.58400000000001</v>
          </cell>
          <cell r="P178">
            <v>45.741999999999997</v>
          </cell>
          <cell r="Q178">
            <v>49.23</v>
          </cell>
          <cell r="R178">
            <v>32.221666666666664</v>
          </cell>
          <cell r="S178">
            <v>52.162333333333329</v>
          </cell>
          <cell r="T178">
            <v>43.873333333333342</v>
          </cell>
          <cell r="U178">
            <v>39.923333333333332</v>
          </cell>
        </row>
        <row r="179">
          <cell r="A179">
            <v>41191</v>
          </cell>
          <cell r="B179">
            <v>41.05</v>
          </cell>
          <cell r="C179">
            <v>35.89</v>
          </cell>
          <cell r="D179">
            <v>42.99</v>
          </cell>
          <cell r="E179">
            <v>45.5</v>
          </cell>
          <cell r="F179">
            <v>50.37</v>
          </cell>
          <cell r="G179">
            <v>31.77</v>
          </cell>
          <cell r="H179">
            <v>52.23</v>
          </cell>
          <cell r="I179">
            <v>44.09</v>
          </cell>
          <cell r="J179">
            <v>39.29</v>
          </cell>
          <cell r="L179">
            <v>41191</v>
          </cell>
          <cell r="M179">
            <v>40.841333333333345</v>
          </cell>
          <cell r="N179">
            <v>35.572833333333342</v>
          </cell>
          <cell r="O179">
            <v>42.552000000000007</v>
          </cell>
          <cell r="P179">
            <v>45.745666666666665</v>
          </cell>
          <cell r="Q179">
            <v>49.205333333333321</v>
          </cell>
          <cell r="R179">
            <v>32.212000000000003</v>
          </cell>
          <cell r="S179">
            <v>52.134333333333331</v>
          </cell>
          <cell r="T179">
            <v>43.849000000000004</v>
          </cell>
          <cell r="U179">
            <v>39.940000000000005</v>
          </cell>
        </row>
        <row r="180">
          <cell r="A180">
            <v>41190</v>
          </cell>
          <cell r="B180">
            <v>41.17</v>
          </cell>
          <cell r="C180">
            <v>36.200000000000003</v>
          </cell>
          <cell r="D180">
            <v>43.45</v>
          </cell>
          <cell r="E180">
            <v>45.73</v>
          </cell>
          <cell r="F180">
            <v>50.47</v>
          </cell>
          <cell r="G180">
            <v>32.1</v>
          </cell>
          <cell r="H180">
            <v>52.62</v>
          </cell>
          <cell r="I180">
            <v>44.24</v>
          </cell>
          <cell r="J180">
            <v>39.51</v>
          </cell>
          <cell r="L180">
            <v>41190</v>
          </cell>
          <cell r="M180">
            <v>40.787666666666681</v>
          </cell>
          <cell r="N180">
            <v>35.557500000000005</v>
          </cell>
          <cell r="O180">
            <v>42.518000000000015</v>
          </cell>
          <cell r="P180">
            <v>45.744999999999997</v>
          </cell>
          <cell r="Q180">
            <v>49.182666666666663</v>
          </cell>
          <cell r="R180">
            <v>32.195666666666668</v>
          </cell>
          <cell r="S180">
            <v>52.096333333333327</v>
          </cell>
          <cell r="T180">
            <v>43.809333333333342</v>
          </cell>
          <cell r="U180">
            <v>39.965666666666671</v>
          </cell>
        </row>
        <row r="181">
          <cell r="A181">
            <v>41187</v>
          </cell>
          <cell r="B181">
            <v>41.3</v>
          </cell>
          <cell r="C181">
            <v>36.08</v>
          </cell>
          <cell r="D181">
            <v>43.46</v>
          </cell>
          <cell r="E181">
            <v>45.73</v>
          </cell>
          <cell r="F181">
            <v>50.18</v>
          </cell>
          <cell r="G181">
            <v>32.25</v>
          </cell>
          <cell r="H181">
            <v>52.68</v>
          </cell>
          <cell r="I181">
            <v>44</v>
          </cell>
          <cell r="J181">
            <v>39.700000000000003</v>
          </cell>
          <cell r="L181">
            <v>41187</v>
          </cell>
          <cell r="M181">
            <v>40.729666666666681</v>
          </cell>
          <cell r="N181">
            <v>35.525166666666671</v>
          </cell>
          <cell r="O181">
            <v>42.470666666666688</v>
          </cell>
          <cell r="P181">
            <v>45.73299999999999</v>
          </cell>
          <cell r="Q181">
            <v>49.143999999999998</v>
          </cell>
          <cell r="R181">
            <v>32.169333333333327</v>
          </cell>
          <cell r="S181">
            <v>52.031999999999996</v>
          </cell>
          <cell r="T181">
            <v>43.762000000000008</v>
          </cell>
          <cell r="U181">
            <v>39.974333333333334</v>
          </cell>
        </row>
        <row r="182">
          <cell r="A182">
            <v>41186</v>
          </cell>
          <cell r="B182">
            <v>41.34</v>
          </cell>
          <cell r="C182">
            <v>35.92</v>
          </cell>
          <cell r="D182">
            <v>43.43</v>
          </cell>
          <cell r="E182">
            <v>45.69</v>
          </cell>
          <cell r="F182">
            <v>50</v>
          </cell>
          <cell r="G182">
            <v>32.130000000000003</v>
          </cell>
          <cell r="H182">
            <v>52.84</v>
          </cell>
          <cell r="I182">
            <v>44.08</v>
          </cell>
          <cell r="J182">
            <v>39.89</v>
          </cell>
          <cell r="L182">
            <v>41186</v>
          </cell>
          <cell r="M182">
            <v>40.659666666666681</v>
          </cell>
          <cell r="N182">
            <v>35.494166666666665</v>
          </cell>
          <cell r="O182">
            <v>42.417666666666676</v>
          </cell>
          <cell r="P182">
            <v>45.719999999999992</v>
          </cell>
          <cell r="Q182">
            <v>49.098333333333329</v>
          </cell>
          <cell r="R182">
            <v>32.136999999999993</v>
          </cell>
          <cell r="S182">
            <v>51.963333333333324</v>
          </cell>
          <cell r="T182">
            <v>43.705666666666659</v>
          </cell>
          <cell r="U182">
            <v>39.972999999999999</v>
          </cell>
        </row>
        <row r="183">
          <cell r="A183">
            <v>41185</v>
          </cell>
          <cell r="B183">
            <v>41.02</v>
          </cell>
          <cell r="C183">
            <v>35.43</v>
          </cell>
          <cell r="D183">
            <v>43.47</v>
          </cell>
          <cell r="E183">
            <v>45.29</v>
          </cell>
          <cell r="F183">
            <v>49.78</v>
          </cell>
          <cell r="G183">
            <v>32.020000000000003</v>
          </cell>
          <cell r="H183">
            <v>52.61</v>
          </cell>
          <cell r="I183">
            <v>43.79</v>
          </cell>
          <cell r="J183">
            <v>39.78</v>
          </cell>
          <cell r="L183">
            <v>41185</v>
          </cell>
          <cell r="M183">
            <v>40.603333333333346</v>
          </cell>
          <cell r="N183">
            <v>35.484500000000011</v>
          </cell>
          <cell r="O183">
            <v>42.377000000000002</v>
          </cell>
          <cell r="P183">
            <v>45.72</v>
          </cell>
          <cell r="Q183">
            <v>49.066333333333333</v>
          </cell>
          <cell r="R183">
            <v>32.121666666666663</v>
          </cell>
          <cell r="S183">
            <v>51.906333333333329</v>
          </cell>
          <cell r="T183">
            <v>43.667333333333339</v>
          </cell>
          <cell r="U183">
            <v>39.980333333333327</v>
          </cell>
        </row>
        <row r="184">
          <cell r="A184">
            <v>41184</v>
          </cell>
          <cell r="B184">
            <v>40.840000000000003</v>
          </cell>
          <cell r="C184">
            <v>35.33</v>
          </cell>
          <cell r="D184">
            <v>43.27</v>
          </cell>
          <cell r="E184">
            <v>45.51</v>
          </cell>
          <cell r="F184">
            <v>49.47</v>
          </cell>
          <cell r="G184">
            <v>32.06</v>
          </cell>
          <cell r="H184">
            <v>52.87</v>
          </cell>
          <cell r="I184">
            <v>43.86</v>
          </cell>
          <cell r="J184">
            <v>39.89</v>
          </cell>
          <cell r="L184">
            <v>41184</v>
          </cell>
          <cell r="M184">
            <v>40.562333333333342</v>
          </cell>
          <cell r="N184">
            <v>35.501166666666677</v>
          </cell>
          <cell r="O184">
            <v>42.351000000000006</v>
          </cell>
          <cell r="P184">
            <v>45.740333333333332</v>
          </cell>
          <cell r="Q184">
            <v>49.049666666666667</v>
          </cell>
          <cell r="R184">
            <v>32.119</v>
          </cell>
          <cell r="S184">
            <v>51.867666666666658</v>
          </cell>
          <cell r="T184">
            <v>43.643999999999998</v>
          </cell>
          <cell r="U184">
            <v>39.999999999999993</v>
          </cell>
        </row>
        <row r="185">
          <cell r="A185">
            <v>41183</v>
          </cell>
          <cell r="B185">
            <v>40.630000000000003</v>
          </cell>
          <cell r="C185">
            <v>35.31</v>
          </cell>
          <cell r="D185">
            <v>43.02</v>
          </cell>
          <cell r="E185">
            <v>45.47</v>
          </cell>
          <cell r="F185">
            <v>49.25</v>
          </cell>
          <cell r="G185">
            <v>32.15</v>
          </cell>
          <cell r="H185">
            <v>52.81</v>
          </cell>
          <cell r="I185">
            <v>43.74</v>
          </cell>
          <cell r="J185">
            <v>39.840000000000003</v>
          </cell>
          <cell r="L185">
            <v>41183</v>
          </cell>
          <cell r="M185">
            <v>40.537333333333336</v>
          </cell>
          <cell r="N185">
            <v>35.523833333333329</v>
          </cell>
          <cell r="O185">
            <v>42.342000000000006</v>
          </cell>
          <cell r="P185">
            <v>45.757666666666665</v>
          </cell>
          <cell r="Q185">
            <v>49.060666666666663</v>
          </cell>
          <cell r="R185">
            <v>32.115333333333332</v>
          </cell>
          <cell r="S185">
            <v>51.829333333333331</v>
          </cell>
          <cell r="T185">
            <v>43.631333333333338</v>
          </cell>
          <cell r="U185">
            <v>40.021666666666654</v>
          </cell>
        </row>
        <row r="186">
          <cell r="A186">
            <v>41180</v>
          </cell>
          <cell r="B186">
            <v>40.909999999999997</v>
          </cell>
          <cell r="C186">
            <v>35.79</v>
          </cell>
          <cell r="D186">
            <v>43</v>
          </cell>
          <cell r="E186">
            <v>45.72</v>
          </cell>
          <cell r="F186">
            <v>49.24</v>
          </cell>
          <cell r="G186">
            <v>32.479999999999997</v>
          </cell>
          <cell r="H186">
            <v>52.93</v>
          </cell>
          <cell r="I186">
            <v>44.2</v>
          </cell>
          <cell r="J186">
            <v>40.25</v>
          </cell>
          <cell r="L186">
            <v>41180</v>
          </cell>
          <cell r="M186">
            <v>40.510999999999996</v>
          </cell>
          <cell r="N186">
            <v>35.570500000000003</v>
          </cell>
          <cell r="O186">
            <v>42.349666666666671</v>
          </cell>
          <cell r="P186">
            <v>45.777333333333331</v>
          </cell>
          <cell r="Q186">
            <v>49.076999999999998</v>
          </cell>
          <cell r="R186">
            <v>32.113</v>
          </cell>
          <cell r="S186">
            <v>51.795333333333339</v>
          </cell>
          <cell r="T186">
            <v>43.631999999999991</v>
          </cell>
          <cell r="U186">
            <v>40.051333333333325</v>
          </cell>
        </row>
        <row r="187">
          <cell r="A187">
            <v>41179</v>
          </cell>
          <cell r="B187">
            <v>40.869999999999997</v>
          </cell>
          <cell r="C187">
            <v>35.56</v>
          </cell>
          <cell r="D187">
            <v>42.94</v>
          </cell>
          <cell r="E187">
            <v>45.76</v>
          </cell>
          <cell r="F187">
            <v>48.96</v>
          </cell>
          <cell r="G187">
            <v>32.58</v>
          </cell>
          <cell r="H187">
            <v>53.07</v>
          </cell>
          <cell r="I187">
            <v>44.15</v>
          </cell>
          <cell r="J187">
            <v>40.42</v>
          </cell>
          <cell r="L187">
            <v>41179</v>
          </cell>
          <cell r="M187">
            <v>40.48233333333333</v>
          </cell>
          <cell r="N187">
            <v>35.605499999999999</v>
          </cell>
          <cell r="O187">
            <v>42.355333333333341</v>
          </cell>
          <cell r="P187">
            <v>45.779333333333327</v>
          </cell>
          <cell r="Q187">
            <v>49.091000000000001</v>
          </cell>
          <cell r="R187">
            <v>32.099333333333341</v>
          </cell>
          <cell r="S187">
            <v>51.765999999999998</v>
          </cell>
          <cell r="T187">
            <v>43.615666666666662</v>
          </cell>
          <cell r="U187">
            <v>40.065333333333328</v>
          </cell>
        </row>
        <row r="188">
          <cell r="A188">
            <v>41178</v>
          </cell>
          <cell r="B188">
            <v>41.34</v>
          </cell>
          <cell r="C188">
            <v>35.81</v>
          </cell>
          <cell r="D188">
            <v>42.81</v>
          </cell>
          <cell r="E188">
            <v>46.33</v>
          </cell>
          <cell r="F188">
            <v>48.93</v>
          </cell>
          <cell r="G188">
            <v>32.93</v>
          </cell>
          <cell r="H188">
            <v>52.99</v>
          </cell>
          <cell r="I188">
            <v>44.45</v>
          </cell>
          <cell r="J188">
            <v>40.65</v>
          </cell>
          <cell r="L188">
            <v>41178</v>
          </cell>
          <cell r="M188">
            <v>40.456999999999987</v>
          </cell>
          <cell r="N188">
            <v>35.647833333333331</v>
          </cell>
          <cell r="O188">
            <v>42.366333333333344</v>
          </cell>
          <cell r="P188">
            <v>45.76766666666667</v>
          </cell>
          <cell r="Q188">
            <v>49.106000000000002</v>
          </cell>
          <cell r="R188">
            <v>32.07566666666667</v>
          </cell>
          <cell r="S188">
            <v>51.730333333333334</v>
          </cell>
          <cell r="T188">
            <v>43.593333333333341</v>
          </cell>
          <cell r="U188">
            <v>40.068999999999996</v>
          </cell>
        </row>
        <row r="189">
          <cell r="A189">
            <v>41177</v>
          </cell>
          <cell r="B189">
            <v>41.31</v>
          </cell>
          <cell r="C189">
            <v>36.075000000000003</v>
          </cell>
          <cell r="D189">
            <v>42.71</v>
          </cell>
          <cell r="E189">
            <v>46.51</v>
          </cell>
          <cell r="F189">
            <v>48.89</v>
          </cell>
          <cell r="G189">
            <v>33.01</v>
          </cell>
          <cell r="H189">
            <v>53.1</v>
          </cell>
          <cell r="I189">
            <v>44.35</v>
          </cell>
          <cell r="J189">
            <v>40.51</v>
          </cell>
          <cell r="L189">
            <v>41177</v>
          </cell>
          <cell r="M189">
            <v>40.435999999999993</v>
          </cell>
          <cell r="N189">
            <v>35.681166666666662</v>
          </cell>
          <cell r="O189">
            <v>42.372333333333337</v>
          </cell>
          <cell r="P189">
            <v>45.738000000000014</v>
          </cell>
          <cell r="Q189">
            <v>49.116333333333337</v>
          </cell>
          <cell r="R189">
            <v>32.036666666666669</v>
          </cell>
          <cell r="S189">
            <v>51.698</v>
          </cell>
          <cell r="T189">
            <v>43.561666666666675</v>
          </cell>
          <cell r="U189">
            <v>40.06033333333334</v>
          </cell>
        </row>
        <row r="190">
          <cell r="A190">
            <v>41176</v>
          </cell>
          <cell r="B190">
            <v>41.48</v>
          </cell>
          <cell r="C190">
            <v>36.299999999999997</v>
          </cell>
          <cell r="D190">
            <v>43.09</v>
          </cell>
          <cell r="E190">
            <v>46.94</v>
          </cell>
          <cell r="F190">
            <v>49.11</v>
          </cell>
          <cell r="G190">
            <v>33.39</v>
          </cell>
          <cell r="H190">
            <v>53.34</v>
          </cell>
          <cell r="I190">
            <v>44.72</v>
          </cell>
          <cell r="J190">
            <v>40.61</v>
          </cell>
          <cell r="L190">
            <v>41176</v>
          </cell>
          <cell r="M190">
            <v>40.405666666666669</v>
          </cell>
          <cell r="N190">
            <v>35.699666666666666</v>
          </cell>
          <cell r="O190">
            <v>42.373000000000005</v>
          </cell>
          <cell r="P190">
            <v>45.691666666666677</v>
          </cell>
          <cell r="Q190">
            <v>49.125666666666667</v>
          </cell>
          <cell r="R190">
            <v>31.990666666666666</v>
          </cell>
          <cell r="S190">
            <v>51.664999999999999</v>
          </cell>
          <cell r="T190">
            <v>43.525333333333336</v>
          </cell>
          <cell r="U190">
            <v>40.052</v>
          </cell>
        </row>
        <row r="191">
          <cell r="A191">
            <v>41173</v>
          </cell>
          <cell r="B191">
            <v>41.28</v>
          </cell>
          <cell r="C191">
            <v>35.700000000000003</v>
          </cell>
          <cell r="D191">
            <v>42.34</v>
          </cell>
          <cell r="E191">
            <v>46.57</v>
          </cell>
          <cell r="F191">
            <v>48.86</v>
          </cell>
          <cell r="G191">
            <v>32.979999999999997</v>
          </cell>
          <cell r="H191">
            <v>52.57</v>
          </cell>
          <cell r="I191">
            <v>44.46</v>
          </cell>
          <cell r="J191">
            <v>40.1</v>
          </cell>
          <cell r="L191">
            <v>41173</v>
          </cell>
          <cell r="M191">
            <v>40.373666666666665</v>
          </cell>
          <cell r="N191">
            <v>35.721000000000004</v>
          </cell>
          <cell r="O191">
            <v>42.361666666666672</v>
          </cell>
          <cell r="P191">
            <v>45.634333333333338</v>
          </cell>
          <cell r="Q191">
            <v>49.12166666666667</v>
          </cell>
          <cell r="R191">
            <v>31.934000000000005</v>
          </cell>
          <cell r="S191">
            <v>51.643666666666675</v>
          </cell>
          <cell r="T191">
            <v>43.491</v>
          </cell>
          <cell r="U191">
            <v>40.05233333333333</v>
          </cell>
        </row>
        <row r="192">
          <cell r="A192">
            <v>41172</v>
          </cell>
          <cell r="B192">
            <v>41.3</v>
          </cell>
          <cell r="C192">
            <v>35.659999999999997</v>
          </cell>
          <cell r="D192">
            <v>41.88</v>
          </cell>
          <cell r="E192">
            <v>46.35</v>
          </cell>
          <cell r="F192">
            <v>48.8</v>
          </cell>
          <cell r="G192">
            <v>32.5</v>
          </cell>
          <cell r="H192">
            <v>52.01</v>
          </cell>
          <cell r="I192">
            <v>44.11</v>
          </cell>
          <cell r="J192">
            <v>39.81</v>
          </cell>
          <cell r="L192">
            <v>41172</v>
          </cell>
          <cell r="M192">
            <v>40.347000000000001</v>
          </cell>
          <cell r="N192">
            <v>35.751333333333335</v>
          </cell>
          <cell r="O192">
            <v>42.367333333333335</v>
          </cell>
          <cell r="P192">
            <v>45.597999999999999</v>
          </cell>
          <cell r="Q192">
            <v>49.125666666666675</v>
          </cell>
          <cell r="R192">
            <v>31.884333333333341</v>
          </cell>
          <cell r="S192">
            <v>51.640666666666668</v>
          </cell>
          <cell r="T192">
            <v>43.453999999999994</v>
          </cell>
          <cell r="U192">
            <v>40.052333333333323</v>
          </cell>
        </row>
        <row r="193">
          <cell r="A193">
            <v>41171</v>
          </cell>
          <cell r="B193">
            <v>41.17</v>
          </cell>
          <cell r="C193">
            <v>35.54</v>
          </cell>
          <cell r="D193">
            <v>41.76</v>
          </cell>
          <cell r="E193">
            <v>46.3</v>
          </cell>
          <cell r="F193">
            <v>48.6</v>
          </cell>
          <cell r="G193">
            <v>32.659999999999997</v>
          </cell>
          <cell r="H193">
            <v>52.24</v>
          </cell>
          <cell r="I193">
            <v>43.92</v>
          </cell>
          <cell r="J193">
            <v>39.4</v>
          </cell>
          <cell r="L193">
            <v>41171</v>
          </cell>
          <cell r="M193">
            <v>40.327333333333335</v>
          </cell>
          <cell r="N193">
            <v>35.775666666666666</v>
          </cell>
          <cell r="O193">
            <v>42.386000000000003</v>
          </cell>
          <cell r="P193">
            <v>45.57533333333334</v>
          </cell>
          <cell r="Q193">
            <v>49.122</v>
          </cell>
          <cell r="R193">
            <v>31.852333333333338</v>
          </cell>
          <cell r="S193">
            <v>51.672333333333334</v>
          </cell>
          <cell r="T193">
            <v>43.451666666666668</v>
          </cell>
          <cell r="U193">
            <v>40.075999999999993</v>
          </cell>
        </row>
        <row r="194">
          <cell r="A194">
            <v>41170</v>
          </cell>
          <cell r="B194">
            <v>41.07</v>
          </cell>
          <cell r="C194">
            <v>35.369999999999997</v>
          </cell>
          <cell r="D194">
            <v>41.72</v>
          </cell>
          <cell r="E194">
            <v>46.37</v>
          </cell>
          <cell r="F194">
            <v>48.74</v>
          </cell>
          <cell r="G194">
            <v>32.65</v>
          </cell>
          <cell r="H194">
            <v>52.45</v>
          </cell>
          <cell r="I194">
            <v>43.96</v>
          </cell>
          <cell r="J194">
            <v>39.65</v>
          </cell>
          <cell r="L194">
            <v>41170</v>
          </cell>
          <cell r="M194">
            <v>40.306666666666665</v>
          </cell>
          <cell r="N194">
            <v>35.797666666666665</v>
          </cell>
          <cell r="O194">
            <v>42.395333333333333</v>
          </cell>
          <cell r="P194">
            <v>45.551666666666669</v>
          </cell>
          <cell r="Q194">
            <v>49.12133333333334</v>
          </cell>
          <cell r="R194">
            <v>31.82266666666667</v>
          </cell>
          <cell r="S194">
            <v>51.686666666666675</v>
          </cell>
          <cell r="T194">
            <v>43.471333333333327</v>
          </cell>
          <cell r="U194">
            <v>40.11366666666666</v>
          </cell>
        </row>
        <row r="195">
          <cell r="A195">
            <v>41169</v>
          </cell>
          <cell r="B195">
            <v>40.950000000000003</v>
          </cell>
          <cell r="C195">
            <v>35.25</v>
          </cell>
          <cell r="D195">
            <v>41.64</v>
          </cell>
          <cell r="E195">
            <v>45.95</v>
          </cell>
          <cell r="F195">
            <v>48.53</v>
          </cell>
          <cell r="G195">
            <v>32.369999999999997</v>
          </cell>
          <cell r="H195">
            <v>52.03</v>
          </cell>
          <cell r="I195">
            <v>43.86</v>
          </cell>
          <cell r="J195">
            <v>39.69</v>
          </cell>
          <cell r="L195">
            <v>41169</v>
          </cell>
          <cell r="M195">
            <v>40.302000000000007</v>
          </cell>
          <cell r="N195">
            <v>35.826333333333331</v>
          </cell>
          <cell r="O195">
            <v>42.41</v>
          </cell>
          <cell r="P195">
            <v>45.532333333333334</v>
          </cell>
          <cell r="Q195">
            <v>49.12733333333334</v>
          </cell>
          <cell r="R195">
            <v>31.797333333333338</v>
          </cell>
          <cell r="S195">
            <v>51.694000000000003</v>
          </cell>
          <cell r="T195">
            <v>43.487666666666662</v>
          </cell>
          <cell r="U195">
            <v>40.150666666666659</v>
          </cell>
        </row>
        <row r="196">
          <cell r="A196">
            <v>41166</v>
          </cell>
          <cell r="B196">
            <v>41.21</v>
          </cell>
          <cell r="C196">
            <v>35.36</v>
          </cell>
          <cell r="D196">
            <v>41.86</v>
          </cell>
          <cell r="E196">
            <v>46.13</v>
          </cell>
          <cell r="F196">
            <v>48.78</v>
          </cell>
          <cell r="G196">
            <v>32.53</v>
          </cell>
          <cell r="H196">
            <v>52.48</v>
          </cell>
          <cell r="I196">
            <v>43.85</v>
          </cell>
          <cell r="J196">
            <v>39.99</v>
          </cell>
          <cell r="L196">
            <v>41166</v>
          </cell>
          <cell r="M196">
            <v>40.295666666666669</v>
          </cell>
          <cell r="N196">
            <v>35.859000000000002</v>
          </cell>
          <cell r="O196">
            <v>42.422333333333341</v>
          </cell>
          <cell r="P196">
            <v>45.521666666666661</v>
          </cell>
          <cell r="Q196">
            <v>49.137666666666668</v>
          </cell>
          <cell r="R196">
            <v>31.779333333333341</v>
          </cell>
          <cell r="S196">
            <v>51.714666666666673</v>
          </cell>
          <cell r="T196">
            <v>43.511999999999993</v>
          </cell>
          <cell r="U196">
            <v>40.16933333333332</v>
          </cell>
        </row>
        <row r="197">
          <cell r="A197">
            <v>41165</v>
          </cell>
          <cell r="B197">
            <v>41.49</v>
          </cell>
          <cell r="C197">
            <v>35.880000000000003</v>
          </cell>
          <cell r="D197">
            <v>42.5</v>
          </cell>
          <cell r="E197">
            <v>46.4</v>
          </cell>
          <cell r="F197">
            <v>48.83</v>
          </cell>
          <cell r="G197">
            <v>32.54</v>
          </cell>
          <cell r="H197">
            <v>52.71</v>
          </cell>
          <cell r="I197">
            <v>44.11</v>
          </cell>
          <cell r="J197">
            <v>40.9</v>
          </cell>
          <cell r="L197">
            <v>41165</v>
          </cell>
          <cell r="M197">
            <v>40.26166666666667</v>
          </cell>
          <cell r="N197">
            <v>35.873333333333335</v>
          </cell>
          <cell r="O197">
            <v>42.410333333333341</v>
          </cell>
          <cell r="P197">
            <v>45.489000000000004</v>
          </cell>
          <cell r="Q197">
            <v>49.115666666666655</v>
          </cell>
          <cell r="R197">
            <v>31.739000000000011</v>
          </cell>
          <cell r="S197">
            <v>51.688666666666677</v>
          </cell>
          <cell r="T197">
            <v>43.50366666666666</v>
          </cell>
          <cell r="U197">
            <v>40.162999999999997</v>
          </cell>
        </row>
        <row r="198">
          <cell r="A198">
            <v>41164</v>
          </cell>
          <cell r="B198">
            <v>40.83</v>
          </cell>
          <cell r="C198">
            <v>35.26</v>
          </cell>
          <cell r="D198">
            <v>41.83</v>
          </cell>
          <cell r="E198">
            <v>45.53</v>
          </cell>
          <cell r="F198">
            <v>48.16</v>
          </cell>
          <cell r="G198">
            <v>31.78</v>
          </cell>
          <cell r="H198">
            <v>51.29</v>
          </cell>
          <cell r="I198">
            <v>43.32</v>
          </cell>
          <cell r="J198">
            <v>40.06</v>
          </cell>
          <cell r="L198">
            <v>41164</v>
          </cell>
          <cell r="M198">
            <v>40.232333333333337</v>
          </cell>
          <cell r="N198">
            <v>35.881999999999998</v>
          </cell>
          <cell r="O198">
            <v>42.384999999999998</v>
          </cell>
          <cell r="P198">
            <v>45.460666666666661</v>
          </cell>
          <cell r="Q198">
            <v>49.087333333333319</v>
          </cell>
          <cell r="R198">
            <v>31.706666666666674</v>
          </cell>
          <cell r="S198">
            <v>51.670000000000009</v>
          </cell>
          <cell r="T198">
            <v>43.507666666666658</v>
          </cell>
          <cell r="U198">
            <v>40.136666666666663</v>
          </cell>
        </row>
        <row r="199">
          <cell r="A199">
            <v>41163</v>
          </cell>
          <cell r="B199">
            <v>40.78</v>
          </cell>
          <cell r="C199">
            <v>35.450000000000003</v>
          </cell>
          <cell r="D199">
            <v>42.02</v>
          </cell>
          <cell r="E199">
            <v>45.64</v>
          </cell>
          <cell r="F199">
            <v>48.72</v>
          </cell>
          <cell r="G199">
            <v>32.22</v>
          </cell>
          <cell r="H199">
            <v>50.9</v>
          </cell>
          <cell r="I199">
            <v>43.65</v>
          </cell>
          <cell r="J199">
            <v>40.26</v>
          </cell>
          <cell r="L199">
            <v>41163</v>
          </cell>
          <cell r="M199">
            <v>40.221333333333327</v>
          </cell>
          <cell r="N199">
            <v>35.901666666666664</v>
          </cell>
          <cell r="O199">
            <v>42.383333333333333</v>
          </cell>
          <cell r="P199">
            <v>45.472999999999999</v>
          </cell>
          <cell r="Q199">
            <v>49.104999999999997</v>
          </cell>
          <cell r="R199">
            <v>31.706666666666671</v>
          </cell>
          <cell r="S199">
            <v>51.722333333333346</v>
          </cell>
          <cell r="T199">
            <v>43.552333333333337</v>
          </cell>
          <cell r="U199">
            <v>40.149666666666661</v>
          </cell>
        </row>
        <row r="200">
          <cell r="A200">
            <v>41162</v>
          </cell>
          <cell r="B200">
            <v>40.869999999999997</v>
          </cell>
          <cell r="C200">
            <v>35.81</v>
          </cell>
          <cell r="D200">
            <v>42.32</v>
          </cell>
          <cell r="E200">
            <v>45.35</v>
          </cell>
          <cell r="F200">
            <v>48.84</v>
          </cell>
          <cell r="G200">
            <v>32.44</v>
          </cell>
          <cell r="H200">
            <v>51.49</v>
          </cell>
          <cell r="I200">
            <v>43.9</v>
          </cell>
          <cell r="J200">
            <v>40.35</v>
          </cell>
          <cell r="L200">
            <v>41162</v>
          </cell>
          <cell r="M200">
            <v>40.217999999999996</v>
          </cell>
          <cell r="N200">
            <v>35.916666666666671</v>
          </cell>
          <cell r="O200">
            <v>42.36333333333333</v>
          </cell>
          <cell r="P200">
            <v>45.484000000000009</v>
          </cell>
          <cell r="Q200">
            <v>49.128666666666653</v>
          </cell>
          <cell r="R200">
            <v>31.693000000000001</v>
          </cell>
          <cell r="S200">
            <v>51.801666666666669</v>
          </cell>
          <cell r="T200">
            <v>43.596666666666671</v>
          </cell>
          <cell r="U200">
            <v>40.177333333333323</v>
          </cell>
        </row>
        <row r="201">
          <cell r="A201">
            <v>41159</v>
          </cell>
          <cell r="B201">
            <v>40.869999999999997</v>
          </cell>
          <cell r="C201">
            <v>35.31</v>
          </cell>
          <cell r="D201">
            <v>42.21</v>
          </cell>
          <cell r="E201">
            <v>45.2</v>
          </cell>
          <cell r="F201">
            <v>48.59</v>
          </cell>
          <cell r="G201">
            <v>32.11</v>
          </cell>
          <cell r="H201">
            <v>51.45</v>
          </cell>
          <cell r="I201">
            <v>43.94</v>
          </cell>
          <cell r="J201">
            <v>40.14</v>
          </cell>
          <cell r="L201">
            <v>41159</v>
          </cell>
          <cell r="M201">
            <v>40.208333333333329</v>
          </cell>
          <cell r="N201">
            <v>35.923666666666669</v>
          </cell>
          <cell r="O201">
            <v>42.331333333333326</v>
          </cell>
          <cell r="P201">
            <v>45.518333333333338</v>
          </cell>
          <cell r="Q201">
            <v>49.134999999999991</v>
          </cell>
          <cell r="R201">
            <v>31.671333333333333</v>
          </cell>
          <cell r="S201">
            <v>51.852666666666671</v>
          </cell>
          <cell r="T201">
            <v>43.635333333333321</v>
          </cell>
          <cell r="U201">
            <v>40.203666666666663</v>
          </cell>
        </row>
        <row r="202">
          <cell r="A202">
            <v>41158</v>
          </cell>
          <cell r="B202">
            <v>41</v>
          </cell>
          <cell r="C202">
            <v>35.700000000000003</v>
          </cell>
          <cell r="D202">
            <v>42.74</v>
          </cell>
          <cell r="E202">
            <v>45.2</v>
          </cell>
          <cell r="F202">
            <v>49.23</v>
          </cell>
          <cell r="G202">
            <v>32</v>
          </cell>
          <cell r="H202">
            <v>51.57</v>
          </cell>
          <cell r="I202">
            <v>44.13</v>
          </cell>
          <cell r="J202">
            <v>40.24</v>
          </cell>
          <cell r="L202">
            <v>41158</v>
          </cell>
          <cell r="M202">
            <v>40.185666666666663</v>
          </cell>
          <cell r="N202">
            <v>35.93566666666667</v>
          </cell>
          <cell r="O202">
            <v>42.283999999999992</v>
          </cell>
          <cell r="P202">
            <v>45.524333333333352</v>
          </cell>
          <cell r="Q202">
            <v>49.140333333333324</v>
          </cell>
          <cell r="R202">
            <v>31.64833333333333</v>
          </cell>
          <cell r="S202">
            <v>51.877000000000017</v>
          </cell>
          <cell r="T202">
            <v>43.647666666666666</v>
          </cell>
          <cell r="U202">
            <v>40.218333333333327</v>
          </cell>
        </row>
        <row r="203">
          <cell r="A203">
            <v>41157</v>
          </cell>
          <cell r="B203">
            <v>40.380000000000003</v>
          </cell>
          <cell r="C203">
            <v>35.25</v>
          </cell>
          <cell r="D203">
            <v>42.46</v>
          </cell>
          <cell r="E203">
            <v>44.84</v>
          </cell>
          <cell r="F203">
            <v>49.28</v>
          </cell>
          <cell r="G203">
            <v>31.44</v>
          </cell>
          <cell r="H203">
            <v>51.19</v>
          </cell>
          <cell r="I203">
            <v>43.51</v>
          </cell>
          <cell r="J203">
            <v>39.619999999999997</v>
          </cell>
          <cell r="L203">
            <v>41157</v>
          </cell>
          <cell r="M203">
            <v>40.142333333333333</v>
          </cell>
          <cell r="N203">
            <v>35.929999999999993</v>
          </cell>
          <cell r="O203">
            <v>42.205666666666659</v>
          </cell>
          <cell r="P203">
            <v>45.516333333333343</v>
          </cell>
          <cell r="Q203">
            <v>49.10766666666666</v>
          </cell>
          <cell r="R203">
            <v>31.622999999999998</v>
          </cell>
          <cell r="S203">
            <v>51.88333333333334</v>
          </cell>
          <cell r="T203">
            <v>43.647333333333329</v>
          </cell>
          <cell r="U203">
            <v>40.222333333333317</v>
          </cell>
        </row>
        <row r="204">
          <cell r="A204">
            <v>41156</v>
          </cell>
          <cell r="B204">
            <v>40.380000000000003</v>
          </cell>
          <cell r="C204">
            <v>35.58</v>
          </cell>
          <cell r="D204">
            <v>42.6</v>
          </cell>
          <cell r="E204">
            <v>45.21</v>
          </cell>
          <cell r="F204">
            <v>49.84</v>
          </cell>
          <cell r="G204">
            <v>31.79</v>
          </cell>
          <cell r="H204">
            <v>51.36</v>
          </cell>
          <cell r="I204">
            <v>43.52</v>
          </cell>
          <cell r="J204">
            <v>39.630000000000003</v>
          </cell>
          <cell r="L204">
            <v>41156</v>
          </cell>
          <cell r="M204">
            <v>40.124666666666663</v>
          </cell>
          <cell r="N204">
            <v>35.947333333333326</v>
          </cell>
          <cell r="O204">
            <v>42.132333333333335</v>
          </cell>
          <cell r="P204">
            <v>45.521000000000008</v>
          </cell>
          <cell r="Q204">
            <v>49.070666666666661</v>
          </cell>
          <cell r="R204">
            <v>31.626999999999995</v>
          </cell>
          <cell r="S204">
            <v>51.910666666666671</v>
          </cell>
          <cell r="T204">
            <v>43.678666666666665</v>
          </cell>
          <cell r="U204">
            <v>40.250999999999998</v>
          </cell>
        </row>
        <row r="205">
          <cell r="A205">
            <v>41152</v>
          </cell>
          <cell r="B205">
            <v>39.65</v>
          </cell>
          <cell r="C205">
            <v>34.94</v>
          </cell>
          <cell r="D205">
            <v>42.25</v>
          </cell>
          <cell r="E205">
            <v>44.81</v>
          </cell>
          <cell r="F205">
            <v>49.17</v>
          </cell>
          <cell r="G205">
            <v>31.23</v>
          </cell>
          <cell r="H205">
            <v>50.62</v>
          </cell>
          <cell r="I205">
            <v>42.75</v>
          </cell>
          <cell r="J205">
            <v>39.04</v>
          </cell>
          <cell r="L205">
            <v>41152</v>
          </cell>
          <cell r="M205">
            <v>40.102999999999994</v>
          </cell>
          <cell r="N205">
            <v>35.971333333333327</v>
          </cell>
          <cell r="O205">
            <v>42.072333333333326</v>
          </cell>
          <cell r="P205">
            <v>45.529000000000018</v>
          </cell>
          <cell r="Q205">
            <v>49.029666666666664</v>
          </cell>
          <cell r="R205">
            <v>31.631666666666657</v>
          </cell>
          <cell r="S205">
            <v>51.945000000000007</v>
          </cell>
          <cell r="T205">
            <v>43.734999999999999</v>
          </cell>
          <cell r="U205">
            <v>40.288333333333327</v>
          </cell>
        </row>
        <row r="206">
          <cell r="A206">
            <v>41151</v>
          </cell>
          <cell r="B206">
            <v>39.61</v>
          </cell>
          <cell r="C206">
            <v>35.020000000000003</v>
          </cell>
          <cell r="D206">
            <v>42.18</v>
          </cell>
          <cell r="E206">
            <v>45.14</v>
          </cell>
          <cell r="F206">
            <v>49.27</v>
          </cell>
          <cell r="G206">
            <v>31.24</v>
          </cell>
          <cell r="H206">
            <v>51.01</v>
          </cell>
          <cell r="I206">
            <v>42.76</v>
          </cell>
          <cell r="J206">
            <v>39.380000000000003</v>
          </cell>
          <cell r="L206">
            <v>41151</v>
          </cell>
          <cell r="M206">
            <v>40.111333333333327</v>
          </cell>
          <cell r="N206">
            <v>36.026333333333326</v>
          </cell>
          <cell r="O206">
            <v>42.029666666666664</v>
          </cell>
          <cell r="P206">
            <v>45.570333333333338</v>
          </cell>
          <cell r="Q206">
            <v>49.029000000000011</v>
          </cell>
          <cell r="R206">
            <v>31.667666666666658</v>
          </cell>
          <cell r="S206">
            <v>52.019999999999996</v>
          </cell>
          <cell r="T206">
            <v>43.83</v>
          </cell>
          <cell r="U206">
            <v>40.348999999999997</v>
          </cell>
        </row>
        <row r="207">
          <cell r="A207">
            <v>41150</v>
          </cell>
          <cell r="B207">
            <v>39.700000000000003</v>
          </cell>
          <cell r="C207">
            <v>35.200000000000003</v>
          </cell>
          <cell r="D207">
            <v>42.4</v>
          </cell>
          <cell r="E207">
            <v>45.6</v>
          </cell>
          <cell r="F207">
            <v>49.61</v>
          </cell>
          <cell r="G207">
            <v>31.56</v>
          </cell>
          <cell r="H207">
            <v>51.34</v>
          </cell>
          <cell r="I207">
            <v>43.03</v>
          </cell>
          <cell r="J207">
            <v>39.82</v>
          </cell>
          <cell r="L207">
            <v>41150</v>
          </cell>
          <cell r="M207">
            <v>40.117666666666665</v>
          </cell>
          <cell r="N207">
            <v>36.078666666666656</v>
          </cell>
          <cell r="O207">
            <v>41.984333333333332</v>
          </cell>
          <cell r="P207">
            <v>45.600666666666676</v>
          </cell>
          <cell r="Q207">
            <v>48.995333333333335</v>
          </cell>
          <cell r="R207">
            <v>31.706666666666663</v>
          </cell>
          <cell r="S207">
            <v>52.075000000000003</v>
          </cell>
          <cell r="T207">
            <v>43.922999999999995</v>
          </cell>
          <cell r="U207">
            <v>40.395333333333333</v>
          </cell>
        </row>
        <row r="208">
          <cell r="A208">
            <v>41149</v>
          </cell>
          <cell r="B208">
            <v>39.44</v>
          </cell>
          <cell r="C208">
            <v>35.21</v>
          </cell>
          <cell r="D208">
            <v>42.21</v>
          </cell>
          <cell r="E208">
            <v>45.6</v>
          </cell>
          <cell r="F208">
            <v>49.66</v>
          </cell>
          <cell r="G208">
            <v>31.45</v>
          </cell>
          <cell r="H208">
            <v>51.23</v>
          </cell>
          <cell r="I208">
            <v>43.02</v>
          </cell>
          <cell r="J208">
            <v>39.78</v>
          </cell>
          <cell r="L208">
            <v>41149</v>
          </cell>
          <cell r="M208">
            <v>40.104333333333329</v>
          </cell>
          <cell r="N208">
            <v>36.135666666666665</v>
          </cell>
          <cell r="O208">
            <v>41.936</v>
          </cell>
          <cell r="P208">
            <v>45.616999999999997</v>
          </cell>
          <cell r="Q208">
            <v>48.94733333333334</v>
          </cell>
          <cell r="R208">
            <v>31.723999999999993</v>
          </cell>
          <cell r="S208">
            <v>52.12166666666667</v>
          </cell>
          <cell r="T208">
            <v>44.019999999999996</v>
          </cell>
          <cell r="U208">
            <v>40.412999999999997</v>
          </cell>
        </row>
        <row r="209">
          <cell r="A209">
            <v>41148</v>
          </cell>
          <cell r="B209">
            <v>39.44</v>
          </cell>
          <cell r="C209">
            <v>35.43</v>
          </cell>
          <cell r="D209">
            <v>41.97</v>
          </cell>
          <cell r="E209">
            <v>45.48</v>
          </cell>
          <cell r="F209">
            <v>49.69</v>
          </cell>
          <cell r="G209">
            <v>31.28</v>
          </cell>
          <cell r="H209">
            <v>51.09</v>
          </cell>
          <cell r="I209">
            <v>42.9</v>
          </cell>
          <cell r="J209">
            <v>40.06</v>
          </cell>
          <cell r="L209">
            <v>41148</v>
          </cell>
          <cell r="M209">
            <v>40.100666666666662</v>
          </cell>
          <cell r="N209">
            <v>36.189999999999991</v>
          </cell>
          <cell r="O209">
            <v>41.891666666666666</v>
          </cell>
          <cell r="P209">
            <v>45.623333333333328</v>
          </cell>
          <cell r="Q209">
            <v>48.87766666666667</v>
          </cell>
          <cell r="R209">
            <v>31.741999999999994</v>
          </cell>
          <cell r="S209">
            <v>52.181666666666665</v>
          </cell>
          <cell r="T209">
            <v>44.111333333333327</v>
          </cell>
          <cell r="U209">
            <v>40.417999999999999</v>
          </cell>
        </row>
        <row r="210">
          <cell r="A210">
            <v>41145</v>
          </cell>
          <cell r="B210">
            <v>39.43</v>
          </cell>
          <cell r="C210">
            <v>35.229999999999997</v>
          </cell>
          <cell r="D210">
            <v>42.03</v>
          </cell>
          <cell r="E210">
            <v>45.37</v>
          </cell>
          <cell r="F210">
            <v>49.31</v>
          </cell>
          <cell r="G210">
            <v>31.31</v>
          </cell>
          <cell r="H210">
            <v>50.69</v>
          </cell>
          <cell r="I210">
            <v>42.82</v>
          </cell>
          <cell r="J210">
            <v>39.770000000000003</v>
          </cell>
          <cell r="L210">
            <v>41145</v>
          </cell>
          <cell r="M210">
            <v>40.09633333333332</v>
          </cell>
          <cell r="N210">
            <v>36.236666666666657</v>
          </cell>
          <cell r="O210">
            <v>41.850999999999999</v>
          </cell>
          <cell r="P210">
            <v>45.626999999999981</v>
          </cell>
          <cell r="Q210">
            <v>48.784000000000006</v>
          </cell>
          <cell r="R210">
            <v>31.772333333333329</v>
          </cell>
          <cell r="S210">
            <v>52.24633333333334</v>
          </cell>
          <cell r="T210">
            <v>44.207999999999991</v>
          </cell>
          <cell r="U210">
            <v>40.412666666666674</v>
          </cell>
        </row>
        <row r="211">
          <cell r="A211">
            <v>41144</v>
          </cell>
          <cell r="B211">
            <v>39.200000000000003</v>
          </cell>
          <cell r="C211">
            <v>35.15</v>
          </cell>
          <cell r="D211">
            <v>41.87</v>
          </cell>
          <cell r="E211">
            <v>45.34</v>
          </cell>
          <cell r="F211">
            <v>48.81</v>
          </cell>
          <cell r="G211">
            <v>31.28</v>
          </cell>
          <cell r="H211">
            <v>50.62</v>
          </cell>
          <cell r="I211">
            <v>42.31</v>
          </cell>
          <cell r="J211">
            <v>39.659999999999997</v>
          </cell>
          <cell r="L211">
            <v>41144</v>
          </cell>
          <cell r="M211">
            <v>40.095999999999989</v>
          </cell>
          <cell r="N211">
            <v>36.291666666666664</v>
          </cell>
          <cell r="O211">
            <v>41.812666666666665</v>
          </cell>
          <cell r="P211">
            <v>45.638999999999989</v>
          </cell>
          <cell r="Q211">
            <v>48.716666666666676</v>
          </cell>
          <cell r="R211">
            <v>31.808666666666664</v>
          </cell>
          <cell r="S211">
            <v>52.330000000000005</v>
          </cell>
          <cell r="T211">
            <v>44.30533333333333</v>
          </cell>
          <cell r="U211">
            <v>40.420333333333339</v>
          </cell>
        </row>
        <row r="212">
          <cell r="A212">
            <v>41143</v>
          </cell>
          <cell r="B212">
            <v>39.65</v>
          </cell>
          <cell r="C212">
            <v>35.630000000000003</v>
          </cell>
          <cell r="D212">
            <v>42.21</v>
          </cell>
          <cell r="E212">
            <v>45.69</v>
          </cell>
          <cell r="F212">
            <v>49.04</v>
          </cell>
          <cell r="G212">
            <v>31.67</v>
          </cell>
          <cell r="H212">
            <v>51.13</v>
          </cell>
          <cell r="I212">
            <v>42.93</v>
          </cell>
          <cell r="J212">
            <v>40.11</v>
          </cell>
          <cell r="L212">
            <v>41143</v>
          </cell>
          <cell r="M212">
            <v>40.086999999999996</v>
          </cell>
          <cell r="N212">
            <v>36.336333333333329</v>
          </cell>
          <cell r="O212">
            <v>41.778666666666666</v>
          </cell>
          <cell r="P212">
            <v>45.627666666666656</v>
          </cell>
          <cell r="Q212">
            <v>48.663333333333341</v>
          </cell>
          <cell r="R212">
            <v>31.844999999999995</v>
          </cell>
          <cell r="S212">
            <v>52.396333333333331</v>
          </cell>
          <cell r="T212">
            <v>44.403666666666673</v>
          </cell>
          <cell r="U212">
            <v>40.406333333333343</v>
          </cell>
        </row>
        <row r="213">
          <cell r="A213">
            <v>41142</v>
          </cell>
          <cell r="B213">
            <v>39.79</v>
          </cell>
          <cell r="C213">
            <v>35.93</v>
          </cell>
          <cell r="D213">
            <v>42.69</v>
          </cell>
          <cell r="E213">
            <v>45.9</v>
          </cell>
          <cell r="F213">
            <v>49.28</v>
          </cell>
          <cell r="G213">
            <v>31.94</v>
          </cell>
          <cell r="H213">
            <v>51.45</v>
          </cell>
          <cell r="I213">
            <v>43.09</v>
          </cell>
          <cell r="J213">
            <v>40.369999999999997</v>
          </cell>
          <cell r="L213">
            <v>41142</v>
          </cell>
          <cell r="M213">
            <v>40.076666666666668</v>
          </cell>
          <cell r="N213">
            <v>36.352333333333334</v>
          </cell>
          <cell r="O213">
            <v>41.729333333333336</v>
          </cell>
          <cell r="P213">
            <v>45.60766666666666</v>
          </cell>
          <cell r="Q213">
            <v>48.628000000000007</v>
          </cell>
          <cell r="R213">
            <v>31.879666666666662</v>
          </cell>
          <cell r="S213">
            <v>52.452333333333321</v>
          </cell>
          <cell r="T213">
            <v>44.470666666666673</v>
          </cell>
          <cell r="U213">
            <v>40.38966666666667</v>
          </cell>
        </row>
        <row r="214">
          <cell r="A214">
            <v>41141</v>
          </cell>
          <cell r="B214">
            <v>40.090000000000003</v>
          </cell>
          <cell r="C214">
            <v>36.01</v>
          </cell>
          <cell r="D214">
            <v>43</v>
          </cell>
          <cell r="E214">
            <v>46.03</v>
          </cell>
          <cell r="F214">
            <v>49.8</v>
          </cell>
          <cell r="G214">
            <v>31.95</v>
          </cell>
          <cell r="H214">
            <v>51.72</v>
          </cell>
          <cell r="I214">
            <v>43.48</v>
          </cell>
          <cell r="J214">
            <v>40.54</v>
          </cell>
          <cell r="L214">
            <v>41141</v>
          </cell>
          <cell r="M214">
            <v>40.054333333333339</v>
          </cell>
          <cell r="N214">
            <v>36.358333333333327</v>
          </cell>
          <cell r="O214">
            <v>41.654333333333334</v>
          </cell>
          <cell r="P214">
            <v>45.576999999999991</v>
          </cell>
          <cell r="Q214">
            <v>48.584333333333333</v>
          </cell>
          <cell r="R214">
            <v>31.899666666666658</v>
          </cell>
          <cell r="S214">
            <v>52.493000000000002</v>
          </cell>
          <cell r="T214">
            <v>44.528666666666673</v>
          </cell>
          <cell r="U214">
            <v>40.369</v>
          </cell>
        </row>
        <row r="215">
          <cell r="A215">
            <v>41138</v>
          </cell>
          <cell r="B215">
            <v>39.840000000000003</v>
          </cell>
          <cell r="C215">
            <v>36.71</v>
          </cell>
          <cell r="D215">
            <v>43.25</v>
          </cell>
          <cell r="E215">
            <v>46.06</v>
          </cell>
          <cell r="F215">
            <v>49.74</v>
          </cell>
          <cell r="G215">
            <v>32.08</v>
          </cell>
          <cell r="H215">
            <v>51.79</v>
          </cell>
          <cell r="I215">
            <v>43.76</v>
          </cell>
          <cell r="J215">
            <v>40.729999999999997</v>
          </cell>
          <cell r="L215">
            <v>41138</v>
          </cell>
          <cell r="M215">
            <v>40.018666666666668</v>
          </cell>
          <cell r="N215">
            <v>36.349666666666664</v>
          </cell>
          <cell r="O215">
            <v>41.552666666666674</v>
          </cell>
          <cell r="P215">
            <v>45.530666666666662</v>
          </cell>
          <cell r="Q215">
            <v>48.505000000000003</v>
          </cell>
          <cell r="R215">
            <v>31.916999999999998</v>
          </cell>
          <cell r="S215">
            <v>52.519666666666666</v>
          </cell>
          <cell r="T215">
            <v>44.56366666666667</v>
          </cell>
          <cell r="U215">
            <v>40.345666666666666</v>
          </cell>
        </row>
        <row r="216">
          <cell r="A216">
            <v>41137</v>
          </cell>
          <cell r="B216">
            <v>40.049999999999997</v>
          </cell>
          <cell r="C216">
            <v>36.840000000000003</v>
          </cell>
          <cell r="D216">
            <v>43.17</v>
          </cell>
          <cell r="E216">
            <v>45.78</v>
          </cell>
          <cell r="F216">
            <v>49.66</v>
          </cell>
          <cell r="G216">
            <v>32.07</v>
          </cell>
          <cell r="H216">
            <v>52.05</v>
          </cell>
          <cell r="I216">
            <v>43.71</v>
          </cell>
          <cell r="J216">
            <v>40.67</v>
          </cell>
          <cell r="L216">
            <v>41137</v>
          </cell>
          <cell r="M216">
            <v>39.98866666666666</v>
          </cell>
          <cell r="N216">
            <v>36.31600000000001</v>
          </cell>
          <cell r="O216">
            <v>41.44766666666667</v>
          </cell>
          <cell r="P216">
            <v>45.467000000000006</v>
          </cell>
          <cell r="Q216">
            <v>48.422666666666672</v>
          </cell>
          <cell r="R216">
            <v>31.932666666666666</v>
          </cell>
          <cell r="S216">
            <v>52.553333333333327</v>
          </cell>
          <cell r="T216">
            <v>44.575333333333333</v>
          </cell>
          <cell r="U216">
            <v>40.321333333333328</v>
          </cell>
        </row>
        <row r="217">
          <cell r="A217">
            <v>41136</v>
          </cell>
          <cell r="B217">
            <v>40.11</v>
          </cell>
          <cell r="C217">
            <v>36.83</v>
          </cell>
          <cell r="D217">
            <v>43.27</v>
          </cell>
          <cell r="E217">
            <v>45.41</v>
          </cell>
          <cell r="F217">
            <v>49.41</v>
          </cell>
          <cell r="G217">
            <v>31.87</v>
          </cell>
          <cell r="H217">
            <v>52</v>
          </cell>
          <cell r="I217">
            <v>43.48</v>
          </cell>
          <cell r="J217">
            <v>40.53</v>
          </cell>
          <cell r="L217">
            <v>41136</v>
          </cell>
          <cell r="M217">
            <v>39.945</v>
          </cell>
          <cell r="N217">
            <v>36.277000000000008</v>
          </cell>
          <cell r="O217">
            <v>41.348333333333336</v>
          </cell>
          <cell r="P217">
            <v>45.414666666666669</v>
          </cell>
          <cell r="Q217">
            <v>48.349000000000011</v>
          </cell>
          <cell r="R217">
            <v>31.942333333333337</v>
          </cell>
          <cell r="S217">
            <v>52.584999999999994</v>
          </cell>
          <cell r="T217">
            <v>44.584333333333333</v>
          </cell>
          <cell r="U217">
            <v>40.31666666666667</v>
          </cell>
        </row>
        <row r="218">
          <cell r="A218">
            <v>41135</v>
          </cell>
          <cell r="B218">
            <v>40.71</v>
          </cell>
          <cell r="C218">
            <v>36.81</v>
          </cell>
          <cell r="D218">
            <v>42.99</v>
          </cell>
          <cell r="E218">
            <v>45.44</v>
          </cell>
          <cell r="F218">
            <v>49.24</v>
          </cell>
          <cell r="G218">
            <v>31.76</v>
          </cell>
          <cell r="H218">
            <v>52.02</v>
          </cell>
          <cell r="I218">
            <v>43.5</v>
          </cell>
          <cell r="J218">
            <v>40.39</v>
          </cell>
          <cell r="L218">
            <v>41135</v>
          </cell>
          <cell r="M218">
            <v>39.913000000000004</v>
          </cell>
          <cell r="N218">
            <v>36.244999999999997</v>
          </cell>
          <cell r="O218">
            <v>41.249333333333333</v>
          </cell>
          <cell r="P218">
            <v>45.379333333333335</v>
          </cell>
          <cell r="Q218">
            <v>48.297666666666672</v>
          </cell>
          <cell r="R218">
            <v>31.964999999999996</v>
          </cell>
          <cell r="S218">
            <v>52.615666666666662</v>
          </cell>
          <cell r="T218">
            <v>44.594000000000001</v>
          </cell>
          <cell r="U218">
            <v>40.312999999999995</v>
          </cell>
        </row>
        <row r="219">
          <cell r="A219">
            <v>41134</v>
          </cell>
          <cell r="B219">
            <v>40.4</v>
          </cell>
          <cell r="C219">
            <v>36.630000000000003</v>
          </cell>
          <cell r="D219">
            <v>42.73</v>
          </cell>
          <cell r="E219">
            <v>45.12</v>
          </cell>
          <cell r="F219">
            <v>49.17</v>
          </cell>
          <cell r="G219">
            <v>31.63</v>
          </cell>
          <cell r="H219">
            <v>52.11</v>
          </cell>
          <cell r="I219">
            <v>43.26</v>
          </cell>
          <cell r="J219">
            <v>40.26</v>
          </cell>
          <cell r="L219">
            <v>41134</v>
          </cell>
          <cell r="M219">
            <v>39.856333333333332</v>
          </cell>
          <cell r="N219">
            <v>36.214000000000006</v>
          </cell>
          <cell r="O219">
            <v>41.152999999999999</v>
          </cell>
          <cell r="P219">
            <v>45.337333333333341</v>
          </cell>
          <cell r="Q219">
            <v>48.24666666666667</v>
          </cell>
          <cell r="R219">
            <v>31.988333333333333</v>
          </cell>
          <cell r="S219">
            <v>52.614999999999995</v>
          </cell>
          <cell r="T219">
            <v>44.604999999999997</v>
          </cell>
          <cell r="U219">
            <v>40.307333333333332</v>
          </cell>
        </row>
        <row r="220">
          <cell r="A220">
            <v>41131</v>
          </cell>
          <cell r="B220">
            <v>40.520000000000003</v>
          </cell>
          <cell r="C220">
            <v>36.94</v>
          </cell>
          <cell r="D220">
            <v>42.75</v>
          </cell>
          <cell r="E220">
            <v>45.22</v>
          </cell>
          <cell r="F220">
            <v>48.99</v>
          </cell>
          <cell r="G220">
            <v>31.69</v>
          </cell>
          <cell r="H220">
            <v>52.7</v>
          </cell>
          <cell r="I220">
            <v>43.69</v>
          </cell>
          <cell r="J220">
            <v>40.619999999999997</v>
          </cell>
          <cell r="L220">
            <v>41131</v>
          </cell>
          <cell r="M220">
            <v>39.801333333333332</v>
          </cell>
          <cell r="N220">
            <v>36.162000000000006</v>
          </cell>
          <cell r="O220">
            <v>41.05566666666666</v>
          </cell>
          <cell r="P220">
            <v>45.287000000000006</v>
          </cell>
          <cell r="Q220">
            <v>48.194333333333333</v>
          </cell>
          <cell r="R220">
            <v>32.006999999999998</v>
          </cell>
          <cell r="S220">
            <v>52.576999999999998</v>
          </cell>
          <cell r="T220">
            <v>44.618000000000002</v>
          </cell>
          <cell r="U220">
            <v>40.290333333333336</v>
          </cell>
        </row>
        <row r="221">
          <cell r="A221">
            <v>41130</v>
          </cell>
          <cell r="B221">
            <v>40.479999999999997</v>
          </cell>
          <cell r="C221">
            <v>36.61</v>
          </cell>
          <cell r="D221">
            <v>42.51</v>
          </cell>
          <cell r="E221">
            <v>45.48</v>
          </cell>
          <cell r="F221">
            <v>48.98</v>
          </cell>
          <cell r="G221">
            <v>31.49</v>
          </cell>
          <cell r="H221">
            <v>52.48</v>
          </cell>
          <cell r="I221">
            <v>43.35</v>
          </cell>
          <cell r="J221">
            <v>40.1</v>
          </cell>
          <cell r="L221">
            <v>41130</v>
          </cell>
          <cell r="M221">
            <v>39.733666666666664</v>
          </cell>
          <cell r="N221">
            <v>36.090000000000003</v>
          </cell>
          <cell r="O221">
            <v>40.937666666666665</v>
          </cell>
          <cell r="P221">
            <v>45.213000000000001</v>
          </cell>
          <cell r="Q221">
            <v>48.155333333333331</v>
          </cell>
          <cell r="R221">
            <v>32.034666666666666</v>
          </cell>
          <cell r="S221">
            <v>52.519666666666659</v>
          </cell>
          <cell r="T221">
            <v>44.614999999999995</v>
          </cell>
          <cell r="U221">
            <v>40.273666666666671</v>
          </cell>
        </row>
        <row r="222">
          <cell r="A222">
            <v>41129</v>
          </cell>
          <cell r="B222">
            <v>40.71</v>
          </cell>
          <cell r="C222">
            <v>36.39</v>
          </cell>
          <cell r="D222">
            <v>42.44</v>
          </cell>
          <cell r="E222">
            <v>45.67</v>
          </cell>
          <cell r="F222">
            <v>48.69</v>
          </cell>
          <cell r="G222">
            <v>31.54</v>
          </cell>
          <cell r="H222">
            <v>52.96</v>
          </cell>
          <cell r="I222">
            <v>44.04</v>
          </cell>
          <cell r="J222">
            <v>40.520000000000003</v>
          </cell>
          <cell r="L222">
            <v>41129</v>
          </cell>
          <cell r="M222">
            <v>39.656666666666666</v>
          </cell>
          <cell r="N222">
            <v>36.01166666666667</v>
          </cell>
          <cell r="O222">
            <v>40.827333333333328</v>
          </cell>
          <cell r="P222">
            <v>45.13066666666667</v>
          </cell>
          <cell r="Q222">
            <v>48.135666666666665</v>
          </cell>
          <cell r="R222">
            <v>32.077999999999996</v>
          </cell>
          <cell r="S222">
            <v>52.456666666666663</v>
          </cell>
          <cell r="T222">
            <v>44.640666666666668</v>
          </cell>
          <cell r="U222">
            <v>40.285999999999994</v>
          </cell>
        </row>
        <row r="223">
          <cell r="A223">
            <v>41128</v>
          </cell>
          <cell r="B223">
            <v>40.549999999999997</v>
          </cell>
          <cell r="C223">
            <v>36.200000000000003</v>
          </cell>
          <cell r="D223">
            <v>42.04</v>
          </cell>
          <cell r="E223">
            <v>45.59</v>
          </cell>
          <cell r="F223">
            <v>48.58</v>
          </cell>
          <cell r="G223">
            <v>31.77</v>
          </cell>
          <cell r="H223">
            <v>52.67</v>
          </cell>
          <cell r="I223">
            <v>44.51</v>
          </cell>
          <cell r="J223">
            <v>40.53</v>
          </cell>
          <cell r="L223">
            <v>41128</v>
          </cell>
          <cell r="M223">
            <v>39.56366666666667</v>
          </cell>
          <cell r="N223">
            <v>35.920666666666669</v>
          </cell>
          <cell r="O223">
            <v>40.695333333333338</v>
          </cell>
          <cell r="P223">
            <v>45.012999999999998</v>
          </cell>
          <cell r="Q223">
            <v>48.104333333333329</v>
          </cell>
          <cell r="R223">
            <v>32.109333333333332</v>
          </cell>
          <cell r="S223">
            <v>52.366333333333337</v>
          </cell>
          <cell r="T223">
            <v>44.617666666666658</v>
          </cell>
          <cell r="U223">
            <v>40.263666666666651</v>
          </cell>
        </row>
        <row r="224">
          <cell r="A224">
            <v>41127</v>
          </cell>
          <cell r="B224">
            <v>40.93</v>
          </cell>
          <cell r="C224">
            <v>36.229999999999997</v>
          </cell>
          <cell r="D224">
            <v>42.16</v>
          </cell>
          <cell r="E224">
            <v>45.79</v>
          </cell>
          <cell r="F224">
            <v>48.92</v>
          </cell>
          <cell r="G224">
            <v>31.89</v>
          </cell>
          <cell r="H224">
            <v>52.67</v>
          </cell>
          <cell r="I224">
            <v>44.45</v>
          </cell>
          <cell r="J224">
            <v>40.76</v>
          </cell>
          <cell r="L224">
            <v>41127</v>
          </cell>
          <cell r="M224">
            <v>39.480333333333327</v>
          </cell>
          <cell r="N224">
            <v>35.837333333333341</v>
          </cell>
          <cell r="O224">
            <v>40.580333333333343</v>
          </cell>
          <cell r="P224">
            <v>44.9</v>
          </cell>
          <cell r="Q224">
            <v>48.079333333333331</v>
          </cell>
          <cell r="R224">
            <v>32.124000000000002</v>
          </cell>
          <cell r="S224">
            <v>52.281666666666666</v>
          </cell>
          <cell r="T224">
            <v>44.580333333333328</v>
          </cell>
          <cell r="U224">
            <v>40.23866666666666</v>
          </cell>
        </row>
        <row r="225">
          <cell r="A225">
            <v>41124</v>
          </cell>
          <cell r="B225">
            <v>40.76</v>
          </cell>
          <cell r="C225">
            <v>36.229999999999997</v>
          </cell>
          <cell r="D225">
            <v>42.01</v>
          </cell>
          <cell r="E225">
            <v>45.63</v>
          </cell>
          <cell r="F225">
            <v>48.84</v>
          </cell>
          <cell r="G225">
            <v>31.83</v>
          </cell>
          <cell r="H225">
            <v>52.65</v>
          </cell>
          <cell r="I225">
            <v>44.59</v>
          </cell>
          <cell r="J225">
            <v>40.25</v>
          </cell>
          <cell r="L225">
            <v>41124</v>
          </cell>
          <cell r="M225">
            <v>39.390333333333338</v>
          </cell>
          <cell r="N225">
            <v>35.76166666666667</v>
          </cell>
          <cell r="O225">
            <v>40.470666666666666</v>
          </cell>
          <cell r="P225">
            <v>44.79</v>
          </cell>
          <cell r="Q225">
            <v>48.050666666666658</v>
          </cell>
          <cell r="R225">
            <v>32.132333333333328</v>
          </cell>
          <cell r="S225">
            <v>52.20600000000001</v>
          </cell>
          <cell r="T225">
            <v>44.559666666666658</v>
          </cell>
          <cell r="U225">
            <v>40.224333333333327</v>
          </cell>
        </row>
        <row r="226">
          <cell r="A226">
            <v>41123</v>
          </cell>
          <cell r="B226">
            <v>40.19</v>
          </cell>
          <cell r="C226">
            <v>35.79</v>
          </cell>
          <cell r="D226">
            <v>41.5</v>
          </cell>
          <cell r="E226">
            <v>45.15</v>
          </cell>
          <cell r="F226">
            <v>48.12</v>
          </cell>
          <cell r="G226">
            <v>31.32</v>
          </cell>
          <cell r="H226">
            <v>51.7</v>
          </cell>
          <cell r="I226">
            <v>43.6</v>
          </cell>
          <cell r="J226">
            <v>39.799999999999997</v>
          </cell>
          <cell r="L226">
            <v>41123</v>
          </cell>
          <cell r="M226">
            <v>39.286333333333339</v>
          </cell>
          <cell r="N226">
            <v>35.679333333333339</v>
          </cell>
          <cell r="O226">
            <v>40.356999999999992</v>
          </cell>
          <cell r="P226">
            <v>44.68566666666667</v>
          </cell>
          <cell r="Q226">
            <v>48.006666666666661</v>
          </cell>
          <cell r="R226">
            <v>32.121000000000002</v>
          </cell>
          <cell r="S226">
            <v>52.108666666666672</v>
          </cell>
          <cell r="T226">
            <v>44.521666666666661</v>
          </cell>
          <cell r="U226">
            <v>40.208999999999989</v>
          </cell>
        </row>
        <row r="227">
          <cell r="A227">
            <v>41122</v>
          </cell>
          <cell r="B227">
            <v>40.61</v>
          </cell>
          <cell r="C227">
            <v>36.14</v>
          </cell>
          <cell r="D227">
            <v>41.74</v>
          </cell>
          <cell r="E227">
            <v>45.55</v>
          </cell>
          <cell r="F227">
            <v>47.98</v>
          </cell>
          <cell r="G227">
            <v>31.57</v>
          </cell>
          <cell r="H227">
            <v>52.15</v>
          </cell>
          <cell r="I227">
            <v>44.23</v>
          </cell>
          <cell r="J227">
            <v>40.11</v>
          </cell>
          <cell r="L227">
            <v>41122</v>
          </cell>
          <cell r="M227">
            <v>39.245333333333335</v>
          </cell>
          <cell r="N227">
            <v>35.62166666666667</v>
          </cell>
          <cell r="O227">
            <v>40.276333333333326</v>
          </cell>
          <cell r="P227">
            <v>44.620000000000005</v>
          </cell>
          <cell r="Q227">
            <v>47.97966666666666</v>
          </cell>
          <cell r="R227">
            <v>32.139000000000003</v>
          </cell>
          <cell r="S227">
            <v>52.05566666666666</v>
          </cell>
          <cell r="T227">
            <v>44.536333333333324</v>
          </cell>
          <cell r="U227">
            <v>40.229666666666667</v>
          </cell>
        </row>
        <row r="228">
          <cell r="A228">
            <v>41121</v>
          </cell>
          <cell r="B228">
            <v>40.5</v>
          </cell>
          <cell r="C228">
            <v>35.85</v>
          </cell>
          <cell r="D228">
            <v>41.78</v>
          </cell>
          <cell r="E228">
            <v>45.9</v>
          </cell>
          <cell r="F228">
            <v>48.69</v>
          </cell>
          <cell r="G228">
            <v>31.78</v>
          </cell>
          <cell r="H228">
            <v>52.86</v>
          </cell>
          <cell r="I228">
            <v>44.66</v>
          </cell>
          <cell r="J228">
            <v>40.450000000000003</v>
          </cell>
          <cell r="L228">
            <v>41121</v>
          </cell>
          <cell r="M228">
            <v>39.198999999999991</v>
          </cell>
          <cell r="N228">
            <v>35.565333333333335</v>
          </cell>
          <cell r="O228">
            <v>40.200333333333326</v>
          </cell>
          <cell r="P228">
            <v>44.562000000000012</v>
          </cell>
          <cell r="Q228">
            <v>47.969000000000001</v>
          </cell>
          <cell r="R228">
            <v>32.169333333333334</v>
          </cell>
          <cell r="S228">
            <v>52.011999999999993</v>
          </cell>
          <cell r="T228">
            <v>44.541999999999994</v>
          </cell>
          <cell r="U228">
            <v>40.255666666666677</v>
          </cell>
        </row>
        <row r="229">
          <cell r="A229">
            <v>41120</v>
          </cell>
          <cell r="B229">
            <v>40.68</v>
          </cell>
          <cell r="C229">
            <v>35.9</v>
          </cell>
          <cell r="D229">
            <v>41.42</v>
          </cell>
          <cell r="E229">
            <v>45.97</v>
          </cell>
          <cell r="F229">
            <v>49.43</v>
          </cell>
          <cell r="G229">
            <v>31.81</v>
          </cell>
          <cell r="H229">
            <v>53.28</v>
          </cell>
          <cell r="I229">
            <v>44.98</v>
          </cell>
          <cell r="J229">
            <v>41.09</v>
          </cell>
          <cell r="L229">
            <v>41120</v>
          </cell>
          <cell r="M229">
            <v>39.138333333333328</v>
          </cell>
          <cell r="N229">
            <v>35.521666666666668</v>
          </cell>
          <cell r="O229">
            <v>40.12133333333334</v>
          </cell>
          <cell r="P229">
            <v>44.497000000000007</v>
          </cell>
          <cell r="Q229">
            <v>47.924333333333337</v>
          </cell>
          <cell r="R229">
            <v>32.185666666666663</v>
          </cell>
          <cell r="S229">
            <v>51.934999999999988</v>
          </cell>
          <cell r="T229">
            <v>44.524666666666675</v>
          </cell>
          <cell r="U229">
            <v>40.262000000000008</v>
          </cell>
        </row>
        <row r="230">
          <cell r="A230">
            <v>41117</v>
          </cell>
          <cell r="B230">
            <v>40.58</v>
          </cell>
          <cell r="C230">
            <v>36.020000000000003</v>
          </cell>
          <cell r="D230">
            <v>41.36</v>
          </cell>
          <cell r="E230">
            <v>46.38</v>
          </cell>
          <cell r="F230">
            <v>49.03</v>
          </cell>
          <cell r="G230">
            <v>31.79</v>
          </cell>
          <cell r="H230">
            <v>53.02</v>
          </cell>
          <cell r="I230">
            <v>45.06</v>
          </cell>
          <cell r="J230">
            <v>41.14</v>
          </cell>
          <cell r="L230">
            <v>41117</v>
          </cell>
          <cell r="M230">
            <v>39.07266666666667</v>
          </cell>
          <cell r="N230">
            <v>35.470000000000006</v>
          </cell>
          <cell r="O230">
            <v>40.050000000000004</v>
          </cell>
          <cell r="P230">
            <v>44.428000000000011</v>
          </cell>
          <cell r="Q230">
            <v>47.860666666666667</v>
          </cell>
          <cell r="R230">
            <v>32.200000000000003</v>
          </cell>
          <cell r="S230">
            <v>51.849333333333327</v>
          </cell>
          <cell r="T230">
            <v>44.498000000000012</v>
          </cell>
          <cell r="U230">
            <v>40.242666666666679</v>
          </cell>
        </row>
        <row r="231">
          <cell r="A231">
            <v>41116</v>
          </cell>
          <cell r="B231">
            <v>40.19</v>
          </cell>
          <cell r="C231">
            <v>35.67</v>
          </cell>
          <cell r="D231">
            <v>40.79</v>
          </cell>
          <cell r="E231">
            <v>45.38</v>
          </cell>
          <cell r="F231">
            <v>48.75</v>
          </cell>
          <cell r="G231">
            <v>31.42</v>
          </cell>
          <cell r="H231">
            <v>52.18</v>
          </cell>
          <cell r="I231">
            <v>44.31</v>
          </cell>
          <cell r="J231">
            <v>40.58</v>
          </cell>
          <cell r="L231">
            <v>41116</v>
          </cell>
          <cell r="M231">
            <v>39.000666666666675</v>
          </cell>
          <cell r="N231">
            <v>35.411333333333332</v>
          </cell>
          <cell r="O231">
            <v>39.969000000000015</v>
          </cell>
          <cell r="P231">
            <v>44.331666666666678</v>
          </cell>
          <cell r="Q231">
            <v>47.804333333333332</v>
          </cell>
          <cell r="R231">
            <v>32.213000000000001</v>
          </cell>
          <cell r="S231">
            <v>51.775999999999989</v>
          </cell>
          <cell r="T231">
            <v>44.468000000000011</v>
          </cell>
          <cell r="U231">
            <v>40.221333333333334</v>
          </cell>
        </row>
        <row r="232">
          <cell r="A232">
            <v>41115</v>
          </cell>
          <cell r="B232">
            <v>39.700000000000003</v>
          </cell>
          <cell r="C232">
            <v>35.53</v>
          </cell>
          <cell r="D232">
            <v>40.39</v>
          </cell>
          <cell r="E232">
            <v>44.96</v>
          </cell>
          <cell r="F232">
            <v>48.25</v>
          </cell>
          <cell r="G232">
            <v>31.24</v>
          </cell>
          <cell r="H232">
            <v>51.76</v>
          </cell>
          <cell r="I232">
            <v>44.12</v>
          </cell>
          <cell r="J232">
            <v>40.36</v>
          </cell>
          <cell r="L232">
            <v>41115</v>
          </cell>
          <cell r="M232">
            <v>38.936000000000007</v>
          </cell>
          <cell r="N232">
            <v>35.357333333333344</v>
          </cell>
          <cell r="O232">
            <v>39.899333333333352</v>
          </cell>
          <cell r="P232">
            <v>44.254000000000012</v>
          </cell>
          <cell r="Q232">
            <v>47.742666666666665</v>
          </cell>
          <cell r="R232">
            <v>32.231000000000002</v>
          </cell>
          <cell r="S232">
            <v>51.708333333333329</v>
          </cell>
          <cell r="T232">
            <v>44.458000000000013</v>
          </cell>
          <cell r="U232">
            <v>40.211666666666673</v>
          </cell>
        </row>
        <row r="233">
          <cell r="A233">
            <v>41114</v>
          </cell>
          <cell r="B233">
            <v>39.85</v>
          </cell>
          <cell r="C233">
            <v>35.770000000000003</v>
          </cell>
          <cell r="D233">
            <v>40.26</v>
          </cell>
          <cell r="E233">
            <v>44.98</v>
          </cell>
          <cell r="F233">
            <v>48.17</v>
          </cell>
          <cell r="G233">
            <v>31.56</v>
          </cell>
          <cell r="H233">
            <v>52.01</v>
          </cell>
          <cell r="I233">
            <v>44.45</v>
          </cell>
          <cell r="J233">
            <v>40.479999999999997</v>
          </cell>
          <cell r="L233">
            <v>41114</v>
          </cell>
          <cell r="M233">
            <v>38.884</v>
          </cell>
          <cell r="N233">
            <v>35.303666666666672</v>
          </cell>
          <cell r="O233">
            <v>39.842000000000013</v>
          </cell>
          <cell r="P233">
            <v>44.202000000000005</v>
          </cell>
          <cell r="Q233">
            <v>47.701000000000001</v>
          </cell>
          <cell r="R233">
            <v>32.252666666666663</v>
          </cell>
          <cell r="S233">
            <v>51.655666666666669</v>
          </cell>
          <cell r="T233">
            <v>44.450000000000017</v>
          </cell>
          <cell r="U233">
            <v>40.209333333333333</v>
          </cell>
        </row>
        <row r="234">
          <cell r="A234">
            <v>41113</v>
          </cell>
          <cell r="B234">
            <v>39.729999999999997</v>
          </cell>
          <cell r="C234">
            <v>36.299999999999997</v>
          </cell>
          <cell r="D234">
            <v>40.799999999999997</v>
          </cell>
          <cell r="E234">
            <v>45.45</v>
          </cell>
          <cell r="F234">
            <v>48.61</v>
          </cell>
          <cell r="G234">
            <v>31.93</v>
          </cell>
          <cell r="H234">
            <v>52.39</v>
          </cell>
          <cell r="I234">
            <v>45.21</v>
          </cell>
          <cell r="J234">
            <v>40.75</v>
          </cell>
          <cell r="L234">
            <v>41113</v>
          </cell>
          <cell r="M234">
            <v>38.823666666666668</v>
          </cell>
          <cell r="N234">
            <v>35.239000000000004</v>
          </cell>
          <cell r="O234">
            <v>39.786000000000016</v>
          </cell>
          <cell r="P234">
            <v>44.14233333333334</v>
          </cell>
          <cell r="Q234">
            <v>47.659000000000006</v>
          </cell>
          <cell r="R234">
            <v>32.253999999999998</v>
          </cell>
          <cell r="S234">
            <v>51.594333333333338</v>
          </cell>
          <cell r="T234">
            <v>44.425333333333356</v>
          </cell>
          <cell r="U234">
            <v>40.192999999999998</v>
          </cell>
        </row>
        <row r="235">
          <cell r="A235">
            <v>41110</v>
          </cell>
          <cell r="B235">
            <v>39.9</v>
          </cell>
          <cell r="C235">
            <v>36.590000000000003</v>
          </cell>
          <cell r="D235">
            <v>40.97</v>
          </cell>
          <cell r="E235">
            <v>46.05</v>
          </cell>
          <cell r="F235">
            <v>49.15</v>
          </cell>
          <cell r="G235">
            <v>32.31</v>
          </cell>
          <cell r="H235">
            <v>52.87</v>
          </cell>
          <cell r="I235">
            <v>45.6</v>
          </cell>
          <cell r="J235">
            <v>40.86</v>
          </cell>
          <cell r="L235">
            <v>41110</v>
          </cell>
          <cell r="M235">
            <v>38.771000000000001</v>
          </cell>
          <cell r="N235">
            <v>35.160666666666664</v>
          </cell>
          <cell r="O235">
            <v>39.70633333333334</v>
          </cell>
          <cell r="P235">
            <v>44.079333333333338</v>
          </cell>
          <cell r="Q235">
            <v>47.609666666666683</v>
          </cell>
          <cell r="R235">
            <v>32.248000000000005</v>
          </cell>
          <cell r="S235">
            <v>51.531333333333336</v>
          </cell>
          <cell r="T235">
            <v>44.38000000000001</v>
          </cell>
          <cell r="U235">
            <v>40.17466666666666</v>
          </cell>
        </row>
        <row r="236">
          <cell r="A236">
            <v>41109</v>
          </cell>
          <cell r="B236">
            <v>39.799999999999997</v>
          </cell>
          <cell r="C236">
            <v>36.590000000000003</v>
          </cell>
          <cell r="D236">
            <v>40.82</v>
          </cell>
          <cell r="E236">
            <v>46.05</v>
          </cell>
          <cell r="F236">
            <v>48.26</v>
          </cell>
          <cell r="G236">
            <v>32.409999999999997</v>
          </cell>
          <cell r="H236">
            <v>52.66</v>
          </cell>
          <cell r="I236">
            <v>45.55</v>
          </cell>
          <cell r="J236">
            <v>40.770000000000003</v>
          </cell>
          <cell r="L236">
            <v>41109</v>
          </cell>
          <cell r="M236">
            <v>38.70366666666667</v>
          </cell>
          <cell r="N236">
            <v>35.066666666666677</v>
          </cell>
          <cell r="O236">
            <v>39.599000000000011</v>
          </cell>
          <cell r="P236">
            <v>43.969333333333338</v>
          </cell>
          <cell r="Q236">
            <v>47.52866666666668</v>
          </cell>
          <cell r="R236">
            <v>32.224666666666664</v>
          </cell>
          <cell r="S236">
            <v>51.442</v>
          </cell>
          <cell r="T236">
            <v>44.298333333333339</v>
          </cell>
          <cell r="U236">
            <v>40.136999999999993</v>
          </cell>
        </row>
        <row r="237">
          <cell r="A237">
            <v>41108</v>
          </cell>
          <cell r="B237">
            <v>39.299999999999997</v>
          </cell>
          <cell r="C237">
            <v>36.909999999999997</v>
          </cell>
          <cell r="D237">
            <v>40.950000000000003</v>
          </cell>
          <cell r="E237">
            <v>46.09</v>
          </cell>
          <cell r="F237">
            <v>48.17</v>
          </cell>
          <cell r="G237">
            <v>32.08</v>
          </cell>
          <cell r="H237">
            <v>52.74</v>
          </cell>
          <cell r="I237">
            <v>45.94</v>
          </cell>
          <cell r="J237">
            <v>40.35</v>
          </cell>
          <cell r="L237">
            <v>41108</v>
          </cell>
          <cell r="M237">
            <v>38.633666666666663</v>
          </cell>
          <cell r="N237">
            <v>34.975333333333332</v>
          </cell>
          <cell r="O237">
            <v>39.51033333333335</v>
          </cell>
          <cell r="P237">
            <v>43.859333333333332</v>
          </cell>
          <cell r="Q237">
            <v>47.475666666666683</v>
          </cell>
          <cell r="R237">
            <v>32.199333333333335</v>
          </cell>
          <cell r="S237">
            <v>51.362666666666669</v>
          </cell>
          <cell r="T237">
            <v>44.219333333333338</v>
          </cell>
          <cell r="U237">
            <v>40.097999999999992</v>
          </cell>
        </row>
        <row r="238">
          <cell r="A238">
            <v>41107</v>
          </cell>
          <cell r="B238">
            <v>39.33</v>
          </cell>
          <cell r="C238">
            <v>36.840000000000003</v>
          </cell>
          <cell r="D238">
            <v>40.880000000000003</v>
          </cell>
          <cell r="E238">
            <v>45.79</v>
          </cell>
          <cell r="F238">
            <v>47.57</v>
          </cell>
          <cell r="G238">
            <v>31.99</v>
          </cell>
          <cell r="H238">
            <v>53.03</v>
          </cell>
          <cell r="I238">
            <v>45.76</v>
          </cell>
          <cell r="J238">
            <v>39.93</v>
          </cell>
          <cell r="L238">
            <v>41107</v>
          </cell>
          <cell r="M238">
            <v>38.556000000000004</v>
          </cell>
          <cell r="N238">
            <v>34.852333333333341</v>
          </cell>
          <cell r="O238">
            <v>39.394000000000013</v>
          </cell>
          <cell r="P238">
            <v>43.718333333333334</v>
          </cell>
          <cell r="Q238">
            <v>47.411333333333346</v>
          </cell>
          <cell r="R238">
            <v>32.152999999999999</v>
          </cell>
          <cell r="S238">
            <v>51.246000000000009</v>
          </cell>
          <cell r="T238">
            <v>44.097000000000008</v>
          </cell>
          <cell r="U238">
            <v>40.04933333333333</v>
          </cell>
        </row>
        <row r="239">
          <cell r="A239">
            <v>41106</v>
          </cell>
          <cell r="B239">
            <v>39.31</v>
          </cell>
          <cell r="C239">
            <v>36.83</v>
          </cell>
          <cell r="D239">
            <v>40.75</v>
          </cell>
          <cell r="E239">
            <v>45.59</v>
          </cell>
          <cell r="F239">
            <v>46.88</v>
          </cell>
          <cell r="G239">
            <v>32.19</v>
          </cell>
          <cell r="H239">
            <v>53.03</v>
          </cell>
          <cell r="I239">
            <v>45.8</v>
          </cell>
          <cell r="J239">
            <v>39.9</v>
          </cell>
          <cell r="L239">
            <v>41106</v>
          </cell>
          <cell r="M239">
            <v>38.473333333333336</v>
          </cell>
          <cell r="N239">
            <v>34.725666666666669</v>
          </cell>
          <cell r="O239">
            <v>39.283333333333339</v>
          </cell>
          <cell r="P239">
            <v>43.571999999999996</v>
          </cell>
          <cell r="Q239">
            <v>47.351666666666674</v>
          </cell>
          <cell r="R239">
            <v>32.094333333333338</v>
          </cell>
          <cell r="S239">
            <v>51.106666666666676</v>
          </cell>
          <cell r="T239">
            <v>43.970333333333336</v>
          </cell>
          <cell r="U239">
            <v>40.012666666666661</v>
          </cell>
        </row>
        <row r="240">
          <cell r="A240">
            <v>41103</v>
          </cell>
          <cell r="B240">
            <v>39.42</v>
          </cell>
          <cell r="C240">
            <v>36.880000000000003</v>
          </cell>
          <cell r="D240">
            <v>40.880000000000003</v>
          </cell>
          <cell r="E240">
            <v>45.73</v>
          </cell>
          <cell r="F240">
            <v>47.29</v>
          </cell>
          <cell r="G240">
            <v>32.4</v>
          </cell>
          <cell r="H240">
            <v>53.2</v>
          </cell>
          <cell r="I240">
            <v>45.74</v>
          </cell>
          <cell r="J240">
            <v>40</v>
          </cell>
          <cell r="L240">
            <v>41103</v>
          </cell>
          <cell r="M240">
            <v>38.394333333333329</v>
          </cell>
          <cell r="N240">
            <v>34.599333333333334</v>
          </cell>
          <cell r="O240">
            <v>39.176666666666669</v>
          </cell>
          <cell r="P240">
            <v>43.440000000000005</v>
          </cell>
          <cell r="Q240">
            <v>47.313666666666677</v>
          </cell>
          <cell r="R240">
            <v>32.018333333333331</v>
          </cell>
          <cell r="S240">
            <v>50.964000000000006</v>
          </cell>
          <cell r="T240">
            <v>43.838999999999992</v>
          </cell>
          <cell r="U240">
            <v>39.977666666666657</v>
          </cell>
        </row>
        <row r="241">
          <cell r="A241">
            <v>41102</v>
          </cell>
          <cell r="B241">
            <v>38.93</v>
          </cell>
          <cell r="C241">
            <v>36.49</v>
          </cell>
          <cell r="D241">
            <v>40.85</v>
          </cell>
          <cell r="E241">
            <v>45</v>
          </cell>
          <cell r="F241">
            <v>47.21</v>
          </cell>
          <cell r="G241">
            <v>32.369999999999997</v>
          </cell>
          <cell r="H241">
            <v>52.61</v>
          </cell>
          <cell r="I241">
            <v>45.26</v>
          </cell>
          <cell r="J241">
            <v>39.24</v>
          </cell>
          <cell r="L241">
            <v>41102</v>
          </cell>
          <cell r="M241">
            <v>38.329666666666661</v>
          </cell>
          <cell r="N241">
            <v>34.474666666666664</v>
          </cell>
          <cell r="O241">
            <v>39.084333333333326</v>
          </cell>
          <cell r="P241">
            <v>43.315000000000005</v>
          </cell>
          <cell r="Q241">
            <v>47.282333333333341</v>
          </cell>
          <cell r="R241">
            <v>31.949000000000002</v>
          </cell>
          <cell r="S241">
            <v>50.804333333333346</v>
          </cell>
          <cell r="T241">
            <v>43.713666666666661</v>
          </cell>
          <cell r="U241">
            <v>39.942666666666668</v>
          </cell>
        </row>
        <row r="242">
          <cell r="A242">
            <v>41101</v>
          </cell>
          <cell r="B242">
            <v>39.340000000000003</v>
          </cell>
          <cell r="C242">
            <v>36.11</v>
          </cell>
          <cell r="D242">
            <v>40.729999999999997</v>
          </cell>
          <cell r="E242">
            <v>45.09</v>
          </cell>
          <cell r="F242">
            <v>47.98</v>
          </cell>
          <cell r="G242">
            <v>32.71</v>
          </cell>
          <cell r="H242">
            <v>52.81</v>
          </cell>
          <cell r="I242">
            <v>44.94</v>
          </cell>
          <cell r="J242">
            <v>39.61</v>
          </cell>
          <cell r="L242">
            <v>41101</v>
          </cell>
          <cell r="M242">
            <v>38.265666666666675</v>
          </cell>
          <cell r="N242">
            <v>34.342333333333336</v>
          </cell>
          <cell r="O242">
            <v>38.980333333333327</v>
          </cell>
          <cell r="P242">
            <v>43.208333333333336</v>
          </cell>
          <cell r="Q242">
            <v>47.239666666666679</v>
          </cell>
          <cell r="R242">
            <v>31.859000000000002</v>
          </cell>
          <cell r="S242">
            <v>50.637333333333345</v>
          </cell>
          <cell r="T242">
            <v>43.596333333333334</v>
          </cell>
          <cell r="U242">
            <v>39.915666666666667</v>
          </cell>
        </row>
        <row r="243">
          <cell r="A243">
            <v>41100</v>
          </cell>
          <cell r="B243">
            <v>39.119999999999997</v>
          </cell>
          <cell r="C243">
            <v>36.11</v>
          </cell>
          <cell r="D243">
            <v>40.44</v>
          </cell>
          <cell r="E243">
            <v>44.98</v>
          </cell>
          <cell r="F243">
            <v>47.97</v>
          </cell>
          <cell r="G243">
            <v>32.54</v>
          </cell>
          <cell r="H243">
            <v>52.67</v>
          </cell>
          <cell r="I243">
            <v>44.83</v>
          </cell>
          <cell r="J243">
            <v>39.75</v>
          </cell>
          <cell r="L243">
            <v>41100</v>
          </cell>
          <cell r="M243">
            <v>38.205666666666666</v>
          </cell>
          <cell r="N243">
            <v>34.23533333333333</v>
          </cell>
          <cell r="O243">
            <v>38.895666666666664</v>
          </cell>
          <cell r="P243">
            <v>43.125999999999991</v>
          </cell>
          <cell r="Q243">
            <v>47.186333333333337</v>
          </cell>
          <cell r="R243">
            <v>31.764333333333337</v>
          </cell>
          <cell r="S243">
            <v>50.475666666666669</v>
          </cell>
          <cell r="T243">
            <v>43.498666666666658</v>
          </cell>
          <cell r="U243">
            <v>39.884333333333331</v>
          </cell>
        </row>
        <row r="244">
          <cell r="A244">
            <v>41099</v>
          </cell>
          <cell r="B244">
            <v>39.020000000000003</v>
          </cell>
          <cell r="C244">
            <v>35.75</v>
          </cell>
          <cell r="D244">
            <v>39.950000000000003</v>
          </cell>
          <cell r="E244">
            <v>44.64</v>
          </cell>
          <cell r="F244">
            <v>47.42</v>
          </cell>
          <cell r="G244">
            <v>32.47</v>
          </cell>
          <cell r="H244">
            <v>52.52</v>
          </cell>
          <cell r="I244">
            <v>44.53</v>
          </cell>
          <cell r="J244">
            <v>39.840000000000003</v>
          </cell>
          <cell r="L244">
            <v>41099</v>
          </cell>
          <cell r="M244">
            <v>38.143999999999998</v>
          </cell>
          <cell r="N244">
            <v>34.120666666666658</v>
          </cell>
          <cell r="O244">
            <v>38.81966666666667</v>
          </cell>
          <cell r="P244">
            <v>43.045999999999999</v>
          </cell>
          <cell r="Q244">
            <v>47.127000000000002</v>
          </cell>
          <cell r="R244">
            <v>31.66566666666667</v>
          </cell>
          <cell r="S244">
            <v>50.303000000000004</v>
          </cell>
          <cell r="T244">
            <v>43.397333333333329</v>
          </cell>
          <cell r="U244">
            <v>39.841666666666676</v>
          </cell>
        </row>
        <row r="245">
          <cell r="A245">
            <v>41096</v>
          </cell>
          <cell r="B245">
            <v>38.94</v>
          </cell>
          <cell r="C245">
            <v>35.700000000000003</v>
          </cell>
          <cell r="D245">
            <v>40.1</v>
          </cell>
          <cell r="E245">
            <v>44.15</v>
          </cell>
          <cell r="F245">
            <v>47.27</v>
          </cell>
          <cell r="G245">
            <v>32.549999999999997</v>
          </cell>
          <cell r="H245">
            <v>52.8</v>
          </cell>
          <cell r="I245">
            <v>44.11</v>
          </cell>
          <cell r="J245">
            <v>40</v>
          </cell>
          <cell r="L245">
            <v>41096</v>
          </cell>
          <cell r="M245">
            <v>38.087999999999994</v>
          </cell>
          <cell r="N245">
            <v>34.025999999999989</v>
          </cell>
          <cell r="O245">
            <v>38.764333333333326</v>
          </cell>
          <cell r="P245">
            <v>42.977333333333327</v>
          </cell>
          <cell r="Q245">
            <v>47.09</v>
          </cell>
          <cell r="R245">
            <v>31.571000000000005</v>
          </cell>
          <cell r="S245">
            <v>50.130333333333326</v>
          </cell>
          <cell r="T245">
            <v>43.309999999999988</v>
          </cell>
          <cell r="U245">
            <v>39.806000000000012</v>
          </cell>
        </row>
        <row r="246">
          <cell r="A246">
            <v>41095</v>
          </cell>
          <cell r="B246">
            <v>38.74</v>
          </cell>
          <cell r="C246">
            <v>35.67</v>
          </cell>
          <cell r="D246">
            <v>40.19</v>
          </cell>
          <cell r="E246">
            <v>44.21</v>
          </cell>
          <cell r="F246">
            <v>47.45</v>
          </cell>
          <cell r="G246">
            <v>32.36</v>
          </cell>
          <cell r="H246">
            <v>53</v>
          </cell>
          <cell r="I246">
            <v>43.98</v>
          </cell>
          <cell r="J246">
            <v>40.53</v>
          </cell>
          <cell r="L246">
            <v>41095</v>
          </cell>
          <cell r="M246">
            <v>38.020666666666664</v>
          </cell>
          <cell r="N246">
            <v>33.915333333333329</v>
          </cell>
          <cell r="O246">
            <v>38.696666666666665</v>
          </cell>
          <cell r="P246">
            <v>42.909666666666659</v>
          </cell>
          <cell r="Q246">
            <v>47.037666666666659</v>
          </cell>
          <cell r="R246">
            <v>31.459666666666674</v>
          </cell>
          <cell r="S246">
            <v>49.933999999999997</v>
          </cell>
          <cell r="T246">
            <v>43.225666666666662</v>
          </cell>
          <cell r="U246">
            <v>39.746333333333347</v>
          </cell>
        </row>
        <row r="247">
          <cell r="A247">
            <v>41093</v>
          </cell>
          <cell r="B247">
            <v>39.15</v>
          </cell>
          <cell r="C247">
            <v>35.869999999999997</v>
          </cell>
          <cell r="D247">
            <v>40.299999999999997</v>
          </cell>
          <cell r="E247">
            <v>44.35</v>
          </cell>
          <cell r="F247">
            <v>47.87</v>
          </cell>
          <cell r="G247">
            <v>32.549999999999997</v>
          </cell>
          <cell r="H247">
            <v>52.92</v>
          </cell>
          <cell r="I247">
            <v>43.77</v>
          </cell>
          <cell r="J247">
            <v>40.42</v>
          </cell>
          <cell r="L247">
            <v>41093</v>
          </cell>
          <cell r="M247">
            <v>37.969666666666662</v>
          </cell>
          <cell r="N247">
            <v>33.826999999999991</v>
          </cell>
          <cell r="O247">
            <v>38.63133333333333</v>
          </cell>
          <cell r="P247">
            <v>42.851666666666645</v>
          </cell>
          <cell r="Q247">
            <v>46.984999999999999</v>
          </cell>
          <cell r="R247">
            <v>31.365666666666673</v>
          </cell>
          <cell r="S247">
            <v>49.749333333333325</v>
          </cell>
          <cell r="T247">
            <v>43.157666666666657</v>
          </cell>
          <cell r="U247">
            <v>39.680666666666667</v>
          </cell>
        </row>
        <row r="248">
          <cell r="A248">
            <v>41092</v>
          </cell>
          <cell r="B248">
            <v>39.01</v>
          </cell>
          <cell r="C248">
            <v>35.880000000000003</v>
          </cell>
          <cell r="D248">
            <v>40.1</v>
          </cell>
          <cell r="E248">
            <v>44.18</v>
          </cell>
          <cell r="F248">
            <v>47.71</v>
          </cell>
          <cell r="G248">
            <v>32.46</v>
          </cell>
          <cell r="H248">
            <v>52</v>
          </cell>
          <cell r="I248">
            <v>43.83</v>
          </cell>
          <cell r="J248">
            <v>40.22</v>
          </cell>
          <cell r="L248">
            <v>41092</v>
          </cell>
          <cell r="M248">
            <v>37.894666666666673</v>
          </cell>
          <cell r="N248">
            <v>33.722666666666662</v>
          </cell>
          <cell r="O248">
            <v>38.568999999999996</v>
          </cell>
          <cell r="P248">
            <v>42.797999999999988</v>
          </cell>
          <cell r="Q248">
            <v>46.926666666666655</v>
          </cell>
          <cell r="R248">
            <v>31.266333333333339</v>
          </cell>
          <cell r="S248">
            <v>49.568999999999996</v>
          </cell>
          <cell r="T248">
            <v>43.094666666666662</v>
          </cell>
          <cell r="U248">
            <v>39.618333333333332</v>
          </cell>
        </row>
        <row r="249">
          <cell r="A249">
            <v>41089</v>
          </cell>
          <cell r="B249">
            <v>38.75</v>
          </cell>
          <cell r="C249">
            <v>35.07</v>
          </cell>
          <cell r="D249">
            <v>39.81</v>
          </cell>
          <cell r="E249">
            <v>43.61</v>
          </cell>
          <cell r="F249">
            <v>47.6</v>
          </cell>
          <cell r="G249">
            <v>32.19</v>
          </cell>
          <cell r="H249">
            <v>50.97</v>
          </cell>
          <cell r="I249">
            <v>43.65</v>
          </cell>
          <cell r="J249">
            <v>39.75</v>
          </cell>
          <cell r="L249">
            <v>41089</v>
          </cell>
          <cell r="M249">
            <v>37.82266666666667</v>
          </cell>
          <cell r="N249">
            <v>33.616</v>
          </cell>
          <cell r="O249">
            <v>38.516666666666666</v>
          </cell>
          <cell r="P249">
            <v>42.755333333333319</v>
          </cell>
          <cell r="Q249">
            <v>46.856666666666662</v>
          </cell>
          <cell r="R249">
            <v>31.16566666666667</v>
          </cell>
          <cell r="S249">
            <v>49.413666666666664</v>
          </cell>
          <cell r="T249">
            <v>43.025000000000006</v>
          </cell>
          <cell r="U249">
            <v>39.549333333333344</v>
          </cell>
        </row>
        <row r="250">
          <cell r="A250">
            <v>41088</v>
          </cell>
          <cell r="B250">
            <v>38.49</v>
          </cell>
          <cell r="C250">
            <v>34.78</v>
          </cell>
          <cell r="D250">
            <v>39.21</v>
          </cell>
          <cell r="E250">
            <v>43</v>
          </cell>
          <cell r="F250">
            <v>47.82</v>
          </cell>
          <cell r="G250">
            <v>32.520000000000003</v>
          </cell>
          <cell r="H250">
            <v>50.98</v>
          </cell>
          <cell r="I250">
            <v>43.6</v>
          </cell>
          <cell r="J250">
            <v>40.119999999999997</v>
          </cell>
          <cell r="L250">
            <v>41088</v>
          </cell>
          <cell r="M250">
            <v>37.762333333333338</v>
          </cell>
          <cell r="N250">
            <v>33.550999999999995</v>
          </cell>
          <cell r="O250">
            <v>38.474333333333327</v>
          </cell>
          <cell r="P250">
            <v>42.751333333333328</v>
          </cell>
          <cell r="Q250">
            <v>46.790333333333329</v>
          </cell>
          <cell r="R250">
            <v>31.077666666666673</v>
          </cell>
          <cell r="S250">
            <v>49.298999999999992</v>
          </cell>
          <cell r="T250">
            <v>42.972666666666669</v>
          </cell>
          <cell r="U250">
            <v>39.494666666666667</v>
          </cell>
        </row>
        <row r="251">
          <cell r="A251">
            <v>41087</v>
          </cell>
          <cell r="B251">
            <v>38.17</v>
          </cell>
          <cell r="C251">
            <v>34.26</v>
          </cell>
          <cell r="D251">
            <v>39.200000000000003</v>
          </cell>
          <cell r="E251">
            <v>43.01</v>
          </cell>
          <cell r="F251">
            <v>48.39</v>
          </cell>
          <cell r="G251">
            <v>32.79</v>
          </cell>
          <cell r="H251">
            <v>50.59</v>
          </cell>
          <cell r="I251">
            <v>44.12</v>
          </cell>
          <cell r="J251">
            <v>40.47</v>
          </cell>
          <cell r="L251">
            <v>41087</v>
          </cell>
          <cell r="M251">
            <v>37.734000000000009</v>
          </cell>
          <cell r="N251">
            <v>33.486666666666657</v>
          </cell>
          <cell r="O251">
            <v>38.460666666666654</v>
          </cell>
          <cell r="P251">
            <v>42.781333333333336</v>
          </cell>
          <cell r="Q251">
            <v>46.727333333333327</v>
          </cell>
          <cell r="R251">
            <v>30.988000000000007</v>
          </cell>
          <cell r="S251">
            <v>49.187999999999995</v>
          </cell>
          <cell r="T251">
            <v>42.931333333333328</v>
          </cell>
          <cell r="U251">
            <v>39.440000000000005</v>
          </cell>
        </row>
        <row r="252">
          <cell r="A252">
            <v>41086</v>
          </cell>
          <cell r="B252">
            <v>37.92</v>
          </cell>
          <cell r="C252">
            <v>33.659999999999997</v>
          </cell>
          <cell r="D252">
            <v>38.479999999999997</v>
          </cell>
          <cell r="E252">
            <v>42.14</v>
          </cell>
          <cell r="F252">
            <v>47.75</v>
          </cell>
          <cell r="G252">
            <v>32.479999999999997</v>
          </cell>
          <cell r="H252">
            <v>50.25</v>
          </cell>
          <cell r="I252">
            <v>43.35</v>
          </cell>
          <cell r="J252">
            <v>39.85</v>
          </cell>
          <cell r="L252">
            <v>41086</v>
          </cell>
          <cell r="M252">
            <v>37.725333333333339</v>
          </cell>
          <cell r="N252">
            <v>33.434333333333328</v>
          </cell>
          <cell r="O252">
            <v>38.446999999999996</v>
          </cell>
          <cell r="P252">
            <v>42.802000000000007</v>
          </cell>
          <cell r="Q252">
            <v>46.640666666666654</v>
          </cell>
          <cell r="R252">
            <v>30.885333333333339</v>
          </cell>
          <cell r="S252">
            <v>49.082000000000001</v>
          </cell>
          <cell r="T252">
            <v>42.874333333333333</v>
          </cell>
          <cell r="U252">
            <v>39.376999999999995</v>
          </cell>
        </row>
        <row r="253">
          <cell r="A253">
            <v>41085</v>
          </cell>
          <cell r="B253">
            <v>38.049999999999997</v>
          </cell>
          <cell r="C253">
            <v>33.700000000000003</v>
          </cell>
          <cell r="D253">
            <v>38.590000000000003</v>
          </cell>
          <cell r="E253">
            <v>42.2</v>
          </cell>
          <cell r="F253">
            <v>47.83</v>
          </cell>
          <cell r="G253">
            <v>32.21</v>
          </cell>
          <cell r="H253">
            <v>50.13</v>
          </cell>
          <cell r="I253">
            <v>43.39</v>
          </cell>
          <cell r="J253">
            <v>39.78</v>
          </cell>
          <cell r="L253">
            <v>41085</v>
          </cell>
          <cell r="M253">
            <v>37.737666666666676</v>
          </cell>
          <cell r="N253">
            <v>33.400666666666652</v>
          </cell>
          <cell r="O253">
            <v>38.453666666666663</v>
          </cell>
          <cell r="P253">
            <v>42.83066666666668</v>
          </cell>
          <cell r="Q253">
            <v>46.568999999999981</v>
          </cell>
          <cell r="R253">
            <v>30.786333333333339</v>
          </cell>
          <cell r="S253">
            <v>48.983666666666664</v>
          </cell>
          <cell r="T253">
            <v>42.843333333333334</v>
          </cell>
          <cell r="U253">
            <v>39.338333333333338</v>
          </cell>
        </row>
        <row r="254">
          <cell r="A254">
            <v>41082</v>
          </cell>
          <cell r="B254">
            <v>38.229999999999997</v>
          </cell>
          <cell r="C254">
            <v>33.96</v>
          </cell>
          <cell r="D254">
            <v>38.869999999999997</v>
          </cell>
          <cell r="E254">
            <v>42.49</v>
          </cell>
          <cell r="F254">
            <v>48.06</v>
          </cell>
          <cell r="G254">
            <v>32.14</v>
          </cell>
          <cell r="H254">
            <v>50.4</v>
          </cell>
          <cell r="I254">
            <v>43.83</v>
          </cell>
          <cell r="J254">
            <v>40.33</v>
          </cell>
          <cell r="L254">
            <v>41082</v>
          </cell>
          <cell r="M254">
            <v>37.754999999999995</v>
          </cell>
          <cell r="N254">
            <v>33.373666666666658</v>
          </cell>
          <cell r="O254">
            <v>38.462666666666664</v>
          </cell>
          <cell r="P254">
            <v>42.874666666666677</v>
          </cell>
          <cell r="Q254">
            <v>46.510666666666644</v>
          </cell>
          <cell r="R254">
            <v>30.708666666666673</v>
          </cell>
          <cell r="S254">
            <v>48.909000000000006</v>
          </cell>
          <cell r="T254">
            <v>42.819000000000003</v>
          </cell>
          <cell r="U254">
            <v>39.323999999999998</v>
          </cell>
        </row>
        <row r="255">
          <cell r="A255">
            <v>41081</v>
          </cell>
          <cell r="B255">
            <v>37.64</v>
          </cell>
          <cell r="C255">
            <v>33.76</v>
          </cell>
          <cell r="D255">
            <v>38.6</v>
          </cell>
          <cell r="E255">
            <v>42.5</v>
          </cell>
          <cell r="F255">
            <v>47.52</v>
          </cell>
          <cell r="G255">
            <v>31.49</v>
          </cell>
          <cell r="H255">
            <v>49.73</v>
          </cell>
          <cell r="I255">
            <v>43.45</v>
          </cell>
          <cell r="J255">
            <v>39.79</v>
          </cell>
          <cell r="L255">
            <v>41081</v>
          </cell>
          <cell r="M255">
            <v>37.768666666666668</v>
          </cell>
          <cell r="N255">
            <v>33.336333333333329</v>
          </cell>
          <cell r="O255">
            <v>38.468333333333327</v>
          </cell>
          <cell r="P255">
            <v>42.925000000000004</v>
          </cell>
          <cell r="Q255">
            <v>46.456333333333312</v>
          </cell>
          <cell r="R255">
            <v>30.634000000000007</v>
          </cell>
          <cell r="S255">
            <v>48.832666666666675</v>
          </cell>
          <cell r="T255">
            <v>42.797000000000004</v>
          </cell>
          <cell r="U255">
            <v>39.297000000000004</v>
          </cell>
        </row>
        <row r="256">
          <cell r="A256">
            <v>41080</v>
          </cell>
          <cell r="B256">
            <v>38.96</v>
          </cell>
          <cell r="C256">
            <v>34.06</v>
          </cell>
          <cell r="D256">
            <v>39.08</v>
          </cell>
          <cell r="E256">
            <v>43.18</v>
          </cell>
          <cell r="F256">
            <v>47.31</v>
          </cell>
          <cell r="G256">
            <v>31.86</v>
          </cell>
          <cell r="H256">
            <v>50.11</v>
          </cell>
          <cell r="I256">
            <v>44.04</v>
          </cell>
          <cell r="J256">
            <v>40.42</v>
          </cell>
          <cell r="L256">
            <v>41080</v>
          </cell>
          <cell r="M256">
            <v>37.789000000000001</v>
          </cell>
          <cell r="N256">
            <v>33.297333333333327</v>
          </cell>
          <cell r="O256">
            <v>38.47999999999999</v>
          </cell>
          <cell r="P256">
            <v>42.952333333333335</v>
          </cell>
          <cell r="Q256">
            <v>46.401666666666657</v>
          </cell>
          <cell r="R256">
            <v>30.570000000000007</v>
          </cell>
          <cell r="S256">
            <v>48.768000000000001</v>
          </cell>
          <cell r="T256">
            <v>42.769333333333336</v>
          </cell>
          <cell r="U256">
            <v>39.277999999999999</v>
          </cell>
        </row>
        <row r="257">
          <cell r="A257">
            <v>41079</v>
          </cell>
          <cell r="B257">
            <v>39.22</v>
          </cell>
          <cell r="C257">
            <v>34.450000000000003</v>
          </cell>
          <cell r="D257">
            <v>39.46</v>
          </cell>
          <cell r="E257">
            <v>43.81</v>
          </cell>
          <cell r="F257">
            <v>47.66</v>
          </cell>
          <cell r="G257">
            <v>32.479999999999997</v>
          </cell>
          <cell r="H257">
            <v>50.84</v>
          </cell>
          <cell r="I257">
            <v>44.4</v>
          </cell>
          <cell r="J257">
            <v>40.89</v>
          </cell>
          <cell r="L257">
            <v>41079</v>
          </cell>
          <cell r="M257">
            <v>37.773666666666664</v>
          </cell>
          <cell r="N257">
            <v>33.251666666666665</v>
          </cell>
          <cell r="O257">
            <v>38.479333333333322</v>
          </cell>
          <cell r="P257">
            <v>42.963666666666668</v>
          </cell>
          <cell r="Q257">
            <v>46.368000000000002</v>
          </cell>
          <cell r="R257">
            <v>30.493666666666677</v>
          </cell>
          <cell r="S257">
            <v>48.689666666666668</v>
          </cell>
          <cell r="T257">
            <v>42.729333333333336</v>
          </cell>
          <cell r="U257">
            <v>39.24166666666666</v>
          </cell>
        </row>
        <row r="258">
          <cell r="A258">
            <v>41078</v>
          </cell>
          <cell r="B258">
            <v>38.68</v>
          </cell>
          <cell r="C258">
            <v>34.54</v>
          </cell>
          <cell r="D258">
            <v>39.409999999999997</v>
          </cell>
          <cell r="E258">
            <v>43.95</v>
          </cell>
          <cell r="F258">
            <v>47.35</v>
          </cell>
          <cell r="G258">
            <v>32.270000000000003</v>
          </cell>
          <cell r="H258">
            <v>50.55</v>
          </cell>
          <cell r="I258">
            <v>44.14</v>
          </cell>
          <cell r="J258">
            <v>40.64</v>
          </cell>
          <cell r="L258">
            <v>41078</v>
          </cell>
          <cell r="M258">
            <v>37.743333333333332</v>
          </cell>
          <cell r="N258">
            <v>33.18333333333333</v>
          </cell>
          <cell r="O258">
            <v>38.469666666666662</v>
          </cell>
          <cell r="P258">
            <v>42.942666666666675</v>
          </cell>
          <cell r="Q258">
            <v>46.322000000000003</v>
          </cell>
          <cell r="R258">
            <v>30.395000000000007</v>
          </cell>
          <cell r="S258">
            <v>48.576000000000008</v>
          </cell>
          <cell r="T258">
            <v>42.662000000000006</v>
          </cell>
          <cell r="U258">
            <v>39.180666666666667</v>
          </cell>
        </row>
        <row r="259">
          <cell r="A259">
            <v>41075</v>
          </cell>
          <cell r="B259">
            <v>38.71</v>
          </cell>
          <cell r="C259">
            <v>34.35</v>
          </cell>
          <cell r="D259">
            <v>39.28</v>
          </cell>
          <cell r="E259">
            <v>43.9</v>
          </cell>
          <cell r="F259">
            <v>47.52</v>
          </cell>
          <cell r="G259">
            <v>32.24</v>
          </cell>
          <cell r="H259">
            <v>50.71</v>
          </cell>
          <cell r="I259">
            <v>44.18</v>
          </cell>
          <cell r="J259">
            <v>40.51</v>
          </cell>
          <cell r="L259">
            <v>41075</v>
          </cell>
          <cell r="M259">
            <v>37.737333333333332</v>
          </cell>
          <cell r="N259">
            <v>33.112999999999992</v>
          </cell>
          <cell r="O259">
            <v>38.456333333333326</v>
          </cell>
          <cell r="P259">
            <v>42.904666666666664</v>
          </cell>
          <cell r="Q259">
            <v>46.256999999999998</v>
          </cell>
          <cell r="R259">
            <v>30.297333333333338</v>
          </cell>
          <cell r="S259">
            <v>48.489666666666679</v>
          </cell>
          <cell r="T259">
            <v>42.572333333333326</v>
          </cell>
          <cell r="U259">
            <v>39.120666666666658</v>
          </cell>
        </row>
        <row r="260">
          <cell r="A260">
            <v>41074</v>
          </cell>
          <cell r="B260">
            <v>38.42</v>
          </cell>
          <cell r="C260">
            <v>34.26</v>
          </cell>
          <cell r="D260">
            <v>38.93</v>
          </cell>
          <cell r="E260">
            <v>43.49</v>
          </cell>
          <cell r="F260">
            <v>47.34</v>
          </cell>
          <cell r="G260">
            <v>32.18</v>
          </cell>
          <cell r="H260">
            <v>50.82</v>
          </cell>
          <cell r="I260">
            <v>44.16</v>
          </cell>
          <cell r="J260">
            <v>40.5</v>
          </cell>
          <cell r="L260">
            <v>41074</v>
          </cell>
          <cell r="M260">
            <v>37.731999999999992</v>
          </cell>
          <cell r="N260">
            <v>33.059333333333335</v>
          </cell>
          <cell r="O260">
            <v>38.451666666666668</v>
          </cell>
          <cell r="P260">
            <v>42.881999999999998</v>
          </cell>
          <cell r="Q260">
            <v>46.18333333333333</v>
          </cell>
          <cell r="R260">
            <v>30.209666666666674</v>
          </cell>
          <cell r="S260">
            <v>48.414000000000001</v>
          </cell>
          <cell r="T260">
            <v>42.487333333333339</v>
          </cell>
          <cell r="U260">
            <v>39.076333333333331</v>
          </cell>
        </row>
        <row r="261">
          <cell r="A261">
            <v>41073</v>
          </cell>
          <cell r="B261">
            <v>38.25</v>
          </cell>
          <cell r="C261">
            <v>34.049999999999997</v>
          </cell>
          <cell r="D261">
            <v>38.700000000000003</v>
          </cell>
          <cell r="E261">
            <v>43.05</v>
          </cell>
          <cell r="F261">
            <v>46.9</v>
          </cell>
          <cell r="G261">
            <v>31.96</v>
          </cell>
          <cell r="H261">
            <v>50.15</v>
          </cell>
          <cell r="I261">
            <v>44.01</v>
          </cell>
          <cell r="J261">
            <v>40.29</v>
          </cell>
          <cell r="L261">
            <v>41073</v>
          </cell>
          <cell r="M261">
            <v>37.744666666666667</v>
          </cell>
          <cell r="N261">
            <v>33.001999999999995</v>
          </cell>
          <cell r="O261">
            <v>38.467000000000006</v>
          </cell>
          <cell r="P261">
            <v>42.870666666666672</v>
          </cell>
          <cell r="Q261">
            <v>46.129000000000005</v>
          </cell>
          <cell r="R261">
            <v>30.131666666666675</v>
          </cell>
          <cell r="S261">
            <v>48.343000000000004</v>
          </cell>
          <cell r="T261">
            <v>42.414333333333339</v>
          </cell>
          <cell r="U261">
            <v>39.049666666666667</v>
          </cell>
        </row>
        <row r="262">
          <cell r="A262">
            <v>41072</v>
          </cell>
          <cell r="B262">
            <v>38.14</v>
          </cell>
          <cell r="C262">
            <v>33.92</v>
          </cell>
          <cell r="D262">
            <v>38.67</v>
          </cell>
          <cell r="E262">
            <v>43.4</v>
          </cell>
          <cell r="F262">
            <v>47</v>
          </cell>
          <cell r="G262">
            <v>31.89</v>
          </cell>
          <cell r="H262">
            <v>50.18</v>
          </cell>
          <cell r="I262">
            <v>43.88</v>
          </cell>
          <cell r="J262">
            <v>40.29</v>
          </cell>
          <cell r="L262">
            <v>41072</v>
          </cell>
          <cell r="M262">
            <v>37.781999999999996</v>
          </cell>
          <cell r="N262">
            <v>32.961666666666666</v>
          </cell>
          <cell r="O262">
            <v>38.49633333333334</v>
          </cell>
          <cell r="P262">
            <v>42.882666666666672</v>
          </cell>
          <cell r="Q262">
            <v>46.088333333333345</v>
          </cell>
          <cell r="R262">
            <v>30.073000000000004</v>
          </cell>
          <cell r="S262">
            <v>48.312666666666672</v>
          </cell>
          <cell r="T262">
            <v>42.357000000000006</v>
          </cell>
          <cell r="U262">
            <v>39.044666666666672</v>
          </cell>
        </row>
        <row r="263">
          <cell r="A263">
            <v>41071</v>
          </cell>
          <cell r="B263">
            <v>38.04</v>
          </cell>
          <cell r="C263">
            <v>33.83</v>
          </cell>
          <cell r="D263">
            <v>38.58</v>
          </cell>
          <cell r="E263">
            <v>43.19</v>
          </cell>
          <cell r="F263">
            <v>46.91</v>
          </cell>
          <cell r="G263">
            <v>31.6</v>
          </cell>
          <cell r="H263">
            <v>50.17</v>
          </cell>
          <cell r="I263">
            <v>43.71</v>
          </cell>
          <cell r="J263">
            <v>39.99</v>
          </cell>
          <cell r="L263">
            <v>41071</v>
          </cell>
          <cell r="M263">
            <v>37.824999999999996</v>
          </cell>
          <cell r="N263">
            <v>32.917000000000002</v>
          </cell>
          <cell r="O263">
            <v>38.519999999999996</v>
          </cell>
          <cell r="P263">
            <v>42.877333333333347</v>
          </cell>
          <cell r="Q263">
            <v>46.045000000000009</v>
          </cell>
          <cell r="R263">
            <v>30.026000000000007</v>
          </cell>
          <cell r="S263">
            <v>48.281666666666666</v>
          </cell>
          <cell r="T263">
            <v>42.295000000000002</v>
          </cell>
          <cell r="U263">
            <v>39.038666666666671</v>
          </cell>
        </row>
        <row r="264">
          <cell r="A264">
            <v>41068</v>
          </cell>
          <cell r="B264">
            <v>38.15</v>
          </cell>
          <cell r="C264">
            <v>33.950000000000003</v>
          </cell>
          <cell r="D264">
            <v>38.409999999999997</v>
          </cell>
          <cell r="E264">
            <v>43.56</v>
          </cell>
          <cell r="F264">
            <v>47.13</v>
          </cell>
          <cell r="G264">
            <v>31.75</v>
          </cell>
          <cell r="H264">
            <v>50.5</v>
          </cell>
          <cell r="I264">
            <v>43.85</v>
          </cell>
          <cell r="J264">
            <v>40.200000000000003</v>
          </cell>
          <cell r="L264">
            <v>41068</v>
          </cell>
          <cell r="M264">
            <v>37.865333333333325</v>
          </cell>
          <cell r="N264">
            <v>32.869666666666667</v>
          </cell>
          <cell r="O264">
            <v>38.552</v>
          </cell>
          <cell r="P264">
            <v>42.872</v>
          </cell>
          <cell r="Q264">
            <v>46.001333333333335</v>
          </cell>
          <cell r="R264">
            <v>29.982000000000006</v>
          </cell>
          <cell r="S264">
            <v>48.243333333333339</v>
          </cell>
          <cell r="T264">
            <v>42.238000000000007</v>
          </cell>
          <cell r="U264">
            <v>39.026333333333334</v>
          </cell>
        </row>
        <row r="265">
          <cell r="A265">
            <v>41067</v>
          </cell>
          <cell r="B265">
            <v>37.880000000000003</v>
          </cell>
          <cell r="C265">
            <v>33.770000000000003</v>
          </cell>
          <cell r="D265">
            <v>37.75</v>
          </cell>
          <cell r="E265">
            <v>42.75</v>
          </cell>
          <cell r="F265">
            <v>46.72</v>
          </cell>
          <cell r="G265">
            <v>31.61</v>
          </cell>
          <cell r="H265">
            <v>50.19</v>
          </cell>
          <cell r="I265">
            <v>43.15</v>
          </cell>
          <cell r="J265">
            <v>39.729999999999997</v>
          </cell>
          <cell r="L265">
            <v>41067</v>
          </cell>
          <cell r="M265">
            <v>37.890333333333324</v>
          </cell>
          <cell r="N265">
            <v>32.81433333333333</v>
          </cell>
          <cell r="O265">
            <v>38.588000000000001</v>
          </cell>
          <cell r="P265">
            <v>42.854000000000006</v>
          </cell>
          <cell r="Q265">
            <v>45.93566666666667</v>
          </cell>
          <cell r="R265">
            <v>29.926000000000005</v>
          </cell>
          <cell r="S265">
            <v>48.190333333333342</v>
          </cell>
          <cell r="T265">
            <v>42.169333333333334</v>
          </cell>
          <cell r="U265">
            <v>38.999000000000009</v>
          </cell>
        </row>
        <row r="266">
          <cell r="A266">
            <v>41066</v>
          </cell>
          <cell r="B266">
            <v>37.700000000000003</v>
          </cell>
          <cell r="C266">
            <v>33.85</v>
          </cell>
          <cell r="D266">
            <v>38.159999999999997</v>
          </cell>
          <cell r="E266">
            <v>42.75</v>
          </cell>
          <cell r="F266">
            <v>46.67</v>
          </cell>
          <cell r="G266">
            <v>31.65</v>
          </cell>
          <cell r="H266">
            <v>50.28</v>
          </cell>
          <cell r="I266">
            <v>43.18</v>
          </cell>
          <cell r="J266">
            <v>39.6</v>
          </cell>
          <cell r="L266">
            <v>41066</v>
          </cell>
          <cell r="M266">
            <v>37.925333333333334</v>
          </cell>
          <cell r="N266">
            <v>32.762666666666668</v>
          </cell>
          <cell r="O266">
            <v>38.652666666666661</v>
          </cell>
          <cell r="P266">
            <v>42.862000000000002</v>
          </cell>
          <cell r="Q266">
            <v>45.889666666666663</v>
          </cell>
          <cell r="R266">
            <v>29.874333333333336</v>
          </cell>
          <cell r="S266">
            <v>48.147000000000006</v>
          </cell>
          <cell r="T266">
            <v>42.124333333333325</v>
          </cell>
          <cell r="U266">
            <v>38.991333333333337</v>
          </cell>
        </row>
        <row r="267">
          <cell r="A267">
            <v>41065</v>
          </cell>
          <cell r="B267">
            <v>36.97</v>
          </cell>
          <cell r="C267">
            <v>33.22</v>
          </cell>
          <cell r="D267">
            <v>37.46</v>
          </cell>
          <cell r="E267">
            <v>41.86</v>
          </cell>
          <cell r="F267">
            <v>46.24</v>
          </cell>
          <cell r="G267">
            <v>30.69</v>
          </cell>
          <cell r="H267">
            <v>49.24</v>
          </cell>
          <cell r="I267">
            <v>42.27</v>
          </cell>
          <cell r="J267">
            <v>38.89</v>
          </cell>
          <cell r="L267">
            <v>41065</v>
          </cell>
          <cell r="M267">
            <v>37.94533333333333</v>
          </cell>
          <cell r="N267">
            <v>32.70066666666667</v>
          </cell>
          <cell r="O267">
            <v>38.697000000000003</v>
          </cell>
          <cell r="P267">
            <v>42.863333333333337</v>
          </cell>
          <cell r="Q267">
            <v>45.832666666666668</v>
          </cell>
          <cell r="R267">
            <v>29.81033333333334</v>
          </cell>
          <cell r="S267">
            <v>48.084666666666671</v>
          </cell>
          <cell r="T267">
            <v>42.068333333333335</v>
          </cell>
          <cell r="U267">
            <v>38.978666666666669</v>
          </cell>
        </row>
        <row r="268">
          <cell r="A268">
            <v>41064</v>
          </cell>
          <cell r="B268">
            <v>36.85</v>
          </cell>
          <cell r="C268">
            <v>33.04</v>
          </cell>
          <cell r="D268">
            <v>37.56</v>
          </cell>
          <cell r="E268">
            <v>41.4</v>
          </cell>
          <cell r="F268">
            <v>45.78</v>
          </cell>
          <cell r="G268">
            <v>30.23</v>
          </cell>
          <cell r="H268">
            <v>48.85</v>
          </cell>
          <cell r="I268">
            <v>41.96</v>
          </cell>
          <cell r="J268">
            <v>38.83</v>
          </cell>
          <cell r="L268">
            <v>41064</v>
          </cell>
          <cell r="M268">
            <v>37.977999999999994</v>
          </cell>
          <cell r="N268">
            <v>32.650666666666673</v>
          </cell>
          <cell r="O268">
            <v>38.740333333333325</v>
          </cell>
          <cell r="P268">
            <v>42.891666666666659</v>
          </cell>
          <cell r="Q268">
            <v>45.765666666666668</v>
          </cell>
          <cell r="R268">
            <v>29.766333333333339</v>
          </cell>
          <cell r="S268">
            <v>48.034666666666666</v>
          </cell>
          <cell r="T268">
            <v>42.033333333333324</v>
          </cell>
          <cell r="U268">
            <v>38.977999999999994</v>
          </cell>
        </row>
        <row r="269">
          <cell r="A269">
            <v>41061</v>
          </cell>
          <cell r="B269">
            <v>36.94</v>
          </cell>
          <cell r="C269">
            <v>33.04</v>
          </cell>
          <cell r="D269">
            <v>37.549999999999997</v>
          </cell>
          <cell r="E269">
            <v>41.63</v>
          </cell>
          <cell r="F269">
            <v>45.74</v>
          </cell>
          <cell r="G269">
            <v>29.91</v>
          </cell>
          <cell r="H269">
            <v>48.75</v>
          </cell>
          <cell r="I269">
            <v>41.86</v>
          </cell>
          <cell r="J269">
            <v>38.85</v>
          </cell>
          <cell r="L269">
            <v>41061</v>
          </cell>
          <cell r="M269">
            <v>38.026666666666657</v>
          </cell>
          <cell r="N269">
            <v>32.616000000000007</v>
          </cell>
          <cell r="O269">
            <v>38.794666666666664</v>
          </cell>
          <cell r="P269">
            <v>42.96</v>
          </cell>
          <cell r="Q269">
            <v>45.732999999999997</v>
          </cell>
          <cell r="R269">
            <v>29.751666666666669</v>
          </cell>
          <cell r="S269">
            <v>48.024333333333331</v>
          </cell>
          <cell r="T269">
            <v>42.019666666666666</v>
          </cell>
          <cell r="U269">
            <v>38.994</v>
          </cell>
        </row>
        <row r="270">
          <cell r="A270">
            <v>41060</v>
          </cell>
          <cell r="B270">
            <v>37.479999999999997</v>
          </cell>
          <cell r="C270">
            <v>33.14</v>
          </cell>
          <cell r="D270">
            <v>38.11</v>
          </cell>
          <cell r="E270">
            <v>41.98</v>
          </cell>
          <cell r="F270">
            <v>46.35</v>
          </cell>
          <cell r="G270">
            <v>30.32</v>
          </cell>
          <cell r="H270">
            <v>48.41</v>
          </cell>
          <cell r="I270">
            <v>41.98</v>
          </cell>
          <cell r="J270">
            <v>38.950000000000003</v>
          </cell>
          <cell r="L270">
            <v>41060</v>
          </cell>
          <cell r="M270">
            <v>38.060999999999993</v>
          </cell>
          <cell r="N270">
            <v>32.565333333333328</v>
          </cell>
          <cell r="O270">
            <v>38.832000000000001</v>
          </cell>
          <cell r="P270">
            <v>42.98233333333333</v>
          </cell>
          <cell r="Q270">
            <v>45.682333333333325</v>
          </cell>
          <cell r="R270">
            <v>29.731333333333332</v>
          </cell>
          <cell r="S270">
            <v>47.993666666666662</v>
          </cell>
          <cell r="T270">
            <v>41.993333333333325</v>
          </cell>
          <cell r="U270">
            <v>38.991333333333337</v>
          </cell>
        </row>
        <row r="271">
          <cell r="A271">
            <v>41059</v>
          </cell>
          <cell r="B271">
            <v>37.01</v>
          </cell>
          <cell r="C271">
            <v>32.520000000000003</v>
          </cell>
          <cell r="D271">
            <v>37.729999999999997</v>
          </cell>
          <cell r="E271">
            <v>41.8</v>
          </cell>
          <cell r="F271">
            <v>45.93</v>
          </cell>
          <cell r="G271">
            <v>29.67</v>
          </cell>
          <cell r="H271">
            <v>47.6</v>
          </cell>
          <cell r="I271">
            <v>41.74</v>
          </cell>
          <cell r="J271">
            <v>38.43</v>
          </cell>
          <cell r="L271">
            <v>41059</v>
          </cell>
          <cell r="M271">
            <v>38.079999999999991</v>
          </cell>
          <cell r="N271">
            <v>32.507666666666665</v>
          </cell>
          <cell r="O271">
            <v>38.858333333333341</v>
          </cell>
          <cell r="P271">
            <v>42.999666666666663</v>
          </cell>
          <cell r="Q271">
            <v>45.619666666666674</v>
          </cell>
          <cell r="R271">
            <v>29.704666666666661</v>
          </cell>
          <cell r="S271">
            <v>47.992333333333335</v>
          </cell>
          <cell r="T271">
            <v>41.972666666666662</v>
          </cell>
          <cell r="U271">
            <v>38.995999999999995</v>
          </cell>
        </row>
        <row r="272">
          <cell r="A272">
            <v>41058</v>
          </cell>
          <cell r="B272">
            <v>37.54</v>
          </cell>
          <cell r="C272">
            <v>32.9</v>
          </cell>
          <cell r="D272">
            <v>38.19</v>
          </cell>
          <cell r="E272">
            <v>42.62</v>
          </cell>
          <cell r="F272">
            <v>46.38</v>
          </cell>
          <cell r="G272">
            <v>29.87</v>
          </cell>
          <cell r="H272">
            <v>47.96</v>
          </cell>
          <cell r="I272">
            <v>42.01</v>
          </cell>
          <cell r="J272">
            <v>38.67</v>
          </cell>
          <cell r="L272">
            <v>41058</v>
          </cell>
          <cell r="M272">
            <v>38.126999999999988</v>
          </cell>
          <cell r="N272">
            <v>32.479666666666667</v>
          </cell>
          <cell r="O272">
            <v>38.911000000000008</v>
          </cell>
          <cell r="P272">
            <v>43.037333333333329</v>
          </cell>
          <cell r="Q272">
            <v>45.586000000000006</v>
          </cell>
          <cell r="R272">
            <v>29.711333333333325</v>
          </cell>
          <cell r="S272">
            <v>48.029333333333327</v>
          </cell>
          <cell r="T272">
            <v>41.97999999999999</v>
          </cell>
          <cell r="U272">
            <v>39.032666666666664</v>
          </cell>
        </row>
        <row r="273">
          <cell r="A273">
            <v>41054</v>
          </cell>
          <cell r="B273">
            <v>37.270000000000003</v>
          </cell>
          <cell r="C273">
            <v>32.67</v>
          </cell>
          <cell r="D273">
            <v>38.159999999999997</v>
          </cell>
          <cell r="E273">
            <v>42.58</v>
          </cell>
          <cell r="F273">
            <v>46.19</v>
          </cell>
          <cell r="G273">
            <v>29.58</v>
          </cell>
          <cell r="H273">
            <v>47.49</v>
          </cell>
          <cell r="I273">
            <v>41.79</v>
          </cell>
          <cell r="J273">
            <v>38.47</v>
          </cell>
          <cell r="L273">
            <v>41054</v>
          </cell>
          <cell r="M273">
            <v>38.147666666666659</v>
          </cell>
          <cell r="N273">
            <v>32.431333333333335</v>
          </cell>
          <cell r="O273">
            <v>38.941333333333333</v>
          </cell>
          <cell r="P273">
            <v>43.04</v>
          </cell>
          <cell r="Q273">
            <v>45.524999999999999</v>
          </cell>
          <cell r="R273">
            <v>29.70099999999999</v>
          </cell>
          <cell r="S273">
            <v>48.031333333333336</v>
          </cell>
          <cell r="T273">
            <v>41.956999999999987</v>
          </cell>
          <cell r="U273">
            <v>39.049333333333337</v>
          </cell>
        </row>
        <row r="274">
          <cell r="A274">
            <v>41053</v>
          </cell>
          <cell r="B274">
            <v>37.340000000000003</v>
          </cell>
          <cell r="C274">
            <v>32.909999999999997</v>
          </cell>
          <cell r="D274">
            <v>38.29</v>
          </cell>
          <cell r="E274">
            <v>42.58</v>
          </cell>
          <cell r="F274">
            <v>46.31</v>
          </cell>
          <cell r="G274">
            <v>29.63</v>
          </cell>
          <cell r="H274">
            <v>47.34</v>
          </cell>
          <cell r="I274">
            <v>41.91</v>
          </cell>
          <cell r="J274">
            <v>38.770000000000003</v>
          </cell>
          <cell r="L274">
            <v>41053</v>
          </cell>
          <cell r="M274">
            <v>38.166666666666657</v>
          </cell>
          <cell r="N274">
            <v>32.374000000000002</v>
          </cell>
          <cell r="O274">
            <v>38.956333333333326</v>
          </cell>
          <cell r="P274">
            <v>43.027666666666661</v>
          </cell>
          <cell r="Q274">
            <v>45.454000000000001</v>
          </cell>
          <cell r="R274">
            <v>29.693666666666662</v>
          </cell>
          <cell r="S274">
            <v>48.035666666666657</v>
          </cell>
          <cell r="T274">
            <v>41.934666666666658</v>
          </cell>
          <cell r="U274">
            <v>39.057333333333332</v>
          </cell>
        </row>
        <row r="275">
          <cell r="A275">
            <v>41052</v>
          </cell>
          <cell r="B275">
            <v>36.92</v>
          </cell>
          <cell r="C275">
            <v>32.380000000000003</v>
          </cell>
          <cell r="D275">
            <v>38.07</v>
          </cell>
          <cell r="E275">
            <v>42.12</v>
          </cell>
          <cell r="F275">
            <v>45.7</v>
          </cell>
          <cell r="G275">
            <v>29.21</v>
          </cell>
          <cell r="H275">
            <v>46.91</v>
          </cell>
          <cell r="I275">
            <v>41.58</v>
          </cell>
          <cell r="J275">
            <v>38.21</v>
          </cell>
          <cell r="L275">
            <v>41052</v>
          </cell>
          <cell r="M275">
            <v>38.19533333333333</v>
          </cell>
          <cell r="N275">
            <v>32.314333333333337</v>
          </cell>
          <cell r="O275">
            <v>38.973666666666659</v>
          </cell>
          <cell r="P275">
            <v>43.027000000000001</v>
          </cell>
          <cell r="Q275">
            <v>45.396333333333338</v>
          </cell>
          <cell r="R275">
            <v>29.690333333333324</v>
          </cell>
          <cell r="S275">
            <v>48.05866666666666</v>
          </cell>
          <cell r="T275">
            <v>41.918333333333322</v>
          </cell>
          <cell r="U275">
            <v>39.069333333333347</v>
          </cell>
        </row>
        <row r="276">
          <cell r="A276">
            <v>41051</v>
          </cell>
          <cell r="B276">
            <v>37.21</v>
          </cell>
          <cell r="C276">
            <v>33.020000000000003</v>
          </cell>
          <cell r="D276">
            <v>38.229999999999997</v>
          </cell>
          <cell r="E276">
            <v>42.47</v>
          </cell>
          <cell r="F276">
            <v>45.87</v>
          </cell>
          <cell r="G276">
            <v>29.54</v>
          </cell>
          <cell r="H276">
            <v>47.46</v>
          </cell>
          <cell r="I276">
            <v>41.94</v>
          </cell>
          <cell r="J276">
            <v>38.56</v>
          </cell>
          <cell r="L276">
            <v>41051</v>
          </cell>
          <cell r="M276">
            <v>38.229333333333322</v>
          </cell>
          <cell r="N276">
            <v>32.265333333333338</v>
          </cell>
          <cell r="O276">
            <v>38.998333333333321</v>
          </cell>
          <cell r="P276">
            <v>43.035333333333334</v>
          </cell>
          <cell r="Q276">
            <v>45.355333333333334</v>
          </cell>
          <cell r="R276">
            <v>29.70366666666666</v>
          </cell>
          <cell r="S276">
            <v>48.087333333333312</v>
          </cell>
          <cell r="T276">
            <v>41.909666666666659</v>
          </cell>
          <cell r="U276">
            <v>39.095000000000006</v>
          </cell>
        </row>
        <row r="277">
          <cell r="A277">
            <v>41050</v>
          </cell>
          <cell r="B277">
            <v>36.9</v>
          </cell>
          <cell r="C277">
            <v>32.74</v>
          </cell>
          <cell r="D277">
            <v>38.43</v>
          </cell>
          <cell r="E277">
            <v>42.74</v>
          </cell>
          <cell r="F277">
            <v>46.12</v>
          </cell>
          <cell r="G277">
            <v>29.57</v>
          </cell>
          <cell r="H277">
            <v>47.51</v>
          </cell>
          <cell r="I277">
            <v>41.88</v>
          </cell>
          <cell r="J277">
            <v>38.549999999999997</v>
          </cell>
          <cell r="L277">
            <v>41050</v>
          </cell>
          <cell r="M277">
            <v>38.25633333333333</v>
          </cell>
          <cell r="N277">
            <v>32.198333333333338</v>
          </cell>
          <cell r="O277">
            <v>39.010666666666658</v>
          </cell>
          <cell r="P277">
            <v>43.029333333333327</v>
          </cell>
          <cell r="Q277">
            <v>45.297666666666672</v>
          </cell>
          <cell r="R277">
            <v>29.708999999999996</v>
          </cell>
          <cell r="S277">
            <v>48.095333333333329</v>
          </cell>
          <cell r="T277">
            <v>41.893666666666654</v>
          </cell>
          <cell r="U277">
            <v>39.109666666666676</v>
          </cell>
        </row>
        <row r="278">
          <cell r="A278">
            <v>41047</v>
          </cell>
          <cell r="B278">
            <v>36.85</v>
          </cell>
          <cell r="C278">
            <v>32.68</v>
          </cell>
          <cell r="D278">
            <v>38.53</v>
          </cell>
          <cell r="E278">
            <v>42.9</v>
          </cell>
          <cell r="F278">
            <v>45.61</v>
          </cell>
          <cell r="G278">
            <v>29.44</v>
          </cell>
          <cell r="H278">
            <v>47.34</v>
          </cell>
          <cell r="I278">
            <v>41.74</v>
          </cell>
          <cell r="J278">
            <v>38.15</v>
          </cell>
          <cell r="L278">
            <v>41047</v>
          </cell>
          <cell r="M278">
            <v>38.303666666666658</v>
          </cell>
          <cell r="N278">
            <v>32.146000000000001</v>
          </cell>
          <cell r="O278">
            <v>39.015666666666654</v>
          </cell>
          <cell r="P278">
            <v>43.038666666666664</v>
          </cell>
          <cell r="Q278">
            <v>45.253666666666668</v>
          </cell>
          <cell r="R278">
            <v>29.731666666666662</v>
          </cell>
          <cell r="S278">
            <v>48.121999999999993</v>
          </cell>
          <cell r="T278">
            <v>41.897999999999996</v>
          </cell>
          <cell r="U278">
            <v>39.14200000000001</v>
          </cell>
        </row>
        <row r="279">
          <cell r="A279">
            <v>41046</v>
          </cell>
          <cell r="B279">
            <v>36.94</v>
          </cell>
          <cell r="C279">
            <v>33.119999999999997</v>
          </cell>
          <cell r="D279">
            <v>38.54</v>
          </cell>
          <cell r="E279">
            <v>43.49</v>
          </cell>
          <cell r="F279">
            <v>45.61</v>
          </cell>
          <cell r="G279">
            <v>29.55</v>
          </cell>
          <cell r="H279">
            <v>47.53</v>
          </cell>
          <cell r="I279">
            <v>42.08</v>
          </cell>
          <cell r="J279">
            <v>38.11</v>
          </cell>
          <cell r="L279">
            <v>41046</v>
          </cell>
          <cell r="M279">
            <v>38.367666666666658</v>
          </cell>
          <cell r="N279">
            <v>32.104666666666667</v>
          </cell>
          <cell r="O279">
            <v>39.031666666666652</v>
          </cell>
          <cell r="P279">
            <v>43.066666666666656</v>
          </cell>
          <cell r="Q279">
            <v>45.240333333333332</v>
          </cell>
          <cell r="R279">
            <v>29.77666666666666</v>
          </cell>
          <cell r="S279">
            <v>48.17833333333332</v>
          </cell>
          <cell r="T279">
            <v>41.923999999999992</v>
          </cell>
          <cell r="U279">
            <v>39.205999999999996</v>
          </cell>
        </row>
        <row r="280">
          <cell r="A280">
            <v>41045</v>
          </cell>
          <cell r="B280">
            <v>37.64</v>
          </cell>
          <cell r="C280">
            <v>32.85</v>
          </cell>
          <cell r="D280">
            <v>38.799999999999997</v>
          </cell>
          <cell r="E280">
            <v>43.9</v>
          </cell>
          <cell r="F280">
            <v>45.93</v>
          </cell>
          <cell r="G280">
            <v>29.83</v>
          </cell>
          <cell r="H280">
            <v>47.65</v>
          </cell>
          <cell r="I280">
            <v>42.36</v>
          </cell>
          <cell r="J280">
            <v>38.479999999999997</v>
          </cell>
          <cell r="L280">
            <v>41045</v>
          </cell>
          <cell r="M280">
            <v>38.437999999999988</v>
          </cell>
          <cell r="N280">
            <v>32.058</v>
          </cell>
          <cell r="O280">
            <v>39.053666666666658</v>
          </cell>
          <cell r="P280">
            <v>43.087333333333319</v>
          </cell>
          <cell r="Q280">
            <v>45.237666666666662</v>
          </cell>
          <cell r="R280">
            <v>29.825666666666663</v>
          </cell>
          <cell r="S280">
            <v>48.245999999999988</v>
          </cell>
          <cell r="T280">
            <v>41.944000000000003</v>
          </cell>
          <cell r="U280">
            <v>39.291333333333334</v>
          </cell>
        </row>
        <row r="281">
          <cell r="A281">
            <v>41044</v>
          </cell>
          <cell r="B281">
            <v>37.909999999999997</v>
          </cell>
          <cell r="C281">
            <v>32.69</v>
          </cell>
          <cell r="D281">
            <v>38.79</v>
          </cell>
          <cell r="E281">
            <v>43.63</v>
          </cell>
          <cell r="F281">
            <v>45.79</v>
          </cell>
          <cell r="G281">
            <v>29.71</v>
          </cell>
          <cell r="H281">
            <v>47.41</v>
          </cell>
          <cell r="I281">
            <v>42.41</v>
          </cell>
          <cell r="J281">
            <v>38.58</v>
          </cell>
          <cell r="L281">
            <v>41044</v>
          </cell>
          <cell r="M281">
            <v>38.497999999999998</v>
          </cell>
          <cell r="N281">
            <v>32.023000000000003</v>
          </cell>
          <cell r="O281">
            <v>39.087666666666664</v>
          </cell>
          <cell r="P281">
            <v>43.133333333333326</v>
          </cell>
          <cell r="Q281">
            <v>45.236666666666672</v>
          </cell>
          <cell r="R281">
            <v>29.877666666666659</v>
          </cell>
          <cell r="S281">
            <v>48.337999999999994</v>
          </cell>
          <cell r="T281">
            <v>41.975000000000001</v>
          </cell>
          <cell r="U281">
            <v>39.378666666666668</v>
          </cell>
        </row>
        <row r="282">
          <cell r="A282">
            <v>41043</v>
          </cell>
          <cell r="B282">
            <v>38.29</v>
          </cell>
          <cell r="C282">
            <v>32.65</v>
          </cell>
          <cell r="D282">
            <v>38.68</v>
          </cell>
          <cell r="E282">
            <v>43</v>
          </cell>
          <cell r="F282">
            <v>45.6</v>
          </cell>
          <cell r="G282">
            <v>29.51</v>
          </cell>
          <cell r="H282">
            <v>47.3</v>
          </cell>
          <cell r="I282">
            <v>42.42</v>
          </cell>
          <cell r="J282">
            <v>38.69</v>
          </cell>
          <cell r="L282">
            <v>41043</v>
          </cell>
          <cell r="M282">
            <v>38.549333333333337</v>
          </cell>
          <cell r="N282">
            <v>31.983666666666668</v>
          </cell>
          <cell r="O282">
            <v>39.115666666666669</v>
          </cell>
          <cell r="P282">
            <v>43.184666666666658</v>
          </cell>
          <cell r="Q282">
            <v>45.238000000000007</v>
          </cell>
          <cell r="R282">
            <v>29.937999999999995</v>
          </cell>
          <cell r="S282">
            <v>48.44533333333333</v>
          </cell>
          <cell r="T282">
            <v>42.00566666666667</v>
          </cell>
          <cell r="U282">
            <v>39.458666666666666</v>
          </cell>
        </row>
        <row r="283">
          <cell r="A283">
            <v>41040</v>
          </cell>
          <cell r="B283">
            <v>38.57</v>
          </cell>
          <cell r="C283">
            <v>32.89</v>
          </cell>
          <cell r="D283">
            <v>38.86</v>
          </cell>
          <cell r="E283">
            <v>43.52</v>
          </cell>
          <cell r="F283">
            <v>46.08</v>
          </cell>
          <cell r="G283">
            <v>29.88</v>
          </cell>
          <cell r="H283">
            <v>47.89</v>
          </cell>
          <cell r="I283">
            <v>42.66</v>
          </cell>
          <cell r="J283">
            <v>39.35</v>
          </cell>
          <cell r="L283">
            <v>41040</v>
          </cell>
          <cell r="M283">
            <v>38.580333333333336</v>
          </cell>
          <cell r="N283">
            <v>31.944000000000003</v>
          </cell>
          <cell r="O283">
            <v>39.126999999999995</v>
          </cell>
          <cell r="P283">
            <v>43.236999999999995</v>
          </cell>
          <cell r="Q283">
            <v>45.231333333333332</v>
          </cell>
          <cell r="R283">
            <v>29.990000000000002</v>
          </cell>
          <cell r="S283">
            <v>48.536666666666669</v>
          </cell>
          <cell r="T283">
            <v>42.016333333333343</v>
          </cell>
          <cell r="U283">
            <v>39.525666666666673</v>
          </cell>
        </row>
        <row r="284">
          <cell r="A284">
            <v>41039</v>
          </cell>
          <cell r="B284">
            <v>38.64</v>
          </cell>
          <cell r="C284">
            <v>32.840000000000003</v>
          </cell>
          <cell r="D284">
            <v>39.04</v>
          </cell>
          <cell r="E284">
            <v>44</v>
          </cell>
          <cell r="F284">
            <v>46.43</v>
          </cell>
          <cell r="G284">
            <v>29.9</v>
          </cell>
          <cell r="H284">
            <v>48.11</v>
          </cell>
          <cell r="I284">
            <v>43.17</v>
          </cell>
          <cell r="J284">
            <v>39.520000000000003</v>
          </cell>
          <cell r="L284">
            <v>41039</v>
          </cell>
          <cell r="M284">
            <v>38.586333333333329</v>
          </cell>
          <cell r="N284">
            <v>31.887333333333338</v>
          </cell>
          <cell r="O284">
            <v>39.134333333333331</v>
          </cell>
          <cell r="P284">
            <v>43.275666666666666</v>
          </cell>
          <cell r="Q284">
            <v>45.207666666666668</v>
          </cell>
          <cell r="R284">
            <v>30.028999999999996</v>
          </cell>
          <cell r="S284">
            <v>48.612000000000002</v>
          </cell>
          <cell r="T284">
            <v>42.02</v>
          </cell>
          <cell r="U284">
            <v>39.568333333333342</v>
          </cell>
        </row>
        <row r="285">
          <cell r="A285">
            <v>41038</v>
          </cell>
          <cell r="B285">
            <v>38.25</v>
          </cell>
          <cell r="C285">
            <v>32.590000000000003</v>
          </cell>
          <cell r="D285">
            <v>38.950000000000003</v>
          </cell>
          <cell r="E285">
            <v>43.32</v>
          </cell>
          <cell r="F285">
            <v>45.88</v>
          </cell>
          <cell r="G285">
            <v>29.57</v>
          </cell>
          <cell r="H285">
            <v>47.79</v>
          </cell>
          <cell r="I285">
            <v>42.62</v>
          </cell>
          <cell r="J285">
            <v>39.22</v>
          </cell>
          <cell r="L285">
            <v>41038</v>
          </cell>
          <cell r="M285">
            <v>38.597666666666669</v>
          </cell>
          <cell r="N285">
            <v>31.822000000000003</v>
          </cell>
          <cell r="O285">
            <v>39.128999999999998</v>
          </cell>
          <cell r="P285">
            <v>43.298666666666662</v>
          </cell>
          <cell r="Q285">
            <v>45.168333333333329</v>
          </cell>
          <cell r="R285">
            <v>30.068666666666665</v>
          </cell>
          <cell r="S285">
            <v>48.678666666666665</v>
          </cell>
          <cell r="T285">
            <v>42.000666666666667</v>
          </cell>
          <cell r="U285">
            <v>39.602333333333341</v>
          </cell>
        </row>
        <row r="286">
          <cell r="A286">
            <v>41037</v>
          </cell>
          <cell r="B286">
            <v>38.5</v>
          </cell>
          <cell r="C286">
            <v>32.69</v>
          </cell>
          <cell r="D286">
            <v>39.06</v>
          </cell>
          <cell r="E286">
            <v>43.52</v>
          </cell>
          <cell r="F286">
            <v>46.3</v>
          </cell>
          <cell r="G286">
            <v>29.57</v>
          </cell>
          <cell r="H286">
            <v>47.76</v>
          </cell>
          <cell r="I286">
            <v>42.84</v>
          </cell>
          <cell r="J286">
            <v>39.33</v>
          </cell>
          <cell r="L286">
            <v>41037</v>
          </cell>
          <cell r="M286">
            <v>38.632666666666665</v>
          </cell>
          <cell r="N286">
            <v>31.772666666666673</v>
          </cell>
          <cell r="O286">
            <v>39.131999999999998</v>
          </cell>
          <cell r="P286">
            <v>43.356999999999999</v>
          </cell>
          <cell r="Q286">
            <v>45.155999999999992</v>
          </cell>
          <cell r="R286">
            <v>30.125999999999998</v>
          </cell>
          <cell r="S286">
            <v>48.778666666666666</v>
          </cell>
          <cell r="T286">
            <v>42.008666666666656</v>
          </cell>
          <cell r="U286">
            <v>39.655000000000001</v>
          </cell>
        </row>
        <row r="287">
          <cell r="A287">
            <v>41036</v>
          </cell>
          <cell r="B287">
            <v>38.31</v>
          </cell>
          <cell r="C287">
            <v>32.4</v>
          </cell>
          <cell r="D287">
            <v>39.17</v>
          </cell>
          <cell r="E287">
            <v>43.18</v>
          </cell>
          <cell r="F287">
            <v>46.28</v>
          </cell>
          <cell r="G287">
            <v>29.52</v>
          </cell>
          <cell r="H287">
            <v>47.43</v>
          </cell>
          <cell r="I287">
            <v>42.38</v>
          </cell>
          <cell r="J287">
            <v>39.06</v>
          </cell>
          <cell r="L287">
            <v>41036</v>
          </cell>
          <cell r="M287">
            <v>38.646666666666668</v>
          </cell>
          <cell r="N287">
            <v>31.716000000000005</v>
          </cell>
          <cell r="O287">
            <v>39.139000000000003</v>
          </cell>
          <cell r="P287">
            <v>43.410333333333334</v>
          </cell>
          <cell r="Q287">
            <v>45.131999999999998</v>
          </cell>
          <cell r="R287">
            <v>30.188333333333336</v>
          </cell>
          <cell r="S287">
            <v>48.893000000000001</v>
          </cell>
          <cell r="T287">
            <v>42.013666666666659</v>
          </cell>
          <cell r="U287">
            <v>39.704666666666661</v>
          </cell>
        </row>
        <row r="288">
          <cell r="A288">
            <v>41033</v>
          </cell>
          <cell r="B288">
            <v>38.5</v>
          </cell>
          <cell r="C288">
            <v>32.43</v>
          </cell>
          <cell r="D288">
            <v>39.01</v>
          </cell>
          <cell r="E288">
            <v>42.81</v>
          </cell>
          <cell r="F288">
            <v>45.4</v>
          </cell>
          <cell r="G288">
            <v>29.34</v>
          </cell>
          <cell r="H288">
            <v>47.96</v>
          </cell>
          <cell r="I288">
            <v>41.45</v>
          </cell>
          <cell r="J288">
            <v>38.840000000000003</v>
          </cell>
          <cell r="L288">
            <v>41033</v>
          </cell>
          <cell r="M288">
            <v>38.661666666666669</v>
          </cell>
          <cell r="N288">
            <v>31.662666666666667</v>
          </cell>
          <cell r="O288">
            <v>39.133333333333333</v>
          </cell>
          <cell r="P288">
            <v>43.457666666666661</v>
          </cell>
          <cell r="Q288">
            <v>45.096000000000004</v>
          </cell>
          <cell r="R288">
            <v>30.243333333333336</v>
          </cell>
          <cell r="S288">
            <v>49.00233333333334</v>
          </cell>
          <cell r="T288">
            <v>42.014000000000003</v>
          </cell>
          <cell r="U288">
            <v>39.746999999999993</v>
          </cell>
        </row>
        <row r="289">
          <cell r="A289">
            <v>41032</v>
          </cell>
          <cell r="B289">
            <v>38.549999999999997</v>
          </cell>
          <cell r="C289">
            <v>32.74</v>
          </cell>
          <cell r="D289">
            <v>39.14</v>
          </cell>
          <cell r="E289">
            <v>43.22</v>
          </cell>
          <cell r="F289">
            <v>45.31</v>
          </cell>
          <cell r="G289">
            <v>29.61</v>
          </cell>
          <cell r="H289">
            <v>48.44</v>
          </cell>
          <cell r="I289">
            <v>41.63</v>
          </cell>
          <cell r="J289">
            <v>39.18</v>
          </cell>
          <cell r="L289">
            <v>41032</v>
          </cell>
          <cell r="M289">
            <v>38.664999999999999</v>
          </cell>
          <cell r="N289">
            <v>31.601999999999997</v>
          </cell>
          <cell r="O289">
            <v>39.125</v>
          </cell>
          <cell r="P289">
            <v>43.505999999999993</v>
          </cell>
          <cell r="Q289">
            <v>45.07866666666667</v>
          </cell>
          <cell r="R289">
            <v>30.300333333333334</v>
          </cell>
          <cell r="S289">
            <v>49.08433333333334</v>
          </cell>
          <cell r="T289">
            <v>42.040666666666667</v>
          </cell>
          <cell r="U289">
            <v>39.791000000000004</v>
          </cell>
        </row>
        <row r="290">
          <cell r="A290">
            <v>41031</v>
          </cell>
          <cell r="B290">
            <v>38.799999999999997</v>
          </cell>
          <cell r="C290">
            <v>32.54</v>
          </cell>
          <cell r="D290">
            <v>39.39</v>
          </cell>
          <cell r="E290">
            <v>43.15</v>
          </cell>
          <cell r="F290">
            <v>45.71</v>
          </cell>
          <cell r="G290">
            <v>29.84</v>
          </cell>
          <cell r="H290">
            <v>48.69</v>
          </cell>
          <cell r="I290">
            <v>41.97</v>
          </cell>
          <cell r="J290">
            <v>39.700000000000003</v>
          </cell>
          <cell r="L290">
            <v>41031</v>
          </cell>
          <cell r="M290">
            <v>38.682000000000002</v>
          </cell>
          <cell r="N290">
            <v>31.530666666666672</v>
          </cell>
          <cell r="O290">
            <v>39.12133333333334</v>
          </cell>
          <cell r="P290">
            <v>43.54066666666666</v>
          </cell>
          <cell r="Q290">
            <v>45.063333333333325</v>
          </cell>
          <cell r="R290">
            <v>30.351666666666663</v>
          </cell>
          <cell r="S290">
            <v>49.16</v>
          </cell>
          <cell r="T290">
            <v>42.066333333333333</v>
          </cell>
          <cell r="U290">
            <v>39.828999999999994</v>
          </cell>
        </row>
        <row r="291">
          <cell r="A291">
            <v>41030</v>
          </cell>
          <cell r="B291">
            <v>39.369999999999997</v>
          </cell>
          <cell r="C291">
            <v>32.840000000000003</v>
          </cell>
          <cell r="D291">
            <v>39.58</v>
          </cell>
          <cell r="E291">
            <v>43.41</v>
          </cell>
          <cell r="F291">
            <v>45.68</v>
          </cell>
          <cell r="G291">
            <v>30.2</v>
          </cell>
          <cell r="H291">
            <v>49.24</v>
          </cell>
          <cell r="I291">
            <v>42.29</v>
          </cell>
          <cell r="J291">
            <v>40.14</v>
          </cell>
          <cell r="L291">
            <v>41030</v>
          </cell>
          <cell r="M291">
            <v>38.686999999999998</v>
          </cell>
          <cell r="N291">
            <v>31.467000000000002</v>
          </cell>
          <cell r="O291">
            <v>39.122333333333337</v>
          </cell>
          <cell r="P291">
            <v>43.582333333333324</v>
          </cell>
          <cell r="Q291">
            <v>45.036333333333339</v>
          </cell>
          <cell r="R291">
            <v>30.405666666666665</v>
          </cell>
          <cell r="S291">
            <v>49.229000000000006</v>
          </cell>
          <cell r="T291">
            <v>42.087333333333341</v>
          </cell>
          <cell r="U291">
            <v>39.852333333333334</v>
          </cell>
        </row>
        <row r="292">
          <cell r="A292">
            <v>41029</v>
          </cell>
          <cell r="B292">
            <v>39.43</v>
          </cell>
          <cell r="C292">
            <v>32.58</v>
          </cell>
          <cell r="D292">
            <v>39.380000000000003</v>
          </cell>
          <cell r="E292">
            <v>43.24</v>
          </cell>
          <cell r="F292">
            <v>45.7</v>
          </cell>
          <cell r="G292">
            <v>30.48</v>
          </cell>
          <cell r="H292">
            <v>49.25</v>
          </cell>
          <cell r="I292">
            <v>42.02</v>
          </cell>
          <cell r="J292">
            <v>40.11</v>
          </cell>
          <cell r="L292">
            <v>41029</v>
          </cell>
          <cell r="M292">
            <v>38.664333333333339</v>
          </cell>
          <cell r="N292">
            <v>31.398333333333337</v>
          </cell>
          <cell r="O292">
            <v>39.131666666666668</v>
          </cell>
          <cell r="P292">
            <v>43.619333333333323</v>
          </cell>
          <cell r="Q292">
            <v>45.024333333333331</v>
          </cell>
          <cell r="R292">
            <v>30.454000000000001</v>
          </cell>
          <cell r="S292">
            <v>49.283333333333324</v>
          </cell>
          <cell r="T292">
            <v>42.106000000000002</v>
          </cell>
          <cell r="U292">
            <v>39.863333333333337</v>
          </cell>
        </row>
        <row r="293">
          <cell r="A293">
            <v>41026</v>
          </cell>
          <cell r="B293">
            <v>39.25</v>
          </cell>
          <cell r="C293">
            <v>32.409999999999997</v>
          </cell>
          <cell r="D293">
            <v>39.54</v>
          </cell>
          <cell r="E293">
            <v>43.03</v>
          </cell>
          <cell r="F293">
            <v>45.6</v>
          </cell>
          <cell r="G293">
            <v>30.28</v>
          </cell>
          <cell r="H293">
            <v>49.02</v>
          </cell>
          <cell r="I293">
            <v>42</v>
          </cell>
          <cell r="J293">
            <v>39.619999999999997</v>
          </cell>
          <cell r="L293">
            <v>41026</v>
          </cell>
          <cell r="M293">
            <v>38.652000000000001</v>
          </cell>
          <cell r="N293">
            <v>31.336000000000002</v>
          </cell>
          <cell r="O293">
            <v>39.144666666666673</v>
          </cell>
          <cell r="P293">
            <v>43.663333333333327</v>
          </cell>
          <cell r="Q293">
            <v>45.012666666666661</v>
          </cell>
          <cell r="R293">
            <v>30.489333333333331</v>
          </cell>
          <cell r="S293">
            <v>49.340333333333326</v>
          </cell>
          <cell r="T293">
            <v>42.135666666666665</v>
          </cell>
          <cell r="U293">
            <v>39.874000000000009</v>
          </cell>
        </row>
        <row r="294">
          <cell r="A294">
            <v>41025</v>
          </cell>
          <cell r="B294">
            <v>38.9</v>
          </cell>
          <cell r="C294">
            <v>32.29</v>
          </cell>
          <cell r="D294">
            <v>39.49</v>
          </cell>
          <cell r="E294">
            <v>43.02</v>
          </cell>
          <cell r="F294">
            <v>45.16</v>
          </cell>
          <cell r="G294">
            <v>30.07</v>
          </cell>
          <cell r="H294">
            <v>48.91</v>
          </cell>
          <cell r="I294">
            <v>41.79</v>
          </cell>
          <cell r="J294">
            <v>39.380000000000003</v>
          </cell>
          <cell r="L294">
            <v>41025</v>
          </cell>
          <cell r="M294">
            <v>38.656333333333336</v>
          </cell>
          <cell r="N294">
            <v>31.283000000000005</v>
          </cell>
          <cell r="O294">
            <v>39.164666666666669</v>
          </cell>
          <cell r="P294">
            <v>43.716333333333324</v>
          </cell>
          <cell r="Q294">
            <v>45.016666666666666</v>
          </cell>
          <cell r="R294">
            <v>30.537333333333333</v>
          </cell>
          <cell r="S294">
            <v>49.406999999999996</v>
          </cell>
          <cell r="T294">
            <v>42.169333333333334</v>
          </cell>
          <cell r="U294">
            <v>39.912000000000006</v>
          </cell>
        </row>
        <row r="295">
          <cell r="A295">
            <v>41024</v>
          </cell>
          <cell r="B295">
            <v>38.93</v>
          </cell>
          <cell r="C295">
            <v>32.22</v>
          </cell>
          <cell r="D295">
            <v>39.69</v>
          </cell>
          <cell r="E295">
            <v>42.99</v>
          </cell>
          <cell r="F295">
            <v>45.34</v>
          </cell>
          <cell r="G295">
            <v>30.06</v>
          </cell>
          <cell r="H295">
            <v>48.89</v>
          </cell>
          <cell r="I295">
            <v>41.8</v>
          </cell>
          <cell r="J295">
            <v>39.5</v>
          </cell>
          <cell r="L295">
            <v>41024</v>
          </cell>
          <cell r="M295">
            <v>38.683000000000007</v>
          </cell>
          <cell r="N295">
            <v>31.243666666666677</v>
          </cell>
          <cell r="O295">
            <v>39.192666666666668</v>
          </cell>
          <cell r="P295">
            <v>43.769666666666666</v>
          </cell>
          <cell r="Q295">
            <v>45.041666666666664</v>
          </cell>
          <cell r="R295">
            <v>30.593666666666664</v>
          </cell>
          <cell r="S295">
            <v>49.480666666666664</v>
          </cell>
          <cell r="T295">
            <v>42.209333333333333</v>
          </cell>
          <cell r="U295">
            <v>39.968000000000004</v>
          </cell>
        </row>
        <row r="296">
          <cell r="A296">
            <v>41023</v>
          </cell>
          <cell r="B296">
            <v>38.299999999999997</v>
          </cell>
          <cell r="C296">
            <v>31.99</v>
          </cell>
          <cell r="D296">
            <v>39.49</v>
          </cell>
          <cell r="E296">
            <v>42.79</v>
          </cell>
          <cell r="F296">
            <v>44.96</v>
          </cell>
          <cell r="G296">
            <v>29.73</v>
          </cell>
          <cell r="H296">
            <v>48.41</v>
          </cell>
          <cell r="I296">
            <v>41.5</v>
          </cell>
          <cell r="J296">
            <v>39.22</v>
          </cell>
          <cell r="L296">
            <v>41023</v>
          </cell>
          <cell r="M296">
            <v>38.719000000000008</v>
          </cell>
          <cell r="N296">
            <v>31.218333333333341</v>
          </cell>
          <cell r="O296">
            <v>39.24666666666667</v>
          </cell>
          <cell r="P296">
            <v>43.835333333333331</v>
          </cell>
          <cell r="Q296">
            <v>45.077000000000005</v>
          </cell>
          <cell r="R296">
            <v>30.672999999999995</v>
          </cell>
          <cell r="S296">
            <v>49.583666666666659</v>
          </cell>
          <cell r="T296">
            <v>42.269999999999996</v>
          </cell>
          <cell r="U296">
            <v>40.043666666666667</v>
          </cell>
        </row>
        <row r="297">
          <cell r="A297">
            <v>41022</v>
          </cell>
          <cell r="B297">
            <v>37.950000000000003</v>
          </cell>
          <cell r="C297">
            <v>31.72</v>
          </cell>
          <cell r="D297">
            <v>38.76</v>
          </cell>
          <cell r="E297">
            <v>42.71</v>
          </cell>
          <cell r="F297">
            <v>44.23</v>
          </cell>
          <cell r="G297">
            <v>29.37</v>
          </cell>
          <cell r="H297">
            <v>47.74</v>
          </cell>
          <cell r="I297">
            <v>41.22</v>
          </cell>
          <cell r="J297">
            <v>38.869999999999997</v>
          </cell>
          <cell r="L297">
            <v>41022</v>
          </cell>
          <cell r="M297">
            <v>38.76400000000001</v>
          </cell>
          <cell r="N297">
            <v>31.192000000000007</v>
          </cell>
          <cell r="O297">
            <v>39.294999999999995</v>
          </cell>
          <cell r="P297">
            <v>43.932666666666663</v>
          </cell>
          <cell r="Q297">
            <v>45.115666666666669</v>
          </cell>
          <cell r="R297">
            <v>30.754666666666658</v>
          </cell>
          <cell r="S297">
            <v>49.695999999999998</v>
          </cell>
          <cell r="T297">
            <v>42.327333333333328</v>
          </cell>
          <cell r="U297">
            <v>40.119</v>
          </cell>
        </row>
        <row r="298">
          <cell r="A298">
            <v>41019</v>
          </cell>
          <cell r="B298">
            <v>38.31</v>
          </cell>
          <cell r="C298">
            <v>32</v>
          </cell>
          <cell r="D298">
            <v>39.19</v>
          </cell>
          <cell r="E298">
            <v>43.45</v>
          </cell>
          <cell r="F298">
            <v>44.8</v>
          </cell>
          <cell r="G298">
            <v>29.79</v>
          </cell>
          <cell r="H298">
            <v>48.54</v>
          </cell>
          <cell r="I298">
            <v>41.55</v>
          </cell>
          <cell r="J298">
            <v>39.31</v>
          </cell>
          <cell r="L298">
            <v>41019</v>
          </cell>
          <cell r="M298">
            <v>38.811666666666675</v>
          </cell>
          <cell r="N298">
            <v>31.171000000000006</v>
          </cell>
          <cell r="O298">
            <v>39.368000000000002</v>
          </cell>
          <cell r="P298">
            <v>44.027666666666654</v>
          </cell>
          <cell r="Q298">
            <v>45.173666666666669</v>
          </cell>
          <cell r="R298">
            <v>30.852999999999998</v>
          </cell>
          <cell r="S298">
            <v>49.824333333333328</v>
          </cell>
          <cell r="T298">
            <v>42.392000000000003</v>
          </cell>
          <cell r="U298">
            <v>40.195333333333338</v>
          </cell>
        </row>
        <row r="299">
          <cell r="A299">
            <v>41018</v>
          </cell>
          <cell r="B299">
            <v>37.97</v>
          </cell>
          <cell r="C299">
            <v>31.52</v>
          </cell>
          <cell r="D299">
            <v>38.67</v>
          </cell>
          <cell r="E299">
            <v>42.3</v>
          </cell>
          <cell r="F299">
            <v>44.22</v>
          </cell>
          <cell r="G299">
            <v>29.3</v>
          </cell>
          <cell r="H299">
            <v>47.83</v>
          </cell>
          <cell r="I299">
            <v>41.07</v>
          </cell>
          <cell r="J299">
            <v>38.770000000000003</v>
          </cell>
          <cell r="L299">
            <v>41018</v>
          </cell>
          <cell r="M299">
            <v>38.845000000000006</v>
          </cell>
          <cell r="N299">
            <v>31.135000000000002</v>
          </cell>
          <cell r="O299">
            <v>39.414999999999992</v>
          </cell>
          <cell r="P299">
            <v>44.102999999999987</v>
          </cell>
          <cell r="Q299">
            <v>45.205333333333336</v>
          </cell>
          <cell r="R299">
            <v>30.940333333333331</v>
          </cell>
          <cell r="S299">
            <v>49.917333333333318</v>
          </cell>
          <cell r="T299">
            <v>42.434666666666665</v>
          </cell>
          <cell r="U299">
            <v>40.242000000000004</v>
          </cell>
        </row>
        <row r="300">
          <cell r="A300">
            <v>41017</v>
          </cell>
          <cell r="B300">
            <v>38.049999999999997</v>
          </cell>
          <cell r="C300">
            <v>31.41</v>
          </cell>
          <cell r="D300">
            <v>38.9</v>
          </cell>
          <cell r="E300">
            <v>42.5</v>
          </cell>
          <cell r="F300">
            <v>44.47</v>
          </cell>
          <cell r="G300">
            <v>29.52</v>
          </cell>
          <cell r="H300">
            <v>48.37</v>
          </cell>
          <cell r="I300">
            <v>41.36</v>
          </cell>
          <cell r="J300">
            <v>39.090000000000003</v>
          </cell>
          <cell r="L300">
            <v>41017</v>
          </cell>
          <cell r="M300">
            <v>38.89266666666667</v>
          </cell>
          <cell r="N300">
            <v>31.109000000000002</v>
          </cell>
          <cell r="O300">
            <v>39.48533333333333</v>
          </cell>
          <cell r="P300">
            <v>44.217333333333322</v>
          </cell>
          <cell r="Q300">
            <v>45.25</v>
          </cell>
          <cell r="R300">
            <v>31.041999999999991</v>
          </cell>
          <cell r="S300">
            <v>50.030666666666654</v>
          </cell>
          <cell r="T300">
            <v>42.488999999999997</v>
          </cell>
          <cell r="U300">
            <v>40.299666666666674</v>
          </cell>
        </row>
        <row r="301">
          <cell r="A301">
            <v>41016</v>
          </cell>
          <cell r="B301">
            <v>38.42</v>
          </cell>
          <cell r="C301">
            <v>31.68</v>
          </cell>
          <cell r="D301">
            <v>39.31</v>
          </cell>
          <cell r="E301">
            <v>42.93</v>
          </cell>
          <cell r="F301">
            <v>44.92</v>
          </cell>
          <cell r="G301">
            <v>29.87</v>
          </cell>
          <cell r="H301">
            <v>48.71</v>
          </cell>
          <cell r="I301">
            <v>41.96</v>
          </cell>
          <cell r="J301">
            <v>39.53</v>
          </cell>
          <cell r="L301">
            <v>41016</v>
          </cell>
          <cell r="M301">
            <v>38.94133333333334</v>
          </cell>
          <cell r="N301">
            <v>31.087000000000007</v>
          </cell>
          <cell r="O301">
            <v>39.546999999999997</v>
          </cell>
          <cell r="P301">
            <v>44.327999999999996</v>
          </cell>
          <cell r="Q301">
            <v>45.287333333333336</v>
          </cell>
          <cell r="R301">
            <v>31.132999999999992</v>
          </cell>
          <cell r="S301">
            <v>50.138999999999989</v>
          </cell>
          <cell r="T301">
            <v>42.533000000000008</v>
          </cell>
          <cell r="U301">
            <v>40.341999999999999</v>
          </cell>
        </row>
        <row r="302">
          <cell r="A302">
            <v>41015</v>
          </cell>
          <cell r="B302">
            <v>38.159999999999997</v>
          </cell>
          <cell r="C302">
            <v>31.45</v>
          </cell>
          <cell r="D302">
            <v>39.1</v>
          </cell>
          <cell r="E302">
            <v>42.7</v>
          </cell>
          <cell r="F302">
            <v>44.55</v>
          </cell>
          <cell r="G302">
            <v>29.56</v>
          </cell>
          <cell r="H302">
            <v>48.02</v>
          </cell>
          <cell r="I302">
            <v>41.32</v>
          </cell>
          <cell r="J302">
            <v>39.17</v>
          </cell>
          <cell r="L302">
            <v>41015</v>
          </cell>
          <cell r="M302">
            <v>38.986666666666672</v>
          </cell>
          <cell r="N302">
            <v>31.072000000000006</v>
          </cell>
          <cell r="O302">
            <v>39.610999999999997</v>
          </cell>
          <cell r="P302">
            <v>44.441333333333326</v>
          </cell>
          <cell r="Q302">
            <v>45.326333333333331</v>
          </cell>
          <cell r="R302">
            <v>31.220999999999997</v>
          </cell>
          <cell r="S302">
            <v>50.246666666666655</v>
          </cell>
          <cell r="T302">
            <v>42.570666666666668</v>
          </cell>
          <cell r="U302">
            <v>40.384666666666668</v>
          </cell>
        </row>
        <row r="303">
          <cell r="A303">
            <v>41012</v>
          </cell>
          <cell r="B303">
            <v>37.840000000000003</v>
          </cell>
          <cell r="C303">
            <v>30.95</v>
          </cell>
          <cell r="D303">
            <v>38.61</v>
          </cell>
          <cell r="E303">
            <v>42.21</v>
          </cell>
          <cell r="F303">
            <v>44.06</v>
          </cell>
          <cell r="G303">
            <v>29.36</v>
          </cell>
          <cell r="H303">
            <v>47.62</v>
          </cell>
          <cell r="I303">
            <v>41.12</v>
          </cell>
          <cell r="J303">
            <v>38.71</v>
          </cell>
          <cell r="L303">
            <v>41012</v>
          </cell>
          <cell r="M303">
            <v>39.030333333333346</v>
          </cell>
          <cell r="N303">
            <v>31.055333333333344</v>
          </cell>
          <cell r="O303">
            <v>39.652666666666661</v>
          </cell>
          <cell r="P303">
            <v>44.552</v>
          </cell>
          <cell r="Q303">
            <v>45.354333333333329</v>
          </cell>
          <cell r="R303">
            <v>31.292999999999999</v>
          </cell>
          <cell r="S303">
            <v>50.349333333333327</v>
          </cell>
          <cell r="T303">
            <v>42.610999999999997</v>
          </cell>
          <cell r="U303">
            <v>40.420666666666662</v>
          </cell>
        </row>
        <row r="304">
          <cell r="A304">
            <v>41011</v>
          </cell>
          <cell r="B304">
            <v>38.200000000000003</v>
          </cell>
          <cell r="C304">
            <v>31.12</v>
          </cell>
          <cell r="D304">
            <v>38.81</v>
          </cell>
          <cell r="E304">
            <v>42.56</v>
          </cell>
          <cell r="F304">
            <v>44.58</v>
          </cell>
          <cell r="G304">
            <v>29.53</v>
          </cell>
          <cell r="H304">
            <v>48.03</v>
          </cell>
          <cell r="I304">
            <v>41.42</v>
          </cell>
          <cell r="J304">
            <v>39.130000000000003</v>
          </cell>
          <cell r="L304">
            <v>41011</v>
          </cell>
          <cell r="M304">
            <v>39.091000000000008</v>
          </cell>
          <cell r="N304">
            <v>31.058333333333341</v>
          </cell>
          <cell r="O304">
            <v>39.725666666666669</v>
          </cell>
          <cell r="P304">
            <v>44.691000000000003</v>
          </cell>
          <cell r="Q304">
            <v>45.395999999999994</v>
          </cell>
          <cell r="R304">
            <v>31.377333333333336</v>
          </cell>
          <cell r="S304">
            <v>50.479999999999983</v>
          </cell>
          <cell r="T304">
            <v>42.659333333333329</v>
          </cell>
          <cell r="U304">
            <v>40.478666666666669</v>
          </cell>
        </row>
        <row r="305">
          <cell r="A305">
            <v>41010</v>
          </cell>
          <cell r="B305">
            <v>37.94</v>
          </cell>
          <cell r="C305">
            <v>30.91</v>
          </cell>
          <cell r="D305">
            <v>38.81</v>
          </cell>
          <cell r="E305">
            <v>42.37</v>
          </cell>
          <cell r="F305">
            <v>44.47</v>
          </cell>
          <cell r="G305">
            <v>29.61</v>
          </cell>
          <cell r="H305">
            <v>47.77</v>
          </cell>
          <cell r="I305">
            <v>41.32</v>
          </cell>
          <cell r="J305">
            <v>38.979999999999997</v>
          </cell>
          <cell r="L305">
            <v>41010</v>
          </cell>
          <cell r="M305">
            <v>39.146666666666675</v>
          </cell>
          <cell r="N305">
            <v>31.045333333333346</v>
          </cell>
          <cell r="O305">
            <v>39.801666666666655</v>
          </cell>
          <cell r="P305">
            <v>44.82866666666667</v>
          </cell>
          <cell r="Q305">
            <v>45.435666666666663</v>
          </cell>
          <cell r="R305">
            <v>31.472999999999995</v>
          </cell>
          <cell r="S305">
            <v>50.612333333333325</v>
          </cell>
          <cell r="T305">
            <v>42.700333333333333</v>
          </cell>
          <cell r="U305">
            <v>40.535333333333334</v>
          </cell>
        </row>
        <row r="306">
          <cell r="A306">
            <v>41009</v>
          </cell>
          <cell r="B306">
            <v>38.020000000000003</v>
          </cell>
          <cell r="C306">
            <v>31.01</v>
          </cell>
          <cell r="D306">
            <v>38.6</v>
          </cell>
          <cell r="E306">
            <v>42.29</v>
          </cell>
          <cell r="F306">
            <v>44.14</v>
          </cell>
          <cell r="G306">
            <v>29.7</v>
          </cell>
          <cell r="H306">
            <v>47.7</v>
          </cell>
          <cell r="I306">
            <v>41.46</v>
          </cell>
          <cell r="J306">
            <v>39</v>
          </cell>
          <cell r="L306">
            <v>41009</v>
          </cell>
          <cell r="M306">
            <v>39.205333333333336</v>
          </cell>
          <cell r="N306">
            <v>31.044666666666675</v>
          </cell>
          <cell r="O306">
            <v>39.882999999999996</v>
          </cell>
          <cell r="P306">
            <v>44.980000000000004</v>
          </cell>
          <cell r="Q306">
            <v>45.503999999999998</v>
          </cell>
          <cell r="R306">
            <v>31.571666666666665</v>
          </cell>
          <cell r="S306">
            <v>50.776333333333334</v>
          </cell>
          <cell r="T306">
            <v>42.733333333333334</v>
          </cell>
          <cell r="U306">
            <v>40.591999999999999</v>
          </cell>
        </row>
        <row r="307">
          <cell r="A307">
            <v>41008</v>
          </cell>
          <cell r="B307">
            <v>38.32</v>
          </cell>
          <cell r="C307">
            <v>31.17</v>
          </cell>
          <cell r="D307">
            <v>38.58</v>
          </cell>
          <cell r="E307">
            <v>43.02</v>
          </cell>
          <cell r="F307">
            <v>44.8</v>
          </cell>
          <cell r="G307">
            <v>30.25</v>
          </cell>
          <cell r="H307">
            <v>48.31</v>
          </cell>
          <cell r="I307">
            <v>42.01</v>
          </cell>
          <cell r="J307">
            <v>39.520000000000003</v>
          </cell>
          <cell r="L307">
            <v>41008</v>
          </cell>
          <cell r="M307">
            <v>39.278333333333329</v>
          </cell>
          <cell r="N307">
            <v>31.057000000000006</v>
          </cell>
          <cell r="O307">
            <v>39.991333333333337</v>
          </cell>
          <cell r="P307">
            <v>45.143666666666675</v>
          </cell>
          <cell r="Q307">
            <v>45.628333333333323</v>
          </cell>
          <cell r="R307">
            <v>31.673666666666666</v>
          </cell>
          <cell r="S307">
            <v>50.984666666666662</v>
          </cell>
          <cell r="T307">
            <v>42.767333333333333</v>
          </cell>
          <cell r="U307">
            <v>40.668333333333329</v>
          </cell>
        </row>
        <row r="308">
          <cell r="A308">
            <v>41004</v>
          </cell>
          <cell r="B308">
            <v>38.770000000000003</v>
          </cell>
          <cell r="C308">
            <v>31.44</v>
          </cell>
          <cell r="D308">
            <v>39.01</v>
          </cell>
          <cell r="E308">
            <v>43.74</v>
          </cell>
          <cell r="F308">
            <v>45.21</v>
          </cell>
          <cell r="G308">
            <v>30.79</v>
          </cell>
          <cell r="H308">
            <v>49.03</v>
          </cell>
          <cell r="I308">
            <v>42.52</v>
          </cell>
          <cell r="J308">
            <v>40.07</v>
          </cell>
          <cell r="L308">
            <v>41004</v>
          </cell>
          <cell r="M308">
            <v>39.346666666666664</v>
          </cell>
          <cell r="N308">
            <v>31.074000000000005</v>
          </cell>
          <cell r="O308">
            <v>40.100666666666662</v>
          </cell>
          <cell r="P308">
            <v>45.300000000000004</v>
          </cell>
          <cell r="Q308">
            <v>45.742999999999988</v>
          </cell>
          <cell r="R308">
            <v>31.777666666666665</v>
          </cell>
          <cell r="S308">
            <v>51.185333333333332</v>
          </cell>
          <cell r="T308">
            <v>42.789000000000001</v>
          </cell>
          <cell r="U308">
            <v>40.741</v>
          </cell>
        </row>
        <row r="309">
          <cell r="A309">
            <v>41003</v>
          </cell>
          <cell r="B309">
            <v>39.049999999999997</v>
          </cell>
          <cell r="C309">
            <v>31.72</v>
          </cell>
          <cell r="D309">
            <v>39.200000000000003</v>
          </cell>
          <cell r="E309">
            <v>44.11</v>
          </cell>
          <cell r="F309">
            <v>45.53</v>
          </cell>
          <cell r="G309">
            <v>31.02</v>
          </cell>
          <cell r="H309">
            <v>49.56</v>
          </cell>
          <cell r="I309">
            <v>42.68</v>
          </cell>
          <cell r="J309">
            <v>40.67</v>
          </cell>
          <cell r="L309">
            <v>41003</v>
          </cell>
          <cell r="M309">
            <v>39.420333333333332</v>
          </cell>
          <cell r="N309">
            <v>31.094333333333335</v>
          </cell>
          <cell r="O309">
            <v>40.207333333333331</v>
          </cell>
          <cell r="P309">
            <v>45.434333333333349</v>
          </cell>
          <cell r="Q309">
            <v>45.859000000000002</v>
          </cell>
          <cell r="R309">
            <v>31.876666666666665</v>
          </cell>
          <cell r="S309">
            <v>51.371666666666663</v>
          </cell>
          <cell r="T309">
            <v>42.801666666666669</v>
          </cell>
          <cell r="U309">
            <v>40.807333333333325</v>
          </cell>
        </row>
        <row r="310">
          <cell r="A310">
            <v>41002</v>
          </cell>
          <cell r="B310">
            <v>39.44</v>
          </cell>
          <cell r="C310">
            <v>31.8</v>
          </cell>
          <cell r="D310">
            <v>39.82</v>
          </cell>
          <cell r="E310">
            <v>45.28</v>
          </cell>
          <cell r="F310">
            <v>45.9</v>
          </cell>
          <cell r="G310">
            <v>31.39</v>
          </cell>
          <cell r="H310">
            <v>50.41</v>
          </cell>
          <cell r="I310">
            <v>43.29</v>
          </cell>
          <cell r="J310">
            <v>41.1</v>
          </cell>
          <cell r="L310">
            <v>41002</v>
          </cell>
          <cell r="M310">
            <v>39.490666666666669</v>
          </cell>
          <cell r="N310">
            <v>31.103333333333332</v>
          </cell>
          <cell r="O310">
            <v>40.292000000000009</v>
          </cell>
          <cell r="P310">
            <v>45.537333333333351</v>
          </cell>
          <cell r="Q310">
            <v>45.941333333333333</v>
          </cell>
          <cell r="R310">
            <v>31.958000000000002</v>
          </cell>
          <cell r="S310">
            <v>51.522666666666659</v>
          </cell>
          <cell r="T310">
            <v>42.790666666666674</v>
          </cell>
          <cell r="U310">
            <v>40.834666666666656</v>
          </cell>
        </row>
        <row r="311">
          <cell r="A311">
            <v>41001</v>
          </cell>
          <cell r="B311">
            <v>39.450000000000003</v>
          </cell>
          <cell r="C311">
            <v>31.51</v>
          </cell>
          <cell r="D311">
            <v>39.630000000000003</v>
          </cell>
          <cell r="E311">
            <v>45.17</v>
          </cell>
          <cell r="F311">
            <v>45.83</v>
          </cell>
          <cell r="G311">
            <v>31.52</v>
          </cell>
          <cell r="H311">
            <v>50.63</v>
          </cell>
          <cell r="I311">
            <v>43.33</v>
          </cell>
          <cell r="J311">
            <v>40.98</v>
          </cell>
          <cell r="L311">
            <v>41001</v>
          </cell>
          <cell r="M311">
            <v>39.546000000000006</v>
          </cell>
          <cell r="N311">
            <v>31.113</v>
          </cell>
          <cell r="O311">
            <v>40.364333333333335</v>
          </cell>
          <cell r="P311">
            <v>45.619000000000021</v>
          </cell>
          <cell r="Q311">
            <v>46.018000000000001</v>
          </cell>
          <cell r="R311">
            <v>32.035666666666671</v>
          </cell>
          <cell r="S311">
            <v>51.655666666666662</v>
          </cell>
          <cell r="T311">
            <v>42.765000000000008</v>
          </cell>
          <cell r="U311">
            <v>40.858333333333327</v>
          </cell>
        </row>
        <row r="312">
          <cell r="A312">
            <v>40998</v>
          </cell>
          <cell r="B312">
            <v>39.22</v>
          </cell>
          <cell r="C312">
            <v>31.46</v>
          </cell>
          <cell r="D312">
            <v>39.020000000000003</v>
          </cell>
          <cell r="E312">
            <v>44.57</v>
          </cell>
          <cell r="F312">
            <v>45.4</v>
          </cell>
          <cell r="G312">
            <v>31.07</v>
          </cell>
          <cell r="H312">
            <v>50.04</v>
          </cell>
          <cell r="I312">
            <v>42.74</v>
          </cell>
          <cell r="J312">
            <v>40.700000000000003</v>
          </cell>
          <cell r="L312">
            <v>40998</v>
          </cell>
          <cell r="M312">
            <v>39.611000000000004</v>
          </cell>
          <cell r="N312">
            <v>31.122666666666664</v>
          </cell>
          <cell r="O312">
            <v>40.444000000000003</v>
          </cell>
          <cell r="P312">
            <v>45.707666666666675</v>
          </cell>
          <cell r="Q312">
            <v>46.099000000000004</v>
          </cell>
          <cell r="R312">
            <v>32.106666666666669</v>
          </cell>
          <cell r="S312">
            <v>51.79</v>
          </cell>
          <cell r="T312">
            <v>42.738333333333337</v>
          </cell>
          <cell r="U312">
            <v>40.890333333333338</v>
          </cell>
        </row>
        <row r="313">
          <cell r="A313">
            <v>40997</v>
          </cell>
          <cell r="B313">
            <v>38.75</v>
          </cell>
          <cell r="C313">
            <v>31.19</v>
          </cell>
          <cell r="D313">
            <v>39.08</v>
          </cell>
          <cell r="E313">
            <v>44.68</v>
          </cell>
          <cell r="F313">
            <v>45.37</v>
          </cell>
          <cell r="G313">
            <v>31.05</v>
          </cell>
          <cell r="H313">
            <v>50.15</v>
          </cell>
          <cell r="I313">
            <v>42.77</v>
          </cell>
          <cell r="J313">
            <v>40.630000000000003</v>
          </cell>
          <cell r="L313">
            <v>40997</v>
          </cell>
          <cell r="M313">
            <v>39.677666666666674</v>
          </cell>
          <cell r="N313">
            <v>31.12866666666666</v>
          </cell>
          <cell r="O313">
            <v>40.542333333333332</v>
          </cell>
          <cell r="P313">
            <v>45.82166666666668</v>
          </cell>
          <cell r="Q313">
            <v>46.197666666666663</v>
          </cell>
          <cell r="R313">
            <v>32.190666666666672</v>
          </cell>
          <cell r="S313">
            <v>51.94166666666667</v>
          </cell>
          <cell r="T313">
            <v>42.737666666666669</v>
          </cell>
          <cell r="U313">
            <v>40.933999999999997</v>
          </cell>
        </row>
        <row r="314">
          <cell r="A314">
            <v>40996</v>
          </cell>
          <cell r="B314">
            <v>38.979999999999997</v>
          </cell>
          <cell r="C314">
            <v>30.88</v>
          </cell>
          <cell r="D314">
            <v>38.880000000000003</v>
          </cell>
          <cell r="E314">
            <v>44.69</v>
          </cell>
          <cell r="F314">
            <v>45.25</v>
          </cell>
          <cell r="G314">
            <v>31.09</v>
          </cell>
          <cell r="H314">
            <v>50.11</v>
          </cell>
          <cell r="I314">
            <v>42.59</v>
          </cell>
          <cell r="J314">
            <v>40.54</v>
          </cell>
          <cell r="L314">
            <v>40996</v>
          </cell>
          <cell r="M314">
            <v>39.744333333333337</v>
          </cell>
          <cell r="N314">
            <v>31.137333333333331</v>
          </cell>
          <cell r="O314">
            <v>40.623333333333335</v>
          </cell>
          <cell r="P314">
            <v>45.898333333333333</v>
          </cell>
          <cell r="Q314">
            <v>46.267333333333333</v>
          </cell>
          <cell r="R314">
            <v>32.25500000000001</v>
          </cell>
          <cell r="S314">
            <v>52.05833333333333</v>
          </cell>
          <cell r="T314">
            <v>42.707333333333331</v>
          </cell>
          <cell r="U314">
            <v>40.950000000000003</v>
          </cell>
        </row>
        <row r="315">
          <cell r="A315">
            <v>40995</v>
          </cell>
          <cell r="B315">
            <v>39.299999999999997</v>
          </cell>
          <cell r="C315">
            <v>31.11</v>
          </cell>
          <cell r="D315">
            <v>39.04</v>
          </cell>
          <cell r="E315">
            <v>45.07</v>
          </cell>
          <cell r="F315">
            <v>45.51</v>
          </cell>
          <cell r="G315">
            <v>31.29</v>
          </cell>
          <cell r="H315">
            <v>50.79</v>
          </cell>
          <cell r="I315">
            <v>42.86</v>
          </cell>
          <cell r="J315">
            <v>40.799999999999997</v>
          </cell>
          <cell r="L315">
            <v>40995</v>
          </cell>
          <cell r="M315">
            <v>39.818000000000005</v>
          </cell>
          <cell r="N315">
            <v>31.159333333333329</v>
          </cell>
          <cell r="O315">
            <v>40.721999999999994</v>
          </cell>
          <cell r="P315">
            <v>45.988333333333337</v>
          </cell>
          <cell r="Q315">
            <v>46.345666666666666</v>
          </cell>
          <cell r="R315">
            <v>32.329666666666675</v>
          </cell>
          <cell r="S315">
            <v>52.192999999999998</v>
          </cell>
          <cell r="T315">
            <v>42.683666666666667</v>
          </cell>
          <cell r="U315">
            <v>40.980000000000004</v>
          </cell>
        </row>
        <row r="316">
          <cell r="A316">
            <v>40994</v>
          </cell>
          <cell r="B316">
            <v>38.92</v>
          </cell>
          <cell r="C316">
            <v>30.99</v>
          </cell>
          <cell r="D316">
            <v>39.270000000000003</v>
          </cell>
          <cell r="E316">
            <v>45.12</v>
          </cell>
          <cell r="F316">
            <v>45.58</v>
          </cell>
          <cell r="G316">
            <v>31.44</v>
          </cell>
          <cell r="H316">
            <v>51.19</v>
          </cell>
          <cell r="I316">
            <v>42.99</v>
          </cell>
          <cell r="J316">
            <v>40.82</v>
          </cell>
          <cell r="L316">
            <v>40994</v>
          </cell>
          <cell r="M316">
            <v>39.881666666666675</v>
          </cell>
          <cell r="N316">
            <v>31.18066666666666</v>
          </cell>
          <cell r="O316">
            <v>40.821666666666673</v>
          </cell>
          <cell r="P316">
            <v>46.077000000000012</v>
          </cell>
          <cell r="Q316">
            <v>46.428999999999995</v>
          </cell>
          <cell r="R316">
            <v>32.399333333333338</v>
          </cell>
          <cell r="S316">
            <v>52.31366666666667</v>
          </cell>
          <cell r="T316">
            <v>42.656666666666659</v>
          </cell>
          <cell r="U316">
            <v>41.01</v>
          </cell>
        </row>
        <row r="317">
          <cell r="A317">
            <v>40991</v>
          </cell>
          <cell r="B317">
            <v>38.76</v>
          </cell>
          <cell r="C317">
            <v>30.8</v>
          </cell>
          <cell r="D317">
            <v>39</v>
          </cell>
          <cell r="E317">
            <v>44.6</v>
          </cell>
          <cell r="F317">
            <v>45.2</v>
          </cell>
          <cell r="G317">
            <v>31.17</v>
          </cell>
          <cell r="H317">
            <v>50.71</v>
          </cell>
          <cell r="I317">
            <v>42.39</v>
          </cell>
          <cell r="J317">
            <v>40.33</v>
          </cell>
          <cell r="L317">
            <v>40991</v>
          </cell>
          <cell r="M317">
            <v>39.969666666666662</v>
          </cell>
          <cell r="N317">
            <v>31.199666666666658</v>
          </cell>
          <cell r="O317">
            <v>40.910999999999994</v>
          </cell>
          <cell r="P317">
            <v>46.15</v>
          </cell>
          <cell r="Q317">
            <v>46.501333333333335</v>
          </cell>
          <cell r="R317">
            <v>32.45933333333334</v>
          </cell>
          <cell r="S317">
            <v>52.408000000000008</v>
          </cell>
          <cell r="T317">
            <v>42.63066666666667</v>
          </cell>
          <cell r="U317">
            <v>41.034666666666666</v>
          </cell>
        </row>
        <row r="318">
          <cell r="A318">
            <v>40990</v>
          </cell>
          <cell r="B318">
            <v>38.6</v>
          </cell>
          <cell r="C318">
            <v>30.61</v>
          </cell>
          <cell r="D318">
            <v>38.76</v>
          </cell>
          <cell r="E318">
            <v>44.26</v>
          </cell>
          <cell r="F318">
            <v>44.88</v>
          </cell>
          <cell r="G318">
            <v>31.05</v>
          </cell>
          <cell r="H318">
            <v>50.42</v>
          </cell>
          <cell r="I318">
            <v>42.25</v>
          </cell>
          <cell r="J318">
            <v>40.159999999999997</v>
          </cell>
          <cell r="L318">
            <v>40990</v>
          </cell>
          <cell r="M318">
            <v>40.070999999999998</v>
          </cell>
          <cell r="N318">
            <v>31.24466666666666</v>
          </cell>
          <cell r="O318">
            <v>41.01766666666667</v>
          </cell>
          <cell r="P318">
            <v>46.271000000000001</v>
          </cell>
          <cell r="Q318">
            <v>46.603999999999999</v>
          </cell>
          <cell r="R318">
            <v>32.539333333333339</v>
          </cell>
          <cell r="S318">
            <v>52.545000000000002</v>
          </cell>
          <cell r="T318">
            <v>42.632333333333335</v>
          </cell>
          <cell r="U318">
            <v>41.088333333333331</v>
          </cell>
        </row>
        <row r="319">
          <cell r="A319">
            <v>40989</v>
          </cell>
          <cell r="B319">
            <v>39.06</v>
          </cell>
          <cell r="C319">
            <v>30.6</v>
          </cell>
          <cell r="D319">
            <v>39.03</v>
          </cell>
          <cell r="E319">
            <v>44.26</v>
          </cell>
          <cell r="F319">
            <v>44.85</v>
          </cell>
          <cell r="G319">
            <v>31.15</v>
          </cell>
          <cell r="H319">
            <v>50.71</v>
          </cell>
          <cell r="I319">
            <v>42.4</v>
          </cell>
          <cell r="J319">
            <v>40.32</v>
          </cell>
          <cell r="L319">
            <v>40989</v>
          </cell>
          <cell r="M319">
            <v>40.173999999999999</v>
          </cell>
          <cell r="N319">
            <v>31.303666666666665</v>
          </cell>
          <cell r="O319">
            <v>41.146000000000001</v>
          </cell>
          <cell r="P319">
            <v>46.425000000000018</v>
          </cell>
          <cell r="Q319">
            <v>46.728333333333325</v>
          </cell>
          <cell r="R319">
            <v>32.631666666666675</v>
          </cell>
          <cell r="S319">
            <v>52.707666666666675</v>
          </cell>
          <cell r="T319">
            <v>42.647666666666659</v>
          </cell>
          <cell r="U319">
            <v>41.168666666666667</v>
          </cell>
        </row>
        <row r="320">
          <cell r="A320">
            <v>40988</v>
          </cell>
          <cell r="B320">
            <v>38.950000000000003</v>
          </cell>
          <cell r="C320">
            <v>30.63</v>
          </cell>
          <cell r="D320">
            <v>39.42</v>
          </cell>
          <cell r="E320">
            <v>44.4</v>
          </cell>
          <cell r="F320">
            <v>44.9</v>
          </cell>
          <cell r="G320">
            <v>31.46</v>
          </cell>
          <cell r="H320">
            <v>50.76</v>
          </cell>
          <cell r="I320">
            <v>42.6</v>
          </cell>
          <cell r="J320">
            <v>40.4</v>
          </cell>
          <cell r="L320">
            <v>40988</v>
          </cell>
          <cell r="M320">
            <v>40.260333333333342</v>
          </cell>
          <cell r="N320">
            <v>31.379333333333328</v>
          </cell>
          <cell r="O320">
            <v>41.260000000000005</v>
          </cell>
          <cell r="P320">
            <v>46.578000000000003</v>
          </cell>
          <cell r="Q320">
            <v>46.857333333333322</v>
          </cell>
          <cell r="R320">
            <v>32.720000000000006</v>
          </cell>
          <cell r="S320">
            <v>52.864000000000011</v>
          </cell>
          <cell r="T320">
            <v>42.655333333333346</v>
          </cell>
          <cell r="U320">
            <v>41.251999999999995</v>
          </cell>
        </row>
        <row r="321">
          <cell r="A321">
            <v>40987</v>
          </cell>
          <cell r="B321">
            <v>38.69</v>
          </cell>
          <cell r="C321">
            <v>30.78</v>
          </cell>
          <cell r="D321">
            <v>39.86</v>
          </cell>
          <cell r="E321">
            <v>44.52</v>
          </cell>
          <cell r="F321">
            <v>45.32</v>
          </cell>
          <cell r="G321">
            <v>31.65</v>
          </cell>
          <cell r="H321">
            <v>50.87</v>
          </cell>
          <cell r="I321">
            <v>42.85</v>
          </cell>
          <cell r="J321">
            <v>40.47</v>
          </cell>
          <cell r="L321">
            <v>40987</v>
          </cell>
          <cell r="M321">
            <v>40.337000000000003</v>
          </cell>
          <cell r="N321">
            <v>31.444999999999997</v>
          </cell>
          <cell r="O321">
            <v>41.359000000000016</v>
          </cell>
          <cell r="P321">
            <v>46.724333333333341</v>
          </cell>
          <cell r="Q321">
            <v>46.998333333333328</v>
          </cell>
          <cell r="R321">
            <v>32.793666666666674</v>
          </cell>
          <cell r="S321">
            <v>53.01766666666667</v>
          </cell>
          <cell r="T321">
            <v>42.656666666666673</v>
          </cell>
          <cell r="U321">
            <v>41.331666666666663</v>
          </cell>
        </row>
        <row r="322">
          <cell r="A322">
            <v>40984</v>
          </cell>
          <cell r="B322">
            <v>39.06</v>
          </cell>
          <cell r="C322">
            <v>30.71</v>
          </cell>
          <cell r="D322">
            <v>39.770000000000003</v>
          </cell>
          <cell r="E322">
            <v>44.56</v>
          </cell>
          <cell r="F322">
            <v>45.35</v>
          </cell>
          <cell r="G322">
            <v>31.54</v>
          </cell>
          <cell r="H322">
            <v>50.96</v>
          </cell>
          <cell r="I322">
            <v>42.91</v>
          </cell>
          <cell r="J322">
            <v>40.43</v>
          </cell>
          <cell r="L322">
            <v>40984</v>
          </cell>
          <cell r="M322">
            <v>40.432333333333332</v>
          </cell>
          <cell r="N322">
            <v>31.512333333333331</v>
          </cell>
          <cell r="O322">
            <v>41.458666666666673</v>
          </cell>
          <cell r="P322">
            <v>46.870333333333342</v>
          </cell>
          <cell r="Q322">
            <v>47.130333333333326</v>
          </cell>
          <cell r="R322">
            <v>32.866333333333337</v>
          </cell>
          <cell r="S322">
            <v>53.185666666666677</v>
          </cell>
          <cell r="T322">
            <v>42.651000000000018</v>
          </cell>
          <cell r="U322">
            <v>41.42766666666666</v>
          </cell>
        </row>
        <row r="323">
          <cell r="A323">
            <v>40983</v>
          </cell>
          <cell r="B323">
            <v>39.380000000000003</v>
          </cell>
          <cell r="C323">
            <v>30.82</v>
          </cell>
          <cell r="D323">
            <v>40.14</v>
          </cell>
          <cell r="E323">
            <v>44.62</v>
          </cell>
          <cell r="F323">
            <v>45.72</v>
          </cell>
          <cell r="G323">
            <v>31.72</v>
          </cell>
          <cell r="H323">
            <v>51.02</v>
          </cell>
          <cell r="I323">
            <v>43.01</v>
          </cell>
          <cell r="J323">
            <v>40.76</v>
          </cell>
          <cell r="L323">
            <v>40983</v>
          </cell>
          <cell r="M323">
            <v>40.516666666666666</v>
          </cell>
          <cell r="N323">
            <v>31.576000000000001</v>
          </cell>
          <cell r="O323">
            <v>41.553000000000004</v>
          </cell>
          <cell r="P323">
            <v>46.997</v>
          </cell>
          <cell r="Q323">
            <v>47.237000000000002</v>
          </cell>
          <cell r="R323">
            <v>32.930333333333337</v>
          </cell>
          <cell r="S323">
            <v>53.32166666666668</v>
          </cell>
          <cell r="T323">
            <v>42.629333333333335</v>
          </cell>
          <cell r="U323">
            <v>41.512666666666654</v>
          </cell>
        </row>
        <row r="324">
          <cell r="A324">
            <v>40982</v>
          </cell>
          <cell r="B324">
            <v>39.700000000000003</v>
          </cell>
          <cell r="C324">
            <v>31.11</v>
          </cell>
          <cell r="D324">
            <v>40.33</v>
          </cell>
          <cell r="E324">
            <v>44.62</v>
          </cell>
          <cell r="F324">
            <v>45.91</v>
          </cell>
          <cell r="G324">
            <v>31.76</v>
          </cell>
          <cell r="H324">
            <v>51.12</v>
          </cell>
          <cell r="I324">
            <v>42.99</v>
          </cell>
          <cell r="J324">
            <v>41.06</v>
          </cell>
          <cell r="L324">
            <v>40982</v>
          </cell>
          <cell r="M324">
            <v>40.593666666666664</v>
          </cell>
          <cell r="N324">
            <v>31.635999999999999</v>
          </cell>
          <cell r="O324">
            <v>41.636000000000003</v>
          </cell>
          <cell r="P324">
            <v>47.110666666666667</v>
          </cell>
          <cell r="Q324">
            <v>47.329666666666668</v>
          </cell>
          <cell r="R324">
            <v>32.986000000000004</v>
          </cell>
          <cell r="S324">
            <v>53.449666666666673</v>
          </cell>
          <cell r="T324">
            <v>42.609333333333339</v>
          </cell>
          <cell r="U324">
            <v>41.594000000000001</v>
          </cell>
        </row>
        <row r="325">
          <cell r="A325">
            <v>40981</v>
          </cell>
          <cell r="B325">
            <v>40.01</v>
          </cell>
          <cell r="C325">
            <v>31.46</v>
          </cell>
          <cell r="D325">
            <v>41.31</v>
          </cell>
          <cell r="E325">
            <v>44.96</v>
          </cell>
          <cell r="F325">
            <v>46.4</v>
          </cell>
          <cell r="G325">
            <v>32.44</v>
          </cell>
          <cell r="H325">
            <v>51.98</v>
          </cell>
          <cell r="I325">
            <v>43.62</v>
          </cell>
          <cell r="J325">
            <v>41.77</v>
          </cell>
          <cell r="L325">
            <v>40981</v>
          </cell>
          <cell r="M325">
            <v>40.653999999999989</v>
          </cell>
          <cell r="N325">
            <v>31.679333333333329</v>
          </cell>
          <cell r="O325">
            <v>41.680333333333344</v>
          </cell>
          <cell r="P325">
            <v>47.214000000000006</v>
          </cell>
          <cell r="Q325">
            <v>47.384333333333331</v>
          </cell>
          <cell r="R325">
            <v>33.024666666666668</v>
          </cell>
          <cell r="S325">
            <v>53.57500000000001</v>
          </cell>
          <cell r="T325">
            <v>42.56966666666667</v>
          </cell>
          <cell r="U325">
            <v>41.647000000000006</v>
          </cell>
        </row>
        <row r="326">
          <cell r="A326">
            <v>40980</v>
          </cell>
          <cell r="B326">
            <v>39.65</v>
          </cell>
          <cell r="C326">
            <v>31.2</v>
          </cell>
          <cell r="D326">
            <v>40.94</v>
          </cell>
          <cell r="E326">
            <v>45.71</v>
          </cell>
          <cell r="F326">
            <v>46.12</v>
          </cell>
          <cell r="G326">
            <v>32.18</v>
          </cell>
          <cell r="H326">
            <v>51.78</v>
          </cell>
          <cell r="I326">
            <v>43.22</v>
          </cell>
          <cell r="J326">
            <v>41.48</v>
          </cell>
          <cell r="L326">
            <v>40980</v>
          </cell>
          <cell r="M326">
            <v>40.697999999999993</v>
          </cell>
          <cell r="N326">
            <v>31.701333333333331</v>
          </cell>
          <cell r="O326">
            <v>41.688666666666677</v>
          </cell>
          <cell r="P326">
            <v>47.280999999999999</v>
          </cell>
          <cell r="Q326">
            <v>47.411666666666662</v>
          </cell>
          <cell r="R326">
            <v>33.036000000000001</v>
          </cell>
          <cell r="S326">
            <v>53.647666666666666</v>
          </cell>
          <cell r="T326">
            <v>42.508333333333333</v>
          </cell>
          <cell r="U326">
            <v>41.673000000000002</v>
          </cell>
        </row>
        <row r="327">
          <cell r="A327">
            <v>40977</v>
          </cell>
          <cell r="B327">
            <v>39.380000000000003</v>
          </cell>
          <cell r="C327">
            <v>31.09</v>
          </cell>
          <cell r="D327">
            <v>40.950000000000003</v>
          </cell>
          <cell r="E327">
            <v>45.56</v>
          </cell>
          <cell r="F327">
            <v>45.97</v>
          </cell>
          <cell r="G327">
            <v>32.32</v>
          </cell>
          <cell r="H327">
            <v>51.59</v>
          </cell>
          <cell r="I327">
            <v>43.16</v>
          </cell>
          <cell r="J327">
            <v>41.16</v>
          </cell>
          <cell r="L327">
            <v>40977</v>
          </cell>
          <cell r="M327">
            <v>40.773333333333333</v>
          </cell>
          <cell r="N327">
            <v>31.739333333333327</v>
          </cell>
          <cell r="O327">
            <v>41.721000000000004</v>
          </cell>
          <cell r="P327">
            <v>47.360666666666667</v>
          </cell>
          <cell r="Q327">
            <v>47.462333333333341</v>
          </cell>
          <cell r="R327">
            <v>33.068999999999996</v>
          </cell>
          <cell r="S327">
            <v>53.75566666666667</v>
          </cell>
          <cell r="T327">
            <v>42.481333333333332</v>
          </cell>
          <cell r="U327">
            <v>41.725999999999999</v>
          </cell>
        </row>
        <row r="328">
          <cell r="A328">
            <v>40976</v>
          </cell>
          <cell r="B328">
            <v>39.31</v>
          </cell>
          <cell r="C328">
            <v>30.92</v>
          </cell>
          <cell r="D328">
            <v>40.6</v>
          </cell>
          <cell r="E328">
            <v>45.71</v>
          </cell>
          <cell r="F328">
            <v>45.75</v>
          </cell>
          <cell r="G328">
            <v>32.409999999999997</v>
          </cell>
          <cell r="H328">
            <v>51.33</v>
          </cell>
          <cell r="I328">
            <v>42.83</v>
          </cell>
          <cell r="J328">
            <v>40.71</v>
          </cell>
          <cell r="L328">
            <v>40976</v>
          </cell>
          <cell r="M328">
            <v>40.869999999999997</v>
          </cell>
          <cell r="N328">
            <v>31.803333333333331</v>
          </cell>
          <cell r="O328">
            <v>41.734666666666676</v>
          </cell>
          <cell r="P328">
            <v>47.472333333333339</v>
          </cell>
          <cell r="Q328">
            <v>47.536666666666669</v>
          </cell>
          <cell r="R328">
            <v>33.107666666666667</v>
          </cell>
          <cell r="S328">
            <v>53.87833333333333</v>
          </cell>
          <cell r="T328">
            <v>42.454666666666668</v>
          </cell>
          <cell r="U328">
            <v>41.802666666666674</v>
          </cell>
        </row>
        <row r="329">
          <cell r="A329">
            <v>40975</v>
          </cell>
          <cell r="B329">
            <v>39.4</v>
          </cell>
          <cell r="C329">
            <v>30.74</v>
          </cell>
          <cell r="D329">
            <v>40.78</v>
          </cell>
          <cell r="E329">
            <v>45.73</v>
          </cell>
          <cell r="F329">
            <v>45.56</v>
          </cell>
          <cell r="G329">
            <v>32.35</v>
          </cell>
          <cell r="H329">
            <v>51.23</v>
          </cell>
          <cell r="I329">
            <v>42.7</v>
          </cell>
          <cell r="J329">
            <v>40.5</v>
          </cell>
          <cell r="L329">
            <v>40975</v>
          </cell>
          <cell r="M329">
            <v>40.958666666666666</v>
          </cell>
          <cell r="N329">
            <v>31.859333333333332</v>
          </cell>
          <cell r="O329">
            <v>41.747000000000007</v>
          </cell>
          <cell r="P329">
            <v>47.55466666666667</v>
          </cell>
          <cell r="Q329">
            <v>47.586333333333336</v>
          </cell>
          <cell r="R329">
            <v>33.126000000000005</v>
          </cell>
          <cell r="S329">
            <v>53.98533333333333</v>
          </cell>
          <cell r="T329">
            <v>42.429333333333325</v>
          </cell>
          <cell r="U329">
            <v>41.885666666666673</v>
          </cell>
        </row>
        <row r="330">
          <cell r="A330">
            <v>40974</v>
          </cell>
          <cell r="B330">
            <v>39.51</v>
          </cell>
          <cell r="C330">
            <v>30.75</v>
          </cell>
          <cell r="D330">
            <v>40.75</v>
          </cell>
          <cell r="E330">
            <v>45.82</v>
          </cell>
          <cell r="F330">
            <v>45.59</v>
          </cell>
          <cell r="G330">
            <v>32.25</v>
          </cell>
          <cell r="H330">
            <v>51.62</v>
          </cell>
          <cell r="I330">
            <v>42.68</v>
          </cell>
          <cell r="J330">
            <v>40.36</v>
          </cell>
          <cell r="L330">
            <v>40974</v>
          </cell>
          <cell r="M330">
            <v>41.027000000000008</v>
          </cell>
          <cell r="N330">
            <v>31.908666666666665</v>
          </cell>
          <cell r="O330">
            <v>41.741666666666667</v>
          </cell>
          <cell r="P330">
            <v>47.63</v>
          </cell>
          <cell r="Q330">
            <v>47.63300000000001</v>
          </cell>
          <cell r="R330">
            <v>33.139000000000003</v>
          </cell>
          <cell r="S330">
            <v>54.101333333333329</v>
          </cell>
          <cell r="T330">
            <v>42.387333333333331</v>
          </cell>
          <cell r="U330">
            <v>41.969000000000008</v>
          </cell>
        </row>
        <row r="331">
          <cell r="A331">
            <v>40973</v>
          </cell>
          <cell r="B331">
            <v>39.78</v>
          </cell>
          <cell r="C331">
            <v>31.23</v>
          </cell>
          <cell r="D331">
            <v>41.23</v>
          </cell>
          <cell r="E331">
            <v>46.33</v>
          </cell>
          <cell r="F331">
            <v>46.09</v>
          </cell>
          <cell r="G331">
            <v>32.51</v>
          </cell>
          <cell r="H331">
            <v>51.94</v>
          </cell>
          <cell r="I331">
            <v>43.09</v>
          </cell>
          <cell r="J331">
            <v>40.81</v>
          </cell>
          <cell r="L331">
            <v>40973</v>
          </cell>
          <cell r="M331">
            <v>41.107333333333344</v>
          </cell>
          <cell r="N331">
            <v>31.969333333333335</v>
          </cell>
          <cell r="O331">
            <v>41.734333333333332</v>
          </cell>
          <cell r="P331">
            <v>47.696666666666673</v>
          </cell>
          <cell r="Q331">
            <v>47.689333333333344</v>
          </cell>
          <cell r="R331">
            <v>33.155666666666669</v>
          </cell>
          <cell r="S331">
            <v>54.217333333333322</v>
          </cell>
          <cell r="T331">
            <v>42.359666666666655</v>
          </cell>
          <cell r="U331">
            <v>42.061333333333337</v>
          </cell>
        </row>
        <row r="332">
          <cell r="A332">
            <v>40970</v>
          </cell>
          <cell r="B332">
            <v>39.47</v>
          </cell>
          <cell r="C332">
            <v>30.95</v>
          </cell>
          <cell r="D332">
            <v>40.35</v>
          </cell>
          <cell r="E332">
            <v>46.02</v>
          </cell>
          <cell r="F332">
            <v>45.39</v>
          </cell>
          <cell r="G332">
            <v>31.72</v>
          </cell>
          <cell r="H332">
            <v>51.1</v>
          </cell>
          <cell r="I332">
            <v>42.53</v>
          </cell>
          <cell r="J332">
            <v>40.25</v>
          </cell>
          <cell r="L332">
            <v>40970</v>
          </cell>
          <cell r="M332">
            <v>41.183</v>
          </cell>
          <cell r="N332">
            <v>32.013666666666673</v>
          </cell>
          <cell r="O332">
            <v>41.711333333333329</v>
          </cell>
          <cell r="P332">
            <v>47.746666666666663</v>
          </cell>
          <cell r="Q332">
            <v>47.721666666666671</v>
          </cell>
          <cell r="R332">
            <v>33.162333333333336</v>
          </cell>
          <cell r="S332">
            <v>54.310666666666656</v>
          </cell>
          <cell r="T332">
            <v>42.313666666666663</v>
          </cell>
          <cell r="U332">
            <v>42.143333333333338</v>
          </cell>
        </row>
        <row r="333">
          <cell r="A333">
            <v>40969</v>
          </cell>
          <cell r="B333">
            <v>39.659999999999997</v>
          </cell>
          <cell r="C333">
            <v>31.04</v>
          </cell>
          <cell r="D333">
            <v>40.799999999999997</v>
          </cell>
          <cell r="E333">
            <v>46.38</v>
          </cell>
          <cell r="F333">
            <v>45.31</v>
          </cell>
          <cell r="G333">
            <v>31.89</v>
          </cell>
          <cell r="H333">
            <v>51.54</v>
          </cell>
          <cell r="I333">
            <v>42.57</v>
          </cell>
          <cell r="J333">
            <v>40.450000000000003</v>
          </cell>
          <cell r="L333">
            <v>40969</v>
          </cell>
          <cell r="M333">
            <v>41.245999999999995</v>
          </cell>
          <cell r="N333">
            <v>32.053666666666665</v>
          </cell>
          <cell r="O333">
            <v>41.708999999999996</v>
          </cell>
          <cell r="P333">
            <v>47.801666666666662</v>
          </cell>
          <cell r="Q333">
            <v>47.776000000000003</v>
          </cell>
          <cell r="R333">
            <v>33.193666666666665</v>
          </cell>
          <cell r="S333">
            <v>54.42166666666666</v>
          </cell>
          <cell r="T333">
            <v>42.274999999999991</v>
          </cell>
          <cell r="U333">
            <v>42.237333333333339</v>
          </cell>
        </row>
        <row r="334">
          <cell r="A334">
            <v>40968</v>
          </cell>
          <cell r="B334">
            <v>39.869999999999997</v>
          </cell>
          <cell r="C334">
            <v>30.73</v>
          </cell>
          <cell r="D334">
            <v>41.09</v>
          </cell>
          <cell r="E334">
            <v>46.69</v>
          </cell>
          <cell r="F334">
            <v>45.77</v>
          </cell>
          <cell r="G334">
            <v>32.4</v>
          </cell>
          <cell r="H334">
            <v>52</v>
          </cell>
          <cell r="I334">
            <v>42.65</v>
          </cell>
          <cell r="J334">
            <v>40.83</v>
          </cell>
          <cell r="L334">
            <v>40968</v>
          </cell>
          <cell r="M334">
            <v>41.315666666666665</v>
          </cell>
          <cell r="N334">
            <v>32.102000000000004</v>
          </cell>
          <cell r="O334">
            <v>41.696000000000005</v>
          </cell>
          <cell r="P334">
            <v>47.861333333333341</v>
          </cell>
          <cell r="Q334">
            <v>47.839666666666666</v>
          </cell>
          <cell r="R334">
            <v>33.226666666666667</v>
          </cell>
          <cell r="S334">
            <v>54.536999999999999</v>
          </cell>
          <cell r="T334">
            <v>42.24499999999999</v>
          </cell>
          <cell r="U334">
            <v>42.335000000000008</v>
          </cell>
        </row>
        <row r="335">
          <cell r="A335">
            <v>40967</v>
          </cell>
          <cell r="B335">
            <v>39.700000000000003</v>
          </cell>
          <cell r="C335">
            <v>30.89</v>
          </cell>
          <cell r="D335">
            <v>41.25</v>
          </cell>
          <cell r="E335">
            <v>46.91</v>
          </cell>
          <cell r="F335">
            <v>46.52</v>
          </cell>
          <cell r="G335">
            <v>32.57</v>
          </cell>
          <cell r="H335">
            <v>52.69</v>
          </cell>
          <cell r="I335">
            <v>42.31</v>
          </cell>
          <cell r="J335">
            <v>40.68</v>
          </cell>
          <cell r="L335">
            <v>40967</v>
          </cell>
          <cell r="M335">
            <v>41.37233333333333</v>
          </cell>
          <cell r="N335">
            <v>32.155666666666669</v>
          </cell>
          <cell r="O335">
            <v>41.668666666666667</v>
          </cell>
          <cell r="P335">
            <v>47.905999999999999</v>
          </cell>
          <cell r="Q335">
            <v>47.88633333333334</v>
          </cell>
          <cell r="R335">
            <v>33.249333333333333</v>
          </cell>
          <cell r="S335">
            <v>54.655333333333331</v>
          </cell>
          <cell r="T335">
            <v>42.201333333333324</v>
          </cell>
          <cell r="U335">
            <v>42.431333333333349</v>
          </cell>
        </row>
        <row r="336">
          <cell r="A336">
            <v>40966</v>
          </cell>
          <cell r="B336">
            <v>40.21</v>
          </cell>
          <cell r="C336">
            <v>31.38</v>
          </cell>
          <cell r="D336">
            <v>41.85</v>
          </cell>
          <cell r="E336">
            <v>47.2</v>
          </cell>
          <cell r="F336">
            <v>47.87</v>
          </cell>
          <cell r="G336">
            <v>32.76</v>
          </cell>
          <cell r="H336">
            <v>53.95</v>
          </cell>
          <cell r="I336">
            <v>42.48</v>
          </cell>
          <cell r="J336">
            <v>41.29</v>
          </cell>
          <cell r="L336">
            <v>40966</v>
          </cell>
          <cell r="M336">
            <v>41.423333333333325</v>
          </cell>
          <cell r="N336">
            <v>32.202333333333335</v>
          </cell>
          <cell r="O336">
            <v>41.63066666666667</v>
          </cell>
          <cell r="P336">
            <v>47.939000000000007</v>
          </cell>
          <cell r="Q336">
            <v>47.903999999999996</v>
          </cell>
          <cell r="R336">
            <v>33.257666666666672</v>
          </cell>
          <cell r="S336">
            <v>54.739333333333327</v>
          </cell>
          <cell r="T336">
            <v>42.149333333333317</v>
          </cell>
          <cell r="U336">
            <v>42.52300000000001</v>
          </cell>
        </row>
        <row r="337">
          <cell r="A337">
            <v>40963</v>
          </cell>
          <cell r="B337">
            <v>40.369999999999997</v>
          </cell>
          <cell r="C337">
            <v>31.68</v>
          </cell>
          <cell r="D337">
            <v>41.86</v>
          </cell>
          <cell r="E337">
            <v>47.71</v>
          </cell>
          <cell r="F337">
            <v>48.24</v>
          </cell>
          <cell r="G337">
            <v>33.369999999999997</v>
          </cell>
          <cell r="H337">
            <v>54.33</v>
          </cell>
          <cell r="I337">
            <v>42.66</v>
          </cell>
          <cell r="J337">
            <v>41.7</v>
          </cell>
          <cell r="L337">
            <v>40963</v>
          </cell>
          <cell r="M337">
            <v>41.452666666666666</v>
          </cell>
          <cell r="N337">
            <v>32.237666666666669</v>
          </cell>
          <cell r="O337">
            <v>41.577333333333328</v>
          </cell>
          <cell r="P337">
            <v>47.974666666666664</v>
          </cell>
          <cell r="Q337">
            <v>47.883333333333333</v>
          </cell>
          <cell r="R337">
            <v>33.267333333333333</v>
          </cell>
          <cell r="S337">
            <v>54.795999999999999</v>
          </cell>
          <cell r="T337">
            <v>42.098333333333329</v>
          </cell>
          <cell r="U337">
            <v>42.593333333333348</v>
          </cell>
        </row>
        <row r="338">
          <cell r="A338">
            <v>40962</v>
          </cell>
          <cell r="B338">
            <v>40.98</v>
          </cell>
          <cell r="C338">
            <v>32.049999999999997</v>
          </cell>
          <cell r="D338">
            <v>42.21</v>
          </cell>
          <cell r="E338">
            <v>47.77</v>
          </cell>
          <cell r="F338">
            <v>48.69</v>
          </cell>
          <cell r="G338">
            <v>33.76</v>
          </cell>
          <cell r="H338">
            <v>54.62</v>
          </cell>
          <cell r="I338">
            <v>42.9</v>
          </cell>
          <cell r="J338">
            <v>42.06</v>
          </cell>
          <cell r="L338">
            <v>40962</v>
          </cell>
          <cell r="M338">
            <v>41.477666666666657</v>
          </cell>
          <cell r="N338">
            <v>32.26466666666667</v>
          </cell>
          <cell r="O338">
            <v>41.521000000000001</v>
          </cell>
          <cell r="P338">
            <v>48.001666666666665</v>
          </cell>
          <cell r="Q338">
            <v>47.852666666666664</v>
          </cell>
          <cell r="R338">
            <v>33.262999999999998</v>
          </cell>
          <cell r="S338">
            <v>54.846999999999994</v>
          </cell>
          <cell r="T338">
            <v>42.044999999999995</v>
          </cell>
          <cell r="U338">
            <v>42.647000000000013</v>
          </cell>
        </row>
        <row r="339">
          <cell r="A339">
            <v>40961</v>
          </cell>
          <cell r="B339">
            <v>41.16</v>
          </cell>
          <cell r="C339">
            <v>31.99</v>
          </cell>
          <cell r="D339">
            <v>41.74</v>
          </cell>
          <cell r="E339">
            <v>47.2</v>
          </cell>
          <cell r="F339">
            <v>48</v>
          </cell>
          <cell r="G339">
            <v>33.46</v>
          </cell>
          <cell r="H339">
            <v>54.09</v>
          </cell>
          <cell r="I339">
            <v>42.35</v>
          </cell>
          <cell r="J339">
            <v>41.49</v>
          </cell>
          <cell r="L339">
            <v>40961</v>
          </cell>
          <cell r="M339">
            <v>41.47999999999999</v>
          </cell>
          <cell r="N339">
            <v>32.272000000000006</v>
          </cell>
          <cell r="O339">
            <v>41.463666666666661</v>
          </cell>
          <cell r="P339">
            <v>48.040333333333336</v>
          </cell>
          <cell r="Q339">
            <v>47.806333333333328</v>
          </cell>
          <cell r="R339">
            <v>33.253333333333337</v>
          </cell>
          <cell r="S339">
            <v>54.895666666666656</v>
          </cell>
          <cell r="T339">
            <v>42.003</v>
          </cell>
          <cell r="U339">
            <v>42.691000000000017</v>
          </cell>
        </row>
        <row r="340">
          <cell r="A340">
            <v>40960</v>
          </cell>
          <cell r="B340">
            <v>41.1</v>
          </cell>
          <cell r="C340">
            <v>32.090000000000003</v>
          </cell>
          <cell r="D340">
            <v>41.99</v>
          </cell>
          <cell r="E340">
            <v>47.73</v>
          </cell>
          <cell r="F340">
            <v>48.2</v>
          </cell>
          <cell r="G340">
            <v>33.72</v>
          </cell>
          <cell r="H340">
            <v>54.4</v>
          </cell>
          <cell r="I340">
            <v>42.52</v>
          </cell>
          <cell r="J340">
            <v>41.81</v>
          </cell>
          <cell r="L340">
            <v>40960</v>
          </cell>
          <cell r="M340">
            <v>41.475999999999992</v>
          </cell>
          <cell r="N340">
            <v>32.285000000000011</v>
          </cell>
          <cell r="O340">
            <v>41.408333333333324</v>
          </cell>
          <cell r="P340">
            <v>48.112333333333339</v>
          </cell>
          <cell r="Q340">
            <v>47.778666666666666</v>
          </cell>
          <cell r="R340">
            <v>33.247666666666667</v>
          </cell>
          <cell r="S340">
            <v>54.946666666666651</v>
          </cell>
          <cell r="T340">
            <v>41.984999999999999</v>
          </cell>
          <cell r="U340">
            <v>42.741333333333344</v>
          </cell>
        </row>
        <row r="341">
          <cell r="A341">
            <v>40956</v>
          </cell>
          <cell r="B341">
            <v>41.4</v>
          </cell>
          <cell r="C341">
            <v>31.8</v>
          </cell>
          <cell r="D341">
            <v>42.02</v>
          </cell>
          <cell r="E341">
            <v>47.83</v>
          </cell>
          <cell r="F341">
            <v>48.26</v>
          </cell>
          <cell r="G341">
            <v>33.65</v>
          </cell>
          <cell r="H341">
            <v>54.66</v>
          </cell>
          <cell r="I341">
            <v>42.53</v>
          </cell>
          <cell r="J341">
            <v>41.94</v>
          </cell>
          <cell r="L341">
            <v>40956</v>
          </cell>
          <cell r="M341">
            <v>41.478666666666655</v>
          </cell>
          <cell r="N341">
            <v>32.303666666666672</v>
          </cell>
          <cell r="O341">
            <v>41.350333333333325</v>
          </cell>
          <cell r="P341">
            <v>48.157666666666678</v>
          </cell>
          <cell r="Q341">
            <v>47.75266666666667</v>
          </cell>
          <cell r="R341">
            <v>33.235666666666667</v>
          </cell>
          <cell r="S341">
            <v>55.000666666666653</v>
          </cell>
          <cell r="T341">
            <v>41.966999999999999</v>
          </cell>
          <cell r="U341">
            <v>42.791666666666671</v>
          </cell>
        </row>
        <row r="342">
          <cell r="A342">
            <v>40955</v>
          </cell>
          <cell r="B342">
            <v>41.22</v>
          </cell>
          <cell r="C342">
            <v>31.64</v>
          </cell>
          <cell r="D342">
            <v>41.97</v>
          </cell>
          <cell r="E342">
            <v>47.99</v>
          </cell>
          <cell r="F342">
            <v>48.36</v>
          </cell>
          <cell r="G342">
            <v>33.590000000000003</v>
          </cell>
          <cell r="H342">
            <v>54.59</v>
          </cell>
          <cell r="I342">
            <v>42.72</v>
          </cell>
          <cell r="J342">
            <v>42.01</v>
          </cell>
          <cell r="L342">
            <v>40955</v>
          </cell>
          <cell r="M342">
            <v>41.489000000000004</v>
          </cell>
          <cell r="N342">
            <v>32.338666666666676</v>
          </cell>
          <cell r="O342">
            <v>41.305</v>
          </cell>
          <cell r="P342">
            <v>48.198999999999991</v>
          </cell>
          <cell r="Q342">
            <v>47.734000000000002</v>
          </cell>
          <cell r="R342">
            <v>33.231000000000002</v>
          </cell>
          <cell r="S342">
            <v>55.065999999999988</v>
          </cell>
          <cell r="T342">
            <v>41.958666666666666</v>
          </cell>
          <cell r="U342">
            <v>42.867000000000004</v>
          </cell>
        </row>
        <row r="343">
          <cell r="A343">
            <v>40954</v>
          </cell>
          <cell r="B343">
            <v>40.75</v>
          </cell>
          <cell r="C343">
            <v>31.45</v>
          </cell>
          <cell r="D343">
            <v>41.51</v>
          </cell>
          <cell r="E343">
            <v>46.98</v>
          </cell>
          <cell r="F343">
            <v>47.46</v>
          </cell>
          <cell r="G343">
            <v>32.979999999999997</v>
          </cell>
          <cell r="H343">
            <v>53.65</v>
          </cell>
          <cell r="I343">
            <v>41.86</v>
          </cell>
          <cell r="J343">
            <v>41.11</v>
          </cell>
          <cell r="L343">
            <v>40954</v>
          </cell>
          <cell r="M343">
            <v>41.504000000000005</v>
          </cell>
          <cell r="N343">
            <v>32.38333333333334</v>
          </cell>
          <cell r="O343">
            <v>41.257999999999996</v>
          </cell>
          <cell r="P343">
            <v>48.239000000000004</v>
          </cell>
          <cell r="Q343">
            <v>47.707000000000001</v>
          </cell>
          <cell r="R343">
            <v>33.237000000000002</v>
          </cell>
          <cell r="S343">
            <v>55.132333333333321</v>
          </cell>
          <cell r="T343">
            <v>41.940666666666672</v>
          </cell>
          <cell r="U343">
            <v>42.943666666666672</v>
          </cell>
        </row>
        <row r="344">
          <cell r="A344">
            <v>40953</v>
          </cell>
          <cell r="B344">
            <v>41.19</v>
          </cell>
          <cell r="C344">
            <v>31.54</v>
          </cell>
          <cell r="D344">
            <v>41.84</v>
          </cell>
          <cell r="E344">
            <v>47.39</v>
          </cell>
          <cell r="F344">
            <v>47.6</v>
          </cell>
          <cell r="G344">
            <v>33.33</v>
          </cell>
          <cell r="H344">
            <v>54.15</v>
          </cell>
          <cell r="I344">
            <v>41.88</v>
          </cell>
          <cell r="J344">
            <v>41.44</v>
          </cell>
          <cell r="L344">
            <v>40953</v>
          </cell>
          <cell r="M344">
            <v>41.548999999999999</v>
          </cell>
          <cell r="N344">
            <v>32.440000000000005</v>
          </cell>
          <cell r="O344">
            <v>41.229333333333329</v>
          </cell>
          <cell r="P344">
            <v>48.326999999999991</v>
          </cell>
          <cell r="Q344">
            <v>47.721666666666678</v>
          </cell>
          <cell r="R344">
            <v>33.275333333333336</v>
          </cell>
          <cell r="S344">
            <v>55.241666666666653</v>
          </cell>
          <cell r="T344">
            <v>41.965666666666671</v>
          </cell>
          <cell r="U344">
            <v>43.05</v>
          </cell>
        </row>
        <row r="345">
          <cell r="A345">
            <v>40952</v>
          </cell>
          <cell r="B345">
            <v>41.21</v>
          </cell>
          <cell r="C345">
            <v>31.75</v>
          </cell>
          <cell r="D345">
            <v>42.03</v>
          </cell>
          <cell r="E345">
            <v>47.73</v>
          </cell>
          <cell r="F345">
            <v>48.01</v>
          </cell>
          <cell r="G345">
            <v>33.380000000000003</v>
          </cell>
          <cell r="H345">
            <v>54.41</v>
          </cell>
          <cell r="I345">
            <v>42.05</v>
          </cell>
          <cell r="J345">
            <v>41.7</v>
          </cell>
          <cell r="L345">
            <v>40952</v>
          </cell>
          <cell r="M345">
            <v>41.584666666666664</v>
          </cell>
          <cell r="N345">
            <v>32.500333333333337</v>
          </cell>
          <cell r="O345">
            <v>41.183666666666667</v>
          </cell>
          <cell r="P345">
            <v>48.387333333333324</v>
          </cell>
          <cell r="Q345">
            <v>47.732666666666674</v>
          </cell>
          <cell r="R345">
            <v>33.297000000000004</v>
          </cell>
          <cell r="S345">
            <v>55.330333333333321</v>
          </cell>
          <cell r="T345">
            <v>41.986000000000004</v>
          </cell>
          <cell r="U345">
            <v>43.142666666666663</v>
          </cell>
        </row>
        <row r="346">
          <cell r="A346">
            <v>40949</v>
          </cell>
          <cell r="B346">
            <v>41.56</v>
          </cell>
          <cell r="C346">
            <v>31.56</v>
          </cell>
          <cell r="D346">
            <v>41.95</v>
          </cell>
          <cell r="E346">
            <v>47.31</v>
          </cell>
          <cell r="F346">
            <v>47.75</v>
          </cell>
          <cell r="G346">
            <v>33.24</v>
          </cell>
          <cell r="H346">
            <v>54.02</v>
          </cell>
          <cell r="I346">
            <v>42.21</v>
          </cell>
          <cell r="J346">
            <v>41.56</v>
          </cell>
          <cell r="L346">
            <v>40949</v>
          </cell>
          <cell r="M346">
            <v>41.634333333333331</v>
          </cell>
          <cell r="N346">
            <v>32.564</v>
          </cell>
          <cell r="O346">
            <v>41.152333333333331</v>
          </cell>
          <cell r="P346">
            <v>48.463333333333331</v>
          </cell>
          <cell r="Q346">
            <v>47.754333333333342</v>
          </cell>
          <cell r="R346">
            <v>33.332000000000001</v>
          </cell>
          <cell r="S346">
            <v>55.431999999999988</v>
          </cell>
          <cell r="T346">
            <v>42.01766666666667</v>
          </cell>
          <cell r="U346">
            <v>43.242666666666665</v>
          </cell>
        </row>
        <row r="347">
          <cell r="A347">
            <v>40948</v>
          </cell>
          <cell r="B347">
            <v>41.8</v>
          </cell>
          <cell r="C347">
            <v>32.15</v>
          </cell>
          <cell r="D347">
            <v>42.2</v>
          </cell>
          <cell r="E347">
            <v>48.23</v>
          </cell>
          <cell r="F347">
            <v>48.28</v>
          </cell>
          <cell r="G347">
            <v>33.57</v>
          </cell>
          <cell r="H347">
            <v>54.82</v>
          </cell>
          <cell r="I347">
            <v>42.44</v>
          </cell>
          <cell r="J347">
            <v>41.94</v>
          </cell>
          <cell r="L347">
            <v>40948</v>
          </cell>
          <cell r="M347">
            <v>41.654666666666671</v>
          </cell>
          <cell r="N347">
            <v>32.627000000000002</v>
          </cell>
          <cell r="O347">
            <v>41.11033333333333</v>
          </cell>
          <cell r="P347">
            <v>48.530999999999985</v>
          </cell>
          <cell r="Q347">
            <v>47.769000000000013</v>
          </cell>
          <cell r="R347">
            <v>33.358333333333334</v>
          </cell>
          <cell r="S347">
            <v>55.518333333333317</v>
          </cell>
          <cell r="T347">
            <v>42.038666666666671</v>
          </cell>
          <cell r="U347">
            <v>43.331000000000003</v>
          </cell>
        </row>
        <row r="348">
          <cell r="A348">
            <v>40947</v>
          </cell>
          <cell r="B348">
            <v>41.69</v>
          </cell>
          <cell r="C348">
            <v>32.380000000000003</v>
          </cell>
          <cell r="D348">
            <v>42.61</v>
          </cell>
          <cell r="E348">
            <v>48.88</v>
          </cell>
          <cell r="F348">
            <v>48.61</v>
          </cell>
          <cell r="G348">
            <v>33.82</v>
          </cell>
          <cell r="H348">
            <v>55.3</v>
          </cell>
          <cell r="I348">
            <v>42.71</v>
          </cell>
          <cell r="J348">
            <v>42.57</v>
          </cell>
          <cell r="L348">
            <v>40947</v>
          </cell>
          <cell r="M348">
            <v>41.67166666666666</v>
          </cell>
          <cell r="N348">
            <v>32.673333333333332</v>
          </cell>
          <cell r="O348">
            <v>41.073666666666661</v>
          </cell>
          <cell r="P348">
            <v>48.581999999999987</v>
          </cell>
          <cell r="Q348">
            <v>47.777333333333345</v>
          </cell>
          <cell r="R348">
            <v>33.38366666666667</v>
          </cell>
          <cell r="S348">
            <v>55.605333333333313</v>
          </cell>
          <cell r="T348">
            <v>42.054333333333339</v>
          </cell>
          <cell r="U348">
            <v>43.417333333333332</v>
          </cell>
        </row>
        <row r="349">
          <cell r="A349">
            <v>40946</v>
          </cell>
          <cell r="B349">
            <v>41.65</v>
          </cell>
          <cell r="C349">
            <v>32.869999999999997</v>
          </cell>
          <cell r="D349">
            <v>42.45</v>
          </cell>
          <cell r="E349">
            <v>48.85</v>
          </cell>
          <cell r="F349">
            <v>48.72</v>
          </cell>
          <cell r="G349">
            <v>33.799999999999997</v>
          </cell>
          <cell r="H349">
            <v>55.4</v>
          </cell>
          <cell r="I349">
            <v>42.63</v>
          </cell>
          <cell r="J349">
            <v>42.82</v>
          </cell>
          <cell r="L349">
            <v>40946</v>
          </cell>
          <cell r="M349">
            <v>41.68</v>
          </cell>
          <cell r="N349">
            <v>32.702333333333328</v>
          </cell>
          <cell r="O349">
            <v>41.01</v>
          </cell>
          <cell r="P349">
            <v>48.585333333333324</v>
          </cell>
          <cell r="Q349">
            <v>47.764000000000003</v>
          </cell>
          <cell r="R349">
            <v>33.390333333333331</v>
          </cell>
          <cell r="S349">
            <v>55.657999999999987</v>
          </cell>
          <cell r="T349">
            <v>42.050666666666665</v>
          </cell>
          <cell r="U349">
            <v>43.463666666666668</v>
          </cell>
        </row>
        <row r="350">
          <cell r="A350">
            <v>40945</v>
          </cell>
          <cell r="B350">
            <v>41.25</v>
          </cell>
          <cell r="C350">
            <v>32.6</v>
          </cell>
          <cell r="D350">
            <v>42.39</v>
          </cell>
          <cell r="E350">
            <v>48.79</v>
          </cell>
          <cell r="F350">
            <v>49.13</v>
          </cell>
          <cell r="G350">
            <v>33.67</v>
          </cell>
          <cell r="H350">
            <v>55.37</v>
          </cell>
          <cell r="I350">
            <v>42.64</v>
          </cell>
          <cell r="J350">
            <v>42.79</v>
          </cell>
          <cell r="L350">
            <v>40945</v>
          </cell>
          <cell r="M350">
            <v>41.685666666666663</v>
          </cell>
          <cell r="N350">
            <v>32.711666666666666</v>
          </cell>
          <cell r="O350">
            <v>40.947666666666663</v>
          </cell>
          <cell r="P350">
            <v>48.582999999999991</v>
          </cell>
          <cell r="Q350">
            <v>47.741666666666667</v>
          </cell>
          <cell r="R350">
            <v>33.388666666666659</v>
          </cell>
          <cell r="S350">
            <v>55.703666666666656</v>
          </cell>
          <cell r="T350">
            <v>42.038999999999994</v>
          </cell>
          <cell r="U350">
            <v>43.496000000000002</v>
          </cell>
        </row>
        <row r="351">
          <cell r="A351">
            <v>40942</v>
          </cell>
          <cell r="B351">
            <v>41.55</v>
          </cell>
          <cell r="C351">
            <v>32.799999999999997</v>
          </cell>
          <cell r="D351">
            <v>42.85</v>
          </cell>
          <cell r="E351">
            <v>48.9</v>
          </cell>
          <cell r="F351">
            <v>49.28</v>
          </cell>
          <cell r="G351">
            <v>33.83</v>
          </cell>
          <cell r="H351">
            <v>55.91</v>
          </cell>
          <cell r="I351">
            <v>42.68</v>
          </cell>
          <cell r="J351">
            <v>43.35</v>
          </cell>
          <cell r="L351">
            <v>40942</v>
          </cell>
          <cell r="M351">
            <v>41.707000000000008</v>
          </cell>
          <cell r="N351">
            <v>32.725999999999999</v>
          </cell>
          <cell r="O351">
            <v>40.893000000000001</v>
          </cell>
          <cell r="P351">
            <v>48.577666666666666</v>
          </cell>
          <cell r="Q351">
            <v>47.705333333333336</v>
          </cell>
          <cell r="R351">
            <v>33.402999999999999</v>
          </cell>
          <cell r="S351">
            <v>55.755666666666663</v>
          </cell>
          <cell r="T351">
            <v>42.024000000000001</v>
          </cell>
          <cell r="U351">
            <v>43.525333333333336</v>
          </cell>
        </row>
        <row r="352">
          <cell r="A352">
            <v>40941</v>
          </cell>
          <cell r="B352">
            <v>41.59</v>
          </cell>
          <cell r="C352">
            <v>32.619999999999997</v>
          </cell>
          <cell r="D352">
            <v>42.6</v>
          </cell>
          <cell r="E352">
            <v>48.36</v>
          </cell>
          <cell r="F352">
            <v>48.55</v>
          </cell>
          <cell r="G352">
            <v>33.46</v>
          </cell>
          <cell r="H352">
            <v>55.04</v>
          </cell>
          <cell r="I352">
            <v>42.26</v>
          </cell>
          <cell r="J352">
            <v>42.98</v>
          </cell>
          <cell r="L352">
            <v>40941</v>
          </cell>
          <cell r="M352">
            <v>41.715000000000003</v>
          </cell>
          <cell r="N352">
            <v>32.723666666666666</v>
          </cell>
          <cell r="O352">
            <v>40.803999999999995</v>
          </cell>
          <cell r="P352">
            <v>48.567666666666661</v>
          </cell>
          <cell r="Q352">
            <v>47.655999999999999</v>
          </cell>
          <cell r="R352">
            <v>33.408666666666662</v>
          </cell>
          <cell r="S352">
            <v>55.764333333333333</v>
          </cell>
          <cell r="T352">
            <v>41.995666666666665</v>
          </cell>
          <cell r="U352">
            <v>43.524666666666668</v>
          </cell>
        </row>
        <row r="353">
          <cell r="A353">
            <v>40940</v>
          </cell>
          <cell r="B353">
            <v>41.69</v>
          </cell>
          <cell r="C353">
            <v>32.619999999999997</v>
          </cell>
          <cell r="D353">
            <v>42.63</v>
          </cell>
          <cell r="E353">
            <v>48.03</v>
          </cell>
          <cell r="F353">
            <v>48.5</v>
          </cell>
          <cell r="G353">
            <v>33.39</v>
          </cell>
          <cell r="H353">
            <v>54.86</v>
          </cell>
          <cell r="I353">
            <v>42.41</v>
          </cell>
          <cell r="J353">
            <v>43.2</v>
          </cell>
          <cell r="L353">
            <v>40940</v>
          </cell>
          <cell r="M353">
            <v>41.675333333333334</v>
          </cell>
          <cell r="N353">
            <v>32.707666666666661</v>
          </cell>
          <cell r="O353">
            <v>40.681000000000004</v>
          </cell>
          <cell r="P353">
            <v>48.522666666666659</v>
          </cell>
          <cell r="Q353">
            <v>47.585666666666654</v>
          </cell>
          <cell r="R353">
            <v>33.393666666666661</v>
          </cell>
          <cell r="S353">
            <v>55.741666666666667</v>
          </cell>
          <cell r="T353">
            <v>41.91599999999999</v>
          </cell>
          <cell r="U353">
            <v>43.489333333333335</v>
          </cell>
        </row>
        <row r="354">
          <cell r="A354">
            <v>40939</v>
          </cell>
          <cell r="B354">
            <v>41.51</v>
          </cell>
          <cell r="C354">
            <v>32.409999999999997</v>
          </cell>
          <cell r="D354">
            <v>41.66</v>
          </cell>
          <cell r="E354">
            <v>47.72</v>
          </cell>
          <cell r="F354">
            <v>47.55</v>
          </cell>
          <cell r="G354">
            <v>32.92</v>
          </cell>
          <cell r="H354">
            <v>54.88</v>
          </cell>
          <cell r="I354">
            <v>41.8</v>
          </cell>
          <cell r="J354">
            <v>42.65</v>
          </cell>
          <cell r="L354">
            <v>40939</v>
          </cell>
          <cell r="M354">
            <v>41.652666666666669</v>
          </cell>
          <cell r="N354">
            <v>32.711999999999996</v>
          </cell>
          <cell r="O354">
            <v>40.576666666666682</v>
          </cell>
          <cell r="P354">
            <v>48.503666666666668</v>
          </cell>
          <cell r="Q354">
            <v>47.531666666666659</v>
          </cell>
          <cell r="R354">
            <v>33.397999999999996</v>
          </cell>
          <cell r="S354">
            <v>55.74366666666667</v>
          </cell>
          <cell r="T354">
            <v>41.832666666666661</v>
          </cell>
          <cell r="U354">
            <v>43.468333333333334</v>
          </cell>
        </row>
        <row r="355">
          <cell r="A355">
            <v>40938</v>
          </cell>
          <cell r="B355">
            <v>41.33</v>
          </cell>
          <cell r="C355">
            <v>32.119999999999997</v>
          </cell>
          <cell r="D355">
            <v>41.56</v>
          </cell>
          <cell r="E355">
            <v>46.97</v>
          </cell>
          <cell r="F355">
            <v>47.22</v>
          </cell>
          <cell r="G355">
            <v>32.78</v>
          </cell>
          <cell r="H355">
            <v>54.16</v>
          </cell>
          <cell r="I355">
            <v>41.78</v>
          </cell>
          <cell r="J355">
            <v>42.55</v>
          </cell>
          <cell r="L355">
            <v>40938</v>
          </cell>
          <cell r="M355">
            <v>41.63333333333334</v>
          </cell>
          <cell r="N355">
            <v>32.711999999999996</v>
          </cell>
          <cell r="O355">
            <v>40.505333333333347</v>
          </cell>
          <cell r="P355">
            <v>48.50033333333333</v>
          </cell>
          <cell r="Q355">
            <v>47.511333333333333</v>
          </cell>
          <cell r="R355">
            <v>33.423666666666662</v>
          </cell>
          <cell r="S355">
            <v>55.736000000000011</v>
          </cell>
          <cell r="T355">
            <v>41.778333333333336</v>
          </cell>
          <cell r="U355">
            <v>43.457000000000001</v>
          </cell>
        </row>
        <row r="356">
          <cell r="A356">
            <v>40935</v>
          </cell>
          <cell r="B356">
            <v>41.91</v>
          </cell>
          <cell r="C356">
            <v>32.340000000000003</v>
          </cell>
          <cell r="D356">
            <v>41.91</v>
          </cell>
          <cell r="E356">
            <v>48.1</v>
          </cell>
          <cell r="F356">
            <v>47.64</v>
          </cell>
          <cell r="G356">
            <v>33.17</v>
          </cell>
          <cell r="H356">
            <v>55.02</v>
          </cell>
          <cell r="I356">
            <v>42.41</v>
          </cell>
          <cell r="J356">
            <v>43.07</v>
          </cell>
          <cell r="L356">
            <v>40935</v>
          </cell>
          <cell r="M356">
            <v>41.594666666666669</v>
          </cell>
          <cell r="N356">
            <v>32.707666666666661</v>
          </cell>
          <cell r="O356">
            <v>40.430000000000014</v>
          </cell>
          <cell r="P356">
            <v>48.484666666666662</v>
          </cell>
          <cell r="Q356">
            <v>47.467333333333336</v>
          </cell>
          <cell r="R356">
            <v>33.428000000000004</v>
          </cell>
          <cell r="S356">
            <v>55.713333333333345</v>
          </cell>
          <cell r="T356">
            <v>41.711333333333329</v>
          </cell>
          <cell r="U356">
            <v>43.420666666666669</v>
          </cell>
        </row>
        <row r="357">
          <cell r="A357">
            <v>40934</v>
          </cell>
          <cell r="B357">
            <v>42.28</v>
          </cell>
          <cell r="C357">
            <v>33.01</v>
          </cell>
          <cell r="D357">
            <v>41.36</v>
          </cell>
          <cell r="E357">
            <v>48.91</v>
          </cell>
          <cell r="F357">
            <v>48.2</v>
          </cell>
          <cell r="G357">
            <v>33.479999999999997</v>
          </cell>
          <cell r="H357">
            <v>55.27</v>
          </cell>
          <cell r="I357">
            <v>42.36</v>
          </cell>
          <cell r="J357">
            <v>43.46</v>
          </cell>
          <cell r="L357">
            <v>40934</v>
          </cell>
          <cell r="M357">
            <v>41.534333333333343</v>
          </cell>
          <cell r="N357">
            <v>32.699666666666666</v>
          </cell>
          <cell r="O357">
            <v>40.356666666666669</v>
          </cell>
          <cell r="P357">
            <v>48.44433333333334</v>
          </cell>
          <cell r="Q357">
            <v>47.424666666666667</v>
          </cell>
          <cell r="R357">
            <v>33.408999999999999</v>
          </cell>
          <cell r="S357">
            <v>55.690666666666672</v>
          </cell>
          <cell r="T357">
            <v>41.612333333333332</v>
          </cell>
          <cell r="U357">
            <v>43.381333333333345</v>
          </cell>
        </row>
        <row r="358">
          <cell r="A358">
            <v>40933</v>
          </cell>
          <cell r="B358">
            <v>41.97</v>
          </cell>
          <cell r="C358">
            <v>32.6</v>
          </cell>
          <cell r="D358">
            <v>40.97</v>
          </cell>
          <cell r="E358">
            <v>48.18</v>
          </cell>
          <cell r="F358">
            <v>47.24</v>
          </cell>
          <cell r="G358">
            <v>32.96</v>
          </cell>
          <cell r="H358">
            <v>54.54</v>
          </cell>
          <cell r="I358">
            <v>42.07</v>
          </cell>
          <cell r="J358">
            <v>43.2</v>
          </cell>
          <cell r="L358">
            <v>40933</v>
          </cell>
          <cell r="M358">
            <v>41.45033333333334</v>
          </cell>
          <cell r="N358">
            <v>32.676666666666669</v>
          </cell>
          <cell r="O358">
            <v>40.301000000000009</v>
          </cell>
          <cell r="P358">
            <v>48.373333333333335</v>
          </cell>
          <cell r="Q358">
            <v>47.356333333333332</v>
          </cell>
          <cell r="R358">
            <v>33.380000000000003</v>
          </cell>
          <cell r="S358">
            <v>55.656666666666673</v>
          </cell>
          <cell r="T358">
            <v>41.50833333333334</v>
          </cell>
          <cell r="U358">
            <v>43.326333333333338</v>
          </cell>
        </row>
        <row r="359">
          <cell r="A359">
            <v>40932</v>
          </cell>
          <cell r="B359">
            <v>41.45</v>
          </cell>
          <cell r="C359">
            <v>32.22</v>
          </cell>
          <cell r="D359">
            <v>40.619999999999997</v>
          </cell>
          <cell r="E359">
            <v>47.99</v>
          </cell>
          <cell r="F359">
            <v>46.96</v>
          </cell>
          <cell r="G359">
            <v>32.74</v>
          </cell>
          <cell r="H359">
            <v>54.71</v>
          </cell>
          <cell r="I359">
            <v>41.44</v>
          </cell>
          <cell r="J359">
            <v>43</v>
          </cell>
          <cell r="L359">
            <v>40932</v>
          </cell>
          <cell r="M359">
            <v>41.367333333333342</v>
          </cell>
          <cell r="N359">
            <v>32.685666666666663</v>
          </cell>
          <cell r="O359">
            <v>40.263333333333335</v>
          </cell>
          <cell r="P359">
            <v>48.353333333333332</v>
          </cell>
          <cell r="Q359">
            <v>47.338333333333338</v>
          </cell>
          <cell r="R359">
            <v>33.380000000000003</v>
          </cell>
          <cell r="S359">
            <v>55.664666666666676</v>
          </cell>
          <cell r="T359">
            <v>41.410000000000004</v>
          </cell>
          <cell r="U359">
            <v>43.30466666666667</v>
          </cell>
        </row>
        <row r="360">
          <cell r="A360">
            <v>40931</v>
          </cell>
          <cell r="B360">
            <v>41.92</v>
          </cell>
          <cell r="C360">
            <v>32.57</v>
          </cell>
          <cell r="D360">
            <v>40.53</v>
          </cell>
          <cell r="E360">
            <v>47.82</v>
          </cell>
          <cell r="F360">
            <v>47.28</v>
          </cell>
          <cell r="G360">
            <v>32.75</v>
          </cell>
          <cell r="H360">
            <v>55.1</v>
          </cell>
          <cell r="I360">
            <v>41.85</v>
          </cell>
          <cell r="J360">
            <v>43.13</v>
          </cell>
          <cell r="L360">
            <v>40931</v>
          </cell>
          <cell r="M360">
            <v>41.307000000000002</v>
          </cell>
          <cell r="N360">
            <v>32.690000000000005</v>
          </cell>
          <cell r="O360">
            <v>40.206000000000003</v>
          </cell>
          <cell r="P360">
            <v>48.287000000000006</v>
          </cell>
          <cell r="Q360">
            <v>47.303000000000004</v>
          </cell>
          <cell r="R360">
            <v>33.355666666666664</v>
          </cell>
          <cell r="S360">
            <v>55.619</v>
          </cell>
          <cell r="T360">
            <v>41.30533333333333</v>
          </cell>
          <cell r="U360">
            <v>43.257666666666665</v>
          </cell>
        </row>
        <row r="361">
          <cell r="A361">
            <v>40928</v>
          </cell>
          <cell r="B361">
            <v>42.05</v>
          </cell>
          <cell r="C361">
            <v>32.56</v>
          </cell>
          <cell r="D361">
            <v>40.54</v>
          </cell>
          <cell r="E361">
            <v>47.83</v>
          </cell>
          <cell r="F361">
            <v>47.06</v>
          </cell>
          <cell r="G361">
            <v>32.71</v>
          </cell>
          <cell r="H361">
            <v>54.74</v>
          </cell>
          <cell r="I361">
            <v>41.71</v>
          </cell>
          <cell r="J361">
            <v>43.27</v>
          </cell>
          <cell r="L361">
            <v>40928</v>
          </cell>
          <cell r="M361">
            <v>41.266666666666666</v>
          </cell>
          <cell r="N361">
            <v>32.699666666666673</v>
          </cell>
          <cell r="O361">
            <v>40.190333333333335</v>
          </cell>
          <cell r="P361">
            <v>48.270333333333333</v>
          </cell>
          <cell r="Q361">
            <v>47.290000000000006</v>
          </cell>
          <cell r="R361">
            <v>33.36</v>
          </cell>
          <cell r="S361">
            <v>55.609000000000002</v>
          </cell>
          <cell r="T361">
            <v>41.230999999999995</v>
          </cell>
          <cell r="U361">
            <v>43.240333333333325</v>
          </cell>
        </row>
        <row r="362">
          <cell r="A362">
            <v>40927</v>
          </cell>
          <cell r="B362">
            <v>41.36</v>
          </cell>
          <cell r="C362">
            <v>32.15</v>
          </cell>
          <cell r="D362">
            <v>40.28</v>
          </cell>
          <cell r="E362">
            <v>47.67</v>
          </cell>
          <cell r="F362">
            <v>47.02</v>
          </cell>
          <cell r="G362">
            <v>32.659999999999997</v>
          </cell>
          <cell r="H362">
            <v>54.43</v>
          </cell>
          <cell r="I362">
            <v>41.37</v>
          </cell>
          <cell r="J362">
            <v>43.07</v>
          </cell>
          <cell r="L362">
            <v>40927</v>
          </cell>
          <cell r="M362">
            <v>41.229333333333344</v>
          </cell>
          <cell r="N362">
            <v>32.722000000000001</v>
          </cell>
          <cell r="O362">
            <v>40.192666666666668</v>
          </cell>
          <cell r="P362">
            <v>48.254999999999995</v>
          </cell>
          <cell r="Q362">
            <v>47.290666666666674</v>
          </cell>
          <cell r="R362">
            <v>33.37166666666667</v>
          </cell>
          <cell r="S362">
            <v>55.626999999999988</v>
          </cell>
          <cell r="T362">
            <v>41.161999999999999</v>
          </cell>
          <cell r="U362">
            <v>43.225333333333332</v>
          </cell>
        </row>
        <row r="363">
          <cell r="A363">
            <v>40926</v>
          </cell>
          <cell r="B363">
            <v>41.75</v>
          </cell>
          <cell r="C363">
            <v>32.49</v>
          </cell>
          <cell r="D363">
            <v>40.409999999999997</v>
          </cell>
          <cell r="E363">
            <v>48.17</v>
          </cell>
          <cell r="F363">
            <v>47.22</v>
          </cell>
          <cell r="G363">
            <v>32.880000000000003</v>
          </cell>
          <cell r="H363">
            <v>55</v>
          </cell>
          <cell r="I363">
            <v>41.67</v>
          </cell>
          <cell r="J363">
            <v>43.38</v>
          </cell>
          <cell r="L363">
            <v>40926</v>
          </cell>
          <cell r="M363">
            <v>41.206666666666678</v>
          </cell>
          <cell r="N363">
            <v>32.759666666666668</v>
          </cell>
          <cell r="O363">
            <v>40.19533333333333</v>
          </cell>
          <cell r="P363">
            <v>48.230333333333327</v>
          </cell>
          <cell r="Q363">
            <v>47.290666666666667</v>
          </cell>
          <cell r="R363">
            <v>33.381666666666668</v>
          </cell>
          <cell r="S363">
            <v>55.656333333333322</v>
          </cell>
          <cell r="T363">
            <v>41.104333333333329</v>
          </cell>
          <cell r="U363">
            <v>43.209666666666656</v>
          </cell>
        </row>
        <row r="364">
          <cell r="A364">
            <v>40925</v>
          </cell>
          <cell r="B364">
            <v>41.57</v>
          </cell>
          <cell r="C364">
            <v>32.340000000000003</v>
          </cell>
          <cell r="D364">
            <v>40.270000000000003</v>
          </cell>
          <cell r="E364">
            <v>48.03</v>
          </cell>
          <cell r="F364">
            <v>47.17</v>
          </cell>
          <cell r="G364">
            <v>33.08</v>
          </cell>
          <cell r="H364">
            <v>55.55</v>
          </cell>
          <cell r="I364">
            <v>41.34</v>
          </cell>
          <cell r="J364">
            <v>43.72</v>
          </cell>
          <cell r="L364">
            <v>40925</v>
          </cell>
          <cell r="M364">
            <v>41.162333333333343</v>
          </cell>
          <cell r="N364">
            <v>32.760666666666665</v>
          </cell>
          <cell r="O364">
            <v>40.17166666666666</v>
          </cell>
          <cell r="P364">
            <v>48.171333333333337</v>
          </cell>
          <cell r="Q364">
            <v>47.258666666666663</v>
          </cell>
          <cell r="R364">
            <v>33.364666666666665</v>
          </cell>
          <cell r="S364">
            <v>55.651333333333319</v>
          </cell>
          <cell r="T364">
            <v>41.026333333333334</v>
          </cell>
          <cell r="U364">
            <v>43.172333333333327</v>
          </cell>
        </row>
        <row r="365">
          <cell r="A365">
            <v>40921</v>
          </cell>
          <cell r="B365">
            <v>41.23</v>
          </cell>
          <cell r="C365">
            <v>32.29</v>
          </cell>
          <cell r="D365">
            <v>40.11</v>
          </cell>
          <cell r="E365">
            <v>47.9</v>
          </cell>
          <cell r="F365">
            <v>47.05</v>
          </cell>
          <cell r="G365">
            <v>32.82</v>
          </cell>
          <cell r="H365">
            <v>55.21</v>
          </cell>
          <cell r="I365">
            <v>40.75</v>
          </cell>
          <cell r="J365">
            <v>43.43</v>
          </cell>
          <cell r="L365">
            <v>40921</v>
          </cell>
          <cell r="M365">
            <v>41.139666666666685</v>
          </cell>
          <cell r="N365">
            <v>32.820666666666668</v>
          </cell>
          <cell r="O365">
            <v>40.153333333333322</v>
          </cell>
          <cell r="P365">
            <v>48.137000000000008</v>
          </cell>
          <cell r="Q365">
            <v>47.230333333333334</v>
          </cell>
          <cell r="R365">
            <v>33.346666666666664</v>
          </cell>
          <cell r="S365">
            <v>55.665666666666652</v>
          </cell>
          <cell r="T365">
            <v>40.987333333333339</v>
          </cell>
          <cell r="U365">
            <v>43.136333333333326</v>
          </cell>
        </row>
        <row r="366">
          <cell r="A366">
            <v>40920</v>
          </cell>
          <cell r="B366">
            <v>41.09</v>
          </cell>
          <cell r="C366">
            <v>32.44</v>
          </cell>
          <cell r="D366">
            <v>40.25</v>
          </cell>
          <cell r="E366">
            <v>48.27</v>
          </cell>
          <cell r="F366">
            <v>47.25</v>
          </cell>
          <cell r="G366">
            <v>33.049999999999997</v>
          </cell>
          <cell r="H366">
            <v>55.65</v>
          </cell>
          <cell r="I366">
            <v>40.950000000000003</v>
          </cell>
          <cell r="J366">
            <v>43.4</v>
          </cell>
          <cell r="L366">
            <v>40920</v>
          </cell>
          <cell r="M366">
            <v>41.139666666666677</v>
          </cell>
          <cell r="N366">
            <v>32.884666666666668</v>
          </cell>
          <cell r="O366">
            <v>40.153999999999996</v>
          </cell>
          <cell r="P366">
            <v>48.117333333333335</v>
          </cell>
          <cell r="Q366">
            <v>47.230666666666671</v>
          </cell>
          <cell r="R366">
            <v>33.351666666666667</v>
          </cell>
          <cell r="S366">
            <v>55.697999999999986</v>
          </cell>
          <cell r="T366">
            <v>40.976666666666674</v>
          </cell>
          <cell r="U366">
            <v>43.117666666666658</v>
          </cell>
        </row>
        <row r="367">
          <cell r="A367">
            <v>40919</v>
          </cell>
          <cell r="B367">
            <v>41.12</v>
          </cell>
          <cell r="C367">
            <v>32.49</v>
          </cell>
          <cell r="D367">
            <v>40.17</v>
          </cell>
          <cell r="E367">
            <v>48.52</v>
          </cell>
          <cell r="F367">
            <v>47.32</v>
          </cell>
          <cell r="G367">
            <v>33.24</v>
          </cell>
          <cell r="H367">
            <v>55.86</v>
          </cell>
          <cell r="I367">
            <v>41.06</v>
          </cell>
          <cell r="J367">
            <v>43.31</v>
          </cell>
          <cell r="L367">
            <v>40919</v>
          </cell>
          <cell r="M367">
            <v>41.093666666666671</v>
          </cell>
          <cell r="N367">
            <v>32.913333333333334</v>
          </cell>
          <cell r="O367">
            <v>40.122</v>
          </cell>
          <cell r="P367">
            <v>48.046999999999997</v>
          </cell>
          <cell r="Q367">
            <v>47.194333333333333</v>
          </cell>
          <cell r="R367">
            <v>33.303333333333335</v>
          </cell>
          <cell r="S367">
            <v>55.655333333333303</v>
          </cell>
          <cell r="T367">
            <v>40.905333333333338</v>
          </cell>
          <cell r="U367">
            <v>43.06433333333333</v>
          </cell>
        </row>
        <row r="368">
          <cell r="A368">
            <v>40918</v>
          </cell>
          <cell r="B368">
            <v>41.05</v>
          </cell>
          <cell r="C368">
            <v>32.270000000000003</v>
          </cell>
          <cell r="D368">
            <v>40.49</v>
          </cell>
          <cell r="E368">
            <v>48.93</v>
          </cell>
          <cell r="F368">
            <v>47.3</v>
          </cell>
          <cell r="G368">
            <v>33.47</v>
          </cell>
          <cell r="H368">
            <v>56.08</v>
          </cell>
          <cell r="I368">
            <v>41.64</v>
          </cell>
          <cell r="J368">
            <v>43.38</v>
          </cell>
          <cell r="L368">
            <v>40918</v>
          </cell>
          <cell r="M368">
            <v>41.020666666666671</v>
          </cell>
          <cell r="N368">
            <v>32.922999999999995</v>
          </cell>
          <cell r="O368">
            <v>40.085666666666661</v>
          </cell>
          <cell r="P368">
            <v>47.946000000000005</v>
          </cell>
          <cell r="Q368">
            <v>47.139999999999993</v>
          </cell>
          <cell r="R368">
            <v>33.240333333333339</v>
          </cell>
          <cell r="S368">
            <v>55.591666666666654</v>
          </cell>
          <cell r="T368">
            <v>40.809666666666665</v>
          </cell>
          <cell r="U368">
            <v>42.98866666666666</v>
          </cell>
        </row>
        <row r="369">
          <cell r="A369">
            <v>40917</v>
          </cell>
          <cell r="B369">
            <v>41.04</v>
          </cell>
          <cell r="C369">
            <v>32.380000000000003</v>
          </cell>
          <cell r="D369">
            <v>40.08</v>
          </cell>
          <cell r="E369">
            <v>49.36</v>
          </cell>
          <cell r="F369">
            <v>47.17</v>
          </cell>
          <cell r="G369">
            <v>33.29</v>
          </cell>
          <cell r="H369">
            <v>55.62</v>
          </cell>
          <cell r="I369">
            <v>41.81</v>
          </cell>
          <cell r="J369">
            <v>43</v>
          </cell>
          <cell r="L369">
            <v>40917</v>
          </cell>
          <cell r="M369">
            <v>40.947000000000003</v>
          </cell>
          <cell r="N369">
            <v>32.93</v>
          </cell>
          <cell r="O369">
            <v>40.019666666666666</v>
          </cell>
          <cell r="P369">
            <v>47.805333333333337</v>
          </cell>
          <cell r="Q369">
            <v>47.055999999999997</v>
          </cell>
          <cell r="R369">
            <v>33.122</v>
          </cell>
          <cell r="S369">
            <v>55.469666666666654</v>
          </cell>
          <cell r="T369">
            <v>40.656666666666659</v>
          </cell>
          <cell r="U369">
            <v>42.885999999999996</v>
          </cell>
        </row>
        <row r="370">
          <cell r="A370">
            <v>40914</v>
          </cell>
          <cell r="B370">
            <v>41.18</v>
          </cell>
          <cell r="C370">
            <v>32.65</v>
          </cell>
          <cell r="D370">
            <v>40.25</v>
          </cell>
          <cell r="E370">
            <v>49.09</v>
          </cell>
          <cell r="F370">
            <v>47.42</v>
          </cell>
          <cell r="G370">
            <v>33.36</v>
          </cell>
          <cell r="H370">
            <v>56.02</v>
          </cell>
          <cell r="I370">
            <v>41.98</v>
          </cell>
          <cell r="J370">
            <v>43.32</v>
          </cell>
          <cell r="L370">
            <v>40914</v>
          </cell>
          <cell r="M370">
            <v>40.876333333333335</v>
          </cell>
          <cell r="N370">
            <v>32.935333333333332</v>
          </cell>
          <cell r="O370">
            <v>39.974333333333334</v>
          </cell>
          <cell r="P370">
            <v>47.655666666666669</v>
          </cell>
          <cell r="Q370">
            <v>46.98566666666666</v>
          </cell>
          <cell r="R370">
            <v>33.014333333333333</v>
          </cell>
          <cell r="S370">
            <v>55.36699999999999</v>
          </cell>
          <cell r="T370">
            <v>40.504666666666665</v>
          </cell>
          <cell r="U370">
            <v>42.792999999999999</v>
          </cell>
        </row>
        <row r="371">
          <cell r="A371">
            <v>40913</v>
          </cell>
          <cell r="B371">
            <v>41.71</v>
          </cell>
          <cell r="C371">
            <v>32.85</v>
          </cell>
          <cell r="D371">
            <v>40.659999999999997</v>
          </cell>
          <cell r="E371">
            <v>49.07</v>
          </cell>
          <cell r="F371">
            <v>47.7</v>
          </cell>
          <cell r="G371">
            <v>33.51</v>
          </cell>
          <cell r="H371">
            <v>56.62</v>
          </cell>
          <cell r="I371">
            <v>42.28</v>
          </cell>
          <cell r="J371">
            <v>44.2</v>
          </cell>
          <cell r="L371">
            <v>40913</v>
          </cell>
          <cell r="M371">
            <v>40.820666666666661</v>
          </cell>
          <cell r="N371">
            <v>32.950666666666663</v>
          </cell>
          <cell r="O371">
            <v>39.945666666666668</v>
          </cell>
          <cell r="P371">
            <v>47.559000000000005</v>
          </cell>
          <cell r="Q371">
            <v>46.918333333333329</v>
          </cell>
          <cell r="R371">
            <v>32.928333333333327</v>
          </cell>
          <cell r="S371">
            <v>55.291333333333327</v>
          </cell>
          <cell r="T371">
            <v>40.375999999999991</v>
          </cell>
          <cell r="U371">
            <v>42.724333333333334</v>
          </cell>
        </row>
        <row r="372">
          <cell r="A372">
            <v>40912</v>
          </cell>
          <cell r="B372">
            <v>41.67</v>
          </cell>
          <cell r="C372">
            <v>32.979999999999997</v>
          </cell>
          <cell r="D372">
            <v>40.56</v>
          </cell>
          <cell r="E372">
            <v>49.19</v>
          </cell>
          <cell r="F372">
            <v>47.55</v>
          </cell>
          <cell r="G372">
            <v>33.770000000000003</v>
          </cell>
          <cell r="H372">
            <v>56.58</v>
          </cell>
          <cell r="I372">
            <v>42.18</v>
          </cell>
          <cell r="J372">
            <v>44.31</v>
          </cell>
          <cell r="L372">
            <v>40912</v>
          </cell>
          <cell r="M372">
            <v>40.765333333333324</v>
          </cell>
          <cell r="N372">
            <v>32.992333333333335</v>
          </cell>
          <cell r="O372">
            <v>39.920666666666669</v>
          </cell>
          <cell r="P372">
            <v>47.466333333333331</v>
          </cell>
          <cell r="Q372">
            <v>46.860666666666667</v>
          </cell>
          <cell r="R372">
            <v>32.844666666666669</v>
          </cell>
          <cell r="S372">
            <v>55.193999999999996</v>
          </cell>
          <cell r="T372">
            <v>40.240999999999993</v>
          </cell>
          <cell r="U372">
            <v>42.614000000000004</v>
          </cell>
        </row>
        <row r="373">
          <cell r="A373">
            <v>40911</v>
          </cell>
          <cell r="B373">
            <v>42.1</v>
          </cell>
          <cell r="C373">
            <v>33.15</v>
          </cell>
          <cell r="D373">
            <v>40.65</v>
          </cell>
          <cell r="E373">
            <v>49.62</v>
          </cell>
          <cell r="F373">
            <v>47.9</v>
          </cell>
          <cell r="G373">
            <v>34.130000000000003</v>
          </cell>
          <cell r="H373">
            <v>56.93</v>
          </cell>
          <cell r="I373">
            <v>42.61</v>
          </cell>
          <cell r="J373">
            <v>44.3</v>
          </cell>
          <cell r="L373">
            <v>40911</v>
          </cell>
          <cell r="M373">
            <v>40.743333333333332</v>
          </cell>
          <cell r="N373">
            <v>33.058</v>
          </cell>
          <cell r="O373">
            <v>39.922333333333334</v>
          </cell>
          <cell r="P373">
            <v>47.409333333333329</v>
          </cell>
          <cell r="Q373">
            <v>46.840666666666678</v>
          </cell>
          <cell r="R373">
            <v>32.777666666666661</v>
          </cell>
          <cell r="S373">
            <v>55.133666666666663</v>
          </cell>
          <cell r="T373">
            <v>40.135999999999996</v>
          </cell>
          <cell r="U373">
            <v>42.537666666666674</v>
          </cell>
        </row>
        <row r="374">
          <cell r="A374">
            <v>40907</v>
          </cell>
          <cell r="B374">
            <v>42.26</v>
          </cell>
          <cell r="C374">
            <v>33.35</v>
          </cell>
          <cell r="D374">
            <v>40.47</v>
          </cell>
          <cell r="E374">
            <v>49.2</v>
          </cell>
          <cell r="F374">
            <v>47.93</v>
          </cell>
          <cell r="G374">
            <v>33.979999999999997</v>
          </cell>
          <cell r="H374">
            <v>56.81</v>
          </cell>
          <cell r="I374">
            <v>42.49</v>
          </cell>
          <cell r="J374">
            <v>44.22</v>
          </cell>
          <cell r="L374">
            <v>40907</v>
          </cell>
          <cell r="M374">
            <v>40.703666666666663</v>
          </cell>
          <cell r="N374">
            <v>33.116</v>
          </cell>
          <cell r="O374">
            <v>39.906666666666673</v>
          </cell>
          <cell r="P374">
            <v>47.331000000000003</v>
          </cell>
          <cell r="Q374">
            <v>46.801666666666684</v>
          </cell>
          <cell r="R374">
            <v>32.689</v>
          </cell>
          <cell r="S374">
            <v>55.054999999999993</v>
          </cell>
          <cell r="T374">
            <v>40.009666666666661</v>
          </cell>
          <cell r="U374">
            <v>42.460000000000008</v>
          </cell>
        </row>
        <row r="375">
          <cell r="A375">
            <v>40906</v>
          </cell>
          <cell r="B375">
            <v>42.7</v>
          </cell>
          <cell r="C375">
            <v>33.659999999999997</v>
          </cell>
          <cell r="D375">
            <v>41.09</v>
          </cell>
          <cell r="E375">
            <v>50.01</v>
          </cell>
          <cell r="F375">
            <v>48.66</v>
          </cell>
          <cell r="G375">
            <v>34.43</v>
          </cell>
          <cell r="H375">
            <v>57.46</v>
          </cell>
          <cell r="I375">
            <v>43</v>
          </cell>
          <cell r="J375">
            <v>44.7</v>
          </cell>
          <cell r="L375">
            <v>40906</v>
          </cell>
          <cell r="M375">
            <v>40.664333333333325</v>
          </cell>
          <cell r="N375">
            <v>33.17133333333333</v>
          </cell>
          <cell r="O375">
            <v>39.894000000000005</v>
          </cell>
          <cell r="P375">
            <v>47.263333333333335</v>
          </cell>
          <cell r="Q375">
            <v>46.754000000000012</v>
          </cell>
          <cell r="R375">
            <v>32.605666666666671</v>
          </cell>
          <cell r="S375">
            <v>54.99733333333333</v>
          </cell>
          <cell r="T375">
            <v>39.893999999999991</v>
          </cell>
          <cell r="U375">
            <v>42.389333333333333</v>
          </cell>
        </row>
        <row r="376">
          <cell r="A376">
            <v>40905</v>
          </cell>
          <cell r="B376">
            <v>42.17</v>
          </cell>
          <cell r="C376">
            <v>33.450000000000003</v>
          </cell>
          <cell r="D376">
            <v>40.69</v>
          </cell>
          <cell r="E376">
            <v>49.34</v>
          </cell>
          <cell r="F376">
            <v>48.19</v>
          </cell>
          <cell r="G376">
            <v>34.03</v>
          </cell>
          <cell r="H376">
            <v>56.61</v>
          </cell>
          <cell r="I376">
            <v>42.84</v>
          </cell>
          <cell r="J376">
            <v>44.21</v>
          </cell>
          <cell r="L376">
            <v>40905</v>
          </cell>
          <cell r="M376">
            <v>40.633333333333326</v>
          </cell>
          <cell r="N376">
            <v>33.216666666666669</v>
          </cell>
          <cell r="O376">
            <v>39.873999999999995</v>
          </cell>
          <cell r="P376">
            <v>47.18066666666666</v>
          </cell>
          <cell r="Q376">
            <v>46.693999999999996</v>
          </cell>
          <cell r="R376">
            <v>32.515666666666668</v>
          </cell>
          <cell r="S376">
            <v>54.922666666666665</v>
          </cell>
          <cell r="T376">
            <v>39.773333333333326</v>
          </cell>
          <cell r="U376">
            <v>42.321333333333335</v>
          </cell>
        </row>
        <row r="377">
          <cell r="A377">
            <v>40904</v>
          </cell>
          <cell r="B377">
            <v>42.31</v>
          </cell>
          <cell r="C377">
            <v>33.54</v>
          </cell>
          <cell r="D377">
            <v>41.1</v>
          </cell>
          <cell r="E377">
            <v>49.76</v>
          </cell>
          <cell r="F377">
            <v>48.53</v>
          </cell>
          <cell r="G377">
            <v>34.33</v>
          </cell>
          <cell r="H377">
            <v>57.43</v>
          </cell>
          <cell r="I377">
            <v>42.91</v>
          </cell>
          <cell r="J377">
            <v>44.53</v>
          </cell>
          <cell r="L377">
            <v>40904</v>
          </cell>
          <cell r="M377">
            <v>40.606999999999999</v>
          </cell>
          <cell r="N377">
            <v>33.265666666666668</v>
          </cell>
          <cell r="O377">
            <v>39.851333333333329</v>
          </cell>
          <cell r="P377">
            <v>47.110999999999997</v>
          </cell>
          <cell r="Q377">
            <v>46.638333333333328</v>
          </cell>
          <cell r="R377">
            <v>32.431999999999995</v>
          </cell>
          <cell r="S377">
            <v>54.86033333333333</v>
          </cell>
          <cell r="T377">
            <v>39.647666666666666</v>
          </cell>
          <cell r="U377">
            <v>42.265333333333338</v>
          </cell>
        </row>
        <row r="378">
          <cell r="A378">
            <v>40900</v>
          </cell>
          <cell r="B378">
            <v>41.94</v>
          </cell>
          <cell r="C378">
            <v>33.25</v>
          </cell>
          <cell r="D378">
            <v>40.700000000000003</v>
          </cell>
          <cell r="E378">
            <v>48.98</v>
          </cell>
          <cell r="F378">
            <v>48.21</v>
          </cell>
          <cell r="G378">
            <v>34.020000000000003</v>
          </cell>
          <cell r="H378">
            <v>56.88</v>
          </cell>
          <cell r="I378">
            <v>42.6</v>
          </cell>
          <cell r="J378">
            <v>43.96</v>
          </cell>
          <cell r="L378">
            <v>40900</v>
          </cell>
          <cell r="M378">
            <v>40.590333333333326</v>
          </cell>
          <cell r="N378">
            <v>33.326000000000001</v>
          </cell>
          <cell r="O378">
            <v>39.821999999999996</v>
          </cell>
          <cell r="P378">
            <v>47.050000000000004</v>
          </cell>
          <cell r="Q378">
            <v>46.579333333333331</v>
          </cell>
          <cell r="R378">
            <v>32.355333333333327</v>
          </cell>
          <cell r="S378">
            <v>54.812999999999995</v>
          </cell>
          <cell r="T378">
            <v>39.539000000000001</v>
          </cell>
          <cell r="U378">
            <v>42.224666666666664</v>
          </cell>
        </row>
        <row r="379">
          <cell r="A379">
            <v>40899</v>
          </cell>
          <cell r="B379">
            <v>41.82</v>
          </cell>
          <cell r="C379">
            <v>33.15</v>
          </cell>
          <cell r="D379">
            <v>40.58</v>
          </cell>
          <cell r="E379">
            <v>48.78</v>
          </cell>
          <cell r="F379">
            <v>48.05</v>
          </cell>
          <cell r="G379">
            <v>33.75</v>
          </cell>
          <cell r="H379">
            <v>56.77</v>
          </cell>
          <cell r="I379">
            <v>42.28</v>
          </cell>
          <cell r="J379">
            <v>43.79</v>
          </cell>
          <cell r="L379">
            <v>40899</v>
          </cell>
          <cell r="M379">
            <v>40.558333333333323</v>
          </cell>
          <cell r="N379">
            <v>33.369</v>
          </cell>
          <cell r="O379">
            <v>39.798666666666669</v>
          </cell>
          <cell r="P379">
            <v>46.980333333333334</v>
          </cell>
          <cell r="Q379">
            <v>46.499666666666648</v>
          </cell>
          <cell r="R379">
            <v>32.266999999999996</v>
          </cell>
          <cell r="S379">
            <v>54.727333333333327</v>
          </cell>
          <cell r="T379">
            <v>39.413000000000004</v>
          </cell>
          <cell r="U379">
            <v>42.170666666666655</v>
          </cell>
        </row>
        <row r="380">
          <cell r="A380">
            <v>40898</v>
          </cell>
          <cell r="B380">
            <v>41.89</v>
          </cell>
          <cell r="C380">
            <v>33.03</v>
          </cell>
          <cell r="D380">
            <v>40.75</v>
          </cell>
          <cell r="E380">
            <v>48.63</v>
          </cell>
          <cell r="F380">
            <v>48.04</v>
          </cell>
          <cell r="G380">
            <v>34.1</v>
          </cell>
          <cell r="H380">
            <v>56.93</v>
          </cell>
          <cell r="I380">
            <v>42.19</v>
          </cell>
          <cell r="J380">
            <v>43.67</v>
          </cell>
          <cell r="L380">
            <v>40898</v>
          </cell>
          <cell r="M380">
            <v>40.513666666666673</v>
          </cell>
          <cell r="N380">
            <v>33.408000000000001</v>
          </cell>
          <cell r="O380">
            <v>39.755999999999993</v>
          </cell>
          <cell r="P380">
            <v>46.898000000000003</v>
          </cell>
          <cell r="Q380">
            <v>46.403333333333322</v>
          </cell>
          <cell r="R380">
            <v>32.175666666666665</v>
          </cell>
          <cell r="S380">
            <v>54.647999999999996</v>
          </cell>
          <cell r="T380">
            <v>39.296333333333337</v>
          </cell>
          <cell r="U380">
            <v>42.111666666666657</v>
          </cell>
        </row>
        <row r="381">
          <cell r="A381">
            <v>40897</v>
          </cell>
          <cell r="B381">
            <v>41.79</v>
          </cell>
          <cell r="C381">
            <v>32.729999999999997</v>
          </cell>
          <cell r="D381">
            <v>40.18</v>
          </cell>
          <cell r="E381">
            <v>48.6</v>
          </cell>
          <cell r="F381">
            <v>47.8</v>
          </cell>
          <cell r="G381">
            <v>34</v>
          </cell>
          <cell r="H381">
            <v>56.17</v>
          </cell>
          <cell r="I381">
            <v>41.83</v>
          </cell>
          <cell r="J381">
            <v>43.33</v>
          </cell>
          <cell r="L381">
            <v>40897</v>
          </cell>
          <cell r="M381">
            <v>40.517666666666663</v>
          </cell>
          <cell r="N381">
            <v>33.487000000000002</v>
          </cell>
          <cell r="O381">
            <v>39.736666666666672</v>
          </cell>
          <cell r="P381">
            <v>46.871000000000002</v>
          </cell>
          <cell r="Q381">
            <v>46.353666666666655</v>
          </cell>
          <cell r="R381">
            <v>32.10766666666666</v>
          </cell>
          <cell r="S381">
            <v>54.605999999999995</v>
          </cell>
          <cell r="T381">
            <v>39.212333333333341</v>
          </cell>
          <cell r="U381">
            <v>42.10466666666666</v>
          </cell>
        </row>
        <row r="382">
          <cell r="A382">
            <v>40896</v>
          </cell>
          <cell r="B382">
            <v>40.4</v>
          </cell>
          <cell r="C382">
            <v>32.14</v>
          </cell>
          <cell r="D382">
            <v>38.909999999999997</v>
          </cell>
          <cell r="E382">
            <v>47.01</v>
          </cell>
          <cell r="F382">
            <v>46.44</v>
          </cell>
          <cell r="G382">
            <v>33.01</v>
          </cell>
          <cell r="H382">
            <v>54.36</v>
          </cell>
          <cell r="I382">
            <v>39.869999999999997</v>
          </cell>
          <cell r="J382">
            <v>41.92</v>
          </cell>
          <cell r="L382">
            <v>40896</v>
          </cell>
          <cell r="M382">
            <v>40.517666666666663</v>
          </cell>
          <cell r="N382">
            <v>33.567</v>
          </cell>
          <cell r="O382">
            <v>39.735000000000007</v>
          </cell>
          <cell r="P382">
            <v>46.837333333333326</v>
          </cell>
          <cell r="Q382">
            <v>46.29733333333332</v>
          </cell>
          <cell r="R382">
            <v>32.035666666666671</v>
          </cell>
          <cell r="S382">
            <v>54.618666666666662</v>
          </cell>
          <cell r="T382">
            <v>39.152000000000001</v>
          </cell>
          <cell r="U382">
            <v>42.094999999999999</v>
          </cell>
        </row>
        <row r="383">
          <cell r="A383">
            <v>40893</v>
          </cell>
          <cell r="B383">
            <v>41.01</v>
          </cell>
          <cell r="C383">
            <v>32.75</v>
          </cell>
          <cell r="D383">
            <v>39.5</v>
          </cell>
          <cell r="E383">
            <v>47.46</v>
          </cell>
          <cell r="F383">
            <v>46.88</v>
          </cell>
          <cell r="G383">
            <v>33.520000000000003</v>
          </cell>
          <cell r="H383">
            <v>54.92</v>
          </cell>
          <cell r="I383">
            <v>39.909999999999997</v>
          </cell>
          <cell r="J383">
            <v>42.57</v>
          </cell>
          <cell r="L383">
            <v>40893</v>
          </cell>
          <cell r="M383">
            <v>40.54966666666666</v>
          </cell>
          <cell r="N383">
            <v>33.665666666666667</v>
          </cell>
          <cell r="O383">
            <v>39.769000000000005</v>
          </cell>
          <cell r="P383">
            <v>46.852666666666671</v>
          </cell>
          <cell r="Q383">
            <v>46.292333333333325</v>
          </cell>
          <cell r="R383">
            <v>31.994666666666667</v>
          </cell>
          <cell r="S383">
            <v>54.701666666666668</v>
          </cell>
          <cell r="T383">
            <v>39.146666666666668</v>
          </cell>
          <cell r="U383">
            <v>42.128999999999998</v>
          </cell>
        </row>
        <row r="384">
          <cell r="A384">
            <v>40892</v>
          </cell>
          <cell r="B384">
            <v>40.93</v>
          </cell>
          <cell r="C384">
            <v>32.409999999999997</v>
          </cell>
          <cell r="D384">
            <v>39.520000000000003</v>
          </cell>
          <cell r="E384">
            <v>47.62</v>
          </cell>
          <cell r="F384">
            <v>46.94</v>
          </cell>
          <cell r="G384">
            <v>33.69</v>
          </cell>
          <cell r="H384">
            <v>54.65</v>
          </cell>
          <cell r="I384">
            <v>40.17</v>
          </cell>
          <cell r="J384">
            <v>42.31</v>
          </cell>
          <cell r="L384">
            <v>40892</v>
          </cell>
          <cell r="M384">
            <v>40.562333333333328</v>
          </cell>
          <cell r="N384">
            <v>33.736666666666665</v>
          </cell>
          <cell r="O384">
            <v>39.787000000000006</v>
          </cell>
          <cell r="P384">
            <v>46.854333333333336</v>
          </cell>
          <cell r="Q384">
            <v>46.281999999999989</v>
          </cell>
          <cell r="R384">
            <v>31.939666666666668</v>
          </cell>
          <cell r="S384">
            <v>54.775999999999996</v>
          </cell>
          <cell r="T384">
            <v>39.159666666666674</v>
          </cell>
          <cell r="U384">
            <v>42.149333333333331</v>
          </cell>
        </row>
        <row r="385">
          <cell r="A385">
            <v>40891</v>
          </cell>
          <cell r="B385">
            <v>40.17</v>
          </cell>
          <cell r="C385">
            <v>31.99</v>
          </cell>
          <cell r="D385">
            <v>39.299999999999997</v>
          </cell>
          <cell r="E385">
            <v>46.5</v>
          </cell>
          <cell r="F385">
            <v>45.9</v>
          </cell>
          <cell r="G385">
            <v>32.909999999999997</v>
          </cell>
          <cell r="H385">
            <v>53.48</v>
          </cell>
          <cell r="I385">
            <v>39.770000000000003</v>
          </cell>
          <cell r="J385">
            <v>41.46</v>
          </cell>
          <cell r="L385">
            <v>40891</v>
          </cell>
          <cell r="M385">
            <v>40.530999999999992</v>
          </cell>
          <cell r="N385">
            <v>33.782999999999994</v>
          </cell>
          <cell r="O385">
            <v>39.783666666666676</v>
          </cell>
          <cell r="P385">
            <v>46.819333333333326</v>
          </cell>
          <cell r="Q385">
            <v>46.24166666666666</v>
          </cell>
          <cell r="R385">
            <v>31.863666666666667</v>
          </cell>
          <cell r="S385">
            <v>54.803333333333327</v>
          </cell>
          <cell r="T385">
            <v>39.129666666666672</v>
          </cell>
          <cell r="U385">
            <v>42.140999999999998</v>
          </cell>
        </row>
        <row r="386">
          <cell r="A386">
            <v>40890</v>
          </cell>
          <cell r="B386">
            <v>40.1</v>
          </cell>
          <cell r="C386">
            <v>32.1</v>
          </cell>
          <cell r="D386">
            <v>39.71</v>
          </cell>
          <cell r="E386">
            <v>46.89</v>
          </cell>
          <cell r="F386">
            <v>46.36</v>
          </cell>
          <cell r="G386">
            <v>32.6</v>
          </cell>
          <cell r="H386">
            <v>54.34</v>
          </cell>
          <cell r="I386">
            <v>39.44</v>
          </cell>
          <cell r="J386">
            <v>41.89</v>
          </cell>
          <cell r="L386">
            <v>40890</v>
          </cell>
          <cell r="M386">
            <v>40.534999999999997</v>
          </cell>
          <cell r="N386">
            <v>33.817666666666661</v>
          </cell>
          <cell r="O386">
            <v>39.769333333333329</v>
          </cell>
          <cell r="P386">
            <v>46.785999999999987</v>
          </cell>
          <cell r="Q386">
            <v>46.219333333333324</v>
          </cell>
          <cell r="R386">
            <v>31.805666666666671</v>
          </cell>
          <cell r="S386">
            <v>54.814333333333337</v>
          </cell>
          <cell r="T386">
            <v>39.085333333333331</v>
          </cell>
          <cell r="U386">
            <v>42.131666666666668</v>
          </cell>
        </row>
        <row r="387">
          <cell r="A387">
            <v>40889</v>
          </cell>
          <cell r="B387">
            <v>39.76</v>
          </cell>
          <cell r="C387">
            <v>32.32</v>
          </cell>
          <cell r="D387">
            <v>39.69</v>
          </cell>
          <cell r="E387">
            <v>46.78</v>
          </cell>
          <cell r="F387">
            <v>46.15</v>
          </cell>
          <cell r="G387">
            <v>32.61</v>
          </cell>
          <cell r="H387">
            <v>54.25</v>
          </cell>
          <cell r="I387">
            <v>39.24</v>
          </cell>
          <cell r="J387">
            <v>41.81</v>
          </cell>
          <cell r="L387">
            <v>40889</v>
          </cell>
          <cell r="M387">
            <v>40.596333333333327</v>
          </cell>
          <cell r="N387">
            <v>33.891666666666666</v>
          </cell>
          <cell r="O387">
            <v>39.782999999999994</v>
          </cell>
          <cell r="P387">
            <v>46.790333333333329</v>
          </cell>
          <cell r="Q387">
            <v>46.231333333333325</v>
          </cell>
          <cell r="R387">
            <v>31.808666666666667</v>
          </cell>
          <cell r="S387">
            <v>54.88</v>
          </cell>
          <cell r="T387">
            <v>39.086666666666673</v>
          </cell>
          <cell r="U387">
            <v>42.162333333333336</v>
          </cell>
        </row>
        <row r="388">
          <cell r="A388">
            <v>40886</v>
          </cell>
          <cell r="B388">
            <v>39.479999999999997</v>
          </cell>
          <cell r="C388">
            <v>32.869999999999997</v>
          </cell>
          <cell r="D388">
            <v>39.840000000000003</v>
          </cell>
          <cell r="E388">
            <v>47.58</v>
          </cell>
          <cell r="F388">
            <v>46.7</v>
          </cell>
          <cell r="G388">
            <v>32.96</v>
          </cell>
          <cell r="H388">
            <v>54.78</v>
          </cell>
          <cell r="I388">
            <v>39.119999999999997</v>
          </cell>
          <cell r="J388">
            <v>42.55</v>
          </cell>
          <cell r="L388">
            <v>40886</v>
          </cell>
          <cell r="M388">
            <v>40.704333333333338</v>
          </cell>
          <cell r="N388">
            <v>33.977333333333334</v>
          </cell>
          <cell r="O388">
            <v>39.831666666666663</v>
          </cell>
          <cell r="P388">
            <v>46.822999999999993</v>
          </cell>
          <cell r="Q388">
            <v>46.267000000000003</v>
          </cell>
          <cell r="R388">
            <v>31.831333333333337</v>
          </cell>
          <cell r="S388">
            <v>54.967666666666673</v>
          </cell>
          <cell r="T388">
            <v>39.110666666666674</v>
          </cell>
          <cell r="U388">
            <v>42.216999999999999</v>
          </cell>
        </row>
        <row r="389">
          <cell r="A389">
            <v>40885</v>
          </cell>
          <cell r="B389">
            <v>39.64</v>
          </cell>
          <cell r="C389">
            <v>32.35</v>
          </cell>
          <cell r="D389">
            <v>38.9</v>
          </cell>
          <cell r="E389">
            <v>46</v>
          </cell>
          <cell r="F389">
            <v>45.9</v>
          </cell>
          <cell r="G389">
            <v>32.01</v>
          </cell>
          <cell r="H389">
            <v>53.34</v>
          </cell>
          <cell r="I389">
            <v>38.299999999999997</v>
          </cell>
          <cell r="J389">
            <v>41.59</v>
          </cell>
          <cell r="L389">
            <v>40885</v>
          </cell>
          <cell r="M389">
            <v>40.838333333333338</v>
          </cell>
          <cell r="N389">
            <v>34.047333333333334</v>
          </cell>
          <cell r="O389">
            <v>39.902333333333324</v>
          </cell>
          <cell r="P389">
            <v>46.843666666666657</v>
          </cell>
          <cell r="Q389">
            <v>46.287333333333336</v>
          </cell>
          <cell r="R389">
            <v>31.832666666666668</v>
          </cell>
          <cell r="S389">
            <v>55.051333333333339</v>
          </cell>
          <cell r="T389">
            <v>39.144666666666673</v>
          </cell>
          <cell r="U389">
            <v>42.252666666666663</v>
          </cell>
        </row>
        <row r="390">
          <cell r="A390">
            <v>40884</v>
          </cell>
          <cell r="B390">
            <v>40.71</v>
          </cell>
          <cell r="C390">
            <v>32.86</v>
          </cell>
          <cell r="D390">
            <v>40.06</v>
          </cell>
          <cell r="E390">
            <v>47.32</v>
          </cell>
          <cell r="F390">
            <v>46.89</v>
          </cell>
          <cell r="G390">
            <v>32.880000000000003</v>
          </cell>
          <cell r="H390">
            <v>54.8</v>
          </cell>
          <cell r="I390">
            <v>39.619999999999997</v>
          </cell>
          <cell r="J390">
            <v>42.61</v>
          </cell>
          <cell r="L390">
            <v>40884</v>
          </cell>
          <cell r="M390">
            <v>40.9</v>
          </cell>
          <cell r="N390">
            <v>34.091000000000001</v>
          </cell>
          <cell r="O390">
            <v>39.942666666666653</v>
          </cell>
          <cell r="P390">
            <v>46.878</v>
          </cell>
          <cell r="Q390">
            <v>46.298000000000002</v>
          </cell>
          <cell r="R390">
            <v>31.82</v>
          </cell>
          <cell r="S390">
            <v>55.093666666666671</v>
          </cell>
          <cell r="T390">
            <v>39.14233333333334</v>
          </cell>
          <cell r="U390">
            <v>42.258000000000003</v>
          </cell>
        </row>
        <row r="391">
          <cell r="A391">
            <v>40883</v>
          </cell>
          <cell r="B391">
            <v>40.93</v>
          </cell>
          <cell r="C391">
            <v>33.229999999999997</v>
          </cell>
          <cell r="D391">
            <v>40.61</v>
          </cell>
          <cell r="E391">
            <v>47.37</v>
          </cell>
          <cell r="F391">
            <v>47.08</v>
          </cell>
          <cell r="G391">
            <v>33.06</v>
          </cell>
          <cell r="H391">
            <v>55.28</v>
          </cell>
          <cell r="I391">
            <v>39.64</v>
          </cell>
          <cell r="J391">
            <v>42.82</v>
          </cell>
          <cell r="L391">
            <v>40883</v>
          </cell>
          <cell r="M391">
            <v>40.923999999999999</v>
          </cell>
          <cell r="N391">
            <v>34.109000000000002</v>
          </cell>
          <cell r="O391">
            <v>39.932999999999993</v>
          </cell>
          <cell r="P391">
            <v>46.86133333333332</v>
          </cell>
          <cell r="Q391">
            <v>46.256999999999998</v>
          </cell>
          <cell r="R391">
            <v>31.773666666666664</v>
          </cell>
          <cell r="S391">
            <v>55.08133333333334</v>
          </cell>
          <cell r="T391">
            <v>39.086000000000013</v>
          </cell>
          <cell r="U391">
            <v>42.215666666666657</v>
          </cell>
        </row>
        <row r="392">
          <cell r="A392">
            <v>40882</v>
          </cell>
          <cell r="B392">
            <v>40.68</v>
          </cell>
          <cell r="C392">
            <v>33.28</v>
          </cell>
          <cell r="D392">
            <v>40.36</v>
          </cell>
          <cell r="E392">
            <v>46.93</v>
          </cell>
          <cell r="F392">
            <v>47.02</v>
          </cell>
          <cell r="G392">
            <v>32.96</v>
          </cell>
          <cell r="H392">
            <v>55.31</v>
          </cell>
          <cell r="I392">
            <v>39.64</v>
          </cell>
          <cell r="J392">
            <v>42.6</v>
          </cell>
          <cell r="L392">
            <v>40882</v>
          </cell>
          <cell r="M392">
            <v>40.963333333333338</v>
          </cell>
          <cell r="N392">
            <v>34.134666666666668</v>
          </cell>
          <cell r="O392">
            <v>39.935333333333325</v>
          </cell>
          <cell r="P392">
            <v>46.87</v>
          </cell>
          <cell r="Q392">
            <v>46.237999999999992</v>
          </cell>
          <cell r="R392">
            <v>31.751333333333331</v>
          </cell>
          <cell r="S392">
            <v>55.110333333333337</v>
          </cell>
          <cell r="T392">
            <v>39.058333333333344</v>
          </cell>
          <cell r="U392">
            <v>42.188666666666656</v>
          </cell>
        </row>
        <row r="393">
          <cell r="A393">
            <v>40879</v>
          </cell>
          <cell r="B393">
            <v>40.42</v>
          </cell>
          <cell r="C393">
            <v>32.520000000000003</v>
          </cell>
          <cell r="D393">
            <v>39.700000000000003</v>
          </cell>
          <cell r="E393">
            <v>46.4</v>
          </cell>
          <cell r="F393">
            <v>46.26</v>
          </cell>
          <cell r="G393">
            <v>32.369999999999997</v>
          </cell>
          <cell r="H393">
            <v>54.85</v>
          </cell>
          <cell r="I393">
            <v>39.33</v>
          </cell>
          <cell r="J393">
            <v>42.26</v>
          </cell>
          <cell r="L393">
            <v>40879</v>
          </cell>
          <cell r="M393">
            <v>40.996000000000002</v>
          </cell>
          <cell r="N393">
            <v>34.145999999999994</v>
          </cell>
          <cell r="O393">
            <v>39.932333333333318</v>
          </cell>
          <cell r="P393">
            <v>46.866999999999997</v>
          </cell>
          <cell r="Q393">
            <v>46.198999999999991</v>
          </cell>
          <cell r="R393">
            <v>31.706</v>
          </cell>
          <cell r="S393">
            <v>55.096333333333334</v>
          </cell>
          <cell r="T393">
            <v>39.021666666666661</v>
          </cell>
          <cell r="U393">
            <v>42.157999999999994</v>
          </cell>
        </row>
        <row r="394">
          <cell r="A394">
            <v>40878</v>
          </cell>
          <cell r="B394">
            <v>40.89</v>
          </cell>
          <cell r="C394">
            <v>34.14</v>
          </cell>
          <cell r="D394">
            <v>39.72</v>
          </cell>
          <cell r="E394">
            <v>47</v>
          </cell>
          <cell r="F394">
            <v>46.32</v>
          </cell>
          <cell r="G394">
            <v>32.54</v>
          </cell>
          <cell r="H394">
            <v>55.98</v>
          </cell>
          <cell r="I394">
            <v>40.17</v>
          </cell>
          <cell r="J394">
            <v>42.64</v>
          </cell>
          <cell r="L394">
            <v>40878</v>
          </cell>
          <cell r="M394">
            <v>41.008666666666663</v>
          </cell>
          <cell r="N394">
            <v>34.167333333333332</v>
          </cell>
          <cell r="O394">
            <v>39.93399999999999</v>
          </cell>
          <cell r="P394">
            <v>46.833666666666666</v>
          </cell>
          <cell r="Q394">
            <v>46.170333333333332</v>
          </cell>
          <cell r="R394">
            <v>31.654333333333337</v>
          </cell>
          <cell r="S394">
            <v>55.045333333333339</v>
          </cell>
          <cell r="T394">
            <v>38.976666666666659</v>
          </cell>
          <cell r="U394">
            <v>42.118666666666655</v>
          </cell>
        </row>
        <row r="395">
          <cell r="A395">
            <v>40877</v>
          </cell>
          <cell r="B395">
            <v>41.23</v>
          </cell>
          <cell r="C395">
            <v>34.21</v>
          </cell>
          <cell r="D395">
            <v>40.130000000000003</v>
          </cell>
          <cell r="E395">
            <v>47.31</v>
          </cell>
          <cell r="F395">
            <v>47.06</v>
          </cell>
          <cell r="G395">
            <v>32.97</v>
          </cell>
          <cell r="H395">
            <v>56.18</v>
          </cell>
          <cell r="I395">
            <v>40.43</v>
          </cell>
          <cell r="J395">
            <v>42.87</v>
          </cell>
          <cell r="L395">
            <v>40877</v>
          </cell>
          <cell r="M395">
            <v>41.015666666666661</v>
          </cell>
          <cell r="N395">
            <v>34.136666666666663</v>
          </cell>
          <cell r="O395">
            <v>39.928333333333327</v>
          </cell>
          <cell r="P395">
            <v>46.763000000000012</v>
          </cell>
          <cell r="Q395">
            <v>46.143333333333338</v>
          </cell>
          <cell r="R395">
            <v>31.592333333333329</v>
          </cell>
          <cell r="S395">
            <v>54.947000000000003</v>
          </cell>
          <cell r="T395">
            <v>38.904999999999994</v>
          </cell>
          <cell r="U395">
            <v>42.060333333333332</v>
          </cell>
        </row>
        <row r="396">
          <cell r="A396">
            <v>40876</v>
          </cell>
          <cell r="B396">
            <v>39.71</v>
          </cell>
          <cell r="C396">
            <v>33.299999999999997</v>
          </cell>
          <cell r="D396">
            <v>39.29</v>
          </cell>
          <cell r="E396">
            <v>46.16</v>
          </cell>
          <cell r="F396">
            <v>46.16</v>
          </cell>
          <cell r="G396">
            <v>31.6</v>
          </cell>
          <cell r="H396">
            <v>54.37</v>
          </cell>
          <cell r="I396">
            <v>38.81</v>
          </cell>
          <cell r="J396">
            <v>41.8</v>
          </cell>
          <cell r="L396">
            <v>40876</v>
          </cell>
          <cell r="M396">
            <v>41.016333333333328</v>
          </cell>
          <cell r="N396">
            <v>34.107333333333337</v>
          </cell>
          <cell r="O396">
            <v>39.920999999999999</v>
          </cell>
          <cell r="P396">
            <v>46.699000000000019</v>
          </cell>
          <cell r="Q396">
            <v>46.101333333333336</v>
          </cell>
          <cell r="R396">
            <v>31.52366666666666</v>
          </cell>
          <cell r="S396">
            <v>54.849666666666657</v>
          </cell>
          <cell r="T396">
            <v>38.845999999999997</v>
          </cell>
          <cell r="U396">
            <v>42.010333333333328</v>
          </cell>
        </row>
        <row r="397">
          <cell r="A397">
            <v>40875</v>
          </cell>
          <cell r="B397">
            <v>38.93</v>
          </cell>
          <cell r="C397">
            <v>32.78</v>
          </cell>
          <cell r="D397">
            <v>39.08</v>
          </cell>
          <cell r="E397">
            <v>45.49</v>
          </cell>
          <cell r="F397">
            <v>45.69</v>
          </cell>
          <cell r="G397">
            <v>31.35</v>
          </cell>
          <cell r="H397">
            <v>53.95</v>
          </cell>
          <cell r="I397">
            <v>38.19</v>
          </cell>
          <cell r="J397">
            <v>41.04</v>
          </cell>
          <cell r="L397">
            <v>40875</v>
          </cell>
          <cell r="M397">
            <v>41.054333333333325</v>
          </cell>
          <cell r="N397">
            <v>34.091666666666669</v>
          </cell>
          <cell r="O397">
            <v>39.929666666666662</v>
          </cell>
          <cell r="P397">
            <v>46.649333333333338</v>
          </cell>
          <cell r="Q397">
            <v>46.074666666666666</v>
          </cell>
          <cell r="R397">
            <v>31.474999999999998</v>
          </cell>
          <cell r="S397">
            <v>54.778333333333329</v>
          </cell>
          <cell r="T397">
            <v>38.822999999999993</v>
          </cell>
          <cell r="U397">
            <v>41.971666666666671</v>
          </cell>
        </row>
        <row r="398">
          <cell r="A398">
            <v>40872</v>
          </cell>
          <cell r="B398">
            <v>38.840000000000003</v>
          </cell>
          <cell r="C398">
            <v>32.479999999999997</v>
          </cell>
          <cell r="D398">
            <v>38.51</v>
          </cell>
          <cell r="E398">
            <v>44.71</v>
          </cell>
          <cell r="F398">
            <v>44.78</v>
          </cell>
          <cell r="G398">
            <v>29.92</v>
          </cell>
          <cell r="H398">
            <v>52.42</v>
          </cell>
          <cell r="I398">
            <v>37.049999999999997</v>
          </cell>
          <cell r="J398">
            <v>40.299999999999997</v>
          </cell>
          <cell r="L398">
            <v>40872</v>
          </cell>
          <cell r="M398">
            <v>41.129333333333328</v>
          </cell>
          <cell r="N398">
            <v>34.104333333333336</v>
          </cell>
          <cell r="O398">
            <v>39.962666666666657</v>
          </cell>
          <cell r="P398">
            <v>46.640333333333359</v>
          </cell>
          <cell r="Q398">
            <v>46.08</v>
          </cell>
          <cell r="R398">
            <v>31.448999999999995</v>
          </cell>
          <cell r="S398">
            <v>54.738999999999997</v>
          </cell>
          <cell r="T398">
            <v>38.833333333333329</v>
          </cell>
          <cell r="U398">
            <v>41.975333333333339</v>
          </cell>
        </row>
        <row r="399">
          <cell r="A399">
            <v>40870</v>
          </cell>
          <cell r="B399">
            <v>38.92</v>
          </cell>
          <cell r="C399">
            <v>32.54</v>
          </cell>
          <cell r="D399">
            <v>38.72</v>
          </cell>
          <cell r="E399">
            <v>44.87</v>
          </cell>
          <cell r="F399">
            <v>45.06</v>
          </cell>
          <cell r="G399">
            <v>30.06</v>
          </cell>
          <cell r="H399">
            <v>52.54</v>
          </cell>
          <cell r="I399">
            <v>37.25</v>
          </cell>
          <cell r="J399">
            <v>40.21</v>
          </cell>
          <cell r="L399">
            <v>40870</v>
          </cell>
          <cell r="M399">
            <v>41.19766666666667</v>
          </cell>
          <cell r="N399">
            <v>34.124333333333333</v>
          </cell>
          <cell r="O399">
            <v>40.005666666666663</v>
          </cell>
          <cell r="P399">
            <v>46.649000000000015</v>
          </cell>
          <cell r="Q399">
            <v>46.109333333333332</v>
          </cell>
          <cell r="R399">
            <v>31.458000000000002</v>
          </cell>
          <cell r="S399">
            <v>54.738333333333337</v>
          </cell>
          <cell r="T399">
            <v>38.87266666666666</v>
          </cell>
          <cell r="U399">
            <v>41.994000000000007</v>
          </cell>
        </row>
        <row r="400">
          <cell r="A400">
            <v>40869</v>
          </cell>
          <cell r="B400">
            <v>39.51</v>
          </cell>
          <cell r="C400">
            <v>33.11</v>
          </cell>
          <cell r="D400">
            <v>39.39</v>
          </cell>
          <cell r="E400">
            <v>46.19</v>
          </cell>
          <cell r="F400">
            <v>45.4</v>
          </cell>
          <cell r="G400">
            <v>30.78</v>
          </cell>
          <cell r="H400">
            <v>53.75</v>
          </cell>
          <cell r="I400">
            <v>38.119999999999997</v>
          </cell>
          <cell r="J400">
            <v>41.26</v>
          </cell>
          <cell r="L400">
            <v>40869</v>
          </cell>
          <cell r="M400">
            <v>41.269999999999996</v>
          </cell>
          <cell r="N400">
            <v>34.125333333333337</v>
          </cell>
          <cell r="O400">
            <v>40.029333333333319</v>
          </cell>
          <cell r="P400">
            <v>46.643000000000022</v>
          </cell>
          <cell r="Q400">
            <v>46.128333333333337</v>
          </cell>
          <cell r="R400">
            <v>31.451333333333334</v>
          </cell>
          <cell r="S400">
            <v>54.725000000000009</v>
          </cell>
          <cell r="T400">
            <v>38.902999999999999</v>
          </cell>
          <cell r="U400">
            <v>42.010333333333342</v>
          </cell>
        </row>
        <row r="401">
          <cell r="A401">
            <v>40868</v>
          </cell>
          <cell r="B401">
            <v>40.049999999999997</v>
          </cell>
          <cell r="C401">
            <v>34.1</v>
          </cell>
          <cell r="D401">
            <v>39.909999999999997</v>
          </cell>
          <cell r="E401">
            <v>46.29</v>
          </cell>
          <cell r="F401">
            <v>45.97</v>
          </cell>
          <cell r="G401">
            <v>31</v>
          </cell>
          <cell r="H401">
            <v>53.7</v>
          </cell>
          <cell r="I401">
            <v>38.229999999999997</v>
          </cell>
          <cell r="J401">
            <v>40.89</v>
          </cell>
          <cell r="L401">
            <v>40868</v>
          </cell>
          <cell r="M401">
            <v>41.323666666666661</v>
          </cell>
          <cell r="N401">
            <v>34.104333333333344</v>
          </cell>
          <cell r="O401">
            <v>40.034333333333322</v>
          </cell>
          <cell r="P401">
            <v>46.60100000000002</v>
          </cell>
          <cell r="Q401">
            <v>46.140666666666675</v>
          </cell>
          <cell r="R401">
            <v>31.416333333333338</v>
          </cell>
          <cell r="S401">
            <v>54.660333333333341</v>
          </cell>
          <cell r="T401">
            <v>38.904666666666671</v>
          </cell>
          <cell r="U401">
            <v>41.987000000000002</v>
          </cell>
        </row>
        <row r="402">
          <cell r="A402">
            <v>40865</v>
          </cell>
          <cell r="B402">
            <v>41.01</v>
          </cell>
          <cell r="C402">
            <v>34.950000000000003</v>
          </cell>
          <cell r="D402">
            <v>40.61</v>
          </cell>
          <cell r="E402">
            <v>47.48</v>
          </cell>
          <cell r="F402">
            <v>46.95</v>
          </cell>
          <cell r="G402">
            <v>31.76</v>
          </cell>
          <cell r="H402">
            <v>54.77</v>
          </cell>
          <cell r="I402">
            <v>39.03</v>
          </cell>
          <cell r="J402">
            <v>42.02</v>
          </cell>
          <cell r="L402">
            <v>40865</v>
          </cell>
          <cell r="M402">
            <v>41.360999999999997</v>
          </cell>
          <cell r="N402">
            <v>34.055333333333337</v>
          </cell>
          <cell r="O402">
            <v>40.024999999999999</v>
          </cell>
          <cell r="P402">
            <v>46.53933333333336</v>
          </cell>
          <cell r="Q402">
            <v>46.131666666666675</v>
          </cell>
          <cell r="R402">
            <v>31.372333333333337</v>
          </cell>
          <cell r="S402">
            <v>54.602666666666671</v>
          </cell>
          <cell r="T402">
            <v>38.887000000000008</v>
          </cell>
          <cell r="U402">
            <v>41.972999999999999</v>
          </cell>
        </row>
        <row r="403">
          <cell r="A403">
            <v>40864</v>
          </cell>
          <cell r="B403">
            <v>40.909999999999997</v>
          </cell>
          <cell r="C403">
            <v>34.89</v>
          </cell>
          <cell r="D403">
            <v>40.18</v>
          </cell>
          <cell r="E403">
            <v>47.27</v>
          </cell>
          <cell r="F403">
            <v>46.73</v>
          </cell>
          <cell r="G403">
            <v>31.47</v>
          </cell>
          <cell r="H403">
            <v>54.57</v>
          </cell>
          <cell r="I403">
            <v>38.82</v>
          </cell>
          <cell r="J403">
            <v>41.97</v>
          </cell>
          <cell r="L403">
            <v>40864</v>
          </cell>
          <cell r="M403">
            <v>41.341999999999999</v>
          </cell>
          <cell r="N403">
            <v>33.955000000000005</v>
          </cell>
          <cell r="O403">
            <v>39.964666666666666</v>
          </cell>
          <cell r="P403">
            <v>46.402000000000015</v>
          </cell>
          <cell r="Q403">
            <v>46.058666666666674</v>
          </cell>
          <cell r="R403">
            <v>31.27866666666667</v>
          </cell>
          <cell r="S403">
            <v>54.458999999999996</v>
          </cell>
          <cell r="T403">
            <v>38.812000000000005</v>
          </cell>
          <cell r="U403">
            <v>41.884666666666661</v>
          </cell>
        </row>
        <row r="404">
          <cell r="A404">
            <v>40863</v>
          </cell>
          <cell r="B404">
            <v>41.08</v>
          </cell>
          <cell r="C404">
            <v>35.01</v>
          </cell>
          <cell r="D404">
            <v>40.090000000000003</v>
          </cell>
          <cell r="E404">
            <v>47.17</v>
          </cell>
          <cell r="F404">
            <v>46.5</v>
          </cell>
          <cell r="G404">
            <v>31.48</v>
          </cell>
          <cell r="H404">
            <v>55.08</v>
          </cell>
          <cell r="I404">
            <v>39.020000000000003</v>
          </cell>
          <cell r="J404">
            <v>42.1</v>
          </cell>
          <cell r="L404">
            <v>40863</v>
          </cell>
          <cell r="M404">
            <v>41.330666666666659</v>
          </cell>
          <cell r="N404">
            <v>33.875000000000007</v>
          </cell>
          <cell r="O404">
            <v>39.94166666666667</v>
          </cell>
          <cell r="P404">
            <v>46.295333333333346</v>
          </cell>
          <cell r="Q404">
            <v>46.024333333333338</v>
          </cell>
          <cell r="R404">
            <v>31.201333333333334</v>
          </cell>
          <cell r="S404">
            <v>54.350333333333332</v>
          </cell>
          <cell r="T404">
            <v>38.758999999999993</v>
          </cell>
          <cell r="U404">
            <v>41.817</v>
          </cell>
        </row>
        <row r="405">
          <cell r="A405">
            <v>40862</v>
          </cell>
          <cell r="B405">
            <v>41.77</v>
          </cell>
          <cell r="C405">
            <v>35.020000000000003</v>
          </cell>
          <cell r="D405">
            <v>40.49</v>
          </cell>
          <cell r="E405">
            <v>47.53</v>
          </cell>
          <cell r="F405">
            <v>46.86</v>
          </cell>
          <cell r="G405">
            <v>31.73</v>
          </cell>
          <cell r="H405">
            <v>55.22</v>
          </cell>
          <cell r="I405">
            <v>39.380000000000003</v>
          </cell>
          <cell r="J405">
            <v>42.66</v>
          </cell>
          <cell r="L405">
            <v>40862</v>
          </cell>
          <cell r="M405">
            <v>41.292666666666669</v>
          </cell>
          <cell r="N405">
            <v>33.775000000000006</v>
          </cell>
          <cell r="O405">
            <v>39.907666666666657</v>
          </cell>
          <cell r="P405">
            <v>46.168666666666674</v>
          </cell>
          <cell r="Q405">
            <v>45.974666666666671</v>
          </cell>
          <cell r="R405">
            <v>31.107000000000006</v>
          </cell>
          <cell r="S405">
            <v>54.18333333333333</v>
          </cell>
          <cell r="T405">
            <v>38.684666666666658</v>
          </cell>
          <cell r="U405">
            <v>41.722333333333331</v>
          </cell>
        </row>
        <row r="406">
          <cell r="A406">
            <v>40861</v>
          </cell>
          <cell r="B406">
            <v>41.38</v>
          </cell>
          <cell r="C406">
            <v>34.92</v>
          </cell>
          <cell r="D406">
            <v>40.01</v>
          </cell>
          <cell r="E406">
            <v>47.25</v>
          </cell>
          <cell r="F406">
            <v>46.52</v>
          </cell>
          <cell r="G406">
            <v>31.52</v>
          </cell>
          <cell r="H406">
            <v>54.74</v>
          </cell>
          <cell r="I406">
            <v>39.07</v>
          </cell>
          <cell r="J406">
            <v>42.53</v>
          </cell>
          <cell r="L406">
            <v>40861</v>
          </cell>
          <cell r="M406">
            <v>41.215333333333334</v>
          </cell>
          <cell r="N406">
            <v>33.648000000000003</v>
          </cell>
          <cell r="O406">
            <v>39.859999999999992</v>
          </cell>
          <cell r="P406">
            <v>46.009666666666668</v>
          </cell>
          <cell r="Q406">
            <v>45.903333333333336</v>
          </cell>
          <cell r="R406">
            <v>30.984000000000002</v>
          </cell>
          <cell r="S406">
            <v>53.990333333333332</v>
          </cell>
          <cell r="T406">
            <v>38.578999999999994</v>
          </cell>
          <cell r="U406">
            <v>41.595333333333329</v>
          </cell>
        </row>
        <row r="407">
          <cell r="A407">
            <v>40858</v>
          </cell>
          <cell r="B407">
            <v>41.81</v>
          </cell>
          <cell r="C407">
            <v>35.35</v>
          </cell>
          <cell r="D407">
            <v>40.22</v>
          </cell>
          <cell r="E407">
            <v>47.93</v>
          </cell>
          <cell r="F407">
            <v>46.76</v>
          </cell>
          <cell r="G407">
            <v>32.03</v>
          </cell>
          <cell r="H407">
            <v>56.01</v>
          </cell>
          <cell r="I407">
            <v>39.65</v>
          </cell>
          <cell r="J407">
            <v>43.31</v>
          </cell>
          <cell r="L407">
            <v>40858</v>
          </cell>
          <cell r="M407">
            <v>41.135999999999996</v>
          </cell>
          <cell r="N407">
            <v>33.516333333333336</v>
          </cell>
          <cell r="O407">
            <v>39.771999999999977</v>
          </cell>
          <cell r="P407">
            <v>45.793666666666667</v>
          </cell>
          <cell r="Q407">
            <v>45.796000000000006</v>
          </cell>
          <cell r="R407">
            <v>30.853000000000002</v>
          </cell>
          <cell r="S407">
            <v>53.756</v>
          </cell>
          <cell r="T407">
            <v>38.443666666666665</v>
          </cell>
          <cell r="U407">
            <v>41.422333333333327</v>
          </cell>
        </row>
        <row r="408">
          <cell r="A408">
            <v>40857</v>
          </cell>
          <cell r="B408">
            <v>40.98</v>
          </cell>
          <cell r="C408">
            <v>34.54</v>
          </cell>
          <cell r="D408">
            <v>40</v>
          </cell>
          <cell r="E408">
            <v>46.89</v>
          </cell>
          <cell r="F408">
            <v>45.82</v>
          </cell>
          <cell r="G408">
            <v>31.37</v>
          </cell>
          <cell r="H408">
            <v>54.31</v>
          </cell>
          <cell r="I408">
            <v>38.82</v>
          </cell>
          <cell r="J408">
            <v>42.34</v>
          </cell>
          <cell r="L408">
            <v>40857</v>
          </cell>
          <cell r="M408">
            <v>41.100333333333332</v>
          </cell>
          <cell r="N408">
            <v>33.419666666666672</v>
          </cell>
          <cell r="O408">
            <v>39.722999999999978</v>
          </cell>
          <cell r="P408">
            <v>45.614999999999995</v>
          </cell>
          <cell r="Q408">
            <v>45.707333333333331</v>
          </cell>
          <cell r="R408">
            <v>30.748333333333335</v>
          </cell>
          <cell r="S408">
            <v>53.547333333333334</v>
          </cell>
          <cell r="T408">
            <v>38.327666666666666</v>
          </cell>
          <cell r="U408">
            <v>41.280999999999992</v>
          </cell>
        </row>
        <row r="409">
          <cell r="A409">
            <v>40856</v>
          </cell>
          <cell r="B409">
            <v>40.479999999999997</v>
          </cell>
          <cell r="C409">
            <v>34.32</v>
          </cell>
          <cell r="D409">
            <v>39.299999999999997</v>
          </cell>
          <cell r="E409">
            <v>46.31</v>
          </cell>
          <cell r="F409">
            <v>45.16</v>
          </cell>
          <cell r="G409">
            <v>31.01</v>
          </cell>
          <cell r="H409">
            <v>54.39</v>
          </cell>
          <cell r="I409">
            <v>38.78</v>
          </cell>
          <cell r="J409">
            <v>42.02</v>
          </cell>
          <cell r="L409">
            <v>40856</v>
          </cell>
          <cell r="M409">
            <v>41.092999999999996</v>
          </cell>
          <cell r="N409">
            <v>33.366666666666681</v>
          </cell>
          <cell r="O409">
            <v>39.686999999999991</v>
          </cell>
          <cell r="P409">
            <v>45.493333333333318</v>
          </cell>
          <cell r="Q409">
            <v>45.662333333333329</v>
          </cell>
          <cell r="R409">
            <v>30.672000000000004</v>
          </cell>
          <cell r="S409">
            <v>53.413000000000004</v>
          </cell>
          <cell r="T409">
            <v>38.267666666666663</v>
          </cell>
          <cell r="U409">
            <v>41.197333333333319</v>
          </cell>
        </row>
        <row r="410">
          <cell r="A410">
            <v>40855</v>
          </cell>
          <cell r="B410">
            <v>42.01</v>
          </cell>
          <cell r="C410">
            <v>35.4</v>
          </cell>
          <cell r="D410">
            <v>40.17</v>
          </cell>
          <cell r="E410">
            <v>47.82</v>
          </cell>
          <cell r="F410">
            <v>46.55</v>
          </cell>
          <cell r="G410">
            <v>32.06</v>
          </cell>
          <cell r="H410">
            <v>55.67</v>
          </cell>
          <cell r="I410">
            <v>39.67</v>
          </cell>
          <cell r="J410">
            <v>43.46</v>
          </cell>
          <cell r="L410">
            <v>40855</v>
          </cell>
          <cell r="M410">
            <v>41.061</v>
          </cell>
          <cell r="N410">
            <v>33.257666666666672</v>
          </cell>
          <cell r="O410">
            <v>39.638999999999989</v>
          </cell>
          <cell r="P410">
            <v>45.342999999999982</v>
          </cell>
          <cell r="Q410">
            <v>45.585666666666654</v>
          </cell>
          <cell r="R410">
            <v>30.581666666666671</v>
          </cell>
          <cell r="S410">
            <v>53.228666666666662</v>
          </cell>
          <cell r="T410">
            <v>38.171000000000006</v>
          </cell>
          <cell r="U410">
            <v>41.081333333333319</v>
          </cell>
        </row>
        <row r="411">
          <cell r="A411">
            <v>40854</v>
          </cell>
          <cell r="B411">
            <v>41.79</v>
          </cell>
          <cell r="C411">
            <v>35.130000000000003</v>
          </cell>
          <cell r="D411">
            <v>40.130000000000003</v>
          </cell>
          <cell r="E411">
            <v>47.59</v>
          </cell>
          <cell r="F411">
            <v>46.11</v>
          </cell>
          <cell r="G411">
            <v>31.84</v>
          </cell>
          <cell r="H411">
            <v>56.55</v>
          </cell>
          <cell r="I411">
            <v>40.020000000000003</v>
          </cell>
          <cell r="J411">
            <v>43.04</v>
          </cell>
          <cell r="L411">
            <v>40854</v>
          </cell>
          <cell r="M411">
            <v>41.007333333333335</v>
          </cell>
          <cell r="N411">
            <v>33.144666666666673</v>
          </cell>
          <cell r="O411">
            <v>39.599999999999987</v>
          </cell>
          <cell r="P411">
            <v>45.216666666666661</v>
          </cell>
          <cell r="Q411">
            <v>45.491333333333323</v>
          </cell>
          <cell r="R411">
            <v>30.488999999999997</v>
          </cell>
          <cell r="S411">
            <v>53.059999999999988</v>
          </cell>
          <cell r="T411">
            <v>38.096333333333334</v>
          </cell>
          <cell r="U411">
            <v>40.960666666666647</v>
          </cell>
        </row>
        <row r="412">
          <cell r="A412">
            <v>40851</v>
          </cell>
          <cell r="B412">
            <v>41.36</v>
          </cell>
          <cell r="C412">
            <v>35.1</v>
          </cell>
          <cell r="D412">
            <v>39.93</v>
          </cell>
          <cell r="E412">
            <v>47.47</v>
          </cell>
          <cell r="F412">
            <v>46.29</v>
          </cell>
          <cell r="G412">
            <v>31.78</v>
          </cell>
          <cell r="H412">
            <v>56.85</v>
          </cell>
          <cell r="I412">
            <v>39.71</v>
          </cell>
          <cell r="J412">
            <v>42.94</v>
          </cell>
          <cell r="L412">
            <v>40851</v>
          </cell>
          <cell r="M412">
            <v>40.945666666666668</v>
          </cell>
          <cell r="N412">
            <v>33.021666666666675</v>
          </cell>
          <cell r="O412">
            <v>39.541999999999994</v>
          </cell>
          <cell r="P412">
            <v>45.053666666666658</v>
          </cell>
          <cell r="Q412">
            <v>45.380666666666663</v>
          </cell>
          <cell r="R412">
            <v>30.380000000000003</v>
          </cell>
          <cell r="S412">
            <v>52.832999999999991</v>
          </cell>
          <cell r="T412">
            <v>37.991333333333337</v>
          </cell>
          <cell r="U412">
            <v>40.810333333333325</v>
          </cell>
        </row>
        <row r="413">
          <cell r="A413">
            <v>40850</v>
          </cell>
          <cell r="B413">
            <v>41.39</v>
          </cell>
          <cell r="C413">
            <v>34.880000000000003</v>
          </cell>
          <cell r="D413">
            <v>40.04</v>
          </cell>
          <cell r="E413">
            <v>47.51</v>
          </cell>
          <cell r="F413">
            <v>46.57</v>
          </cell>
          <cell r="G413">
            <v>31.87</v>
          </cell>
          <cell r="H413">
            <v>57.15</v>
          </cell>
          <cell r="I413">
            <v>40.299999999999997</v>
          </cell>
          <cell r="J413">
            <v>43.18</v>
          </cell>
          <cell r="L413">
            <v>40850</v>
          </cell>
          <cell r="M413">
            <v>40.890333333333345</v>
          </cell>
          <cell r="N413">
            <v>32.896000000000008</v>
          </cell>
          <cell r="O413">
            <v>39.492333333333335</v>
          </cell>
          <cell r="P413">
            <v>44.885666666666665</v>
          </cell>
          <cell r="Q413">
            <v>45.252333333333326</v>
          </cell>
          <cell r="R413">
            <v>30.265666666666668</v>
          </cell>
          <cell r="S413">
            <v>52.576999999999998</v>
          </cell>
          <cell r="T413">
            <v>37.881</v>
          </cell>
          <cell r="U413">
            <v>40.651999999999994</v>
          </cell>
        </row>
        <row r="414">
          <cell r="A414">
            <v>40849</v>
          </cell>
          <cell r="B414">
            <v>39.99</v>
          </cell>
          <cell r="C414">
            <v>33.799999999999997</v>
          </cell>
          <cell r="D414">
            <v>39.42</v>
          </cell>
          <cell r="E414">
            <v>46.57</v>
          </cell>
          <cell r="F414">
            <v>45.73</v>
          </cell>
          <cell r="G414">
            <v>31.41</v>
          </cell>
          <cell r="H414">
            <v>55.47</v>
          </cell>
          <cell r="I414">
            <v>39.270000000000003</v>
          </cell>
          <cell r="J414">
            <v>42.06</v>
          </cell>
          <cell r="L414">
            <v>40849</v>
          </cell>
          <cell r="M414">
            <v>40.821333333333335</v>
          </cell>
          <cell r="N414">
            <v>32.769333333333343</v>
          </cell>
          <cell r="O414">
            <v>39.41899999999999</v>
          </cell>
          <cell r="P414">
            <v>44.702666666666666</v>
          </cell>
          <cell r="Q414">
            <v>45.093666666666664</v>
          </cell>
          <cell r="R414">
            <v>30.133666666666667</v>
          </cell>
          <cell r="S414">
            <v>52.278999999999996</v>
          </cell>
          <cell r="T414">
            <v>37.725666666666669</v>
          </cell>
          <cell r="U414">
            <v>40.479333333333336</v>
          </cell>
        </row>
        <row r="415">
          <cell r="A415">
            <v>40848</v>
          </cell>
          <cell r="B415">
            <v>40.29</v>
          </cell>
          <cell r="C415">
            <v>33.03</v>
          </cell>
          <cell r="D415">
            <v>38.869999999999997</v>
          </cell>
          <cell r="E415">
            <v>45.5</v>
          </cell>
          <cell r="F415">
            <v>45.23</v>
          </cell>
          <cell r="G415">
            <v>31.17</v>
          </cell>
          <cell r="H415">
            <v>53.81</v>
          </cell>
          <cell r="I415">
            <v>38.44</v>
          </cell>
          <cell r="J415">
            <v>41.18</v>
          </cell>
          <cell r="L415">
            <v>40848</v>
          </cell>
          <cell r="M415">
            <v>40.832333333333331</v>
          </cell>
          <cell r="N415">
            <v>32.720000000000006</v>
          </cell>
          <cell r="O415">
            <v>39.37166666666667</v>
          </cell>
          <cell r="P415">
            <v>44.588000000000001</v>
          </cell>
          <cell r="Q415">
            <v>44.981999999999999</v>
          </cell>
          <cell r="R415">
            <v>30.05</v>
          </cell>
          <cell r="S415">
            <v>52.063666666666663</v>
          </cell>
          <cell r="T415">
            <v>37.623333333333335</v>
          </cell>
          <cell r="U415">
            <v>40.381333333333338</v>
          </cell>
        </row>
        <row r="416">
          <cell r="A416">
            <v>40847</v>
          </cell>
          <cell r="B416">
            <v>41.94</v>
          </cell>
          <cell r="C416">
            <v>34.32</v>
          </cell>
          <cell r="D416">
            <v>40.119999999999997</v>
          </cell>
          <cell r="E416">
            <v>47.02</v>
          </cell>
          <cell r="F416">
            <v>46.72</v>
          </cell>
          <cell r="G416">
            <v>32.69</v>
          </cell>
          <cell r="H416">
            <v>56.31</v>
          </cell>
          <cell r="I416">
            <v>39.479999999999997</v>
          </cell>
          <cell r="J416">
            <v>42.81</v>
          </cell>
          <cell r="L416">
            <v>40847</v>
          </cell>
          <cell r="M416">
            <v>40.864666666666672</v>
          </cell>
          <cell r="N416">
            <v>32.740666666666677</v>
          </cell>
          <cell r="O416">
            <v>39.349666666666657</v>
          </cell>
          <cell r="P416">
            <v>44.569000000000003</v>
          </cell>
          <cell r="Q416">
            <v>44.932333333333332</v>
          </cell>
          <cell r="R416">
            <v>30.014333333333337</v>
          </cell>
          <cell r="S416">
            <v>51.970999999999997</v>
          </cell>
          <cell r="T416">
            <v>37.594999999999999</v>
          </cell>
          <cell r="U416">
            <v>40.377333333333333</v>
          </cell>
        </row>
        <row r="417">
          <cell r="A417">
            <v>40844</v>
          </cell>
          <cell r="B417">
            <v>43</v>
          </cell>
          <cell r="C417">
            <v>34.89</v>
          </cell>
          <cell r="D417">
            <v>41.15</v>
          </cell>
          <cell r="E417">
            <v>47.76</v>
          </cell>
          <cell r="F417">
            <v>47.22</v>
          </cell>
          <cell r="G417">
            <v>33.29</v>
          </cell>
          <cell r="H417">
            <v>56.88</v>
          </cell>
          <cell r="I417">
            <v>39.96</v>
          </cell>
          <cell r="J417">
            <v>43.45</v>
          </cell>
          <cell r="L417">
            <v>40844</v>
          </cell>
          <cell r="M417">
            <v>40.831666666666663</v>
          </cell>
          <cell r="N417">
            <v>32.712333333333341</v>
          </cell>
          <cell r="O417">
            <v>39.285666666666671</v>
          </cell>
          <cell r="P417">
            <v>44.50266666666667</v>
          </cell>
          <cell r="Q417">
            <v>44.840000000000011</v>
          </cell>
          <cell r="R417">
            <v>29.926333333333332</v>
          </cell>
          <cell r="S417">
            <v>51.793333333333329</v>
          </cell>
          <cell r="T417">
            <v>37.503666666666653</v>
          </cell>
          <cell r="U417">
            <v>40.314999999999991</v>
          </cell>
        </row>
        <row r="418">
          <cell r="A418">
            <v>40843</v>
          </cell>
          <cell r="B418">
            <v>43.5</v>
          </cell>
          <cell r="C418">
            <v>34.97</v>
          </cell>
          <cell r="D418">
            <v>41.96</v>
          </cell>
          <cell r="E418">
            <v>48.2</v>
          </cell>
          <cell r="F418">
            <v>47.31</v>
          </cell>
          <cell r="G418">
            <v>33</v>
          </cell>
          <cell r="H418">
            <v>57.29</v>
          </cell>
          <cell r="I418">
            <v>40.14</v>
          </cell>
          <cell r="J418">
            <v>43.62</v>
          </cell>
          <cell r="L418">
            <v>40843</v>
          </cell>
          <cell r="M418">
            <v>40.758999999999993</v>
          </cell>
          <cell r="N418">
            <v>32.666000000000011</v>
          </cell>
          <cell r="O418">
            <v>39.193000000000005</v>
          </cell>
          <cell r="P418">
            <v>44.428666666666672</v>
          </cell>
          <cell r="Q418">
            <v>44.748000000000012</v>
          </cell>
          <cell r="R418">
            <v>29.825666666666663</v>
          </cell>
          <cell r="S418">
            <v>51.61333333333333</v>
          </cell>
          <cell r="T418">
            <v>37.393666666666668</v>
          </cell>
          <cell r="U418">
            <v>40.235666666666667</v>
          </cell>
        </row>
        <row r="419">
          <cell r="A419">
            <v>40842</v>
          </cell>
          <cell r="B419">
            <v>41.49</v>
          </cell>
          <cell r="C419">
            <v>33.659999999999997</v>
          </cell>
          <cell r="D419">
            <v>40.11</v>
          </cell>
          <cell r="E419">
            <v>47.03</v>
          </cell>
          <cell r="F419">
            <v>46.22</v>
          </cell>
          <cell r="G419">
            <v>31.63</v>
          </cell>
          <cell r="H419">
            <v>54.61</v>
          </cell>
          <cell r="I419">
            <v>38.229999999999997</v>
          </cell>
          <cell r="J419">
            <v>41.75</v>
          </cell>
          <cell r="L419">
            <v>40842</v>
          </cell>
          <cell r="M419">
            <v>40.68266666666667</v>
          </cell>
          <cell r="N419">
            <v>32.622000000000007</v>
          </cell>
          <cell r="O419">
            <v>39.068999999999996</v>
          </cell>
          <cell r="P419">
            <v>44.339000000000013</v>
          </cell>
          <cell r="Q419">
            <v>44.657666666666678</v>
          </cell>
          <cell r="R419">
            <v>29.736333333333331</v>
          </cell>
          <cell r="S419">
            <v>51.392000000000003</v>
          </cell>
          <cell r="T419">
            <v>37.245999999999995</v>
          </cell>
          <cell r="U419">
            <v>40.141666666666659</v>
          </cell>
        </row>
        <row r="420">
          <cell r="A420">
            <v>40841</v>
          </cell>
          <cell r="B420">
            <v>41.43</v>
          </cell>
          <cell r="C420">
            <v>33.4</v>
          </cell>
          <cell r="D420">
            <v>39.770000000000003</v>
          </cell>
          <cell r="E420">
            <v>46.82</v>
          </cell>
          <cell r="F420">
            <v>45.66</v>
          </cell>
          <cell r="G420">
            <v>31.49</v>
          </cell>
          <cell r="H420">
            <v>54.43</v>
          </cell>
          <cell r="I420">
            <v>37.93</v>
          </cell>
          <cell r="J420">
            <v>41.34</v>
          </cell>
          <cell r="L420">
            <v>40841</v>
          </cell>
          <cell r="M420">
            <v>40.658333333333339</v>
          </cell>
          <cell r="N420">
            <v>32.614000000000004</v>
          </cell>
          <cell r="O420">
            <v>38.999000000000002</v>
          </cell>
          <cell r="P420">
            <v>44.279000000000011</v>
          </cell>
          <cell r="Q420">
            <v>44.590000000000011</v>
          </cell>
          <cell r="R420">
            <v>29.684999999999999</v>
          </cell>
          <cell r="S420">
            <v>51.24666666666667</v>
          </cell>
          <cell r="T420">
            <v>37.156666666666666</v>
          </cell>
          <cell r="U420">
            <v>40.100333333333332</v>
          </cell>
        </row>
        <row r="421">
          <cell r="A421">
            <v>40840</v>
          </cell>
          <cell r="B421">
            <v>42.11</v>
          </cell>
          <cell r="C421">
            <v>34</v>
          </cell>
          <cell r="D421">
            <v>40.68</v>
          </cell>
          <cell r="E421">
            <v>47.63</v>
          </cell>
          <cell r="F421">
            <v>46.51</v>
          </cell>
          <cell r="G421">
            <v>32.39</v>
          </cell>
          <cell r="H421">
            <v>56.15</v>
          </cell>
          <cell r="I421">
            <v>38.81</v>
          </cell>
          <cell r="J421">
            <v>42.01</v>
          </cell>
          <cell r="L421">
            <v>40840</v>
          </cell>
          <cell r="M421">
            <v>40.609333333333339</v>
          </cell>
          <cell r="N421">
            <v>32.597999999999999</v>
          </cell>
          <cell r="O421">
            <v>38.922333333333341</v>
          </cell>
          <cell r="P421">
            <v>44.208666666666666</v>
          </cell>
          <cell r="Q421">
            <v>44.51700000000001</v>
          </cell>
          <cell r="R421">
            <v>29.636666666666663</v>
          </cell>
          <cell r="S421">
            <v>51.055666666666674</v>
          </cell>
          <cell r="T421">
            <v>37.055999999999997</v>
          </cell>
          <cell r="U421">
            <v>40.057000000000002</v>
          </cell>
        </row>
        <row r="422">
          <cell r="A422">
            <v>40837</v>
          </cell>
          <cell r="B422">
            <v>41.66</v>
          </cell>
          <cell r="C422">
            <v>33.619999999999997</v>
          </cell>
          <cell r="D422">
            <v>40.270000000000003</v>
          </cell>
          <cell r="E422">
            <v>46.84</v>
          </cell>
          <cell r="F422">
            <v>45.85</v>
          </cell>
          <cell r="G422">
            <v>31.6</v>
          </cell>
          <cell r="H422">
            <v>54.89</v>
          </cell>
          <cell r="I422">
            <v>38.54</v>
          </cell>
          <cell r="J422">
            <v>41.68</v>
          </cell>
          <cell r="L422">
            <v>40837</v>
          </cell>
          <cell r="M422">
            <v>40.537000000000013</v>
          </cell>
          <cell r="N422">
            <v>32.567333333333337</v>
          </cell>
          <cell r="O422">
            <v>38.81933333333334</v>
          </cell>
          <cell r="P422">
            <v>44.118666666666662</v>
          </cell>
          <cell r="Q422">
            <v>44.427666666666674</v>
          </cell>
          <cell r="R422">
            <v>29.575333333333329</v>
          </cell>
          <cell r="S422">
            <v>50.811666666666675</v>
          </cell>
          <cell r="T422">
            <v>36.923000000000002</v>
          </cell>
          <cell r="U422">
            <v>39.987666666666669</v>
          </cell>
        </row>
        <row r="423">
          <cell r="A423">
            <v>40836</v>
          </cell>
          <cell r="B423">
            <v>40.799999999999997</v>
          </cell>
          <cell r="C423">
            <v>33.159999999999997</v>
          </cell>
          <cell r="D423">
            <v>39.75</v>
          </cell>
          <cell r="E423">
            <v>45.4</v>
          </cell>
          <cell r="F423">
            <v>45.4</v>
          </cell>
          <cell r="G423">
            <v>30.82</v>
          </cell>
          <cell r="H423">
            <v>53.32</v>
          </cell>
          <cell r="I423">
            <v>37.979999999999997</v>
          </cell>
          <cell r="J423">
            <v>41.08</v>
          </cell>
          <cell r="L423">
            <v>40836</v>
          </cell>
          <cell r="M423">
            <v>40.477333333333341</v>
          </cell>
          <cell r="N423">
            <v>32.548999999999999</v>
          </cell>
          <cell r="O423">
            <v>38.723333333333343</v>
          </cell>
          <cell r="P423">
            <v>44.045333333333339</v>
          </cell>
          <cell r="Q423">
            <v>44.368333333333325</v>
          </cell>
          <cell r="R423">
            <v>29.537666666666663</v>
          </cell>
          <cell r="S423">
            <v>50.61</v>
          </cell>
          <cell r="T423">
            <v>36.794999999999995</v>
          </cell>
          <cell r="U423">
            <v>39.936333333333344</v>
          </cell>
        </row>
        <row r="424">
          <cell r="A424">
            <v>40835</v>
          </cell>
          <cell r="B424">
            <v>41.1</v>
          </cell>
          <cell r="C424">
            <v>33.22</v>
          </cell>
          <cell r="D424">
            <v>39.549999999999997</v>
          </cell>
          <cell r="E424">
            <v>44.88</v>
          </cell>
          <cell r="F424">
            <v>45.51</v>
          </cell>
          <cell r="G424">
            <v>30.68</v>
          </cell>
          <cell r="H424">
            <v>53.03</v>
          </cell>
          <cell r="I424">
            <v>38.020000000000003</v>
          </cell>
          <cell r="J424">
            <v>40.89</v>
          </cell>
          <cell r="L424">
            <v>40835</v>
          </cell>
          <cell r="M424">
            <v>40.478666666666669</v>
          </cell>
          <cell r="N424">
            <v>32.587666666666671</v>
          </cell>
          <cell r="O424">
            <v>38.68333333333333</v>
          </cell>
          <cell r="P424">
            <v>44.073666666666668</v>
          </cell>
          <cell r="Q424">
            <v>44.359333333333325</v>
          </cell>
          <cell r="R424">
            <v>29.546666666666667</v>
          </cell>
          <cell r="S424">
            <v>50.508666666666663</v>
          </cell>
          <cell r="T424">
            <v>36.728999999999999</v>
          </cell>
          <cell r="U424">
            <v>39.935000000000016</v>
          </cell>
        </row>
        <row r="425">
          <cell r="A425">
            <v>40834</v>
          </cell>
          <cell r="B425">
            <v>41.25</v>
          </cell>
          <cell r="C425">
            <v>33.33</v>
          </cell>
          <cell r="D425">
            <v>39.909999999999997</v>
          </cell>
          <cell r="E425">
            <v>45.39</v>
          </cell>
          <cell r="F425">
            <v>45.8</v>
          </cell>
          <cell r="G425">
            <v>30.91</v>
          </cell>
          <cell r="H425">
            <v>53.26</v>
          </cell>
          <cell r="I425">
            <v>38.659999999999997</v>
          </cell>
          <cell r="J425">
            <v>41.37</v>
          </cell>
          <cell r="L425">
            <v>40834</v>
          </cell>
          <cell r="M425">
            <v>40.466666666666669</v>
          </cell>
          <cell r="N425">
            <v>32.610666666666674</v>
          </cell>
          <cell r="O425">
            <v>38.686000000000007</v>
          </cell>
          <cell r="P425">
            <v>44.123000000000005</v>
          </cell>
          <cell r="Q425">
            <v>44.349000000000004</v>
          </cell>
          <cell r="R425">
            <v>29.560999999999996</v>
          </cell>
          <cell r="S425">
            <v>50.428333333333327</v>
          </cell>
          <cell r="T425">
            <v>36.673333333333325</v>
          </cell>
          <cell r="U425">
            <v>39.927666666666681</v>
          </cell>
        </row>
        <row r="426">
          <cell r="A426">
            <v>40833</v>
          </cell>
          <cell r="B426">
            <v>40.85</v>
          </cell>
          <cell r="C426">
            <v>32.83</v>
          </cell>
          <cell r="D426">
            <v>39.549999999999997</v>
          </cell>
          <cell r="E426">
            <v>44.67</v>
          </cell>
          <cell r="F426">
            <v>45.36</v>
          </cell>
          <cell r="G426">
            <v>30.14</v>
          </cell>
          <cell r="H426">
            <v>52.23</v>
          </cell>
          <cell r="I426">
            <v>38.119999999999997</v>
          </cell>
          <cell r="J426">
            <v>40.64</v>
          </cell>
          <cell r="L426">
            <v>40833</v>
          </cell>
          <cell r="M426">
            <v>40.423999999999999</v>
          </cell>
          <cell r="N426">
            <v>32.598666666666666</v>
          </cell>
          <cell r="O426">
            <v>38.65366666666668</v>
          </cell>
          <cell r="P426">
            <v>44.121999999999993</v>
          </cell>
          <cell r="Q426">
            <v>44.288666666666671</v>
          </cell>
          <cell r="R426">
            <v>29.53766666666667</v>
          </cell>
          <cell r="S426">
            <v>50.30566666666666</v>
          </cell>
          <cell r="T426">
            <v>36.568999999999996</v>
          </cell>
          <cell r="U426">
            <v>39.885666666666665</v>
          </cell>
        </row>
        <row r="427">
          <cell r="A427">
            <v>40830</v>
          </cell>
          <cell r="B427">
            <v>41.18</v>
          </cell>
          <cell r="C427">
            <v>33.159999999999997</v>
          </cell>
          <cell r="D427">
            <v>40.07</v>
          </cell>
          <cell r="E427">
            <v>45.22</v>
          </cell>
          <cell r="F427">
            <v>45.85</v>
          </cell>
          <cell r="G427">
            <v>30.57</v>
          </cell>
          <cell r="H427">
            <v>52.77</v>
          </cell>
          <cell r="I427">
            <v>38.5</v>
          </cell>
          <cell r="J427">
            <v>41.15</v>
          </cell>
          <cell r="L427">
            <v>40830</v>
          </cell>
          <cell r="M427">
            <v>40.408666666666676</v>
          </cell>
          <cell r="N427">
            <v>32.619666666666674</v>
          </cell>
          <cell r="O427">
            <v>38.636000000000003</v>
          </cell>
          <cell r="P427">
            <v>44.152666666666654</v>
          </cell>
          <cell r="Q427">
            <v>44.248333333333342</v>
          </cell>
          <cell r="R427">
            <v>29.548000000000002</v>
          </cell>
          <cell r="S427">
            <v>50.23033333333332</v>
          </cell>
          <cell r="T427">
            <v>36.495000000000005</v>
          </cell>
          <cell r="U427">
            <v>39.883333333333333</v>
          </cell>
        </row>
        <row r="428">
          <cell r="A428">
            <v>40829</v>
          </cell>
          <cell r="B428">
            <v>40.89</v>
          </cell>
          <cell r="C428">
            <v>33.08</v>
          </cell>
          <cell r="D428">
            <v>39.799999999999997</v>
          </cell>
          <cell r="E428">
            <v>44.97</v>
          </cell>
          <cell r="F428">
            <v>45.66</v>
          </cell>
          <cell r="G428">
            <v>30.19</v>
          </cell>
          <cell r="H428">
            <v>52.4</v>
          </cell>
          <cell r="I428">
            <v>38.229999999999997</v>
          </cell>
          <cell r="J428">
            <v>40.86</v>
          </cell>
          <cell r="L428">
            <v>40829</v>
          </cell>
          <cell r="M428">
            <v>40.408000000000015</v>
          </cell>
          <cell r="N428">
            <v>32.652666666666669</v>
          </cell>
          <cell r="O428">
            <v>38.625000000000007</v>
          </cell>
          <cell r="P428">
            <v>44.194666666666656</v>
          </cell>
          <cell r="Q428">
            <v>44.217000000000006</v>
          </cell>
          <cell r="R428">
            <v>29.571666666666669</v>
          </cell>
          <cell r="S428">
            <v>50.179666666666655</v>
          </cell>
          <cell r="T428">
            <v>36.440333333333335</v>
          </cell>
          <cell r="U428">
            <v>39.898333333333326</v>
          </cell>
        </row>
        <row r="429">
          <cell r="A429">
            <v>40828</v>
          </cell>
          <cell r="B429">
            <v>41.09</v>
          </cell>
          <cell r="C429">
            <v>32.57</v>
          </cell>
          <cell r="D429">
            <v>39.43</v>
          </cell>
          <cell r="E429">
            <v>44.69</v>
          </cell>
          <cell r="F429">
            <v>45.63</v>
          </cell>
          <cell r="G429">
            <v>29.86</v>
          </cell>
          <cell r="H429">
            <v>52.14</v>
          </cell>
          <cell r="I429">
            <v>38.159999999999997</v>
          </cell>
          <cell r="J429">
            <v>40.700000000000003</v>
          </cell>
          <cell r="L429">
            <v>40828</v>
          </cell>
          <cell r="M429">
            <v>40.425666666666679</v>
          </cell>
          <cell r="N429">
            <v>32.667999999999999</v>
          </cell>
          <cell r="O429">
            <v>38.62166666666667</v>
          </cell>
          <cell r="P429">
            <v>44.265999999999984</v>
          </cell>
          <cell r="Q429">
            <v>44.202333333333357</v>
          </cell>
          <cell r="R429">
            <v>29.595333333333336</v>
          </cell>
          <cell r="S429">
            <v>50.150666666666659</v>
          </cell>
          <cell r="T429">
            <v>36.4</v>
          </cell>
          <cell r="U429">
            <v>39.914999999999985</v>
          </cell>
        </row>
        <row r="430">
          <cell r="A430">
            <v>40827</v>
          </cell>
          <cell r="B430">
            <v>41.12</v>
          </cell>
          <cell r="C430">
            <v>32.479999999999997</v>
          </cell>
          <cell r="D430">
            <v>39.54</v>
          </cell>
          <cell r="E430">
            <v>44.93</v>
          </cell>
          <cell r="F430">
            <v>45.77</v>
          </cell>
          <cell r="G430">
            <v>29.73</v>
          </cell>
          <cell r="H430">
            <v>51.81</v>
          </cell>
          <cell r="I430">
            <v>38.17</v>
          </cell>
          <cell r="J430">
            <v>40.56</v>
          </cell>
          <cell r="L430">
            <v>40827</v>
          </cell>
          <cell r="M430">
            <v>40.428333333333356</v>
          </cell>
          <cell r="N430">
            <v>32.695999999999998</v>
          </cell>
          <cell r="O430">
            <v>38.623000000000005</v>
          </cell>
          <cell r="P430">
            <v>44.347666666666655</v>
          </cell>
          <cell r="Q430">
            <v>44.187333333333349</v>
          </cell>
          <cell r="R430">
            <v>29.626666666666672</v>
          </cell>
          <cell r="S430">
            <v>50.129999999999988</v>
          </cell>
          <cell r="T430">
            <v>36.355666666666671</v>
          </cell>
          <cell r="U430">
            <v>39.91966666666665</v>
          </cell>
        </row>
        <row r="431">
          <cell r="A431">
            <v>40826</v>
          </cell>
          <cell r="B431">
            <v>41.17</v>
          </cell>
          <cell r="C431">
            <v>32.630000000000003</v>
          </cell>
          <cell r="D431">
            <v>39.630000000000003</v>
          </cell>
          <cell r="E431">
            <v>44.44</v>
          </cell>
          <cell r="F431">
            <v>45.7</v>
          </cell>
          <cell r="G431">
            <v>29.68</v>
          </cell>
          <cell r="H431">
            <v>51.97</v>
          </cell>
          <cell r="I431">
            <v>37.700000000000003</v>
          </cell>
          <cell r="J431">
            <v>40.47</v>
          </cell>
          <cell r="L431">
            <v>40826</v>
          </cell>
          <cell r="M431">
            <v>40.438666666666684</v>
          </cell>
          <cell r="N431">
            <v>32.714666666666659</v>
          </cell>
          <cell r="O431">
            <v>38.612000000000002</v>
          </cell>
          <cell r="P431">
            <v>44.420666666666648</v>
          </cell>
          <cell r="Q431">
            <v>44.171000000000021</v>
          </cell>
          <cell r="R431">
            <v>29.660666666666668</v>
          </cell>
          <cell r="S431">
            <v>50.122666666666653</v>
          </cell>
          <cell r="T431">
            <v>36.305</v>
          </cell>
          <cell r="U431">
            <v>39.930333333333323</v>
          </cell>
        </row>
        <row r="432">
          <cell r="A432">
            <v>40823</v>
          </cell>
          <cell r="B432">
            <v>40.44</v>
          </cell>
          <cell r="C432">
            <v>31.94</v>
          </cell>
          <cell r="D432">
            <v>38.799999999999997</v>
          </cell>
          <cell r="E432">
            <v>43.36</v>
          </cell>
          <cell r="F432">
            <v>44.76</v>
          </cell>
          <cell r="G432">
            <v>28.95</v>
          </cell>
          <cell r="H432">
            <v>50.46</v>
          </cell>
          <cell r="I432">
            <v>36.78</v>
          </cell>
          <cell r="J432">
            <v>39.369999999999997</v>
          </cell>
          <cell r="L432">
            <v>40823</v>
          </cell>
          <cell r="M432">
            <v>40.416666666666671</v>
          </cell>
          <cell r="N432">
            <v>32.701999999999991</v>
          </cell>
          <cell r="O432">
            <v>38.563000000000009</v>
          </cell>
          <cell r="P432">
            <v>44.475999999999985</v>
          </cell>
          <cell r="Q432">
            <v>44.124666666666684</v>
          </cell>
          <cell r="R432">
            <v>29.669666666666668</v>
          </cell>
          <cell r="S432">
            <v>50.05899999999999</v>
          </cell>
          <cell r="T432">
            <v>36.240333333333332</v>
          </cell>
          <cell r="U432">
            <v>39.91333333333332</v>
          </cell>
        </row>
        <row r="433">
          <cell r="A433">
            <v>40822</v>
          </cell>
          <cell r="B433">
            <v>40.57</v>
          </cell>
          <cell r="C433">
            <v>32.49</v>
          </cell>
          <cell r="D433">
            <v>39.49</v>
          </cell>
          <cell r="E433">
            <v>44.07</v>
          </cell>
          <cell r="F433">
            <v>45.7</v>
          </cell>
          <cell r="G433">
            <v>29.15</v>
          </cell>
          <cell r="H433">
            <v>51.31</v>
          </cell>
          <cell r="I433">
            <v>37.229999999999997</v>
          </cell>
          <cell r="J433">
            <v>39.94</v>
          </cell>
          <cell r="L433">
            <v>40822</v>
          </cell>
          <cell r="M433">
            <v>40.397000000000013</v>
          </cell>
          <cell r="N433">
            <v>32.718333333333327</v>
          </cell>
          <cell r="O433">
            <v>38.525666666666673</v>
          </cell>
          <cell r="P433">
            <v>44.537333333333322</v>
          </cell>
          <cell r="Q433">
            <v>44.105000000000018</v>
          </cell>
          <cell r="R433">
            <v>29.69466666666667</v>
          </cell>
          <cell r="S433">
            <v>50.015000000000001</v>
          </cell>
          <cell r="T433">
            <v>36.189333333333337</v>
          </cell>
          <cell r="U433">
            <v>39.922000000000004</v>
          </cell>
        </row>
        <row r="434">
          <cell r="A434">
            <v>40821</v>
          </cell>
          <cell r="B434">
            <v>39.94</v>
          </cell>
          <cell r="C434">
            <v>32.01</v>
          </cell>
          <cell r="D434">
            <v>39.07</v>
          </cell>
          <cell r="E434">
            <v>43.37</v>
          </cell>
          <cell r="F434">
            <v>45.01</v>
          </cell>
          <cell r="G434">
            <v>28.65</v>
          </cell>
          <cell r="H434">
            <v>50.07</v>
          </cell>
          <cell r="I434">
            <v>36.79</v>
          </cell>
          <cell r="J434">
            <v>39.26</v>
          </cell>
          <cell r="L434">
            <v>40821</v>
          </cell>
          <cell r="M434">
            <v>40.38133333333333</v>
          </cell>
          <cell r="N434">
            <v>32.740999999999993</v>
          </cell>
          <cell r="O434">
            <v>38.486333333333341</v>
          </cell>
          <cell r="P434">
            <v>44.590999999999994</v>
          </cell>
          <cell r="Q434">
            <v>44.061666666666682</v>
          </cell>
          <cell r="R434">
            <v>29.725666666666672</v>
          </cell>
          <cell r="S434">
            <v>49.975999999999999</v>
          </cell>
          <cell r="T434">
            <v>36.149333333333324</v>
          </cell>
          <cell r="U434">
            <v>39.922333333333334</v>
          </cell>
        </row>
        <row r="435">
          <cell r="A435">
            <v>40820</v>
          </cell>
          <cell r="B435">
            <v>39.450000000000003</v>
          </cell>
          <cell r="C435">
            <v>31.21</v>
          </cell>
          <cell r="D435">
            <v>39.06</v>
          </cell>
          <cell r="E435">
            <v>42.76</v>
          </cell>
          <cell r="F435">
            <v>44.72</v>
          </cell>
          <cell r="G435">
            <v>28.04</v>
          </cell>
          <cell r="H435">
            <v>49.43</v>
          </cell>
          <cell r="I435">
            <v>36.21</v>
          </cell>
          <cell r="J435">
            <v>38.85</v>
          </cell>
          <cell r="L435">
            <v>40820</v>
          </cell>
          <cell r="M435">
            <v>40.343999999999987</v>
          </cell>
          <cell r="N435">
            <v>32.74733333333333</v>
          </cell>
          <cell r="O435">
            <v>38.434000000000005</v>
          </cell>
          <cell r="P435">
            <v>44.652000000000001</v>
          </cell>
          <cell r="Q435">
            <v>44.01133333333334</v>
          </cell>
          <cell r="R435">
            <v>29.742000000000004</v>
          </cell>
          <cell r="S435">
            <v>49.94466666666667</v>
          </cell>
          <cell r="T435">
            <v>36.096666666666671</v>
          </cell>
          <cell r="U435">
            <v>39.907666666666664</v>
          </cell>
        </row>
        <row r="436">
          <cell r="A436">
            <v>40819</v>
          </cell>
          <cell r="B436">
            <v>39</v>
          </cell>
          <cell r="C436">
            <v>30.97</v>
          </cell>
          <cell r="D436">
            <v>37.369999999999997</v>
          </cell>
          <cell r="E436">
            <v>40.770000000000003</v>
          </cell>
          <cell r="F436">
            <v>43.3</v>
          </cell>
          <cell r="G436">
            <v>27.59</v>
          </cell>
          <cell r="H436">
            <v>47.71</v>
          </cell>
          <cell r="I436">
            <v>35.01</v>
          </cell>
          <cell r="J436">
            <v>37.340000000000003</v>
          </cell>
          <cell r="L436">
            <v>40819</v>
          </cell>
          <cell r="M436">
            <v>40.272666666666652</v>
          </cell>
          <cell r="N436">
            <v>32.756999999999998</v>
          </cell>
          <cell r="O436">
            <v>38.328000000000003</v>
          </cell>
          <cell r="P436">
            <v>44.676666666666662</v>
          </cell>
          <cell r="Q436">
            <v>43.928666666666672</v>
          </cell>
          <cell r="R436">
            <v>29.741666666666671</v>
          </cell>
          <cell r="S436">
            <v>49.878666666666682</v>
          </cell>
          <cell r="T436">
            <v>36.019666666666673</v>
          </cell>
          <cell r="U436">
            <v>39.859666666666676</v>
          </cell>
        </row>
        <row r="437">
          <cell r="A437">
            <v>40816</v>
          </cell>
          <cell r="B437">
            <v>40.74</v>
          </cell>
          <cell r="C437">
            <v>32.450000000000003</v>
          </cell>
          <cell r="D437">
            <v>38.75</v>
          </cell>
          <cell r="E437">
            <v>42.57</v>
          </cell>
          <cell r="F437">
            <v>44.1</v>
          </cell>
          <cell r="G437">
            <v>28.89</v>
          </cell>
          <cell r="H437">
            <v>49.75</v>
          </cell>
          <cell r="I437">
            <v>36.17</v>
          </cell>
          <cell r="J437">
            <v>39.07</v>
          </cell>
          <cell r="L437">
            <v>40816</v>
          </cell>
          <cell r="M437">
            <v>40.216666666666654</v>
          </cell>
          <cell r="N437">
            <v>32.782999999999994</v>
          </cell>
          <cell r="O437">
            <v>38.279666666666671</v>
          </cell>
          <cell r="P437">
            <v>44.765000000000008</v>
          </cell>
          <cell r="Q437">
            <v>43.896000000000001</v>
          </cell>
          <cell r="R437">
            <v>29.755666666666666</v>
          </cell>
          <cell r="S437">
            <v>49.866333333333344</v>
          </cell>
          <cell r="T437">
            <v>35.989333333333335</v>
          </cell>
          <cell r="U437">
            <v>39.856666666666669</v>
          </cell>
        </row>
        <row r="438">
          <cell r="A438">
            <v>40815</v>
          </cell>
          <cell r="B438">
            <v>40.76</v>
          </cell>
          <cell r="C438">
            <v>32.950000000000003</v>
          </cell>
          <cell r="D438">
            <v>38.92</v>
          </cell>
          <cell r="E438">
            <v>43.24</v>
          </cell>
          <cell r="F438">
            <v>44.47</v>
          </cell>
          <cell r="G438">
            <v>29.08</v>
          </cell>
          <cell r="H438">
            <v>50.28</v>
          </cell>
          <cell r="I438">
            <v>37.020000000000003</v>
          </cell>
          <cell r="J438">
            <v>39.83</v>
          </cell>
          <cell r="L438">
            <v>40815</v>
          </cell>
          <cell r="M438">
            <v>40.119666666666646</v>
          </cell>
          <cell r="N438">
            <v>32.765999999999998</v>
          </cell>
          <cell r="O438">
            <v>38.199333333333335</v>
          </cell>
          <cell r="P438">
            <v>44.798000000000002</v>
          </cell>
          <cell r="Q438">
            <v>43.845666666666673</v>
          </cell>
          <cell r="R438">
            <v>29.735999999999997</v>
          </cell>
          <cell r="S438">
            <v>49.797000000000011</v>
          </cell>
          <cell r="T438">
            <v>35.92766666666666</v>
          </cell>
          <cell r="U438">
            <v>39.800666666666672</v>
          </cell>
        </row>
        <row r="439">
          <cell r="A439">
            <v>40814</v>
          </cell>
          <cell r="B439">
            <v>39.520000000000003</v>
          </cell>
          <cell r="C439">
            <v>31.05</v>
          </cell>
          <cell r="D439">
            <v>37.86</v>
          </cell>
          <cell r="E439">
            <v>41.8</v>
          </cell>
          <cell r="F439">
            <v>42.86</v>
          </cell>
          <cell r="G439">
            <v>28.3</v>
          </cell>
          <cell r="H439">
            <v>48.86</v>
          </cell>
          <cell r="I439">
            <v>35.880000000000003</v>
          </cell>
          <cell r="J439">
            <v>38.54</v>
          </cell>
          <cell r="L439">
            <v>40814</v>
          </cell>
          <cell r="M439">
            <v>40.059999999999988</v>
          </cell>
          <cell r="N439">
            <v>32.75033333333333</v>
          </cell>
          <cell r="O439">
            <v>38.146666666666661</v>
          </cell>
          <cell r="P439">
            <v>44.862000000000009</v>
          </cell>
          <cell r="Q439">
            <v>43.821666666666673</v>
          </cell>
          <cell r="R439">
            <v>29.742000000000001</v>
          </cell>
          <cell r="S439">
            <v>49.747000000000007</v>
          </cell>
          <cell r="T439">
            <v>35.878</v>
          </cell>
          <cell r="U439">
            <v>39.766666666666673</v>
          </cell>
        </row>
        <row r="440">
          <cell r="A440">
            <v>40813</v>
          </cell>
          <cell r="B440">
            <v>40.4</v>
          </cell>
          <cell r="C440">
            <v>32.01</v>
          </cell>
          <cell r="D440">
            <v>39</v>
          </cell>
          <cell r="E440">
            <v>44.03</v>
          </cell>
          <cell r="F440">
            <v>43.72</v>
          </cell>
          <cell r="G440">
            <v>29.28</v>
          </cell>
          <cell r="H440">
            <v>50.61</v>
          </cell>
          <cell r="I440">
            <v>37.43</v>
          </cell>
          <cell r="J440">
            <v>39.840000000000003</v>
          </cell>
          <cell r="L440">
            <v>40813</v>
          </cell>
          <cell r="M440">
            <v>40.063999999999993</v>
          </cell>
          <cell r="N440">
            <v>32.791333333333327</v>
          </cell>
          <cell r="O440">
            <v>38.127333333333326</v>
          </cell>
          <cell r="P440">
            <v>44.965333333333341</v>
          </cell>
          <cell r="Q440">
            <v>43.858666666666657</v>
          </cell>
          <cell r="R440">
            <v>29.776666666666664</v>
          </cell>
          <cell r="S440">
            <v>49.754333333333342</v>
          </cell>
          <cell r="T440">
            <v>35.865000000000002</v>
          </cell>
          <cell r="U440">
            <v>39.76766666666667</v>
          </cell>
        </row>
        <row r="441">
          <cell r="A441">
            <v>40812</v>
          </cell>
          <cell r="B441">
            <v>39.94</v>
          </cell>
          <cell r="C441">
            <v>31.44</v>
          </cell>
          <cell r="D441">
            <v>38.39</v>
          </cell>
          <cell r="E441">
            <v>42.7</v>
          </cell>
          <cell r="F441">
            <v>42.79</v>
          </cell>
          <cell r="G441">
            <v>28.57</v>
          </cell>
          <cell r="H441">
            <v>49.74</v>
          </cell>
          <cell r="I441">
            <v>36.869999999999997</v>
          </cell>
          <cell r="J441">
            <v>38.53</v>
          </cell>
          <cell r="L441">
            <v>40812</v>
          </cell>
          <cell r="M441">
            <v>40.033333333333331</v>
          </cell>
          <cell r="N441">
            <v>32.797666666666665</v>
          </cell>
          <cell r="O441">
            <v>38.07033333333333</v>
          </cell>
          <cell r="P441">
            <v>44.999333333333347</v>
          </cell>
          <cell r="Q441">
            <v>43.876999999999988</v>
          </cell>
          <cell r="R441">
            <v>29.786999999999999</v>
          </cell>
          <cell r="S441">
            <v>49.680333333333344</v>
          </cell>
          <cell r="T441">
            <v>35.805666666666667</v>
          </cell>
          <cell r="U441">
            <v>39.732666666666667</v>
          </cell>
        </row>
        <row r="442">
          <cell r="A442">
            <v>40809</v>
          </cell>
          <cell r="B442">
            <v>39.700000000000003</v>
          </cell>
          <cell r="C442">
            <v>31.33</v>
          </cell>
          <cell r="D442">
            <v>38.44</v>
          </cell>
          <cell r="E442">
            <v>42.43</v>
          </cell>
          <cell r="F442">
            <v>42.44</v>
          </cell>
          <cell r="G442">
            <v>28.35</v>
          </cell>
          <cell r="H442">
            <v>49.17</v>
          </cell>
          <cell r="I442">
            <v>36.4</v>
          </cell>
          <cell r="J442">
            <v>38.19</v>
          </cell>
          <cell r="L442">
            <v>40809</v>
          </cell>
          <cell r="M442">
            <v>39.976333333333336</v>
          </cell>
          <cell r="N442">
            <v>32.789333333333339</v>
          </cell>
          <cell r="O442">
            <v>37.999000000000002</v>
          </cell>
          <cell r="P442">
            <v>45.038000000000004</v>
          </cell>
          <cell r="Q442">
            <v>43.892666666666656</v>
          </cell>
          <cell r="R442">
            <v>29.790666666666667</v>
          </cell>
          <cell r="S442">
            <v>49.565333333333342</v>
          </cell>
          <cell r="T442">
            <v>35.721999999999994</v>
          </cell>
          <cell r="U442">
            <v>39.708666666666666</v>
          </cell>
        </row>
        <row r="443">
          <cell r="A443">
            <v>40808</v>
          </cell>
          <cell r="B443">
            <v>39.32</v>
          </cell>
          <cell r="C443">
            <v>31.08</v>
          </cell>
          <cell r="D443">
            <v>37.840000000000003</v>
          </cell>
          <cell r="E443">
            <v>42.02</v>
          </cell>
          <cell r="F443">
            <v>41.81</v>
          </cell>
          <cell r="G443">
            <v>27.91</v>
          </cell>
          <cell r="H443">
            <v>48.21</v>
          </cell>
          <cell r="I443">
            <v>35.64</v>
          </cell>
          <cell r="J443">
            <v>38</v>
          </cell>
          <cell r="L443">
            <v>40808</v>
          </cell>
          <cell r="M443">
            <v>39.962000000000003</v>
          </cell>
          <cell r="N443">
            <v>32.785333333333334</v>
          </cell>
          <cell r="O443">
            <v>37.935333333333332</v>
          </cell>
          <cell r="P443">
            <v>45.094000000000008</v>
          </cell>
          <cell r="Q443">
            <v>43.938333333333318</v>
          </cell>
          <cell r="R443">
            <v>29.811666666666664</v>
          </cell>
          <cell r="S443">
            <v>49.482999999999997</v>
          </cell>
          <cell r="T443">
            <v>35.666000000000004</v>
          </cell>
          <cell r="U443">
            <v>39.70900000000001</v>
          </cell>
        </row>
        <row r="444">
          <cell r="A444">
            <v>40807</v>
          </cell>
          <cell r="B444">
            <v>40.32</v>
          </cell>
          <cell r="C444">
            <v>32.32</v>
          </cell>
          <cell r="D444">
            <v>38</v>
          </cell>
          <cell r="E444">
            <v>43.13</v>
          </cell>
          <cell r="F444">
            <v>42.38</v>
          </cell>
          <cell r="G444">
            <v>28.9</v>
          </cell>
          <cell r="H444">
            <v>49.01</v>
          </cell>
          <cell r="I444">
            <v>36.200000000000003</v>
          </cell>
          <cell r="J444">
            <v>39.119999999999997</v>
          </cell>
          <cell r="L444">
            <v>40807</v>
          </cell>
          <cell r="M444">
            <v>39.866666666666674</v>
          </cell>
          <cell r="N444">
            <v>32.748333333333335</v>
          </cell>
          <cell r="O444">
            <v>37.833999999999996</v>
          </cell>
          <cell r="P444">
            <v>45.082666666666668</v>
          </cell>
          <cell r="Q444">
            <v>43.933333333333323</v>
          </cell>
          <cell r="R444">
            <v>29.790333333333329</v>
          </cell>
          <cell r="S444">
            <v>49.357333333333344</v>
          </cell>
          <cell r="T444">
            <v>35.6</v>
          </cell>
          <cell r="U444">
            <v>39.652333333333338</v>
          </cell>
        </row>
        <row r="445">
          <cell r="A445">
            <v>40806</v>
          </cell>
          <cell r="B445">
            <v>41.26</v>
          </cell>
          <cell r="C445">
            <v>33.65</v>
          </cell>
          <cell r="D445">
            <v>38.21</v>
          </cell>
          <cell r="E445">
            <v>44.93</v>
          </cell>
          <cell r="F445">
            <v>43.74</v>
          </cell>
          <cell r="G445">
            <v>30.1</v>
          </cell>
          <cell r="H445">
            <v>51.03</v>
          </cell>
          <cell r="I445">
            <v>37.590000000000003</v>
          </cell>
          <cell r="J445">
            <v>41.06</v>
          </cell>
          <cell r="L445">
            <v>40806</v>
          </cell>
          <cell r="M445">
            <v>39.751333333333335</v>
          </cell>
          <cell r="N445">
            <v>32.70333333333334</v>
          </cell>
          <cell r="O445">
            <v>37.780999999999999</v>
          </cell>
          <cell r="P445">
            <v>45.092333333333343</v>
          </cell>
          <cell r="Q445">
            <v>43.956999999999994</v>
          </cell>
          <cell r="R445">
            <v>29.776333333333334</v>
          </cell>
          <cell r="S445">
            <v>49.279000000000003</v>
          </cell>
          <cell r="T445">
            <v>35.58100000000001</v>
          </cell>
          <cell r="U445">
            <v>39.605666666666679</v>
          </cell>
        </row>
        <row r="446">
          <cell r="A446">
            <v>40805</v>
          </cell>
          <cell r="B446">
            <v>40.950000000000003</v>
          </cell>
          <cell r="C446">
            <v>33.47</v>
          </cell>
          <cell r="D446">
            <v>38.200000000000003</v>
          </cell>
          <cell r="E446">
            <v>45.03</v>
          </cell>
          <cell r="F446">
            <v>43.95</v>
          </cell>
          <cell r="G446">
            <v>30.05</v>
          </cell>
          <cell r="H446">
            <v>50.98</v>
          </cell>
          <cell r="I446">
            <v>36.74</v>
          </cell>
          <cell r="J446">
            <v>40.94</v>
          </cell>
          <cell r="L446">
            <v>40805</v>
          </cell>
          <cell r="M446">
            <v>39.542000000000002</v>
          </cell>
          <cell r="N446">
            <v>32.544000000000011</v>
          </cell>
          <cell r="O446">
            <v>37.624666666666663</v>
          </cell>
          <cell r="P446">
            <v>44.933666666666674</v>
          </cell>
          <cell r="Q446">
            <v>43.835333333333324</v>
          </cell>
          <cell r="R446">
            <v>29.639333333333333</v>
          </cell>
          <cell r="S446">
            <v>49.026000000000003</v>
          </cell>
          <cell r="T446">
            <v>35.402666666666669</v>
          </cell>
          <cell r="U446">
            <v>39.413666666666678</v>
          </cell>
        </row>
        <row r="447">
          <cell r="A447">
            <v>40802</v>
          </cell>
          <cell r="B447">
            <v>40.82</v>
          </cell>
          <cell r="C447">
            <v>33.5</v>
          </cell>
          <cell r="D447">
            <v>38.369999999999997</v>
          </cell>
          <cell r="E447">
            <v>45.54</v>
          </cell>
          <cell r="F447">
            <v>44.46</v>
          </cell>
          <cell r="G447">
            <v>30.27</v>
          </cell>
          <cell r="H447">
            <v>51.48</v>
          </cell>
          <cell r="I447">
            <v>36.659999999999997</v>
          </cell>
          <cell r="J447">
            <v>41.07</v>
          </cell>
          <cell r="L447">
            <v>40802</v>
          </cell>
          <cell r="M447">
            <v>39.45066666666667</v>
          </cell>
          <cell r="N447">
            <v>32.472666666666676</v>
          </cell>
          <cell r="O447">
            <v>37.554333333333332</v>
          </cell>
          <cell r="P447">
            <v>44.87833333333333</v>
          </cell>
          <cell r="Q447">
            <v>43.796999999999997</v>
          </cell>
          <cell r="R447">
            <v>29.572333333333329</v>
          </cell>
          <cell r="S447">
            <v>48.928333333333335</v>
          </cell>
          <cell r="T447">
            <v>35.368000000000002</v>
          </cell>
          <cell r="U447">
            <v>39.300000000000004</v>
          </cell>
        </row>
        <row r="448">
          <cell r="A448">
            <v>40801</v>
          </cell>
          <cell r="B448">
            <v>41.21</v>
          </cell>
          <cell r="C448">
            <v>33.65</v>
          </cell>
          <cell r="D448">
            <v>38.24</v>
          </cell>
          <cell r="E448">
            <v>45.51</v>
          </cell>
          <cell r="F448">
            <v>44.6</v>
          </cell>
          <cell r="G448">
            <v>30.32</v>
          </cell>
          <cell r="H448">
            <v>50.65</v>
          </cell>
          <cell r="I448">
            <v>35.71</v>
          </cell>
          <cell r="J448">
            <v>40.799999999999997</v>
          </cell>
          <cell r="L448">
            <v>40801</v>
          </cell>
          <cell r="M448">
            <v>39.356999999999999</v>
          </cell>
          <cell r="N448">
            <v>32.422333333333341</v>
          </cell>
          <cell r="O448">
            <v>37.48233333333333</v>
          </cell>
          <cell r="P448">
            <v>44.800333333333334</v>
          </cell>
          <cell r="Q448">
            <v>43.738999999999997</v>
          </cell>
          <cell r="R448">
            <v>29.493999999999993</v>
          </cell>
          <cell r="S448">
            <v>48.82800000000001</v>
          </cell>
          <cell r="T448">
            <v>35.354333333333329</v>
          </cell>
          <cell r="U448">
            <v>39.192999999999998</v>
          </cell>
        </row>
        <row r="449">
          <cell r="A449">
            <v>40800</v>
          </cell>
          <cell r="B449">
            <v>40.76</v>
          </cell>
          <cell r="C449">
            <v>33.42</v>
          </cell>
          <cell r="D449">
            <v>38.01</v>
          </cell>
          <cell r="E449">
            <v>45.23</v>
          </cell>
          <cell r="F449">
            <v>44.19</v>
          </cell>
          <cell r="G449">
            <v>30.09</v>
          </cell>
          <cell r="H449">
            <v>50.25</v>
          </cell>
          <cell r="I449">
            <v>35.549999999999997</v>
          </cell>
          <cell r="J449">
            <v>40.51</v>
          </cell>
          <cell r="L449">
            <v>40800</v>
          </cell>
          <cell r="M449">
            <v>39.313000000000017</v>
          </cell>
          <cell r="N449">
            <v>32.424000000000014</v>
          </cell>
          <cell r="O449">
            <v>37.444666666666656</v>
          </cell>
          <cell r="P449">
            <v>44.737666666666669</v>
          </cell>
          <cell r="Q449">
            <v>43.719000000000001</v>
          </cell>
          <cell r="R449">
            <v>29.442999999999991</v>
          </cell>
          <cell r="S449">
            <v>48.814000000000007</v>
          </cell>
          <cell r="T449">
            <v>35.408999999999999</v>
          </cell>
          <cell r="U449">
            <v>39.114666666666672</v>
          </cell>
        </row>
        <row r="450">
          <cell r="A450">
            <v>40799</v>
          </cell>
          <cell r="B450">
            <v>39.96</v>
          </cell>
          <cell r="C450">
            <v>32.92</v>
          </cell>
          <cell r="D450">
            <v>37.47</v>
          </cell>
          <cell r="E450">
            <v>44.71</v>
          </cell>
          <cell r="F450">
            <v>43.47</v>
          </cell>
          <cell r="G450">
            <v>30.04</v>
          </cell>
          <cell r="H450">
            <v>48.7</v>
          </cell>
          <cell r="I450">
            <v>34.909999999999997</v>
          </cell>
          <cell r="J450">
            <v>40.04</v>
          </cell>
          <cell r="L450">
            <v>40799</v>
          </cell>
          <cell r="M450">
            <v>39.288666666666678</v>
          </cell>
          <cell r="N450">
            <v>32.432000000000009</v>
          </cell>
          <cell r="O450">
            <v>37.406666666666652</v>
          </cell>
          <cell r="P450">
            <v>44.669666666666679</v>
          </cell>
          <cell r="Q450">
            <v>43.717666666666666</v>
          </cell>
          <cell r="R450">
            <v>29.397999999999993</v>
          </cell>
          <cell r="S450">
            <v>48.801666666666684</v>
          </cell>
          <cell r="T450">
            <v>35.463666666666668</v>
          </cell>
          <cell r="U450">
            <v>39.044333333333341</v>
          </cell>
        </row>
        <row r="451">
          <cell r="A451">
            <v>40798</v>
          </cell>
          <cell r="B451">
            <v>39.94</v>
          </cell>
          <cell r="C451">
            <v>33.08</v>
          </cell>
          <cell r="D451">
            <v>37.590000000000003</v>
          </cell>
          <cell r="E451">
            <v>44.93</v>
          </cell>
          <cell r="F451">
            <v>43.83</v>
          </cell>
          <cell r="G451">
            <v>30.55</v>
          </cell>
          <cell r="H451">
            <v>48.83</v>
          </cell>
          <cell r="I451">
            <v>34.82</v>
          </cell>
          <cell r="J451">
            <v>39.93</v>
          </cell>
          <cell r="L451">
            <v>40798</v>
          </cell>
          <cell r="M451">
            <v>39.32233333333334</v>
          </cell>
          <cell r="N451">
            <v>32.465000000000011</v>
          </cell>
          <cell r="O451">
            <v>37.410333333333327</v>
          </cell>
          <cell r="P451">
            <v>44.640333333333345</v>
          </cell>
          <cell r="Q451">
            <v>43.75233333333334</v>
          </cell>
          <cell r="R451">
            <v>29.372333333333334</v>
          </cell>
          <cell r="S451">
            <v>48.870666666666679</v>
          </cell>
          <cell r="T451">
            <v>35.549333333333337</v>
          </cell>
          <cell r="U451">
            <v>39.007333333333335</v>
          </cell>
        </row>
        <row r="452">
          <cell r="A452">
            <v>40795</v>
          </cell>
          <cell r="B452">
            <v>39.869999999999997</v>
          </cell>
          <cell r="C452">
            <v>33.07</v>
          </cell>
          <cell r="D452">
            <v>37.39</v>
          </cell>
          <cell r="E452">
            <v>44.64</v>
          </cell>
          <cell r="F452">
            <v>44.07</v>
          </cell>
          <cell r="G452">
            <v>30.47</v>
          </cell>
          <cell r="H452">
            <v>48.84</v>
          </cell>
          <cell r="I452">
            <v>34.700000000000003</v>
          </cell>
          <cell r="J452">
            <v>40.14</v>
          </cell>
          <cell r="L452">
            <v>40795</v>
          </cell>
          <cell r="M452">
            <v>39.351000000000013</v>
          </cell>
          <cell r="N452">
            <v>32.476666666666674</v>
          </cell>
          <cell r="O452">
            <v>37.398999999999994</v>
          </cell>
          <cell r="P452">
            <v>44.596333333333327</v>
          </cell>
          <cell r="Q452">
            <v>43.778333333333336</v>
          </cell>
          <cell r="R452">
            <v>29.326333333333324</v>
          </cell>
          <cell r="S452">
            <v>48.926333333333339</v>
          </cell>
          <cell r="T452">
            <v>35.631666666666668</v>
          </cell>
          <cell r="U452">
            <v>38.970000000000006</v>
          </cell>
        </row>
        <row r="453">
          <cell r="A453">
            <v>40794</v>
          </cell>
          <cell r="B453">
            <v>40.840000000000003</v>
          </cell>
          <cell r="C453">
            <v>34.32</v>
          </cell>
          <cell r="D453">
            <v>38.549999999999997</v>
          </cell>
          <cell r="E453">
            <v>46.25</v>
          </cell>
          <cell r="F453">
            <v>45.13</v>
          </cell>
          <cell r="G453">
            <v>31.09</v>
          </cell>
          <cell r="H453">
            <v>50.28</v>
          </cell>
          <cell r="I453">
            <v>36</v>
          </cell>
          <cell r="J453">
            <v>41.04</v>
          </cell>
          <cell r="L453">
            <v>40794</v>
          </cell>
          <cell r="M453">
            <v>39.384000000000007</v>
          </cell>
          <cell r="N453">
            <v>32.49366666666667</v>
          </cell>
          <cell r="O453">
            <v>37.37533333333333</v>
          </cell>
          <cell r="P453">
            <v>44.566666666666656</v>
          </cell>
          <cell r="Q453">
            <v>43.809333333333342</v>
          </cell>
          <cell r="R453">
            <v>29.286666666666658</v>
          </cell>
          <cell r="S453">
            <v>49.001333333333342</v>
          </cell>
          <cell r="T453">
            <v>35.711333333333329</v>
          </cell>
          <cell r="U453">
            <v>38.934333333333335</v>
          </cell>
        </row>
        <row r="454">
          <cell r="A454">
            <v>40793</v>
          </cell>
          <cell r="B454">
            <v>40.74</v>
          </cell>
          <cell r="C454">
            <v>33.909999999999997</v>
          </cell>
          <cell r="D454">
            <v>39.630000000000003</v>
          </cell>
          <cell r="E454">
            <v>46.36</v>
          </cell>
          <cell r="F454">
            <v>45.2</v>
          </cell>
          <cell r="G454">
            <v>31.11</v>
          </cell>
          <cell r="H454">
            <v>50.62</v>
          </cell>
          <cell r="I454">
            <v>36.35</v>
          </cell>
          <cell r="J454">
            <v>40.67</v>
          </cell>
          <cell r="L454">
            <v>40793</v>
          </cell>
          <cell r="M454">
            <v>39.39</v>
          </cell>
          <cell r="N454">
            <v>32.476000000000006</v>
          </cell>
          <cell r="O454">
            <v>37.321000000000005</v>
          </cell>
          <cell r="P454">
            <v>44.489333333333327</v>
          </cell>
          <cell r="Q454">
            <v>43.805999999999997</v>
          </cell>
          <cell r="R454">
            <v>29.236666666666661</v>
          </cell>
          <cell r="S454">
            <v>49.033666666666676</v>
          </cell>
          <cell r="T454">
            <v>35.754333333333328</v>
          </cell>
          <cell r="U454">
            <v>38.873666666666665</v>
          </cell>
        </row>
        <row r="455">
          <cell r="A455">
            <v>40792</v>
          </cell>
          <cell r="B455">
            <v>39.97</v>
          </cell>
          <cell r="C455">
            <v>32.97</v>
          </cell>
          <cell r="D455">
            <v>38.94</v>
          </cell>
          <cell r="E455">
            <v>45.36</v>
          </cell>
          <cell r="F455">
            <v>43.99</v>
          </cell>
          <cell r="G455">
            <v>30.21</v>
          </cell>
          <cell r="H455">
            <v>49.58</v>
          </cell>
          <cell r="I455">
            <v>35.53</v>
          </cell>
          <cell r="J455">
            <v>40.11</v>
          </cell>
          <cell r="L455">
            <v>40792</v>
          </cell>
          <cell r="M455">
            <v>39.414666666666669</v>
          </cell>
          <cell r="N455">
            <v>32.477333333333341</v>
          </cell>
          <cell r="O455">
            <v>37.242666666666665</v>
          </cell>
          <cell r="P455">
            <v>44.434999999999995</v>
          </cell>
          <cell r="Q455">
            <v>43.824333333333342</v>
          </cell>
          <cell r="R455">
            <v>29.199999999999992</v>
          </cell>
          <cell r="S455">
            <v>49.086333333333329</v>
          </cell>
          <cell r="T455">
            <v>35.806333333333335</v>
          </cell>
          <cell r="U455">
            <v>38.832999999999998</v>
          </cell>
        </row>
        <row r="456">
          <cell r="A456">
            <v>40788</v>
          </cell>
          <cell r="B456">
            <v>40.39</v>
          </cell>
          <cell r="C456">
            <v>33.46</v>
          </cell>
          <cell r="D456">
            <v>39.020000000000003</v>
          </cell>
          <cell r="E456">
            <v>45.59</v>
          </cell>
          <cell r="F456">
            <v>44.15</v>
          </cell>
          <cell r="G456">
            <v>30.45</v>
          </cell>
          <cell r="H456">
            <v>49.97</v>
          </cell>
          <cell r="I456">
            <v>35.9</v>
          </cell>
          <cell r="J456">
            <v>40.57</v>
          </cell>
          <cell r="L456">
            <v>40788</v>
          </cell>
          <cell r="M456">
            <v>39.476999999999997</v>
          </cell>
          <cell r="N456">
            <v>32.519000000000005</v>
          </cell>
          <cell r="O456">
            <v>37.201333333333331</v>
          </cell>
          <cell r="P456">
            <v>44.422999999999995</v>
          </cell>
          <cell r="Q456">
            <v>43.890333333333324</v>
          </cell>
          <cell r="R456">
            <v>29.205999999999992</v>
          </cell>
          <cell r="S456">
            <v>49.200333333333333</v>
          </cell>
          <cell r="T456">
            <v>35.902000000000008</v>
          </cell>
          <cell r="U456">
            <v>38.82866666666667</v>
          </cell>
        </row>
        <row r="457">
          <cell r="A457">
            <v>40787</v>
          </cell>
          <cell r="B457">
            <v>41.16</v>
          </cell>
          <cell r="C457">
            <v>34.15</v>
          </cell>
          <cell r="D457">
            <v>39.74</v>
          </cell>
          <cell r="E457">
            <v>46.48</v>
          </cell>
          <cell r="F457">
            <v>44.91</v>
          </cell>
          <cell r="G457">
            <v>31.28</v>
          </cell>
          <cell r="H457">
            <v>51.25</v>
          </cell>
          <cell r="I457">
            <v>36.86</v>
          </cell>
          <cell r="J457">
            <v>41.6</v>
          </cell>
          <cell r="L457">
            <v>40787</v>
          </cell>
          <cell r="M457">
            <v>39.535333333333341</v>
          </cell>
          <cell r="N457">
            <v>32.542666666666669</v>
          </cell>
          <cell r="O457">
            <v>37.171666666666667</v>
          </cell>
          <cell r="P457">
            <v>44.431999999999995</v>
          </cell>
          <cell r="Q457">
            <v>43.972666666666662</v>
          </cell>
          <cell r="R457">
            <v>29.210666666666661</v>
          </cell>
          <cell r="S457">
            <v>49.315333333333335</v>
          </cell>
          <cell r="T457">
            <v>35.994000000000007</v>
          </cell>
          <cell r="U457">
            <v>38.815333333333335</v>
          </cell>
        </row>
        <row r="458">
          <cell r="A458">
            <v>40786</v>
          </cell>
          <cell r="B458">
            <v>41.42</v>
          </cell>
          <cell r="C458">
            <v>33.54</v>
          </cell>
          <cell r="D458">
            <v>39.700000000000003</v>
          </cell>
          <cell r="E458">
            <v>47.11</v>
          </cell>
          <cell r="F458">
            <v>45.22</v>
          </cell>
          <cell r="G458">
            <v>30.9</v>
          </cell>
          <cell r="H458">
            <v>51.53</v>
          </cell>
          <cell r="I458">
            <v>37.020000000000003</v>
          </cell>
          <cell r="J458">
            <v>41.36</v>
          </cell>
          <cell r="L458">
            <v>40786</v>
          </cell>
          <cell r="M458">
            <v>39.568333333333342</v>
          </cell>
          <cell r="N458">
            <v>32.546666666666667</v>
          </cell>
          <cell r="O458">
            <v>37.124666666666663</v>
          </cell>
          <cell r="P458">
            <v>44.42733333333333</v>
          </cell>
          <cell r="Q458">
            <v>44.030666666666662</v>
          </cell>
          <cell r="R458">
            <v>29.195999999999994</v>
          </cell>
          <cell r="S458">
            <v>49.394333333333329</v>
          </cell>
          <cell r="T458">
            <v>36.058666666666667</v>
          </cell>
          <cell r="U458">
            <v>38.769333333333336</v>
          </cell>
        </row>
        <row r="459">
          <cell r="A459">
            <v>40785</v>
          </cell>
          <cell r="B459">
            <v>41.17</v>
          </cell>
          <cell r="C459">
            <v>33.409999999999997</v>
          </cell>
          <cell r="D459">
            <v>39.47</v>
          </cell>
          <cell r="E459">
            <v>47.14</v>
          </cell>
          <cell r="F459">
            <v>45.18</v>
          </cell>
          <cell r="G459">
            <v>30.8</v>
          </cell>
          <cell r="H459">
            <v>51.52</v>
          </cell>
          <cell r="I459">
            <v>36.83</v>
          </cell>
          <cell r="J459">
            <v>40.840000000000003</v>
          </cell>
          <cell r="L459">
            <v>40785</v>
          </cell>
          <cell r="M459">
            <v>39.564666666666668</v>
          </cell>
          <cell r="N459">
            <v>32.558</v>
          </cell>
          <cell r="O459">
            <v>37.065000000000005</v>
          </cell>
          <cell r="P459">
            <v>44.379999999999995</v>
          </cell>
          <cell r="Q459">
            <v>44.063333333333325</v>
          </cell>
          <cell r="R459">
            <v>29.175999999999995</v>
          </cell>
          <cell r="S459">
            <v>49.457999999999998</v>
          </cell>
          <cell r="T459">
            <v>36.110666666666667</v>
          </cell>
          <cell r="U459">
            <v>38.716999999999999</v>
          </cell>
        </row>
        <row r="460">
          <cell r="A460">
            <v>40784</v>
          </cell>
          <cell r="B460">
            <v>41.43</v>
          </cell>
          <cell r="C460">
            <v>33.04</v>
          </cell>
          <cell r="D460">
            <v>39.21</v>
          </cell>
          <cell r="E460">
            <v>47.12</v>
          </cell>
          <cell r="F460">
            <v>45.28</v>
          </cell>
          <cell r="G460">
            <v>30.75</v>
          </cell>
          <cell r="H460">
            <v>51.59</v>
          </cell>
          <cell r="I460">
            <v>36.65</v>
          </cell>
          <cell r="J460">
            <v>40.880000000000003</v>
          </cell>
          <cell r="L460">
            <v>40784</v>
          </cell>
          <cell r="M460">
            <v>39.559000000000005</v>
          </cell>
          <cell r="N460">
            <v>32.55833333333333</v>
          </cell>
          <cell r="O460">
            <v>37.015999999999998</v>
          </cell>
          <cell r="P460">
            <v>44.337333333333326</v>
          </cell>
          <cell r="Q460">
            <v>44.099000000000004</v>
          </cell>
          <cell r="R460">
            <v>29.156666666666663</v>
          </cell>
          <cell r="S460">
            <v>49.520666666666664</v>
          </cell>
          <cell r="T460">
            <v>36.164666666666662</v>
          </cell>
          <cell r="U460">
            <v>38.666666666666664</v>
          </cell>
        </row>
        <row r="461">
          <cell r="A461">
            <v>40781</v>
          </cell>
          <cell r="B461">
            <v>40.51</v>
          </cell>
          <cell r="C461">
            <v>32.25</v>
          </cell>
          <cell r="D461">
            <v>38.159999999999997</v>
          </cell>
          <cell r="E461">
            <v>46.1</v>
          </cell>
          <cell r="F461">
            <v>44.31</v>
          </cell>
          <cell r="G461">
            <v>29.95</v>
          </cell>
          <cell r="H461">
            <v>50.06</v>
          </cell>
          <cell r="I461">
            <v>35.76</v>
          </cell>
          <cell r="J461">
            <v>39.96</v>
          </cell>
          <cell r="L461">
            <v>40781</v>
          </cell>
          <cell r="M461">
            <v>39.537666666666659</v>
          </cell>
          <cell r="N461">
            <v>32.565666666666658</v>
          </cell>
          <cell r="O461">
            <v>36.957000000000008</v>
          </cell>
          <cell r="P461">
            <v>44.256666666666653</v>
          </cell>
          <cell r="Q461">
            <v>44.112333333333339</v>
          </cell>
          <cell r="R461">
            <v>29.126333333333331</v>
          </cell>
          <cell r="S461">
            <v>49.56633333333334</v>
          </cell>
          <cell r="T461">
            <v>36.212666666666664</v>
          </cell>
          <cell r="U461">
            <v>38.600666666666669</v>
          </cell>
        </row>
        <row r="462">
          <cell r="A462">
            <v>40780</v>
          </cell>
          <cell r="B462">
            <v>39.85</v>
          </cell>
          <cell r="C462">
            <v>32.43</v>
          </cell>
          <cell r="D462">
            <v>37.68</v>
          </cell>
          <cell r="E462">
            <v>45.2</v>
          </cell>
          <cell r="F462">
            <v>44.17</v>
          </cell>
          <cell r="G462">
            <v>29.7</v>
          </cell>
          <cell r="H462">
            <v>49.14</v>
          </cell>
          <cell r="I462">
            <v>35.25</v>
          </cell>
          <cell r="J462">
            <v>39.630000000000003</v>
          </cell>
          <cell r="L462">
            <v>40780</v>
          </cell>
          <cell r="M462">
            <v>39.566333333333326</v>
          </cell>
          <cell r="N462">
            <v>32.61966666666666</v>
          </cell>
          <cell r="O462">
            <v>36.949333333333342</v>
          </cell>
          <cell r="P462">
            <v>44.231999999999992</v>
          </cell>
          <cell r="Q462">
            <v>44.172000000000004</v>
          </cell>
          <cell r="R462">
            <v>29.142333333333333</v>
          </cell>
          <cell r="S462">
            <v>49.698666666666668</v>
          </cell>
          <cell r="T462">
            <v>36.31166666666666</v>
          </cell>
          <cell r="U462">
            <v>38.600999999999999</v>
          </cell>
        </row>
        <row r="463">
          <cell r="A463">
            <v>40779</v>
          </cell>
          <cell r="B463">
            <v>40.1</v>
          </cell>
          <cell r="C463">
            <v>33.17</v>
          </cell>
          <cell r="D463">
            <v>38.31</v>
          </cell>
          <cell r="E463">
            <v>45.68</v>
          </cell>
          <cell r="F463">
            <v>44.4</v>
          </cell>
          <cell r="G463">
            <v>30.08</v>
          </cell>
          <cell r="H463">
            <v>50.14</v>
          </cell>
          <cell r="I463">
            <v>36.03</v>
          </cell>
          <cell r="J463">
            <v>39.950000000000003</v>
          </cell>
          <cell r="L463">
            <v>40779</v>
          </cell>
          <cell r="M463">
            <v>39.619666666666667</v>
          </cell>
          <cell r="N463">
            <v>32.658333333333331</v>
          </cell>
          <cell r="O463">
            <v>36.954666666666668</v>
          </cell>
          <cell r="P463">
            <v>44.228999999999992</v>
          </cell>
          <cell r="Q463">
            <v>44.227333333333334</v>
          </cell>
          <cell r="R463">
            <v>29.158333333333335</v>
          </cell>
          <cell r="S463">
            <v>49.852333333333341</v>
          </cell>
          <cell r="T463">
            <v>36.420666666666662</v>
          </cell>
          <cell r="U463">
            <v>38.609000000000002</v>
          </cell>
        </row>
        <row r="464">
          <cell r="A464">
            <v>40778</v>
          </cell>
          <cell r="B464">
            <v>38.82</v>
          </cell>
          <cell r="C464">
            <v>32.200000000000003</v>
          </cell>
          <cell r="D464">
            <v>37.5</v>
          </cell>
          <cell r="E464">
            <v>45.2</v>
          </cell>
          <cell r="F464">
            <v>43.5</v>
          </cell>
          <cell r="G464">
            <v>29.14</v>
          </cell>
          <cell r="H464">
            <v>49.13</v>
          </cell>
          <cell r="I464">
            <v>35.21</v>
          </cell>
          <cell r="J464">
            <v>38.82</v>
          </cell>
          <cell r="L464">
            <v>40778</v>
          </cell>
          <cell r="M464">
            <v>39.678999999999995</v>
          </cell>
          <cell r="N464">
            <v>32.677666666666667</v>
          </cell>
          <cell r="O464">
            <v>36.953333333333333</v>
          </cell>
          <cell r="P464">
            <v>44.228999999999999</v>
          </cell>
          <cell r="Q464">
            <v>44.286333333333339</v>
          </cell>
          <cell r="R464">
            <v>29.178666666666672</v>
          </cell>
          <cell r="S464">
            <v>49.992666666666672</v>
          </cell>
          <cell r="T464">
            <v>36.520333333333333</v>
          </cell>
          <cell r="U464">
            <v>38.611666666666672</v>
          </cell>
        </row>
        <row r="465">
          <cell r="A465">
            <v>40777</v>
          </cell>
          <cell r="B465">
            <v>37.31</v>
          </cell>
          <cell r="C465">
            <v>31.5</v>
          </cell>
          <cell r="D465">
            <v>35.880000000000003</v>
          </cell>
          <cell r="E465">
            <v>43.5</v>
          </cell>
          <cell r="F465">
            <v>42.24</v>
          </cell>
          <cell r="G465">
            <v>28.03</v>
          </cell>
          <cell r="H465">
            <v>47.45</v>
          </cell>
          <cell r="I465">
            <v>33.9</v>
          </cell>
          <cell r="J465">
            <v>37.409999999999997</v>
          </cell>
          <cell r="L465">
            <v>40777</v>
          </cell>
          <cell r="M465">
            <v>39.779666666666664</v>
          </cell>
          <cell r="N465">
            <v>32.728333333333332</v>
          </cell>
          <cell r="O465">
            <v>36.971333333333327</v>
          </cell>
          <cell r="P465">
            <v>44.23833333333333</v>
          </cell>
          <cell r="Q465">
            <v>44.366</v>
          </cell>
          <cell r="R465">
            <v>29.225333333333335</v>
          </cell>
          <cell r="S465">
            <v>50.160666666666671</v>
          </cell>
          <cell r="T465">
            <v>36.643333333333338</v>
          </cell>
          <cell r="U465">
            <v>38.645333333333333</v>
          </cell>
        </row>
        <row r="466">
          <cell r="A466">
            <v>40774</v>
          </cell>
          <cell r="B466">
            <v>37.32</v>
          </cell>
          <cell r="C466">
            <v>31.75</v>
          </cell>
          <cell r="D466">
            <v>35.92</v>
          </cell>
          <cell r="E466">
            <v>43.42</v>
          </cell>
          <cell r="F466">
            <v>42.32</v>
          </cell>
          <cell r="G466">
            <v>28.01</v>
          </cell>
          <cell r="H466">
            <v>47.34</v>
          </cell>
          <cell r="I466">
            <v>34.1</v>
          </cell>
          <cell r="J466">
            <v>37.25</v>
          </cell>
          <cell r="L466">
            <v>40774</v>
          </cell>
          <cell r="M466">
            <v>39.930999999999997</v>
          </cell>
          <cell r="N466">
            <v>32.800333333333327</v>
          </cell>
          <cell r="O466">
            <v>37.04099999999999</v>
          </cell>
          <cell r="P466">
            <v>44.297999999999995</v>
          </cell>
          <cell r="Q466">
            <v>44.485333333333337</v>
          </cell>
          <cell r="R466">
            <v>29.303333333333338</v>
          </cell>
          <cell r="S466">
            <v>50.37766666666667</v>
          </cell>
          <cell r="T466">
            <v>36.806333333333335</v>
          </cell>
          <cell r="U466">
            <v>38.719000000000001</v>
          </cell>
        </row>
        <row r="467">
          <cell r="A467">
            <v>40773</v>
          </cell>
          <cell r="B467">
            <v>37.83</v>
          </cell>
          <cell r="C467">
            <v>31.94</v>
          </cell>
          <cell r="D467">
            <v>36.340000000000003</v>
          </cell>
          <cell r="E467">
            <v>43.56</v>
          </cell>
          <cell r="F467">
            <v>42.59</v>
          </cell>
          <cell r="G467">
            <v>28.3</v>
          </cell>
          <cell r="H467">
            <v>47.67</v>
          </cell>
          <cell r="I467">
            <v>34.32</v>
          </cell>
          <cell r="J467">
            <v>37.39</v>
          </cell>
          <cell r="L467">
            <v>40773</v>
          </cell>
          <cell r="M467">
            <v>40.094666666666662</v>
          </cell>
          <cell r="N467">
            <v>32.873666666666665</v>
          </cell>
          <cell r="O467">
            <v>37.121666666666663</v>
          </cell>
          <cell r="P467">
            <v>44.376999999999995</v>
          </cell>
          <cell r="Q467">
            <v>44.605666666666671</v>
          </cell>
          <cell r="R467">
            <v>29.395333333333333</v>
          </cell>
          <cell r="S467">
            <v>50.626000000000005</v>
          </cell>
          <cell r="T467">
            <v>36.979333333333329</v>
          </cell>
          <cell r="U467">
            <v>38.787000000000006</v>
          </cell>
        </row>
        <row r="468">
          <cell r="A468">
            <v>40772</v>
          </cell>
          <cell r="B468">
            <v>38.97</v>
          </cell>
          <cell r="C468">
            <v>32.479999999999997</v>
          </cell>
          <cell r="D468">
            <v>37.340000000000003</v>
          </cell>
          <cell r="E468">
            <v>45.16</v>
          </cell>
          <cell r="F468">
            <v>43.75</v>
          </cell>
          <cell r="G468">
            <v>29.26</v>
          </cell>
          <cell r="H468">
            <v>48.78</v>
          </cell>
          <cell r="I468">
            <v>35.53</v>
          </cell>
          <cell r="J468">
            <v>38.81</v>
          </cell>
          <cell r="L468">
            <v>40772</v>
          </cell>
          <cell r="M468">
            <v>40.241333333333323</v>
          </cell>
          <cell r="N468">
            <v>32.94233333333333</v>
          </cell>
          <cell r="O468">
            <v>37.196666666666651</v>
          </cell>
          <cell r="P468">
            <v>44.466666666666669</v>
          </cell>
          <cell r="Q468">
            <v>44.722666666666669</v>
          </cell>
          <cell r="R468">
            <v>29.495666666666668</v>
          </cell>
          <cell r="S468">
            <v>50.881333333333338</v>
          </cell>
          <cell r="T468">
            <v>37.157666666666664</v>
          </cell>
          <cell r="U468">
            <v>38.850666666666669</v>
          </cell>
        </row>
        <row r="469">
          <cell r="A469">
            <v>40771</v>
          </cell>
          <cell r="B469">
            <v>39.64</v>
          </cell>
          <cell r="C469">
            <v>32.28</v>
          </cell>
          <cell r="D469">
            <v>37.28</v>
          </cell>
          <cell r="E469">
            <v>44.9</v>
          </cell>
          <cell r="F469">
            <v>43.97</v>
          </cell>
          <cell r="G469">
            <v>29.34</v>
          </cell>
          <cell r="H469">
            <v>49.08</v>
          </cell>
          <cell r="I469">
            <v>35.49</v>
          </cell>
          <cell r="J469">
            <v>38.57</v>
          </cell>
          <cell r="L469">
            <v>40771</v>
          </cell>
          <cell r="M469">
            <v>40.343666666666657</v>
          </cell>
          <cell r="N469">
            <v>32.992666666666665</v>
          </cell>
          <cell r="O469">
            <v>37.236666666666657</v>
          </cell>
          <cell r="P469">
            <v>44.503666666666668</v>
          </cell>
          <cell r="Q469">
            <v>44.796333333333337</v>
          </cell>
          <cell r="R469">
            <v>29.562333333333331</v>
          </cell>
          <cell r="S469">
            <v>51.095333333333336</v>
          </cell>
          <cell r="T469">
            <v>37.291666666666664</v>
          </cell>
          <cell r="U469">
            <v>38.86033333333333</v>
          </cell>
        </row>
        <row r="470">
          <cell r="A470">
            <v>40770</v>
          </cell>
          <cell r="B470">
            <v>39.479999999999997</v>
          </cell>
          <cell r="C470">
            <v>32.200000000000003</v>
          </cell>
          <cell r="D470">
            <v>37.29</v>
          </cell>
          <cell r="E470">
            <v>45.05</v>
          </cell>
          <cell r="F470">
            <v>44.27</v>
          </cell>
          <cell r="G470">
            <v>29.59</v>
          </cell>
          <cell r="H470">
            <v>48.39</v>
          </cell>
          <cell r="I470">
            <v>35.65</v>
          </cell>
          <cell r="J470">
            <v>38.79</v>
          </cell>
          <cell r="L470">
            <v>40770</v>
          </cell>
          <cell r="M470">
            <v>40.414000000000001</v>
          </cell>
          <cell r="N470">
            <v>33.038333333333334</v>
          </cell>
          <cell r="O470">
            <v>37.275000000000006</v>
          </cell>
          <cell r="P470">
            <v>44.535999999999994</v>
          </cell>
          <cell r="Q470">
            <v>44.855000000000004</v>
          </cell>
          <cell r="R470">
            <v>29.611333333333324</v>
          </cell>
          <cell r="S470">
            <v>51.288666666666664</v>
          </cell>
          <cell r="T470">
            <v>37.417666666666669</v>
          </cell>
          <cell r="U470">
            <v>38.869666666666667</v>
          </cell>
        </row>
        <row r="471">
          <cell r="A471">
            <v>40767</v>
          </cell>
          <cell r="B471">
            <v>38.229999999999997</v>
          </cell>
          <cell r="C471">
            <v>31.19</v>
          </cell>
          <cell r="D471">
            <v>36.25</v>
          </cell>
          <cell r="E471">
            <v>43.86</v>
          </cell>
          <cell r="F471">
            <v>43.26</v>
          </cell>
          <cell r="G471">
            <v>28.68</v>
          </cell>
          <cell r="H471">
            <v>46.29</v>
          </cell>
          <cell r="I471">
            <v>34.36</v>
          </cell>
          <cell r="J471">
            <v>37.81</v>
          </cell>
          <cell r="L471">
            <v>40767</v>
          </cell>
          <cell r="M471">
            <v>40.481333333333332</v>
          </cell>
          <cell r="N471">
            <v>33.093333333333334</v>
          </cell>
          <cell r="O471">
            <v>37.311</v>
          </cell>
          <cell r="P471">
            <v>44.554999999999986</v>
          </cell>
          <cell r="Q471">
            <v>44.907666666666664</v>
          </cell>
          <cell r="R471">
            <v>29.652666666666661</v>
          </cell>
          <cell r="S471">
            <v>51.507000000000012</v>
          </cell>
          <cell r="T471">
            <v>37.54099999999999</v>
          </cell>
          <cell r="U471">
            <v>38.87266666666666</v>
          </cell>
        </row>
        <row r="472">
          <cell r="A472">
            <v>40766</v>
          </cell>
          <cell r="B472">
            <v>39.270000000000003</v>
          </cell>
          <cell r="C472">
            <v>31.21</v>
          </cell>
          <cell r="D472">
            <v>36.53</v>
          </cell>
          <cell r="E472">
            <v>44.11</v>
          </cell>
          <cell r="F472">
            <v>43.81</v>
          </cell>
          <cell r="G472">
            <v>28.98</v>
          </cell>
          <cell r="H472">
            <v>46.7</v>
          </cell>
          <cell r="I472">
            <v>34.72</v>
          </cell>
          <cell r="J472">
            <v>38.200000000000003</v>
          </cell>
          <cell r="L472">
            <v>40766</v>
          </cell>
          <cell r="M472">
            <v>40.564</v>
          </cell>
          <cell r="N472">
            <v>33.162000000000006</v>
          </cell>
          <cell r="O472">
            <v>37.36366666666666</v>
          </cell>
          <cell r="P472">
            <v>44.579999999999991</v>
          </cell>
          <cell r="Q472">
            <v>44.97</v>
          </cell>
          <cell r="R472">
            <v>29.705333333333328</v>
          </cell>
          <cell r="S472">
            <v>51.774333333333338</v>
          </cell>
          <cell r="T472">
            <v>37.682666666666663</v>
          </cell>
          <cell r="U472">
            <v>38.895333333333333</v>
          </cell>
        </row>
        <row r="473">
          <cell r="A473">
            <v>40765</v>
          </cell>
          <cell r="B473">
            <v>36.46</v>
          </cell>
          <cell r="C473">
            <v>29.97</v>
          </cell>
          <cell r="D473">
            <v>34.799999999999997</v>
          </cell>
          <cell r="E473">
            <v>41.68</v>
          </cell>
          <cell r="F473">
            <v>41.66</v>
          </cell>
          <cell r="G473">
            <v>27.27</v>
          </cell>
          <cell r="H473">
            <v>44.44</v>
          </cell>
          <cell r="I473">
            <v>33.659999999999997</v>
          </cell>
          <cell r="J473">
            <v>36.299999999999997</v>
          </cell>
          <cell r="L473">
            <v>40765</v>
          </cell>
          <cell r="M473">
            <v>40.609333333333339</v>
          </cell>
          <cell r="N473">
            <v>33.225000000000001</v>
          </cell>
          <cell r="O473">
            <v>37.403333333333329</v>
          </cell>
          <cell r="P473">
            <v>44.587999999999987</v>
          </cell>
          <cell r="Q473">
            <v>45.008333333333333</v>
          </cell>
          <cell r="R473">
            <v>29.734666666666662</v>
          </cell>
          <cell r="S473">
            <v>52.010666666666673</v>
          </cell>
          <cell r="T473">
            <v>37.806999999999995</v>
          </cell>
          <cell r="U473">
            <v>38.901666666666671</v>
          </cell>
        </row>
        <row r="474">
          <cell r="A474">
            <v>40764</v>
          </cell>
          <cell r="B474">
            <v>36.86</v>
          </cell>
          <cell r="C474">
            <v>30.97</v>
          </cell>
          <cell r="D474">
            <v>36.409999999999997</v>
          </cell>
          <cell r="E474">
            <v>43.42</v>
          </cell>
          <cell r="F474">
            <v>43.09</v>
          </cell>
          <cell r="G474">
            <v>28.48</v>
          </cell>
          <cell r="H474">
            <v>46.66</v>
          </cell>
          <cell r="I474">
            <v>35.630000000000003</v>
          </cell>
          <cell r="J474">
            <v>37.72</v>
          </cell>
          <cell r="L474">
            <v>40764</v>
          </cell>
          <cell r="M474">
            <v>40.735000000000007</v>
          </cell>
          <cell r="N474">
            <v>33.313000000000002</v>
          </cell>
          <cell r="O474">
            <v>37.495666666666665</v>
          </cell>
          <cell r="P474">
            <v>44.670666666666655</v>
          </cell>
          <cell r="Q474">
            <v>45.114000000000004</v>
          </cell>
          <cell r="R474">
            <v>29.818666666666662</v>
          </cell>
          <cell r="S474">
            <v>52.301666666666669</v>
          </cell>
          <cell r="T474">
            <v>37.954666666666661</v>
          </cell>
          <cell r="U474">
            <v>38.961666666666673</v>
          </cell>
        </row>
        <row r="475">
          <cell r="A475">
            <v>40763</v>
          </cell>
          <cell r="B475">
            <v>34.979999999999997</v>
          </cell>
          <cell r="C475">
            <v>28.87</v>
          </cell>
          <cell r="D475">
            <v>33.520000000000003</v>
          </cell>
          <cell r="E475">
            <v>40.17</v>
          </cell>
          <cell r="F475">
            <v>40.090000000000003</v>
          </cell>
          <cell r="G475">
            <v>25.99</v>
          </cell>
          <cell r="H475">
            <v>43.44</v>
          </cell>
          <cell r="I475">
            <v>32.24</v>
          </cell>
          <cell r="J475">
            <v>35.299999999999997</v>
          </cell>
          <cell r="L475">
            <v>40763</v>
          </cell>
          <cell r="M475">
            <v>40.83700000000001</v>
          </cell>
          <cell r="N475">
            <v>33.359000000000009</v>
          </cell>
          <cell r="O475">
            <v>37.536333333333332</v>
          </cell>
          <cell r="P475">
            <v>44.680333333333323</v>
          </cell>
          <cell r="Q475">
            <v>45.163666666666671</v>
          </cell>
          <cell r="R475">
            <v>29.855666666666661</v>
          </cell>
          <cell r="S475">
            <v>52.50266666666667</v>
          </cell>
          <cell r="T475">
            <v>38.030999999999992</v>
          </cell>
          <cell r="U475">
            <v>38.967666666666666</v>
          </cell>
        </row>
        <row r="476">
          <cell r="A476">
            <v>40760</v>
          </cell>
          <cell r="B476">
            <v>38.21</v>
          </cell>
          <cell r="C476">
            <v>31.33</v>
          </cell>
          <cell r="D476">
            <v>36.090000000000003</v>
          </cell>
          <cell r="E476">
            <v>43.37</v>
          </cell>
          <cell r="F476">
            <v>42.8</v>
          </cell>
          <cell r="G476">
            <v>28.04</v>
          </cell>
          <cell r="H476">
            <v>48.05</v>
          </cell>
          <cell r="I476">
            <v>35.700000000000003</v>
          </cell>
          <cell r="J476">
            <v>37.53</v>
          </cell>
          <cell r="L476">
            <v>40760</v>
          </cell>
          <cell r="M476">
            <v>40.993000000000016</v>
          </cell>
          <cell r="N476">
            <v>33.473333333333336</v>
          </cell>
          <cell r="O476">
            <v>37.662666666666674</v>
          </cell>
          <cell r="P476">
            <v>44.787666666666659</v>
          </cell>
          <cell r="Q476">
            <v>45.313999999999993</v>
          </cell>
          <cell r="R476">
            <v>29.96866666666666</v>
          </cell>
          <cell r="S476">
            <v>52.789333333333339</v>
          </cell>
          <cell r="T476">
            <v>38.205333333333328</v>
          </cell>
          <cell r="U476">
            <v>39.046000000000006</v>
          </cell>
        </row>
        <row r="477">
          <cell r="A477">
            <v>40759</v>
          </cell>
          <cell r="B477">
            <v>38.01</v>
          </cell>
          <cell r="C477">
            <v>31.99</v>
          </cell>
          <cell r="D477">
            <v>36.21</v>
          </cell>
          <cell r="E477">
            <v>43.2</v>
          </cell>
          <cell r="F477">
            <v>42.72</v>
          </cell>
          <cell r="G477">
            <v>27.92</v>
          </cell>
          <cell r="H477">
            <v>48.47</v>
          </cell>
          <cell r="I477">
            <v>36.25</v>
          </cell>
          <cell r="J477">
            <v>37.86</v>
          </cell>
          <cell r="L477">
            <v>40759</v>
          </cell>
          <cell r="M477">
            <v>41.040333333333351</v>
          </cell>
          <cell r="N477">
            <v>33.504333333333335</v>
          </cell>
          <cell r="O477">
            <v>37.691333333333333</v>
          </cell>
          <cell r="P477">
            <v>44.784333333333322</v>
          </cell>
          <cell r="Q477">
            <v>45.368666666666662</v>
          </cell>
          <cell r="R477">
            <v>30.008666666666659</v>
          </cell>
          <cell r="S477">
            <v>52.907333333333334</v>
          </cell>
          <cell r="T477">
            <v>38.260333333333321</v>
          </cell>
          <cell r="U477">
            <v>39.045000000000002</v>
          </cell>
        </row>
        <row r="478">
          <cell r="A478">
            <v>40758</v>
          </cell>
          <cell r="B478">
            <v>39.89</v>
          </cell>
          <cell r="C478">
            <v>33.700000000000003</v>
          </cell>
          <cell r="D478">
            <v>37.11</v>
          </cell>
          <cell r="E478">
            <v>43.63</v>
          </cell>
          <cell r="F478">
            <v>44</v>
          </cell>
          <cell r="G478">
            <v>28.79</v>
          </cell>
          <cell r="H478">
            <v>50.23</v>
          </cell>
          <cell r="I478">
            <v>37.35</v>
          </cell>
          <cell r="J478">
            <v>38.450000000000003</v>
          </cell>
          <cell r="L478">
            <v>40758</v>
          </cell>
          <cell r="M478">
            <v>41.103333333333353</v>
          </cell>
          <cell r="N478">
            <v>33.514333333333333</v>
          </cell>
          <cell r="O478">
            <v>37.712000000000003</v>
          </cell>
          <cell r="P478">
            <v>44.792999999999999</v>
          </cell>
          <cell r="Q478">
            <v>45.422333333333327</v>
          </cell>
          <cell r="R478">
            <v>30.057333333333325</v>
          </cell>
          <cell r="S478">
            <v>53.003666666666668</v>
          </cell>
          <cell r="T478">
            <v>38.300333333333327</v>
          </cell>
          <cell r="U478">
            <v>39.039000000000009</v>
          </cell>
        </row>
        <row r="479">
          <cell r="A479">
            <v>40757</v>
          </cell>
          <cell r="B479">
            <v>40.03</v>
          </cell>
          <cell r="C479">
            <v>33.659999999999997</v>
          </cell>
          <cell r="D479">
            <v>36.869999999999997</v>
          </cell>
          <cell r="E479">
            <v>43.19</v>
          </cell>
          <cell r="F479">
            <v>44.15</v>
          </cell>
          <cell r="G479">
            <v>28.74</v>
          </cell>
          <cell r="H479">
            <v>49.88</v>
          </cell>
          <cell r="I479">
            <v>37.19</v>
          </cell>
          <cell r="J479">
            <v>38.4</v>
          </cell>
          <cell r="L479">
            <v>40757</v>
          </cell>
          <cell r="M479">
            <v>41.112333333333353</v>
          </cell>
          <cell r="N479">
            <v>33.467999999999996</v>
          </cell>
          <cell r="O479">
            <v>37.707333333333331</v>
          </cell>
          <cell r="P479">
            <v>44.797666666666672</v>
          </cell>
          <cell r="Q479">
            <v>45.445</v>
          </cell>
          <cell r="R479">
            <v>30.094333333333331</v>
          </cell>
          <cell r="S479">
            <v>53.052666666666674</v>
          </cell>
          <cell r="T479">
            <v>38.308666666666653</v>
          </cell>
          <cell r="U479">
            <v>39.022333333333336</v>
          </cell>
        </row>
        <row r="480">
          <cell r="A480">
            <v>40756</v>
          </cell>
          <cell r="B480">
            <v>40.97</v>
          </cell>
          <cell r="C480">
            <v>33.909999999999997</v>
          </cell>
          <cell r="D480">
            <v>37.58</v>
          </cell>
          <cell r="E480">
            <v>43.83</v>
          </cell>
          <cell r="F480">
            <v>44.51</v>
          </cell>
          <cell r="G480">
            <v>29.27</v>
          </cell>
          <cell r="H480">
            <v>50.77</v>
          </cell>
          <cell r="I480">
            <v>37.479999999999997</v>
          </cell>
          <cell r="J480">
            <v>38.93</v>
          </cell>
          <cell r="L480">
            <v>40756</v>
          </cell>
          <cell r="M480">
            <v>41.106000000000016</v>
          </cell>
          <cell r="N480">
            <v>33.418333333333337</v>
          </cell>
          <cell r="O480">
            <v>37.703000000000003</v>
          </cell>
          <cell r="P480">
            <v>44.811000000000007</v>
          </cell>
          <cell r="Q480">
            <v>45.454333333333331</v>
          </cell>
          <cell r="R480">
            <v>30.128666666666664</v>
          </cell>
          <cell r="S480">
            <v>53.098666666666666</v>
          </cell>
          <cell r="T480">
            <v>38.315666666666658</v>
          </cell>
          <cell r="U480">
            <v>39.000999999999998</v>
          </cell>
        </row>
        <row r="481">
          <cell r="A481">
            <v>40753</v>
          </cell>
          <cell r="B481">
            <v>40.799999999999997</v>
          </cell>
          <cell r="C481">
            <v>33.43</v>
          </cell>
          <cell r="D481">
            <v>37.25</v>
          </cell>
          <cell r="E481">
            <v>43.61</v>
          </cell>
          <cell r="F481">
            <v>44.61</v>
          </cell>
          <cell r="G481">
            <v>29.17</v>
          </cell>
          <cell r="H481">
            <v>50.5</v>
          </cell>
          <cell r="I481">
            <v>37.29</v>
          </cell>
          <cell r="J481">
            <v>38.81</v>
          </cell>
          <cell r="L481">
            <v>40753</v>
          </cell>
          <cell r="M481">
            <v>41.055000000000014</v>
          </cell>
          <cell r="N481">
            <v>33.351666666666667</v>
          </cell>
          <cell r="O481">
            <v>37.657333333333334</v>
          </cell>
          <cell r="P481">
            <v>44.791000000000004</v>
          </cell>
          <cell r="Q481">
            <v>45.441333333333326</v>
          </cell>
          <cell r="R481">
            <v>30.133999999999997</v>
          </cell>
          <cell r="S481">
            <v>53.10733333333333</v>
          </cell>
          <cell r="T481">
            <v>38.298333333333325</v>
          </cell>
          <cell r="U481">
            <v>38.956999999999994</v>
          </cell>
        </row>
        <row r="482">
          <cell r="A482">
            <v>40752</v>
          </cell>
          <cell r="B482">
            <v>40.86</v>
          </cell>
          <cell r="C482">
            <v>33.58</v>
          </cell>
          <cell r="D482">
            <v>36.68</v>
          </cell>
          <cell r="E482">
            <v>43.75</v>
          </cell>
          <cell r="F482">
            <v>45</v>
          </cell>
          <cell r="G482">
            <v>29.28</v>
          </cell>
          <cell r="H482">
            <v>51.09</v>
          </cell>
          <cell r="I482">
            <v>37.090000000000003</v>
          </cell>
          <cell r="J482">
            <v>39.07</v>
          </cell>
          <cell r="L482">
            <v>40752</v>
          </cell>
          <cell r="M482">
            <v>41.005333333333333</v>
          </cell>
          <cell r="N482">
            <v>33.287333333333329</v>
          </cell>
          <cell r="O482">
            <v>37.615666666666669</v>
          </cell>
          <cell r="P482">
            <v>44.778666666666666</v>
          </cell>
          <cell r="Q482">
            <v>45.426333333333339</v>
          </cell>
          <cell r="R482">
            <v>30.138666666666662</v>
          </cell>
          <cell r="S482">
            <v>53.126999999999988</v>
          </cell>
          <cell r="T482">
            <v>38.282666666666664</v>
          </cell>
          <cell r="U482">
            <v>38.912666666666652</v>
          </cell>
        </row>
        <row r="483">
          <cell r="A483">
            <v>40751</v>
          </cell>
          <cell r="B483">
            <v>41.02</v>
          </cell>
          <cell r="C483">
            <v>33.79</v>
          </cell>
          <cell r="D483">
            <v>36.92</v>
          </cell>
          <cell r="E483">
            <v>43.93</v>
          </cell>
          <cell r="F483">
            <v>45.03</v>
          </cell>
          <cell r="G483">
            <v>29.59</v>
          </cell>
          <cell r="H483">
            <v>51.25</v>
          </cell>
          <cell r="I483">
            <v>37.29</v>
          </cell>
          <cell r="J483">
            <v>39.22</v>
          </cell>
          <cell r="L483">
            <v>40751</v>
          </cell>
          <cell r="M483">
            <v>40.942000000000007</v>
          </cell>
          <cell r="N483">
            <v>33.212666666666657</v>
          </cell>
          <cell r="O483">
            <v>37.58400000000001</v>
          </cell>
          <cell r="P483">
            <v>44.75</v>
          </cell>
          <cell r="Q483">
            <v>45.390666666666682</v>
          </cell>
          <cell r="R483">
            <v>30.133666666666663</v>
          </cell>
          <cell r="S483">
            <v>53.125999999999991</v>
          </cell>
          <cell r="T483">
            <v>38.27033333333334</v>
          </cell>
          <cell r="U483">
            <v>38.850666666666662</v>
          </cell>
        </row>
        <row r="484">
          <cell r="A484">
            <v>40750</v>
          </cell>
          <cell r="B484">
            <v>41.48</v>
          </cell>
          <cell r="C484">
            <v>33.950000000000003</v>
          </cell>
          <cell r="D484">
            <v>37.28</v>
          </cell>
          <cell r="E484">
            <v>44.73</v>
          </cell>
          <cell r="F484">
            <v>45.75</v>
          </cell>
          <cell r="G484">
            <v>30.01</v>
          </cell>
          <cell r="H484">
            <v>52.2</v>
          </cell>
          <cell r="I484">
            <v>37.909999999999997</v>
          </cell>
          <cell r="J484">
            <v>39.450000000000003</v>
          </cell>
          <cell r="L484">
            <v>40750</v>
          </cell>
          <cell r="M484">
            <v>40.888000000000005</v>
          </cell>
          <cell r="N484">
            <v>33.141666666666666</v>
          </cell>
          <cell r="O484">
            <v>37.562333333333342</v>
          </cell>
          <cell r="P484">
            <v>44.74366666666667</v>
          </cell>
          <cell r="Q484">
            <v>45.363666666666674</v>
          </cell>
          <cell r="R484">
            <v>30.132666666666658</v>
          </cell>
          <cell r="S484">
            <v>53.146333333333324</v>
          </cell>
          <cell r="T484">
            <v>38.274999999999999</v>
          </cell>
          <cell r="U484">
            <v>38.803999999999995</v>
          </cell>
        </row>
        <row r="485">
          <cell r="A485">
            <v>40749</v>
          </cell>
          <cell r="B485">
            <v>41.84</v>
          </cell>
          <cell r="C485">
            <v>34.22</v>
          </cell>
          <cell r="D485">
            <v>37.700000000000003</v>
          </cell>
          <cell r="E485">
            <v>45</v>
          </cell>
          <cell r="F485">
            <v>45.97</v>
          </cell>
          <cell r="G485">
            <v>30.39</v>
          </cell>
          <cell r="H485">
            <v>53</v>
          </cell>
          <cell r="I485">
            <v>38.4</v>
          </cell>
          <cell r="J485">
            <v>39.979999999999997</v>
          </cell>
          <cell r="L485">
            <v>40749</v>
          </cell>
          <cell r="M485">
            <v>40.811666666666675</v>
          </cell>
          <cell r="N485">
            <v>33.058333333333323</v>
          </cell>
          <cell r="O485">
            <v>37.523333333333333</v>
          </cell>
          <cell r="P485">
            <v>44.701333333333338</v>
          </cell>
          <cell r="Q485">
            <v>45.305000000000014</v>
          </cell>
          <cell r="R485">
            <v>30.111999999999991</v>
          </cell>
          <cell r="S485">
            <v>53.126666666666651</v>
          </cell>
          <cell r="T485">
            <v>38.245666666666672</v>
          </cell>
          <cell r="U485">
            <v>38.736666666666665</v>
          </cell>
        </row>
        <row r="486">
          <cell r="A486">
            <v>40746</v>
          </cell>
          <cell r="B486">
            <v>42.14</v>
          </cell>
          <cell r="C486">
            <v>34.17</v>
          </cell>
          <cell r="D486">
            <v>38.130000000000003</v>
          </cell>
          <cell r="E486">
            <v>45.86</v>
          </cell>
          <cell r="F486">
            <v>46.62</v>
          </cell>
          <cell r="G486">
            <v>30.59</v>
          </cell>
          <cell r="H486">
            <v>53.42</v>
          </cell>
          <cell r="I486">
            <v>38.659999999999997</v>
          </cell>
          <cell r="J486">
            <v>40.17</v>
          </cell>
          <cell r="L486">
            <v>40746</v>
          </cell>
          <cell r="M486">
            <v>40.716999999999999</v>
          </cell>
          <cell r="N486">
            <v>32.970333333333336</v>
          </cell>
          <cell r="O486">
            <v>37.470000000000013</v>
          </cell>
          <cell r="P486">
            <v>44.667333333333339</v>
          </cell>
          <cell r="Q486">
            <v>45.236000000000011</v>
          </cell>
          <cell r="R486">
            <v>30.071333333333321</v>
          </cell>
          <cell r="S486">
            <v>53.08566666666664</v>
          </cell>
          <cell r="T486">
            <v>38.198666666666675</v>
          </cell>
          <cell r="U486">
            <v>38.651666666666664</v>
          </cell>
        </row>
        <row r="487">
          <cell r="A487">
            <v>40745</v>
          </cell>
          <cell r="B487">
            <v>42.15</v>
          </cell>
          <cell r="C487">
            <v>34.270000000000003</v>
          </cell>
          <cell r="D487">
            <v>38.33</v>
          </cell>
          <cell r="E487">
            <v>46.34</v>
          </cell>
          <cell r="F487">
            <v>46.65</v>
          </cell>
          <cell r="G487">
            <v>30.84</v>
          </cell>
          <cell r="H487">
            <v>53.62</v>
          </cell>
          <cell r="I487">
            <v>38.799999999999997</v>
          </cell>
          <cell r="J487">
            <v>40.22</v>
          </cell>
          <cell r="L487">
            <v>40745</v>
          </cell>
          <cell r="M487">
            <v>40.625333333333337</v>
          </cell>
          <cell r="N487">
            <v>32.888666666666666</v>
          </cell>
          <cell r="O487">
            <v>37.406000000000013</v>
          </cell>
          <cell r="P487">
            <v>44.614000000000011</v>
          </cell>
          <cell r="Q487">
            <v>45.147666666666687</v>
          </cell>
          <cell r="R487">
            <v>30.035666666666657</v>
          </cell>
          <cell r="S487">
            <v>53.054333333333311</v>
          </cell>
          <cell r="T487">
            <v>38.150666666666673</v>
          </cell>
          <cell r="U487">
            <v>38.568666666666672</v>
          </cell>
        </row>
        <row r="488">
          <cell r="A488">
            <v>40744</v>
          </cell>
          <cell r="B488">
            <v>41.31</v>
          </cell>
          <cell r="C488">
            <v>33.880000000000003</v>
          </cell>
          <cell r="D488">
            <v>37.909999999999997</v>
          </cell>
          <cell r="E488">
            <v>45.69</v>
          </cell>
          <cell r="F488">
            <v>46.2</v>
          </cell>
          <cell r="G488">
            <v>30.3</v>
          </cell>
          <cell r="H488">
            <v>53.44</v>
          </cell>
          <cell r="I488">
            <v>38.58</v>
          </cell>
          <cell r="J488">
            <v>39.79</v>
          </cell>
          <cell r="L488">
            <v>40744</v>
          </cell>
          <cell r="M488">
            <v>40.535666666666671</v>
          </cell>
          <cell r="N488">
            <v>32.80833333333333</v>
          </cell>
          <cell r="O488">
            <v>37.343000000000011</v>
          </cell>
          <cell r="P488">
            <v>44.550666666666672</v>
          </cell>
          <cell r="Q488">
            <v>45.059333333333349</v>
          </cell>
          <cell r="R488">
            <v>30.007666666666655</v>
          </cell>
          <cell r="S488">
            <v>53.028666666666645</v>
          </cell>
          <cell r="T488">
            <v>38.101666666666674</v>
          </cell>
          <cell r="U488">
            <v>38.487000000000009</v>
          </cell>
        </row>
        <row r="489">
          <cell r="A489">
            <v>40743</v>
          </cell>
          <cell r="B489">
            <v>41</v>
          </cell>
          <cell r="C489">
            <v>33.42</v>
          </cell>
          <cell r="D489">
            <v>38</v>
          </cell>
          <cell r="E489">
            <v>45.86</v>
          </cell>
          <cell r="F489">
            <v>46.25</v>
          </cell>
          <cell r="G489">
            <v>30.22</v>
          </cell>
          <cell r="H489">
            <v>53.4</v>
          </cell>
          <cell r="I489">
            <v>38.450000000000003</v>
          </cell>
          <cell r="J489">
            <v>39.33</v>
          </cell>
          <cell r="L489">
            <v>40743</v>
          </cell>
          <cell r="M489">
            <v>40.475666666666669</v>
          </cell>
          <cell r="N489">
            <v>32.737000000000002</v>
          </cell>
          <cell r="O489">
            <v>37.302000000000014</v>
          </cell>
          <cell r="P489">
            <v>44.513000000000012</v>
          </cell>
          <cell r="Q489">
            <v>44.988333333333344</v>
          </cell>
          <cell r="R489">
            <v>29.990666666666655</v>
          </cell>
          <cell r="S489">
            <v>53.012666666666647</v>
          </cell>
          <cell r="T489">
            <v>38.056666666666679</v>
          </cell>
          <cell r="U489">
            <v>38.412666666666674</v>
          </cell>
        </row>
        <row r="490">
          <cell r="A490">
            <v>40742</v>
          </cell>
          <cell r="B490">
            <v>40.79</v>
          </cell>
          <cell r="C490">
            <v>33.26</v>
          </cell>
          <cell r="D490">
            <v>37.44</v>
          </cell>
          <cell r="E490">
            <v>44.7</v>
          </cell>
          <cell r="F490">
            <v>45.68</v>
          </cell>
          <cell r="G490">
            <v>29.84</v>
          </cell>
          <cell r="H490">
            <v>52.96</v>
          </cell>
          <cell r="I490">
            <v>38.090000000000003</v>
          </cell>
          <cell r="J490">
            <v>38.9</v>
          </cell>
          <cell r="L490">
            <v>40742</v>
          </cell>
          <cell r="M490">
            <v>40.432000000000002</v>
          </cell>
          <cell r="N490">
            <v>32.682333333333332</v>
          </cell>
          <cell r="O490">
            <v>37.26033333333335</v>
          </cell>
          <cell r="P490">
            <v>44.473666666666674</v>
          </cell>
          <cell r="Q490">
            <v>44.914999999999999</v>
          </cell>
          <cell r="R490">
            <v>29.977333333333323</v>
          </cell>
          <cell r="S490">
            <v>52.991666666666646</v>
          </cell>
          <cell r="T490">
            <v>38.019666666666666</v>
          </cell>
          <cell r="U490">
            <v>38.352333333333334</v>
          </cell>
        </row>
        <row r="491">
          <cell r="A491">
            <v>40739</v>
          </cell>
          <cell r="B491">
            <v>41.37</v>
          </cell>
          <cell r="C491">
            <v>33.869999999999997</v>
          </cell>
          <cell r="D491">
            <v>37.93</v>
          </cell>
          <cell r="E491">
            <v>45.36</v>
          </cell>
          <cell r="F491">
            <v>46.1</v>
          </cell>
          <cell r="G491">
            <v>30.43</v>
          </cell>
          <cell r="H491">
            <v>54.03</v>
          </cell>
          <cell r="I491">
            <v>38.729999999999997</v>
          </cell>
          <cell r="J491">
            <v>39.97</v>
          </cell>
          <cell r="L491">
            <v>40739</v>
          </cell>
          <cell r="M491">
            <v>40.407999999999994</v>
          </cell>
          <cell r="N491">
            <v>32.637333333333331</v>
          </cell>
          <cell r="O491">
            <v>37.235000000000014</v>
          </cell>
          <cell r="P491">
            <v>44.476666666666667</v>
          </cell>
          <cell r="Q491">
            <v>44.857666666666667</v>
          </cell>
          <cell r="R491">
            <v>29.978333333333328</v>
          </cell>
          <cell r="S491">
            <v>52.999666666666648</v>
          </cell>
          <cell r="T491">
            <v>38.00366666666666</v>
          </cell>
          <cell r="U491">
            <v>38.309333333333328</v>
          </cell>
        </row>
        <row r="492">
          <cell r="A492">
            <v>40738</v>
          </cell>
          <cell r="B492">
            <v>41.45</v>
          </cell>
          <cell r="C492">
            <v>33.590000000000003</v>
          </cell>
          <cell r="D492">
            <v>37.840000000000003</v>
          </cell>
          <cell r="E492">
            <v>45.11</v>
          </cell>
          <cell r="F492">
            <v>45.83</v>
          </cell>
          <cell r="G492">
            <v>30.18</v>
          </cell>
          <cell r="H492">
            <v>53.75</v>
          </cell>
          <cell r="I492">
            <v>38.520000000000003</v>
          </cell>
          <cell r="J492">
            <v>39.869999999999997</v>
          </cell>
          <cell r="L492">
            <v>40738</v>
          </cell>
          <cell r="M492">
            <v>40.377999999999993</v>
          </cell>
          <cell r="N492">
            <v>32.591666666666669</v>
          </cell>
          <cell r="O492">
            <v>37.199333333333335</v>
          </cell>
          <cell r="P492">
            <v>44.465000000000003</v>
          </cell>
          <cell r="Q492">
            <v>44.792000000000009</v>
          </cell>
          <cell r="R492">
            <v>29.97399999999999</v>
          </cell>
          <cell r="S492">
            <v>53.001333333333314</v>
          </cell>
          <cell r="T492">
            <v>37.97966666666666</v>
          </cell>
          <cell r="U492">
            <v>38.239666666666672</v>
          </cell>
        </row>
        <row r="493">
          <cell r="A493">
            <v>40737</v>
          </cell>
          <cell r="B493">
            <v>41.88</v>
          </cell>
          <cell r="C493">
            <v>33.75</v>
          </cell>
          <cell r="D493">
            <v>38.270000000000003</v>
          </cell>
          <cell r="E493">
            <v>45.68</v>
          </cell>
          <cell r="F493">
            <v>46.17</v>
          </cell>
          <cell r="G493">
            <v>30.69</v>
          </cell>
          <cell r="H493">
            <v>54.35</v>
          </cell>
          <cell r="I493">
            <v>39.020000000000003</v>
          </cell>
          <cell r="J493">
            <v>40.03</v>
          </cell>
          <cell r="L493">
            <v>40737</v>
          </cell>
          <cell r="M493">
            <v>40.344000000000001</v>
          </cell>
          <cell r="N493">
            <v>32.568666666666665</v>
          </cell>
          <cell r="O493">
            <v>37.166666666666664</v>
          </cell>
          <cell r="P493">
            <v>44.469666666666669</v>
          </cell>
          <cell r="Q493">
            <v>44.74633333333334</v>
          </cell>
          <cell r="R493">
            <v>29.992666666666658</v>
          </cell>
          <cell r="S493">
            <v>53.032666666666657</v>
          </cell>
          <cell r="T493">
            <v>37.972999999999999</v>
          </cell>
          <cell r="U493">
            <v>38.197333333333326</v>
          </cell>
        </row>
        <row r="494">
          <cell r="A494">
            <v>40736</v>
          </cell>
          <cell r="B494">
            <v>41.84</v>
          </cell>
          <cell r="C494">
            <v>33.72</v>
          </cell>
          <cell r="D494">
            <v>38.04</v>
          </cell>
          <cell r="E494">
            <v>45.48</v>
          </cell>
          <cell r="F494">
            <v>45.89</v>
          </cell>
          <cell r="G494">
            <v>30.54</v>
          </cell>
          <cell r="H494">
            <v>54.17</v>
          </cell>
          <cell r="I494">
            <v>38.9</v>
          </cell>
          <cell r="J494">
            <v>39.83</v>
          </cell>
          <cell r="L494">
            <v>40736</v>
          </cell>
          <cell r="M494">
            <v>40.318333333333321</v>
          </cell>
          <cell r="N494">
            <v>32.555333333333337</v>
          </cell>
          <cell r="O494">
            <v>37.144666666666659</v>
          </cell>
          <cell r="P494">
            <v>44.482999999999997</v>
          </cell>
          <cell r="Q494">
            <v>44.712999999999994</v>
          </cell>
          <cell r="R494">
            <v>30.018666666666658</v>
          </cell>
          <cell r="S494">
            <v>53.086666666666666</v>
          </cell>
          <cell r="T494">
            <v>37.974333333333341</v>
          </cell>
          <cell r="U494">
            <v>38.17133333333333</v>
          </cell>
        </row>
        <row r="495">
          <cell r="A495">
            <v>40735</v>
          </cell>
          <cell r="B495">
            <v>41.85</v>
          </cell>
          <cell r="C495">
            <v>33.659999999999997</v>
          </cell>
          <cell r="D495">
            <v>37.97</v>
          </cell>
          <cell r="E495">
            <v>45.29</v>
          </cell>
          <cell r="F495">
            <v>45.82</v>
          </cell>
          <cell r="G495">
            <v>30.37</v>
          </cell>
          <cell r="H495">
            <v>53.96</v>
          </cell>
          <cell r="I495">
            <v>38.79</v>
          </cell>
          <cell r="J495">
            <v>39.619999999999997</v>
          </cell>
          <cell r="L495">
            <v>40735</v>
          </cell>
          <cell r="M495">
            <v>40.276666666666657</v>
          </cell>
          <cell r="N495">
            <v>32.534333333333343</v>
          </cell>
          <cell r="O495">
            <v>37.114333333333335</v>
          </cell>
          <cell r="P495">
            <v>44.48533333333333</v>
          </cell>
          <cell r="Q495">
            <v>44.682333333333332</v>
          </cell>
          <cell r="R495">
            <v>30.034333333333329</v>
          </cell>
          <cell r="S495">
            <v>53.124333333333333</v>
          </cell>
          <cell r="T495">
            <v>37.968000000000004</v>
          </cell>
          <cell r="U495">
            <v>38.143999999999991</v>
          </cell>
        </row>
        <row r="496">
          <cell r="A496">
            <v>40732</v>
          </cell>
          <cell r="B496">
            <v>42.23</v>
          </cell>
          <cell r="C496">
            <v>33.950000000000003</v>
          </cell>
          <cell r="D496">
            <v>38.340000000000003</v>
          </cell>
          <cell r="E496">
            <v>45.79</v>
          </cell>
          <cell r="F496">
            <v>45.93</v>
          </cell>
          <cell r="G496">
            <v>30.77</v>
          </cell>
          <cell r="H496">
            <v>54.79</v>
          </cell>
          <cell r="I496">
            <v>39.29</v>
          </cell>
          <cell r="J496">
            <v>39.29</v>
          </cell>
          <cell r="L496">
            <v>40732</v>
          </cell>
          <cell r="M496">
            <v>40.234333333333325</v>
          </cell>
          <cell r="N496">
            <v>32.512000000000008</v>
          </cell>
          <cell r="O496">
            <v>37.094666666666669</v>
          </cell>
          <cell r="P496">
            <v>44.493000000000002</v>
          </cell>
          <cell r="Q496">
            <v>44.653333333333336</v>
          </cell>
          <cell r="R496">
            <v>30.058999999999994</v>
          </cell>
          <cell r="S496">
            <v>53.168999999999997</v>
          </cell>
          <cell r="T496">
            <v>37.962666666666678</v>
          </cell>
          <cell r="U496">
            <v>38.12566666666666</v>
          </cell>
        </row>
        <row r="497">
          <cell r="A497">
            <v>40731</v>
          </cell>
          <cell r="B497">
            <v>42.23</v>
          </cell>
          <cell r="C497">
            <v>34</v>
          </cell>
          <cell r="D497">
            <v>38.590000000000003</v>
          </cell>
          <cell r="E497">
            <v>46.25</v>
          </cell>
          <cell r="F497">
            <v>46.1</v>
          </cell>
          <cell r="G497">
            <v>31.31</v>
          </cell>
          <cell r="H497">
            <v>55.33</v>
          </cell>
          <cell r="I497">
            <v>39.67</v>
          </cell>
          <cell r="J497">
            <v>39.299999999999997</v>
          </cell>
          <cell r="L497">
            <v>40731</v>
          </cell>
          <cell r="M497">
            <v>40.168999999999983</v>
          </cell>
          <cell r="N497">
            <v>32.478000000000002</v>
          </cell>
          <cell r="O497">
            <v>37.057333333333339</v>
          </cell>
          <cell r="P497">
            <v>44.478333333333325</v>
          </cell>
          <cell r="Q497">
            <v>44.615333333333339</v>
          </cell>
          <cell r="R497">
            <v>30.064999999999998</v>
          </cell>
          <cell r="S497">
            <v>53.181666666666665</v>
          </cell>
          <cell r="T497">
            <v>37.935333333333347</v>
          </cell>
          <cell r="U497">
            <v>38.116333333333337</v>
          </cell>
        </row>
        <row r="498">
          <cell r="A498">
            <v>40730</v>
          </cell>
          <cell r="B498">
            <v>42.04</v>
          </cell>
          <cell r="C498">
            <v>33.99</v>
          </cell>
          <cell r="D498">
            <v>38.54</v>
          </cell>
          <cell r="E498">
            <v>46.27</v>
          </cell>
          <cell r="F498">
            <v>45.96</v>
          </cell>
          <cell r="G498">
            <v>31.26</v>
          </cell>
          <cell r="H498">
            <v>55.2</v>
          </cell>
          <cell r="I498">
            <v>39.549999999999997</v>
          </cell>
          <cell r="J498">
            <v>39.1</v>
          </cell>
          <cell r="L498">
            <v>40730</v>
          </cell>
          <cell r="M498">
            <v>40.09666666666665</v>
          </cell>
          <cell r="N498">
            <v>32.441333333333333</v>
          </cell>
          <cell r="O498">
            <v>37.00266666666667</v>
          </cell>
          <cell r="P498">
            <v>44.429333333333325</v>
          </cell>
          <cell r="Q498">
            <v>44.561333333333337</v>
          </cell>
          <cell r="R498">
            <v>30.042999999999999</v>
          </cell>
          <cell r="S498">
            <v>53.135000000000005</v>
          </cell>
          <cell r="T498">
            <v>37.886666666666677</v>
          </cell>
          <cell r="U498">
            <v>38.102666666666671</v>
          </cell>
        </row>
        <row r="499">
          <cell r="A499">
            <v>40729</v>
          </cell>
          <cell r="B499">
            <v>41.75</v>
          </cell>
          <cell r="C499">
            <v>33.65</v>
          </cell>
          <cell r="D499">
            <v>38.43</v>
          </cell>
          <cell r="E499">
            <v>45.87</v>
          </cell>
          <cell r="F499">
            <v>45.73</v>
          </cell>
          <cell r="G499">
            <v>30.81</v>
          </cell>
          <cell r="H499">
            <v>54.88</v>
          </cell>
          <cell r="I499">
            <v>39.270000000000003</v>
          </cell>
          <cell r="J499">
            <v>38.85</v>
          </cell>
          <cell r="L499">
            <v>40729</v>
          </cell>
          <cell r="M499">
            <v>40.033999999999999</v>
          </cell>
          <cell r="N499">
            <v>32.411000000000001</v>
          </cell>
          <cell r="O499">
            <v>36.961666666666666</v>
          </cell>
          <cell r="P499">
            <v>44.394999999999989</v>
          </cell>
          <cell r="Q499">
            <v>44.51733333333334</v>
          </cell>
          <cell r="R499">
            <v>30.031000000000002</v>
          </cell>
          <cell r="S499">
            <v>53.108000000000011</v>
          </cell>
          <cell r="T499">
            <v>37.851999999999997</v>
          </cell>
          <cell r="U499">
            <v>38.105000000000004</v>
          </cell>
        </row>
        <row r="500">
          <cell r="A500">
            <v>40725</v>
          </cell>
          <cell r="B500">
            <v>41.5</v>
          </cell>
          <cell r="C500">
            <v>33.85</v>
          </cell>
          <cell r="D500">
            <v>38.369999999999997</v>
          </cell>
          <cell r="E500">
            <v>45.62</v>
          </cell>
          <cell r="F500">
            <v>45.85</v>
          </cell>
          <cell r="G500">
            <v>30.83</v>
          </cell>
          <cell r="H500">
            <v>54.94</v>
          </cell>
          <cell r="I500">
            <v>39.35</v>
          </cell>
          <cell r="J500">
            <v>38.880000000000003</v>
          </cell>
          <cell r="L500">
            <v>40725</v>
          </cell>
          <cell r="M500">
            <v>39.998000000000005</v>
          </cell>
          <cell r="N500">
            <v>32.417000000000002</v>
          </cell>
          <cell r="O500">
            <v>36.936999999999998</v>
          </cell>
          <cell r="P500">
            <v>44.388333333333328</v>
          </cell>
          <cell r="Q500">
            <v>44.495666666666672</v>
          </cell>
          <cell r="R500">
            <v>30.051666666666666</v>
          </cell>
          <cell r="S500">
            <v>53.121000000000009</v>
          </cell>
          <cell r="T500">
            <v>37.851333333333329</v>
          </cell>
          <cell r="U500">
            <v>38.12733333333334</v>
          </cell>
        </row>
        <row r="501">
          <cell r="A501">
            <v>40724</v>
          </cell>
          <cell r="B501">
            <v>40.71</v>
          </cell>
          <cell r="C501">
            <v>33.25</v>
          </cell>
          <cell r="D501">
            <v>37.83</v>
          </cell>
          <cell r="E501">
            <v>44.61</v>
          </cell>
          <cell r="F501">
            <v>45.13</v>
          </cell>
          <cell r="G501">
            <v>30.26</v>
          </cell>
          <cell r="H501">
            <v>54.31</v>
          </cell>
          <cell r="I501">
            <v>38.61</v>
          </cell>
          <cell r="J501">
            <v>38.49</v>
          </cell>
          <cell r="L501">
            <v>40724</v>
          </cell>
          <cell r="M501">
            <v>39.975666666666676</v>
          </cell>
          <cell r="N501">
            <v>32.416666666666671</v>
          </cell>
          <cell r="O501">
            <v>36.914999999999999</v>
          </cell>
          <cell r="P501">
            <v>44.403333333333322</v>
          </cell>
          <cell r="Q501">
            <v>44.472000000000001</v>
          </cell>
          <cell r="R501">
            <v>30.077666666666669</v>
          </cell>
          <cell r="S501">
            <v>53.149666666666675</v>
          </cell>
          <cell r="T501">
            <v>37.852333333333348</v>
          </cell>
          <cell r="U501">
            <v>38.147333333333336</v>
          </cell>
        </row>
        <row r="502">
          <cell r="A502">
            <v>40723</v>
          </cell>
          <cell r="B502">
            <v>40.630000000000003</v>
          </cell>
          <cell r="C502">
            <v>33.1</v>
          </cell>
          <cell r="D502">
            <v>37.72</v>
          </cell>
          <cell r="E502">
            <v>44.35</v>
          </cell>
          <cell r="F502">
            <v>44.96</v>
          </cell>
          <cell r="G502">
            <v>29.86</v>
          </cell>
          <cell r="H502">
            <v>53.79</v>
          </cell>
          <cell r="I502">
            <v>38.450000000000003</v>
          </cell>
          <cell r="J502">
            <v>38.39</v>
          </cell>
          <cell r="L502">
            <v>40723</v>
          </cell>
          <cell r="M502">
            <v>39.977666666666671</v>
          </cell>
          <cell r="N502">
            <v>32.427</v>
          </cell>
          <cell r="O502">
            <v>36.905000000000001</v>
          </cell>
          <cell r="P502">
            <v>44.443999999999988</v>
          </cell>
          <cell r="Q502">
            <v>44.473333333333343</v>
          </cell>
          <cell r="R502">
            <v>30.115333333333332</v>
          </cell>
          <cell r="S502">
            <v>53.196000000000012</v>
          </cell>
          <cell r="T502">
            <v>37.875666666666682</v>
          </cell>
          <cell r="U502">
            <v>38.173666666666662</v>
          </cell>
        </row>
        <row r="503">
          <cell r="A503">
            <v>40722</v>
          </cell>
          <cell r="B503">
            <v>40.229999999999997</v>
          </cell>
          <cell r="C503">
            <v>32.61</v>
          </cell>
          <cell r="D503">
            <v>37.57</v>
          </cell>
          <cell r="E503">
            <v>44.16</v>
          </cell>
          <cell r="F503">
            <v>44.83</v>
          </cell>
          <cell r="G503">
            <v>29.79</v>
          </cell>
          <cell r="H503">
            <v>53.17</v>
          </cell>
          <cell r="I503">
            <v>38.090000000000003</v>
          </cell>
          <cell r="J503">
            <v>38.1</v>
          </cell>
          <cell r="L503">
            <v>40722</v>
          </cell>
          <cell r="M503">
            <v>39.975333333333339</v>
          </cell>
          <cell r="N503">
            <v>32.436</v>
          </cell>
          <cell r="O503">
            <v>36.894000000000005</v>
          </cell>
          <cell r="P503">
            <v>44.471333333333327</v>
          </cell>
          <cell r="Q503">
            <v>44.480000000000011</v>
          </cell>
          <cell r="R503">
            <v>30.156666666666663</v>
          </cell>
          <cell r="S503">
            <v>53.250666666666682</v>
          </cell>
          <cell r="T503">
            <v>37.89233333333334</v>
          </cell>
          <cell r="U503">
            <v>38.191000000000003</v>
          </cell>
        </row>
        <row r="504">
          <cell r="A504">
            <v>40721</v>
          </cell>
          <cell r="B504">
            <v>39.92</v>
          </cell>
          <cell r="C504">
            <v>32.35</v>
          </cell>
          <cell r="D504">
            <v>37.630000000000003</v>
          </cell>
          <cell r="E504">
            <v>43.71</v>
          </cell>
          <cell r="F504">
            <v>44.58</v>
          </cell>
          <cell r="G504">
            <v>29.59</v>
          </cell>
          <cell r="H504">
            <v>52.69</v>
          </cell>
          <cell r="I504">
            <v>37.92</v>
          </cell>
          <cell r="J504">
            <v>37.9</v>
          </cell>
          <cell r="L504">
            <v>40721</v>
          </cell>
          <cell r="M504">
            <v>39.99433333333333</v>
          </cell>
          <cell r="N504">
            <v>32.470666666666673</v>
          </cell>
          <cell r="O504">
            <v>36.898666666666678</v>
          </cell>
          <cell r="P504">
            <v>44.50566666666667</v>
          </cell>
          <cell r="Q504">
            <v>44.488666666666674</v>
          </cell>
          <cell r="R504">
            <v>30.204000000000001</v>
          </cell>
          <cell r="S504">
            <v>53.33366666666668</v>
          </cell>
          <cell r="T504">
            <v>37.929000000000009</v>
          </cell>
          <cell r="U504">
            <v>38.215000000000003</v>
          </cell>
        </row>
        <row r="505">
          <cell r="A505">
            <v>40718</v>
          </cell>
          <cell r="B505">
            <v>39.659999999999997</v>
          </cell>
          <cell r="C505">
            <v>32.299999999999997</v>
          </cell>
          <cell r="D505">
            <v>37.31</v>
          </cell>
          <cell r="E505">
            <v>43.39</v>
          </cell>
          <cell r="F505">
            <v>44.6</v>
          </cell>
          <cell r="G505">
            <v>29.38</v>
          </cell>
          <cell r="H505">
            <v>52.04</v>
          </cell>
          <cell r="I505">
            <v>37.47</v>
          </cell>
          <cell r="J505">
            <v>37.65</v>
          </cell>
          <cell r="L505">
            <v>40718</v>
          </cell>
          <cell r="M505">
            <v>40.031666666666659</v>
          </cell>
          <cell r="N505">
            <v>32.527333333333331</v>
          </cell>
          <cell r="O505">
            <v>36.917333333333339</v>
          </cell>
          <cell r="P505">
            <v>44.551333333333325</v>
          </cell>
          <cell r="Q505">
            <v>44.531666666666666</v>
          </cell>
          <cell r="R505">
            <v>30.268666666666668</v>
          </cell>
          <cell r="S505">
            <v>53.441666666666684</v>
          </cell>
          <cell r="T505">
            <v>38.00833333333334</v>
          </cell>
          <cell r="U505">
            <v>38.250999999999998</v>
          </cell>
        </row>
        <row r="506">
          <cell r="A506">
            <v>40717</v>
          </cell>
          <cell r="B506">
            <v>39.630000000000003</v>
          </cell>
          <cell r="C506">
            <v>32.26</v>
          </cell>
          <cell r="D506">
            <v>36.950000000000003</v>
          </cell>
          <cell r="E506">
            <v>43.27</v>
          </cell>
          <cell r="F506">
            <v>44.44</v>
          </cell>
          <cell r="G506">
            <v>29.24</v>
          </cell>
          <cell r="H506">
            <v>51.59</v>
          </cell>
          <cell r="I506">
            <v>37.35</v>
          </cell>
          <cell r="J506">
            <v>37.5</v>
          </cell>
          <cell r="L506">
            <v>40717</v>
          </cell>
          <cell r="M506">
            <v>40.097333333333339</v>
          </cell>
          <cell r="N506">
            <v>32.595666666666666</v>
          </cell>
          <cell r="O506">
            <v>36.958999999999996</v>
          </cell>
          <cell r="P506">
            <v>44.612999999999985</v>
          </cell>
          <cell r="Q506">
            <v>44.572333333333333</v>
          </cell>
          <cell r="R506">
            <v>30.348333333333336</v>
          </cell>
          <cell r="S506">
            <v>53.606333333333353</v>
          </cell>
          <cell r="T506">
            <v>38.065000000000012</v>
          </cell>
          <cell r="U506">
            <v>38.30566666666666</v>
          </cell>
        </row>
        <row r="507">
          <cell r="A507">
            <v>40716</v>
          </cell>
          <cell r="B507">
            <v>39.9</v>
          </cell>
          <cell r="C507">
            <v>32.29</v>
          </cell>
          <cell r="D507">
            <v>36.83</v>
          </cell>
          <cell r="E507">
            <v>43.46</v>
          </cell>
          <cell r="F507">
            <v>44.33</v>
          </cell>
          <cell r="G507">
            <v>29.38</v>
          </cell>
          <cell r="H507">
            <v>51.36</v>
          </cell>
          <cell r="I507">
            <v>37.450000000000003</v>
          </cell>
          <cell r="J507">
            <v>37.68</v>
          </cell>
        </row>
        <row r="508">
          <cell r="A508">
            <v>40715</v>
          </cell>
          <cell r="B508">
            <v>40.159999999999997</v>
          </cell>
          <cell r="C508">
            <v>32.31</v>
          </cell>
          <cell r="D508">
            <v>36.97</v>
          </cell>
          <cell r="E508">
            <v>43.77</v>
          </cell>
          <cell r="F508">
            <v>44.68</v>
          </cell>
          <cell r="G508">
            <v>29.9</v>
          </cell>
          <cell r="H508">
            <v>51.7</v>
          </cell>
          <cell r="I508">
            <v>37.6</v>
          </cell>
          <cell r="J508">
            <v>37.950000000000003</v>
          </cell>
        </row>
        <row r="509">
          <cell r="A509">
            <v>40714</v>
          </cell>
          <cell r="B509">
            <v>39.840000000000003</v>
          </cell>
          <cell r="C509">
            <v>32.17</v>
          </cell>
          <cell r="D509">
            <v>36.74</v>
          </cell>
          <cell r="E509">
            <v>43.59</v>
          </cell>
          <cell r="F509">
            <v>44.43</v>
          </cell>
          <cell r="G509">
            <v>29.77</v>
          </cell>
          <cell r="H509">
            <v>51.26</v>
          </cell>
          <cell r="I509">
            <v>37.4</v>
          </cell>
          <cell r="J509">
            <v>37.76</v>
          </cell>
        </row>
        <row r="510">
          <cell r="A510">
            <v>40711</v>
          </cell>
          <cell r="B510">
            <v>39.44</v>
          </cell>
          <cell r="C510">
            <v>31.91</v>
          </cell>
          <cell r="D510">
            <v>36.21</v>
          </cell>
          <cell r="E510">
            <v>43.23</v>
          </cell>
          <cell r="F510">
            <v>44.12</v>
          </cell>
          <cell r="G510">
            <v>29.43</v>
          </cell>
          <cell r="H510">
            <v>51.03</v>
          </cell>
          <cell r="I510">
            <v>36.96</v>
          </cell>
          <cell r="J510">
            <v>37.61</v>
          </cell>
        </row>
        <row r="511">
          <cell r="A511">
            <v>40710</v>
          </cell>
          <cell r="B511">
            <v>39.31</v>
          </cell>
          <cell r="C511">
            <v>31.5</v>
          </cell>
          <cell r="D511">
            <v>36</v>
          </cell>
          <cell r="E511">
            <v>43.24</v>
          </cell>
          <cell r="F511">
            <v>44.16</v>
          </cell>
          <cell r="G511">
            <v>29.31</v>
          </cell>
          <cell r="H511">
            <v>51.09</v>
          </cell>
          <cell r="I511">
            <v>36.82</v>
          </cell>
          <cell r="J511">
            <v>37.479999999999997</v>
          </cell>
        </row>
        <row r="512">
          <cell r="A512">
            <v>40709</v>
          </cell>
          <cell r="B512">
            <v>38.96</v>
          </cell>
          <cell r="C512">
            <v>31.34</v>
          </cell>
          <cell r="D512">
            <v>35.729999999999997</v>
          </cell>
          <cell r="E512">
            <v>42.89</v>
          </cell>
          <cell r="F512">
            <v>43.93</v>
          </cell>
          <cell r="G512">
            <v>29.13</v>
          </cell>
          <cell r="H512">
            <v>51.06</v>
          </cell>
          <cell r="I512">
            <v>36.72</v>
          </cell>
          <cell r="J512">
            <v>37.21</v>
          </cell>
        </row>
        <row r="513">
          <cell r="A513">
            <v>40708</v>
          </cell>
          <cell r="B513">
            <v>39.4</v>
          </cell>
          <cell r="C513">
            <v>31.66</v>
          </cell>
          <cell r="D513">
            <v>36.270000000000003</v>
          </cell>
          <cell r="E513">
            <v>43.74</v>
          </cell>
          <cell r="F513">
            <v>44.22</v>
          </cell>
          <cell r="G513">
            <v>29.56</v>
          </cell>
          <cell r="H513">
            <v>51.86</v>
          </cell>
          <cell r="I513">
            <v>37.43</v>
          </cell>
          <cell r="J513">
            <v>37.82</v>
          </cell>
        </row>
        <row r="514">
          <cell r="A514">
            <v>40707</v>
          </cell>
          <cell r="B514">
            <v>39.19</v>
          </cell>
          <cell r="C514">
            <v>31.45</v>
          </cell>
          <cell r="D514">
            <v>36.11</v>
          </cell>
          <cell r="E514">
            <v>43.46</v>
          </cell>
          <cell r="F514">
            <v>43.99</v>
          </cell>
          <cell r="G514">
            <v>29.39</v>
          </cell>
          <cell r="H514">
            <v>51.61</v>
          </cell>
          <cell r="I514">
            <v>37.03</v>
          </cell>
          <cell r="J514">
            <v>37.43</v>
          </cell>
        </row>
        <row r="515">
          <cell r="A515">
            <v>40704</v>
          </cell>
          <cell r="B515">
            <v>39</v>
          </cell>
          <cell r="C515">
            <v>31.58</v>
          </cell>
          <cell r="D515">
            <v>36.1</v>
          </cell>
          <cell r="E515">
            <v>43.98</v>
          </cell>
          <cell r="F515">
            <v>43.9</v>
          </cell>
          <cell r="G515">
            <v>29.17</v>
          </cell>
          <cell r="H515">
            <v>51.77</v>
          </cell>
          <cell r="I515">
            <v>36.99</v>
          </cell>
          <cell r="J515">
            <v>37.43</v>
          </cell>
        </row>
        <row r="516">
          <cell r="A516">
            <v>40703</v>
          </cell>
          <cell r="B516">
            <v>39.39</v>
          </cell>
          <cell r="C516">
            <v>31.72</v>
          </cell>
          <cell r="D516">
            <v>36.21</v>
          </cell>
          <cell r="E516">
            <v>44.26</v>
          </cell>
          <cell r="F516">
            <v>43.97</v>
          </cell>
          <cell r="G516">
            <v>29.52</v>
          </cell>
          <cell r="H516">
            <v>52.48</v>
          </cell>
          <cell r="I516">
            <v>37.22</v>
          </cell>
          <cell r="J516">
            <v>37.68</v>
          </cell>
        </row>
        <row r="517">
          <cell r="A517">
            <v>40702</v>
          </cell>
          <cell r="B517">
            <v>39.46</v>
          </cell>
          <cell r="C517">
            <v>31.86</v>
          </cell>
          <cell r="D517">
            <v>36.44</v>
          </cell>
          <cell r="E517">
            <v>44.44</v>
          </cell>
          <cell r="F517">
            <v>44</v>
          </cell>
          <cell r="G517">
            <v>30</v>
          </cell>
          <cell r="H517">
            <v>52.85</v>
          </cell>
          <cell r="I517">
            <v>37.33</v>
          </cell>
          <cell r="J517">
            <v>37.770000000000003</v>
          </cell>
        </row>
        <row r="518">
          <cell r="A518">
            <v>40701</v>
          </cell>
          <cell r="B518">
            <v>39.51</v>
          </cell>
          <cell r="C518">
            <v>31.74</v>
          </cell>
          <cell r="D518">
            <v>36.68</v>
          </cell>
          <cell r="E518">
            <v>44.56</v>
          </cell>
          <cell r="F518">
            <v>44.07</v>
          </cell>
          <cell r="G518">
            <v>29.79</v>
          </cell>
          <cell r="H518">
            <v>52.96</v>
          </cell>
          <cell r="I518">
            <v>37.229999999999997</v>
          </cell>
          <cell r="J518">
            <v>37.56</v>
          </cell>
        </row>
        <row r="519">
          <cell r="A519">
            <v>40700</v>
          </cell>
          <cell r="B519">
            <v>39.69</v>
          </cell>
          <cell r="C519">
            <v>31.78</v>
          </cell>
          <cell r="D519">
            <v>36.75</v>
          </cell>
          <cell r="E519">
            <v>44.68</v>
          </cell>
          <cell r="F519">
            <v>44.05</v>
          </cell>
          <cell r="G519">
            <v>29.82</v>
          </cell>
          <cell r="H519">
            <v>52.77</v>
          </cell>
          <cell r="I519">
            <v>37.340000000000003</v>
          </cell>
          <cell r="J519">
            <v>37.520000000000003</v>
          </cell>
        </row>
        <row r="520">
          <cell r="A520">
            <v>40697</v>
          </cell>
          <cell r="B520">
            <v>40.07</v>
          </cell>
          <cell r="C520">
            <v>31.91</v>
          </cell>
          <cell r="D520">
            <v>36.68</v>
          </cell>
          <cell r="E520">
            <v>44.79</v>
          </cell>
          <cell r="F520">
            <v>43.96</v>
          </cell>
          <cell r="G520">
            <v>29.87</v>
          </cell>
          <cell r="H520">
            <v>53.2</v>
          </cell>
          <cell r="I520">
            <v>37.61</v>
          </cell>
          <cell r="J520">
            <v>37.61</v>
          </cell>
        </row>
        <row r="521">
          <cell r="A521">
            <v>40696</v>
          </cell>
          <cell r="B521">
            <v>40.47</v>
          </cell>
          <cell r="C521">
            <v>32.5</v>
          </cell>
          <cell r="D521">
            <v>36.86</v>
          </cell>
          <cell r="E521">
            <v>45.01</v>
          </cell>
          <cell r="F521">
            <v>44.13</v>
          </cell>
          <cell r="G521">
            <v>30.3</v>
          </cell>
          <cell r="H521">
            <v>54.08</v>
          </cell>
          <cell r="I521">
            <v>38.01</v>
          </cell>
          <cell r="J521">
            <v>37.880000000000003</v>
          </cell>
        </row>
        <row r="522">
          <cell r="A522">
            <v>40695</v>
          </cell>
          <cell r="B522">
            <v>40.43</v>
          </cell>
          <cell r="C522">
            <v>32.9</v>
          </cell>
          <cell r="D522">
            <v>36.86</v>
          </cell>
          <cell r="E522">
            <v>45.25</v>
          </cell>
          <cell r="F522">
            <v>44.46</v>
          </cell>
          <cell r="G522">
            <v>30.74</v>
          </cell>
          <cell r="H522">
            <v>54.69</v>
          </cell>
          <cell r="I522">
            <v>38.32</v>
          </cell>
          <cell r="J522">
            <v>38.6</v>
          </cell>
        </row>
        <row r="523">
          <cell r="A523">
            <v>40694</v>
          </cell>
          <cell r="B523">
            <v>41.11</v>
          </cell>
          <cell r="C523">
            <v>33.35</v>
          </cell>
          <cell r="D523">
            <v>37.61</v>
          </cell>
          <cell r="E523">
            <v>46.08</v>
          </cell>
          <cell r="F523">
            <v>45.17</v>
          </cell>
          <cell r="G523">
            <v>31.47</v>
          </cell>
          <cell r="H523">
            <v>55.97</v>
          </cell>
          <cell r="I523">
            <v>39.06</v>
          </cell>
          <cell r="J523">
            <v>39.25</v>
          </cell>
        </row>
        <row r="524">
          <cell r="A524">
            <v>40690</v>
          </cell>
          <cell r="B524">
            <v>40.590000000000003</v>
          </cell>
          <cell r="C524">
            <v>33.090000000000003</v>
          </cell>
          <cell r="D524">
            <v>37.130000000000003</v>
          </cell>
          <cell r="E524">
            <v>45.55</v>
          </cell>
          <cell r="F524">
            <v>44.97</v>
          </cell>
          <cell r="G524">
            <v>31.01</v>
          </cell>
          <cell r="H524">
            <v>55.3</v>
          </cell>
          <cell r="I524">
            <v>38.71</v>
          </cell>
          <cell r="J524">
            <v>39.01</v>
          </cell>
        </row>
        <row r="525">
          <cell r="A525">
            <v>40689</v>
          </cell>
          <cell r="B525">
            <v>40.58</v>
          </cell>
          <cell r="C525">
            <v>32.99</v>
          </cell>
          <cell r="D525">
            <v>37.380000000000003</v>
          </cell>
          <cell r="E525">
            <v>45.52</v>
          </cell>
          <cell r="F525">
            <v>44.95</v>
          </cell>
          <cell r="G525">
            <v>31.11</v>
          </cell>
          <cell r="H525">
            <v>55.3</v>
          </cell>
          <cell r="I525">
            <v>38.630000000000003</v>
          </cell>
          <cell r="J525">
            <v>39.07</v>
          </cell>
        </row>
        <row r="526">
          <cell r="A526">
            <v>40688</v>
          </cell>
          <cell r="B526">
            <v>40.270000000000003</v>
          </cell>
          <cell r="C526">
            <v>32.93</v>
          </cell>
          <cell r="D526">
            <v>37.22</v>
          </cell>
          <cell r="E526">
            <v>45.35</v>
          </cell>
          <cell r="F526">
            <v>44.79</v>
          </cell>
          <cell r="G526">
            <v>30.95</v>
          </cell>
          <cell r="H526">
            <v>55.17</v>
          </cell>
          <cell r="I526">
            <v>38.47</v>
          </cell>
          <cell r="J526">
            <v>39.01</v>
          </cell>
        </row>
        <row r="527">
          <cell r="A527">
            <v>40687</v>
          </cell>
          <cell r="B527">
            <v>40.06</v>
          </cell>
          <cell r="C527">
            <v>32.9</v>
          </cell>
          <cell r="D527">
            <v>36.950000000000003</v>
          </cell>
          <cell r="E527">
            <v>44.78</v>
          </cell>
          <cell r="F527">
            <v>44.48</v>
          </cell>
          <cell r="G527">
            <v>30.65</v>
          </cell>
          <cell r="H527">
            <v>53.93</v>
          </cell>
          <cell r="I527">
            <v>38.21</v>
          </cell>
          <cell r="J527">
            <v>38.89</v>
          </cell>
        </row>
        <row r="528">
          <cell r="A528">
            <v>40686</v>
          </cell>
          <cell r="B528">
            <v>40.159999999999997</v>
          </cell>
          <cell r="C528">
            <v>33.08</v>
          </cell>
          <cell r="D528">
            <v>37.31</v>
          </cell>
          <cell r="E528">
            <v>45.24</v>
          </cell>
          <cell r="F528">
            <v>44.64</v>
          </cell>
          <cell r="G528">
            <v>30.9</v>
          </cell>
          <cell r="H528">
            <v>54.39</v>
          </cell>
          <cell r="I528">
            <v>38.51</v>
          </cell>
          <cell r="J528">
            <v>39.17</v>
          </cell>
        </row>
        <row r="529">
          <cell r="A529">
            <v>40683</v>
          </cell>
          <cell r="B529">
            <v>40.67</v>
          </cell>
          <cell r="C529">
            <v>33.83</v>
          </cell>
          <cell r="D529">
            <v>37.69</v>
          </cell>
          <cell r="E529">
            <v>45.67</v>
          </cell>
          <cell r="F529">
            <v>45.08</v>
          </cell>
          <cell r="G529">
            <v>31.43</v>
          </cell>
          <cell r="H529">
            <v>55.27</v>
          </cell>
          <cell r="I529">
            <v>39.25</v>
          </cell>
          <cell r="J529">
            <v>39.520000000000003</v>
          </cell>
        </row>
        <row r="530">
          <cell r="A530">
            <v>40682</v>
          </cell>
          <cell r="B530">
            <v>40.83</v>
          </cell>
          <cell r="C530">
            <v>33.840000000000003</v>
          </cell>
          <cell r="D530">
            <v>37.71</v>
          </cell>
          <cell r="E530">
            <v>46.07</v>
          </cell>
          <cell r="F530">
            <v>45.14</v>
          </cell>
          <cell r="G530">
            <v>31.61</v>
          </cell>
          <cell r="H530">
            <v>55.8</v>
          </cell>
          <cell r="I530">
            <v>39.380000000000003</v>
          </cell>
          <cell r="J530">
            <v>39.479999999999997</v>
          </cell>
        </row>
        <row r="531">
          <cell r="A531">
            <v>40681</v>
          </cell>
          <cell r="B531">
            <v>40.770000000000003</v>
          </cell>
          <cell r="C531">
            <v>33.56</v>
          </cell>
          <cell r="D531">
            <v>37.53</v>
          </cell>
          <cell r="E531">
            <v>45.83</v>
          </cell>
          <cell r="F531">
            <v>45.17</v>
          </cell>
          <cell r="G531">
            <v>31.39</v>
          </cell>
          <cell r="H531">
            <v>55.7</v>
          </cell>
          <cell r="I531">
            <v>39.31</v>
          </cell>
          <cell r="J531">
            <v>39.28</v>
          </cell>
        </row>
        <row r="532">
          <cell r="A532">
            <v>40680</v>
          </cell>
          <cell r="B532">
            <v>40.56</v>
          </cell>
          <cell r="C532">
            <v>33.369999999999997</v>
          </cell>
          <cell r="D532">
            <v>37.39</v>
          </cell>
          <cell r="E532">
            <v>45.17</v>
          </cell>
          <cell r="F532">
            <v>45.16</v>
          </cell>
          <cell r="G532">
            <v>31.1</v>
          </cell>
          <cell r="H532">
            <v>55.43</v>
          </cell>
          <cell r="I532">
            <v>38.950000000000003</v>
          </cell>
          <cell r="J532">
            <v>38.909999999999997</v>
          </cell>
        </row>
        <row r="533">
          <cell r="A533">
            <v>40679</v>
          </cell>
          <cell r="B533">
            <v>40.799999999999997</v>
          </cell>
          <cell r="C533">
            <v>33.65</v>
          </cell>
          <cell r="D533">
            <v>37.71</v>
          </cell>
          <cell r="E533">
            <v>45.19</v>
          </cell>
          <cell r="F533">
            <v>45.09</v>
          </cell>
          <cell r="G533">
            <v>31.21</v>
          </cell>
          <cell r="H533">
            <v>55.66</v>
          </cell>
          <cell r="I533">
            <v>39.19</v>
          </cell>
          <cell r="J533">
            <v>38.82</v>
          </cell>
        </row>
        <row r="534">
          <cell r="A534">
            <v>40676</v>
          </cell>
          <cell r="B534">
            <v>41.04</v>
          </cell>
          <cell r="C534">
            <v>34.049999999999997</v>
          </cell>
          <cell r="D534">
            <v>38.19</v>
          </cell>
          <cell r="E534">
            <v>45.08</v>
          </cell>
          <cell r="F534">
            <v>45.87</v>
          </cell>
          <cell r="G534">
            <v>31.53</v>
          </cell>
          <cell r="H534">
            <v>55.93</v>
          </cell>
          <cell r="I534">
            <v>40.299999999999997</v>
          </cell>
          <cell r="J534">
            <v>38.979999999999997</v>
          </cell>
        </row>
        <row r="535">
          <cell r="A535">
            <v>40675</v>
          </cell>
          <cell r="B535">
            <v>41.63</v>
          </cell>
          <cell r="C535">
            <v>34.35</v>
          </cell>
          <cell r="D535">
            <v>38.56</v>
          </cell>
          <cell r="E535">
            <v>45.24</v>
          </cell>
          <cell r="F535">
            <v>45.82</v>
          </cell>
          <cell r="G535">
            <v>31.77</v>
          </cell>
          <cell r="H535">
            <v>56.98</v>
          </cell>
          <cell r="I535">
            <v>39.17</v>
          </cell>
          <cell r="J535">
            <v>39.29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s>
    <sheetDataSet>
      <sheetData sheetId="0">
        <row r="7">
          <cell r="C7" t="str">
            <v>ATMOS ENERGY CORPORATION</v>
          </cell>
        </row>
        <row r="9">
          <cell r="C9">
            <v>37894</v>
          </cell>
        </row>
        <row r="43">
          <cell r="D43">
            <v>0.218</v>
          </cell>
        </row>
        <row r="53">
          <cell r="D53">
            <v>7.0599999999999996E-2</v>
          </cell>
        </row>
        <row r="57">
          <cell r="D57">
            <v>8.7400000000000005E-2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xy Group"/>
      <sheetName val="MPG-2"/>
      <sheetName val="MPG-3"/>
      <sheetName val="IIEC 1.4"/>
      <sheetName val="MPG-4"/>
      <sheetName val="MPG-5"/>
      <sheetName val="MPG-6ab"/>
      <sheetName val="MPG-7"/>
      <sheetName val="MPG-8"/>
      <sheetName val="IIEC 1.9"/>
      <sheetName val="MPG-9"/>
      <sheetName val="MPG-10"/>
      <sheetName val="MPG-11"/>
      <sheetName val="MPG-12"/>
      <sheetName val="MPG-13a"/>
      <sheetName val="MPG-13b"/>
      <sheetName val="MPG-13c"/>
      <sheetName val="MPG-14"/>
      <sheetName val="MPG-15"/>
      <sheetName val="Interest Rate Forecast"/>
      <sheetName val="VL Data (WP)"/>
      <sheetName val="Growth Rate LU"/>
      <sheetName val="Stock Prices (WP)"/>
      <sheetName val="Graph (WP)"/>
      <sheetName val="MBR (WP)"/>
      <sheetName val="Credit Ratings (WP)"/>
      <sheetName val="Yields (WP)"/>
      <sheetName val="Yields Table (WP)"/>
      <sheetName val="Monthly Yields (WP)"/>
      <sheetName val="Annual Yields (WP)"/>
      <sheetName val="Bond Yields (WP)"/>
      <sheetName val="GDP (WP)"/>
      <sheetName val="Company List"/>
      <sheetName val="Sheet3"/>
      <sheetName val="Elec. Sales"/>
    </sheetNames>
    <sheetDataSet>
      <sheetData sheetId="0">
        <row r="7">
          <cell r="A7">
            <v>1</v>
          </cell>
          <cell r="B7" t="str">
            <v>AWR</v>
          </cell>
          <cell r="C7" t="str">
            <v>American States Water Co.</v>
          </cell>
        </row>
        <row r="8">
          <cell r="A8">
            <v>2</v>
          </cell>
          <cell r="B8" t="str">
            <v>AWK</v>
          </cell>
          <cell r="C8" t="str">
            <v>American Water Works Co., Inc.</v>
          </cell>
        </row>
        <row r="9">
          <cell r="A9">
            <v>3</v>
          </cell>
          <cell r="B9" t="str">
            <v>WTR</v>
          </cell>
          <cell r="C9" t="str">
            <v>Aqua America, Inc.</v>
          </cell>
        </row>
        <row r="10">
          <cell r="A10">
            <v>4</v>
          </cell>
          <cell r="B10" t="str">
            <v>ARTNA</v>
          </cell>
          <cell r="C10" t="str">
            <v>Artesian Resources Corp.</v>
          </cell>
        </row>
        <row r="11">
          <cell r="A11">
            <v>5</v>
          </cell>
          <cell r="B11" t="str">
            <v>CWT</v>
          </cell>
          <cell r="C11" t="str">
            <v>California Water Service Group</v>
          </cell>
        </row>
        <row r="12">
          <cell r="A12">
            <v>6</v>
          </cell>
          <cell r="B12" t="str">
            <v>CTWS</v>
          </cell>
          <cell r="C12" t="str">
            <v>Connecticut Water Service, Inc.</v>
          </cell>
        </row>
        <row r="13">
          <cell r="A13">
            <v>7</v>
          </cell>
          <cell r="B13" t="str">
            <v>MSEX</v>
          </cell>
          <cell r="C13" t="str">
            <v>Middlesex Water Service, Inc.</v>
          </cell>
        </row>
        <row r="14">
          <cell r="A14">
            <v>8</v>
          </cell>
          <cell r="B14" t="str">
            <v>SJW</v>
          </cell>
          <cell r="C14" t="str">
            <v>SJW Corporation</v>
          </cell>
        </row>
        <row r="15">
          <cell r="A15">
            <v>9</v>
          </cell>
          <cell r="B15" t="str">
            <v>YORW</v>
          </cell>
          <cell r="C15" t="str">
            <v>York Water Company</v>
          </cell>
        </row>
        <row r="16">
          <cell r="A16"/>
          <cell r="C16" t="e">
            <v>#N/A</v>
          </cell>
        </row>
        <row r="17">
          <cell r="A17"/>
          <cell r="C17" t="e">
            <v>#N/A</v>
          </cell>
        </row>
        <row r="18">
          <cell r="A18"/>
          <cell r="C18" t="e">
            <v>#N/A</v>
          </cell>
        </row>
        <row r="19">
          <cell r="A19"/>
          <cell r="C19" t="e">
            <v>#N/A</v>
          </cell>
        </row>
        <row r="20">
          <cell r="A20"/>
          <cell r="C20" t="e">
            <v>#N/A</v>
          </cell>
        </row>
        <row r="21">
          <cell r="A21"/>
          <cell r="C21" t="e">
            <v>#N/A</v>
          </cell>
        </row>
        <row r="22">
          <cell r="A22"/>
          <cell r="C22" t="e">
            <v>#N/A</v>
          </cell>
        </row>
        <row r="23">
          <cell r="A23"/>
          <cell r="C23" t="e">
            <v>#N/A</v>
          </cell>
        </row>
        <row r="24">
          <cell r="A24"/>
          <cell r="C24" t="e">
            <v>#N/A</v>
          </cell>
        </row>
        <row r="25">
          <cell r="A25"/>
          <cell r="C25" t="e">
            <v>#N/A</v>
          </cell>
        </row>
        <row r="26">
          <cell r="A26"/>
          <cell r="C26" t="e">
            <v>#N/A</v>
          </cell>
        </row>
        <row r="27">
          <cell r="A27"/>
          <cell r="C27" t="e">
            <v>#N/A</v>
          </cell>
        </row>
        <row r="28">
          <cell r="A28"/>
          <cell r="C28" t="e">
            <v>#N/A</v>
          </cell>
        </row>
        <row r="29">
          <cell r="A29"/>
          <cell r="C29" t="e">
            <v>#N/A</v>
          </cell>
        </row>
        <row r="30">
          <cell r="A30"/>
          <cell r="C30" t="e">
            <v>#N/A</v>
          </cell>
        </row>
        <row r="31">
          <cell r="A31"/>
          <cell r="C31" t="e">
            <v>#N/A</v>
          </cell>
        </row>
        <row r="32">
          <cell r="A32"/>
          <cell r="C32" t="e">
            <v>#N/A</v>
          </cell>
        </row>
        <row r="33">
          <cell r="A33"/>
          <cell r="C33" t="e">
            <v>#N/A</v>
          </cell>
        </row>
        <row r="34">
          <cell r="A34"/>
          <cell r="C34" t="e">
            <v>#N/A</v>
          </cell>
        </row>
        <row r="35">
          <cell r="A35"/>
          <cell r="C35" t="e">
            <v>#N/A</v>
          </cell>
        </row>
        <row r="36">
          <cell r="A36"/>
          <cell r="C36" t="e">
            <v>#N/A</v>
          </cell>
        </row>
        <row r="37">
          <cell r="A37"/>
          <cell r="C37" t="e">
            <v>#N/A</v>
          </cell>
        </row>
        <row r="38">
          <cell r="A38"/>
          <cell r="C38" t="e">
            <v>#N/A</v>
          </cell>
        </row>
        <row r="39">
          <cell r="A39"/>
          <cell r="C39" t="e">
            <v>#N/A</v>
          </cell>
        </row>
        <row r="40">
          <cell r="A40"/>
          <cell r="C40" t="e">
            <v>#N/A</v>
          </cell>
        </row>
        <row r="41">
          <cell r="A41"/>
          <cell r="C41" t="e">
            <v>#N/A</v>
          </cell>
        </row>
        <row r="42">
          <cell r="A42"/>
          <cell r="C42" t="e">
            <v>#N/A</v>
          </cell>
        </row>
        <row r="43">
          <cell r="A43"/>
          <cell r="C43" t="e">
            <v>#N/A</v>
          </cell>
        </row>
        <row r="44">
          <cell r="A44"/>
          <cell r="C44" t="e">
            <v>#N/A</v>
          </cell>
        </row>
        <row r="45">
          <cell r="A45"/>
          <cell r="C45" t="e">
            <v>#N/A</v>
          </cell>
        </row>
        <row r="46">
          <cell r="A46"/>
          <cell r="C46" t="e">
            <v>#N/A</v>
          </cell>
        </row>
        <row r="47">
          <cell r="A47"/>
          <cell r="C47" t="e">
            <v>#N/A</v>
          </cell>
        </row>
        <row r="48">
          <cell r="A48"/>
          <cell r="C48" t="e">
            <v>#N/A</v>
          </cell>
        </row>
        <row r="49">
          <cell r="A49"/>
          <cell r="C49" t="e">
            <v>#N/A</v>
          </cell>
        </row>
        <row r="50">
          <cell r="A50"/>
          <cell r="C50" t="e">
            <v>#N/A</v>
          </cell>
        </row>
        <row r="51">
          <cell r="A51"/>
          <cell r="C51" t="e">
            <v>#N/A</v>
          </cell>
        </row>
        <row r="52">
          <cell r="A52"/>
          <cell r="C52" t="e">
            <v>#N/A</v>
          </cell>
        </row>
        <row r="53">
          <cell r="A53"/>
          <cell r="C53" t="e">
            <v>#N/A</v>
          </cell>
        </row>
        <row r="54">
          <cell r="A54"/>
          <cell r="C54" t="e">
            <v>#N/A</v>
          </cell>
        </row>
        <row r="55">
          <cell r="A55"/>
          <cell r="C55" t="e">
            <v>#N/A</v>
          </cell>
        </row>
        <row r="56">
          <cell r="A56"/>
          <cell r="C56" t="e">
            <v>#N/A</v>
          </cell>
        </row>
      </sheetData>
      <sheetData sheetId="1">
        <row r="12">
          <cell r="A12">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ow r="12">
          <cell r="B12" t="str">
            <v>AWR</v>
          </cell>
          <cell r="C12" t="str">
            <v>American States Water Co.</v>
          </cell>
          <cell r="E12">
            <v>0.21299999999999999</v>
          </cell>
          <cell r="F12">
            <v>0.7</v>
          </cell>
          <cell r="G12">
            <v>0.60199999999999998</v>
          </cell>
          <cell r="I12">
            <v>38.72</v>
          </cell>
          <cell r="J12">
            <v>37.5</v>
          </cell>
          <cell r="L12">
            <v>12.72</v>
          </cell>
          <cell r="M12">
            <v>15.25</v>
          </cell>
          <cell r="O12">
            <v>0.76</v>
          </cell>
          <cell r="P12">
            <v>1.1499999999999999</v>
          </cell>
          <cell r="R12">
            <v>1.61</v>
          </cell>
          <cell r="S12">
            <v>2</v>
          </cell>
          <cell r="U12">
            <v>42020</v>
          </cell>
        </row>
        <row r="13">
          <cell r="B13" t="str">
            <v>AWK</v>
          </cell>
          <cell r="C13" t="str">
            <v>American Water Works Co., Inc.</v>
          </cell>
          <cell r="E13">
            <v>0.31</v>
          </cell>
          <cell r="F13">
            <v>0.7</v>
          </cell>
          <cell r="G13">
            <v>0.47599999999999998</v>
          </cell>
          <cell r="I13">
            <v>178.25</v>
          </cell>
          <cell r="J13">
            <v>190</v>
          </cell>
          <cell r="L13">
            <v>26.52</v>
          </cell>
          <cell r="M13">
            <v>34.549999999999997</v>
          </cell>
          <cell r="O13">
            <v>0.84</v>
          </cell>
          <cell r="P13">
            <v>1.55</v>
          </cell>
          <cell r="R13">
            <v>2.06</v>
          </cell>
          <cell r="S13">
            <v>3.05</v>
          </cell>
          <cell r="U13">
            <v>42020</v>
          </cell>
        </row>
        <row r="14">
          <cell r="B14" t="str">
            <v>WTR</v>
          </cell>
          <cell r="C14" t="str">
            <v>Aqua America, Inc.</v>
          </cell>
          <cell r="E14">
            <v>0.16500000000000001</v>
          </cell>
          <cell r="F14">
            <v>0.7</v>
          </cell>
          <cell r="G14">
            <v>0.51100000000000001</v>
          </cell>
          <cell r="I14">
            <v>177.93</v>
          </cell>
          <cell r="J14">
            <v>170</v>
          </cell>
          <cell r="L14">
            <v>8.6300000000000008</v>
          </cell>
          <cell r="M14">
            <v>11</v>
          </cell>
          <cell r="O14">
            <v>0.57999999999999996</v>
          </cell>
          <cell r="P14">
            <v>0.9</v>
          </cell>
          <cell r="R14">
            <v>1.1599999999999999</v>
          </cell>
          <cell r="S14">
            <v>1.55</v>
          </cell>
          <cell r="U14">
            <v>42020</v>
          </cell>
        </row>
        <row r="15">
          <cell r="B15" t="str">
            <v>ARTNA</v>
          </cell>
          <cell r="C15" t="str">
            <v>Artesian Resources Corp.</v>
          </cell>
          <cell r="E15">
            <v>0.215</v>
          </cell>
          <cell r="F15">
            <v>0.55000000000000004</v>
          </cell>
          <cell r="G15" t="str">
            <v>NA</v>
          </cell>
          <cell r="I15">
            <v>8.83</v>
          </cell>
          <cell r="J15" t="str">
            <v>NA</v>
          </cell>
          <cell r="L15">
            <v>13.8</v>
          </cell>
          <cell r="M15" t="str">
            <v>NA</v>
          </cell>
          <cell r="O15">
            <v>0.82</v>
          </cell>
          <cell r="P15" t="str">
            <v>NA</v>
          </cell>
          <cell r="R15">
            <v>0.94</v>
          </cell>
          <cell r="S15" t="str">
            <v>NA</v>
          </cell>
          <cell r="U15">
            <v>42020</v>
          </cell>
        </row>
        <row r="16">
          <cell r="B16" t="str">
            <v>CWT</v>
          </cell>
          <cell r="C16" t="str">
            <v>California Water Service Group</v>
          </cell>
          <cell r="E16">
            <v>0.16250000000000001</v>
          </cell>
          <cell r="F16">
            <v>0.7</v>
          </cell>
          <cell r="G16">
            <v>0.58399999999999996</v>
          </cell>
          <cell r="I16">
            <v>47.74</v>
          </cell>
          <cell r="J16">
            <v>50</v>
          </cell>
          <cell r="L16">
            <v>12.54</v>
          </cell>
          <cell r="M16">
            <v>16</v>
          </cell>
          <cell r="O16">
            <v>0.64</v>
          </cell>
          <cell r="P16">
            <v>0.95</v>
          </cell>
          <cell r="R16">
            <v>1.02</v>
          </cell>
          <cell r="S16">
            <v>1.5</v>
          </cell>
          <cell r="U16">
            <v>42020</v>
          </cell>
        </row>
        <row r="17">
          <cell r="B17" t="str">
            <v>CTWS</v>
          </cell>
          <cell r="C17" t="str">
            <v>Connecticut Water Service, Inc.</v>
          </cell>
          <cell r="E17">
            <v>0.25750000000000001</v>
          </cell>
          <cell r="F17">
            <v>0.65</v>
          </cell>
          <cell r="G17">
            <v>0.52900000000000003</v>
          </cell>
          <cell r="I17">
            <v>11.04</v>
          </cell>
          <cell r="J17">
            <v>12</v>
          </cell>
          <cell r="L17">
            <v>17.920000000000002</v>
          </cell>
          <cell r="M17">
            <v>21.65</v>
          </cell>
          <cell r="O17">
            <v>0.98</v>
          </cell>
          <cell r="P17">
            <v>1.2</v>
          </cell>
          <cell r="R17">
            <v>1.66</v>
          </cell>
          <cell r="S17">
            <v>2.15</v>
          </cell>
          <cell r="U17">
            <v>42020</v>
          </cell>
        </row>
        <row r="18">
          <cell r="B18" t="str">
            <v>MSEX</v>
          </cell>
          <cell r="C18" t="str">
            <v>Middlesex Water Service, Inc.</v>
          </cell>
          <cell r="E18">
            <v>0.1925</v>
          </cell>
          <cell r="F18">
            <v>0.7</v>
          </cell>
          <cell r="G18">
            <v>0.58699999999999997</v>
          </cell>
          <cell r="I18">
            <v>15.96</v>
          </cell>
          <cell r="J18">
            <v>17</v>
          </cell>
          <cell r="L18">
            <v>11.82</v>
          </cell>
          <cell r="M18">
            <v>13.25</v>
          </cell>
          <cell r="O18">
            <v>0.75</v>
          </cell>
          <cell r="P18">
            <v>0.83</v>
          </cell>
          <cell r="R18">
            <v>1.03</v>
          </cell>
          <cell r="S18">
            <v>1.25</v>
          </cell>
          <cell r="U18">
            <v>42020</v>
          </cell>
        </row>
        <row r="19">
          <cell r="B19" t="str">
            <v>SJW</v>
          </cell>
          <cell r="C19" t="str">
            <v>SJW Corporation</v>
          </cell>
          <cell r="E19">
            <v>0.1875</v>
          </cell>
          <cell r="F19">
            <v>0.85</v>
          </cell>
          <cell r="G19">
            <v>0.48899999999999999</v>
          </cell>
          <cell r="I19">
            <v>20.170000000000002</v>
          </cell>
          <cell r="J19">
            <v>23</v>
          </cell>
          <cell r="L19">
            <v>15.92</v>
          </cell>
          <cell r="M19">
            <v>20.7</v>
          </cell>
          <cell r="O19">
            <v>0.73</v>
          </cell>
          <cell r="P19">
            <v>1</v>
          </cell>
          <cell r="R19">
            <v>1.1200000000000001</v>
          </cell>
          <cell r="S19">
            <v>1.7</v>
          </cell>
          <cell r="U19">
            <v>42020</v>
          </cell>
        </row>
        <row r="20">
          <cell r="B20" t="str">
            <v>YORW</v>
          </cell>
          <cell r="C20" t="str">
            <v>York Water Company</v>
          </cell>
          <cell r="E20">
            <v>0.14949999999999999</v>
          </cell>
          <cell r="F20">
            <v>0.65</v>
          </cell>
          <cell r="G20">
            <v>0.54900000000000004</v>
          </cell>
          <cell r="I20">
            <v>12.98</v>
          </cell>
          <cell r="J20">
            <v>11.8</v>
          </cell>
          <cell r="L20">
            <v>7.98</v>
          </cell>
          <cell r="M20">
            <v>8.9</v>
          </cell>
          <cell r="O20">
            <v>0.55000000000000004</v>
          </cell>
          <cell r="P20">
            <v>0.75</v>
          </cell>
          <cell r="R20">
            <v>0.75</v>
          </cell>
          <cell r="S20">
            <v>1.1000000000000001</v>
          </cell>
          <cell r="U20">
            <v>42020</v>
          </cell>
        </row>
        <row r="21">
          <cell r="C21"/>
        </row>
        <row r="22">
          <cell r="C22"/>
        </row>
        <row r="23">
          <cell r="C23"/>
        </row>
        <row r="24">
          <cell r="C24"/>
        </row>
        <row r="25">
          <cell r="C25"/>
        </row>
        <row r="26">
          <cell r="C26"/>
        </row>
        <row r="27">
          <cell r="C27"/>
        </row>
        <row r="28">
          <cell r="C28"/>
        </row>
        <row r="29">
          <cell r="C29"/>
        </row>
        <row r="30">
          <cell r="C30"/>
        </row>
        <row r="31">
          <cell r="C31"/>
        </row>
        <row r="32">
          <cell r="C32"/>
        </row>
        <row r="33">
          <cell r="C33"/>
        </row>
        <row r="34">
          <cell r="C34"/>
        </row>
        <row r="35">
          <cell r="C35"/>
        </row>
        <row r="36">
          <cell r="C36"/>
        </row>
        <row r="37">
          <cell r="C37"/>
        </row>
      </sheetData>
      <sheetData sheetId="21">
        <row r="6">
          <cell r="B6" t="str">
            <v>AWR</v>
          </cell>
          <cell r="C6" t="str">
            <v>American States Water Co.</v>
          </cell>
          <cell r="F6">
            <v>0.02</v>
          </cell>
          <cell r="G6" t="str">
            <v>N/A</v>
          </cell>
          <cell r="I6">
            <v>0.02</v>
          </cell>
          <cell r="J6">
            <v>1</v>
          </cell>
          <cell r="L6">
            <v>0.02</v>
          </cell>
        </row>
        <row r="7">
          <cell r="B7" t="str">
            <v>AWK</v>
          </cell>
          <cell r="C7" t="str">
            <v>American Water Works Co., Inc.</v>
          </cell>
          <cell r="F7">
            <v>7.9000000000000001E-2</v>
          </cell>
          <cell r="G7" t="str">
            <v>N/A</v>
          </cell>
          <cell r="I7">
            <v>8.2000000000000003E-2</v>
          </cell>
          <cell r="J7">
            <v>3</v>
          </cell>
          <cell r="L7">
            <v>8.2000000000000003E-2</v>
          </cell>
        </row>
        <row r="8">
          <cell r="B8" t="str">
            <v>WTR</v>
          </cell>
          <cell r="C8" t="str">
            <v>Aqua America, Inc.</v>
          </cell>
          <cell r="F8">
            <v>0.05</v>
          </cell>
          <cell r="G8" t="str">
            <v>N/A</v>
          </cell>
          <cell r="I8">
            <v>0.04</v>
          </cell>
          <cell r="J8">
            <v>2</v>
          </cell>
          <cell r="L8">
            <v>0.04</v>
          </cell>
        </row>
        <row r="9">
          <cell r="B9" t="str">
            <v>ARTNA</v>
          </cell>
          <cell r="C9" t="str">
            <v>Artesian Resources Corp.</v>
          </cell>
          <cell r="F9" t="str">
            <v>N/A</v>
          </cell>
          <cell r="G9" t="str">
            <v>N/A</v>
          </cell>
          <cell r="I9" t="str">
            <v>N/A</v>
          </cell>
          <cell r="J9" t="str">
            <v>N/A</v>
          </cell>
          <cell r="L9">
            <v>0.04</v>
          </cell>
        </row>
        <row r="10">
          <cell r="B10" t="str">
            <v>CWT</v>
          </cell>
          <cell r="C10" t="str">
            <v>California Water Service Group</v>
          </cell>
          <cell r="F10">
            <v>0.06</v>
          </cell>
          <cell r="G10" t="str">
            <v>N/A</v>
          </cell>
          <cell r="I10">
            <v>0.06</v>
          </cell>
          <cell r="J10">
            <v>1</v>
          </cell>
          <cell r="L10">
            <v>0.06</v>
          </cell>
        </row>
        <row r="11">
          <cell r="B11" t="str">
            <v>CTWS</v>
          </cell>
          <cell r="C11" t="str">
            <v>Connecticut Water Service, Inc.</v>
          </cell>
          <cell r="F11">
            <v>0.05</v>
          </cell>
          <cell r="G11" t="str">
            <v>N/A</v>
          </cell>
          <cell r="I11">
            <v>0.05</v>
          </cell>
          <cell r="J11">
            <v>1</v>
          </cell>
          <cell r="L11">
            <v>0.05</v>
          </cell>
        </row>
        <row r="12">
          <cell r="B12" t="str">
            <v>MSEX</v>
          </cell>
          <cell r="C12" t="str">
            <v>Middlesex Water Service, Inc.</v>
          </cell>
          <cell r="F12" t="str">
            <v>N/A</v>
          </cell>
          <cell r="G12" t="str">
            <v>N/A</v>
          </cell>
          <cell r="I12" t="str">
            <v>N/A</v>
          </cell>
          <cell r="J12" t="str">
            <v>N/A</v>
          </cell>
          <cell r="L12">
            <v>2.7E-2</v>
          </cell>
        </row>
        <row r="13">
          <cell r="B13" t="str">
            <v>SJW</v>
          </cell>
          <cell r="C13" t="str">
            <v>SJW Corporation</v>
          </cell>
          <cell r="F13" t="str">
            <v>N/A</v>
          </cell>
          <cell r="G13" t="str">
            <v>N/A</v>
          </cell>
          <cell r="I13" t="str">
            <v>N/A</v>
          </cell>
          <cell r="J13" t="str">
            <v>N/A</v>
          </cell>
          <cell r="L13">
            <v>0.14000000000000001</v>
          </cell>
        </row>
        <row r="14">
          <cell r="B14" t="str">
            <v>YORW</v>
          </cell>
          <cell r="C14" t="str">
            <v>York Water Company</v>
          </cell>
          <cell r="F14" t="str">
            <v>N/A</v>
          </cell>
          <cell r="G14" t="str">
            <v>N/A</v>
          </cell>
          <cell r="I14" t="str">
            <v>N/A</v>
          </cell>
          <cell r="J14" t="str">
            <v>N/A</v>
          </cell>
          <cell r="L14">
            <v>4.9000000000000002E-2</v>
          </cell>
        </row>
        <row r="15">
          <cell r="C15"/>
        </row>
        <row r="16">
          <cell r="C16"/>
        </row>
        <row r="17">
          <cell r="C17"/>
        </row>
        <row r="18">
          <cell r="C18"/>
        </row>
        <row r="19">
          <cell r="C19"/>
        </row>
        <row r="20">
          <cell r="C20"/>
        </row>
        <row r="21">
          <cell r="C21"/>
        </row>
        <row r="22">
          <cell r="C22"/>
        </row>
        <row r="23">
          <cell r="C23"/>
        </row>
        <row r="24">
          <cell r="C24"/>
        </row>
        <row r="25">
          <cell r="C25"/>
        </row>
        <row r="26">
          <cell r="C26"/>
        </row>
        <row r="27">
          <cell r="C27"/>
        </row>
        <row r="28">
          <cell r="C28"/>
        </row>
        <row r="29">
          <cell r="C29"/>
        </row>
        <row r="30">
          <cell r="C30"/>
        </row>
        <row r="31">
          <cell r="C31"/>
        </row>
      </sheetData>
      <sheetData sheetId="22">
        <row r="2">
          <cell r="F2">
            <v>1</v>
          </cell>
          <cell r="G2" t="str">
            <v>AWR</v>
          </cell>
          <cell r="H2" t="str">
            <v>American States Water Co.</v>
          </cell>
          <cell r="J2">
            <v>35.216153846153851</v>
          </cell>
          <cell r="K2">
            <v>2</v>
          </cell>
          <cell r="L2" t="str">
            <v>AWK</v>
          </cell>
          <cell r="M2" t="str">
            <v>American Water Works Co., Inc.</v>
          </cell>
          <cell r="O2">
            <v>52.4273076923077</v>
          </cell>
          <cell r="P2">
            <v>3</v>
          </cell>
          <cell r="Q2" t="str">
            <v>WTR</v>
          </cell>
          <cell r="R2" t="str">
            <v>Aqua America, Inc.</v>
          </cell>
          <cell r="T2">
            <v>26.055</v>
          </cell>
          <cell r="U2">
            <v>4</v>
          </cell>
          <cell r="V2" t="str">
            <v>ARTNA</v>
          </cell>
          <cell r="W2" t="str">
            <v>Artesian Resources Corp.</v>
          </cell>
          <cell r="Y2">
            <v>21.972307692307691</v>
          </cell>
          <cell r="Z2">
            <v>5</v>
          </cell>
          <cell r="AA2" t="str">
            <v>CWT</v>
          </cell>
          <cell r="AB2" t="str">
            <v>California Water Service Group</v>
          </cell>
          <cell r="AD2">
            <v>24.717307692307696</v>
          </cell>
          <cell r="AE2">
            <v>6</v>
          </cell>
          <cell r="AF2" t="str">
            <v>CTWS</v>
          </cell>
          <cell r="AG2" t="str">
            <v>Connecticut Water Service, Inc.</v>
          </cell>
          <cell r="AI2">
            <v>35.487692307692313</v>
          </cell>
          <cell r="AJ2">
            <v>7</v>
          </cell>
          <cell r="AK2" t="str">
            <v>MSEX</v>
          </cell>
          <cell r="AL2" t="str">
            <v>Middlesex Water Service, Inc.</v>
          </cell>
          <cell r="AN2">
            <v>90.296153846153842</v>
          </cell>
          <cell r="AO2">
            <v>8</v>
          </cell>
          <cell r="AP2" t="str">
            <v>SJW</v>
          </cell>
          <cell r="AQ2" t="str">
            <v>SJW Corporation</v>
          </cell>
          <cell r="AS2">
            <v>30.691538461538457</v>
          </cell>
          <cell r="AT2">
            <v>9</v>
          </cell>
          <cell r="AU2" t="str">
            <v>YORW</v>
          </cell>
          <cell r="AV2" t="str">
            <v>York Water Company</v>
          </cell>
          <cell r="AX2">
            <v>21.695384615384622</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List"/>
      <sheetName val="CAP-64.1"/>
      <sheetName val="CAP-64.2"/>
      <sheetName val="CAP-64.3"/>
      <sheetName val="CAP-64.4"/>
      <sheetName val="CAP-64.5"/>
      <sheetName val="CAP-64.6"/>
      <sheetName val="CAP-64.7,8,9"/>
      <sheetName val="CAP-64.10"/>
      <sheetName val="CAP-65.1"/>
      <sheetName val="CAP-65.2"/>
      <sheetName val="CAP-65.3"/>
      <sheetName val="CAP-66.1"/>
      <sheetName val="CAP-66.2"/>
      <sheetName val="CAP-66.3"/>
      <sheetName val="CAP-66.4"/>
      <sheetName val="CAP-66.5,6"/>
      <sheetName val="CAP-66.7"/>
      <sheetName val="CAP-66.8"/>
      <sheetName val="CAP-66.9"/>
      <sheetName val="11 (4,5)"/>
      <sheetName val="1322.4-5A"/>
      <sheetName val="SDGE-EL15-11"/>
      <sheetName val="2015BBB"/>
      <sheetName val="1316.1A"/>
      <sheetName val="1316.1B"/>
      <sheetName val="1316.2A"/>
      <sheetName val="1316.2B"/>
      <sheetName val="1316.3A"/>
      <sheetName val="1316.3B"/>
      <sheetName val="1316.3C"/>
      <sheetName val="1316.3D"/>
      <sheetName val="1316.4-5 Adjusted"/>
      <sheetName val="1316.6 Adjusted"/>
      <sheetName val="WP - 1316.4-5 Original"/>
      <sheetName val="WP - 1305.1 Original"/>
      <sheetName val="WP - 1305.2"/>
      <sheetName val="WP - 1305.3"/>
      <sheetName val="WP - 1305.4-5 Original"/>
      <sheetName val="WP - 1316.6"/>
      <sheetName val="WP - 1320.3"/>
      <sheetName val="1320.4"/>
      <sheetName val="1322.2"/>
      <sheetName val="1322.6"/>
      <sheetName val="DVP-24"/>
      <sheetName val="Startrans"/>
      <sheetName val="SettlementAdj"/>
      <sheetName val="RecentYields-33"/>
      <sheetName val="RecentYields-86"/>
      <sheetName val="MonthlyYields"/>
      <sheetName val="2014TreasuryYields"/>
      <sheetName val="AEOUtilityYieldForecasts"/>
      <sheetName val="AA-BBB Sprea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7">
          <cell r="G7">
            <v>6.08E-2</v>
          </cell>
        </row>
        <row r="8">
          <cell r="G8">
            <v>6.1900000000000004E-2</v>
          </cell>
        </row>
        <row r="9">
          <cell r="G9">
            <v>6.1399999999999996E-2</v>
          </cell>
        </row>
        <row r="10">
          <cell r="G10">
            <v>6.0599999999999994E-2</v>
          </cell>
        </row>
        <row r="11">
          <cell r="G11">
            <v>6.1100000000000002E-2</v>
          </cell>
        </row>
        <row r="12">
          <cell r="G12">
            <v>6.2600000000000003E-2</v>
          </cell>
        </row>
        <row r="13">
          <cell r="G13">
            <v>6.54E-2</v>
          </cell>
        </row>
        <row r="14">
          <cell r="G14">
            <v>6.59E-2</v>
          </cell>
        </row>
        <row r="15">
          <cell r="G15">
            <v>6.6100000000000006E-2</v>
          </cell>
        </row>
        <row r="16">
          <cell r="G16">
            <v>6.6100000000000006E-2</v>
          </cell>
        </row>
        <row r="17">
          <cell r="G17">
            <v>6.4299999999999996E-2</v>
          </cell>
        </row>
        <row r="18">
          <cell r="G18">
            <v>6.2600000000000003E-2</v>
          </cell>
        </row>
        <row r="19">
          <cell r="G19">
            <v>6.2400000000000004E-2</v>
          </cell>
        </row>
        <row r="20">
          <cell r="G20">
            <v>6.0400000000000002E-2</v>
          </cell>
        </row>
        <row r="21">
          <cell r="G21">
            <v>6.0499999999999998E-2</v>
          </cell>
        </row>
        <row r="22">
          <cell r="G22">
            <v>6.1600000000000002E-2</v>
          </cell>
        </row>
        <row r="23">
          <cell r="G23">
            <v>6.0999999999999999E-2</v>
          </cell>
        </row>
        <row r="24">
          <cell r="G24">
            <v>6.0999999999999999E-2</v>
          </cell>
        </row>
        <row r="25">
          <cell r="G25">
            <v>6.2400000000000004E-2</v>
          </cell>
        </row>
        <row r="26">
          <cell r="G26">
            <v>6.2300000000000001E-2</v>
          </cell>
        </row>
        <row r="27">
          <cell r="G27">
            <v>6.54E-2</v>
          </cell>
        </row>
        <row r="28">
          <cell r="G28">
            <v>6.4899999999999999E-2</v>
          </cell>
        </row>
        <row r="29">
          <cell r="G29">
            <v>6.5099999999999991E-2</v>
          </cell>
        </row>
        <row r="30">
          <cell r="G30">
            <v>6.4500000000000002E-2</v>
          </cell>
        </row>
        <row r="31">
          <cell r="G31">
            <v>6.3600000000000004E-2</v>
          </cell>
        </row>
        <row r="32">
          <cell r="G32">
            <v>6.2699999999999992E-2</v>
          </cell>
        </row>
        <row r="33">
          <cell r="G33">
            <v>6.5099999999999991E-2</v>
          </cell>
        </row>
        <row r="34">
          <cell r="G34">
            <v>6.3500000000000001E-2</v>
          </cell>
        </row>
        <row r="35">
          <cell r="G35">
            <v>6.6000000000000003E-2</v>
          </cell>
        </row>
        <row r="36">
          <cell r="G36">
            <v>6.6799999999999998E-2</v>
          </cell>
        </row>
        <row r="37">
          <cell r="G37">
            <v>6.8099999999999994E-2</v>
          </cell>
        </row>
        <row r="38">
          <cell r="G38">
            <v>6.7900000000000002E-2</v>
          </cell>
        </row>
        <row r="39">
          <cell r="G39">
            <v>6.93E-2</v>
          </cell>
        </row>
        <row r="40">
          <cell r="G40">
            <v>6.9699999999999998E-2</v>
          </cell>
        </row>
        <row r="41">
          <cell r="G41">
            <v>6.9800000000000001E-2</v>
          </cell>
        </row>
        <row r="42">
          <cell r="G42">
            <v>7.1500000000000008E-2</v>
          </cell>
        </row>
        <row r="43">
          <cell r="G43">
            <v>8.5800000000000001E-2</v>
          </cell>
        </row>
        <row r="44">
          <cell r="G44">
            <v>8.9800000000000005E-2</v>
          </cell>
        </row>
        <row r="45">
          <cell r="G45">
            <v>8.1300000000000011E-2</v>
          </cell>
        </row>
        <row r="46">
          <cell r="G46">
            <v>7.9000000000000001E-2</v>
          </cell>
        </row>
        <row r="47">
          <cell r="G47">
            <v>7.7399999999999997E-2</v>
          </cell>
        </row>
        <row r="48">
          <cell r="G48">
            <v>0.08</v>
          </cell>
        </row>
        <row r="49">
          <cell r="G49">
            <v>8.0299999999999996E-2</v>
          </cell>
        </row>
        <row r="50">
          <cell r="G50">
            <v>7.7600000000000002E-2</v>
          </cell>
        </row>
        <row r="51">
          <cell r="G51">
            <v>7.2999999999999995E-2</v>
          </cell>
        </row>
        <row r="52">
          <cell r="G52">
            <v>6.8900000000000003E-2</v>
          </cell>
        </row>
        <row r="53">
          <cell r="G53">
            <v>6.3600000000000004E-2</v>
          </cell>
        </row>
        <row r="54">
          <cell r="G54">
            <v>6.1200000000000004E-2</v>
          </cell>
        </row>
        <row r="55">
          <cell r="G55">
            <v>6.1399999999999996E-2</v>
          </cell>
        </row>
        <row r="56">
          <cell r="G56">
            <v>6.1799999999999994E-2</v>
          </cell>
        </row>
        <row r="57">
          <cell r="G57">
            <v>6.2600000000000003E-2</v>
          </cell>
        </row>
        <row r="58">
          <cell r="G58">
            <v>6.1600000000000002E-2</v>
          </cell>
        </row>
        <row r="59">
          <cell r="G59">
            <v>6.25E-2</v>
          </cell>
        </row>
        <row r="60">
          <cell r="G60">
            <v>6.2199999999999998E-2</v>
          </cell>
        </row>
        <row r="61">
          <cell r="G61">
            <v>6.1900000000000004E-2</v>
          </cell>
        </row>
        <row r="62">
          <cell r="G62">
            <v>6.1500000000000006E-2</v>
          </cell>
        </row>
        <row r="63">
          <cell r="G63">
            <v>6.1799999999999994E-2</v>
          </cell>
        </row>
        <row r="64">
          <cell r="G64">
            <v>5.9800000000000006E-2</v>
          </cell>
        </row>
        <row r="65">
          <cell r="G65">
            <v>5.5500000000000001E-2</v>
          </cell>
        </row>
        <row r="66">
          <cell r="G66">
            <v>5.5300000000000002E-2</v>
          </cell>
        </row>
        <row r="67">
          <cell r="G67">
            <v>5.62E-2</v>
          </cell>
        </row>
        <row r="68">
          <cell r="G68">
            <v>5.8499999999999996E-2</v>
          </cell>
        </row>
        <row r="69">
          <cell r="G69">
            <v>6.0400000000000002E-2</v>
          </cell>
        </row>
        <row r="70">
          <cell r="G70">
            <v>6.0599999999999994E-2</v>
          </cell>
        </row>
        <row r="71">
          <cell r="G71">
            <v>6.0999999999999999E-2</v>
          </cell>
        </row>
        <row r="72">
          <cell r="G72">
            <v>5.9699999999999996E-2</v>
          </cell>
        </row>
        <row r="73">
          <cell r="G73">
            <v>5.9800000000000006E-2</v>
          </cell>
        </row>
        <row r="74">
          <cell r="G74">
            <v>5.74E-2</v>
          </cell>
        </row>
        <row r="75">
          <cell r="G75">
            <v>5.67E-2</v>
          </cell>
        </row>
        <row r="76">
          <cell r="G76">
            <v>5.7000000000000002E-2</v>
          </cell>
        </row>
        <row r="77">
          <cell r="G77">
            <v>5.2199999999999996E-2</v>
          </cell>
        </row>
        <row r="78">
          <cell r="G78">
            <v>5.1100000000000007E-2</v>
          </cell>
        </row>
        <row r="79">
          <cell r="G79">
            <v>5.2400000000000002E-2</v>
          </cell>
        </row>
        <row r="80">
          <cell r="G80">
            <v>4.9299999999999997E-2</v>
          </cell>
        </row>
        <row r="81">
          <cell r="G81">
            <v>5.0700000000000002E-2</v>
          </cell>
        </row>
        <row r="82">
          <cell r="G82">
            <v>5.0599999999999999E-2</v>
          </cell>
        </row>
        <row r="83">
          <cell r="G83">
            <v>5.0200000000000002E-2</v>
          </cell>
        </row>
        <row r="84">
          <cell r="G84">
            <v>5.1299999999999998E-2</v>
          </cell>
        </row>
        <row r="85">
          <cell r="G85">
            <v>5.11E-2</v>
          </cell>
        </row>
        <row r="86">
          <cell r="G86">
            <v>4.9700000000000001E-2</v>
          </cell>
        </row>
        <row r="87">
          <cell r="G87">
            <v>4.9099999999999998E-2</v>
          </cell>
        </row>
        <row r="88">
          <cell r="G88">
            <v>4.8500000000000001E-2</v>
          </cell>
        </row>
        <row r="89">
          <cell r="G89">
            <v>4.8800000000000003E-2</v>
          </cell>
        </row>
        <row r="90">
          <cell r="G90">
            <v>4.8099999999999997E-2</v>
          </cell>
        </row>
        <row r="91">
          <cell r="G91">
            <v>4.5400000000000003E-2</v>
          </cell>
        </row>
        <row r="92">
          <cell r="G92">
            <v>4.4200000000000003E-2</v>
          </cell>
        </row>
        <row r="93">
          <cell r="G93">
            <v>4.5600000000000002E-2</v>
          </cell>
        </row>
        <row r="94">
          <cell r="G94">
            <v>4.6600000000000003E-2</v>
          </cell>
        </row>
        <row r="95">
          <cell r="G95">
            <v>4.7399999999999998E-2</v>
          </cell>
        </row>
        <row r="96">
          <cell r="G96">
            <v>4.7199999999999999E-2</v>
          </cell>
        </row>
        <row r="97">
          <cell r="G97">
            <v>4.4900000000000002E-2</v>
          </cell>
        </row>
        <row r="98">
          <cell r="G98">
            <v>4.65E-2</v>
          </cell>
        </row>
        <row r="99">
          <cell r="G99">
            <v>5.0799999999999998E-2</v>
          </cell>
        </row>
        <row r="100">
          <cell r="G100">
            <v>5.21E-2</v>
          </cell>
        </row>
        <row r="101">
          <cell r="G101">
            <v>5.28E-2</v>
          </cell>
        </row>
        <row r="102">
          <cell r="G102">
            <v>5.3100000000000001E-2</v>
          </cell>
        </row>
        <row r="103">
          <cell r="G103">
            <v>5.1700000000000003E-2</v>
          </cell>
        </row>
        <row r="104">
          <cell r="G104">
            <v>5.2400000000000002E-2</v>
          </cell>
        </row>
        <row r="105">
          <cell r="G105">
            <v>5.2499999999999998E-2</v>
          </cell>
        </row>
        <row r="106">
          <cell r="G106">
            <v>5.0900000000000001E-2</v>
          </cell>
        </row>
        <row r="107">
          <cell r="G107">
            <v>5.0099999999999999E-2</v>
          </cell>
        </row>
        <row r="108">
          <cell r="G108">
            <v>0.05</v>
          </cell>
        </row>
        <row r="109">
          <cell r="G109">
            <v>4.8500000000000001E-2</v>
          </cell>
        </row>
        <row r="110">
          <cell r="G110">
            <v>4.6899999999999997E-2</v>
          </cell>
        </row>
        <row r="111">
          <cell r="G111">
            <v>4.7300000000000002E-2</v>
          </cell>
        </row>
        <row r="112">
          <cell r="G112">
            <v>4.6600000000000003E-2</v>
          </cell>
        </row>
        <row r="113">
          <cell r="G113">
            <v>4.65E-2</v>
          </cell>
        </row>
        <row r="114">
          <cell r="G114">
            <v>4.7899999999999998E-2</v>
          </cell>
        </row>
      </sheetData>
      <sheetData sheetId="50"/>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s>
    <sheetDataSet>
      <sheetData sheetId="0"/>
      <sheetData sheetId="1">
        <row r="18">
          <cell r="B18" t="str">
            <v>Traditional Capital Asset Pricing Model (4)</v>
          </cell>
        </row>
        <row r="19">
          <cell r="B19" t="str">
            <v>Traditional Capital Asset Pricing Model (4)</v>
          </cell>
        </row>
        <row r="20">
          <cell r="A20" t="str">
            <v>MIEC Witness Janous' Water Proxy Group</v>
          </cell>
        </row>
        <row r="21">
          <cell r="A21" t="str">
            <v>MIEC Witness Janous' Water Proxy Group</v>
          </cell>
          <cell r="C21">
            <v>1.05</v>
          </cell>
          <cell r="E21">
            <v>7.46</v>
          </cell>
          <cell r="F21" t="str">
            <v>%</v>
          </cell>
          <cell r="I21">
            <v>12.56</v>
          </cell>
          <cell r="J21" t="str">
            <v>%</v>
          </cell>
        </row>
        <row r="22">
          <cell r="A22" t="str">
            <v>American States Water Co.</v>
          </cell>
          <cell r="C22">
            <v>1.05</v>
          </cell>
          <cell r="E22">
            <v>7.46</v>
          </cell>
          <cell r="F22" t="str">
            <v>%</v>
          </cell>
          <cell r="I22">
            <v>12.24</v>
          </cell>
          <cell r="J22" t="str">
            <v>%</v>
          </cell>
        </row>
        <row r="23">
          <cell r="A23" t="str">
            <v>Aqua America, Inc.</v>
          </cell>
          <cell r="C23">
            <v>0.95</v>
          </cell>
          <cell r="E23">
            <v>6.75</v>
          </cell>
          <cell r="I23">
            <v>11.53</v>
          </cell>
        </row>
        <row r="24">
          <cell r="A24" t="str">
            <v>California Water Service Group</v>
          </cell>
          <cell r="C24">
            <v>1.1499999999999999</v>
          </cell>
          <cell r="E24">
            <v>8.17</v>
          </cell>
          <cell r="I24">
            <v>12.95</v>
          </cell>
        </row>
        <row r="25">
          <cell r="A25" t="str">
            <v xml:space="preserve">Connecticut Water Serive Corp. </v>
          </cell>
          <cell r="C25">
            <v>0.85</v>
          </cell>
          <cell r="E25">
            <v>6.04</v>
          </cell>
          <cell r="I25">
            <v>10.82</v>
          </cell>
        </row>
        <row r="26">
          <cell r="A26" t="str">
            <v>Middlesex Water Company</v>
          </cell>
          <cell r="C26">
            <v>0.9</v>
          </cell>
          <cell r="E26">
            <v>6.39</v>
          </cell>
          <cell r="I26">
            <v>11.17</v>
          </cell>
        </row>
        <row r="27">
          <cell r="A27" t="str">
            <v xml:space="preserve">SJW Corp.           </v>
          </cell>
          <cell r="C27">
            <v>1.1499999999999999</v>
          </cell>
          <cell r="E27">
            <v>8.17</v>
          </cell>
          <cell r="I27">
            <v>12.95</v>
          </cell>
        </row>
        <row r="28">
          <cell r="A28" t="str">
            <v xml:space="preserve">Southwest Water Company     </v>
          </cell>
          <cell r="C28">
            <v>1.05</v>
          </cell>
          <cell r="E28">
            <v>7.46</v>
          </cell>
          <cell r="I28">
            <v>12.24</v>
          </cell>
        </row>
        <row r="29">
          <cell r="A29" t="str">
            <v>York Water Company</v>
          </cell>
          <cell r="C29">
            <v>0.5</v>
          </cell>
          <cell r="E29">
            <v>3.55</v>
          </cell>
          <cell r="I29">
            <v>8.33</v>
          </cell>
        </row>
        <row r="30">
          <cell r="A30" t="str">
            <v>Average</v>
          </cell>
          <cell r="C30">
            <v>0.95</v>
          </cell>
          <cell r="E30">
            <v>6.75</v>
          </cell>
          <cell r="F30" t="str">
            <v>%</v>
          </cell>
          <cell r="I30">
            <v>11.85</v>
          </cell>
          <cell r="J30" t="str">
            <v>%</v>
          </cell>
        </row>
        <row r="31">
          <cell r="A31" t="str">
            <v>Average</v>
          </cell>
          <cell r="C31">
            <v>0.95</v>
          </cell>
          <cell r="E31">
            <v>6.75</v>
          </cell>
          <cell r="F31" t="str">
            <v>%</v>
          </cell>
          <cell r="I31">
            <v>11.53</v>
          </cell>
          <cell r="J31" t="str">
            <v>%</v>
          </cell>
        </row>
        <row r="33">
          <cell r="A33" t="str">
            <v>MIEC Witness Janous' Gas Distribution Proxy Group</v>
          </cell>
        </row>
        <row r="34">
          <cell r="A34" t="str">
            <v>MIEC Witness Janous' Gas Distribution Proxy Group</v>
          </cell>
          <cell r="C34">
            <v>0.85</v>
          </cell>
          <cell r="E34">
            <v>6.04</v>
          </cell>
          <cell r="F34" t="str">
            <v>%</v>
          </cell>
          <cell r="I34">
            <v>11.14</v>
          </cell>
          <cell r="J34" t="str">
            <v>%</v>
          </cell>
        </row>
        <row r="35">
          <cell r="A35" t="str">
            <v>AGL Resources, Inc.</v>
          </cell>
          <cell r="C35">
            <v>0.85</v>
          </cell>
          <cell r="E35">
            <v>6.04</v>
          </cell>
          <cell r="F35" t="str">
            <v>%</v>
          </cell>
          <cell r="I35">
            <v>10.82</v>
          </cell>
          <cell r="J35" t="str">
            <v>%</v>
          </cell>
        </row>
        <row r="36">
          <cell r="A36" t="str">
            <v>Atmos Energy Corp.</v>
          </cell>
          <cell r="C36">
            <v>0.85</v>
          </cell>
          <cell r="E36">
            <v>6.04</v>
          </cell>
          <cell r="I36">
            <v>10.82</v>
          </cell>
        </row>
        <row r="37">
          <cell r="A37" t="str">
            <v>Laclede Group, Inc.</v>
          </cell>
          <cell r="C37">
            <v>0.9</v>
          </cell>
          <cell r="E37">
            <v>6.39</v>
          </cell>
          <cell r="I37">
            <v>11.17</v>
          </cell>
        </row>
        <row r="38">
          <cell r="A38" t="str">
            <v>New Jersey Resources Corp.</v>
          </cell>
          <cell r="C38">
            <v>0.85</v>
          </cell>
          <cell r="E38">
            <v>6.04</v>
          </cell>
          <cell r="I38">
            <v>10.82</v>
          </cell>
        </row>
        <row r="39">
          <cell r="A39" t="str">
            <v>NICOR Inc.</v>
          </cell>
          <cell r="C39">
            <v>0.95</v>
          </cell>
          <cell r="E39">
            <v>6.75</v>
          </cell>
          <cell r="I39">
            <v>11.53</v>
          </cell>
        </row>
        <row r="40">
          <cell r="A40" t="str">
            <v>Northwest Natural Gas Company</v>
          </cell>
          <cell r="C40">
            <v>0.8</v>
          </cell>
          <cell r="E40">
            <v>5.68</v>
          </cell>
          <cell r="I40">
            <v>10.46</v>
          </cell>
        </row>
        <row r="41">
          <cell r="A41" t="str">
            <v>Piedmont Natural Gas Co., Inc.</v>
          </cell>
          <cell r="C41">
            <v>0.85</v>
          </cell>
          <cell r="E41">
            <v>6.04</v>
          </cell>
          <cell r="I41">
            <v>10.82</v>
          </cell>
        </row>
        <row r="42">
          <cell r="A42" t="str">
            <v>South Jersey Industries, Inc.</v>
          </cell>
          <cell r="C42">
            <v>0.85</v>
          </cell>
          <cell r="E42">
            <v>6.04</v>
          </cell>
          <cell r="I42">
            <v>10.82</v>
          </cell>
        </row>
        <row r="43">
          <cell r="A43" t="str">
            <v>Southwest Gas Corporation</v>
          </cell>
          <cell r="C43">
            <v>0.9</v>
          </cell>
          <cell r="E43">
            <v>6.39</v>
          </cell>
          <cell r="I43">
            <v>11.17</v>
          </cell>
        </row>
        <row r="44">
          <cell r="A44" t="str">
            <v xml:space="preserve">WGL Holdings, Inc.   </v>
          </cell>
          <cell r="C44">
            <v>0.9</v>
          </cell>
          <cell r="E44">
            <v>6.39</v>
          </cell>
          <cell r="I44">
            <v>11.17</v>
          </cell>
        </row>
        <row r="45">
          <cell r="A45" t="str">
            <v>Average</v>
          </cell>
          <cell r="C45">
            <v>0.87</v>
          </cell>
          <cell r="E45">
            <v>6.18</v>
          </cell>
          <cell r="F45" t="str">
            <v>%</v>
          </cell>
          <cell r="I45">
            <v>11.28</v>
          </cell>
          <cell r="J45" t="str">
            <v>%</v>
          </cell>
        </row>
        <row r="46">
          <cell r="A46" t="str">
            <v>Average</v>
          </cell>
          <cell r="C46">
            <v>0.87</v>
          </cell>
          <cell r="E46">
            <v>6.18</v>
          </cell>
          <cell r="F46" t="str">
            <v>%</v>
          </cell>
          <cell r="I46">
            <v>10.96</v>
          </cell>
          <cell r="J46" t="str">
            <v>%</v>
          </cell>
        </row>
        <row r="49">
          <cell r="B49" t="str">
            <v>Empirical Capital Asset Pricing Model (5)</v>
          </cell>
        </row>
        <row r="50">
          <cell r="A50" t="str">
            <v>MIEC Witness Janous' Water Proxy Group</v>
          </cell>
          <cell r="B50" t="str">
            <v>Empirical Capital Asset Pricing Model (5)</v>
          </cell>
        </row>
        <row r="51">
          <cell r="A51" t="str">
            <v>MIEC Witness Janous' Water Proxy Group</v>
          </cell>
        </row>
        <row r="53">
          <cell r="A53" t="str">
            <v>American States Water Co.</v>
          </cell>
          <cell r="C53">
            <v>1.05</v>
          </cell>
          <cell r="E53">
            <v>7.37</v>
          </cell>
          <cell r="F53" t="str">
            <v>%</v>
          </cell>
          <cell r="I53">
            <v>12.47</v>
          </cell>
          <cell r="J53" t="str">
            <v>%</v>
          </cell>
        </row>
        <row r="54">
          <cell r="A54" t="str">
            <v>American States Water Co.</v>
          </cell>
          <cell r="C54">
            <v>1.05</v>
          </cell>
          <cell r="E54">
            <v>7.37</v>
          </cell>
          <cell r="F54" t="str">
            <v>%</v>
          </cell>
          <cell r="I54">
            <v>12.15</v>
          </cell>
          <cell r="J54" t="str">
            <v>%</v>
          </cell>
        </row>
        <row r="55">
          <cell r="A55" t="str">
            <v>Aqua America, Inc.</v>
          </cell>
          <cell r="C55">
            <v>0.95</v>
          </cell>
          <cell r="E55">
            <v>6.83</v>
          </cell>
          <cell r="I55">
            <v>11.61</v>
          </cell>
        </row>
        <row r="56">
          <cell r="A56" t="str">
            <v>California Water Service Group</v>
          </cell>
          <cell r="C56">
            <v>1.1499999999999999</v>
          </cell>
          <cell r="E56">
            <v>7.9</v>
          </cell>
          <cell r="I56">
            <v>12.68</v>
          </cell>
        </row>
        <row r="57">
          <cell r="A57" t="str">
            <v xml:space="preserve">Connecticut Water Serive Corp. </v>
          </cell>
          <cell r="C57">
            <v>0.85</v>
          </cell>
          <cell r="E57">
            <v>6.3</v>
          </cell>
          <cell r="I57">
            <v>11.08</v>
          </cell>
        </row>
        <row r="58">
          <cell r="A58" t="str">
            <v>Middlesex Water Company</v>
          </cell>
          <cell r="C58">
            <v>0.9</v>
          </cell>
          <cell r="E58">
            <v>6.57</v>
          </cell>
          <cell r="I58">
            <v>11.35</v>
          </cell>
        </row>
        <row r="59">
          <cell r="A59" t="str">
            <v xml:space="preserve">SJW Corp.           </v>
          </cell>
          <cell r="C59">
            <v>1.1499999999999999</v>
          </cell>
          <cell r="E59">
            <v>7.9</v>
          </cell>
          <cell r="I59">
            <v>12.68</v>
          </cell>
        </row>
        <row r="60">
          <cell r="A60" t="str">
            <v xml:space="preserve">Southwest Water Company     </v>
          </cell>
          <cell r="C60">
            <v>1.05</v>
          </cell>
          <cell r="E60">
            <v>7.37</v>
          </cell>
          <cell r="I60">
            <v>12.15</v>
          </cell>
        </row>
        <row r="61">
          <cell r="A61" t="str">
            <v>York Water Company</v>
          </cell>
          <cell r="C61">
            <v>0.5</v>
          </cell>
          <cell r="E61">
            <v>4.4400000000000004</v>
          </cell>
          <cell r="I61">
            <v>9.2200000000000006</v>
          </cell>
        </row>
        <row r="62">
          <cell r="A62" t="str">
            <v>Average</v>
          </cell>
          <cell r="C62">
            <v>0.95</v>
          </cell>
          <cell r="E62">
            <v>6.84</v>
          </cell>
          <cell r="F62" t="str">
            <v>%</v>
          </cell>
          <cell r="I62">
            <v>11.94</v>
          </cell>
          <cell r="J62" t="str">
            <v>%</v>
          </cell>
        </row>
        <row r="63">
          <cell r="A63" t="str">
            <v>Average</v>
          </cell>
          <cell r="C63">
            <v>0.95</v>
          </cell>
          <cell r="E63">
            <v>6.84</v>
          </cell>
          <cell r="F63" t="str">
            <v>%</v>
          </cell>
          <cell r="I63">
            <v>11.62</v>
          </cell>
          <cell r="J63" t="str">
            <v>%</v>
          </cell>
        </row>
        <row r="66">
          <cell r="A66" t="str">
            <v>MIEC Witness Janous' Gas Distribution Proxy Group</v>
          </cell>
        </row>
        <row r="67">
          <cell r="A67" t="str">
            <v>MIEC Witness Janous' Gas Distribution Proxy Group</v>
          </cell>
          <cell r="C67">
            <v>0.85</v>
          </cell>
          <cell r="E67">
            <v>6.3</v>
          </cell>
          <cell r="F67" t="str">
            <v>%</v>
          </cell>
          <cell r="I67">
            <v>11.4</v>
          </cell>
        </row>
        <row r="68">
          <cell r="A68" t="str">
            <v>AGL Resources, Inc.</v>
          </cell>
          <cell r="C68">
            <v>0.85</v>
          </cell>
          <cell r="E68">
            <v>6.3</v>
          </cell>
          <cell r="F68" t="str">
            <v>%</v>
          </cell>
          <cell r="I68">
            <v>11.08</v>
          </cell>
        </row>
        <row r="69">
          <cell r="A69" t="str">
            <v>Atmos Energy Corp.</v>
          </cell>
          <cell r="C69">
            <v>0.85</v>
          </cell>
          <cell r="E69">
            <v>6.3</v>
          </cell>
          <cell r="I69">
            <v>11.08</v>
          </cell>
        </row>
        <row r="70">
          <cell r="A70" t="str">
            <v>Laclede Group, Inc.</v>
          </cell>
          <cell r="C70">
            <v>0.9</v>
          </cell>
          <cell r="E70">
            <v>6.57</v>
          </cell>
          <cell r="I70">
            <v>11.35</v>
          </cell>
        </row>
        <row r="71">
          <cell r="A71" t="str">
            <v>New Jersey Resources Corp.</v>
          </cell>
          <cell r="C71">
            <v>0.85</v>
          </cell>
          <cell r="E71">
            <v>6.3</v>
          </cell>
          <cell r="I71">
            <v>11.08</v>
          </cell>
        </row>
        <row r="72">
          <cell r="A72" t="str">
            <v>NICOR Inc.</v>
          </cell>
          <cell r="C72">
            <v>0.95</v>
          </cell>
          <cell r="E72">
            <v>6.83</v>
          </cell>
          <cell r="I72">
            <v>11.61</v>
          </cell>
        </row>
        <row r="73">
          <cell r="A73" t="str">
            <v>Northwest Natural Gas Company</v>
          </cell>
          <cell r="C73">
            <v>0.8</v>
          </cell>
          <cell r="E73">
            <v>6.04</v>
          </cell>
          <cell r="I73">
            <v>10.82</v>
          </cell>
        </row>
        <row r="74">
          <cell r="A74" t="str">
            <v>Piedmont Natural Gas Co., Inc.</v>
          </cell>
          <cell r="C74">
            <v>0.85</v>
          </cell>
          <cell r="E74">
            <v>6.3</v>
          </cell>
          <cell r="I74">
            <v>11.08</v>
          </cell>
        </row>
        <row r="75">
          <cell r="A75" t="str">
            <v>South Jersey Industries, Inc.</v>
          </cell>
          <cell r="C75">
            <v>0.85</v>
          </cell>
          <cell r="E75">
            <v>6.3</v>
          </cell>
          <cell r="I75">
            <v>11.08</v>
          </cell>
        </row>
        <row r="76">
          <cell r="A76" t="str">
            <v>Southwest Gas Corporation</v>
          </cell>
          <cell r="C76">
            <v>0.9</v>
          </cell>
          <cell r="E76">
            <v>6.57</v>
          </cell>
          <cell r="I76">
            <v>11.35</v>
          </cell>
        </row>
        <row r="77">
          <cell r="A77" t="str">
            <v xml:space="preserve">WGL Holdings, Inc.   </v>
          </cell>
          <cell r="C77">
            <v>0.9</v>
          </cell>
          <cell r="E77">
            <v>6.57</v>
          </cell>
          <cell r="I77">
            <v>11.35</v>
          </cell>
        </row>
        <row r="78">
          <cell r="A78" t="str">
            <v>Average</v>
          </cell>
          <cell r="C78">
            <v>0.87</v>
          </cell>
          <cell r="E78">
            <v>6.41</v>
          </cell>
          <cell r="F78" t="str">
            <v>%</v>
          </cell>
          <cell r="I78">
            <v>11.51</v>
          </cell>
          <cell r="J78" t="str">
            <v>%</v>
          </cell>
        </row>
        <row r="79">
          <cell r="A79" t="str">
            <v>Average</v>
          </cell>
          <cell r="C79">
            <v>0.87</v>
          </cell>
          <cell r="E79">
            <v>6.41</v>
          </cell>
          <cell r="F79" t="str">
            <v>%</v>
          </cell>
          <cell r="I79">
            <v>11.19</v>
          </cell>
          <cell r="J79" t="str">
            <v>%</v>
          </cell>
        </row>
      </sheetData>
      <sheetData sheetId="2">
        <row r="1">
          <cell r="A1">
            <v>39708</v>
          </cell>
        </row>
        <row r="3">
          <cell r="B3" t="str">
            <v>Date of</v>
          </cell>
          <cell r="D3" t="str">
            <v>Est. Median</v>
          </cell>
          <cell r="F3" t="str">
            <v>Est. Median</v>
          </cell>
          <cell r="J3" t="str">
            <v>Est. Median</v>
          </cell>
        </row>
        <row r="4">
          <cell r="B4" t="str">
            <v>Value Line</v>
          </cell>
          <cell r="D4" t="str">
            <v>Appreciation</v>
          </cell>
          <cell r="F4" t="str">
            <v>Annual</v>
          </cell>
          <cell r="H4" t="str">
            <v>Est. Median</v>
          </cell>
          <cell r="J4" t="str">
            <v>Annual</v>
          </cell>
        </row>
        <row r="5">
          <cell r="B5" t="str">
            <v>Summary</v>
          </cell>
          <cell r="D5" t="str">
            <v>Potential</v>
          </cell>
          <cell r="F5" t="str">
            <v>Appreciation</v>
          </cell>
          <cell r="H5" t="str">
            <v>Dividend</v>
          </cell>
          <cell r="J5" t="str">
            <v>Total</v>
          </cell>
        </row>
        <row r="6">
          <cell r="B6" t="str">
            <v>&amp; Index</v>
          </cell>
          <cell r="D6" t="str">
            <v>3-5 Yrs. Hence</v>
          </cell>
          <cell r="F6" t="str">
            <v>Potential</v>
          </cell>
          <cell r="H6" t="str">
            <v>Yield</v>
          </cell>
          <cell r="J6" t="str">
            <v>Return</v>
          </cell>
        </row>
        <row r="8">
          <cell r="A8" t="str">
            <v>Spot</v>
          </cell>
          <cell r="B8">
            <v>39710</v>
          </cell>
          <cell r="D8">
            <v>0.8</v>
          </cell>
          <cell r="F8">
            <v>0.1583</v>
          </cell>
          <cell r="H8">
            <v>2.3E-2</v>
          </cell>
          <cell r="J8">
            <v>0.18129999999999999</v>
          </cell>
        </row>
        <row r="9">
          <cell r="A9">
            <v>1</v>
          </cell>
          <cell r="B9">
            <v>39689</v>
          </cell>
          <cell r="D9">
            <v>0.75</v>
          </cell>
          <cell r="F9">
            <v>0.1502</v>
          </cell>
          <cell r="H9">
            <v>2.3E-2</v>
          </cell>
          <cell r="J9">
            <v>0.17319999999999999</v>
          </cell>
        </row>
        <row r="10">
          <cell r="A10">
            <v>2</v>
          </cell>
          <cell r="B10">
            <v>39654</v>
          </cell>
          <cell r="D10">
            <v>0.95</v>
          </cell>
          <cell r="F10">
            <v>0.1817</v>
          </cell>
          <cell r="H10">
            <v>2.5000000000000001E-2</v>
          </cell>
          <cell r="J10">
            <v>0.20669999999999999</v>
          </cell>
        </row>
        <row r="11">
          <cell r="A11">
            <v>3</v>
          </cell>
          <cell r="B11">
            <v>39626</v>
          </cell>
          <cell r="D11">
            <v>0.7</v>
          </cell>
          <cell r="F11">
            <v>0.1419</v>
          </cell>
          <cell r="H11">
            <v>2.1999999999999999E-2</v>
          </cell>
          <cell r="J11">
            <v>0.16389999999999999</v>
          </cell>
        </row>
        <row r="16">
          <cell r="B16" t="str">
            <v>3-Mo. Avg.</v>
          </cell>
          <cell r="D16">
            <v>0.8</v>
          </cell>
          <cell r="F16">
            <v>0.1583</v>
          </cell>
          <cell r="H16">
            <v>2.3300000000000001E-2</v>
          </cell>
          <cell r="J16">
            <v>0.18159999999999998</v>
          </cell>
        </row>
        <row r="18">
          <cell r="B18" t="str">
            <v>Spot</v>
          </cell>
          <cell r="D18">
            <v>0.8</v>
          </cell>
          <cell r="F18">
            <v>0.1583</v>
          </cell>
          <cell r="H18">
            <v>2.3E-2</v>
          </cell>
          <cell r="J18">
            <v>0.18129999999999999</v>
          </cell>
        </row>
        <row r="20">
          <cell r="B20" t="str">
            <v>Average</v>
          </cell>
          <cell r="D20">
            <v>0.8</v>
          </cell>
          <cell r="F20">
            <v>0.1583</v>
          </cell>
          <cell r="H20">
            <v>2.3199999999999998E-2</v>
          </cell>
          <cell r="J20">
            <v>0.18149999999999999</v>
          </cell>
        </row>
        <row r="26">
          <cell r="B26" t="str">
            <v>Blue Chip Financial Forecasts</v>
          </cell>
        </row>
        <row r="27">
          <cell r="B27" t="str">
            <v>Consensus Forecast Yield for 30-year Treasury Bonds</v>
          </cell>
        </row>
        <row r="29">
          <cell r="B29" t="str">
            <v>Third Quarter 2008</v>
          </cell>
          <cell r="F29">
            <v>4.5999999999999996</v>
          </cell>
          <cell r="G29" t="str">
            <v>%</v>
          </cell>
          <cell r="H29">
            <v>13.049999999999999</v>
          </cell>
          <cell r="I29" t="str">
            <v>%</v>
          </cell>
        </row>
        <row r="30">
          <cell r="B30" t="str">
            <v>Fourth Quarter 2008</v>
          </cell>
          <cell r="F30">
            <v>4.5999999999999996</v>
          </cell>
        </row>
        <row r="31">
          <cell r="B31" t="str">
            <v>First Quarter 2009</v>
          </cell>
          <cell r="F31">
            <v>4.7</v>
          </cell>
        </row>
        <row r="32">
          <cell r="B32" t="str">
            <v>Second Quarter 2009</v>
          </cell>
          <cell r="F32">
            <v>4.8</v>
          </cell>
          <cell r="H32" t="str">
            <v>Projected</v>
          </cell>
        </row>
        <row r="33">
          <cell r="B33" t="str">
            <v>Third Quarter 2009</v>
          </cell>
          <cell r="F33">
            <v>4.9000000000000004</v>
          </cell>
          <cell r="H33" t="str">
            <v>Market</v>
          </cell>
          <cell r="I33" t="str">
            <v>%</v>
          </cell>
        </row>
        <row r="34">
          <cell r="B34" t="str">
            <v>Fourth Quarter 2009</v>
          </cell>
          <cell r="F34">
            <v>5.0999999999999996</v>
          </cell>
          <cell r="H34" t="str">
            <v>Risk Premium</v>
          </cell>
        </row>
        <row r="35">
          <cell r="B35" t="str">
            <v xml:space="preserve">   Return 1926 - 2007</v>
          </cell>
          <cell r="H35">
            <v>5.2</v>
          </cell>
        </row>
        <row r="36">
          <cell r="F36">
            <v>4.78</v>
          </cell>
          <cell r="G36" t="str">
            <v>%</v>
          </cell>
          <cell r="H36">
            <v>13.369999999999997</v>
          </cell>
          <cell r="I36" t="str">
            <v>%</v>
          </cell>
        </row>
        <row r="37">
          <cell r="B37" t="str">
            <v>Historical Market Risk Premium</v>
          </cell>
          <cell r="H37">
            <v>7.1000000000000005</v>
          </cell>
          <cell r="I37" t="str">
            <v>%</v>
          </cell>
        </row>
        <row r="39">
          <cell r="B39" t="str">
            <v>SBBI Common Stocks Total Return -</v>
          </cell>
        </row>
        <row r="40">
          <cell r="B40" t="str">
            <v xml:space="preserve">   1926 - 2007</v>
          </cell>
          <cell r="H40">
            <v>12.3</v>
          </cell>
          <cell r="I40" t="str">
            <v>%</v>
          </cell>
        </row>
        <row r="41">
          <cell r="B41" t="str">
            <v>SBBI Long-Term Gov't Bonds Income</v>
          </cell>
        </row>
        <row r="42">
          <cell r="B42" t="str">
            <v xml:space="preserve">   Return 1926 - 2007</v>
          </cell>
          <cell r="H42">
            <v>5.2</v>
          </cell>
        </row>
        <row r="44">
          <cell r="B44" t="str">
            <v>Historical Market Risk Premium</v>
          </cell>
          <cell r="C44" t="str">
            <v>Value Line Investment Survey</v>
          </cell>
          <cell r="H44">
            <v>7.1000000000000005</v>
          </cell>
          <cell r="I44" t="str">
            <v>%</v>
          </cell>
        </row>
        <row r="45">
          <cell r="C45" t="str">
            <v>Blue Chip Financial Forecasts, September 1, 2008</v>
          </cell>
        </row>
        <row r="46">
          <cell r="B46" t="str">
            <v>Average of Hist'l &amp; Proj'd Market</v>
          </cell>
          <cell r="C46" t="str">
            <v>Stocks, Bonds, Bills, and Inflation - Market Results for 1926-2007 Morningstar, Inc., 2008 Chicago, IL.</v>
          </cell>
        </row>
        <row r="47">
          <cell r="B47" t="str">
            <v xml:space="preserve">   Risk Premium</v>
          </cell>
          <cell r="H47">
            <v>10.24</v>
          </cell>
          <cell r="I47" t="str">
            <v>%</v>
          </cell>
        </row>
        <row r="51">
          <cell r="B51" t="str">
            <v xml:space="preserve">Source of Information:  </v>
          </cell>
          <cell r="C51" t="str">
            <v>Value Line Investment Survey</v>
          </cell>
        </row>
      </sheetData>
      <sheetData sheetId="3"/>
      <sheetData sheetId="4"/>
      <sheetData sheetId="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ETA Download "/>
      <sheetName val="Data"/>
      <sheetName val="Historical BETA Values"/>
      <sheetName val="Help"/>
    </sheetNames>
    <sheetDataSet>
      <sheetData sheetId="0" refreshError="1"/>
      <sheetData sheetId="1">
        <row r="4">
          <cell r="J4" t="str">
            <v>EQY_BETA_OVERRIDE_START_DT</v>
          </cell>
          <cell r="K4" t="str">
            <v>20101022</v>
          </cell>
        </row>
        <row r="5">
          <cell r="J5" t="str">
            <v>EQY_BETA_OVERRIDE_END_DT</v>
          </cell>
          <cell r="K5" t="str">
            <v>20121012</v>
          </cell>
        </row>
        <row r="6">
          <cell r="J6" t="str">
            <v>EQY_BETA_OVERRIDE_REL_INDEX</v>
          </cell>
          <cell r="K6" t="str">
            <v>SPX Index</v>
          </cell>
        </row>
        <row r="7">
          <cell r="J7" t="str">
            <v>EQY_BETA_OVERRIDE_PERIOD</v>
          </cell>
          <cell r="K7" t="str">
            <v>W</v>
          </cell>
        </row>
        <row r="8">
          <cell r="K8"/>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ETA Download "/>
      <sheetName val="Data"/>
      <sheetName val="Historical BETA Values"/>
      <sheetName val="Help"/>
    </sheetNames>
    <sheetDataSet>
      <sheetData sheetId="0"/>
      <sheetData sheetId="1">
        <row r="4">
          <cell r="J4" t="str">
            <v>EQY_BETA_OVERRIDE_START_DT</v>
          </cell>
        </row>
        <row r="6">
          <cell r="B6" t="str">
            <v>Daily</v>
          </cell>
          <cell r="C6" t="str">
            <v>D</v>
          </cell>
          <cell r="F6" t="str">
            <v>Local CCY</v>
          </cell>
        </row>
        <row r="7">
          <cell r="B7" t="str">
            <v>Weekly</v>
          </cell>
          <cell r="C7" t="str">
            <v>W</v>
          </cell>
          <cell r="F7" t="str">
            <v>USD</v>
          </cell>
          <cell r="G7" t="str">
            <v>USD</v>
          </cell>
        </row>
        <row r="8">
          <cell r="B8" t="str">
            <v>Monthly</v>
          </cell>
          <cell r="C8" t="str">
            <v>M</v>
          </cell>
          <cell r="F8" t="str">
            <v>ARS</v>
          </cell>
          <cell r="G8" t="str">
            <v>ARS</v>
          </cell>
        </row>
        <row r="9">
          <cell r="B9" t="str">
            <v>Quarterly</v>
          </cell>
          <cell r="C9" t="str">
            <v>Q</v>
          </cell>
          <cell r="F9" t="str">
            <v>AUD</v>
          </cell>
          <cell r="G9" t="str">
            <v>AUD</v>
          </cell>
        </row>
        <row r="10">
          <cell r="B10" t="str">
            <v>Yearly</v>
          </cell>
          <cell r="C10" t="str">
            <v>Y</v>
          </cell>
          <cell r="F10" t="str">
            <v>ATS</v>
          </cell>
          <cell r="G10" t="str">
            <v>ATS</v>
          </cell>
        </row>
        <row r="11">
          <cell r="F11" t="str">
            <v>BEF</v>
          </cell>
          <cell r="G11" t="str">
            <v>BEF</v>
          </cell>
        </row>
        <row r="12">
          <cell r="F12" t="str">
            <v>BRL</v>
          </cell>
          <cell r="G12" t="str">
            <v>BRL</v>
          </cell>
        </row>
        <row r="13">
          <cell r="F13" t="str">
            <v>CAD</v>
          </cell>
          <cell r="G13" t="str">
            <v>CAD</v>
          </cell>
        </row>
        <row r="14">
          <cell r="F14" t="str">
            <v>CHF</v>
          </cell>
          <cell r="G14" t="str">
            <v>CHF</v>
          </cell>
        </row>
        <row r="15">
          <cell r="F15" t="str">
            <v>CNY</v>
          </cell>
          <cell r="G15" t="str">
            <v>CNY</v>
          </cell>
        </row>
        <row r="16">
          <cell r="F16" t="str">
            <v>COP</v>
          </cell>
          <cell r="G16" t="str">
            <v>COP</v>
          </cell>
        </row>
        <row r="17">
          <cell r="F17" t="str">
            <v>DEM</v>
          </cell>
          <cell r="G17" t="str">
            <v>DEM</v>
          </cell>
        </row>
        <row r="18">
          <cell r="F18" t="str">
            <v>DKK</v>
          </cell>
          <cell r="G18" t="str">
            <v>DKK</v>
          </cell>
        </row>
        <row r="19">
          <cell r="F19" t="str">
            <v>ESP</v>
          </cell>
          <cell r="G19" t="str">
            <v>ESP</v>
          </cell>
        </row>
        <row r="20">
          <cell r="F20" t="str">
            <v>EUR</v>
          </cell>
          <cell r="G20" t="str">
            <v>EUR</v>
          </cell>
        </row>
        <row r="21">
          <cell r="F21" t="str">
            <v>FIM</v>
          </cell>
          <cell r="G21" t="str">
            <v>FIM</v>
          </cell>
        </row>
        <row r="22">
          <cell r="F22" t="str">
            <v>FRF</v>
          </cell>
          <cell r="G22" t="str">
            <v>FRF</v>
          </cell>
        </row>
        <row r="23">
          <cell r="F23" t="str">
            <v>GBP</v>
          </cell>
          <cell r="G23" t="str">
            <v>GBP</v>
          </cell>
        </row>
        <row r="24">
          <cell r="F24" t="str">
            <v>GRD</v>
          </cell>
          <cell r="G24" t="str">
            <v>GRD</v>
          </cell>
        </row>
        <row r="25">
          <cell r="F25" t="str">
            <v>HKD</v>
          </cell>
          <cell r="G25" t="str">
            <v>HKD</v>
          </cell>
        </row>
        <row r="26">
          <cell r="F26" t="str">
            <v>IEP</v>
          </cell>
          <cell r="G26" t="str">
            <v>IEP</v>
          </cell>
        </row>
        <row r="27">
          <cell r="F27" t="str">
            <v>IDR</v>
          </cell>
          <cell r="G27" t="str">
            <v>IDR</v>
          </cell>
        </row>
        <row r="28">
          <cell r="F28" t="str">
            <v>INR</v>
          </cell>
          <cell r="G28" t="str">
            <v>INR</v>
          </cell>
        </row>
        <row r="29">
          <cell r="F29" t="str">
            <v>ITL</v>
          </cell>
          <cell r="G29" t="str">
            <v>ITL</v>
          </cell>
        </row>
        <row r="30">
          <cell r="F30" t="str">
            <v>JPY</v>
          </cell>
          <cell r="G30" t="str">
            <v>JPY</v>
          </cell>
        </row>
        <row r="31">
          <cell r="F31" t="str">
            <v>KRW</v>
          </cell>
          <cell r="G31" t="str">
            <v>KRW</v>
          </cell>
        </row>
        <row r="32">
          <cell r="F32" t="str">
            <v>MYR</v>
          </cell>
          <cell r="G32" t="str">
            <v>MYR</v>
          </cell>
        </row>
        <row r="33">
          <cell r="F33" t="str">
            <v>MXN</v>
          </cell>
          <cell r="G33" t="str">
            <v>MXN</v>
          </cell>
        </row>
        <row r="34">
          <cell r="F34" t="str">
            <v>MYR</v>
          </cell>
          <cell r="G34" t="str">
            <v>MYR</v>
          </cell>
        </row>
        <row r="35">
          <cell r="F35" t="str">
            <v>NOK</v>
          </cell>
          <cell r="G35" t="str">
            <v>NOK</v>
          </cell>
        </row>
        <row r="36">
          <cell r="F36" t="str">
            <v>NZD</v>
          </cell>
          <cell r="G36" t="str">
            <v>NZD</v>
          </cell>
        </row>
        <row r="37">
          <cell r="F37" t="str">
            <v>SEK</v>
          </cell>
          <cell r="G37" t="str">
            <v>SEK</v>
          </cell>
        </row>
        <row r="38">
          <cell r="F38" t="str">
            <v>SGD</v>
          </cell>
          <cell r="G38" t="str">
            <v>SGD</v>
          </cell>
        </row>
        <row r="39">
          <cell r="F39" t="str">
            <v>TRY</v>
          </cell>
          <cell r="G39" t="str">
            <v>TRY</v>
          </cell>
        </row>
        <row r="40">
          <cell r="F40" t="str">
            <v>ZAR</v>
          </cell>
          <cell r="G40" t="str">
            <v>ZAR</v>
          </cell>
        </row>
      </sheetData>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ETA Download "/>
      <sheetName val="Data"/>
      <sheetName val="Historical BETA Values"/>
      <sheetName val="Help"/>
    </sheetNames>
    <sheetDataSet>
      <sheetData sheetId="0"/>
      <sheetData sheetId="1">
        <row r="4">
          <cell r="J4" t="str">
            <v>EQY_BETA_OVERRIDE_START_DT</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 Info."/>
      <sheetName val="Gen.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Paper"/>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sheetName val="Rate Base Deductions"/>
      <sheetName val="Input "/>
      <sheetName val="Sch 1"/>
      <sheetName val="Sch 2"/>
      <sheetName val="WP 2-1 Rev70"/>
      <sheetName val="WP 2-2 Rev71"/>
      <sheetName val="WP 2-3 Rev72"/>
      <sheetName val="WP 2-4 Rev97Pal"/>
      <sheetName val="WP 2-5 Rev97U Paducah"/>
      <sheetName val="WP 2-6 Rev97U StL"/>
      <sheetName val="WP 2-7 Rev29"/>
      <sheetName val="WP 2-8 HDDs"/>
      <sheetName val="Sch 3 Gas Cost"/>
      <sheetName val="Sch 4 O&amp;M"/>
      <sheetName val="Sch 4-1 O&amp;M Per Book"/>
      <sheetName val="WP 4-2 Labor Adj"/>
      <sheetName val="WP 4-2-1 Labor O&amp;M subaccts"/>
      <sheetName val="WP 4-2-2 MO Union Labor exp"/>
      <sheetName val="WP 4- Benefits Adj"/>
      <sheetName val="WP 4- Benefits O&amp;M subaccts"/>
      <sheetName val="WP 4-3 M&amp;I "/>
      <sheetName val="WP 4-5 realloc 922"/>
      <sheetName val="WP 4-6 Ins Prem"/>
      <sheetName val="WP 4- Postage"/>
      <sheetName val="WP 4- Bad Debt adj"/>
      <sheetName val="WP4-Outside Srvc adj"/>
      <sheetName val="Sch 5 Taxes Other"/>
      <sheetName val="WP 5-1 Other Tax subaccts"/>
      <sheetName val="WP 5-2 MO AdValorem Summary"/>
      <sheetName val="Sch 6 Deprec"/>
      <sheetName val="WP 6-1 SS"/>
      <sheetName val="WP 6-2 Div91GO"/>
      <sheetName val="WP 6-3 Div88Central"/>
      <sheetName val="WP 6-4 Div70"/>
      <sheetName val="WP 6-5 Div71"/>
      <sheetName val="WP 6-6 Div72"/>
      <sheetName val="WP 6-7 Div97"/>
      <sheetName val="WP 6-8 Div30 CoKs GO"/>
      <sheetName val="WP 6-10 Div29"/>
      <sheetName val="WP 6- Meter"/>
      <sheetName val="WP 6-11 Deprec Exp SubAccts"/>
      <sheetName val="4060 Amort Acq Adj"/>
      <sheetName val="Sch 7 RateBase"/>
      <sheetName val="WP 7-1NetPlant"/>
      <sheetName val="WP 7-2 Alloc NetPlant"/>
      <sheetName val="WP 7-3 CWIP"/>
      <sheetName val="WP 7-4 ADIT"/>
      <sheetName val="WP 7-4-1 ADIT"/>
      <sheetName val="WP 7-4-2 Def Alloc Adjusted"/>
      <sheetName val="WP 7-5 PrePaids"/>
      <sheetName val="WP 7-6"/>
      <sheetName val="WP 7-6-1CustAdv"/>
      <sheetName val="WP 7-6-2CustDep "/>
      <sheetName val="WP 7-7 M&amp;S"/>
      <sheetName val="M&amp;S new"/>
      <sheetName val="WP 7-8 StorgGas"/>
      <sheetName val="WP7- Storg Gas 1641 Repriced"/>
      <sheetName val="WP 7- ANG Rate Base Deduct"/>
      <sheetName val="Sch 8 FIT"/>
      <sheetName val="Sch 9 CapStruc"/>
      <sheetName val="WP 9-1-1 Cap Bal"/>
      <sheetName val="WP 9-1-2 Proj Bal"/>
      <sheetName val="WP 9-2-1 LTD rate"/>
      <sheetName val="WP 9-2-2 Proj LTD rate"/>
      <sheetName val="Sch 10 Int on Deposits"/>
      <sheetName val="WP 2-8"/>
      <sheetName val="WP 4-4 Int on Deposits"/>
      <sheetName val="WP 7-4 DefFIT"/>
      <sheetName val="WP 7-4-1DefFIT"/>
      <sheetName val="WP 7-5 PP"/>
      <sheetName val="PP new"/>
      <sheetName val="WP Storg Gas 1641 Repriced"/>
      <sheetName val="WP 9-1"/>
      <sheetName val="WP 9-1-1Proj"/>
      <sheetName val="WP 9-2 LTD rate"/>
      <sheetName val="WP 9-2-1 Proj LTD rate"/>
    </sheetNames>
    <sheetDataSet>
      <sheetData sheetId="0"/>
      <sheetData sheetId="1"/>
      <sheetData sheetId="2">
        <row r="8">
          <cell r="C8" t="str">
            <v>Missouri</v>
          </cell>
        </row>
        <row r="9">
          <cell r="C9" t="str">
            <v>Atmos Energy Mid-States</v>
          </cell>
        </row>
        <row r="10">
          <cell r="C10" t="str">
            <v>September 30, 2005</v>
          </cell>
        </row>
        <row r="23">
          <cell r="C23">
            <v>5.5753243416792088E-2</v>
          </cell>
        </row>
        <row r="24">
          <cell r="C24">
            <v>4.0312366146111597E-2</v>
          </cell>
        </row>
        <row r="25">
          <cell r="C25">
            <v>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MPG-12"/>
      <sheetName val="Exhibit MPG-13 Electric"/>
      <sheetName val="Exhibit MPG-14 Electric"/>
      <sheetName val="Exhibit MPG-13"/>
      <sheetName val="Exhibit MPG-14"/>
      <sheetName val="Exhibit MPG-15"/>
      <sheetName val="Exhibit MPG-16a"/>
      <sheetName val="Exhibit MPG-16b"/>
      <sheetName val="Exhibit MPG-16c"/>
      <sheetName val="Exhibit MPG-"/>
      <sheetName val="Yields (WP)"/>
      <sheetName val="FRED 20 yr TIPS monthly"/>
      <sheetName val="Treas 20 yr"/>
      <sheetName val="Moodys Yields(WP)"/>
      <sheetName val="Monthly Yields (WP)"/>
      <sheetName val="Annual Yields (WP)"/>
      <sheetName val="A rated Bond Yield Spread Graph"/>
      <sheetName val="Elec. Authorized Returns Graph"/>
      <sheetName val="Gas Authorized Returns Graph"/>
      <sheetName val="Authorized Returns G &amp; E"/>
    </sheetNames>
    <sheetDataSet>
      <sheetData sheetId="0">
        <row r="1">
          <cell r="A1" t="str">
            <v>Ameren Illinois Company</v>
          </cell>
        </row>
      </sheetData>
      <sheetData sheetId="1"/>
      <sheetData sheetId="2"/>
      <sheetData sheetId="3"/>
      <sheetData sheetId="4"/>
      <sheetData sheetId="5"/>
      <sheetData sheetId="6"/>
      <sheetData sheetId="7"/>
      <sheetData sheetId="8"/>
      <sheetData sheetId="9"/>
      <sheetData sheetId="10">
        <row r="6">
          <cell r="E6">
            <v>10010</v>
          </cell>
        </row>
        <row r="8">
          <cell r="A8">
            <v>29222</v>
          </cell>
        </row>
      </sheetData>
      <sheetData sheetId="11"/>
      <sheetData sheetId="12"/>
      <sheetData sheetId="13">
        <row r="1">
          <cell r="A1">
            <v>2868</v>
          </cell>
        </row>
        <row r="2">
          <cell r="Q2">
            <v>17</v>
          </cell>
        </row>
        <row r="3">
          <cell r="A3" t="str">
            <v>Date</v>
          </cell>
        </row>
        <row r="4">
          <cell r="A4">
            <v>38720</v>
          </cell>
          <cell r="B4" t="str">
            <v>N/A</v>
          </cell>
          <cell r="C4">
            <v>5.4600000000000003E-2</v>
          </cell>
          <cell r="D4">
            <v>5.7000000000000002E-2</v>
          </cell>
          <cell r="E4">
            <v>6.0299999999999999E-2</v>
          </cell>
          <cell r="F4">
            <v>5.7299999999999997E-2</v>
          </cell>
          <cell r="G4"/>
          <cell r="H4"/>
          <cell r="I4"/>
          <cell r="J4"/>
          <cell r="K4">
            <v>5.74E-2</v>
          </cell>
          <cell r="L4"/>
          <cell r="M4"/>
          <cell r="N4"/>
          <cell r="O4">
            <v>38718</v>
          </cell>
          <cell r="Q4">
            <v>3.9999999999999758E-4</v>
          </cell>
        </row>
      </sheetData>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98_1"/>
      <sheetName val="summary 98_2"/>
      <sheetName val="summary 98_3"/>
      <sheetName val="summary 98_4"/>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98_1"/>
      <sheetName val="summary 98_2"/>
      <sheetName val="summary 98_3"/>
      <sheetName val="summary 98_4"/>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ks data"/>
      <sheetName val="Growth Rates"/>
      <sheetName val="Prices &amp; Dividends"/>
      <sheetName val="Calculate"/>
      <sheetName val="E Dividends"/>
      <sheetName val="Cost of Equity"/>
      <sheetName val="DCF Goal Seek"/>
      <sheetName val="NCDCF Goal Seek"/>
      <sheetName val="Solver Macro"/>
      <sheetName val="Beta"/>
      <sheetName val="CAPM"/>
      <sheetName val="Rider VBA"/>
      <sheetName val="Aqua ratios"/>
      <sheetName val="water sample ratios"/>
      <sheetName val="market return"/>
    </sheetNames>
    <sheetDataSet>
      <sheetData sheetId="0" refreshError="1"/>
      <sheetData sheetId="1">
        <row r="6">
          <cell r="B6" t="str">
            <v>American States Water (AWR 029899)</v>
          </cell>
          <cell r="L6">
            <v>4.9833333333333334E-2</v>
          </cell>
        </row>
        <row r="7">
          <cell r="L7">
            <v>8.483333333333333E-2</v>
          </cell>
        </row>
        <row r="8">
          <cell r="L8">
            <v>6.4433333333333329E-2</v>
          </cell>
        </row>
        <row r="9">
          <cell r="L9">
            <v>8.2333333333333328E-2</v>
          </cell>
        </row>
        <row r="10">
          <cell r="L10">
            <v>5.8333333333333327E-2</v>
          </cell>
        </row>
        <row r="11">
          <cell r="L11">
            <v>8.5000000000000006E-2</v>
          </cell>
        </row>
        <row r="12">
          <cell r="L12">
            <v>0.03</v>
          </cell>
        </row>
        <row r="13">
          <cell r="L13">
            <v>7.0000000000000007E-2</v>
          </cell>
        </row>
        <row r="14">
          <cell r="L14"/>
        </row>
        <row r="15">
          <cell r="L15"/>
        </row>
        <row r="16">
          <cell r="L16"/>
        </row>
        <row r="17">
          <cell r="L17"/>
        </row>
        <row r="18">
          <cell r="L18"/>
        </row>
        <row r="19">
          <cell r="L19"/>
        </row>
        <row r="20">
          <cell r="L20"/>
        </row>
        <row r="21">
          <cell r="L21"/>
        </row>
        <row r="22">
          <cell r="L22"/>
        </row>
        <row r="23">
          <cell r="L23"/>
        </row>
        <row r="24">
          <cell r="L24"/>
        </row>
        <row r="25">
          <cell r="L25"/>
        </row>
        <row r="26">
          <cell r="L26"/>
        </row>
        <row r="27">
          <cell r="L27"/>
        </row>
        <row r="28">
          <cell r="L28"/>
        </row>
        <row r="29">
          <cell r="L29"/>
        </row>
        <row r="30">
          <cell r="L30"/>
        </row>
      </sheetData>
      <sheetData sheetId="2">
        <row r="5">
          <cell r="D5">
            <v>0.224</v>
          </cell>
          <cell r="F5">
            <v>0.24199999999999999</v>
          </cell>
          <cell r="H5">
            <v>0.24199999999999999</v>
          </cell>
          <cell r="J5">
            <v>0.24199999999999999</v>
          </cell>
        </row>
        <row r="6">
          <cell r="D6">
            <v>0.375</v>
          </cell>
          <cell r="F6">
            <v>0.375</v>
          </cell>
          <cell r="H6">
            <v>0.375</v>
          </cell>
          <cell r="J6">
            <v>0.41499999999999998</v>
          </cell>
        </row>
        <row r="7">
          <cell r="D7">
            <v>0.1913</v>
          </cell>
          <cell r="F7">
            <v>0.1913</v>
          </cell>
          <cell r="H7">
            <v>0.1913</v>
          </cell>
          <cell r="J7">
            <v>0.1913</v>
          </cell>
        </row>
        <row r="8">
          <cell r="D8">
            <v>0.17249999999999999</v>
          </cell>
          <cell r="F8">
            <v>0.18</v>
          </cell>
          <cell r="H8">
            <v>0.18</v>
          </cell>
          <cell r="J8">
            <v>0.18</v>
          </cell>
        </row>
        <row r="9">
          <cell r="D9">
            <v>0.28249999999999997</v>
          </cell>
          <cell r="F9">
            <v>0.28249999999999997</v>
          </cell>
          <cell r="H9">
            <v>0.28249999999999997</v>
          </cell>
          <cell r="J9">
            <v>0.29749999999999999</v>
          </cell>
        </row>
        <row r="10">
          <cell r="D10">
            <v>0.19875000000000001</v>
          </cell>
          <cell r="F10">
            <v>0.21124999999999999</v>
          </cell>
          <cell r="H10">
            <v>0.21124999999999999</v>
          </cell>
          <cell r="J10">
            <v>0.21124999999999999</v>
          </cell>
        </row>
        <row r="11">
          <cell r="D11">
            <v>0.20250000000000001</v>
          </cell>
          <cell r="F11">
            <v>0.2175</v>
          </cell>
          <cell r="H11">
            <v>0.2175</v>
          </cell>
          <cell r="J11">
            <v>0.2175</v>
          </cell>
        </row>
        <row r="12">
          <cell r="D12">
            <v>0.1555</v>
          </cell>
          <cell r="F12">
            <v>0.16020000000000001</v>
          </cell>
          <cell r="H12">
            <v>0.16020000000000001</v>
          </cell>
          <cell r="J12">
            <v>0.16020000000000001</v>
          </cell>
        </row>
        <row r="13">
          <cell r="D13"/>
          <cell r="F13"/>
          <cell r="H13"/>
          <cell r="J13"/>
        </row>
        <row r="14">
          <cell r="D14"/>
          <cell r="F14"/>
          <cell r="H14"/>
          <cell r="J14"/>
        </row>
        <row r="15">
          <cell r="D15"/>
          <cell r="F15"/>
          <cell r="H15"/>
          <cell r="J15"/>
        </row>
        <row r="16">
          <cell r="D16"/>
          <cell r="F16"/>
          <cell r="H16"/>
          <cell r="J16"/>
        </row>
        <row r="17">
          <cell r="D17"/>
          <cell r="F17"/>
          <cell r="H17"/>
          <cell r="J17"/>
        </row>
        <row r="18">
          <cell r="D18"/>
          <cell r="F18"/>
          <cell r="H18"/>
          <cell r="J18"/>
        </row>
        <row r="19">
          <cell r="D19"/>
          <cell r="F19"/>
          <cell r="H19"/>
          <cell r="J19"/>
        </row>
        <row r="20">
          <cell r="D20"/>
          <cell r="F20"/>
          <cell r="H20"/>
          <cell r="J20"/>
        </row>
        <row r="21">
          <cell r="D21"/>
          <cell r="F21"/>
          <cell r="H21"/>
          <cell r="J21"/>
        </row>
        <row r="22">
          <cell r="D22"/>
          <cell r="F22"/>
          <cell r="H22"/>
          <cell r="J22"/>
        </row>
        <row r="23">
          <cell r="D23"/>
          <cell r="F23"/>
          <cell r="H23"/>
          <cell r="J23"/>
        </row>
        <row r="24">
          <cell r="D24"/>
          <cell r="F24"/>
          <cell r="H24"/>
          <cell r="J24"/>
        </row>
        <row r="25">
          <cell r="D25"/>
          <cell r="F25"/>
          <cell r="H25"/>
          <cell r="J25"/>
        </row>
        <row r="26">
          <cell r="D26"/>
          <cell r="F26"/>
          <cell r="H26"/>
          <cell r="J26"/>
        </row>
        <row r="27">
          <cell r="D27"/>
          <cell r="F27"/>
          <cell r="H27"/>
          <cell r="J27"/>
        </row>
        <row r="28">
          <cell r="D28"/>
          <cell r="F28"/>
          <cell r="H28"/>
          <cell r="J28"/>
        </row>
        <row r="29">
          <cell r="D29"/>
          <cell r="F29"/>
          <cell r="H29"/>
          <cell r="J29"/>
        </row>
      </sheetData>
      <sheetData sheetId="3">
        <row r="6">
          <cell r="G6">
            <v>0.224</v>
          </cell>
          <cell r="H6">
            <v>0.24199999999999999</v>
          </cell>
          <cell r="I6">
            <v>0.24199999999999999</v>
          </cell>
          <cell r="J6">
            <v>0.24199999999999999</v>
          </cell>
        </row>
        <row r="7">
          <cell r="G7">
            <v>0.255</v>
          </cell>
          <cell r="H7">
            <v>0.255</v>
          </cell>
          <cell r="I7">
            <v>0.255</v>
          </cell>
          <cell r="J7">
            <v>0.255</v>
          </cell>
        </row>
        <row r="8">
          <cell r="G8">
            <v>0.27160210298812104</v>
          </cell>
          <cell r="H8">
            <v>0.26700285079839881</v>
          </cell>
          <cell r="I8">
            <v>0.26248148136610716</v>
          </cell>
          <cell r="J8">
            <v>0.25803667584121248</v>
          </cell>
          <cell r="L8">
            <v>7.0702754181914199E-2</v>
          </cell>
        </row>
        <row r="9">
          <cell r="G9"/>
          <cell r="I9"/>
        </row>
        <row r="10">
          <cell r="G10">
            <v>0.375</v>
          </cell>
          <cell r="H10">
            <v>0.375</v>
          </cell>
          <cell r="I10">
            <v>0.375</v>
          </cell>
          <cell r="J10">
            <v>0.41499999999999998</v>
          </cell>
        </row>
        <row r="11">
          <cell r="G11">
            <v>0.41499999999999998</v>
          </cell>
          <cell r="H11">
            <v>0.41499999999999998</v>
          </cell>
          <cell r="I11">
            <v>0.41499999999999998</v>
          </cell>
          <cell r="J11">
            <v>0.45020583333333331</v>
          </cell>
        </row>
        <row r="12">
          <cell r="G12">
            <v>0.45580997089750791</v>
          </cell>
          <cell r="H12">
            <v>0.44437922522065298</v>
          </cell>
          <cell r="I12">
            <v>0.43323513836012817</v>
          </cell>
          <cell r="J12">
            <v>0.45820162076427856</v>
          </cell>
          <cell r="L12">
            <v>0.10693034972521127</v>
          </cell>
        </row>
        <row r="13">
          <cell r="G13"/>
          <cell r="I13"/>
        </row>
        <row r="14">
          <cell r="G14">
            <v>0.1913</v>
          </cell>
          <cell r="H14">
            <v>0.1913</v>
          </cell>
          <cell r="I14">
            <v>0.1913</v>
          </cell>
          <cell r="J14">
            <v>0.1913</v>
          </cell>
        </row>
        <row r="15">
          <cell r="G15">
            <v>0.20469999999999999</v>
          </cell>
          <cell r="H15">
            <v>0.20469999999999999</v>
          </cell>
          <cell r="I15">
            <v>0.20469999999999999</v>
          </cell>
          <cell r="J15">
            <v>0.20469999999999999</v>
          </cell>
        </row>
        <row r="16">
          <cell r="G16">
            <v>0.22163484340502387</v>
          </cell>
          <cell r="H16">
            <v>0.21691568263844874</v>
          </cell>
          <cell r="I16">
            <v>0.2122970046208793</v>
          </cell>
          <cell r="J16">
            <v>0.20777666982299089</v>
          </cell>
          <cell r="L16">
            <v>8.9904237996940653E-2</v>
          </cell>
        </row>
        <row r="17">
          <cell r="G17"/>
          <cell r="I17"/>
        </row>
        <row r="18">
          <cell r="G18">
            <v>0.17249999999999999</v>
          </cell>
          <cell r="H18">
            <v>0.18</v>
          </cell>
          <cell r="I18">
            <v>0.18</v>
          </cell>
          <cell r="J18">
            <v>0.18</v>
          </cell>
        </row>
        <row r="19">
          <cell r="G19">
            <v>0.18</v>
          </cell>
          <cell r="H19">
            <v>0.19481999999999999</v>
          </cell>
          <cell r="I19">
            <v>0.19481999999999999</v>
          </cell>
          <cell r="J19">
            <v>0.19481999999999999</v>
          </cell>
        </row>
        <row r="20">
          <cell r="G20">
            <v>0.19297709378172481</v>
          </cell>
          <cell r="H20">
            <v>0.20382435906734025</v>
          </cell>
          <cell r="I20">
            <v>0.19890485101823116</v>
          </cell>
          <cell r="J20">
            <v>0.19410408029549456</v>
          </cell>
          <cell r="L20">
            <v>0.10266309889290173</v>
          </cell>
        </row>
        <row r="21">
          <cell r="G21"/>
          <cell r="I21"/>
        </row>
        <row r="22">
          <cell r="G22">
            <v>0.28249999999999997</v>
          </cell>
          <cell r="H22">
            <v>0.28249999999999997</v>
          </cell>
          <cell r="I22">
            <v>0.28249999999999997</v>
          </cell>
          <cell r="J22">
            <v>0.29749999999999999</v>
          </cell>
        </row>
        <row r="23">
          <cell r="G23">
            <v>0.29749999999999999</v>
          </cell>
          <cell r="H23">
            <v>0.29749999999999999</v>
          </cell>
          <cell r="I23">
            <v>0.29749999999999999</v>
          </cell>
          <cell r="J23">
            <v>0.31485416666666666</v>
          </cell>
        </row>
        <row r="24">
          <cell r="G24">
            <v>0.31855671664089436</v>
          </cell>
          <cell r="H24">
            <v>0.31246137825546522</v>
          </cell>
          <cell r="I24">
            <v>0.30648266949387404</v>
          </cell>
          <cell r="J24">
            <v>0.318154429664112</v>
          </cell>
          <cell r="L24">
            <v>8.0343067421065728E-2</v>
          </cell>
        </row>
        <row r="25">
          <cell r="G25"/>
          <cell r="I25"/>
        </row>
        <row r="26">
          <cell r="G26">
            <v>0.19875000000000001</v>
          </cell>
          <cell r="H26">
            <v>0.21124999999999999</v>
          </cell>
          <cell r="I26">
            <v>0.21124999999999999</v>
          </cell>
          <cell r="J26">
            <v>0.21124999999999999</v>
          </cell>
        </row>
        <row r="27">
          <cell r="G27">
            <v>0.21124999999999999</v>
          </cell>
          <cell r="H27">
            <v>0.22920624999999997</v>
          </cell>
          <cell r="I27">
            <v>0.22920624999999997</v>
          </cell>
          <cell r="J27">
            <v>0.22920624999999997</v>
          </cell>
        </row>
        <row r="28">
          <cell r="G28">
            <v>0.2324511094712676</v>
          </cell>
          <cell r="H28">
            <v>0.2457620903380926</v>
          </cell>
          <cell r="I28">
            <v>0.23947954425576098</v>
          </cell>
          <cell r="J28">
            <v>0.23335760221623481</v>
          </cell>
          <cell r="L28">
            <v>0.10913874653406302</v>
          </cell>
        </row>
        <row r="30">
          <cell r="G30">
            <v>0.20250000000000001</v>
          </cell>
          <cell r="H30">
            <v>0.2175</v>
          </cell>
          <cell r="I30">
            <v>0.2175</v>
          </cell>
          <cell r="J30">
            <v>0.2175</v>
          </cell>
        </row>
        <row r="31">
          <cell r="G31">
            <v>0.2175</v>
          </cell>
          <cell r="H31">
            <v>0.224025</v>
          </cell>
          <cell r="I31">
            <v>0.224025</v>
          </cell>
          <cell r="J31">
            <v>0.224025</v>
          </cell>
        </row>
        <row r="32">
          <cell r="G32">
            <v>0.22422184167311338</v>
          </cell>
          <cell r="H32">
            <v>0.22835571190341339</v>
          </cell>
          <cell r="I32">
            <v>0.22579203525291375</v>
          </cell>
          <cell r="J32">
            <v>0.22325714018144063</v>
          </cell>
        </row>
        <row r="33">
          <cell r="G33"/>
          <cell r="H33"/>
          <cell r="I33"/>
          <cell r="J33"/>
        </row>
        <row r="34">
          <cell r="G34">
            <v>0.1555</v>
          </cell>
          <cell r="H34">
            <v>0.16020000000000001</v>
          </cell>
          <cell r="I34">
            <v>0.16020000000000001</v>
          </cell>
          <cell r="J34">
            <v>0.16020000000000001</v>
          </cell>
        </row>
        <row r="35">
          <cell r="G35">
            <v>0.16020000000000001</v>
          </cell>
          <cell r="H35">
            <v>0.17141400000000001</v>
          </cell>
          <cell r="I35">
            <v>0.17141400000000001</v>
          </cell>
          <cell r="J35">
            <v>0.17141400000000001</v>
          </cell>
        </row>
        <row r="36">
          <cell r="G36">
            <v>0.17164786123027304</v>
          </cell>
          <cell r="H36">
            <v>0.17974412744473517</v>
          </cell>
          <cell r="I36">
            <v>0.17590867046330444</v>
          </cell>
          <cell r="J36">
            <v>0.17215505610152157</v>
          </cell>
          <cell r="L36">
            <v>9.0108825768182896E-2</v>
          </cell>
        </row>
        <row r="37">
          <cell r="G37"/>
          <cell r="H37"/>
          <cell r="I37"/>
          <cell r="J37"/>
        </row>
        <row r="38">
          <cell r="G38">
            <v>0</v>
          </cell>
          <cell r="H38">
            <v>0</v>
          </cell>
          <cell r="I38">
            <v>0</v>
          </cell>
          <cell r="J38">
            <v>0</v>
          </cell>
        </row>
        <row r="39">
          <cell r="G39">
            <v>0</v>
          </cell>
          <cell r="H39">
            <v>0</v>
          </cell>
          <cell r="I39">
            <v>0</v>
          </cell>
          <cell r="J39">
            <v>0</v>
          </cell>
        </row>
        <row r="40">
          <cell r="G40">
            <v>0</v>
          </cell>
          <cell r="H40">
            <v>0</v>
          </cell>
          <cell r="I40">
            <v>0</v>
          </cell>
          <cell r="J40">
            <v>0</v>
          </cell>
        </row>
        <row r="41">
          <cell r="G41"/>
          <cell r="H41"/>
          <cell r="I41"/>
          <cell r="J41"/>
        </row>
        <row r="42">
          <cell r="G42">
            <v>0</v>
          </cell>
          <cell r="H42">
            <v>0</v>
          </cell>
          <cell r="I42">
            <v>0</v>
          </cell>
          <cell r="J42">
            <v>0</v>
          </cell>
        </row>
        <row r="43">
          <cell r="G43">
            <v>0</v>
          </cell>
          <cell r="H43">
            <v>0</v>
          </cell>
          <cell r="I43">
            <v>0</v>
          </cell>
          <cell r="J43">
            <v>0</v>
          </cell>
        </row>
        <row r="44">
          <cell r="G44">
            <v>0</v>
          </cell>
          <cell r="H44">
            <v>0</v>
          </cell>
          <cell r="I44">
            <v>0</v>
          </cell>
          <cell r="J44">
            <v>0</v>
          </cell>
        </row>
        <row r="45">
          <cell r="G45"/>
          <cell r="H45"/>
          <cell r="I45"/>
          <cell r="J45"/>
        </row>
        <row r="46">
          <cell r="G46">
            <v>0</v>
          </cell>
          <cell r="H46">
            <v>0</v>
          </cell>
          <cell r="I46">
            <v>0</v>
          </cell>
          <cell r="J46">
            <v>0</v>
          </cell>
        </row>
        <row r="47">
          <cell r="G47">
            <v>0</v>
          </cell>
          <cell r="H47">
            <v>0</v>
          </cell>
          <cell r="I47">
            <v>0</v>
          </cell>
          <cell r="J47">
            <v>0</v>
          </cell>
        </row>
        <row r="48">
          <cell r="G48">
            <v>0</v>
          </cell>
          <cell r="H48">
            <v>0</v>
          </cell>
          <cell r="I48">
            <v>0</v>
          </cell>
          <cell r="J48">
            <v>0</v>
          </cell>
        </row>
        <row r="49">
          <cell r="G49"/>
          <cell r="H49"/>
          <cell r="I49"/>
          <cell r="J49"/>
        </row>
        <row r="50">
          <cell r="G50">
            <v>0</v>
          </cell>
          <cell r="H50">
            <v>0</v>
          </cell>
          <cell r="I50">
            <v>0</v>
          </cell>
          <cell r="J50">
            <v>0</v>
          </cell>
        </row>
        <row r="51">
          <cell r="G51">
            <v>0</v>
          </cell>
          <cell r="H51">
            <v>0</v>
          </cell>
          <cell r="I51">
            <v>0</v>
          </cell>
          <cell r="J51">
            <v>0</v>
          </cell>
        </row>
        <row r="52">
          <cell r="G52">
            <v>0</v>
          </cell>
          <cell r="H52">
            <v>0</v>
          </cell>
          <cell r="I52">
            <v>0</v>
          </cell>
          <cell r="J52">
            <v>0</v>
          </cell>
        </row>
        <row r="54">
          <cell r="G54">
            <v>0</v>
          </cell>
          <cell r="H54">
            <v>0</v>
          </cell>
          <cell r="I54">
            <v>0</v>
          </cell>
          <cell r="J54">
            <v>0</v>
          </cell>
        </row>
        <row r="55">
          <cell r="G55">
            <v>0</v>
          </cell>
          <cell r="H55">
            <v>0</v>
          </cell>
          <cell r="I55">
            <v>0</v>
          </cell>
          <cell r="J55">
            <v>0</v>
          </cell>
        </row>
        <row r="56">
          <cell r="G56">
            <v>0</v>
          </cell>
          <cell r="H56">
            <v>0</v>
          </cell>
          <cell r="I56">
            <v>0</v>
          </cell>
          <cell r="J56">
            <v>0</v>
          </cell>
        </row>
        <row r="58">
          <cell r="G58">
            <v>0</v>
          </cell>
          <cell r="H58">
            <v>0</v>
          </cell>
          <cell r="I58">
            <v>0</v>
          </cell>
          <cell r="J58">
            <v>0</v>
          </cell>
        </row>
        <row r="59">
          <cell r="G59">
            <v>0</v>
          </cell>
          <cell r="H59">
            <v>0</v>
          </cell>
          <cell r="I59">
            <v>0</v>
          </cell>
          <cell r="J59">
            <v>0</v>
          </cell>
        </row>
        <row r="60">
          <cell r="G60">
            <v>0</v>
          </cell>
          <cell r="H60">
            <v>0</v>
          </cell>
          <cell r="I60">
            <v>0</v>
          </cell>
          <cell r="J60">
            <v>0</v>
          </cell>
        </row>
        <row r="62">
          <cell r="G62">
            <v>0</v>
          </cell>
          <cell r="H62">
            <v>0</v>
          </cell>
          <cell r="I62">
            <v>0</v>
          </cell>
          <cell r="J62">
            <v>0</v>
          </cell>
        </row>
        <row r="63">
          <cell r="G63">
            <v>0</v>
          </cell>
          <cell r="H63">
            <v>0</v>
          </cell>
          <cell r="I63">
            <v>0</v>
          </cell>
          <cell r="J63">
            <v>0</v>
          </cell>
        </row>
        <row r="64">
          <cell r="G64">
            <v>0</v>
          </cell>
          <cell r="H64">
            <v>0</v>
          </cell>
          <cell r="I64">
            <v>0</v>
          </cell>
          <cell r="J64">
            <v>0</v>
          </cell>
        </row>
        <row r="66">
          <cell r="G66">
            <v>0</v>
          </cell>
          <cell r="H66">
            <v>0</v>
          </cell>
          <cell r="I66">
            <v>0</v>
          </cell>
          <cell r="J66">
            <v>0</v>
          </cell>
        </row>
        <row r="67">
          <cell r="G67">
            <v>0</v>
          </cell>
          <cell r="H67">
            <v>0</v>
          </cell>
          <cell r="I67">
            <v>0</v>
          </cell>
          <cell r="J67">
            <v>0</v>
          </cell>
        </row>
        <row r="68">
          <cell r="G68">
            <v>0</v>
          </cell>
          <cell r="H68">
            <v>0</v>
          </cell>
          <cell r="I68">
            <v>0</v>
          </cell>
          <cell r="J68">
            <v>0</v>
          </cell>
        </row>
        <row r="69">
          <cell r="G69"/>
          <cell r="H69"/>
          <cell r="I69"/>
          <cell r="J69"/>
        </row>
        <row r="70">
          <cell r="G70">
            <v>0</v>
          </cell>
          <cell r="H70">
            <v>0</v>
          </cell>
          <cell r="I70">
            <v>0</v>
          </cell>
          <cell r="J70">
            <v>0</v>
          </cell>
        </row>
        <row r="71">
          <cell r="G71">
            <v>0</v>
          </cell>
          <cell r="H71">
            <v>0</v>
          </cell>
          <cell r="I71">
            <v>0</v>
          </cell>
          <cell r="J71">
            <v>0</v>
          </cell>
        </row>
        <row r="72">
          <cell r="G72">
            <v>0</v>
          </cell>
          <cell r="H72">
            <v>0</v>
          </cell>
          <cell r="I72">
            <v>0</v>
          </cell>
          <cell r="J72">
            <v>0</v>
          </cell>
        </row>
        <row r="73">
          <cell r="G73"/>
          <cell r="H73"/>
          <cell r="I73"/>
          <cell r="J73"/>
        </row>
        <row r="74">
          <cell r="G74">
            <v>0</v>
          </cell>
          <cell r="H74">
            <v>0</v>
          </cell>
          <cell r="I74">
            <v>0</v>
          </cell>
          <cell r="J74">
            <v>0</v>
          </cell>
        </row>
        <row r="75">
          <cell r="G75">
            <v>0</v>
          </cell>
          <cell r="H75">
            <v>0</v>
          </cell>
          <cell r="I75">
            <v>0</v>
          </cell>
          <cell r="J75">
            <v>0</v>
          </cell>
        </row>
        <row r="76">
          <cell r="G76">
            <v>0</v>
          </cell>
          <cell r="H76">
            <v>0</v>
          </cell>
          <cell r="I76">
            <v>0</v>
          </cell>
          <cell r="J76">
            <v>0</v>
          </cell>
        </row>
        <row r="78">
          <cell r="G78">
            <v>0</v>
          </cell>
          <cell r="H78">
            <v>0</v>
          </cell>
          <cell r="I78">
            <v>0</v>
          </cell>
          <cell r="J78">
            <v>0</v>
          </cell>
        </row>
        <row r="79">
          <cell r="G79">
            <v>0</v>
          </cell>
          <cell r="H79">
            <v>0</v>
          </cell>
          <cell r="I79">
            <v>0</v>
          </cell>
          <cell r="J79">
            <v>0</v>
          </cell>
        </row>
        <row r="80">
          <cell r="G80">
            <v>0</v>
          </cell>
          <cell r="H80">
            <v>0</v>
          </cell>
          <cell r="I80">
            <v>0</v>
          </cell>
          <cell r="J80">
            <v>0</v>
          </cell>
        </row>
        <row r="82">
          <cell r="G82">
            <v>0</v>
          </cell>
          <cell r="H82">
            <v>0</v>
          </cell>
          <cell r="I82">
            <v>0</v>
          </cell>
          <cell r="J82">
            <v>0</v>
          </cell>
        </row>
        <row r="83">
          <cell r="G83">
            <v>0</v>
          </cell>
          <cell r="H83">
            <v>0</v>
          </cell>
          <cell r="I83">
            <v>0</v>
          </cell>
          <cell r="J83">
            <v>0</v>
          </cell>
        </row>
        <row r="84">
          <cell r="G84">
            <v>0</v>
          </cell>
          <cell r="H84">
            <v>0</v>
          </cell>
          <cell r="I84">
            <v>0</v>
          </cell>
          <cell r="J84">
            <v>0</v>
          </cell>
        </row>
        <row r="86">
          <cell r="G86">
            <v>0</v>
          </cell>
          <cell r="H86">
            <v>0</v>
          </cell>
          <cell r="I86">
            <v>0</v>
          </cell>
          <cell r="J86">
            <v>0</v>
          </cell>
        </row>
        <row r="87">
          <cell r="G87">
            <v>0</v>
          </cell>
          <cell r="H87">
            <v>0</v>
          </cell>
          <cell r="I87">
            <v>0</v>
          </cell>
          <cell r="J87">
            <v>0</v>
          </cell>
        </row>
        <row r="88">
          <cell r="G88">
            <v>0</v>
          </cell>
          <cell r="H88">
            <v>0</v>
          </cell>
          <cell r="I88">
            <v>0</v>
          </cell>
          <cell r="J88">
            <v>0</v>
          </cell>
        </row>
        <row r="90">
          <cell r="G90">
            <v>0</v>
          </cell>
          <cell r="H90">
            <v>0</v>
          </cell>
          <cell r="I90">
            <v>0</v>
          </cell>
          <cell r="J90">
            <v>0</v>
          </cell>
        </row>
        <row r="91">
          <cell r="G91">
            <v>0</v>
          </cell>
          <cell r="H91">
            <v>0</v>
          </cell>
          <cell r="I91">
            <v>0</v>
          </cell>
          <cell r="J91">
            <v>0</v>
          </cell>
        </row>
        <row r="92">
          <cell r="G92">
            <v>0</v>
          </cell>
          <cell r="H92">
            <v>0</v>
          </cell>
          <cell r="I92">
            <v>0</v>
          </cell>
          <cell r="J92">
            <v>0</v>
          </cell>
        </row>
        <row r="94">
          <cell r="G94">
            <v>0</v>
          </cell>
          <cell r="H94">
            <v>0</v>
          </cell>
          <cell r="I94">
            <v>0</v>
          </cell>
          <cell r="J94">
            <v>0</v>
          </cell>
        </row>
        <row r="95">
          <cell r="G95">
            <v>0</v>
          </cell>
          <cell r="H95">
            <v>0</v>
          </cell>
          <cell r="I95">
            <v>0</v>
          </cell>
          <cell r="J95">
            <v>0</v>
          </cell>
        </row>
        <row r="96">
          <cell r="G96">
            <v>0</v>
          </cell>
          <cell r="H96">
            <v>0</v>
          </cell>
          <cell r="I96">
            <v>0</v>
          </cell>
          <cell r="J96">
            <v>0</v>
          </cell>
        </row>
        <row r="98">
          <cell r="G98">
            <v>0</v>
          </cell>
          <cell r="H98">
            <v>0</v>
          </cell>
          <cell r="I98">
            <v>0</v>
          </cell>
          <cell r="J98">
            <v>0</v>
          </cell>
        </row>
        <row r="99">
          <cell r="G99">
            <v>0</v>
          </cell>
          <cell r="H99">
            <v>0</v>
          </cell>
          <cell r="I99">
            <v>0</v>
          </cell>
          <cell r="J99">
            <v>0</v>
          </cell>
        </row>
        <row r="100">
          <cell r="G100">
            <v>0</v>
          </cell>
          <cell r="H100">
            <v>0</v>
          </cell>
          <cell r="I100">
            <v>0</v>
          </cell>
          <cell r="J100">
            <v>0</v>
          </cell>
        </row>
        <row r="102">
          <cell r="G102">
            <v>0</v>
          </cell>
          <cell r="H102">
            <v>0</v>
          </cell>
          <cell r="I102">
            <v>0</v>
          </cell>
          <cell r="J102">
            <v>0</v>
          </cell>
        </row>
        <row r="103">
          <cell r="G103">
            <v>0</v>
          </cell>
          <cell r="H103">
            <v>0</v>
          </cell>
          <cell r="I103">
            <v>0</v>
          </cell>
          <cell r="J103">
            <v>0</v>
          </cell>
        </row>
        <row r="104">
          <cell r="G104">
            <v>0</v>
          </cell>
          <cell r="H104">
            <v>0</v>
          </cell>
          <cell r="I104">
            <v>0</v>
          </cell>
          <cell r="J10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meren Exhibit 35.03 WP1"/>
      <sheetName val="Ameren Exhibit 35.03 WP2"/>
      <sheetName val="Ameren Exhibit 35.03 WP3"/>
      <sheetName val="Ameren Exhibit 35.03 WP4"/>
      <sheetName val="Ameren Exhibit 35.03 WP5"/>
      <sheetName val="Ameren Exhibit 35.03 WP6"/>
      <sheetName val="ROE Trends 2016-2020"/>
      <sheetName val="2yr 5yr Beta Components"/>
      <sheetName val="Phipps DCF Excl NWN"/>
      <sheetName val="Utility Bond Yield Average"/>
      <sheetName val="NWN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L9">
            <v>0.10219195757676482</v>
          </cell>
        </row>
        <row r="33">
          <cell r="L33">
            <v>9.126648960998561E-2</v>
          </cell>
        </row>
      </sheetData>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Rates"/>
      <sheetName val="LTG"/>
      <sheetName val="Prices &amp; Dividends"/>
      <sheetName val="Calculate"/>
      <sheetName val="E Dividends"/>
      <sheetName val="NCDCF Calculate"/>
      <sheetName val="NCDCF Cost of Equity"/>
      <sheetName val="Beta"/>
      <sheetName val="CAPM Correction"/>
      <sheetName val="Sheet1"/>
      <sheetName val="Sheet2"/>
    </sheetNames>
    <sheetDataSet>
      <sheetData sheetId="0"/>
      <sheetData sheetId="1">
        <row r="8">
          <cell r="C8">
            <v>26670</v>
          </cell>
        </row>
      </sheetData>
      <sheetData sheetId="2">
        <row r="5">
          <cell r="D5">
            <v>0.49</v>
          </cell>
        </row>
      </sheetData>
      <sheetData sheetId="3">
        <row r="6">
          <cell r="G6">
            <v>0.49</v>
          </cell>
        </row>
      </sheetData>
      <sheetData sheetId="4"/>
      <sheetData sheetId="5">
        <row r="10">
          <cell r="D10">
            <v>9.917676288622114E-2</v>
          </cell>
        </row>
      </sheetData>
      <sheetData sheetId="6"/>
      <sheetData sheetId="7">
        <row r="33">
          <cell r="L33">
            <v>0.76</v>
          </cell>
        </row>
      </sheetData>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s 1-3"/>
      <sheetName val="Page 4"/>
      <sheetName val="Page 5"/>
      <sheetName val="Page 6"/>
      <sheetName val="Electric -5"/>
      <sheetName val="Pages 7-9"/>
      <sheetName val="Gas - 1"/>
      <sheetName val="Gas - 2"/>
      <sheetName val="Gas - 3"/>
      <sheetName val="Gas - 4"/>
      <sheetName val="Gas -5"/>
      <sheetName val="Gas - x"/>
      <sheetName val="Water -1"/>
      <sheetName val="Water -2"/>
      <sheetName val="Water -3"/>
      <sheetName val="Water -4"/>
      <sheetName val="P-E Ratio (WP)"/>
      <sheetName val="MP-CF (WP)"/>
      <sheetName val="MP-BV (WP)"/>
      <sheetName val="DIV-MP (WP)"/>
      <sheetName val="DIV-BV (WP)"/>
      <sheetName val="DIV-Earnings (WP)"/>
      <sheetName val="CF-Cap Spend (WP)"/>
      <sheetName val="CapSpendCashFlow"/>
      <sheetName val="2018 Data (WP)"/>
      <sheetName val="2016"/>
      <sheetName val="2017"/>
      <sheetName val="Sheet2"/>
      <sheetName val="MP"/>
      <sheetName val="CF"/>
      <sheetName val="EPS"/>
      <sheetName val="DIV"/>
      <sheetName val="CapS"/>
      <sheetName val="BV"/>
      <sheetName val="Annual Yields (WP)"/>
      <sheetName val="Implied Inflation"/>
      <sheetName val="FRED 20 yr TIPS monthly"/>
      <sheetName val="Treas 20 yr"/>
    </sheetNames>
    <sheetDataSet>
      <sheetData sheetId="0">
        <row r="1">
          <cell r="C1" t="str">
            <v>Entergy Texas, Inc.</v>
          </cell>
        </row>
      </sheetData>
      <sheetData sheetId="1" refreshError="1"/>
      <sheetData sheetId="2" refreshError="1"/>
      <sheetData sheetId="3" refreshError="1"/>
      <sheetData sheetId="4" refreshError="1"/>
      <sheetData sheetId="5" refreshError="1"/>
      <sheetData sheetId="6">
        <row r="1">
          <cell r="C1" t="str">
            <v>Enter Utility Name Here</v>
          </cell>
        </row>
      </sheetData>
      <sheetData sheetId="7" refreshError="1"/>
      <sheetData sheetId="8" refreshError="1"/>
      <sheetData sheetId="9" refreshError="1"/>
      <sheetData sheetId="10" refreshError="1"/>
      <sheetData sheetId="11" refreshError="1"/>
      <sheetData sheetId="12">
        <row r="1">
          <cell r="C1" t="str">
            <v>Enter Utility Name Here</v>
          </cell>
        </row>
      </sheetData>
      <sheetData sheetId="13" refreshError="1"/>
      <sheetData sheetId="14" refreshError="1"/>
      <sheetData sheetId="15" refreshError="1"/>
      <sheetData sheetId="16">
        <row r="5">
          <cell r="B5" t="str">
            <v>ALE</v>
          </cell>
          <cell r="C5" t="str">
            <v xml:space="preserve">ALLETE                        </v>
          </cell>
          <cell r="E5">
            <v>18.632000000000001</v>
          </cell>
          <cell r="F5">
            <v>15.055999999999999</v>
          </cell>
          <cell r="G5">
            <v>17.228999999999999</v>
          </cell>
          <cell r="H5">
            <v>18.594000000000001</v>
          </cell>
          <cell r="I5">
            <v>15.881</v>
          </cell>
          <cell r="J5">
            <v>14.662000000000001</v>
          </cell>
          <cell r="K5">
            <v>15.976000000000001</v>
          </cell>
          <cell r="L5">
            <v>16.079999999999998</v>
          </cell>
          <cell r="M5">
            <v>13.948</v>
          </cell>
          <cell r="N5">
            <v>14.781000000000001</v>
          </cell>
          <cell r="O5">
            <v>16.545000000000002</v>
          </cell>
          <cell r="P5">
            <v>17.905999999999999</v>
          </cell>
          <cell r="Q5">
            <v>25.213000000000001</v>
          </cell>
          <cell r="R5" t="str">
            <v>N/A</v>
          </cell>
          <cell r="S5" t="str">
            <v>N/A</v>
          </cell>
        </row>
        <row r="6">
          <cell r="B6" t="str">
            <v>LNT</v>
          </cell>
          <cell r="C6" t="str">
            <v xml:space="preserve">Alliant Energy                </v>
          </cell>
          <cell r="E6">
            <v>22.303999999999998</v>
          </cell>
          <cell r="F6">
            <v>18.071999999999999</v>
          </cell>
          <cell r="G6">
            <v>16.603000000000002</v>
          </cell>
          <cell r="H6">
            <v>15.276</v>
          </cell>
          <cell r="I6">
            <v>14.497999999999999</v>
          </cell>
          <cell r="J6">
            <v>14.451000000000001</v>
          </cell>
          <cell r="K6">
            <v>12.473000000000001</v>
          </cell>
          <cell r="L6">
            <v>13.861000000000001</v>
          </cell>
          <cell r="M6">
            <v>13.433</v>
          </cell>
          <cell r="N6">
            <v>15.077</v>
          </cell>
          <cell r="O6">
            <v>16.82</v>
          </cell>
          <cell r="P6">
            <v>12.587999999999999</v>
          </cell>
          <cell r="Q6">
            <v>14.002000000000001</v>
          </cell>
          <cell r="R6">
            <v>12.692</v>
          </cell>
          <cell r="S6">
            <v>19.934000000000001</v>
          </cell>
        </row>
        <row r="7">
          <cell r="B7" t="str">
            <v>AWR</v>
          </cell>
          <cell r="C7" t="str">
            <v>Amer. States Water</v>
          </cell>
          <cell r="E7">
            <v>25.593</v>
          </cell>
          <cell r="F7">
            <v>24.728000000000002</v>
          </cell>
          <cell r="G7">
            <v>20.094999999999999</v>
          </cell>
          <cell r="H7">
            <v>17.166</v>
          </cell>
          <cell r="I7">
            <v>14.301</v>
          </cell>
          <cell r="J7">
            <v>15.356999999999999</v>
          </cell>
          <cell r="K7">
            <v>15.731999999999999</v>
          </cell>
          <cell r="L7">
            <v>21.196000000000002</v>
          </cell>
          <cell r="M7">
            <v>22.585000000000001</v>
          </cell>
          <cell r="N7">
            <v>24.004000000000001</v>
          </cell>
          <cell r="O7">
            <v>27.728999999999999</v>
          </cell>
        </row>
        <row r="8">
          <cell r="B8" t="str">
            <v>AWK</v>
          </cell>
          <cell r="C8" t="str">
            <v>Amer. Water Works</v>
          </cell>
          <cell r="E8">
            <v>27.710999999999999</v>
          </cell>
          <cell r="F8">
            <v>20.507999999999999</v>
          </cell>
          <cell r="G8">
            <v>20.016999999999999</v>
          </cell>
          <cell r="H8">
            <v>19.901</v>
          </cell>
          <cell r="I8">
            <v>16.707000000000001</v>
          </cell>
          <cell r="J8">
            <v>16.797999999999998</v>
          </cell>
          <cell r="K8">
            <v>14.613</v>
          </cell>
          <cell r="L8">
            <v>15.635</v>
          </cell>
          <cell r="M8">
            <v>18.917000000000002</v>
          </cell>
          <cell r="N8" t="str">
            <v>N/A</v>
          </cell>
          <cell r="O8" t="str">
            <v>N/A</v>
          </cell>
        </row>
        <row r="9">
          <cell r="B9" t="str">
            <v>AEE</v>
          </cell>
          <cell r="C9" t="str">
            <v xml:space="preserve">Ameren Corp.                  </v>
          </cell>
          <cell r="E9">
            <v>18.294</v>
          </cell>
          <cell r="F9">
            <v>17.545000000000002</v>
          </cell>
          <cell r="G9">
            <v>16.706</v>
          </cell>
          <cell r="H9">
            <v>16.516999999999999</v>
          </cell>
          <cell r="I9">
            <v>13.351000000000001</v>
          </cell>
          <cell r="J9">
            <v>11.933999999999999</v>
          </cell>
          <cell r="K9">
            <v>9.6549999999999994</v>
          </cell>
          <cell r="L9">
            <v>9.2609999999999992</v>
          </cell>
          <cell r="M9">
            <v>14.205</v>
          </cell>
          <cell r="N9">
            <v>17.45</v>
          </cell>
          <cell r="O9">
            <v>19.385000000000002</v>
          </cell>
          <cell r="P9">
            <v>16.716000000000001</v>
          </cell>
          <cell r="Q9">
            <v>16.276</v>
          </cell>
          <cell r="R9">
            <v>13.505000000000001</v>
          </cell>
          <cell r="S9">
            <v>15.779</v>
          </cell>
        </row>
        <row r="10">
          <cell r="B10" t="str">
            <v>AEP</v>
          </cell>
          <cell r="C10" t="str">
            <v>American Electric Power</v>
          </cell>
          <cell r="E10">
            <v>15.157</v>
          </cell>
          <cell r="F10">
            <v>15.769</v>
          </cell>
          <cell r="G10">
            <v>15.875999999999999</v>
          </cell>
          <cell r="H10">
            <v>14.494</v>
          </cell>
          <cell r="I10">
            <v>13.766999999999999</v>
          </cell>
          <cell r="J10">
            <v>11.917999999999999</v>
          </cell>
          <cell r="K10">
            <v>13.416</v>
          </cell>
          <cell r="L10">
            <v>10.032</v>
          </cell>
          <cell r="M10">
            <v>13.061</v>
          </cell>
          <cell r="N10">
            <v>16.268000000000001</v>
          </cell>
          <cell r="O10">
            <v>12.906000000000001</v>
          </cell>
          <cell r="P10">
            <v>13.695</v>
          </cell>
          <cell r="Q10">
            <v>12.420999999999999</v>
          </cell>
          <cell r="R10">
            <v>10.662000000000001</v>
          </cell>
          <cell r="S10">
            <v>12.676</v>
          </cell>
        </row>
        <row r="11">
          <cell r="B11" t="str">
            <v>WTR</v>
          </cell>
          <cell r="C11" t="str">
            <v>Aqua America</v>
          </cell>
          <cell r="E11">
            <v>23.863</v>
          </cell>
          <cell r="F11">
            <v>23.509</v>
          </cell>
          <cell r="G11">
            <v>20.760999999999999</v>
          </cell>
          <cell r="H11">
            <v>21.18</v>
          </cell>
          <cell r="I11">
            <v>21.937000000000001</v>
          </cell>
          <cell r="J11">
            <v>21.257000000000001</v>
          </cell>
          <cell r="K11">
            <v>21.077999999999999</v>
          </cell>
          <cell r="L11">
            <v>23.094000000000001</v>
          </cell>
          <cell r="M11">
            <v>24.928000000000001</v>
          </cell>
          <cell r="N11">
            <v>31.968</v>
          </cell>
          <cell r="O11">
            <v>34.704000000000001</v>
          </cell>
        </row>
        <row r="12">
          <cell r="B12" t="str">
            <v>ATO</v>
          </cell>
          <cell r="C12" t="str">
            <v>Atmos Energy</v>
          </cell>
          <cell r="E12">
            <v>20.8</v>
          </cell>
          <cell r="F12">
            <v>17.501000000000001</v>
          </cell>
          <cell r="G12">
            <v>16.091999999999999</v>
          </cell>
          <cell r="H12">
            <v>15.872999999999999</v>
          </cell>
          <cell r="I12">
            <v>15.93</v>
          </cell>
          <cell r="J12">
            <v>14.355</v>
          </cell>
          <cell r="K12">
            <v>13.21</v>
          </cell>
          <cell r="L12">
            <v>12.538</v>
          </cell>
          <cell r="M12">
            <v>13.585000000000001</v>
          </cell>
          <cell r="N12">
            <v>15.866</v>
          </cell>
          <cell r="O12">
            <v>13.523999999999999</v>
          </cell>
        </row>
        <row r="13">
          <cell r="B13" t="str">
            <v>AGR</v>
          </cell>
          <cell r="C13" t="str">
            <v>Avangrid, Inc.</v>
          </cell>
          <cell r="E13">
            <v>20.492000000000001</v>
          </cell>
          <cell r="F13">
            <v>40.936</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row>
        <row r="14">
          <cell r="B14" t="str">
            <v>AVA</v>
          </cell>
          <cell r="C14" t="str">
            <v xml:space="preserve">Avista Corp.                  </v>
          </cell>
          <cell r="E14">
            <v>18.795000000000002</v>
          </cell>
          <cell r="F14">
            <v>17.603000000000002</v>
          </cell>
          <cell r="G14">
            <v>17.282</v>
          </cell>
          <cell r="H14">
            <v>14.635</v>
          </cell>
          <cell r="I14">
            <v>19.297000000000001</v>
          </cell>
          <cell r="J14">
            <v>14.077999999999999</v>
          </cell>
          <cell r="K14">
            <v>12.739000000000001</v>
          </cell>
          <cell r="L14">
            <v>11.416</v>
          </cell>
          <cell r="M14">
            <v>14.972</v>
          </cell>
          <cell r="N14">
            <v>30.875</v>
          </cell>
          <cell r="O14">
            <v>15.39</v>
          </cell>
          <cell r="P14">
            <v>19.446999999999999</v>
          </cell>
          <cell r="Q14">
            <v>24.431999999999999</v>
          </cell>
          <cell r="R14">
            <v>13.842000000000001</v>
          </cell>
          <cell r="S14">
            <v>19.27</v>
          </cell>
        </row>
        <row r="15">
          <cell r="B15" t="str">
            <v>BKH</v>
          </cell>
          <cell r="C15" t="str">
            <v xml:space="preserve">Black Hills                   </v>
          </cell>
          <cell r="E15">
            <v>22.289000000000001</v>
          </cell>
          <cell r="F15">
            <v>16.137</v>
          </cell>
          <cell r="G15">
            <v>19.029</v>
          </cell>
          <cell r="H15">
            <v>18.238</v>
          </cell>
          <cell r="I15">
            <v>17.131</v>
          </cell>
          <cell r="J15">
            <v>31.129000000000001</v>
          </cell>
          <cell r="K15">
            <v>18.096</v>
          </cell>
          <cell r="L15">
            <v>9.9260000000000002</v>
          </cell>
          <cell r="M15" t="str">
            <v>N/A</v>
          </cell>
          <cell r="N15">
            <v>15.023</v>
          </cell>
          <cell r="O15">
            <v>15.766999999999999</v>
          </cell>
          <cell r="P15">
            <v>17.265000000000001</v>
          </cell>
          <cell r="Q15">
            <v>17.129000000000001</v>
          </cell>
          <cell r="R15">
            <v>15.949</v>
          </cell>
          <cell r="S15">
            <v>12.515000000000001</v>
          </cell>
        </row>
        <row r="16">
          <cell r="B16" t="str">
            <v>CWT</v>
          </cell>
          <cell r="C16" t="str">
            <v>California Water</v>
          </cell>
          <cell r="E16">
            <v>29.65</v>
          </cell>
          <cell r="F16">
            <v>24.773</v>
          </cell>
          <cell r="G16">
            <v>19.690999999999999</v>
          </cell>
          <cell r="H16">
            <v>20.125</v>
          </cell>
          <cell r="I16">
            <v>17.878</v>
          </cell>
          <cell r="J16">
            <v>21.277000000000001</v>
          </cell>
          <cell r="K16">
            <v>20.295000000000002</v>
          </cell>
          <cell r="L16">
            <v>19.686</v>
          </cell>
          <cell r="M16">
            <v>19.765999999999998</v>
          </cell>
          <cell r="N16">
            <v>26.056999999999999</v>
          </cell>
          <cell r="O16">
            <v>29.239000000000001</v>
          </cell>
        </row>
        <row r="17">
          <cell r="B17" t="str">
            <v>CNP</v>
          </cell>
          <cell r="C17" t="str">
            <v xml:space="preserve">CenterPoint Energy            </v>
          </cell>
          <cell r="E17">
            <v>21.91</v>
          </cell>
          <cell r="F17">
            <v>18.097999999999999</v>
          </cell>
          <cell r="G17">
            <v>16.96</v>
          </cell>
          <cell r="H17">
            <v>18.747</v>
          </cell>
          <cell r="I17">
            <v>14.847</v>
          </cell>
          <cell r="J17">
            <v>14.574999999999999</v>
          </cell>
          <cell r="K17">
            <v>13.781000000000001</v>
          </cell>
          <cell r="L17">
            <v>11.807</v>
          </cell>
          <cell r="M17">
            <v>11.272</v>
          </cell>
          <cell r="N17">
            <v>15.002000000000001</v>
          </cell>
          <cell r="O17">
            <v>10.265000000000001</v>
          </cell>
          <cell r="P17">
            <v>19.055</v>
          </cell>
          <cell r="Q17">
            <v>17.841000000000001</v>
          </cell>
          <cell r="R17">
            <v>6.0469999999999997</v>
          </cell>
          <cell r="S17">
            <v>5.59</v>
          </cell>
        </row>
        <row r="18">
          <cell r="B18" t="str">
            <v>CHG</v>
          </cell>
          <cell r="C18" t="str">
            <v xml:space="preserve">CH Energy Group               </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v>17.190000000000001</v>
          </cell>
          <cell r="R18">
            <v>15.709</v>
          </cell>
          <cell r="S18">
            <v>22.559000000000001</v>
          </cell>
        </row>
        <row r="19">
          <cell r="B19" t="str">
            <v>CPK</v>
          </cell>
          <cell r="C19" t="str">
            <v>Chesapeake Utilities</v>
          </cell>
          <cell r="E19">
            <v>21.774000000000001</v>
          </cell>
          <cell r="F19">
            <v>19.145</v>
          </cell>
          <cell r="G19">
            <v>17.702000000000002</v>
          </cell>
          <cell r="H19">
            <v>15.622</v>
          </cell>
          <cell r="I19">
            <v>14.808</v>
          </cell>
          <cell r="J19">
            <v>14.16</v>
          </cell>
          <cell r="K19">
            <v>12.214</v>
          </cell>
          <cell r="L19">
            <v>14.202999999999999</v>
          </cell>
          <cell r="M19">
            <v>14.154</v>
          </cell>
          <cell r="N19">
            <v>16.718</v>
          </cell>
          <cell r="O19">
            <v>17.853999999999999</v>
          </cell>
        </row>
        <row r="20">
          <cell r="B20" t="str">
            <v>CNL</v>
          </cell>
          <cell r="C20" t="str">
            <v xml:space="preserve">Cleco Corp.                   </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v>13.757999999999999</v>
          </cell>
          <cell r="R20">
            <v>12.385999999999999</v>
          </cell>
          <cell r="S20">
            <v>12.244999999999999</v>
          </cell>
        </row>
        <row r="21">
          <cell r="B21" t="str">
            <v>CMS</v>
          </cell>
          <cell r="C21" t="str">
            <v xml:space="preserve">CMS Energy Corp.              </v>
          </cell>
          <cell r="E21">
            <v>20.943000000000001</v>
          </cell>
          <cell r="F21">
            <v>18.291</v>
          </cell>
          <cell r="G21">
            <v>17.298999999999999</v>
          </cell>
          <cell r="H21">
            <v>16.323</v>
          </cell>
          <cell r="I21">
            <v>15.069000000000001</v>
          </cell>
          <cell r="J21">
            <v>13.615</v>
          </cell>
          <cell r="K21">
            <v>12.456</v>
          </cell>
          <cell r="L21">
            <v>13.555999999999999</v>
          </cell>
          <cell r="M21">
            <v>10.866</v>
          </cell>
          <cell r="N21">
            <v>26.837</v>
          </cell>
          <cell r="O21">
            <v>22.181000000000001</v>
          </cell>
          <cell r="P21">
            <v>12.601000000000001</v>
          </cell>
          <cell r="Q21">
            <v>12.385</v>
          </cell>
          <cell r="R21" t="str">
            <v>N/A</v>
          </cell>
          <cell r="S21" t="str">
            <v>N/A</v>
          </cell>
        </row>
        <row r="22">
          <cell r="B22" t="str">
            <v>CTWS</v>
          </cell>
          <cell r="C22" t="str">
            <v>Conn. Water Services</v>
          </cell>
          <cell r="E22">
            <v>23.285</v>
          </cell>
          <cell r="F22">
            <v>17.577000000000002</v>
          </cell>
          <cell r="G22">
            <v>17.521000000000001</v>
          </cell>
          <cell r="H22">
            <v>18.367000000000001</v>
          </cell>
          <cell r="I22">
            <v>19.385000000000002</v>
          </cell>
          <cell r="J22">
            <v>23.036000000000001</v>
          </cell>
          <cell r="K22">
            <v>20.669</v>
          </cell>
          <cell r="L22">
            <v>18.405000000000001</v>
          </cell>
          <cell r="M22">
            <v>22.167999999999999</v>
          </cell>
          <cell r="N22">
            <v>23.001000000000001</v>
          </cell>
          <cell r="O22">
            <v>28.977</v>
          </cell>
        </row>
        <row r="23">
          <cell r="B23" t="str">
            <v>ED</v>
          </cell>
          <cell r="C23" t="str">
            <v xml:space="preserve">Consol. Edison                </v>
          </cell>
          <cell r="E23">
            <v>18.802</v>
          </cell>
          <cell r="F23">
            <v>15.589</v>
          </cell>
          <cell r="G23">
            <v>15.901</v>
          </cell>
          <cell r="H23">
            <v>14.723000000000001</v>
          </cell>
          <cell r="I23">
            <v>15.39</v>
          </cell>
          <cell r="J23">
            <v>15.074999999999999</v>
          </cell>
          <cell r="K23">
            <v>13.297000000000001</v>
          </cell>
          <cell r="L23">
            <v>12.545999999999999</v>
          </cell>
          <cell r="M23">
            <v>12.285</v>
          </cell>
          <cell r="N23">
            <v>13.782</v>
          </cell>
          <cell r="O23">
            <v>15.484999999999999</v>
          </cell>
          <cell r="P23">
            <v>15.129</v>
          </cell>
          <cell r="Q23">
            <v>18.209</v>
          </cell>
          <cell r="R23">
            <v>14.3</v>
          </cell>
          <cell r="S23">
            <v>13.278</v>
          </cell>
        </row>
        <row r="24">
          <cell r="B24" t="str">
            <v>CWCO</v>
          </cell>
          <cell r="C24" t="str">
            <v>Consolidated Water</v>
          </cell>
          <cell r="E24">
            <v>44.807000000000002</v>
          </cell>
          <cell r="F24">
            <v>22.692</v>
          </cell>
          <cell r="G24">
            <v>28.288</v>
          </cell>
          <cell r="H24">
            <v>20.021999999999998</v>
          </cell>
          <cell r="I24">
            <v>12.414</v>
          </cell>
          <cell r="J24">
            <v>22.393000000000001</v>
          </cell>
          <cell r="K24">
            <v>26.867000000000001</v>
          </cell>
          <cell r="L24">
            <v>19.030999999999999</v>
          </cell>
          <cell r="M24">
            <v>37.79</v>
          </cell>
          <cell r="N24">
            <v>35.39</v>
          </cell>
          <cell r="O24">
            <v>43.048999999999999</v>
          </cell>
        </row>
        <row r="25">
          <cell r="B25" t="str">
            <v>D</v>
          </cell>
          <cell r="C25" t="str">
            <v xml:space="preserve">Dominion Resources            </v>
          </cell>
          <cell r="E25">
            <v>21.324999999999999</v>
          </cell>
          <cell r="F25">
            <v>22.137</v>
          </cell>
          <cell r="G25">
            <v>22.972000000000001</v>
          </cell>
          <cell r="H25">
            <v>19.245000000000001</v>
          </cell>
          <cell r="I25">
            <v>18.911999999999999</v>
          </cell>
          <cell r="J25">
            <v>17.27</v>
          </cell>
          <cell r="K25">
            <v>14.348000000000001</v>
          </cell>
          <cell r="L25">
            <v>12.742000000000001</v>
          </cell>
          <cell r="M25">
            <v>13.78</v>
          </cell>
          <cell r="N25">
            <v>20.626000000000001</v>
          </cell>
          <cell r="O25">
            <v>15.976000000000001</v>
          </cell>
          <cell r="P25">
            <v>24.893999999999998</v>
          </cell>
          <cell r="Q25">
            <v>15.071999999999999</v>
          </cell>
          <cell r="R25">
            <v>15.241</v>
          </cell>
          <cell r="S25">
            <v>12.045</v>
          </cell>
        </row>
        <row r="26">
          <cell r="B26" t="str">
            <v>DTE</v>
          </cell>
          <cell r="C26" t="str">
            <v xml:space="preserve">DTE Energy                    </v>
          </cell>
          <cell r="E26">
            <v>18.966000000000001</v>
          </cell>
          <cell r="F26">
            <v>18.113</v>
          </cell>
          <cell r="G26">
            <v>14.912000000000001</v>
          </cell>
          <cell r="H26">
            <v>17.914999999999999</v>
          </cell>
          <cell r="I26">
            <v>14.888999999999999</v>
          </cell>
          <cell r="J26">
            <v>13.509</v>
          </cell>
          <cell r="K26">
            <v>12.266</v>
          </cell>
          <cell r="L26">
            <v>10.41</v>
          </cell>
          <cell r="M26">
            <v>14.811</v>
          </cell>
          <cell r="N26">
            <v>18.265000000000001</v>
          </cell>
          <cell r="O26">
            <v>17.431000000000001</v>
          </cell>
          <cell r="P26">
            <v>13.797000000000001</v>
          </cell>
          <cell r="Q26">
            <v>16.042999999999999</v>
          </cell>
          <cell r="R26">
            <v>13.689</v>
          </cell>
          <cell r="S26">
            <v>11.279</v>
          </cell>
        </row>
        <row r="27">
          <cell r="B27" t="str">
            <v>DUK</v>
          </cell>
          <cell r="C27" t="str">
            <v xml:space="preserve">Duke Energy                   </v>
          </cell>
          <cell r="E27">
            <v>21.251000000000001</v>
          </cell>
          <cell r="F27">
            <v>18.218</v>
          </cell>
          <cell r="G27">
            <v>17.913</v>
          </cell>
          <cell r="H27">
            <v>17.449000000000002</v>
          </cell>
          <cell r="I27">
            <v>17.463999999999999</v>
          </cell>
          <cell r="J27">
            <v>13.763</v>
          </cell>
          <cell r="K27">
            <v>12.685</v>
          </cell>
          <cell r="L27">
            <v>13.317</v>
          </cell>
          <cell r="M27">
            <v>17.283000000000001</v>
          </cell>
          <cell r="N27">
            <v>16.129000000000001</v>
          </cell>
          <cell r="O27" t="str">
            <v>N/A</v>
          </cell>
          <cell r="P27" t="str">
            <v>N/A</v>
          </cell>
          <cell r="Q27" t="str">
            <v>N/A</v>
          </cell>
          <cell r="R27" t="str">
            <v>N/A</v>
          </cell>
          <cell r="S27" t="str">
            <v>N/A</v>
          </cell>
        </row>
        <row r="28">
          <cell r="B28" t="str">
            <v>EIX</v>
          </cell>
          <cell r="C28" t="str">
            <v xml:space="preserve">Edison Int'l                  </v>
          </cell>
          <cell r="E28">
            <v>17.920000000000002</v>
          </cell>
          <cell r="F28">
            <v>14.766999999999999</v>
          </cell>
          <cell r="G28">
            <v>13.05</v>
          </cell>
          <cell r="H28">
            <v>12.699</v>
          </cell>
          <cell r="I28">
            <v>9.7070000000000007</v>
          </cell>
          <cell r="J28">
            <v>11.808</v>
          </cell>
          <cell r="K28">
            <v>10.319000000000001</v>
          </cell>
          <cell r="L28">
            <v>9.718</v>
          </cell>
          <cell r="M28">
            <v>12.356999999999999</v>
          </cell>
          <cell r="N28">
            <v>16.027999999999999</v>
          </cell>
          <cell r="O28">
            <v>12.988</v>
          </cell>
          <cell r="P28">
            <v>11.74</v>
          </cell>
          <cell r="Q28">
            <v>37.591000000000001</v>
          </cell>
          <cell r="R28">
            <v>6.968</v>
          </cell>
          <cell r="S28">
            <v>7.7839999999999998</v>
          </cell>
        </row>
        <row r="29">
          <cell r="B29" t="str">
            <v>EE</v>
          </cell>
          <cell r="C29" t="str">
            <v xml:space="preserve">El Paso Electric              </v>
          </cell>
          <cell r="E29">
            <v>18.657</v>
          </cell>
          <cell r="F29">
            <v>18.329000000000001</v>
          </cell>
          <cell r="G29">
            <v>16.382999999999999</v>
          </cell>
          <cell r="H29">
            <v>15.879</v>
          </cell>
          <cell r="I29">
            <v>14.473000000000001</v>
          </cell>
          <cell r="J29">
            <v>12.595000000000001</v>
          </cell>
          <cell r="K29">
            <v>10.72</v>
          </cell>
          <cell r="L29">
            <v>10.792999999999999</v>
          </cell>
          <cell r="M29">
            <v>11.894</v>
          </cell>
          <cell r="N29">
            <v>15.26</v>
          </cell>
          <cell r="O29">
            <v>16.920000000000002</v>
          </cell>
          <cell r="P29">
            <v>26.724</v>
          </cell>
          <cell r="Q29">
            <v>22.033000000000001</v>
          </cell>
          <cell r="R29">
            <v>18.263000000000002</v>
          </cell>
          <cell r="S29">
            <v>22.992999999999999</v>
          </cell>
        </row>
        <row r="30">
          <cell r="B30" t="str">
            <v>EDE</v>
          </cell>
          <cell r="C30" t="str">
            <v>Empire District Electric</v>
          </cell>
          <cell r="E30" t="str">
            <v>N/A</v>
          </cell>
          <cell r="F30">
            <v>18.71</v>
          </cell>
          <cell r="G30">
            <v>16.212</v>
          </cell>
          <cell r="H30">
            <v>14.997</v>
          </cell>
          <cell r="I30">
            <v>15.757999999999999</v>
          </cell>
          <cell r="J30">
            <v>15.763</v>
          </cell>
          <cell r="K30">
            <v>16.751999999999999</v>
          </cell>
          <cell r="L30">
            <v>14.337999999999999</v>
          </cell>
          <cell r="M30">
            <v>17.254999999999999</v>
          </cell>
          <cell r="N30">
            <v>21.702000000000002</v>
          </cell>
          <cell r="O30">
            <v>15.916</v>
          </cell>
          <cell r="P30">
            <v>24.498000000000001</v>
          </cell>
          <cell r="Q30">
            <v>24.806999999999999</v>
          </cell>
          <cell r="R30">
            <v>15.827</v>
          </cell>
          <cell r="S30">
            <v>16.18</v>
          </cell>
        </row>
        <row r="31">
          <cell r="B31" t="str">
            <v>ETR</v>
          </cell>
          <cell r="C31" t="str">
            <v xml:space="preserve">Entergy Corp.                 </v>
          </cell>
          <cell r="E31">
            <v>10.922000000000001</v>
          </cell>
          <cell r="F31">
            <v>12.529</v>
          </cell>
          <cell r="G31">
            <v>12.885999999999999</v>
          </cell>
          <cell r="H31">
            <v>13.214</v>
          </cell>
          <cell r="I31">
            <v>11.224</v>
          </cell>
          <cell r="J31">
            <v>9.0619999999999994</v>
          </cell>
          <cell r="K31">
            <v>11.571</v>
          </cell>
          <cell r="L31">
            <v>11.981</v>
          </cell>
          <cell r="M31">
            <v>16.556000000000001</v>
          </cell>
          <cell r="N31">
            <v>19.303000000000001</v>
          </cell>
          <cell r="O31">
            <v>14.276</v>
          </cell>
          <cell r="P31">
            <v>16.282</v>
          </cell>
          <cell r="Q31">
            <v>15.087</v>
          </cell>
          <cell r="R31">
            <v>13.771000000000001</v>
          </cell>
          <cell r="S31">
            <v>11.525</v>
          </cell>
        </row>
        <row r="32">
          <cell r="B32" t="str">
            <v>ES</v>
          </cell>
          <cell r="C32" t="str">
            <v xml:space="preserve">Eversource Energy    </v>
          </cell>
          <cell r="E32">
            <v>18.692</v>
          </cell>
          <cell r="F32">
            <v>18.11</v>
          </cell>
          <cell r="G32">
            <v>17.920000000000002</v>
          </cell>
          <cell r="H32">
            <v>16.940999999999999</v>
          </cell>
          <cell r="I32">
            <v>19.855</v>
          </cell>
          <cell r="J32">
            <v>15.35</v>
          </cell>
          <cell r="K32">
            <v>13.423</v>
          </cell>
          <cell r="L32">
            <v>11.96</v>
          </cell>
          <cell r="M32">
            <v>13.662000000000001</v>
          </cell>
          <cell r="N32">
            <v>18.745999999999999</v>
          </cell>
          <cell r="O32">
            <v>27.065000000000001</v>
          </cell>
          <cell r="P32">
            <v>19.757000000000001</v>
          </cell>
          <cell r="Q32">
            <v>20.768000000000001</v>
          </cell>
          <cell r="R32">
            <v>13.353999999999999</v>
          </cell>
          <cell r="S32">
            <v>16.065999999999999</v>
          </cell>
        </row>
        <row r="33">
          <cell r="B33" t="str">
            <v>EXC</v>
          </cell>
          <cell r="C33" t="str">
            <v xml:space="preserve">Exelon Corp.                  </v>
          </cell>
          <cell r="E33">
            <v>18.681000000000001</v>
          </cell>
          <cell r="F33">
            <v>12.576000000000001</v>
          </cell>
          <cell r="G33">
            <v>16.018000000000001</v>
          </cell>
          <cell r="H33">
            <v>13.433</v>
          </cell>
          <cell r="I33">
            <v>19.077999999999999</v>
          </cell>
          <cell r="J33">
            <v>11.301</v>
          </cell>
          <cell r="K33">
            <v>10.97</v>
          </cell>
          <cell r="L33">
            <v>11.488</v>
          </cell>
          <cell r="M33">
            <v>17.972000000000001</v>
          </cell>
          <cell r="N33">
            <v>18.222000000000001</v>
          </cell>
          <cell r="O33">
            <v>16.529</v>
          </cell>
          <cell r="P33">
            <v>15.371</v>
          </cell>
          <cell r="Q33">
            <v>12.99</v>
          </cell>
          <cell r="R33">
            <v>11.765000000000001</v>
          </cell>
          <cell r="S33">
            <v>10.457000000000001</v>
          </cell>
        </row>
        <row r="34">
          <cell r="B34" t="str">
            <v>FE</v>
          </cell>
          <cell r="C34" t="str">
            <v xml:space="preserve">FirstEnergy Corp.             </v>
          </cell>
          <cell r="E34">
            <v>15.914</v>
          </cell>
          <cell r="F34">
            <v>17.023</v>
          </cell>
          <cell r="G34">
            <v>39.789000000000001</v>
          </cell>
          <cell r="H34">
            <v>13.055</v>
          </cell>
          <cell r="I34">
            <v>21.094999999999999</v>
          </cell>
          <cell r="J34">
            <v>22.39</v>
          </cell>
          <cell r="K34">
            <v>11.747999999999999</v>
          </cell>
          <cell r="L34">
            <v>13.023999999999999</v>
          </cell>
          <cell r="M34">
            <v>15.643000000000001</v>
          </cell>
          <cell r="N34">
            <v>15.587</v>
          </cell>
          <cell r="O34">
            <v>14.228999999999999</v>
          </cell>
          <cell r="P34">
            <v>16.065000000000001</v>
          </cell>
          <cell r="Q34">
            <v>14.127000000000001</v>
          </cell>
          <cell r="R34">
            <v>22.47</v>
          </cell>
          <cell r="S34">
            <v>12.954000000000001</v>
          </cell>
        </row>
        <row r="35">
          <cell r="B35" t="str">
            <v>FTS.TO</v>
          </cell>
          <cell r="C35" t="str">
            <v>Fortis Inc.</v>
          </cell>
          <cell r="E35">
            <v>21.603000000000002</v>
          </cell>
          <cell r="F35">
            <v>18.001999999999999</v>
          </cell>
          <cell r="G35">
            <v>24.286000000000001</v>
          </cell>
          <cell r="H35">
            <v>19.97</v>
          </cell>
          <cell r="I35">
            <v>20.122</v>
          </cell>
          <cell r="J35">
            <v>18.792999999999999</v>
          </cell>
          <cell r="K35">
            <v>18.215</v>
          </cell>
          <cell r="L35">
            <v>16.364000000000001</v>
          </cell>
          <cell r="M35">
            <v>17.481999999999999</v>
          </cell>
          <cell r="N35">
            <v>21.143999999999998</v>
          </cell>
          <cell r="O35">
            <v>17.684000000000001</v>
          </cell>
          <cell r="P35" t="str">
            <v>N/A</v>
          </cell>
          <cell r="Q35" t="str">
            <v>N/A</v>
          </cell>
          <cell r="R35" t="str">
            <v>N/A</v>
          </cell>
          <cell r="S35" t="str">
            <v>N/A</v>
          </cell>
        </row>
        <row r="36">
          <cell r="B36" t="str">
            <v>FPL</v>
          </cell>
          <cell r="C36" t="str">
            <v xml:space="preserve">FPL Group                     </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v>13.602</v>
          </cell>
          <cell r="R36">
            <v>12.646000000000001</v>
          </cell>
          <cell r="S36">
            <v>14.225</v>
          </cell>
        </row>
        <row r="37">
          <cell r="B37" t="str">
            <v>GXP</v>
          </cell>
          <cell r="C37" t="str">
            <v xml:space="preserve">Great Plains Energy             </v>
          </cell>
          <cell r="E37">
            <v>17.981000000000002</v>
          </cell>
          <cell r="F37">
            <v>19.366</v>
          </cell>
          <cell r="G37">
            <v>16.47</v>
          </cell>
          <cell r="H37">
            <v>14.186</v>
          </cell>
          <cell r="I37">
            <v>15.534000000000001</v>
          </cell>
          <cell r="J37">
            <v>16.105</v>
          </cell>
          <cell r="K37">
            <v>12.095000000000001</v>
          </cell>
          <cell r="L37">
            <v>16.033000000000001</v>
          </cell>
          <cell r="M37">
            <v>20.547000000000001</v>
          </cell>
          <cell r="N37">
            <v>16.347999999999999</v>
          </cell>
          <cell r="O37">
            <v>18.298999999999999</v>
          </cell>
          <cell r="P37">
            <v>13.962</v>
          </cell>
          <cell r="Q37">
            <v>12.593</v>
          </cell>
          <cell r="R37">
            <v>12.228999999999999</v>
          </cell>
          <cell r="S37">
            <v>11.09</v>
          </cell>
        </row>
        <row r="38">
          <cell r="B38" t="str">
            <v>HE</v>
          </cell>
          <cell r="C38" t="str">
            <v xml:space="preserve">Hawaiian Elec.                </v>
          </cell>
          <cell r="E38">
            <v>13.555999999999999</v>
          </cell>
          <cell r="F38">
            <v>20.402999999999999</v>
          </cell>
          <cell r="G38">
            <v>15.881</v>
          </cell>
          <cell r="H38">
            <v>16.213000000000001</v>
          </cell>
          <cell r="I38">
            <v>15.813000000000001</v>
          </cell>
          <cell r="J38">
            <v>17.09</v>
          </cell>
          <cell r="K38">
            <v>18.588000000000001</v>
          </cell>
          <cell r="L38">
            <v>19.786000000000001</v>
          </cell>
          <cell r="M38">
            <v>23.161000000000001</v>
          </cell>
          <cell r="N38">
            <v>21.574000000000002</v>
          </cell>
          <cell r="O38">
            <v>20.329000000000001</v>
          </cell>
          <cell r="P38">
            <v>18.273</v>
          </cell>
          <cell r="Q38">
            <v>19.181000000000001</v>
          </cell>
          <cell r="R38">
            <v>13.759</v>
          </cell>
          <cell r="S38">
            <v>13.474</v>
          </cell>
        </row>
        <row r="39">
          <cell r="B39" t="str">
            <v>IDA</v>
          </cell>
          <cell r="C39" t="str">
            <v xml:space="preserve">IDACORP, Inc.                 </v>
          </cell>
          <cell r="E39">
            <v>19.059999999999999</v>
          </cell>
          <cell r="F39">
            <v>16.218</v>
          </cell>
          <cell r="G39">
            <v>14.664999999999999</v>
          </cell>
          <cell r="H39">
            <v>13.45</v>
          </cell>
          <cell r="I39">
            <v>12.409000000000001</v>
          </cell>
          <cell r="J39">
            <v>11.535</v>
          </cell>
          <cell r="K39">
            <v>11.827</v>
          </cell>
          <cell r="L39">
            <v>10.196999999999999</v>
          </cell>
          <cell r="M39">
            <v>13.925000000000001</v>
          </cell>
          <cell r="N39">
            <v>18.193999999999999</v>
          </cell>
          <cell r="O39">
            <v>15.07</v>
          </cell>
          <cell r="P39">
            <v>16.699000000000002</v>
          </cell>
          <cell r="Q39">
            <v>15.488</v>
          </cell>
          <cell r="R39">
            <v>26.510999999999999</v>
          </cell>
          <cell r="S39">
            <v>18.875</v>
          </cell>
        </row>
        <row r="40">
          <cell r="B40" t="str">
            <v>TEG</v>
          </cell>
          <cell r="C40" t="str">
            <v xml:space="preserve">Integrys Energy               </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v>11.55</v>
          </cell>
          <cell r="R40">
            <v>14.875</v>
          </cell>
          <cell r="S40">
            <v>13.955</v>
          </cell>
        </row>
        <row r="41">
          <cell r="B41" t="str">
            <v>ITC</v>
          </cell>
          <cell r="C41" t="str">
            <v>ITC Holdings</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v>26.367999999999999</v>
          </cell>
          <cell r="Q41" t="str">
            <v>N/A</v>
          </cell>
          <cell r="R41" t="str">
            <v>N/A</v>
          </cell>
          <cell r="S41" t="str">
            <v>N/A</v>
          </cell>
        </row>
        <row r="42">
          <cell r="B42" t="str">
            <v>MDU</v>
          </cell>
          <cell r="C42" t="str">
            <v xml:space="preserve">MDU Resources                 </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v>13.023999999999999</v>
          </cell>
          <cell r="Q42">
            <v>13.635999999999999</v>
          </cell>
          <cell r="R42">
            <v>12.965999999999999</v>
          </cell>
          <cell r="S42">
            <v>14.363</v>
          </cell>
        </row>
        <row r="43">
          <cell r="B43" t="str">
            <v>MGEE</v>
          </cell>
          <cell r="C43" t="str">
            <v xml:space="preserve">MGE Energy                    </v>
          </cell>
          <cell r="E43">
            <v>24.904</v>
          </cell>
          <cell r="F43">
            <v>20.279</v>
          </cell>
          <cell r="G43">
            <v>17.190999999999999</v>
          </cell>
          <cell r="H43">
            <v>17.013999999999999</v>
          </cell>
          <cell r="I43">
            <v>17.231000000000002</v>
          </cell>
          <cell r="J43">
            <v>15.823</v>
          </cell>
          <cell r="K43">
            <v>14.977</v>
          </cell>
          <cell r="L43">
            <v>15.138999999999999</v>
          </cell>
          <cell r="M43">
            <v>14.221</v>
          </cell>
          <cell r="N43">
            <v>15.007</v>
          </cell>
          <cell r="O43">
            <v>15.879</v>
          </cell>
          <cell r="P43">
            <v>22.401</v>
          </cell>
          <cell r="Q43">
            <v>17.983000000000001</v>
          </cell>
          <cell r="R43">
            <v>17.55</v>
          </cell>
          <cell r="S43">
            <v>15.957000000000001</v>
          </cell>
        </row>
        <row r="44">
          <cell r="B44" t="str">
            <v>MSEX</v>
          </cell>
          <cell r="C44" t="str">
            <v>Middlesex Water</v>
          </cell>
          <cell r="E44">
            <v>25.645</v>
          </cell>
          <cell r="F44">
            <v>19.11</v>
          </cell>
          <cell r="G44">
            <v>18.486999999999998</v>
          </cell>
          <cell r="H44">
            <v>19.704000000000001</v>
          </cell>
          <cell r="I44">
            <v>20.829000000000001</v>
          </cell>
          <cell r="J44">
            <v>21.725999999999999</v>
          </cell>
          <cell r="K44">
            <v>17.809000000000001</v>
          </cell>
          <cell r="L44">
            <v>21.016999999999999</v>
          </cell>
          <cell r="M44">
            <v>19.798999999999999</v>
          </cell>
          <cell r="N44">
            <v>21.588999999999999</v>
          </cell>
          <cell r="O44">
            <v>22.718</v>
          </cell>
        </row>
        <row r="45">
          <cell r="B45" t="str">
            <v>NJR</v>
          </cell>
          <cell r="C45" t="str">
            <v>New Jersey Resources</v>
          </cell>
          <cell r="E45">
            <v>21.25</v>
          </cell>
          <cell r="F45">
            <v>16.613</v>
          </cell>
          <cell r="G45">
            <v>11.731999999999999</v>
          </cell>
          <cell r="H45">
            <v>15.983000000000001</v>
          </cell>
          <cell r="I45">
            <v>16.829000000000001</v>
          </cell>
          <cell r="J45">
            <v>16.754999999999999</v>
          </cell>
          <cell r="K45">
            <v>14.984</v>
          </cell>
          <cell r="L45">
            <v>14.925000000000001</v>
          </cell>
          <cell r="M45">
            <v>12.273999999999999</v>
          </cell>
          <cell r="N45">
            <v>21.611000000000001</v>
          </cell>
          <cell r="O45">
            <v>16.125</v>
          </cell>
        </row>
        <row r="46">
          <cell r="B46" t="str">
            <v>NEE</v>
          </cell>
          <cell r="C46" t="str">
            <v>NextEra Energy, Inc.</v>
          </cell>
          <cell r="E46">
            <v>20.710999999999999</v>
          </cell>
          <cell r="F46">
            <v>16.893999999999998</v>
          </cell>
          <cell r="G46">
            <v>17.254000000000001</v>
          </cell>
          <cell r="H46">
            <v>16.571000000000002</v>
          </cell>
          <cell r="I46">
            <v>14.433999999999999</v>
          </cell>
          <cell r="J46">
            <v>11.536</v>
          </cell>
          <cell r="K46">
            <v>10.827999999999999</v>
          </cell>
          <cell r="L46">
            <v>13.416</v>
          </cell>
          <cell r="M46">
            <v>14.481999999999999</v>
          </cell>
          <cell r="N46">
            <v>18.896999999999998</v>
          </cell>
          <cell r="O46">
            <v>13.651999999999999</v>
          </cell>
          <cell r="P46">
            <v>17.884</v>
          </cell>
          <cell r="Q46">
            <v>13.651999999999999</v>
          </cell>
          <cell r="R46">
            <v>17.884</v>
          </cell>
          <cell r="S46">
            <v>13.602</v>
          </cell>
        </row>
        <row r="47">
          <cell r="B47" t="str">
            <v>NI</v>
          </cell>
          <cell r="C47" t="str">
            <v xml:space="preserve">NiSource Inc.                 </v>
          </cell>
          <cell r="E47">
            <v>23.183</v>
          </cell>
          <cell r="F47">
            <v>37.340000000000003</v>
          </cell>
          <cell r="G47">
            <v>22.742000000000001</v>
          </cell>
          <cell r="H47">
            <v>18.888999999999999</v>
          </cell>
          <cell r="I47">
            <v>17.87</v>
          </cell>
          <cell r="J47">
            <v>19.363</v>
          </cell>
          <cell r="K47">
            <v>15.327</v>
          </cell>
          <cell r="L47">
            <v>14.335000000000001</v>
          </cell>
          <cell r="M47">
            <v>12.065</v>
          </cell>
          <cell r="N47">
            <v>18.815999999999999</v>
          </cell>
          <cell r="O47">
            <v>19.16</v>
          </cell>
          <cell r="P47">
            <v>21.427</v>
          </cell>
          <cell r="Q47">
            <v>13.035</v>
          </cell>
          <cell r="R47">
            <v>12.23</v>
          </cell>
          <cell r="S47">
            <v>10.752000000000001</v>
          </cell>
        </row>
        <row r="48">
          <cell r="B48" t="str">
            <v>NWN</v>
          </cell>
          <cell r="C48" t="str">
            <v>Northwest Nat. Gas</v>
          </cell>
          <cell r="E48">
            <v>26.922999999999998</v>
          </cell>
          <cell r="F48">
            <v>23.692</v>
          </cell>
          <cell r="G48">
            <v>20.69</v>
          </cell>
          <cell r="H48">
            <v>19.379000000000001</v>
          </cell>
          <cell r="I48">
            <v>21.076000000000001</v>
          </cell>
          <cell r="J48">
            <v>19.018000000000001</v>
          </cell>
          <cell r="K48">
            <v>16.971</v>
          </cell>
          <cell r="L48">
            <v>15.173</v>
          </cell>
          <cell r="M48">
            <v>18.074999999999999</v>
          </cell>
          <cell r="N48">
            <v>16.738</v>
          </cell>
          <cell r="O48">
            <v>15.85</v>
          </cell>
        </row>
        <row r="49">
          <cell r="B49" t="str">
            <v>NWE</v>
          </cell>
          <cell r="C49" t="str">
            <v xml:space="preserve">NorthWestern Corp             </v>
          </cell>
          <cell r="E49">
            <v>17.186</v>
          </cell>
          <cell r="F49">
            <v>18.361999999999998</v>
          </cell>
          <cell r="G49">
            <v>16.234999999999999</v>
          </cell>
          <cell r="H49">
            <v>16.86</v>
          </cell>
          <cell r="I49">
            <v>15.717000000000001</v>
          </cell>
          <cell r="J49">
            <v>12.622999999999999</v>
          </cell>
          <cell r="K49">
            <v>12.895</v>
          </cell>
          <cell r="L49">
            <v>11.538</v>
          </cell>
          <cell r="M49">
            <v>13.866</v>
          </cell>
          <cell r="N49">
            <v>21.734999999999999</v>
          </cell>
          <cell r="O49">
            <v>25.952999999999999</v>
          </cell>
          <cell r="P49">
            <v>17.091000000000001</v>
          </cell>
          <cell r="Q49" t="str">
            <v>N/A</v>
          </cell>
          <cell r="R49" t="str">
            <v>N/A</v>
          </cell>
          <cell r="S49" t="str">
            <v>N/A</v>
          </cell>
        </row>
        <row r="50">
          <cell r="B50" t="str">
            <v>OGE</v>
          </cell>
          <cell r="C50" t="str">
            <v xml:space="preserve">OGE Energy                    </v>
          </cell>
          <cell r="E50">
            <v>17.68</v>
          </cell>
          <cell r="F50">
            <v>17.689</v>
          </cell>
          <cell r="G50">
            <v>18.265999999999998</v>
          </cell>
          <cell r="H50">
            <v>17.693000000000001</v>
          </cell>
          <cell r="I50">
            <v>15.156000000000001</v>
          </cell>
          <cell r="J50">
            <v>14.366</v>
          </cell>
          <cell r="K50">
            <v>13.314</v>
          </cell>
          <cell r="L50">
            <v>10.834</v>
          </cell>
          <cell r="M50">
            <v>12.407999999999999</v>
          </cell>
          <cell r="N50">
            <v>13.750999999999999</v>
          </cell>
          <cell r="O50">
            <v>13.675000000000001</v>
          </cell>
          <cell r="P50">
            <v>14.95</v>
          </cell>
          <cell r="Q50">
            <v>14.131</v>
          </cell>
          <cell r="R50">
            <v>11.837999999999999</v>
          </cell>
          <cell r="S50">
            <v>14.122999999999999</v>
          </cell>
        </row>
        <row r="51">
          <cell r="B51" t="str">
            <v>OGS</v>
          </cell>
          <cell r="C51" t="str">
            <v>ONE Gas Inc.</v>
          </cell>
          <cell r="E51">
            <v>22.738</v>
          </cell>
          <cell r="F51">
            <v>19.79</v>
          </cell>
          <cell r="G51">
            <v>17.827000000000002</v>
          </cell>
          <cell r="H51" t="str">
            <v>N/A</v>
          </cell>
          <cell r="I51" t="str">
            <v>N/A</v>
          </cell>
          <cell r="J51" t="str">
            <v>N/A</v>
          </cell>
          <cell r="K51" t="str">
            <v>N/A</v>
          </cell>
          <cell r="L51" t="str">
            <v>N/A</v>
          </cell>
          <cell r="M51" t="str">
            <v>N/A</v>
          </cell>
          <cell r="N51" t="str">
            <v>N/A</v>
          </cell>
          <cell r="O51" t="str">
            <v>N/A</v>
          </cell>
        </row>
        <row r="52">
          <cell r="B52" t="str">
            <v>OTTR</v>
          </cell>
          <cell r="C52" t="str">
            <v xml:space="preserve">Otter Tail Corp.              </v>
          </cell>
          <cell r="E52">
            <v>20.193000000000001</v>
          </cell>
          <cell r="F52">
            <v>18.199000000000002</v>
          </cell>
          <cell r="G52">
            <v>18.838000000000001</v>
          </cell>
          <cell r="H52">
            <v>21.12</v>
          </cell>
          <cell r="I52">
            <v>21.75</v>
          </cell>
          <cell r="J52">
            <v>47.481999999999999</v>
          </cell>
          <cell r="K52">
            <v>55.097000000000001</v>
          </cell>
          <cell r="L52">
            <v>31.158999999999999</v>
          </cell>
          <cell r="M52">
            <v>30.056000000000001</v>
          </cell>
          <cell r="N52">
            <v>19.02</v>
          </cell>
          <cell r="O52">
            <v>17.349</v>
          </cell>
          <cell r="P52">
            <v>15.4</v>
          </cell>
          <cell r="Q52">
            <v>17.335000000000001</v>
          </cell>
          <cell r="R52">
            <v>17.766999999999999</v>
          </cell>
          <cell r="S52">
            <v>16.010999999999999</v>
          </cell>
        </row>
        <row r="53">
          <cell r="B53" t="str">
            <v>POM</v>
          </cell>
          <cell r="C53" t="str">
            <v xml:space="preserve">Pepco Holdings                </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v>13.571999999999999</v>
          </cell>
          <cell r="R53">
            <v>13.358000000000001</v>
          </cell>
          <cell r="S53">
            <v>11.256</v>
          </cell>
        </row>
        <row r="54">
          <cell r="B54" t="str">
            <v>PCG</v>
          </cell>
          <cell r="C54" t="str">
            <v xml:space="preserve">PG&amp;E Corp.                    </v>
          </cell>
          <cell r="E54">
            <v>21.126999999999999</v>
          </cell>
          <cell r="F54">
            <v>26.399000000000001</v>
          </cell>
          <cell r="G54">
            <v>15.003</v>
          </cell>
          <cell r="H54">
            <v>23.666</v>
          </cell>
          <cell r="I54">
            <v>20.702000000000002</v>
          </cell>
          <cell r="J54">
            <v>15.458</v>
          </cell>
          <cell r="K54">
            <v>15.803000000000001</v>
          </cell>
          <cell r="L54">
            <v>13.01</v>
          </cell>
          <cell r="M54">
            <v>12.084</v>
          </cell>
          <cell r="N54">
            <v>16.847000000000001</v>
          </cell>
          <cell r="O54">
            <v>14.842000000000001</v>
          </cell>
          <cell r="P54">
            <v>15.366</v>
          </cell>
          <cell r="Q54">
            <v>13.808</v>
          </cell>
          <cell r="R54">
            <v>9.4990000000000006</v>
          </cell>
          <cell r="S54" t="str">
            <v>N/A</v>
          </cell>
        </row>
        <row r="55">
          <cell r="B55" t="str">
            <v>PNW</v>
          </cell>
          <cell r="C55" t="str">
            <v xml:space="preserve">Pinnacle West Capital         </v>
          </cell>
          <cell r="E55">
            <v>18.742999999999999</v>
          </cell>
          <cell r="F55">
            <v>16.036000000000001</v>
          </cell>
          <cell r="G55">
            <v>15.885999999999999</v>
          </cell>
          <cell r="H55">
            <v>15.268000000000001</v>
          </cell>
          <cell r="I55">
            <v>14.346</v>
          </cell>
          <cell r="J55">
            <v>14.603999999999999</v>
          </cell>
          <cell r="K55">
            <v>12.565</v>
          </cell>
          <cell r="L55">
            <v>13.742000000000001</v>
          </cell>
          <cell r="M55">
            <v>16.065999999999999</v>
          </cell>
          <cell r="N55">
            <v>14.930999999999999</v>
          </cell>
          <cell r="O55">
            <v>13.691000000000001</v>
          </cell>
          <cell r="P55">
            <v>19.236000000000001</v>
          </cell>
          <cell r="Q55">
            <v>15.798999999999999</v>
          </cell>
          <cell r="R55">
            <v>13.961</v>
          </cell>
          <cell r="S55">
            <v>14.430999999999999</v>
          </cell>
        </row>
        <row r="56">
          <cell r="B56" t="str">
            <v>PNM</v>
          </cell>
          <cell r="C56" t="str">
            <v xml:space="preserve">PNM Resources                 </v>
          </cell>
          <cell r="E56">
            <v>19.832000000000001</v>
          </cell>
          <cell r="F56">
            <v>16.847000000000001</v>
          </cell>
          <cell r="G56">
            <v>18.675999999999998</v>
          </cell>
          <cell r="H56">
            <v>16.131</v>
          </cell>
          <cell r="I56">
            <v>14.971</v>
          </cell>
          <cell r="J56">
            <v>14.532</v>
          </cell>
          <cell r="K56">
            <v>14.045</v>
          </cell>
          <cell r="L56">
            <v>18.093</v>
          </cell>
          <cell r="M56" t="str">
            <v>N/A</v>
          </cell>
          <cell r="N56">
            <v>35.649000000000001</v>
          </cell>
          <cell r="O56">
            <v>15.573</v>
          </cell>
          <cell r="P56">
            <v>17.379000000000001</v>
          </cell>
          <cell r="Q56">
            <v>15.021000000000001</v>
          </cell>
          <cell r="R56">
            <v>14.73</v>
          </cell>
          <cell r="S56">
            <v>15.079000000000001</v>
          </cell>
        </row>
        <row r="57">
          <cell r="B57" t="str">
            <v>POR</v>
          </cell>
          <cell r="C57" t="str">
            <v xml:space="preserve">Portland General              </v>
          </cell>
          <cell r="E57">
            <v>19.058</v>
          </cell>
          <cell r="F57">
            <v>17.713999999999999</v>
          </cell>
          <cell r="G57">
            <v>15.318</v>
          </cell>
          <cell r="H57">
            <v>16.88</v>
          </cell>
          <cell r="I57">
            <v>13.978999999999999</v>
          </cell>
          <cell r="J57">
            <v>12.37</v>
          </cell>
          <cell r="K57">
            <v>12</v>
          </cell>
          <cell r="L57">
            <v>14.395</v>
          </cell>
          <cell r="M57">
            <v>16.295999999999999</v>
          </cell>
          <cell r="N57">
            <v>11.942</v>
          </cell>
          <cell r="O57">
            <v>23.35</v>
          </cell>
          <cell r="P57" t="str">
            <v>N/A</v>
          </cell>
          <cell r="Q57" t="str">
            <v>N/A</v>
          </cell>
          <cell r="R57" t="str">
            <v>N/A</v>
          </cell>
          <cell r="S57" t="str">
            <v>N/A</v>
          </cell>
        </row>
        <row r="58">
          <cell r="B58" t="str">
            <v>PPL</v>
          </cell>
          <cell r="C58" t="str">
            <v xml:space="preserve">PPL Corp.                     </v>
          </cell>
          <cell r="E58">
            <v>12.829000000000001</v>
          </cell>
          <cell r="F58">
            <v>13.914999999999999</v>
          </cell>
          <cell r="G58">
            <v>14.076000000000001</v>
          </cell>
          <cell r="H58">
            <v>12.843999999999999</v>
          </cell>
          <cell r="I58">
            <v>10.882</v>
          </cell>
          <cell r="J58">
            <v>10.516</v>
          </cell>
          <cell r="K58">
            <v>11.93</v>
          </cell>
          <cell r="L58">
            <v>25.687000000000001</v>
          </cell>
          <cell r="M58">
            <v>17.638000000000002</v>
          </cell>
          <cell r="N58">
            <v>17.262</v>
          </cell>
          <cell r="O58">
            <v>14.1</v>
          </cell>
          <cell r="P58">
            <v>15.116</v>
          </cell>
          <cell r="Q58">
            <v>12.513</v>
          </cell>
          <cell r="R58">
            <v>10.587999999999999</v>
          </cell>
          <cell r="S58">
            <v>11.064</v>
          </cell>
        </row>
        <row r="59">
          <cell r="B59" t="str">
            <v>PEG</v>
          </cell>
          <cell r="C59" t="str">
            <v xml:space="preserve">Public Serv. Enterprise       </v>
          </cell>
          <cell r="E59">
            <v>15.347</v>
          </cell>
          <cell r="F59">
            <v>12.412000000000001</v>
          </cell>
          <cell r="G59">
            <v>12.614000000000001</v>
          </cell>
          <cell r="H59">
            <v>13.5</v>
          </cell>
          <cell r="I59">
            <v>12.788</v>
          </cell>
          <cell r="J59">
            <v>10.395</v>
          </cell>
          <cell r="K59">
            <v>10.369</v>
          </cell>
          <cell r="L59">
            <v>10.039</v>
          </cell>
          <cell r="M59">
            <v>13.646000000000001</v>
          </cell>
          <cell r="N59">
            <v>16.542999999999999</v>
          </cell>
          <cell r="O59">
            <v>17.808</v>
          </cell>
          <cell r="P59">
            <v>16.738</v>
          </cell>
          <cell r="Q59">
            <v>14.255000000000001</v>
          </cell>
          <cell r="R59">
            <v>10.576000000000001</v>
          </cell>
          <cell r="S59">
            <v>9.9949999999999992</v>
          </cell>
        </row>
        <row r="60">
          <cell r="B60" t="str">
            <v>SCG</v>
          </cell>
          <cell r="C60" t="str">
            <v xml:space="preserve">SCANA Corp.                   </v>
          </cell>
          <cell r="E60">
            <v>16.795999999999999</v>
          </cell>
          <cell r="F60">
            <v>14.664999999999999</v>
          </cell>
          <cell r="G60">
            <v>13.677</v>
          </cell>
          <cell r="H60">
            <v>14.427</v>
          </cell>
          <cell r="I60">
            <v>14.798999999999999</v>
          </cell>
          <cell r="J60">
            <v>13.670999999999999</v>
          </cell>
          <cell r="K60">
            <v>12.933999999999999</v>
          </cell>
          <cell r="L60">
            <v>11.625999999999999</v>
          </cell>
          <cell r="M60">
            <v>12.667</v>
          </cell>
          <cell r="N60">
            <v>14.957000000000001</v>
          </cell>
          <cell r="O60">
            <v>15.42</v>
          </cell>
          <cell r="P60">
            <v>14.444000000000001</v>
          </cell>
          <cell r="Q60">
            <v>13.568</v>
          </cell>
          <cell r="R60">
            <v>13.045</v>
          </cell>
          <cell r="S60">
            <v>12.167</v>
          </cell>
        </row>
        <row r="61">
          <cell r="B61" t="str">
            <v>SRE</v>
          </cell>
          <cell r="C61" t="str">
            <v xml:space="preserve">Sempra Energy                 </v>
          </cell>
          <cell r="E61">
            <v>24.373000000000001</v>
          </cell>
          <cell r="F61">
            <v>19.725999999999999</v>
          </cell>
          <cell r="G61">
            <v>21.870999999999999</v>
          </cell>
          <cell r="H61">
            <v>19.684000000000001</v>
          </cell>
          <cell r="I61">
            <v>14.888</v>
          </cell>
          <cell r="J61">
            <v>11.771000000000001</v>
          </cell>
          <cell r="K61">
            <v>12.595000000000001</v>
          </cell>
          <cell r="L61">
            <v>10.09</v>
          </cell>
          <cell r="M61">
            <v>11.8</v>
          </cell>
          <cell r="N61">
            <v>14.007</v>
          </cell>
          <cell r="O61">
            <v>11.500999999999999</v>
          </cell>
          <cell r="P61">
            <v>11.794</v>
          </cell>
          <cell r="Q61">
            <v>8.6470000000000002</v>
          </cell>
          <cell r="R61">
            <v>8.9589999999999996</v>
          </cell>
          <cell r="S61">
            <v>8.19</v>
          </cell>
        </row>
        <row r="62">
          <cell r="B62" t="str">
            <v>SRP</v>
          </cell>
          <cell r="C62" t="str">
            <v xml:space="preserve">Sierra Pacific Res.           </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v>20.948</v>
          </cell>
          <cell r="R62" t="str">
            <v>N/A</v>
          </cell>
          <cell r="S62" t="str">
            <v>N/A</v>
          </cell>
        </row>
        <row r="63">
          <cell r="B63" t="str">
            <v>SJW</v>
          </cell>
          <cell r="C63" t="str">
            <v>SJW Corp.</v>
          </cell>
          <cell r="E63">
            <v>15.676</v>
          </cell>
          <cell r="F63">
            <v>16.641999999999999</v>
          </cell>
          <cell r="G63">
            <v>11.188000000000001</v>
          </cell>
          <cell r="H63">
            <v>24.338000000000001</v>
          </cell>
          <cell r="I63">
            <v>20.366</v>
          </cell>
          <cell r="J63">
            <v>21.173999999999999</v>
          </cell>
          <cell r="K63">
            <v>29.123000000000001</v>
          </cell>
          <cell r="L63">
            <v>28.667000000000002</v>
          </cell>
          <cell r="M63">
            <v>26.238</v>
          </cell>
          <cell r="N63">
            <v>33.427</v>
          </cell>
          <cell r="O63">
            <v>23.507999999999999</v>
          </cell>
        </row>
        <row r="64">
          <cell r="B64" t="str">
            <v>SJI</v>
          </cell>
          <cell r="C64" t="str">
            <v>South Jersey Inds.</v>
          </cell>
          <cell r="E64">
            <v>21.713999999999999</v>
          </cell>
          <cell r="F64">
            <v>17.949000000000002</v>
          </cell>
          <cell r="G64">
            <v>18.033999999999999</v>
          </cell>
          <cell r="H64">
            <v>18.902999999999999</v>
          </cell>
          <cell r="I64">
            <v>16.934999999999999</v>
          </cell>
          <cell r="J64">
            <v>18.481999999999999</v>
          </cell>
          <cell r="K64">
            <v>16.806999999999999</v>
          </cell>
          <cell r="L64">
            <v>14.955</v>
          </cell>
          <cell r="M64">
            <v>15.897</v>
          </cell>
          <cell r="N64">
            <v>17.181000000000001</v>
          </cell>
          <cell r="O64">
            <v>11.858000000000001</v>
          </cell>
        </row>
        <row r="65">
          <cell r="B65" t="str">
            <v>SO</v>
          </cell>
          <cell r="C65" t="str">
            <v xml:space="preserve">Southern Co.                  </v>
          </cell>
          <cell r="E65">
            <v>17.757999999999999</v>
          </cell>
          <cell r="F65">
            <v>15.849</v>
          </cell>
          <cell r="G65">
            <v>16.044</v>
          </cell>
          <cell r="H65">
            <v>16.186</v>
          </cell>
          <cell r="I65">
            <v>16.968</v>
          </cell>
          <cell r="J65">
            <v>15.847</v>
          </cell>
          <cell r="K65">
            <v>14.897</v>
          </cell>
          <cell r="L65">
            <v>13.521000000000001</v>
          </cell>
          <cell r="M65">
            <v>16.126999999999999</v>
          </cell>
          <cell r="N65">
            <v>15.952</v>
          </cell>
          <cell r="O65">
            <v>16.189</v>
          </cell>
          <cell r="P65">
            <v>15.917</v>
          </cell>
          <cell r="Q65">
            <v>14.683999999999999</v>
          </cell>
          <cell r="R65">
            <v>14.831</v>
          </cell>
          <cell r="S65">
            <v>14.632</v>
          </cell>
        </row>
        <row r="66">
          <cell r="B66" t="str">
            <v>SWX</v>
          </cell>
          <cell r="C66" t="str">
            <v>Southwest Gas</v>
          </cell>
          <cell r="E66">
            <v>21.643000000000001</v>
          </cell>
          <cell r="F66">
            <v>19.353999999999999</v>
          </cell>
          <cell r="G66">
            <v>17.86</v>
          </cell>
          <cell r="H66">
            <v>15.757</v>
          </cell>
          <cell r="I66">
            <v>15.002000000000001</v>
          </cell>
          <cell r="J66">
            <v>15.688000000000001</v>
          </cell>
          <cell r="K66">
            <v>13.968999999999999</v>
          </cell>
          <cell r="L66">
            <v>12.199</v>
          </cell>
          <cell r="M66">
            <v>20.268999999999998</v>
          </cell>
          <cell r="N66">
            <v>17.260999999999999</v>
          </cell>
          <cell r="O66">
            <v>15.936999999999999</v>
          </cell>
        </row>
        <row r="67">
          <cell r="B67" t="str">
            <v>SR</v>
          </cell>
          <cell r="C67" t="str">
            <v>Spire Inc.</v>
          </cell>
          <cell r="E67">
            <v>19.614000000000001</v>
          </cell>
          <cell r="F67">
            <v>16.486999999999998</v>
          </cell>
          <cell r="G67">
            <v>19.797999999999998</v>
          </cell>
          <cell r="H67">
            <v>21.253</v>
          </cell>
          <cell r="I67">
            <v>14.46</v>
          </cell>
          <cell r="J67">
            <v>13.047000000000001</v>
          </cell>
          <cell r="K67">
            <v>13.739000000000001</v>
          </cell>
          <cell r="L67">
            <v>13.388999999999999</v>
          </cell>
          <cell r="M67">
            <v>14.314</v>
          </cell>
          <cell r="N67">
            <v>14.185</v>
          </cell>
          <cell r="O67">
            <v>13.6</v>
          </cell>
        </row>
        <row r="68">
          <cell r="B68" t="str">
            <v>TE</v>
          </cell>
          <cell r="C68" t="str">
            <v xml:space="preserve">TECO Energy                   </v>
          </cell>
          <cell r="E68" t="str">
            <v>N/A</v>
          </cell>
          <cell r="F68" t="e">
            <v>#N/A</v>
          </cell>
          <cell r="G68" t="e">
            <v>#N/A</v>
          </cell>
          <cell r="H68" t="e">
            <v>#N/A</v>
          </cell>
          <cell r="I68" t="e">
            <v>#N/A</v>
          </cell>
          <cell r="J68" t="e">
            <v>#N/A</v>
          </cell>
          <cell r="K68" t="e">
            <v>#N/A</v>
          </cell>
          <cell r="L68" t="e">
            <v>#N/A</v>
          </cell>
          <cell r="M68" t="e">
            <v>#N/A</v>
          </cell>
          <cell r="N68" t="e">
            <v>#N/A</v>
          </cell>
          <cell r="O68" t="e">
            <v>#N/A</v>
          </cell>
          <cell r="P68">
            <v>17.085000000000001</v>
          </cell>
          <cell r="Q68">
            <v>19.3</v>
          </cell>
          <cell r="R68" t="str">
            <v>NMF</v>
          </cell>
          <cell r="S68">
            <v>10.968</v>
          </cell>
        </row>
        <row r="69">
          <cell r="B69" t="str">
            <v>UGI</v>
          </cell>
          <cell r="C69" t="str">
            <v>UGI Corp.</v>
          </cell>
          <cell r="E69">
            <v>19.327999999999999</v>
          </cell>
          <cell r="F69">
            <v>17.713999999999999</v>
          </cell>
          <cell r="G69">
            <v>15.805</v>
          </cell>
          <cell r="H69">
            <v>15.435</v>
          </cell>
          <cell r="I69">
            <v>16.378</v>
          </cell>
          <cell r="J69">
            <v>15.028</v>
          </cell>
          <cell r="K69">
            <v>10.863</v>
          </cell>
          <cell r="L69">
            <v>10.295</v>
          </cell>
          <cell r="M69">
            <v>13.301</v>
          </cell>
          <cell r="N69">
            <v>15.144</v>
          </cell>
          <cell r="O69">
            <v>13.965</v>
          </cell>
        </row>
        <row r="70">
          <cell r="B70" t="str">
            <v>UIL</v>
          </cell>
          <cell r="C70" t="str">
            <v xml:space="preserve">UIL Holdings                  </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v>18.701000000000001</v>
          </cell>
          <cell r="R70">
            <v>18.036999999999999</v>
          </cell>
          <cell r="S70">
            <v>14.98</v>
          </cell>
        </row>
        <row r="71">
          <cell r="B71" t="str">
            <v>UNS</v>
          </cell>
          <cell r="C71" t="str">
            <v xml:space="preserve">UniSource Energy              </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v>18.716999999999999</v>
          </cell>
          <cell r="R71">
            <v>14.595000000000001</v>
          </cell>
          <cell r="S71">
            <v>18.231999999999999</v>
          </cell>
        </row>
        <row r="72">
          <cell r="B72" t="str">
            <v>UTL</v>
          </cell>
          <cell r="C72" t="str">
            <v xml:space="preserve">UNITIL Corp.                  </v>
          </cell>
          <cell r="E72">
            <v>20.963999999999999</v>
          </cell>
          <cell r="F72">
            <v>18.53</v>
          </cell>
          <cell r="G72">
            <v>18.391999999999999</v>
          </cell>
          <cell r="H72">
            <v>18.495000000000001</v>
          </cell>
          <cell r="I72">
            <v>18.684999999999999</v>
          </cell>
          <cell r="J72">
            <v>16.785</v>
          </cell>
          <cell r="K72">
            <v>25.105</v>
          </cell>
          <cell r="L72">
            <v>20.309999999999999</v>
          </cell>
          <cell r="M72">
            <v>15.818</v>
          </cell>
          <cell r="N72">
            <v>18.376000000000001</v>
          </cell>
          <cell r="O72">
            <v>17.617999999999999</v>
          </cell>
          <cell r="P72">
            <v>17.774999999999999</v>
          </cell>
          <cell r="Q72">
            <v>18.581</v>
          </cell>
          <cell r="R72">
            <v>15.772</v>
          </cell>
          <cell r="S72">
            <v>21.882000000000001</v>
          </cell>
        </row>
        <row r="73">
          <cell r="B73" t="str">
            <v>VVC</v>
          </cell>
          <cell r="C73" t="str">
            <v xml:space="preserve">Vectren Corp.                 </v>
          </cell>
          <cell r="E73">
            <v>19.178000000000001</v>
          </cell>
          <cell r="F73">
            <v>17.922000000000001</v>
          </cell>
          <cell r="G73">
            <v>19.983000000000001</v>
          </cell>
          <cell r="H73">
            <v>20.664000000000001</v>
          </cell>
          <cell r="I73">
            <v>15.018000000000001</v>
          </cell>
          <cell r="J73">
            <v>15.826000000000001</v>
          </cell>
          <cell r="K73">
            <v>15.102</v>
          </cell>
          <cell r="L73">
            <v>12.891</v>
          </cell>
          <cell r="M73">
            <v>16.788</v>
          </cell>
          <cell r="N73">
            <v>15.334</v>
          </cell>
          <cell r="O73">
            <v>18.917000000000002</v>
          </cell>
          <cell r="P73">
            <v>15.106</v>
          </cell>
          <cell r="Q73">
            <v>17.57</v>
          </cell>
          <cell r="R73">
            <v>14.795999999999999</v>
          </cell>
          <cell r="S73">
            <v>14.157</v>
          </cell>
        </row>
        <row r="74">
          <cell r="B74" t="str">
            <v>WEC</v>
          </cell>
          <cell r="C74" t="str">
            <v>WEC Energy Group</v>
          </cell>
          <cell r="E74">
            <v>19.946999999999999</v>
          </cell>
          <cell r="F74">
            <v>21.334</v>
          </cell>
          <cell r="G74">
            <v>17.71</v>
          </cell>
          <cell r="H74">
            <v>16.504000000000001</v>
          </cell>
          <cell r="I74">
            <v>15.757</v>
          </cell>
          <cell r="J74">
            <v>14.249000000000001</v>
          </cell>
          <cell r="K74">
            <v>14.01</v>
          </cell>
          <cell r="L74">
            <v>13.346</v>
          </cell>
          <cell r="M74">
            <v>14.772</v>
          </cell>
          <cell r="N74">
            <v>16.472000000000001</v>
          </cell>
          <cell r="O74">
            <v>15.967000000000001</v>
          </cell>
          <cell r="P74">
            <v>14.462999999999999</v>
          </cell>
          <cell r="Q74">
            <v>17.513999999999999</v>
          </cell>
          <cell r="R74">
            <v>12.427</v>
          </cell>
          <cell r="S74">
            <v>10.459</v>
          </cell>
        </row>
        <row r="75">
          <cell r="B75" t="str">
            <v>WR</v>
          </cell>
          <cell r="C75" t="str">
            <v xml:space="preserve">Westar Energy                 </v>
          </cell>
          <cell r="E75">
            <v>21.585999999999999</v>
          </cell>
          <cell r="F75">
            <v>18.454000000000001</v>
          </cell>
          <cell r="G75">
            <v>15.358000000000001</v>
          </cell>
          <cell r="H75">
            <v>14.037000000000001</v>
          </cell>
          <cell r="I75">
            <v>13.43</v>
          </cell>
          <cell r="J75">
            <v>14.778</v>
          </cell>
          <cell r="K75">
            <v>12.957000000000001</v>
          </cell>
          <cell r="L75">
            <v>14.946999999999999</v>
          </cell>
          <cell r="M75">
            <v>16.963000000000001</v>
          </cell>
          <cell r="N75">
            <v>14.103</v>
          </cell>
          <cell r="O75">
            <v>12.177</v>
          </cell>
          <cell r="P75">
            <v>14.785</v>
          </cell>
          <cell r="Q75">
            <v>17.436</v>
          </cell>
          <cell r="R75">
            <v>10.781000000000001</v>
          </cell>
          <cell r="S75">
            <v>14.023</v>
          </cell>
        </row>
        <row r="76">
          <cell r="B76" t="str">
            <v>WGL</v>
          </cell>
          <cell r="C76" t="str">
            <v>WGL Holdings Inc.</v>
          </cell>
          <cell r="E76">
            <v>20.047999999999998</v>
          </cell>
          <cell r="F76">
            <v>16.992999999999999</v>
          </cell>
          <cell r="G76">
            <v>15.151</v>
          </cell>
          <cell r="H76">
            <v>18.245000000000001</v>
          </cell>
          <cell r="I76">
            <v>15.268000000000001</v>
          </cell>
          <cell r="J76">
            <v>16.972000000000001</v>
          </cell>
          <cell r="K76">
            <v>15.111000000000001</v>
          </cell>
          <cell r="L76">
            <v>12.584</v>
          </cell>
          <cell r="M76">
            <v>13.661</v>
          </cell>
          <cell r="N76">
            <v>15.603999999999999</v>
          </cell>
          <cell r="O76">
            <v>15.46</v>
          </cell>
        </row>
        <row r="77">
          <cell r="B77" t="str">
            <v>XEL</v>
          </cell>
          <cell r="C77" t="str">
            <v xml:space="preserve">Xcel Energy Inc.              </v>
          </cell>
          <cell r="E77">
            <v>18.475000000000001</v>
          </cell>
          <cell r="F77">
            <v>16.538</v>
          </cell>
          <cell r="G77">
            <v>15.44</v>
          </cell>
          <cell r="H77">
            <v>15.039</v>
          </cell>
          <cell r="I77">
            <v>14.821999999999999</v>
          </cell>
          <cell r="J77">
            <v>14.242000000000001</v>
          </cell>
          <cell r="K77">
            <v>14.129</v>
          </cell>
          <cell r="L77">
            <v>12.664</v>
          </cell>
          <cell r="M77">
            <v>13.686</v>
          </cell>
          <cell r="N77">
            <v>16.652999999999999</v>
          </cell>
          <cell r="O77">
            <v>14.801</v>
          </cell>
          <cell r="P77">
            <v>15.362</v>
          </cell>
          <cell r="Q77">
            <v>13.648</v>
          </cell>
          <cell r="R77">
            <v>11.616</v>
          </cell>
          <cell r="S77">
            <v>40.799999999999997</v>
          </cell>
        </row>
        <row r="78">
          <cell r="B78" t="str">
            <v>YORW</v>
          </cell>
          <cell r="C78" t="str">
            <v>York Water Co. (The)</v>
          </cell>
          <cell r="E78" t="str">
            <v>N/A</v>
          </cell>
          <cell r="F78">
            <v>23.523</v>
          </cell>
          <cell r="G78">
            <v>23.065999999999999</v>
          </cell>
          <cell r="H78">
            <v>26.263000000000002</v>
          </cell>
          <cell r="I78">
            <v>24.443999999999999</v>
          </cell>
          <cell r="J78">
            <v>23.905999999999999</v>
          </cell>
          <cell r="K78">
            <v>20.72</v>
          </cell>
          <cell r="L78">
            <v>21.867000000000001</v>
          </cell>
          <cell r="M78">
            <v>24.574999999999999</v>
          </cell>
          <cell r="N78">
            <v>30.263000000000002</v>
          </cell>
          <cell r="O78">
            <v>31.248000000000001</v>
          </cell>
        </row>
      </sheetData>
      <sheetData sheetId="17">
        <row r="5">
          <cell r="B5" t="str">
            <v>ALE</v>
          </cell>
          <cell r="C5" t="str">
            <v xml:space="preserve">ALLETE                        </v>
          </cell>
          <cell r="D5">
            <v>3</v>
          </cell>
          <cell r="E5">
            <v>3</v>
          </cell>
          <cell r="G5">
            <v>8.2644441305269112</v>
          </cell>
          <cell r="H5">
            <v>7.4948453608247423</v>
          </cell>
          <cell r="I5">
            <v>8.8042290748898679</v>
          </cell>
          <cell r="J5">
            <v>9.1492984097287184</v>
          </cell>
          <cell r="K5">
            <v>8.1817092651757175</v>
          </cell>
          <cell r="L5">
            <v>7.9102198697068395</v>
          </cell>
          <cell r="M5">
            <v>8.0392922794117645</v>
          </cell>
          <cell r="N5">
            <v>8.5107812937552509</v>
          </cell>
          <cell r="O5">
            <v>9.2917552563193961</v>
          </cell>
          <cell r="P5">
            <v>10.302330844082373</v>
          </cell>
          <cell r="Q5">
            <v>11.056694813027745</v>
          </cell>
          <cell r="R5">
            <v>11.543020535482194</v>
          </cell>
          <cell r="S5">
            <v>11.46027</v>
          </cell>
          <cell r="T5" t="str">
            <v>N/A</v>
          </cell>
          <cell r="U5" t="str">
            <v>N/A</v>
          </cell>
        </row>
        <row r="6">
          <cell r="B6" t="str">
            <v>LNT</v>
          </cell>
          <cell r="C6" t="str">
            <v xml:space="preserve">Alliant Energy                </v>
          </cell>
          <cell r="D6">
            <v>4</v>
          </cell>
          <cell r="E6">
            <v>4</v>
          </cell>
          <cell r="G6">
            <v>10.666956521739131</v>
          </cell>
          <cell r="H6">
            <v>8.8627394080092863</v>
          </cell>
          <cell r="I6">
            <v>8.3958151700087189</v>
          </cell>
          <cell r="J6">
            <v>7.5191502094554163</v>
          </cell>
          <cell r="K6">
            <v>7.4996607869742204</v>
          </cell>
          <cell r="L6">
            <v>7.2149600580973132</v>
          </cell>
          <cell r="M6">
            <v>6.5860215053763431</v>
          </cell>
          <cell r="N6">
            <v>6.2287208749405609</v>
          </cell>
          <cell r="O6">
            <v>7.4890254609306401</v>
          </cell>
          <cell r="P6">
            <v>7.924579914028917</v>
          </cell>
          <cell r="Q6">
            <v>8.0023094688221708</v>
          </cell>
          <cell r="R6">
            <v>5.0915080527086376</v>
          </cell>
          <cell r="S6">
            <v>5.5218499999999997</v>
          </cell>
          <cell r="T6">
            <v>4.7578800000000001</v>
          </cell>
          <cell r="U6">
            <v>5.2005309999999998</v>
          </cell>
        </row>
        <row r="7">
          <cell r="B7" t="str">
            <v>AWR</v>
          </cell>
          <cell r="C7" t="str">
            <v>Amer. States Water</v>
          </cell>
          <cell r="D7">
            <v>6</v>
          </cell>
          <cell r="E7">
            <v>6</v>
          </cell>
          <cell r="G7">
            <v>15.338882722900481</v>
          </cell>
          <cell r="H7">
            <v>14.08508365966536</v>
          </cell>
          <cell r="I7">
            <v>11.824962518740628</v>
          </cell>
          <cell r="J7">
            <v>10.413715146948004</v>
          </cell>
          <cell r="K7">
            <v>8.1306451612903228</v>
          </cell>
          <cell r="L7">
            <v>8.0675422138836765</v>
          </cell>
          <cell r="M7">
            <v>8.25626477541371</v>
          </cell>
          <cell r="N7">
            <v>10.087544065804936</v>
          </cell>
          <cell r="O7">
            <v>10.381376037959669</v>
          </cell>
          <cell r="P7">
            <v>11.762250453720508</v>
          </cell>
          <cell r="Q7">
            <v>12.743607463718037</v>
          </cell>
        </row>
        <row r="8">
          <cell r="B8" t="str">
            <v>AWK</v>
          </cell>
          <cell r="C8" t="str">
            <v>Amer. Water Works</v>
          </cell>
          <cell r="D8">
            <v>7</v>
          </cell>
          <cell r="E8">
            <v>7</v>
          </cell>
          <cell r="G8">
            <v>13.800418171450294</v>
          </cell>
          <cell r="H8">
            <v>10.549688230709275</v>
          </cell>
          <cell r="I8">
            <v>10.065432358510414</v>
          </cell>
          <cell r="J8">
            <v>9.4051387933012158</v>
          </cell>
          <cell r="K8">
            <v>8.2557377049180349</v>
          </cell>
          <cell r="L8">
            <v>7.735742971887551</v>
          </cell>
          <cell r="M8">
            <v>6.2856339612032617</v>
          </cell>
          <cell r="N8">
            <v>6.769657083477659</v>
          </cell>
          <cell r="O8">
            <v>7.2631762652705056</v>
          </cell>
          <cell r="P8">
            <v>0</v>
          </cell>
          <cell r="Q8">
            <v>0</v>
          </cell>
        </row>
        <row r="9">
          <cell r="B9" t="str">
            <v>AEE</v>
          </cell>
          <cell r="C9" t="str">
            <v xml:space="preserve">Ameren Corp.                  </v>
          </cell>
          <cell r="D9">
            <v>8</v>
          </cell>
          <cell r="E9">
            <v>8</v>
          </cell>
          <cell r="G9">
            <v>7.4442757364105674</v>
          </cell>
          <cell r="H9">
            <v>6.8692219114986024</v>
          </cell>
          <cell r="I9">
            <v>6.9488734835355288</v>
          </cell>
          <cell r="J9">
            <v>6.6104440632742527</v>
          </cell>
          <cell r="K9">
            <v>5.4788012940575515</v>
          </cell>
          <cell r="L9">
            <v>5.0182158665304737</v>
          </cell>
          <cell r="M9">
            <v>4.2268057531215426</v>
          </cell>
          <cell r="N9">
            <v>4.2504540201419845</v>
          </cell>
          <cell r="O9">
            <v>6.3536263394937107</v>
          </cell>
          <cell r="P9">
            <v>7.6877587226493196</v>
          </cell>
          <cell r="Q9">
            <v>8.5713098404255312</v>
          </cell>
          <cell r="R9">
            <v>8.5745657161586362</v>
          </cell>
          <cell r="S9">
            <v>8.241695</v>
          </cell>
          <cell r="T9">
            <v>6.7395110000000003</v>
          </cell>
          <cell r="U9">
            <v>7.9554590000000003</v>
          </cell>
        </row>
        <row r="10">
          <cell r="B10" t="str">
            <v>AEP</v>
          </cell>
          <cell r="C10" t="str">
            <v>American Electric Power</v>
          </cell>
          <cell r="D10">
            <v>5</v>
          </cell>
          <cell r="E10">
            <v>5</v>
          </cell>
          <cell r="G10">
            <v>7.5706695005313502</v>
          </cell>
          <cell r="H10">
            <v>7.0949993733550567</v>
          </cell>
          <cell r="I10">
            <v>7</v>
          </cell>
          <cell r="J10">
            <v>6.5675406098603597</v>
          </cell>
          <cell r="K10">
            <v>5.9286127167630065</v>
          </cell>
          <cell r="L10">
            <v>5.4648403164371517</v>
          </cell>
          <cell r="M10">
            <v>5.5438652256834073</v>
          </cell>
          <cell r="N10">
            <v>4.7136529030216741</v>
          </cell>
          <cell r="O10">
            <v>5.7125511995318901</v>
          </cell>
          <cell r="P10">
            <v>6.8440717858193594</v>
          </cell>
          <cell r="Q10">
            <v>5.5355428914217155</v>
          </cell>
          <cell r="R10">
            <v>6.0654252642174127</v>
          </cell>
          <cell r="S10">
            <v>5.5033099999999999</v>
          </cell>
          <cell r="T10">
            <v>4.6854269999999998</v>
          </cell>
          <cell r="U10">
            <v>5.1870079999999996</v>
          </cell>
        </row>
        <row r="11">
          <cell r="B11" t="str">
            <v>WTR</v>
          </cell>
          <cell r="C11" t="str">
            <v>Aqua America</v>
          </cell>
          <cell r="D11">
            <v>10</v>
          </cell>
          <cell r="E11">
            <v>10</v>
          </cell>
          <cell r="G11">
            <v>15.216908212560387</v>
          </cell>
          <cell r="H11">
            <v>14.316239316239315</v>
          </cell>
          <cell r="I11">
            <v>13.202437731849496</v>
          </cell>
          <cell r="J11">
            <v>13.484632272228319</v>
          </cell>
          <cell r="K11">
            <v>12.668211920529803</v>
          </cell>
          <cell r="L11">
            <v>12.214088397790055</v>
          </cell>
          <cell r="M11">
            <v>10.679802955665025</v>
          </cell>
          <cell r="N11">
            <v>11.07081712062257</v>
          </cell>
          <cell r="O11">
            <v>12.815140845070424</v>
          </cell>
          <cell r="P11">
            <v>16.537340619307834</v>
          </cell>
          <cell r="Q11">
            <v>19.241584158415844</v>
          </cell>
        </row>
        <row r="12">
          <cell r="B12" t="str">
            <v>ATO</v>
          </cell>
          <cell r="C12" t="str">
            <v>Atmos Energy</v>
          </cell>
          <cell r="D12">
            <v>12</v>
          </cell>
          <cell r="E12">
            <v>12</v>
          </cell>
          <cell r="G12">
            <v>11.359670382937471</v>
          </cell>
          <cell r="H12">
            <v>9.3031137106485478</v>
          </cell>
          <cell r="I12">
            <v>8.7932434927081413</v>
          </cell>
          <cell r="J12">
            <v>7.7219303366413694</v>
          </cell>
          <cell r="K12">
            <v>7.0247795044099117</v>
          </cell>
          <cell r="L12">
            <v>6.8703939008894528</v>
          </cell>
          <cell r="M12">
            <v>6.1520051746442439</v>
          </cell>
          <cell r="N12">
            <v>5.7602611940298498</v>
          </cell>
          <cell r="O12">
            <v>6.4796088719294067</v>
          </cell>
          <cell r="P12">
            <v>7.443772672309553</v>
          </cell>
          <cell r="Q12">
            <v>6.3552631578947363</v>
          </cell>
        </row>
        <row r="13">
          <cell r="B13" t="str">
            <v>AGR</v>
          </cell>
          <cell r="C13" t="str">
            <v>Avangrid, Inc.</v>
          </cell>
          <cell r="D13">
            <v>13</v>
          </cell>
          <cell r="E13">
            <v>13</v>
          </cell>
          <cell r="G13">
            <v>8.563739974672858</v>
          </cell>
          <cell r="H13">
            <v>11.301765650080256</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row>
        <row r="14">
          <cell r="B14" t="str">
            <v>AVA</v>
          </cell>
          <cell r="C14" t="str">
            <v xml:space="preserve">Avista Corp.                  </v>
          </cell>
          <cell r="D14">
            <v>14</v>
          </cell>
          <cell r="E14">
            <v>14</v>
          </cell>
          <cell r="G14">
            <v>7.6315391879131251</v>
          </cell>
          <cell r="H14">
            <v>6.7580743449116394</v>
          </cell>
          <cell r="I14">
            <v>7.3000459136822773</v>
          </cell>
          <cell r="J14">
            <v>6.2096330275229361</v>
          </cell>
          <cell r="K14">
            <v>6.882464198865172</v>
          </cell>
          <cell r="L14">
            <v>6.404125892620999</v>
          </cell>
          <cell r="M14">
            <v>5.8034235229155167</v>
          </cell>
          <cell r="N14">
            <v>4.0559928041376203</v>
          </cell>
          <cell r="O14">
            <v>5.1186525892408241</v>
          </cell>
          <cell r="P14">
            <v>7.5844421699078817</v>
          </cell>
          <cell r="Q14">
            <v>5.2971201123858576</v>
          </cell>
          <cell r="R14">
            <v>6.582413539367181</v>
          </cell>
          <cell r="S14">
            <v>7.5796849999999996</v>
          </cell>
          <cell r="T14">
            <v>5.3602889999999999</v>
          </cell>
          <cell r="U14">
            <v>5.8981279999999998</v>
          </cell>
        </row>
        <row r="15">
          <cell r="B15" t="str">
            <v>BKH</v>
          </cell>
          <cell r="C15" t="str">
            <v xml:space="preserve">Black Hills                   </v>
          </cell>
          <cell r="D15">
            <v>15</v>
          </cell>
          <cell r="E15">
            <v>15</v>
          </cell>
          <cell r="G15">
            <v>9.3268098647573581</v>
          </cell>
          <cell r="H15">
            <v>8.0614298323036184</v>
          </cell>
          <cell r="I15">
            <v>8.8062449959967974</v>
          </cell>
          <cell r="J15">
            <v>8.0283353010625742</v>
          </cell>
          <cell r="K15">
            <v>6.0373881932021476</v>
          </cell>
          <cell r="L15">
            <v>7.8482276585122319</v>
          </cell>
          <cell r="M15">
            <v>6.1607875307629199</v>
          </cell>
          <cell r="N15">
            <v>4.2542028450027702</v>
          </cell>
          <cell r="O15">
            <v>11.257026752455131</v>
          </cell>
          <cell r="P15">
            <v>7.6150936258747874</v>
          </cell>
          <cell r="Q15">
            <v>6.9166335847558544</v>
          </cell>
          <cell r="R15">
            <v>7.5738045738045745</v>
          </cell>
          <cell r="S15">
            <v>6.6870099999999999</v>
          </cell>
          <cell r="T15">
            <v>6.8855000000000004</v>
          </cell>
          <cell r="U15">
            <v>5.9184089999999996</v>
          </cell>
        </row>
        <row r="16">
          <cell r="B16" t="str">
            <v>CWT</v>
          </cell>
          <cell r="C16" t="str">
            <v>California Water</v>
          </cell>
          <cell r="D16">
            <v>16</v>
          </cell>
          <cell r="E16">
            <v>16</v>
          </cell>
          <cell r="G16">
            <v>12.791969243912858</v>
          </cell>
          <cell r="H16">
            <v>10.489639639639638</v>
          </cell>
          <cell r="I16">
            <v>9.4981759221726794</v>
          </cell>
          <cell r="J16">
            <v>9.2844866576209863</v>
          </cell>
          <cell r="K16">
            <v>7.8671268334771352</v>
          </cell>
          <cell r="L16">
            <v>8.8481624758220487</v>
          </cell>
          <cell r="M16">
            <v>9.5067287784679095</v>
          </cell>
          <cell r="N16">
            <v>9.9245087900723892</v>
          </cell>
          <cell r="O16">
            <v>10.090274046211713</v>
          </cell>
          <cell r="P16">
            <v>12.511523687580025</v>
          </cell>
          <cell r="Q16">
            <v>14.436256448047162</v>
          </cell>
        </row>
        <row r="17">
          <cell r="B17" t="str">
            <v>CNP</v>
          </cell>
          <cell r="C17" t="str">
            <v xml:space="preserve">CenterPoint Energy            </v>
          </cell>
          <cell r="D17">
            <v>17</v>
          </cell>
          <cell r="E17">
            <v>17</v>
          </cell>
          <cell r="G17">
            <v>5.957041870581838</v>
          </cell>
          <cell r="H17">
            <v>5.7488235294117649</v>
          </cell>
          <cell r="I17">
            <v>6.2537003375746556</v>
          </cell>
          <cell r="J17">
            <v>6.5611064069997171</v>
          </cell>
          <cell r="K17">
            <v>5.1511179645335385</v>
          </cell>
          <cell r="L17">
            <v>5.3933566433566442</v>
          </cell>
          <cell r="M17">
            <v>4.6976744186046515</v>
          </cell>
          <cell r="N17">
            <v>4.0547432845970759</v>
          </cell>
          <cell r="O17">
            <v>4.2873025160912812</v>
          </cell>
          <cell r="P17">
            <v>5.1730032419687593</v>
          </cell>
          <cell r="Q17">
            <v>3.938834391229082</v>
          </cell>
          <cell r="R17">
            <v>4.698932646301067</v>
          </cell>
          <cell r="S17">
            <v>4.2561600000000004</v>
          </cell>
          <cell r="T17">
            <v>2.080613</v>
          </cell>
          <cell r="U17">
            <v>2.1596289999999998</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v>9.4581719999999994</v>
          </cell>
          <cell r="T18">
            <v>8.6922759999999997</v>
          </cell>
          <cell r="U18">
            <v>11.4496</v>
          </cell>
        </row>
        <row r="19">
          <cell r="B19" t="str">
            <v>CPK</v>
          </cell>
          <cell r="C19" t="str">
            <v>Chesapeake Utilities</v>
          </cell>
          <cell r="D19">
            <v>18</v>
          </cell>
          <cell r="E19">
            <v>18</v>
          </cell>
          <cell r="G19">
            <v>12.061785783459229</v>
          </cell>
          <cell r="H19">
            <v>10.156175771971498</v>
          </cell>
          <cell r="I19">
            <v>9.2457179107633749</v>
          </cell>
          <cell r="J19">
            <v>8.1181880892159111</v>
          </cell>
          <cell r="K19">
            <v>7.4640870005058169</v>
          </cell>
          <cell r="L19">
            <v>7.3488876831253398</v>
          </cell>
          <cell r="M19">
            <v>6.3584096109839816</v>
          </cell>
          <cell r="N19">
            <v>9.4753258845437625</v>
          </cell>
          <cell r="O19">
            <v>7.8808000000000007</v>
          </cell>
          <cell r="P19">
            <v>8.5781746031746042</v>
          </cell>
          <cell r="Q19">
            <v>9.4022038567493116</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v>7.0826840000000004</v>
          </cell>
          <cell r="T20">
            <v>5.2404299999999999</v>
          </cell>
          <cell r="U20">
            <v>6.100295</v>
          </cell>
        </row>
        <row r="21">
          <cell r="B21" t="str">
            <v>CMS</v>
          </cell>
          <cell r="C21" t="str">
            <v xml:space="preserve">CMS Energy Corp.              </v>
          </cell>
          <cell r="D21">
            <v>19</v>
          </cell>
          <cell r="E21">
            <v>19</v>
          </cell>
          <cell r="G21">
            <v>8.5008200082000815</v>
          </cell>
          <cell r="H21">
            <v>7.5266710211190944</v>
          </cell>
          <cell r="I21">
            <v>7.1293225959261006</v>
          </cell>
          <cell r="J21">
            <v>6.6755358462675529</v>
          </cell>
          <cell r="K21">
            <v>6.0340225071970686</v>
          </cell>
          <cell r="L21">
            <v>5.405805038335159</v>
          </cell>
          <cell r="M21">
            <v>4.4751485683414369</v>
          </cell>
          <cell r="N21">
            <v>3.6362849725987885</v>
          </cell>
          <cell r="O21">
            <v>3.4463641052088705</v>
          </cell>
          <cell r="P21">
            <v>5.5730045425048669</v>
          </cell>
          <cell r="Q21">
            <v>4.4045919950356813</v>
          </cell>
          <cell r="R21">
            <v>4.0422863808690588</v>
          </cell>
          <cell r="S21">
            <v>3.1967210000000001</v>
          </cell>
          <cell r="T21">
            <v>2.876099</v>
          </cell>
          <cell r="U21" t="str">
            <v>NMF</v>
          </cell>
        </row>
        <row r="22">
          <cell r="B22" t="str">
            <v>CTWS</v>
          </cell>
          <cell r="C22" t="str">
            <v>Conn. Water Services</v>
          </cell>
          <cell r="D22">
            <v>20</v>
          </cell>
          <cell r="E22">
            <v>20</v>
          </cell>
          <cell r="G22">
            <v>14.623490338164252</v>
          </cell>
          <cell r="H22">
            <v>11.275786163522012</v>
          </cell>
          <cell r="I22">
            <v>11.319313593539704</v>
          </cell>
          <cell r="J22">
            <v>11.597185241536707</v>
          </cell>
          <cell r="K22">
            <v>11.221717744986758</v>
          </cell>
          <cell r="L22">
            <v>12.344418052256533</v>
          </cell>
          <cell r="M22">
            <v>11.454634624816086</v>
          </cell>
          <cell r="N22">
            <v>11.330574236937403</v>
          </cell>
          <cell r="O22">
            <v>12.644398766700926</v>
          </cell>
          <cell r="P22">
            <v>12.717746182201159</v>
          </cell>
          <cell r="Q22">
            <v>15.461791831357049</v>
          </cell>
        </row>
        <row r="23">
          <cell r="B23" t="str">
            <v>ED</v>
          </cell>
          <cell r="C23" t="str">
            <v xml:space="preserve">Consol. Edison                </v>
          </cell>
          <cell r="D23">
            <v>21</v>
          </cell>
          <cell r="E23">
            <v>21</v>
          </cell>
          <cell r="G23">
            <v>9.3949270767279636</v>
          </cell>
          <cell r="H23">
            <v>7.963546922300706</v>
          </cell>
          <cell r="I23">
            <v>7.8885843497327679</v>
          </cell>
          <cell r="J23">
            <v>7.7697059218477236</v>
          </cell>
          <cell r="K23">
            <v>8.3131821998320738</v>
          </cell>
          <cell r="L23">
            <v>8.1457545028000613</v>
          </cell>
          <cell r="M23">
            <v>7.3884707766212969</v>
          </cell>
          <cell r="N23">
            <v>6.7200614124872056</v>
          </cell>
          <cell r="O23">
            <v>6.8936205744822976</v>
          </cell>
          <cell r="P23">
            <v>8.3095980595980592</v>
          </cell>
          <cell r="Q23">
            <v>8.6531540064406141</v>
          </cell>
          <cell r="R23">
            <v>8.5887602050503133</v>
          </cell>
          <cell r="S23">
            <v>9.3134920000000001</v>
          </cell>
          <cell r="T23">
            <v>7.8992769999999997</v>
          </cell>
          <cell r="U23">
            <v>7.6411100000000003</v>
          </cell>
        </row>
        <row r="24">
          <cell r="B24" t="str">
            <v>CWCO</v>
          </cell>
          <cell r="C24" t="str">
            <v>Consolidated Water</v>
          </cell>
          <cell r="D24">
            <v>22</v>
          </cell>
          <cell r="E24">
            <v>22</v>
          </cell>
          <cell r="G24">
            <v>12.681341719077569</v>
          </cell>
          <cell r="H24">
            <v>12.988776655443322</v>
          </cell>
          <cell r="I24">
            <v>14.85125</v>
          </cell>
          <cell r="J24">
            <v>12.134796238244514</v>
          </cell>
          <cell r="K24">
            <v>6.8080548414738642</v>
          </cell>
          <cell r="L24">
            <v>11.31768953068592</v>
          </cell>
          <cell r="M24">
            <v>13.371527777777779</v>
          </cell>
          <cell r="N24">
            <v>11.934745762711865</v>
          </cell>
          <cell r="O24">
            <v>19.910432033719704</v>
          </cell>
          <cell r="P24">
            <v>23.259567387687188</v>
          </cell>
          <cell r="Q24">
            <v>29.194252873563219</v>
          </cell>
        </row>
        <row r="25">
          <cell r="B25" t="str">
            <v>D</v>
          </cell>
          <cell r="C25" t="str">
            <v xml:space="preserve">Dominion Resources            </v>
          </cell>
          <cell r="D25">
            <v>24</v>
          </cell>
          <cell r="E25">
            <v>24</v>
          </cell>
          <cell r="G25">
            <v>11.594436541804964</v>
          </cell>
          <cell r="H25">
            <v>11.837733957219251</v>
          </cell>
          <cell r="I25">
            <v>12.270753064798599</v>
          </cell>
          <cell r="J25">
            <v>10.877263581488934</v>
          </cell>
          <cell r="K25">
            <v>9.9176201372997728</v>
          </cell>
          <cell r="L25">
            <v>9.4481665014866199</v>
          </cell>
          <cell r="M25">
            <v>8.1228207639569039</v>
          </cell>
          <cell r="N25">
            <v>6.9848421926910307</v>
          </cell>
          <cell r="O25">
            <v>8.2672192618906646</v>
          </cell>
          <cell r="P25">
            <v>8.6465262743554412</v>
          </cell>
          <cell r="Q25">
            <v>7.8091649694501024</v>
          </cell>
          <cell r="R25">
            <v>10.089435287760065</v>
          </cell>
          <cell r="S25">
            <v>7.6822210000000002</v>
          </cell>
          <cell r="T25">
            <v>7.50718</v>
          </cell>
          <cell r="U25">
            <v>6.5263039999999997</v>
          </cell>
        </row>
        <row r="26">
          <cell r="B26" t="str">
            <v>DTE</v>
          </cell>
          <cell r="C26" t="str">
            <v xml:space="preserve">DTE Energy                    </v>
          </cell>
          <cell r="D26">
            <v>25</v>
          </cell>
          <cell r="E26">
            <v>25</v>
          </cell>
          <cell r="G26">
            <v>8.6420754716981136</v>
          </cell>
          <cell r="H26">
            <v>8.5202881661192933</v>
          </cell>
          <cell r="I26">
            <v>6.4158090096170071</v>
          </cell>
          <cell r="J26">
            <v>6.6529382716049383</v>
          </cell>
          <cell r="K26">
            <v>5.9124961621123733</v>
          </cell>
          <cell r="L26">
            <v>5.1828350407693913</v>
          </cell>
          <cell r="M26">
            <v>4.6905930470347652</v>
          </cell>
          <cell r="N26">
            <v>3.5945859533198341</v>
          </cell>
          <cell r="O26">
            <v>4.8969359331476321</v>
          </cell>
          <cell r="P26">
            <v>5.7259870359457867</v>
          </cell>
          <cell r="Q26">
            <v>5.2138932975216701</v>
          </cell>
          <cell r="R26">
            <v>5.5403413975193416</v>
          </cell>
          <cell r="S26">
            <v>6.0036690000000004</v>
          </cell>
          <cell r="T26">
            <v>5.6177109999999999</v>
          </cell>
          <cell r="U26">
            <v>5.20106</v>
          </cell>
        </row>
        <row r="27">
          <cell r="B27" t="str">
            <v>DUK</v>
          </cell>
          <cell r="C27" t="str">
            <v xml:space="preserve">Duke Energy                   </v>
          </cell>
          <cell r="D27">
            <v>26</v>
          </cell>
          <cell r="E27">
            <v>26</v>
          </cell>
          <cell r="G27">
            <v>8.5698913043478271</v>
          </cell>
          <cell r="H27">
            <v>7.9461702127659573</v>
          </cell>
          <cell r="I27">
            <v>8.1206366630076836</v>
          </cell>
          <cell r="J27">
            <v>8.1148632858144438</v>
          </cell>
          <cell r="K27">
            <v>9.5307443365695796</v>
          </cell>
          <cell r="L27">
            <v>6.5644009216589865</v>
          </cell>
          <cell r="M27">
            <v>6.0090737685599809</v>
          </cell>
          <cell r="N27">
            <v>5.9555408970976256</v>
          </cell>
          <cell r="O27">
            <v>7.1315538608198281</v>
          </cell>
          <cell r="P27">
            <v>7.1623288516097201</v>
          </cell>
          <cell r="Q27">
            <v>0</v>
          </cell>
          <cell r="R27" t="str">
            <v>N/A</v>
          </cell>
          <cell r="S27" t="str">
            <v>N/A</v>
          </cell>
          <cell r="T27" t="str">
            <v>N/A</v>
          </cell>
          <cell r="U27" t="str">
            <v>N/A</v>
          </cell>
        </row>
        <row r="28">
          <cell r="B28" t="str">
            <v>EIX</v>
          </cell>
          <cell r="C28" t="str">
            <v xml:space="preserve">Edison Int'l                  </v>
          </cell>
          <cell r="D28">
            <v>27</v>
          </cell>
          <cell r="E28">
            <v>27</v>
          </cell>
          <cell r="G28">
            <v>6.7719163629388071</v>
          </cell>
          <cell r="H28">
            <v>5.9209661835748788</v>
          </cell>
          <cell r="I28">
            <v>5.6784242789669381</v>
          </cell>
          <cell r="J28">
            <v>5.4568602932817996</v>
          </cell>
          <cell r="K28">
            <v>4.5871416701287906</v>
          </cell>
          <cell r="L28">
            <v>4.22358803986711</v>
          </cell>
          <cell r="M28">
            <v>4.1089979793177225</v>
          </cell>
          <cell r="N28">
            <v>3.9531701192718138</v>
          </cell>
          <cell r="O28">
            <v>5.6253092528451267</v>
          </cell>
          <cell r="P28">
            <v>7.0055292259083721</v>
          </cell>
          <cell r="Q28">
            <v>5.873293809458155</v>
          </cell>
          <cell r="R28">
            <v>5.6129401660463794</v>
          </cell>
          <cell r="S28">
            <v>6.8365840000000002</v>
          </cell>
          <cell r="T28">
            <v>2.8197589999999999</v>
          </cell>
          <cell r="U28">
            <v>2.960502</v>
          </cell>
        </row>
        <row r="29">
          <cell r="B29" t="str">
            <v>EE</v>
          </cell>
          <cell r="C29" t="str">
            <v xml:space="preserve">El Paso Electric              </v>
          </cell>
          <cell r="D29">
            <v>28</v>
          </cell>
          <cell r="E29">
            <v>28</v>
          </cell>
          <cell r="G29">
            <v>7.4615127175368148</v>
          </cell>
          <cell r="H29">
            <v>6.4707826086956519</v>
          </cell>
          <cell r="I29">
            <v>6.3323684658607178</v>
          </cell>
          <cell r="J29">
            <v>6.1883082373782115</v>
          </cell>
          <cell r="K29">
            <v>5.77813107224872</v>
          </cell>
          <cell r="L29">
            <v>5.1629752066115708</v>
          </cell>
          <cell r="M29">
            <v>4.3062293809431402</v>
          </cell>
          <cell r="N29">
            <v>3.9808212441603148</v>
          </cell>
          <cell r="O29">
            <v>4.9475835537388804</v>
          </cell>
          <cell r="P29">
            <v>6.4357050452781364</v>
          </cell>
          <cell r="Q29">
            <v>6.2486187845303869</v>
          </cell>
          <cell r="R29">
            <v>6.6677609980302037</v>
          </cell>
          <cell r="S29">
            <v>4.6549300000000002</v>
          </cell>
          <cell r="T29">
            <v>3.8985989999999999</v>
          </cell>
          <cell r="U29">
            <v>4.3862110000000003</v>
          </cell>
        </row>
        <row r="30">
          <cell r="B30" t="str">
            <v>EDE</v>
          </cell>
          <cell r="C30" t="str">
            <v>Empire District Electric</v>
          </cell>
          <cell r="D30">
            <v>29</v>
          </cell>
          <cell r="E30">
            <v>29</v>
          </cell>
          <cell r="G30" t="str">
            <v>N/A</v>
          </cell>
          <cell r="H30">
            <v>7.2742616033755274</v>
          </cell>
          <cell r="I30">
            <v>7.2901073397156955</v>
          </cell>
          <cell r="J30">
            <v>7.0684713375796173</v>
          </cell>
          <cell r="K30">
            <v>6.9661754855994635</v>
          </cell>
          <cell r="L30">
            <v>6.4347148644437517</v>
          </cell>
          <cell r="M30">
            <v>6.8796068796068797</v>
          </cell>
          <cell r="N30">
            <v>6.227088700772911</v>
          </cell>
          <cell r="O30">
            <v>6.9446164430684547</v>
          </cell>
          <cell r="P30">
            <v>8.7838841440772377</v>
          </cell>
          <cell r="Q30">
            <v>8.1666666666666661</v>
          </cell>
          <cell r="R30">
            <v>9.1954304365565083</v>
          </cell>
          <cell r="S30">
            <v>9.6012599999999999</v>
          </cell>
          <cell r="T30">
            <v>8.2227139999999999</v>
          </cell>
          <cell r="U30">
            <v>7.9267190000000003</v>
          </cell>
        </row>
        <row r="31">
          <cell r="B31" t="str">
            <v>ETR</v>
          </cell>
          <cell r="C31" t="str">
            <v xml:space="preserve">Entergy Corp.                 </v>
          </cell>
          <cell r="D31">
            <v>30</v>
          </cell>
          <cell r="E31">
            <v>30</v>
          </cell>
          <cell r="G31">
            <v>4.0131916257209994</v>
          </cell>
          <cell r="H31">
            <v>4.1113181972212809</v>
          </cell>
          <cell r="I31">
            <v>4.2062683865127859</v>
          </cell>
          <cell r="J31">
            <v>4.0342238089375853</v>
          </cell>
          <cell r="K31">
            <v>4.2285499718380377</v>
          </cell>
          <cell r="L31">
            <v>3.9024070271503537</v>
          </cell>
          <cell r="M31">
            <v>4.6604172966434838</v>
          </cell>
          <cell r="N31">
            <v>5.6803883202889818</v>
          </cell>
          <cell r="O31">
            <v>7.963460046547711</v>
          </cell>
          <cell r="P31">
            <v>9.2136890555744984</v>
          </cell>
          <cell r="Q31">
            <v>7.1561769381838589</v>
          </cell>
          <cell r="R31">
            <v>8.756049865558543</v>
          </cell>
          <cell r="S31">
            <v>7.1220420000000004</v>
          </cell>
          <cell r="T31">
            <v>6.8374600000000001</v>
          </cell>
          <cell r="U31">
            <v>5.5696649999999996</v>
          </cell>
        </row>
        <row r="32">
          <cell r="B32" t="str">
            <v>ES</v>
          </cell>
          <cell r="C32" t="str">
            <v xml:space="preserve">Eversource Energy    </v>
          </cell>
          <cell r="D32">
            <v>31</v>
          </cell>
          <cell r="E32">
            <v>31</v>
          </cell>
          <cell r="G32">
            <v>10.136863319897397</v>
          </cell>
          <cell r="H32">
            <v>10.12006479044341</v>
          </cell>
          <cell r="I32">
            <v>10.143264589732338</v>
          </cell>
          <cell r="J32">
            <v>8.0810344827586214</v>
          </cell>
          <cell r="K32">
            <v>9.3024293505205762</v>
          </cell>
          <cell r="L32">
            <v>6.9887202625102534</v>
          </cell>
          <cell r="M32">
            <v>4.9663495419309376</v>
          </cell>
          <cell r="N32">
            <v>4.6065739060294417</v>
          </cell>
          <cell r="O32">
            <v>4.1233165666071718</v>
          </cell>
          <cell r="P32">
            <v>6.1838174273858924</v>
          </cell>
          <cell r="Q32">
            <v>6.0159934941718625</v>
          </cell>
          <cell r="R32">
            <v>3.5481033534909288</v>
          </cell>
          <cell r="S32">
            <v>3.782826</v>
          </cell>
          <cell r="T32">
            <v>2.852541</v>
          </cell>
          <cell r="U32">
            <v>2.746715</v>
          </cell>
        </row>
        <row r="33">
          <cell r="B33" t="str">
            <v>EXC</v>
          </cell>
          <cell r="C33" t="str">
            <v xml:space="preserve">Exelon Corp.                  </v>
          </cell>
          <cell r="D33">
            <v>32</v>
          </cell>
          <cell r="E33">
            <v>32</v>
          </cell>
          <cell r="G33">
            <v>4.8002855103497497</v>
          </cell>
          <cell r="H33">
            <v>4.6968092927510661</v>
          </cell>
          <cell r="I33">
            <v>5.0912668382019071</v>
          </cell>
          <cell r="J33">
            <v>4.6141263940520449</v>
          </cell>
          <cell r="K33">
            <v>5.5449591280653951</v>
          </cell>
          <cell r="L33">
            <v>5.858446226154272</v>
          </cell>
          <cell r="M33">
            <v>5.1031373963216735</v>
          </cell>
          <cell r="N33">
            <v>5.9759912695525648</v>
          </cell>
          <cell r="O33">
            <v>9.6510805500982322</v>
          </cell>
          <cell r="P33">
            <v>9.8861066235864303</v>
          </cell>
          <cell r="Q33">
            <v>8.615040953090098</v>
          </cell>
          <cell r="R33">
            <v>7.9709208400646201</v>
          </cell>
          <cell r="S33">
            <v>6.2868700000000004</v>
          </cell>
          <cell r="T33">
            <v>5.7122630000000001</v>
          </cell>
          <cell r="U33">
            <v>4.9749699999999999</v>
          </cell>
        </row>
        <row r="34">
          <cell r="B34" t="str">
            <v>FE</v>
          </cell>
          <cell r="C34" t="str">
            <v xml:space="preserve">FirstEnergy Corp.             </v>
          </cell>
          <cell r="D34">
            <v>33</v>
          </cell>
          <cell r="E34">
            <v>33</v>
          </cell>
          <cell r="G34">
            <v>5.1169805542795892</v>
          </cell>
          <cell r="H34">
            <v>5.3809072230124864</v>
          </cell>
          <cell r="I34">
            <v>7.4331868131868131</v>
          </cell>
          <cell r="J34">
            <v>6.1523325928276735</v>
          </cell>
          <cell r="K34">
            <v>7.4218698381235546</v>
          </cell>
          <cell r="L34">
            <v>7.3257918552036196</v>
          </cell>
          <cell r="M34">
            <v>4.4901799364930026</v>
          </cell>
          <cell r="N34">
            <v>4.9147533530347811</v>
          </cell>
          <cell r="O34">
            <v>7.5785864395531464</v>
          </cell>
          <cell r="P34">
            <v>7.8850395588587867</v>
          </cell>
          <cell r="Q34">
            <v>7.5272122974657245</v>
          </cell>
          <cell r="R34">
            <v>6.0413135593220346</v>
          </cell>
          <cell r="S34">
            <v>5.149756</v>
          </cell>
          <cell r="T34">
            <v>6.8987049999999996</v>
          </cell>
          <cell r="U34">
            <v>5.104406</v>
          </cell>
        </row>
        <row r="35">
          <cell r="B35" t="str">
            <v>FTS.TO</v>
          </cell>
          <cell r="C35" t="str">
            <v>Fortis Inc.</v>
          </cell>
          <cell r="D35">
            <v>34</v>
          </cell>
          <cell r="E35">
            <v>34</v>
          </cell>
          <cell r="G35">
            <v>10.455569782330347</v>
          </cell>
          <cell r="H35">
            <v>7.2851937092443411</v>
          </cell>
          <cell r="I35">
            <v>9.2506210322936795</v>
          </cell>
          <cell r="J35">
            <v>7.9295980511571251</v>
          </cell>
          <cell r="K35">
            <v>8.0921277114306598</v>
          </cell>
          <cell r="L35">
            <v>8.3779144248014337</v>
          </cell>
          <cell r="M35">
            <v>7.4047678795483058</v>
          </cell>
          <cell r="N35">
            <v>6.7606019151846795</v>
          </cell>
          <cell r="O35">
            <v>7.5814550641940093</v>
          </cell>
          <cell r="P35">
            <v>9.183935200809989</v>
          </cell>
          <cell r="Q35">
            <v>7.8926108374384238</v>
          </cell>
          <cell r="R35" t="str">
            <v>N/A</v>
          </cell>
          <cell r="S35" t="str">
            <v>N/A</v>
          </cell>
          <cell r="T35" t="str">
            <v>N/A</v>
          </cell>
          <cell r="U35" t="str">
            <v>N/A</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v>5.974291</v>
          </cell>
          <cell r="T36">
            <v>5.7684699999999998</v>
          </cell>
          <cell r="U36">
            <v>6.3455389999999996</v>
          </cell>
        </row>
        <row r="37">
          <cell r="B37" t="str">
            <v>GXP</v>
          </cell>
          <cell r="C37" t="str">
            <v xml:space="preserve">Great Plains Energy             </v>
          </cell>
          <cell r="D37">
            <v>36</v>
          </cell>
          <cell r="E37">
            <v>36</v>
          </cell>
          <cell r="G37">
            <v>8.628614008941879</v>
          </cell>
          <cell r="H37">
            <v>6.66273229532898</v>
          </cell>
          <cell r="I37">
            <v>6.4499875280618602</v>
          </cell>
          <cell r="J37">
            <v>5.7326016462958336</v>
          </cell>
          <cell r="K37">
            <v>6.087373004354137</v>
          </cell>
          <cell r="L37">
            <v>5.7353276353276357</v>
          </cell>
          <cell r="M37">
            <v>4.491504854368932</v>
          </cell>
          <cell r="N37">
            <v>5.0578866768759569</v>
          </cell>
          <cell r="O37">
            <v>7.7057872615583571</v>
          </cell>
          <cell r="P37">
            <v>7.132783018867924</v>
          </cell>
          <cell r="Q37">
            <v>7.6797927461139892</v>
          </cell>
          <cell r="R37">
            <v>6.6982834507042259</v>
          </cell>
          <cell r="S37">
            <v>6.5216839999999996</v>
          </cell>
          <cell r="T37">
            <v>5.9151930000000004</v>
          </cell>
          <cell r="U37">
            <v>5.1369210000000001</v>
          </cell>
        </row>
        <row r="38">
          <cell r="B38" t="str">
            <v>HE</v>
          </cell>
          <cell r="C38" t="str">
            <v xml:space="preserve">Hawaiian Elec.                </v>
          </cell>
          <cell r="D38">
            <v>37</v>
          </cell>
          <cell r="E38">
            <v>37</v>
          </cell>
          <cell r="G38">
            <v>7.441035474592522</v>
          </cell>
          <cell r="H38">
            <v>9.2515114873035067</v>
          </cell>
          <cell r="I38">
            <v>7.6423122065727709</v>
          </cell>
          <cell r="J38">
            <v>8.1517690875232773</v>
          </cell>
          <cell r="K38">
            <v>8.0463132236441197</v>
          </cell>
          <cell r="L38">
            <v>7.731385485391141</v>
          </cell>
          <cell r="M38">
            <v>7.8093750000000002</v>
          </cell>
          <cell r="N38">
            <v>6.9490544191431871</v>
          </cell>
          <cell r="O38">
            <v>9.104335047759001</v>
          </cell>
          <cell r="P38">
            <v>7.945255474452555</v>
          </cell>
          <cell r="Q38">
            <v>8.473205891570041</v>
          </cell>
          <cell r="R38">
            <v>8.290553138595401</v>
          </cell>
          <cell r="S38">
            <v>8.4448039999999995</v>
          </cell>
          <cell r="T38">
            <v>6.1214690000000003</v>
          </cell>
          <cell r="U38">
            <v>6.1993749999999999</v>
          </cell>
        </row>
        <row r="39">
          <cell r="B39" t="str">
            <v>IDA</v>
          </cell>
          <cell r="C39" t="str">
            <v xml:space="preserve">IDACORP, Inc.                 </v>
          </cell>
          <cell r="D39">
            <v>38</v>
          </cell>
          <cell r="E39">
            <v>38</v>
          </cell>
          <cell r="G39">
            <v>10.952019833746537</v>
          </cell>
          <cell r="H39">
            <v>9.3677611940298515</v>
          </cell>
          <cell r="I39">
            <v>8.5856143552311437</v>
          </cell>
          <cell r="J39">
            <v>7.7771247021445591</v>
          </cell>
          <cell r="K39">
            <v>7.0498988536749829</v>
          </cell>
          <cell r="L39">
            <v>6.6411925976696367</v>
          </cell>
          <cell r="M39">
            <v>6.5214953271028042</v>
          </cell>
          <cell r="N39">
            <v>5.3067218608318543</v>
          </cell>
          <cell r="O39">
            <v>7.104376316405336</v>
          </cell>
          <cell r="P39">
            <v>8.2275711159737419</v>
          </cell>
          <cell r="Q39">
            <v>7.7289393278044525</v>
          </cell>
          <cell r="R39">
            <v>7.5475206611570247</v>
          </cell>
          <cell r="S39">
            <v>7.1459450000000002</v>
          </cell>
          <cell r="T39">
            <v>7.2654870000000003</v>
          </cell>
          <cell r="U39">
            <v>7.5333009999999998</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v>6.7337059999999997</v>
          </cell>
          <cell r="T40">
            <v>6.5950199999999999</v>
          </cell>
          <cell r="U40">
            <v>6.4653359999999997</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v>13.66813509544787</v>
          </cell>
          <cell r="S41" t="str">
            <v>N/A</v>
          </cell>
          <cell r="T41" t="str">
            <v>N/A</v>
          </cell>
          <cell r="U41" t="str">
            <v>N/A</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v>7.1101179835538071</v>
          </cell>
          <cell r="S42">
            <v>6.9013080000000002</v>
          </cell>
          <cell r="T42">
            <v>6.4263430000000001</v>
          </cell>
          <cell r="U42">
            <v>6.7717580000000002</v>
          </cell>
        </row>
        <row r="43">
          <cell r="B43" t="str">
            <v>MGEE</v>
          </cell>
          <cell r="C43" t="str">
            <v xml:space="preserve">MGE Energy                    </v>
          </cell>
          <cell r="D43">
            <v>39</v>
          </cell>
          <cell r="E43">
            <v>39</v>
          </cell>
          <cell r="G43">
            <v>15.659071243149697</v>
          </cell>
          <cell r="H43">
            <v>12.529994001199759</v>
          </cell>
          <cell r="I43">
            <v>11.424520194786595</v>
          </cell>
          <cell r="J43">
            <v>11.201158183480645</v>
          </cell>
          <cell r="K43">
            <v>10.772773109243698</v>
          </cell>
          <cell r="L43">
            <v>9.4788972089857033</v>
          </cell>
          <cell r="M43">
            <v>9.0492932221819498</v>
          </cell>
          <cell r="N43">
            <v>8.3960843373493983</v>
          </cell>
          <cell r="O43">
            <v>8.4240388204553955</v>
          </cell>
          <cell r="P43">
            <v>9.2263307598537185</v>
          </cell>
          <cell r="Q43">
            <v>9.3011945392491473</v>
          </cell>
          <cell r="R43">
            <v>11.727</v>
          </cell>
          <cell r="S43">
            <v>11.044409999999999</v>
          </cell>
          <cell r="T43">
            <v>10.19708</v>
          </cell>
          <cell r="U43">
            <v>8.0936369999999993</v>
          </cell>
        </row>
        <row r="44">
          <cell r="B44" t="str">
            <v>MSEX</v>
          </cell>
          <cell r="C44" t="str">
            <v>Middlesex Water</v>
          </cell>
          <cell r="D44">
            <v>40</v>
          </cell>
          <cell r="E44">
            <v>40</v>
          </cell>
          <cell r="G44">
            <v>16.293738489871085</v>
          </cell>
          <cell r="H44">
            <v>11.846544715447155</v>
          </cell>
          <cell r="I44">
            <v>11.328633405639913</v>
          </cell>
          <cell r="J44">
            <v>11.81315483119907</v>
          </cell>
          <cell r="K44">
            <v>12.055305466237941</v>
          </cell>
          <cell r="L44">
            <v>12.46584699453552</v>
          </cell>
          <cell r="M44">
            <v>11.051712992889465</v>
          </cell>
          <cell r="N44">
            <v>10.777777777777779</v>
          </cell>
          <cell r="O44">
            <v>11.509470934030045</v>
          </cell>
          <cell r="P44">
            <v>12.580040187541861</v>
          </cell>
          <cell r="Q44">
            <v>13.97524381095274</v>
          </cell>
        </row>
        <row r="45">
          <cell r="B45" t="str">
            <v>NJR</v>
          </cell>
          <cell r="C45" t="str">
            <v>New Jersey Resources</v>
          </cell>
          <cell r="D45">
            <v>41</v>
          </cell>
          <cell r="E45">
            <v>41</v>
          </cell>
          <cell r="G45">
            <v>13.936048879837067</v>
          </cell>
          <cell r="H45">
            <v>11.711287128712872</v>
          </cell>
          <cell r="I45">
            <v>8.9486615328199495</v>
          </cell>
          <cell r="J45">
            <v>11.286601138127264</v>
          </cell>
          <cell r="K45">
            <v>12.292722371967656</v>
          </cell>
          <cell r="L45">
            <v>12.714117647058824</v>
          </cell>
          <cell r="M45">
            <v>11.320638820638822</v>
          </cell>
          <cell r="N45">
            <v>11.342621912602914</v>
          </cell>
          <cell r="O45">
            <v>9.1496410822749858</v>
          </cell>
          <cell r="P45">
            <v>13.763934426229509</v>
          </cell>
          <cell r="Q45">
            <v>11.00585223116313</v>
          </cell>
        </row>
        <row r="46">
          <cell r="B46" t="str">
            <v>NEE</v>
          </cell>
          <cell r="C46" t="str">
            <v>NextEra Energy, Inc.</v>
          </cell>
          <cell r="D46">
            <v>42</v>
          </cell>
          <cell r="E46">
            <v>42</v>
          </cell>
          <cell r="G46">
            <v>9.229915188897456</v>
          </cell>
          <cell r="H46">
            <v>7.9253754451153426</v>
          </cell>
          <cell r="I46">
            <v>7.9842174847132705</v>
          </cell>
          <cell r="J46">
            <v>7.5967160212604412</v>
          </cell>
          <cell r="K46">
            <v>7.5773658761224949</v>
          </cell>
          <cell r="L46">
            <v>5.9845011301259277</v>
          </cell>
          <cell r="M46">
            <v>5.33489242282507</v>
          </cell>
          <cell r="N46">
            <v>6.0868571428571423</v>
          </cell>
          <cell r="O46">
            <v>7.3440069773236978</v>
          </cell>
          <cell r="P46">
            <v>9.0182428488032684</v>
          </cell>
          <cell r="Q46">
            <v>6.5145516324420152</v>
          </cell>
          <cell r="R46">
            <v>6.7148405890920859</v>
          </cell>
          <cell r="S46">
            <v>6.7148405890920859</v>
          </cell>
          <cell r="T46">
            <v>5.9742903053026248</v>
          </cell>
          <cell r="U46">
            <v>5.7684701492537309</v>
          </cell>
        </row>
        <row r="47">
          <cell r="B47" t="str">
            <v>NI</v>
          </cell>
          <cell r="C47" t="str">
            <v xml:space="preserve">NiSource Inc.                 </v>
          </cell>
          <cell r="D47">
            <v>43</v>
          </cell>
          <cell r="E47">
            <v>43</v>
          </cell>
          <cell r="G47">
            <v>8.5609305760709002</v>
          </cell>
          <cell r="H47">
            <v>10.381288614298324</v>
          </cell>
          <cell r="I47">
            <v>10.564394993045896</v>
          </cell>
          <cell r="J47">
            <v>8.7092511013215859</v>
          </cell>
          <cell r="K47">
            <v>7.8117421825143589</v>
          </cell>
          <cell r="L47">
            <v>6.8133378016085793</v>
          </cell>
          <cell r="M47">
            <v>5.0931034482758619</v>
          </cell>
          <cell r="N47">
            <v>4.0637867026662171</v>
          </cell>
          <cell r="O47">
            <v>4.8725135623869802</v>
          </cell>
          <cell r="P47">
            <v>6.6947565543071157</v>
          </cell>
          <cell r="Q47">
            <v>6.866394215655454</v>
          </cell>
          <cell r="R47">
            <v>7.3603689567430015</v>
          </cell>
          <cell r="S47">
            <v>6.0803339999999997</v>
          </cell>
          <cell r="T47">
            <v>5.6005190000000002</v>
          </cell>
          <cell r="U47">
            <v>5.2161540000000004</v>
          </cell>
        </row>
        <row r="48">
          <cell r="B48" t="str">
            <v>NWN</v>
          </cell>
          <cell r="C48" t="str">
            <v>Northwest Nat. Gas</v>
          </cell>
          <cell r="D48">
            <v>44</v>
          </cell>
          <cell r="E48">
            <v>44</v>
          </cell>
          <cell r="G48">
            <v>11.574934090448185</v>
          </cell>
          <cell r="H48">
            <v>9.4593603585251582</v>
          </cell>
          <cell r="I48">
            <v>8.8426988523941432</v>
          </cell>
          <cell r="J48">
            <v>8.6148045247072833</v>
          </cell>
          <cell r="K48">
            <v>9.4791329011345216</v>
          </cell>
          <cell r="L48">
            <v>9.0817182817182829</v>
          </cell>
          <cell r="M48">
            <v>8.9357762777242051</v>
          </cell>
          <cell r="N48">
            <v>8.2592806308905562</v>
          </cell>
          <cell r="O48">
            <v>8.7531562087808545</v>
          </cell>
          <cell r="P48">
            <v>8.5409502680717324</v>
          </cell>
          <cell r="Q48">
            <v>7.8252100840336132</v>
          </cell>
        </row>
        <row r="49">
          <cell r="B49" t="str">
            <v>NWE</v>
          </cell>
          <cell r="C49" t="str">
            <v xml:space="preserve">NorthWestern Corp             </v>
          </cell>
          <cell r="D49">
            <v>45</v>
          </cell>
          <cell r="E49">
            <v>45</v>
          </cell>
          <cell r="G49">
            <v>8.647914502003859</v>
          </cell>
          <cell r="H49">
            <v>8.9886900742741389</v>
          </cell>
          <cell r="I49">
            <v>9.0096510764662217</v>
          </cell>
          <cell r="J49">
            <v>7.607300073367572</v>
          </cell>
          <cell r="K49">
            <v>6.8546893091470471</v>
          </cell>
          <cell r="L49">
            <v>5.8909795240730487</v>
          </cell>
          <cell r="M49">
            <v>5.7926112510495376</v>
          </cell>
          <cell r="N49">
            <v>5.0469900389779117</v>
          </cell>
          <cell r="O49">
            <v>5.5741539859186924</v>
          </cell>
          <cell r="P49">
            <v>8.4497840172786169</v>
          </cell>
          <cell r="Q49">
            <v>9.3943078198397334</v>
          </cell>
          <cell r="R49">
            <v>7.3119839879909936</v>
          </cell>
          <cell r="S49">
            <v>8.1297280000000001</v>
          </cell>
          <cell r="T49" t="str">
            <v>N/A</v>
          </cell>
          <cell r="U49" t="str">
            <v>N/A</v>
          </cell>
        </row>
        <row r="50">
          <cell r="B50" t="str">
            <v>OGE</v>
          </cell>
          <cell r="C50" t="str">
            <v xml:space="preserve">OGE Energy                    </v>
          </cell>
          <cell r="D50">
            <v>46</v>
          </cell>
          <cell r="E50">
            <v>46</v>
          </cell>
          <cell r="G50">
            <v>9.0299184043517666</v>
          </cell>
          <cell r="H50">
            <v>9.2496905940594054</v>
          </cell>
          <cell r="I50">
            <v>10.649587750294463</v>
          </cell>
          <cell r="J50">
            <v>9.9288400347121772</v>
          </cell>
          <cell r="K50">
            <v>7.3460601137286758</v>
          </cell>
          <cell r="L50">
            <v>7.4802293993359488</v>
          </cell>
          <cell r="M50">
            <v>6.6104284290933242</v>
          </cell>
          <cell r="N50">
            <v>5.3664804469273744</v>
          </cell>
          <cell r="O50">
            <v>6.4339858392336531</v>
          </cell>
          <cell r="P50">
            <v>7.5818713450292394</v>
          </cell>
          <cell r="Q50">
            <v>7.498657117278424</v>
          </cell>
          <cell r="R50">
            <v>7.0365226337448563</v>
          </cell>
          <cell r="S50">
            <v>6.7290000000000001</v>
          </cell>
          <cell r="T50">
            <v>5.6171150000000001</v>
          </cell>
          <cell r="U50">
            <v>5.3884740000000004</v>
          </cell>
        </row>
        <row r="51">
          <cell r="B51" t="str">
            <v>OGS</v>
          </cell>
          <cell r="C51" t="str">
            <v>ONE Gas Inc.</v>
          </cell>
          <cell r="D51">
            <v>47</v>
          </cell>
          <cell r="E51">
            <v>47</v>
          </cell>
          <cell r="G51">
            <v>11.095010127048425</v>
          </cell>
          <cell r="H51">
            <v>9.1913746630727751</v>
          </cell>
          <cell r="I51">
            <v>8.1605484298982756</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48</v>
          </cell>
          <cell r="E52">
            <v>48</v>
          </cell>
          <cell r="G52">
            <v>9.3839674702294502</v>
          </cell>
          <cell r="H52">
            <v>9.0356460852959906</v>
          </cell>
          <cell r="I52">
            <v>9.4525736484299134</v>
          </cell>
          <cell r="J52">
            <v>9.5807947019867559</v>
          </cell>
          <cell r="K52">
            <v>8.430047988187523</v>
          </cell>
          <cell r="L52">
            <v>9.03849407783418</v>
          </cell>
          <cell r="M52">
            <v>8.0651001540832059</v>
          </cell>
          <cell r="N52">
            <v>8.0097755249818974</v>
          </cell>
          <cell r="O52">
            <v>11.65457132692992</v>
          </cell>
          <cell r="P52">
            <v>9.5285674078243723</v>
          </cell>
          <cell r="Q52">
            <v>8.6563330380868013</v>
          </cell>
          <cell r="R52">
            <v>8.1753653444676395</v>
          </cell>
          <cell r="S52">
            <v>9.0128249999999994</v>
          </cell>
          <cell r="T52">
            <v>8.1296970000000002</v>
          </cell>
          <cell r="U52">
            <v>8.3335279999999994</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v>5.3380929999999998</v>
          </cell>
          <cell r="T53">
            <v>4.7405369999999998</v>
          </cell>
          <cell r="U53">
            <v>6.4597629999999997</v>
          </cell>
        </row>
        <row r="54">
          <cell r="B54" t="str">
            <v>PCG</v>
          </cell>
          <cell r="C54" t="str">
            <v xml:space="preserve">PG&amp;E Corp.                    </v>
          </cell>
          <cell r="D54">
            <v>49</v>
          </cell>
          <cell r="E54">
            <v>49</v>
          </cell>
          <cell r="G54">
            <v>7.2637589600291577</v>
          </cell>
          <cell r="H54">
            <v>7.2443743139407237</v>
          </cell>
          <cell r="I54">
            <v>5.6468634686346855</v>
          </cell>
          <cell r="J54">
            <v>6.8407834465329325</v>
          </cell>
          <cell r="K54">
            <v>5.8574357572443958</v>
          </cell>
          <cell r="L54">
            <v>5.3151515151515145</v>
          </cell>
          <cell r="M54">
            <v>5.4195549069682594</v>
          </cell>
          <cell r="N54">
            <v>4.7112465638819163</v>
          </cell>
          <cell r="O54">
            <v>4.6108543666311173</v>
          </cell>
          <cell r="P54">
            <v>5.8399002493765586</v>
          </cell>
          <cell r="Q54">
            <v>5.2815884476534292</v>
          </cell>
          <cell r="R54">
            <v>5.069493191071178</v>
          </cell>
          <cell r="S54">
            <v>5.1284159999999996</v>
          </cell>
          <cell r="T54">
            <v>4.0549770000000001</v>
          </cell>
          <cell r="U54">
            <v>14.685969999999999</v>
          </cell>
        </row>
        <row r="55">
          <cell r="B55" t="str">
            <v>PNW</v>
          </cell>
          <cell r="C55" t="str">
            <v xml:space="preserve">Pinnacle West Capital         </v>
          </cell>
          <cell r="D55">
            <v>50</v>
          </cell>
          <cell r="E55">
            <v>50</v>
          </cell>
          <cell r="G55">
            <v>7.8861312313591814</v>
          </cell>
          <cell r="H55">
            <v>6.9145308546914537</v>
          </cell>
          <cell r="I55">
            <v>7.033391046252782</v>
          </cell>
          <cell r="J55">
            <v>6.8530782438067206</v>
          </cell>
          <cell r="K55">
            <v>6.3436512950094759</v>
          </cell>
          <cell r="L55">
            <v>5.8035619351408823</v>
          </cell>
          <cell r="M55">
            <v>5.6503139144400638</v>
          </cell>
          <cell r="N55">
            <v>3.8445159692993318</v>
          </cell>
          <cell r="O55">
            <v>4.1873616916646181</v>
          </cell>
          <cell r="P55">
            <v>4.7558377273216399</v>
          </cell>
          <cell r="Q55">
            <v>4.4759694719471952</v>
          </cell>
          <cell r="R55">
            <v>7.479257073424753</v>
          </cell>
          <cell r="S55">
            <v>5.8802649999999996</v>
          </cell>
          <cell r="T55">
            <v>4.8030030000000004</v>
          </cell>
          <cell r="U55">
            <v>5.2054470000000004</v>
          </cell>
        </row>
        <row r="56">
          <cell r="B56" t="str">
            <v>PNM</v>
          </cell>
          <cell r="C56" t="str">
            <v xml:space="preserve">PNM Resources                 </v>
          </cell>
          <cell r="D56">
            <v>51</v>
          </cell>
          <cell r="E56">
            <v>51</v>
          </cell>
          <cell r="G56">
            <v>7.6435412286848878</v>
          </cell>
          <cell r="H56">
            <v>6.9454499748617398</v>
          </cell>
          <cell r="I56">
            <v>7.4806629834254137</v>
          </cell>
          <cell r="J56">
            <v>6.4745231995445494</v>
          </cell>
          <cell r="K56">
            <v>5.8023668639053252</v>
          </cell>
          <cell r="L56">
            <v>4.9386406544996859</v>
          </cell>
          <cell r="M56">
            <v>4.5815523059617549</v>
          </cell>
          <cell r="N56">
            <v>4.5271786022433131</v>
          </cell>
          <cell r="O56">
            <v>7.1007972665148058</v>
          </cell>
          <cell r="P56">
            <v>10.670736510437179</v>
          </cell>
          <cell r="Q56">
            <v>7.4967814161768827</v>
          </cell>
          <cell r="R56">
            <v>7.6200112422709383</v>
          </cell>
          <cell r="S56">
            <v>6.8385860000000003</v>
          </cell>
          <cell r="T56">
            <v>5.5484400000000003</v>
          </cell>
          <cell r="U56">
            <v>5.7152950000000002</v>
          </cell>
        </row>
        <row r="57">
          <cell r="B57" t="str">
            <v>POR</v>
          </cell>
          <cell r="C57" t="str">
            <v xml:space="preserve">Portland General              </v>
          </cell>
          <cell r="D57">
            <v>52</v>
          </cell>
          <cell r="E57">
            <v>52</v>
          </cell>
          <cell r="G57">
            <v>7.1232047066966606</v>
          </cell>
          <cell r="H57">
            <v>6.7269173492181684</v>
          </cell>
          <cell r="I57">
            <v>5.4877567789646671</v>
          </cell>
          <cell r="J57">
            <v>6.0602434077079108</v>
          </cell>
          <cell r="K57">
            <v>5.0777000777000785</v>
          </cell>
          <cell r="L57">
            <v>4.8601652226475922</v>
          </cell>
          <cell r="M57">
            <v>4.1327800829875523</v>
          </cell>
          <cell r="N57">
            <v>4.6343081838289502</v>
          </cell>
          <cell r="O57">
            <v>4.8050487908358077</v>
          </cell>
          <cell r="P57">
            <v>5.3364019946298429</v>
          </cell>
          <cell r="Q57">
            <v>5.7368534482758626</v>
          </cell>
          <cell r="R57" t="str">
            <v>N/A</v>
          </cell>
          <cell r="S57" t="str">
            <v>N/A</v>
          </cell>
          <cell r="T57" t="str">
            <v>N/A</v>
          </cell>
          <cell r="U57" t="str">
            <v>N/A</v>
          </cell>
        </row>
        <row r="58">
          <cell r="B58" t="str">
            <v>PPL</v>
          </cell>
          <cell r="C58" t="str">
            <v xml:space="preserve">PPL Corp.                     </v>
          </cell>
          <cell r="D58">
            <v>53</v>
          </cell>
          <cell r="E58">
            <v>53</v>
          </cell>
          <cell r="G58">
            <v>8.3669939223936414</v>
          </cell>
          <cell r="H58">
            <v>8.7315329626687834</v>
          </cell>
          <cell r="I58">
            <v>7.3180428134556577</v>
          </cell>
          <cell r="J58">
            <v>6.58935115326579</v>
          </cell>
          <cell r="K58">
            <v>5.8655514250309793</v>
          </cell>
          <cell r="L58">
            <v>5.9795206971677564</v>
          </cell>
          <cell r="M58">
            <v>7.4642076502732237</v>
          </cell>
          <cell r="N58">
            <v>8.821645021645022</v>
          </cell>
          <cell r="O58">
            <v>9.1652173913043473</v>
          </cell>
          <cell r="P58">
            <v>8.9002156439913733</v>
          </cell>
          <cell r="Q58">
            <v>7.5813571260859351</v>
          </cell>
          <cell r="R58">
            <v>7.5679269882659712</v>
          </cell>
          <cell r="S58">
            <v>6.493322</v>
          </cell>
          <cell r="T58">
            <v>5.4071610000000003</v>
          </cell>
          <cell r="U58">
            <v>5.3008740000000003</v>
          </cell>
        </row>
        <row r="59">
          <cell r="B59" t="str">
            <v>PEG</v>
          </cell>
          <cell r="C59" t="str">
            <v xml:space="preserve">Public Serv. Enterprise       </v>
          </cell>
          <cell r="D59">
            <v>54</v>
          </cell>
          <cell r="E59">
            <v>54</v>
          </cell>
          <cell r="G59">
            <v>8.5649773220272145</v>
          </cell>
          <cell r="H59">
            <v>6.6634130470148039</v>
          </cell>
          <cell r="I59">
            <v>6.4780144280316048</v>
          </cell>
          <cell r="J59">
            <v>6.4036786060019368</v>
          </cell>
          <cell r="K59">
            <v>6.4006153846153842</v>
          </cell>
          <cell r="L59">
            <v>6.0311567164179101</v>
          </cell>
          <cell r="M59">
            <v>6.0390817681654339</v>
          </cell>
          <cell r="N59">
            <v>6.2038523274478337</v>
          </cell>
          <cell r="O59">
            <v>8.4593843522873033</v>
          </cell>
          <cell r="P59">
            <v>9.8315741165672321</v>
          </cell>
          <cell r="Q59">
            <v>8.4095213718965969</v>
          </cell>
          <cell r="R59">
            <v>8.5944997074312468</v>
          </cell>
          <cell r="S59">
            <v>7.1653440000000002</v>
          </cell>
          <cell r="T59">
            <v>6.7910959999999996</v>
          </cell>
          <cell r="U59">
            <v>6.2383800000000003</v>
          </cell>
        </row>
        <row r="60">
          <cell r="B60" t="str">
            <v>SCG</v>
          </cell>
          <cell r="C60" t="str">
            <v xml:space="preserve">SCANA Corp.                   </v>
          </cell>
          <cell r="D60">
            <v>56</v>
          </cell>
          <cell r="E60">
            <v>56</v>
          </cell>
          <cell r="G60">
            <v>9.5910775566231976</v>
          </cell>
          <cell r="H60">
            <v>8.3345763723150359</v>
          </cell>
          <cell r="I60">
            <v>7.5013024602026048</v>
          </cell>
          <cell r="J60">
            <v>7.4871402327005505</v>
          </cell>
          <cell r="K60">
            <v>7.3960019038553071</v>
          </cell>
          <cell r="L60">
            <v>6.7523698652918673</v>
          </cell>
          <cell r="M60">
            <v>6.5238659444820577</v>
          </cell>
          <cell r="N60">
            <v>5.8802129547471162</v>
          </cell>
          <cell r="O60">
            <v>6.3791396381017416</v>
          </cell>
          <cell r="P60">
            <v>7.1470177886292294</v>
          </cell>
          <cell r="Q60">
            <v>7.0274502903396092</v>
          </cell>
          <cell r="R60">
            <v>5.4041722745625842</v>
          </cell>
          <cell r="S60">
            <v>6.8624739999999997</v>
          </cell>
          <cell r="T60">
            <v>6.5898159999999999</v>
          </cell>
          <cell r="U60">
            <v>6.3557940000000004</v>
          </cell>
        </row>
        <row r="61">
          <cell r="B61" t="str">
            <v>SRE</v>
          </cell>
          <cell r="C61" t="str">
            <v xml:space="preserve">Sempra Energy                 </v>
          </cell>
          <cell r="D61">
            <v>57</v>
          </cell>
          <cell r="E61">
            <v>57</v>
          </cell>
          <cell r="G61">
            <v>10.880185302168879</v>
          </cell>
          <cell r="H61">
            <v>9.9947684557256355</v>
          </cell>
          <cell r="I61">
            <v>10.766000425260472</v>
          </cell>
          <cell r="J61">
            <v>9.3668245376635095</v>
          </cell>
          <cell r="K61">
            <v>7.2571716718960122</v>
          </cell>
          <cell r="L61">
            <v>6.1345458785123004</v>
          </cell>
          <cell r="M61">
            <v>6.5281072717895814</v>
          </cell>
          <cell r="N61">
            <v>6.0718871962734484</v>
          </cell>
          <cell r="O61">
            <v>7.0656934306569346</v>
          </cell>
          <cell r="P61">
            <v>8.6065195442088562</v>
          </cell>
          <cell r="Q61">
            <v>7.222090261282661</v>
          </cell>
          <cell r="R61">
            <v>6.9599329421626148</v>
          </cell>
          <cell r="S61">
            <v>5.163653</v>
          </cell>
          <cell r="T61">
            <v>4.8501799999999999</v>
          </cell>
          <cell r="U61">
            <v>3.9982500000000001</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v>1.8034870000000001</v>
          </cell>
          <cell r="T62">
            <v>1.884924</v>
          </cell>
          <cell r="U62">
            <v>-7.0251169999999998</v>
          </cell>
        </row>
        <row r="63">
          <cell r="B63" t="str">
            <v>SJW</v>
          </cell>
          <cell r="C63" t="str">
            <v>SJW Corp.</v>
          </cell>
          <cell r="D63">
            <v>58</v>
          </cell>
          <cell r="E63">
            <v>58</v>
          </cell>
          <cell r="G63">
            <v>8.4547743966421827</v>
          </cell>
          <cell r="H63">
            <v>7.9823697173969403</v>
          </cell>
          <cell r="I63">
            <v>6.4265038444142926</v>
          </cell>
          <cell r="J63">
            <v>9.3993103448275868</v>
          </cell>
          <cell r="K63">
            <v>8.0970350404312672</v>
          </cell>
          <cell r="L63">
            <v>8.3909318100678316</v>
          </cell>
          <cell r="M63">
            <v>10.28721614802355</v>
          </cell>
          <cell r="N63">
            <v>10.525838621940164</v>
          </cell>
          <cell r="O63">
            <v>11.675697865353039</v>
          </cell>
          <cell r="P63">
            <v>15.134523291249456</v>
          </cell>
          <cell r="Q63">
            <v>11.749265014699708</v>
          </cell>
        </row>
        <row r="64">
          <cell r="B64" t="str">
            <v>SJI</v>
          </cell>
          <cell r="C64" t="str">
            <v>South Jersey Inds.</v>
          </cell>
          <cell r="D64">
            <v>59</v>
          </cell>
          <cell r="E64">
            <v>59</v>
          </cell>
          <cell r="G64">
            <v>10.877383177570096</v>
          </cell>
          <cell r="H64">
            <v>10.697847682119205</v>
          </cell>
          <cell r="I64">
            <v>10.566454511418945</v>
          </cell>
          <cell r="J64">
            <v>11.566235864297255</v>
          </cell>
          <cell r="K64">
            <v>10.945392491467578</v>
          </cell>
          <cell r="L64">
            <v>11.975784753363229</v>
          </cell>
          <cell r="M64">
            <v>10.784220532319392</v>
          </cell>
          <cell r="N64">
            <v>9.5734265734265733</v>
          </cell>
          <cell r="O64">
            <v>10.381472957422325</v>
          </cell>
          <cell r="P64">
            <v>11.228267667292059</v>
          </cell>
          <cell r="Q64">
            <v>8.3200228180262421</v>
          </cell>
        </row>
        <row r="65">
          <cell r="B65" t="str">
            <v>SO</v>
          </cell>
          <cell r="C65" t="str">
            <v xml:space="preserve">Southern Co.                  </v>
          </cell>
          <cell r="D65">
            <v>60</v>
          </cell>
          <cell r="E65">
            <v>60</v>
          </cell>
          <cell r="G65">
            <v>8.832337434094903</v>
          </cell>
          <cell r="H65">
            <v>8.2270151709011152</v>
          </cell>
          <cell r="I65">
            <v>8.4186398939193037</v>
          </cell>
          <cell r="J65">
            <v>8.2988985947588301</v>
          </cell>
          <cell r="K65">
            <v>8.7459459459459463</v>
          </cell>
          <cell r="L65">
            <v>8.2234432234432226</v>
          </cell>
          <cell r="M65">
            <v>7.7901617549302014</v>
          </cell>
          <cell r="N65">
            <v>7.0776173285198549</v>
          </cell>
          <cell r="O65">
            <v>8.1835814163283711</v>
          </cell>
          <cell r="P65">
            <v>8.6184834123222753</v>
          </cell>
          <cell r="Q65">
            <v>8.4714677298778973</v>
          </cell>
          <cell r="R65">
            <v>8.4108161746464916</v>
          </cell>
          <cell r="S65">
            <v>8.2763340000000003</v>
          </cell>
          <cell r="T65">
            <v>8.2793989999999997</v>
          </cell>
          <cell r="U65">
            <v>7.832465</v>
          </cell>
        </row>
        <row r="66">
          <cell r="B66" t="str">
            <v>SWX</v>
          </cell>
          <cell r="C66" t="str">
            <v>Southwest Gas</v>
          </cell>
          <cell r="D66">
            <v>61</v>
          </cell>
          <cell r="E66">
            <v>61</v>
          </cell>
          <cell r="G66">
            <v>7.4075987514799264</v>
          </cell>
          <cell r="H66">
            <v>6.5555040018559332</v>
          </cell>
          <cell r="I66">
            <v>6.3454910292728997</v>
          </cell>
          <cell r="J66">
            <v>5.9443231441048043</v>
          </cell>
          <cell r="K66">
            <v>5.5499935325313672</v>
          </cell>
          <cell r="L66">
            <v>5.6010872759330006</v>
          </cell>
          <cell r="M66">
            <v>4.9079089924160346</v>
          </cell>
          <cell r="N66">
            <v>3.844379467186485</v>
          </cell>
          <cell r="O66">
            <v>4.8887732083984039</v>
          </cell>
          <cell r="P66">
            <v>5.4208407150909972</v>
          </cell>
          <cell r="Q66">
            <v>5.284876905041032</v>
          </cell>
        </row>
        <row r="67">
          <cell r="B67" t="str">
            <v>SR</v>
          </cell>
          <cell r="C67" t="str">
            <v>Spire Inc.</v>
          </cell>
          <cell r="D67">
            <v>62</v>
          </cell>
          <cell r="E67">
            <v>62</v>
          </cell>
          <cell r="G67">
            <v>10.319909061383566</v>
          </cell>
          <cell r="H67">
            <v>8.4657133571660701</v>
          </cell>
          <cell r="I67">
            <v>12.031290405999483</v>
          </cell>
          <cell r="J67">
            <v>13.755847484780519</v>
          </cell>
          <cell r="K67">
            <v>8.8010471204188487</v>
          </cell>
          <cell r="L67">
            <v>8.079904720658293</v>
          </cell>
          <cell r="M67">
            <v>8.1248478948649296</v>
          </cell>
          <cell r="N67">
            <v>8.579328505595786</v>
          </cell>
          <cell r="O67">
            <v>8.9523809523809508</v>
          </cell>
          <cell r="P67">
            <v>8.4581827568404755</v>
          </cell>
          <cell r="Q67">
            <v>8.4618009976371749</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v>7.2119037568594342</v>
          </cell>
          <cell r="S68">
            <v>6.4092609999999999</v>
          </cell>
          <cell r="T68">
            <v>6.3931490000000002</v>
          </cell>
          <cell r="U68">
            <v>6.681349</v>
          </cell>
        </row>
        <row r="69">
          <cell r="B69" t="str">
            <v>UGI</v>
          </cell>
          <cell r="C69" t="str">
            <v>UGI Corp.</v>
          </cell>
          <cell r="D69">
            <v>64</v>
          </cell>
          <cell r="E69">
            <v>64</v>
          </cell>
          <cell r="G69">
            <v>9.0175238962221211</v>
          </cell>
          <cell r="H69">
            <v>8.467300832342449</v>
          </cell>
          <cell r="I69">
            <v>7.4872933629410312</v>
          </cell>
          <cell r="J69">
            <v>6.5533049040511733</v>
          </cell>
          <cell r="K69">
            <v>6.3007543456871105</v>
          </cell>
          <cell r="L69">
            <v>7.5111030214779761</v>
          </cell>
          <cell r="M69">
            <v>6.0150034891835311</v>
          </cell>
          <cell r="N69">
            <v>5.7384833451452861</v>
          </cell>
          <cell r="O69">
            <v>7.1116035455277995</v>
          </cell>
          <cell r="P69">
            <v>7.9175897208684098</v>
          </cell>
          <cell r="Q69">
            <v>7.4790652385589098</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v>6.5928209999999998</v>
          </cell>
          <cell r="T70">
            <v>4.781644</v>
          </cell>
          <cell r="U70">
            <v>4.7159110000000002</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v>4.6349720000000003</v>
          </cell>
          <cell r="T71">
            <v>3.64655</v>
          </cell>
          <cell r="U71">
            <v>3.6843750000000002</v>
          </cell>
        </row>
        <row r="72">
          <cell r="B72" t="str">
            <v>UTL</v>
          </cell>
          <cell r="C72" t="str">
            <v xml:space="preserve">UNITIL Corp.                  </v>
          </cell>
          <cell r="D72">
            <v>65</v>
          </cell>
          <cell r="E72">
            <v>65</v>
          </cell>
          <cell r="G72">
            <v>7.7614503816793894</v>
          </cell>
          <cell r="H72">
            <v>6.8056743101438011</v>
          </cell>
          <cell r="I72">
            <v>6.8585416666666665</v>
          </cell>
          <cell r="J72">
            <v>6.7780112044817926</v>
          </cell>
          <cell r="K72">
            <v>6.9222797927461137</v>
          </cell>
          <cell r="L72">
            <v>6.052163461538461</v>
          </cell>
          <cell r="M72">
            <v>6.2707919386886175</v>
          </cell>
          <cell r="N72">
            <v>6.0775711795467746</v>
          </cell>
          <cell r="O72">
            <v>7.0863426554439322</v>
          </cell>
          <cell r="P72">
            <v>6.0732767993041969</v>
          </cell>
          <cell r="Q72">
            <v>5.8232536333802152</v>
          </cell>
          <cell r="R72">
            <v>5.4577063847092315</v>
          </cell>
          <cell r="S72">
            <v>5.5678859999999997</v>
          </cell>
          <cell r="T72">
            <v>5.1765679999999996</v>
          </cell>
          <cell r="U72">
            <v>6.0934340000000002</v>
          </cell>
        </row>
        <row r="73">
          <cell r="B73" t="str">
            <v>VVC</v>
          </cell>
          <cell r="C73" t="str">
            <v xml:space="preserve">Vectren Corp.                 </v>
          </cell>
          <cell r="D73">
            <v>66</v>
          </cell>
          <cell r="E73">
            <v>66</v>
          </cell>
          <cell r="G73">
            <v>8.5962383547196346</v>
          </cell>
          <cell r="H73">
            <v>7.8192771084337362</v>
          </cell>
          <cell r="I73">
            <v>7.5717501406865502</v>
          </cell>
          <cell r="J73">
            <v>6.8210379797176373</v>
          </cell>
          <cell r="K73">
            <v>5.7899443561208273</v>
          </cell>
          <cell r="L73">
            <v>5.8104838709677429</v>
          </cell>
          <cell r="M73">
            <v>5.5771222697590632</v>
          </cell>
          <cell r="N73">
            <v>5.2428993410588509</v>
          </cell>
          <cell r="O73">
            <v>6.9016393442622945</v>
          </cell>
          <cell r="P73">
            <v>6.5349324639031217</v>
          </cell>
          <cell r="Q73">
            <v>7.3743909041689228</v>
          </cell>
          <cell r="R73">
            <v>7.0612086776859506</v>
          </cell>
          <cell r="S73">
            <v>7.6323040000000004</v>
          </cell>
          <cell r="T73">
            <v>7.2745040000000003</v>
          </cell>
          <cell r="U73">
            <v>6.9240180000000002</v>
          </cell>
        </row>
        <row r="74">
          <cell r="B74" t="str">
            <v>WEC</v>
          </cell>
          <cell r="C74" t="str">
            <v>WEC Energy Group</v>
          </cell>
          <cell r="D74">
            <v>67</v>
          </cell>
          <cell r="E74">
            <v>67</v>
          </cell>
          <cell r="G74">
            <v>10.951956965312558</v>
          </cell>
          <cell r="H74">
            <v>12.896150865409455</v>
          </cell>
          <cell r="I74">
            <v>10.266114592658909</v>
          </cell>
          <cell r="J74">
            <v>9.5760517799352769</v>
          </cell>
          <cell r="K74">
            <v>9.2385229540918168</v>
          </cell>
          <cell r="L74">
            <v>8.4315960912052113</v>
          </cell>
          <cell r="M74">
            <v>8.1465778316172006</v>
          </cell>
          <cell r="N74">
            <v>6.8706563706563699</v>
          </cell>
          <cell r="O74">
            <v>7.5732656514382404</v>
          </cell>
          <cell r="P74">
            <v>7.8410995641971173</v>
          </cell>
          <cell r="Q74">
            <v>7.2726017943409245</v>
          </cell>
          <cell r="R74">
            <v>6.4014522821576767</v>
          </cell>
          <cell r="S74">
            <v>6.2742060000000004</v>
          </cell>
          <cell r="T74">
            <v>4.9149459999999996</v>
          </cell>
          <cell r="U74">
            <v>4.2733350000000003</v>
          </cell>
        </row>
        <row r="75">
          <cell r="B75" t="str">
            <v>WR</v>
          </cell>
          <cell r="C75" t="str">
            <v xml:space="preserve">Westar Energy                 </v>
          </cell>
          <cell r="D75">
            <v>68</v>
          </cell>
          <cell r="E75">
            <v>68</v>
          </cell>
          <cell r="G75">
            <v>10.855546357615895</v>
          </cell>
          <cell r="H75">
            <v>9.0473844710297922</v>
          </cell>
          <cell r="I75">
            <v>7.92512077294686</v>
          </cell>
          <cell r="J75">
            <v>7.2319564230594651</v>
          </cell>
          <cell r="K75">
            <v>6.7148837209302323</v>
          </cell>
          <cell r="L75">
            <v>6.6716267339218156</v>
          </cell>
          <cell r="M75">
            <v>5.5069657615112151</v>
          </cell>
          <cell r="N75">
            <v>5.3247982187586977</v>
          </cell>
          <cell r="O75">
            <v>7.0880382775119619</v>
          </cell>
          <cell r="P75">
            <v>6.875993640699523</v>
          </cell>
          <cell r="Q75">
            <v>5.8074581430745811</v>
          </cell>
          <cell r="R75">
            <v>6.9972519083969464</v>
          </cell>
          <cell r="S75">
            <v>6.538462</v>
          </cell>
          <cell r="T75">
            <v>4.2357319999999996</v>
          </cell>
          <cell r="U75">
            <v>2.941065</v>
          </cell>
        </row>
        <row r="76">
          <cell r="B76" t="str">
            <v>WGL</v>
          </cell>
          <cell r="C76" t="str">
            <v>WGL Holdings Inc.</v>
          </cell>
          <cell r="D76">
            <v>69</v>
          </cell>
          <cell r="E76">
            <v>69</v>
          </cell>
          <cell r="G76">
            <v>11.36384122031548</v>
          </cell>
          <cell r="H76">
            <v>9.5870380289234074</v>
          </cell>
          <cell r="I76">
            <v>8.4593749999999996</v>
          </cell>
          <cell r="J76">
            <v>9.8308840681128995</v>
          </cell>
          <cell r="K76">
            <v>9.0269137436576212</v>
          </cell>
          <cell r="L76">
            <v>9.5160727635185651</v>
          </cell>
          <cell r="M76">
            <v>8.3439552420335694</v>
          </cell>
          <cell r="N76">
            <v>7.1658789106459606</v>
          </cell>
          <cell r="O76">
            <v>7.6821848352154865</v>
          </cell>
          <cell r="P76">
            <v>8.3900180087471057</v>
          </cell>
          <cell r="Q76">
            <v>7.8083832335329344</v>
          </cell>
        </row>
        <row r="77">
          <cell r="B77" t="str">
            <v>XEL</v>
          </cell>
          <cell r="C77" t="str">
            <v xml:space="preserve">Xcel Energy Inc.              </v>
          </cell>
          <cell r="D77">
            <v>70</v>
          </cell>
          <cell r="E77">
            <v>70</v>
          </cell>
          <cell r="G77">
            <v>8.0961729129486422</v>
          </cell>
          <cell r="H77">
            <v>7.6210226025894219</v>
          </cell>
          <cell r="I77">
            <v>7.314819136522754</v>
          </cell>
          <cell r="J77">
            <v>7.0043891733723482</v>
          </cell>
          <cell r="K77">
            <v>6.8532866783304174</v>
          </cell>
          <cell r="L77">
            <v>6.4721268163804488</v>
          </cell>
          <cell r="M77">
            <v>6.2759111617312078</v>
          </cell>
          <cell r="N77">
            <v>5.4270923209663504</v>
          </cell>
          <cell r="O77">
            <v>5.7058823529411766</v>
          </cell>
          <cell r="P77">
            <v>6.5089751013317887</v>
          </cell>
          <cell r="Q77">
            <v>5.5397837538120314</v>
          </cell>
          <cell r="R77">
            <v>5.6238560097620498</v>
          </cell>
          <cell r="S77">
            <v>5.3087289999999996</v>
          </cell>
          <cell r="T77">
            <v>4.2676220000000002</v>
          </cell>
          <cell r="U77">
            <v>5.4642860000000004</v>
          </cell>
        </row>
        <row r="78">
          <cell r="B78" t="str">
            <v>YORW</v>
          </cell>
          <cell r="C78" t="str">
            <v>York Water Co. (The)</v>
          </cell>
          <cell r="D78">
            <v>71</v>
          </cell>
          <cell r="E78">
            <v>71</v>
          </cell>
          <cell r="G78" t="str">
            <v>N/A</v>
          </cell>
          <cell r="H78">
            <v>15.681786941580755</v>
          </cell>
          <cell r="I78">
            <v>15.12822402358143</v>
          </cell>
          <cell r="J78">
            <v>16.607925801011806</v>
          </cell>
          <cell r="K78">
            <v>15.714285714285714</v>
          </cell>
          <cell r="L78">
            <v>15.514625228519193</v>
          </cell>
          <cell r="M78">
            <v>13.813145539906104</v>
          </cell>
          <cell r="N78">
            <v>14.747102212855637</v>
          </cell>
          <cell r="O78">
            <v>15.846153846153845</v>
          </cell>
          <cell r="P78">
            <v>20.151869158878505</v>
          </cell>
          <cell r="Q78">
            <v>23.568270481144342</v>
          </cell>
        </row>
      </sheetData>
      <sheetData sheetId="18">
        <row r="5">
          <cell r="B5" t="str">
            <v>ALE</v>
          </cell>
          <cell r="C5" t="str">
            <v xml:space="preserve">ALLETE                        </v>
          </cell>
          <cell r="D5">
            <v>3</v>
          </cell>
          <cell r="E5">
            <v>3</v>
          </cell>
          <cell r="G5">
            <v>1.5329228350582995</v>
          </cell>
          <cell r="H5">
            <v>1.3727711688381754</v>
          </cell>
          <cell r="I5">
            <v>1.4249778969283859</v>
          </cell>
          <cell r="J5">
            <v>1.5076301754169621</v>
          </cell>
          <cell r="K5">
            <v>1.3442031362771472</v>
          </cell>
          <cell r="L5">
            <v>1.3500225843438378</v>
          </cell>
          <cell r="M5">
            <v>1.2833143821296262</v>
          </cell>
          <cell r="N5">
            <v>1.1509505415435886</v>
          </cell>
          <cell r="O5">
            <v>1.5502739348074575</v>
          </cell>
          <cell r="P5">
            <v>1.8882621318954793</v>
          </cell>
          <cell r="Q5">
            <v>2.092598511483494</v>
          </cell>
          <cell r="R5">
            <v>2.2173066360413438</v>
          </cell>
        </row>
        <row r="6">
          <cell r="B6" t="str">
            <v>LNT</v>
          </cell>
          <cell r="C6" t="str">
            <v xml:space="preserve">Alliant Energy                </v>
          </cell>
          <cell r="D6">
            <v>4</v>
          </cell>
          <cell r="E6">
            <v>4</v>
          </cell>
          <cell r="G6">
            <v>2.1694865295053942</v>
          </cell>
          <cell r="H6">
            <v>1.8608944674628323</v>
          </cell>
          <cell r="I6">
            <v>1.8585949562532167</v>
          </cell>
          <cell r="J6">
            <v>1.6991683007640814</v>
          </cell>
          <cell r="K6">
            <v>1.5654605961906112</v>
          </cell>
          <cell r="L6">
            <v>1.4642593957258658</v>
          </cell>
          <cell r="M6">
            <v>1.3144784241588103</v>
          </cell>
          <cell r="N6">
            <v>1.0448273111589694</v>
          </cell>
          <cell r="O6">
            <v>1.3346894069785635</v>
          </cell>
          <cell r="P6">
            <v>1.6693282844912742</v>
          </cell>
          <cell r="Q6">
            <v>1.5176068675543097</v>
          </cell>
          <cell r="R6">
            <v>1.3341645885286784</v>
          </cell>
        </row>
        <row r="7">
          <cell r="B7" t="str">
            <v>AWR</v>
          </cell>
          <cell r="C7" t="str">
            <v>Amer. States Water</v>
          </cell>
          <cell r="D7">
            <v>6</v>
          </cell>
          <cell r="E7">
            <v>6</v>
          </cell>
          <cell r="G7">
            <v>3.067549570878958</v>
          </cell>
          <cell r="H7">
            <v>3.0994907951429687</v>
          </cell>
          <cell r="I7">
            <v>2.3833950290851402</v>
          </cell>
          <cell r="J7">
            <v>2.1733113155618464</v>
          </cell>
          <cell r="K7">
            <v>1.7089583863039242</v>
          </cell>
          <cell r="L7">
            <v>1.586569504658242</v>
          </cell>
          <cell r="M7">
            <v>1.7234504540071063</v>
          </cell>
          <cell r="N7">
            <v>1.770547592038775</v>
          </cell>
          <cell r="O7">
            <v>1.950412302206374</v>
          </cell>
          <cell r="P7">
            <v>2.2177483745865181</v>
          </cell>
          <cell r="Q7">
            <v>2.2160797981011902</v>
          </cell>
        </row>
        <row r="8">
          <cell r="B8" t="str">
            <v>AWK</v>
          </cell>
          <cell r="C8" t="str">
            <v>Amer. Water Works</v>
          </cell>
          <cell r="D8">
            <v>7</v>
          </cell>
          <cell r="E8">
            <v>7</v>
          </cell>
          <cell r="G8">
            <v>2.4827822042882057</v>
          </cell>
          <cell r="H8">
            <v>1.9162920751778572</v>
          </cell>
          <cell r="I8">
            <v>1.7465955970939362</v>
          </cell>
          <cell r="J8">
            <v>1.5456567636857186</v>
          </cell>
          <cell r="K8">
            <v>1.4041824337781319</v>
          </cell>
          <cell r="L8">
            <v>1.1982333181271514</v>
          </cell>
          <cell r="M8">
            <v>0.94785484144480248</v>
          </cell>
          <cell r="N8">
            <v>0.85307725883893493</v>
          </cell>
          <cell r="O8">
            <v>0.81164677431936971</v>
          </cell>
          <cell r="P8" t="str">
            <v>N/A</v>
          </cell>
          <cell r="Q8" t="str">
            <v>N/A</v>
          </cell>
        </row>
        <row r="9">
          <cell r="B9" t="str">
            <v>AEE</v>
          </cell>
          <cell r="C9" t="str">
            <v xml:space="preserve">Ameren Corp.                  </v>
          </cell>
          <cell r="D9">
            <v>8</v>
          </cell>
          <cell r="E9">
            <v>8</v>
          </cell>
          <cell r="G9">
            <v>1.6747967479674797</v>
          </cell>
          <cell r="H9">
            <v>1.4586928424214904</v>
          </cell>
          <cell r="I9">
            <v>1.4491994072360572</v>
          </cell>
          <cell r="J9">
            <v>1.2860109005969376</v>
          </cell>
          <cell r="K9">
            <v>1.180071148274471</v>
          </cell>
          <cell r="L9">
            <v>0.90303902947123327</v>
          </cell>
          <cell r="M9">
            <v>0.83169025034986777</v>
          </cell>
          <cell r="N9">
            <v>0.77828834003446301</v>
          </cell>
          <cell r="O9">
            <v>1.2473626440636625</v>
          </cell>
          <cell r="P9">
            <v>1.6041955884621317</v>
          </cell>
          <cell r="Q9">
            <v>1.61828395681647</v>
          </cell>
          <cell r="R9">
            <v>1.6829746855801089</v>
          </cell>
        </row>
        <row r="10">
          <cell r="B10" t="str">
            <v>AEP</v>
          </cell>
          <cell r="C10" t="str">
            <v>American Electric Power</v>
          </cell>
          <cell r="D10">
            <v>5</v>
          </cell>
          <cell r="E10">
            <v>5</v>
          </cell>
          <cell r="G10">
            <v>1.8122102882984736</v>
          </cell>
          <cell r="H10">
            <v>1.5537532592287633</v>
          </cell>
          <cell r="I10">
            <v>1.5428596368715082</v>
          </cell>
          <cell r="J10">
            <v>1.3977134885977682</v>
          </cell>
          <cell r="K10">
            <v>1.3076849520288147</v>
          </cell>
          <cell r="L10">
            <v>1.2297422034680556</v>
          </cell>
          <cell r="M10">
            <v>1.2311873499929407</v>
          </cell>
          <cell r="N10">
            <v>1.0840064032598413</v>
          </cell>
          <cell r="O10">
            <v>1.4829681388372007</v>
          </cell>
          <cell r="P10">
            <v>1.8483969647610348</v>
          </cell>
          <cell r="Q10">
            <v>1.5556538964049396</v>
          </cell>
          <cell r="R10">
            <v>1.5664153886145047</v>
          </cell>
        </row>
        <row r="11">
          <cell r="B11" t="str">
            <v>WTR</v>
          </cell>
          <cell r="C11" t="str">
            <v>Aqua America</v>
          </cell>
          <cell r="D11">
            <v>10</v>
          </cell>
          <cell r="E11">
            <v>10</v>
          </cell>
          <cell r="G11">
            <v>3.0203279317288327</v>
          </cell>
          <cell r="H11">
            <v>2.7414075286415711</v>
          </cell>
          <cell r="I11">
            <v>2.6877764591649584</v>
          </cell>
          <cell r="J11">
            <v>2.8479193230555229</v>
          </cell>
          <cell r="K11">
            <v>2.4216989492340804</v>
          </cell>
          <cell r="L11">
            <v>2.4536625971143176</v>
          </cell>
          <cell r="M11">
            <v>2.228814803935967</v>
          </cell>
          <cell r="N11">
            <v>2.1886153846153849</v>
          </cell>
          <cell r="O11">
            <v>2.3274180655475618</v>
          </cell>
          <cell r="P11">
            <v>3.1012809564474808</v>
          </cell>
          <cell r="Q11">
            <v>3.4877961234745154</v>
          </cell>
        </row>
        <row r="12">
          <cell r="B12" t="str">
            <v>ATO</v>
          </cell>
          <cell r="C12" t="str">
            <v>Atmos Energy</v>
          </cell>
          <cell r="D12">
            <v>12</v>
          </cell>
          <cell r="E12">
            <v>12</v>
          </cell>
          <cell r="G12">
            <v>2.1099306743495099</v>
          </cell>
          <cell r="H12">
            <v>1.7177752366431611</v>
          </cell>
          <cell r="I12">
            <v>1.5493933578375567</v>
          </cell>
          <cell r="J12">
            <v>1.3939021391689206</v>
          </cell>
          <cell r="K12">
            <v>1.2795287637698898</v>
          </cell>
          <cell r="L12">
            <v>1.2988229642085034</v>
          </cell>
          <cell r="M12">
            <v>1.1810016556291392</v>
          </cell>
          <cell r="N12">
            <v>1.0502147200136061</v>
          </cell>
          <cell r="O12">
            <v>1.2021149506658999</v>
          </cell>
          <cell r="P12">
            <v>1.3987094428792148</v>
          </cell>
          <cell r="Q12">
            <v>1.3414670435947031</v>
          </cell>
        </row>
        <row r="13">
          <cell r="B13" t="str">
            <v>AGR</v>
          </cell>
          <cell r="C13" t="str">
            <v>Avangrid, Inc.</v>
          </cell>
          <cell r="D13">
            <v>13</v>
          </cell>
          <cell r="E13">
            <v>13</v>
          </cell>
          <cell r="G13">
            <v>0.82978853940856478</v>
          </cell>
          <cell r="H13">
            <v>0.72234647187968071</v>
          </cell>
          <cell r="I13" t="str">
            <v>N/A</v>
          </cell>
          <cell r="J13" t="str">
            <v>N/A</v>
          </cell>
          <cell r="K13" t="str">
            <v>N/A</v>
          </cell>
          <cell r="L13" t="str">
            <v>N/A</v>
          </cell>
          <cell r="M13" t="str">
            <v>N/A</v>
          </cell>
          <cell r="N13" t="str">
            <v>N/A</v>
          </cell>
          <cell r="O13" t="str">
            <v>N/A</v>
          </cell>
          <cell r="P13" t="str">
            <v>N/A</v>
          </cell>
          <cell r="Q13" t="str">
            <v>N/A</v>
          </cell>
          <cell r="R13" t="str">
            <v>N/A</v>
          </cell>
        </row>
        <row r="14">
          <cell r="B14" t="str">
            <v>AVA</v>
          </cell>
          <cell r="C14" t="str">
            <v xml:space="preserve">Avista Corp.                  </v>
          </cell>
          <cell r="D14">
            <v>14</v>
          </cell>
          <cell r="E14">
            <v>14</v>
          </cell>
          <cell r="G14">
            <v>1.5731916218951958</v>
          </cell>
          <cell r="H14">
            <v>1.3561878362954509</v>
          </cell>
          <cell r="I14">
            <v>1.3340185426018374</v>
          </cell>
          <cell r="J14">
            <v>1.2528459046737623</v>
          </cell>
          <cell r="K14">
            <v>1.2096689936838108</v>
          </cell>
          <cell r="L14">
            <v>1.1931017491993101</v>
          </cell>
          <cell r="M14">
            <v>1.0665178344918564</v>
          </cell>
          <cell r="N14">
            <v>0.94084815606906258</v>
          </cell>
          <cell r="O14">
            <v>1.1129208570179274</v>
          </cell>
          <cell r="P14">
            <v>1.2869051754081278</v>
          </cell>
          <cell r="Q14">
            <v>1.2958359585314163</v>
          </cell>
          <cell r="R14">
            <v>1.1274182368139138</v>
          </cell>
        </row>
        <row r="15">
          <cell r="B15" t="str">
            <v>BKH</v>
          </cell>
          <cell r="C15" t="str">
            <v xml:space="preserve">Black Hills                   </v>
          </cell>
          <cell r="D15">
            <v>15</v>
          </cell>
          <cell r="E15">
            <v>15</v>
          </cell>
          <cell r="G15">
            <v>1.9380103811948293</v>
          </cell>
          <cell r="H15">
            <v>1.5948314999126942</v>
          </cell>
          <cell r="I15">
            <v>1.7853780475927667</v>
          </cell>
          <cell r="J15">
            <v>1.6197087246495168</v>
          </cell>
          <cell r="K15">
            <v>1.2104659086833327</v>
          </cell>
          <cell r="L15">
            <v>1.1419439198024117</v>
          </cell>
          <cell r="M15">
            <v>1.0721296263249938</v>
          </cell>
          <cell r="N15">
            <v>0.82718488451452998</v>
          </cell>
          <cell r="O15">
            <v>1.2225368688168878</v>
          </cell>
          <cell r="P15">
            <v>1.5690179267342168</v>
          </cell>
          <cell r="Q15">
            <v>1.4717857746240919</v>
          </cell>
          <cell r="R15">
            <v>1.6347318824321293</v>
          </cell>
        </row>
        <row r="16">
          <cell r="B16" t="str">
            <v>CWT</v>
          </cell>
          <cell r="C16" t="str">
            <v>California Water</v>
          </cell>
          <cell r="D16">
            <v>16</v>
          </cell>
          <cell r="E16">
            <v>16</v>
          </cell>
          <cell r="G16">
            <v>2.1780493126772855</v>
          </cell>
          <cell r="H16">
            <v>1.7361514948184595</v>
          </cell>
          <cell r="I16">
            <v>1.7876106194690264</v>
          </cell>
          <cell r="J16">
            <v>1.6367405517461329</v>
          </cell>
          <cell r="K16">
            <v>1.6160935838355193</v>
          </cell>
          <cell r="L16">
            <v>1.7010318862136282</v>
          </cell>
          <cell r="M16">
            <v>1.7571032239548456</v>
          </cell>
          <cell r="N16">
            <v>1.8951421800947865</v>
          </cell>
          <cell r="O16">
            <v>1.931495577041761</v>
          </cell>
          <cell r="P16">
            <v>2.1132136678200695</v>
          </cell>
          <cell r="Q16">
            <v>2.1591535324589439</v>
          </cell>
        </row>
        <row r="17">
          <cell r="B17" t="str">
            <v>CNP</v>
          </cell>
          <cell r="C17" t="str">
            <v xml:space="preserve">CenterPoint Energy            </v>
          </cell>
          <cell r="D17">
            <v>17</v>
          </cell>
          <cell r="E17">
            <v>17</v>
          </cell>
          <cell r="G17">
            <v>2.7271595718197656</v>
          </cell>
          <cell r="H17">
            <v>2.4283761958007206</v>
          </cell>
          <cell r="I17">
            <v>2.2717668144514667</v>
          </cell>
          <cell r="J17">
            <v>2.3036369041720346</v>
          </cell>
          <cell r="K17">
            <v>1.9919499105545617</v>
          </cell>
          <cell r="L17">
            <v>1.8678102926337035</v>
          </cell>
          <cell r="M17">
            <v>1.9583001328021248</v>
          </cell>
          <cell r="N17">
            <v>1.7703384798099764</v>
          </cell>
          <cell r="O17">
            <v>2.4896364254162417</v>
          </cell>
          <cell r="P17">
            <v>3.1292565519700482</v>
          </cell>
          <cell r="Q17">
            <v>2.7518645434388227</v>
          </cell>
          <cell r="R17">
            <v>3.0572318007662833</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row>
        <row r="19">
          <cell r="B19" t="str">
            <v>CPK</v>
          </cell>
          <cell r="C19" t="str">
            <v>Chesapeake Utilities</v>
          </cell>
          <cell r="D19">
            <v>18</v>
          </cell>
          <cell r="E19">
            <v>18</v>
          </cell>
          <cell r="G19">
            <v>2.2760498519790944</v>
          </cell>
          <cell r="H19">
            <v>2.1877371764806206</v>
          </cell>
          <cell r="I19">
            <v>2.1239191683668515</v>
          </cell>
          <cell r="J19">
            <v>1.831034125090758</v>
          </cell>
          <cell r="K19">
            <v>1.6558011669658885</v>
          </cell>
          <cell r="L19">
            <v>1.6144951722493743</v>
          </cell>
          <cell r="M19">
            <v>1.403700429401364</v>
          </cell>
          <cell r="N19">
            <v>1.3671659837442065</v>
          </cell>
          <cell r="O19">
            <v>1.6393742719254452</v>
          </cell>
          <cell r="P19">
            <v>1.8378677095732019</v>
          </cell>
          <cell r="Q19">
            <v>1.8481949458483755</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row>
        <row r="21">
          <cell r="B21" t="str">
            <v>CMS</v>
          </cell>
          <cell r="C21" t="str">
            <v xml:space="preserve">CMS Energy Corp.              </v>
          </cell>
          <cell r="D21">
            <v>19</v>
          </cell>
          <cell r="E21">
            <v>19</v>
          </cell>
          <cell r="G21">
            <v>2.7223608193277311</v>
          </cell>
          <cell r="H21">
            <v>2.4331362612612613</v>
          </cell>
          <cell r="I21">
            <v>2.2570485902819435</v>
          </cell>
          <cell r="J21">
            <v>2.0875192604006161</v>
          </cell>
          <cell r="K21">
            <v>1.9063998677029934</v>
          </cell>
          <cell r="L21">
            <v>1.656624989510783</v>
          </cell>
          <cell r="M21">
            <v>1.4805183199285077</v>
          </cell>
          <cell r="N21">
            <v>1.1041338237870031</v>
          </cell>
          <cell r="O21">
            <v>1.2286265857694429</v>
          </cell>
          <cell r="P21">
            <v>1.8154529119543386</v>
          </cell>
          <cell r="Q21">
            <v>1.4156362185879536</v>
          </cell>
          <cell r="R21">
            <v>1.3162092868673441</v>
          </cell>
        </row>
        <row r="22">
          <cell r="B22" t="str">
            <v>CTWS</v>
          </cell>
          <cell r="C22" t="str">
            <v>Conn. Water Services</v>
          </cell>
          <cell r="D22">
            <v>20</v>
          </cell>
          <cell r="E22">
            <v>20</v>
          </cell>
          <cell r="G22">
            <v>2.3082018777105273</v>
          </cell>
          <cell r="H22">
            <v>1.7919540229885056</v>
          </cell>
          <cell r="I22">
            <v>1.786658877263795</v>
          </cell>
          <cell r="J22">
            <v>1.7018699413898968</v>
          </cell>
          <cell r="K22">
            <v>1.4159744103886183</v>
          </cell>
          <cell r="L22">
            <v>1.9252426465140402</v>
          </cell>
          <cell r="M22">
            <v>1.7904177845917977</v>
          </cell>
          <cell r="N22">
            <v>1.7286503551696923</v>
          </cell>
          <cell r="O22">
            <v>2.0114444535273441</v>
          </cell>
          <cell r="P22">
            <v>2.0210041841004185</v>
          </cell>
          <cell r="Q22">
            <v>2.0237109846525261</v>
          </cell>
        </row>
        <row r="23">
          <cell r="B23" t="str">
            <v>ED</v>
          </cell>
          <cell r="C23" t="str">
            <v xml:space="preserve">Consol. Edison                </v>
          </cell>
          <cell r="D23">
            <v>21</v>
          </cell>
          <cell r="E23">
            <v>21</v>
          </cell>
          <cell r="G23">
            <v>1.5802171548027901</v>
          </cell>
          <cell r="H23">
            <v>1.4172989718493243</v>
          </cell>
          <cell r="I23">
            <v>1.3405449464368888</v>
          </cell>
          <cell r="J23">
            <v>1.3839033723989476</v>
          </cell>
          <cell r="K23">
            <v>1.4658737600552729</v>
          </cell>
          <cell r="L23">
            <v>1.3783486144547459</v>
          </cell>
          <cell r="M23">
            <v>1.2164777221196941</v>
          </cell>
          <cell r="N23">
            <v>1.0805332309295883</v>
          </cell>
          <cell r="O23">
            <v>1.1650860852384985</v>
          </cell>
          <cell r="P23">
            <v>1.4720704683567614</v>
          </cell>
          <cell r="Q23">
            <v>1.4693299880986845</v>
          </cell>
          <cell r="R23">
            <v>1.5179182605194284</v>
          </cell>
        </row>
        <row r="24">
          <cell r="B24" t="str">
            <v>CWCO</v>
          </cell>
          <cell r="C24" t="str">
            <v>Consolidated Water</v>
          </cell>
          <cell r="D24">
            <v>22</v>
          </cell>
          <cell r="E24">
            <v>22</v>
          </cell>
          <cell r="G24">
            <v>1.2358770048013077</v>
          </cell>
          <cell r="H24">
            <v>1.1795943328916523</v>
          </cell>
          <cell r="I24">
            <v>1.2405763809126031</v>
          </cell>
          <cell r="J24">
            <v>1.2297998517420312</v>
          </cell>
          <cell r="K24">
            <v>0.86405655247417079</v>
          </cell>
          <cell r="L24">
            <v>1.0645161290322578</v>
          </cell>
          <cell r="M24">
            <v>1.3299182686773341</v>
          </cell>
          <cell r="N24">
            <v>1.6504160318762453</v>
          </cell>
          <cell r="O24">
            <v>2.2590865614538496</v>
          </cell>
          <cell r="P24">
            <v>3.4032866707242846</v>
          </cell>
          <cell r="Q24">
            <v>3.3919604700854702</v>
          </cell>
        </row>
        <row r="25">
          <cell r="B25" t="str">
            <v>D</v>
          </cell>
          <cell r="C25" t="str">
            <v xml:space="preserve">Dominion Resources            </v>
          </cell>
          <cell r="D25">
            <v>24</v>
          </cell>
          <cell r="E25">
            <v>24</v>
          </cell>
          <cell r="G25">
            <v>3.1532840440165066</v>
          </cell>
          <cell r="H25">
            <v>3.3353893963650063</v>
          </cell>
          <cell r="I25">
            <v>3.5490831729308074</v>
          </cell>
          <cell r="J25">
            <v>2.9701813096248939</v>
          </cell>
          <cell r="K25">
            <v>2.8351504579153946</v>
          </cell>
          <cell r="L25">
            <v>2.3725051017868695</v>
          </cell>
          <cell r="M25">
            <v>2.0075038729666925</v>
          </cell>
          <cell r="N25">
            <v>1.8027331189710611</v>
          </cell>
          <cell r="O25">
            <v>2.4243301116962788</v>
          </cell>
          <cell r="P25">
            <v>2.6941190899613665</v>
          </cell>
          <cell r="Q25">
            <v>2.0725945945945949</v>
          </cell>
          <cell r="R25">
            <v>2.4960561497326204</v>
          </cell>
        </row>
        <row r="26">
          <cell r="B26" t="str">
            <v>DTE</v>
          </cell>
          <cell r="C26" t="str">
            <v xml:space="preserve">DTE Energy                    </v>
          </cell>
          <cell r="D26">
            <v>25</v>
          </cell>
          <cell r="E26">
            <v>25</v>
          </cell>
          <cell r="G26">
            <v>1.8241303092455046</v>
          </cell>
          <cell r="H26">
            <v>1.6454160443562411</v>
          </cell>
          <cell r="I26">
            <v>1.6164980445502464</v>
          </cell>
          <cell r="J26">
            <v>1.5059804601041831</v>
          </cell>
          <cell r="K26">
            <v>1.3504523247387736</v>
          </cell>
          <cell r="L26">
            <v>1.1971844589863088</v>
          </cell>
          <cell r="M26">
            <v>1.1562444864524262</v>
          </cell>
          <cell r="N26">
            <v>0.88860786173464013</v>
          </cell>
          <cell r="O26">
            <v>1.0994969408565602</v>
          </cell>
          <cell r="P26">
            <v>1.3549655576317037</v>
          </cell>
          <cell r="Q26">
            <v>1.2934068263726946</v>
          </cell>
          <cell r="R26">
            <v>1.3905498705461719</v>
          </cell>
        </row>
        <row r="27">
          <cell r="B27" t="str">
            <v>DUK</v>
          </cell>
          <cell r="C27" t="str">
            <v xml:space="preserve">Duke Energy                   </v>
          </cell>
          <cell r="D27">
            <v>26</v>
          </cell>
          <cell r="E27">
            <v>26</v>
          </cell>
          <cell r="G27">
            <v>1.3450075913952815</v>
          </cell>
          <cell r="H27">
            <v>1.2935593924804738</v>
          </cell>
          <cell r="I27">
            <v>1.2795814235060106</v>
          </cell>
          <cell r="J27">
            <v>1.1862967834509148</v>
          </cell>
          <cell r="K27">
            <v>1.1162221762800635</v>
          </cell>
          <cell r="L27">
            <v>1.1141767696519358</v>
          </cell>
          <cell r="M27">
            <v>1.0029108073556889</v>
          </cell>
          <cell r="N27">
            <v>0.90554039958276511</v>
          </cell>
          <cell r="O27">
            <v>1.0578123421876577</v>
          </cell>
          <cell r="P27">
            <v>1.1521061925831861</v>
          </cell>
          <cell r="Q27" t="str">
            <v>N/A</v>
          </cell>
          <cell r="R27" t="str">
            <v>N/A</v>
          </cell>
        </row>
        <row r="28">
          <cell r="B28" t="str">
            <v>EIX</v>
          </cell>
          <cell r="C28" t="str">
            <v xml:space="preserve">Edison Int'l                  </v>
          </cell>
          <cell r="D28">
            <v>27</v>
          </cell>
          <cell r="E28">
            <v>27</v>
          </cell>
          <cell r="G28">
            <v>1.9175968929085525</v>
          </cell>
          <cell r="H28">
            <v>1.756384167836978</v>
          </cell>
          <cell r="I28">
            <v>1.6797764499539225</v>
          </cell>
          <cell r="J28">
            <v>1.5737984394465936</v>
          </cell>
          <cell r="K28">
            <v>1.5256140108466612</v>
          </cell>
          <cell r="L28">
            <v>1.2358316321570915</v>
          </cell>
          <cell r="M28">
            <v>1.065563158868134</v>
          </cell>
          <cell r="N28">
            <v>1.0424433040887271</v>
          </cell>
          <cell r="O28">
            <v>1.5568298527901403</v>
          </cell>
          <cell r="P28">
            <v>2.0532469035768028</v>
          </cell>
          <cell r="Q28">
            <v>1.8003888254934277</v>
          </cell>
          <cell r="R28">
            <v>1.9313401960301435</v>
          </cell>
        </row>
        <row r="29">
          <cell r="B29" t="str">
            <v>EE</v>
          </cell>
          <cell r="C29" t="str">
            <v xml:space="preserve">El Paso Electric              </v>
          </cell>
          <cell r="D29">
            <v>28</v>
          </cell>
          <cell r="E29">
            <v>28</v>
          </cell>
          <cell r="G29">
            <v>1.6815627710525325</v>
          </cell>
          <cell r="H29">
            <v>1.4802864531529738</v>
          </cell>
          <cell r="I29">
            <v>1.5248677682561811</v>
          </cell>
          <cell r="J29">
            <v>1.490315699658703</v>
          </cell>
          <cell r="K29">
            <v>1.590411824767832</v>
          </cell>
          <cell r="L29">
            <v>1.641753390097761</v>
          </cell>
          <cell r="M29">
            <v>1.165686068501786</v>
          </cell>
          <cell r="N29">
            <v>0.9839552692354443</v>
          </cell>
          <cell r="O29">
            <v>1.330380810758389</v>
          </cell>
          <cell r="P29">
            <v>1.6851161845403428</v>
          </cell>
          <cell r="Q29">
            <v>1.7050702213758631</v>
          </cell>
          <cell r="R29">
            <v>1.7572244332929572</v>
          </cell>
        </row>
        <row r="30">
          <cell r="B30" t="str">
            <v>EDE</v>
          </cell>
          <cell r="C30" t="str">
            <v>Empire District Electric</v>
          </cell>
          <cell r="D30">
            <v>29</v>
          </cell>
          <cell r="E30">
            <v>29</v>
          </cell>
          <cell r="G30" t="str">
            <v>N/A</v>
          </cell>
          <cell r="H30">
            <v>1.3175391669850975</v>
          </cell>
          <cell r="I30">
            <v>1.3948931446017208</v>
          </cell>
          <cell r="J30">
            <v>1.2735984392035349</v>
          </cell>
          <cell r="K30">
            <v>1.2311197916666665</v>
          </cell>
          <cell r="L30">
            <v>1.2490321800145174</v>
          </cell>
          <cell r="M30">
            <v>1.2391730416640325</v>
          </cell>
          <cell r="N30">
            <v>1.0744268749603099</v>
          </cell>
          <cell r="O30">
            <v>1.2971792070937478</v>
          </cell>
          <cell r="P30">
            <v>1.4743829468960359</v>
          </cell>
          <cell r="Q30">
            <v>1.4487121554450972</v>
          </cell>
          <cell r="R30">
            <v>1.4943641426866463</v>
          </cell>
        </row>
        <row r="31">
          <cell r="B31" t="str">
            <v>ETR</v>
          </cell>
          <cell r="C31" t="str">
            <v xml:space="preserve">Entergy Corp.                 </v>
          </cell>
          <cell r="D31">
            <v>30</v>
          </cell>
          <cell r="E31">
            <v>30</v>
          </cell>
          <cell r="G31">
            <v>1.6655141077642575</v>
          </cell>
          <cell r="H31">
            <v>1.4028444238885356</v>
          </cell>
          <cell r="I31">
            <v>1.3316258910341368</v>
          </cell>
          <cell r="J31">
            <v>1.2136587533795045</v>
          </cell>
          <cell r="K31">
            <v>1.3062928951184145</v>
          </cell>
          <cell r="L31">
            <v>1.3464202778761758</v>
          </cell>
          <cell r="M31">
            <v>1.6211894894073591</v>
          </cell>
          <cell r="N31">
            <v>1.6572840048303874</v>
          </cell>
          <cell r="O31">
            <v>2.4398992179886383</v>
          </cell>
          <cell r="P31">
            <v>2.6549835437441667</v>
          </cell>
          <cell r="Q31">
            <v>1.8917428924598267</v>
          </cell>
          <cell r="R31">
            <v>2.0062729283934018</v>
          </cell>
        </row>
        <row r="32">
          <cell r="B32" t="str">
            <v>ES</v>
          </cell>
          <cell r="C32" t="str">
            <v xml:space="preserve">Eversource Energy    </v>
          </cell>
          <cell r="D32">
            <v>31</v>
          </cell>
          <cell r="E32">
            <v>31</v>
          </cell>
          <cell r="G32">
            <v>1.6367482176138213</v>
          </cell>
          <cell r="H32">
            <v>1.5314826730398012</v>
          </cell>
          <cell r="I32">
            <v>1.4689267331765901</v>
          </cell>
          <cell r="J32">
            <v>1.3836843141113953</v>
          </cell>
          <cell r="K32">
            <v>1.275873793009656</v>
          </cell>
          <cell r="L32">
            <v>1.5045033112582782</v>
          </cell>
          <cell r="M32">
            <v>1.3051067179036067</v>
          </cell>
          <cell r="N32">
            <v>1.1212879791881412</v>
          </cell>
          <cell r="O32">
            <v>1.3111134041894539</v>
          </cell>
          <cell r="P32">
            <v>1.5980055758095646</v>
          </cell>
          <cell r="Q32">
            <v>1.2232265887670175</v>
          </cell>
          <cell r="R32">
            <v>1.0488055901630464</v>
          </cell>
        </row>
        <row r="33">
          <cell r="B33" t="str">
            <v>EXC</v>
          </cell>
          <cell r="C33" t="str">
            <v xml:space="preserve">Exelon Corp.                  </v>
          </cell>
          <cell r="D33">
            <v>32</v>
          </cell>
          <cell r="E33">
            <v>32</v>
          </cell>
          <cell r="G33">
            <v>1.2026036264797395</v>
          </cell>
          <cell r="H33">
            <v>1.1392752692774093</v>
          </cell>
          <cell r="I33">
            <v>1.2793519187616476</v>
          </cell>
          <cell r="J33">
            <v>1.1702368381354655</v>
          </cell>
          <cell r="K33">
            <v>1.460992342054882</v>
          </cell>
          <cell r="L33">
            <v>1.9543463223426334</v>
          </cell>
          <cell r="M33">
            <v>2.0720909800859042</v>
          </cell>
          <cell r="N33">
            <v>2.5723680776658489</v>
          </cell>
          <cell r="O33">
            <v>4.389991063449509</v>
          </cell>
          <cell r="P33">
            <v>4.7874046548014864</v>
          </cell>
          <cell r="Q33">
            <v>3.8856797420741538</v>
          </cell>
          <cell r="R33">
            <v>3.6030378267854535</v>
          </cell>
        </row>
        <row r="34">
          <cell r="B34" t="str">
            <v>FE</v>
          </cell>
          <cell r="C34" t="str">
            <v xml:space="preserve">FirstEnergy Corp.             </v>
          </cell>
          <cell r="D34">
            <v>33</v>
          </cell>
          <cell r="E34">
            <v>33</v>
          </cell>
          <cell r="G34">
            <v>2.3686299525125802</v>
          </cell>
          <cell r="H34">
            <v>1.1609548167092925</v>
          </cell>
          <cell r="I34">
            <v>1.1467078049772834</v>
          </cell>
          <cell r="J34">
            <v>1.2788442509400355</v>
          </cell>
          <cell r="K34">
            <v>1.4362154387086463</v>
          </cell>
          <cell r="L34">
            <v>1.3256282673049065</v>
          </cell>
          <cell r="M34">
            <v>1.3620148401826484</v>
          </cell>
          <cell r="N34">
            <v>1.5400505752039035</v>
          </cell>
          <cell r="O34">
            <v>2.5216399234506111</v>
          </cell>
          <cell r="P34">
            <v>2.2335902747122143</v>
          </cell>
          <cell r="Q34">
            <v>1.9202967673555909</v>
          </cell>
          <cell r="R34">
            <v>1.6378518093049972</v>
          </cell>
        </row>
        <row r="35">
          <cell r="B35" t="str">
            <v>FTS.TO</v>
          </cell>
          <cell r="C35" t="str">
            <v>Fortis Inc.</v>
          </cell>
          <cell r="D35">
            <v>34</v>
          </cell>
          <cell r="E35">
            <v>34</v>
          </cell>
          <cell r="G35">
            <v>1.2634689772551448</v>
          </cell>
          <cell r="H35">
            <v>1.3269405435617969</v>
          </cell>
          <cell r="I35">
            <v>1.3462542679252862</v>
          </cell>
          <cell r="J35">
            <v>1.4540784418833201</v>
          </cell>
          <cell r="K35">
            <v>1.5932626325639425</v>
          </cell>
          <cell r="L35">
            <v>1.5925871809857781</v>
          </cell>
          <cell r="M35">
            <v>1.5570682285895203</v>
          </cell>
          <cell r="N35">
            <v>1.3307124777855568</v>
          </cell>
          <cell r="O35">
            <v>1.4760317724823642</v>
          </cell>
          <cell r="P35">
            <v>1.627122697919158</v>
          </cell>
          <cell r="Q35">
            <v>1.9610771113831089</v>
          </cell>
          <cell r="R35" t="str">
            <v>N/A</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row>
        <row r="37">
          <cell r="B37" t="str">
            <v>GXP</v>
          </cell>
          <cell r="C37" t="str">
            <v xml:space="preserve">Great Plains Energy             </v>
          </cell>
          <cell r="D37">
            <v>36</v>
          </cell>
          <cell r="E37">
            <v>36</v>
          </cell>
          <cell r="G37">
            <v>1.170555173668675</v>
          </cell>
          <cell r="H37">
            <v>1.120349647396647</v>
          </cell>
          <cell r="I37">
            <v>1.1115983148482504</v>
          </cell>
          <cell r="J37">
            <v>1.0177582923696913</v>
          </cell>
          <cell r="K37">
            <v>0.96396230751551371</v>
          </cell>
          <cell r="L37">
            <v>0.9259463686122994</v>
          </cell>
          <cell r="M37">
            <v>0.87020926404890664</v>
          </cell>
          <cell r="N37">
            <v>0.80083410115901266</v>
          </cell>
          <cell r="O37">
            <v>1.1143631943145689</v>
          </cell>
          <cell r="P37">
            <v>1.6633483665163349</v>
          </cell>
          <cell r="Q37">
            <v>1.7749835339201243</v>
          </cell>
          <cell r="R37">
            <v>1.8594294092491905</v>
          </cell>
        </row>
        <row r="38">
          <cell r="B38" t="str">
            <v>HE</v>
          </cell>
          <cell r="C38" t="str">
            <v xml:space="preserve">Hawaiian Elec.                </v>
          </cell>
          <cell r="D38">
            <v>37</v>
          </cell>
          <cell r="E38">
            <v>37</v>
          </cell>
          <cell r="G38">
            <v>1.6309761479457814</v>
          </cell>
          <cell r="H38">
            <v>1.7060987847028655</v>
          </cell>
          <cell r="I38">
            <v>1.4911828695751745</v>
          </cell>
          <cell r="J38">
            <v>1.5399272983114447</v>
          </cell>
          <cell r="K38">
            <v>1.6225116736298846</v>
          </cell>
          <cell r="L38">
            <v>1.5427872860635699</v>
          </cell>
          <cell r="M38">
            <v>1.4354735767168751</v>
          </cell>
          <cell r="N38">
            <v>1.1554999358233859</v>
          </cell>
          <cell r="O38">
            <v>1.6144625407166124</v>
          </cell>
          <cell r="P38">
            <v>1.5664944070124942</v>
          </cell>
          <cell r="Q38">
            <v>2.0110078095946449</v>
          </cell>
          <cell r="R38">
            <v>1.7758769886174532</v>
          </cell>
        </row>
        <row r="39">
          <cell r="B39" t="str">
            <v>IDA</v>
          </cell>
          <cell r="C39" t="str">
            <v xml:space="preserve">IDACORP, Inc.                 </v>
          </cell>
          <cell r="D39">
            <v>38</v>
          </cell>
          <cell r="E39">
            <v>38</v>
          </cell>
          <cell r="G39">
            <v>1.7571304897166524</v>
          </cell>
          <cell r="H39">
            <v>1.535360454022848</v>
          </cell>
          <cell r="I39">
            <v>1.4531065012611315</v>
          </cell>
          <cell r="J39">
            <v>1.3288366538190111</v>
          </cell>
          <cell r="K39">
            <v>1.1926422358477116</v>
          </cell>
          <cell r="L39">
            <v>1.1679373210788007</v>
          </cell>
          <cell r="M39">
            <v>1.1250846473831866</v>
          </cell>
          <cell r="N39">
            <v>0.92277370261191471</v>
          </cell>
          <cell r="O39">
            <v>1.093591267696963</v>
          </cell>
          <cell r="P39">
            <v>1.2630636010749479</v>
          </cell>
          <cell r="Q39">
            <v>1.3744469455872081</v>
          </cell>
          <cell r="R39">
            <v>1.2158934886623673</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v>3.5244225672093905</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v>1.9059804485336402</v>
          </cell>
        </row>
        <row r="43">
          <cell r="B43" t="str">
            <v>MGEE</v>
          </cell>
          <cell r="C43" t="str">
            <v xml:space="preserve">MGE Energy                    </v>
          </cell>
          <cell r="D43">
            <v>39</v>
          </cell>
          <cell r="E43">
            <v>39</v>
          </cell>
          <cell r="G43">
            <v>2.5993488461170164</v>
          </cell>
          <cell r="H43">
            <v>2.0975597509540069</v>
          </cell>
          <cell r="I43">
            <v>2.0968980021030497</v>
          </cell>
          <cell r="J43">
            <v>2.0632719514933751</v>
          </cell>
          <cell r="K43">
            <v>1.9177237912876974</v>
          </cell>
          <cell r="L43">
            <v>1.7526117054751416</v>
          </cell>
          <cell r="M43">
            <v>1.6486397253037506</v>
          </cell>
          <cell r="N43">
            <v>1.5408001105506806</v>
          </cell>
          <cell r="O43">
            <v>1.621497341572065</v>
          </cell>
          <cell r="P43">
            <v>1.7479599692070824</v>
          </cell>
          <cell r="Q43">
            <v>1.8276469108894291</v>
          </cell>
          <cell r="R43">
            <v>2.09242572932465</v>
          </cell>
        </row>
        <row r="44">
          <cell r="B44" t="str">
            <v>MSEX</v>
          </cell>
          <cell r="C44" t="str">
            <v>Middlesex Water</v>
          </cell>
          <cell r="D44">
            <v>40</v>
          </cell>
          <cell r="E44">
            <v>40</v>
          </cell>
          <cell r="G44">
            <v>2.6402566398090124</v>
          </cell>
          <cell r="H44">
            <v>1.8301279535285344</v>
          </cell>
          <cell r="I44">
            <v>1.7072572736188296</v>
          </cell>
          <cell r="J44">
            <v>1.7164242219215158</v>
          </cell>
          <cell r="K44">
            <v>1.6323580633925461</v>
          </cell>
          <cell r="L44">
            <v>1.6193433895297249</v>
          </cell>
          <cell r="M44">
            <v>1.5358426158821417</v>
          </cell>
          <cell r="N44">
            <v>1.4650014522218995</v>
          </cell>
          <cell r="O44">
            <v>1.7570046864094127</v>
          </cell>
          <cell r="P44">
            <v>1.8681121941515815</v>
          </cell>
          <cell r="Q44">
            <v>1.9564167191766437</v>
          </cell>
        </row>
        <row r="45">
          <cell r="B45" t="str">
            <v>NJR</v>
          </cell>
          <cell r="C45" t="str">
            <v>New Jersey Resources</v>
          </cell>
          <cell r="D45">
            <v>41</v>
          </cell>
          <cell r="E45">
            <v>41</v>
          </cell>
          <cell r="G45">
            <v>2.5188102775528236</v>
          </cell>
          <cell r="H45">
            <v>2.2755675259715278</v>
          </cell>
          <cell r="I45">
            <v>2.1266230936819173</v>
          </cell>
          <cell r="J45">
            <v>2.0483522673927332</v>
          </cell>
          <cell r="K45">
            <v>2.3270741912440047</v>
          </cell>
          <cell r="L45">
            <v>2.3079551521623065</v>
          </cell>
          <cell r="M45">
            <v>2.0919409761634506</v>
          </cell>
          <cell r="N45">
            <v>2.159652719160738</v>
          </cell>
          <cell r="O45">
            <v>1.9173802360564685</v>
          </cell>
          <cell r="P45">
            <v>2.1672689726381003</v>
          </cell>
          <cell r="Q45">
            <v>2.0057325689908012</v>
          </cell>
        </row>
        <row r="46">
          <cell r="B46" t="str">
            <v>NEE</v>
          </cell>
          <cell r="C46" t="str">
            <v>NextEra Energy, Inc.</v>
          </cell>
          <cell r="D46">
            <v>42</v>
          </cell>
          <cell r="E46">
            <v>42</v>
          </cell>
          <cell r="G46">
            <v>2.3016669550671973</v>
          </cell>
          <cell r="H46">
            <v>2.0907958420977391</v>
          </cell>
          <cell r="I46">
            <v>2.1492759748203838</v>
          </cell>
          <cell r="J46">
            <v>1.9299992766029275</v>
          </cell>
          <cell r="K46">
            <v>1.7367796073464217</v>
          </cell>
          <cell r="L46">
            <v>1.5478967734751259</v>
          </cell>
          <cell r="M46">
            <v>1.4938009313154832</v>
          </cell>
          <cell r="N46">
            <v>1.6988835725677829</v>
          </cell>
          <cell r="O46">
            <v>2.0633970454386334</v>
          </cell>
          <cell r="P46">
            <v>2.3447294528344842</v>
          </cell>
          <cell r="Q46">
            <v>1.8003184453335512</v>
          </cell>
          <cell r="R46">
            <v>1.9276621445827913</v>
          </cell>
        </row>
        <row r="47">
          <cell r="B47" t="str">
            <v>NI</v>
          </cell>
          <cell r="C47" t="str">
            <v xml:space="preserve">NiSource Inc.                 </v>
          </cell>
          <cell r="D47">
            <v>43</v>
          </cell>
          <cell r="E47">
            <v>43</v>
          </cell>
          <cell r="G47">
            <v>1.840212732179711</v>
          </cell>
          <cell r="H47">
            <v>1.9531717037529059</v>
          </cell>
          <cell r="I47">
            <v>1.943654042988741</v>
          </cell>
          <cell r="J47">
            <v>1.5801673149677626</v>
          </cell>
          <cell r="K47">
            <v>1.3676330931232892</v>
          </cell>
          <cell r="L47">
            <v>1.1479954827780914</v>
          </cell>
          <cell r="M47">
            <v>0.92171101151642376</v>
          </cell>
          <cell r="N47">
            <v>0.68660546273592982</v>
          </cell>
          <cell r="O47">
            <v>0.93765224451919738</v>
          </cell>
          <cell r="P47">
            <v>1.1584575502268308</v>
          </cell>
          <cell r="Q47">
            <v>1.1921838327602203</v>
          </cell>
          <cell r="R47">
            <v>1.278861563967947</v>
          </cell>
        </row>
        <row r="48">
          <cell r="B48" t="str">
            <v>NWN</v>
          </cell>
          <cell r="C48" t="str">
            <v>Northwest Nat. Gas</v>
          </cell>
          <cell r="D48">
            <v>44</v>
          </cell>
          <cell r="E48">
            <v>44</v>
          </cell>
          <cell r="G48">
            <v>1.921362687672524</v>
          </cell>
          <cell r="H48">
            <v>1.6307638279192274</v>
          </cell>
          <cell r="I48">
            <v>1.5891263378729155</v>
          </cell>
          <cell r="J48">
            <v>1.5631976953546993</v>
          </cell>
          <cell r="K48">
            <v>1.7180993647413065</v>
          </cell>
          <cell r="L48">
            <v>1.7021420011983224</v>
          </cell>
          <cell r="M48">
            <v>1.7765337423312886</v>
          </cell>
          <cell r="N48">
            <v>1.7259536154990152</v>
          </cell>
          <cell r="O48">
            <v>1.9591328919067101</v>
          </cell>
          <cell r="P48">
            <v>2.0512387887398988</v>
          </cell>
          <cell r="Q48">
            <v>1.6922447866975603</v>
          </cell>
        </row>
        <row r="49">
          <cell r="B49" t="str">
            <v>NWE</v>
          </cell>
          <cell r="C49" t="str">
            <v xml:space="preserve">NorthWestern Corp             </v>
          </cell>
          <cell r="D49">
            <v>45</v>
          </cell>
          <cell r="E49">
            <v>45</v>
          </cell>
          <cell r="G49">
            <v>1.6798627530130903</v>
          </cell>
          <cell r="H49">
            <v>1.6030164368715756</v>
          </cell>
          <cell r="I49">
            <v>1.5411282897869774</v>
          </cell>
          <cell r="J49">
            <v>1.5591519115822714</v>
          </cell>
          <cell r="K49">
            <v>1.4155176536223799</v>
          </cell>
          <cell r="L49">
            <v>1.3485494700392719</v>
          </cell>
          <cell r="M49">
            <v>1.218743099412622</v>
          </cell>
          <cell r="N49">
            <v>1.0661939615736504</v>
          </cell>
          <cell r="O49">
            <v>1.1549103571596631</v>
          </cell>
          <cell r="P49">
            <v>1.4819830484397936</v>
          </cell>
          <cell r="Q49">
            <v>1.6463125272383903</v>
          </cell>
          <cell r="R49">
            <v>1.418462434478742</v>
          </cell>
        </row>
        <row r="50">
          <cell r="B50" t="str">
            <v>OGE</v>
          </cell>
          <cell r="C50" t="str">
            <v xml:space="preserve">OGE Energy                    </v>
          </cell>
          <cell r="D50">
            <v>46</v>
          </cell>
          <cell r="E50">
            <v>46</v>
          </cell>
          <cell r="G50">
            <v>1.7326761380110176</v>
          </cell>
          <cell r="H50">
            <v>1.7949564695286699</v>
          </cell>
          <cell r="I50">
            <v>2.2227275520865342</v>
          </cell>
          <cell r="J50">
            <v>2.2433986928104575</v>
          </cell>
          <cell r="K50">
            <v>1.9372322193658955</v>
          </cell>
          <cell r="L50">
            <v>1.8968235744355149</v>
          </cell>
          <cell r="M50">
            <v>1.6968456947996589</v>
          </cell>
          <cell r="N50">
            <v>1.3696768060836504</v>
          </cell>
          <cell r="O50">
            <v>1.523020802523908</v>
          </cell>
          <cell r="P50">
            <v>1.9826324412889134</v>
          </cell>
          <cell r="Q50">
            <v>1.9051518253155919</v>
          </cell>
          <cell r="R50">
            <v>1.8015277229026736</v>
          </cell>
        </row>
        <row r="51">
          <cell r="B51" t="str">
            <v>OGS</v>
          </cell>
          <cell r="C51" t="str">
            <v>ONE Gas Inc.</v>
          </cell>
          <cell r="D51">
            <v>47</v>
          </cell>
          <cell r="E51">
            <v>47</v>
          </cell>
          <cell r="G51">
            <v>1.6683833097987097</v>
          </cell>
          <cell r="H51">
            <v>1.2579812139958568</v>
          </cell>
          <cell r="I51">
            <v>1.0713311075627812</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48</v>
          </cell>
          <cell r="E52">
            <v>48</v>
          </cell>
          <cell r="G52">
            <v>1.8971814445096886</v>
          </cell>
          <cell r="H52">
            <v>1.77637342009761</v>
          </cell>
          <cell r="I52">
            <v>1.8973942426408474</v>
          </cell>
          <cell r="J52">
            <v>1.9622923024754155</v>
          </cell>
          <cell r="K52">
            <v>1.5823863636363635</v>
          </cell>
          <cell r="L52">
            <v>1.349864173352707</v>
          </cell>
          <cell r="M52">
            <v>1.1919726729291205</v>
          </cell>
          <cell r="N52">
            <v>1.1776949693904712</v>
          </cell>
          <cell r="O52">
            <v>1.7117404253095776</v>
          </cell>
          <cell r="P52">
            <v>1.9289499173836249</v>
          </cell>
          <cell r="Q52">
            <v>1.7591048179036417</v>
          </cell>
          <cell r="R52">
            <v>1.7353760445682451</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row>
        <row r="54">
          <cell r="B54" t="str">
            <v>PCG</v>
          </cell>
          <cell r="C54" t="str">
            <v xml:space="preserve">PG&amp;E Corp.                    </v>
          </cell>
          <cell r="D54">
            <v>49</v>
          </cell>
          <cell r="E54">
            <v>49</v>
          </cell>
          <cell r="G54">
            <v>1.6893083182640143</v>
          </cell>
          <cell r="H54">
            <v>1.5671881029416128</v>
          </cell>
          <cell r="I54">
            <v>1.3873980054397097</v>
          </cell>
          <cell r="J54">
            <v>1.3790040119722347</v>
          </cell>
          <cell r="K54">
            <v>1.4117743954668249</v>
          </cell>
          <cell r="L54">
            <v>1.4640070861581438</v>
          </cell>
          <cell r="M54">
            <v>1.5611644363483499</v>
          </cell>
          <cell r="N54">
            <v>1.4137794993185566</v>
          </cell>
          <cell r="O54">
            <v>1.4982480458973471</v>
          </cell>
          <cell r="P54">
            <v>1.9369727047146401</v>
          </cell>
          <cell r="Q54">
            <v>1.8257342782011854</v>
          </cell>
          <cell r="R54">
            <v>1.84234693877551</v>
          </cell>
        </row>
        <row r="55">
          <cell r="B55" t="str">
            <v>PNW</v>
          </cell>
          <cell r="C55" t="str">
            <v xml:space="preserve">Pinnacle West Capital         </v>
          </cell>
          <cell r="D55">
            <v>50</v>
          </cell>
          <cell r="E55">
            <v>50</v>
          </cell>
          <cell r="G55">
            <v>1.7159578166647349</v>
          </cell>
          <cell r="H55">
            <v>1.5218865000968429</v>
          </cell>
          <cell r="I55">
            <v>1.4398339198460719</v>
          </cell>
          <cell r="J55">
            <v>1.4678609892563503</v>
          </cell>
          <cell r="K55">
            <v>1.3869782602690532</v>
          </cell>
          <cell r="L55">
            <v>1.2481705922707522</v>
          </cell>
          <cell r="M55">
            <v>1.142776990314198</v>
          </cell>
          <cell r="N55">
            <v>0.94995717606753949</v>
          </cell>
          <cell r="O55">
            <v>0.99718936643635092</v>
          </cell>
          <cell r="P55">
            <v>1.2575330772513869</v>
          </cell>
          <cell r="Q55">
            <v>1.2588542422044959</v>
          </cell>
          <cell r="R55">
            <v>1.2464346668980879</v>
          </cell>
        </row>
        <row r="56">
          <cell r="B56" t="str">
            <v>PNM</v>
          </cell>
          <cell r="C56" t="str">
            <v xml:space="preserve">PNM Resources                 </v>
          </cell>
          <cell r="D56">
            <v>51</v>
          </cell>
          <cell r="E56">
            <v>51</v>
          </cell>
          <cell r="G56">
            <v>1.5552281368821295</v>
          </cell>
          <cell r="H56">
            <v>1.3299157641395911</v>
          </cell>
          <cell r="I56">
            <v>1.2094144968960743</v>
          </cell>
          <cell r="J56">
            <v>1.0900508003450591</v>
          </cell>
          <cell r="K56">
            <v>0.97839860314292826</v>
          </cell>
          <cell r="L56">
            <v>0.80011215334420882</v>
          </cell>
          <cell r="M56">
            <v>0.69437972381655955</v>
          </cell>
          <cell r="N56">
            <v>0.55520871911539071</v>
          </cell>
          <cell r="O56">
            <v>0.65997988673053509</v>
          </cell>
          <cell r="P56">
            <v>1.2297113289760349</v>
          </cell>
          <cell r="Q56">
            <v>1.2124751041100852</v>
          </cell>
          <cell r="R56">
            <v>1.4496845257191742</v>
          </cell>
        </row>
        <row r="57">
          <cell r="B57" t="str">
            <v>POR</v>
          </cell>
          <cell r="C57" t="str">
            <v xml:space="preserve">Portland General              </v>
          </cell>
          <cell r="D57">
            <v>52</v>
          </cell>
          <cell r="E57">
            <v>52</v>
          </cell>
          <cell r="G57">
            <v>1.5620612453990057</v>
          </cell>
          <cell r="H57">
            <v>1.4210381439244986</v>
          </cell>
          <cell r="I57">
            <v>1.3669968888161126</v>
          </cell>
          <cell r="J57">
            <v>1.2825499034127494</v>
          </cell>
          <cell r="K57">
            <v>1.1429820725841713</v>
          </cell>
          <cell r="L57">
            <v>1.0930801649521911</v>
          </cell>
          <cell r="M57">
            <v>0.94242323887022761</v>
          </cell>
          <cell r="N57">
            <v>0.91976392547068575</v>
          </cell>
          <cell r="O57">
            <v>1.0468157870413162</v>
          </cell>
          <cell r="P57">
            <v>1.3220564477810512</v>
          </cell>
          <cell r="Q57">
            <v>1.3592912219782465</v>
          </cell>
          <cell r="R57" t="str">
            <v>N/A</v>
          </cell>
        </row>
        <row r="58">
          <cell r="B58" t="str">
            <v>PPL</v>
          </cell>
          <cell r="C58" t="str">
            <v xml:space="preserve">PPL Corp.                     </v>
          </cell>
          <cell r="D58">
            <v>53</v>
          </cell>
          <cell r="E58">
            <v>53</v>
          </cell>
          <cell r="G58">
            <v>2.457872691066401</v>
          </cell>
          <cell r="H58">
            <v>2.2404211956521736</v>
          </cell>
          <cell r="I58">
            <v>1.6368788781941663</v>
          </cell>
          <cell r="J58">
            <v>1.5456338170602215</v>
          </cell>
          <cell r="K58">
            <v>1.5770448109278694</v>
          </cell>
          <cell r="L58">
            <v>1.4661324786324788</v>
          </cell>
          <cell r="M58">
            <v>1.6085138954309937</v>
          </cell>
          <cell r="N58">
            <v>2.097796994029236</v>
          </cell>
          <cell r="O58">
            <v>3.1882839014313116</v>
          </cell>
          <cell r="P58">
            <v>3.0500503862949278</v>
          </cell>
          <cell r="Q58">
            <v>2.4271968728858151</v>
          </cell>
          <cell r="R58">
            <v>2.4972466012734471</v>
          </cell>
        </row>
        <row r="59">
          <cell r="B59" t="str">
            <v>PEG</v>
          </cell>
          <cell r="C59" t="str">
            <v xml:space="preserve">Public Serv. Enterprise       </v>
          </cell>
          <cell r="D59">
            <v>54</v>
          </cell>
          <cell r="E59">
            <v>54</v>
          </cell>
          <cell r="G59">
            <v>1.6700503710539469</v>
          </cell>
          <cell r="H59">
            <v>1.5839746316562897</v>
          </cell>
          <cell r="I59">
            <v>1.5656523724521567</v>
          </cell>
          <cell r="J59">
            <v>1.4413648842986013</v>
          </cell>
          <cell r="K59">
            <v>1.4643108545684922</v>
          </cell>
          <cell r="L59">
            <v>1.5925415045076112</v>
          </cell>
          <cell r="M59">
            <v>1.6719365512894584</v>
          </cell>
          <cell r="N59">
            <v>1.7802855826807924</v>
          </cell>
          <cell r="O59">
            <v>2.5768704825161164</v>
          </cell>
          <cell r="P59">
            <v>2.9851598968856683</v>
          </cell>
          <cell r="Q59">
            <v>2.4605706582790385</v>
          </cell>
          <cell r="R59">
            <v>2.4504504504504507</v>
          </cell>
        </row>
        <row r="60">
          <cell r="B60" t="str">
            <v>SCG</v>
          </cell>
          <cell r="C60" t="str">
            <v xml:space="preserve">SCANA Corp.                   </v>
          </cell>
          <cell r="D60">
            <v>56</v>
          </cell>
          <cell r="E60">
            <v>56</v>
          </cell>
          <cell r="G60">
            <v>1.7440281556548434</v>
          </cell>
          <cell r="H60">
            <v>1.4669204515620897</v>
          </cell>
          <cell r="I60">
            <v>1.4832174435573868</v>
          </cell>
          <cell r="J60">
            <v>1.4785053509885724</v>
          </cell>
          <cell r="K60">
            <v>1.4814567642291925</v>
          </cell>
          <cell r="L60">
            <v>1.3559763550746415</v>
          </cell>
          <cell r="M60">
            <v>1.3268727623244285</v>
          </cell>
          <cell r="N60">
            <v>1.1991965545944772</v>
          </cell>
          <cell r="O60">
            <v>1.4454415348315475</v>
          </cell>
          <cell r="P60">
            <v>1.6152057386094909</v>
          </cell>
          <cell r="Q60">
            <v>1.6370977659356425</v>
          </cell>
          <cell r="R60">
            <v>1.7199828657100023</v>
          </cell>
        </row>
        <row r="61">
          <cell r="B61" t="str">
            <v>SRE</v>
          </cell>
          <cell r="C61" t="str">
            <v xml:space="preserve">Sempra Energy                 </v>
          </cell>
          <cell r="D61">
            <v>57</v>
          </cell>
          <cell r="E61">
            <v>57</v>
          </cell>
          <cell r="G61">
            <v>1.9960596461407711</v>
          </cell>
          <cell r="H61">
            <v>2.1691757779646759</v>
          </cell>
          <cell r="I61">
            <v>2.2024184954000741</v>
          </cell>
          <cell r="J61">
            <v>1.8446591161447923</v>
          </cell>
          <cell r="K61">
            <v>1.5266011361761309</v>
          </cell>
          <cell r="L61">
            <v>1.2832231787917958</v>
          </cell>
          <cell r="M61">
            <v>1.3486402258743306</v>
          </cell>
          <cell r="N61">
            <v>1.3199682522305547</v>
          </cell>
          <cell r="O61">
            <v>1.596042868920033</v>
          </cell>
          <cell r="P61">
            <v>1.8722623156573579</v>
          </cell>
          <cell r="Q61">
            <v>1.6976549413735345</v>
          </cell>
          <cell r="R61">
            <v>1.7333723017828064</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row>
        <row r="63">
          <cell r="B63" t="str">
            <v>SJW</v>
          </cell>
          <cell r="C63" t="str">
            <v>SJW Corp.</v>
          </cell>
          <cell r="D63">
            <v>58</v>
          </cell>
          <cell r="E63">
            <v>58</v>
          </cell>
          <cell r="G63">
            <v>1.9545410440520086</v>
          </cell>
          <cell r="H63">
            <v>1.635050451407329</v>
          </cell>
          <cell r="I63">
            <v>1.6007435363037232</v>
          </cell>
          <cell r="J63">
            <v>1.7117558402411455</v>
          </cell>
          <cell r="K63">
            <v>1.6339407125373946</v>
          </cell>
          <cell r="L63">
            <v>1.6552574124938375</v>
          </cell>
          <cell r="M63">
            <v>1.7795155306612354</v>
          </cell>
          <cell r="N63">
            <v>1.6996047430830037</v>
          </cell>
          <cell r="O63">
            <v>2.0325877224326447</v>
          </cell>
          <cell r="P63">
            <v>2.6940483570985743</v>
          </cell>
          <cell r="Q63">
            <v>2.2414069385465911</v>
          </cell>
        </row>
        <row r="64">
          <cell r="B64" t="str">
            <v>SJI</v>
          </cell>
          <cell r="C64" t="str">
            <v>South Jersey Inds.</v>
          </cell>
          <cell r="D64">
            <v>59</v>
          </cell>
          <cell r="E64">
            <v>59</v>
          </cell>
          <cell r="G64">
            <v>1.7937858331792123</v>
          </cell>
          <cell r="H64">
            <v>1.7678522571819426</v>
          </cell>
          <cell r="I64">
            <v>2.0683766947599853</v>
          </cell>
          <cell r="J64">
            <v>2.2658438167576551</v>
          </cell>
          <cell r="K64">
            <v>2.2062086163900592</v>
          </cell>
          <cell r="L64">
            <v>2.5855358698809177</v>
          </cell>
          <cell r="M64">
            <v>2.3779081953468877</v>
          </cell>
          <cell r="N64">
            <v>1.9509975882481914</v>
          </cell>
          <cell r="O64">
            <v>2.0820447726748208</v>
          </cell>
          <cell r="P64">
            <v>2.2099950763170852</v>
          </cell>
          <cell r="Q64">
            <v>1.9307651575324332</v>
          </cell>
        </row>
        <row r="65">
          <cell r="B65" t="str">
            <v>SO</v>
          </cell>
          <cell r="C65" t="str">
            <v xml:space="preserve">Southern Co.                  </v>
          </cell>
          <cell r="D65">
            <v>60</v>
          </cell>
          <cell r="E65">
            <v>60</v>
          </cell>
          <cell r="G65">
            <v>2.0104008320665652</v>
          </cell>
          <cell r="H65">
            <v>1.9928274152129639</v>
          </cell>
          <cell r="I65">
            <v>2.0222970513287222</v>
          </cell>
          <cell r="J65">
            <v>2.03957623559061</v>
          </cell>
          <cell r="K65">
            <v>2.148636471425184</v>
          </cell>
          <cell r="L65">
            <v>1.9888768579584601</v>
          </cell>
          <cell r="M65">
            <v>1.8299500312304808</v>
          </cell>
          <cell r="N65">
            <v>1.7280740414279416</v>
          </cell>
          <cell r="O65">
            <v>2.1242243297037819</v>
          </cell>
          <cell r="P65">
            <v>2.2409118915588415</v>
          </cell>
          <cell r="Q65">
            <v>2.2311478637527076</v>
          </cell>
          <cell r="R65">
            <v>2.3518312985571588</v>
          </cell>
        </row>
        <row r="66">
          <cell r="B66" t="str">
            <v>SWX</v>
          </cell>
          <cell r="C66" t="str">
            <v>Southwest Gas</v>
          </cell>
          <cell r="D66">
            <v>61</v>
          </cell>
          <cell r="E66">
            <v>61</v>
          </cell>
          <cell r="G66">
            <v>1.9644916366957812</v>
          </cell>
          <cell r="H66">
            <v>1.6815436341456156</v>
          </cell>
          <cell r="I66">
            <v>1.6827558143174635</v>
          </cell>
          <cell r="J66">
            <v>1.6084088223710122</v>
          </cell>
          <cell r="K66">
            <v>1.5132075471698112</v>
          </cell>
          <cell r="L66">
            <v>1.4300558952620326</v>
          </cell>
          <cell r="M66">
            <v>1.2379465157134493</v>
          </cell>
          <cell r="N66">
            <v>0.9682909864571827</v>
          </cell>
          <cell r="O66">
            <v>1.1996593570364062</v>
          </cell>
          <cell r="P66">
            <v>1.4646649260226283</v>
          </cell>
          <cell r="Q66">
            <v>1.4622121310411937</v>
          </cell>
        </row>
        <row r="67">
          <cell r="B67" t="str">
            <v>SR</v>
          </cell>
          <cell r="C67" t="str">
            <v>Spire Inc.</v>
          </cell>
          <cell r="D67">
            <v>62</v>
          </cell>
          <cell r="E67">
            <v>62</v>
          </cell>
          <cell r="G67">
            <v>1.6407197996540419</v>
          </cell>
          <cell r="H67">
            <v>1.4353647784879877</v>
          </cell>
          <cell r="I67">
            <v>1.3319496135127398</v>
          </cell>
          <cell r="J67">
            <v>1.3416669270914716</v>
          </cell>
          <cell r="K67">
            <v>1.5124840668816075</v>
          </cell>
          <cell r="L67">
            <v>1.4598200312989047</v>
          </cell>
          <cell r="M67">
            <v>1.3895941727367325</v>
          </cell>
          <cell r="N67">
            <v>1.6762852120224669</v>
          </cell>
          <cell r="O67">
            <v>1.7083954970839548</v>
          </cell>
          <cell r="P67">
            <v>1.6559025672124521</v>
          </cell>
          <cell r="Q67">
            <v>1.7099580879622263</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v>2.2347939829954222</v>
          </cell>
        </row>
        <row r="69">
          <cell r="B69" t="str">
            <v>UGI</v>
          </cell>
          <cell r="C69" t="str">
            <v>UGI Corp.</v>
          </cell>
          <cell r="D69">
            <v>64</v>
          </cell>
          <cell r="E69">
            <v>64</v>
          </cell>
          <cell r="G69">
            <v>2.4064986334649254</v>
          </cell>
          <cell r="H69">
            <v>2.2897106109324756</v>
          </cell>
          <cell r="I69">
            <v>1.9712875146160842</v>
          </cell>
          <cell r="J69">
            <v>1.6857260386672153</v>
          </cell>
          <cell r="K69">
            <v>1.4543871602695131</v>
          </cell>
          <cell r="L69">
            <v>1.7501908558826025</v>
          </cell>
          <cell r="M69">
            <v>1.5532029912604739</v>
          </cell>
          <cell r="N69">
            <v>1.6565057283142388</v>
          </cell>
          <cell r="O69">
            <v>2.0057954545454542</v>
          </cell>
          <cell r="P69">
            <v>2.1626527895437495</v>
          </cell>
          <cell r="Q69">
            <v>2.2097238204833141</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row>
        <row r="72">
          <cell r="B72" t="str">
            <v>UTL</v>
          </cell>
          <cell r="C72" t="str">
            <v xml:space="preserve">UNITIL Corp.                  </v>
          </cell>
          <cell r="D72">
            <v>65</v>
          </cell>
          <cell r="E72">
            <v>65</v>
          </cell>
          <cell r="G72">
            <v>1.9529411764705884</v>
          </cell>
          <cell r="H72">
            <v>1.7338482103074409</v>
          </cell>
          <cell r="I72">
            <v>1.6775031847133757</v>
          </cell>
          <cell r="J72">
            <v>1.516688430399582</v>
          </cell>
          <cell r="K72">
            <v>1.4140558848433529</v>
          </cell>
          <cell r="L72">
            <v>1.4386857142857143</v>
          </cell>
          <cell r="M72">
            <v>1.2729472774416593</v>
          </cell>
          <cell r="N72">
            <v>1.1739716033447445</v>
          </cell>
          <cell r="O72">
            <v>1.4577189454870421</v>
          </cell>
          <cell r="P72">
            <v>1.5968783946029388</v>
          </cell>
          <cell r="Q72">
            <v>1.4355388616006934</v>
          </cell>
          <cell r="R72">
            <v>1.559888417504504</v>
          </cell>
        </row>
        <row r="73">
          <cell r="B73" t="str">
            <v>VVC</v>
          </cell>
          <cell r="C73" t="str">
            <v xml:space="preserve">Vectren Corp.                 </v>
          </cell>
          <cell r="D73">
            <v>66</v>
          </cell>
          <cell r="E73">
            <v>66</v>
          </cell>
          <cell r="G73">
            <v>2.2929482370592651</v>
          </cell>
          <cell r="H73">
            <v>2.1063139260424864</v>
          </cell>
          <cell r="I73">
            <v>2.0753213367609256</v>
          </cell>
          <cell r="J73">
            <v>1.8185336372793297</v>
          </cell>
          <cell r="K73">
            <v>1.5692664009479695</v>
          </cell>
          <cell r="L73">
            <v>1.5300659438918076</v>
          </cell>
          <cell r="M73">
            <v>1.4063138769021124</v>
          </cell>
          <cell r="N73">
            <v>1.3393313211051776</v>
          </cell>
          <cell r="O73">
            <v>1.6404891793057967</v>
          </cell>
          <cell r="P73">
            <v>1.7367704400569413</v>
          </cell>
          <cell r="Q73">
            <v>1.7654569021386908</v>
          </cell>
          <cell r="R73">
            <v>1.8218831212101021</v>
          </cell>
        </row>
        <row r="74">
          <cell r="B74" t="str">
            <v>WEC</v>
          </cell>
          <cell r="C74" t="str">
            <v>WEC Energy Group</v>
          </cell>
          <cell r="D74">
            <v>67</v>
          </cell>
          <cell r="E74">
            <v>67</v>
          </cell>
          <cell r="G74">
            <v>2.0868059237267169</v>
          </cell>
          <cell r="H74">
            <v>1.8208710242194339</v>
          </cell>
          <cell r="I74">
            <v>2.3404939279518318</v>
          </cell>
          <cell r="J74">
            <v>2.2113916617733413</v>
          </cell>
          <cell r="K74">
            <v>2.0509582364019057</v>
          </cell>
          <cell r="L74">
            <v>1.8064553649316661</v>
          </cell>
          <cell r="M74">
            <v>1.6539596655189375</v>
          </cell>
          <cell r="N74">
            <v>1.3998033431661749</v>
          </cell>
          <cell r="O74">
            <v>1.5682550805886477</v>
          </cell>
          <cell r="P74">
            <v>1.7651498000150934</v>
          </cell>
          <cell r="Q74">
            <v>1.7066968985342943</v>
          </cell>
          <cell r="R74">
            <v>1.6161501527717155</v>
          </cell>
        </row>
        <row r="75">
          <cell r="B75" t="str">
            <v>WR</v>
          </cell>
          <cell r="C75" t="str">
            <v xml:space="preserve">Westar Energy                 </v>
          </cell>
          <cell r="D75">
            <v>68</v>
          </cell>
          <cell r="E75">
            <v>68</v>
          </cell>
          <cell r="G75">
            <v>1.9542490965314256</v>
          </cell>
          <cell r="H75">
            <v>1.4909350960609224</v>
          </cell>
          <cell r="I75">
            <v>1.4424860111910471</v>
          </cell>
          <cell r="J75">
            <v>1.3343942376146405</v>
          </cell>
          <cell r="K75">
            <v>1.2612038088582163</v>
          </cell>
          <cell r="L75">
            <v>1.200717171258681</v>
          </cell>
          <cell r="M75">
            <v>1.0974542374476495</v>
          </cell>
          <cell r="N75">
            <v>0.92936947440007789</v>
          </cell>
          <cell r="O75">
            <v>1.1009215219976218</v>
          </cell>
          <cell r="P75">
            <v>1.3558702126547886</v>
          </cell>
          <cell r="Q75">
            <v>1.2996309963099633</v>
          </cell>
          <cell r="R75">
            <v>1.4052860734653831</v>
          </cell>
        </row>
        <row r="76">
          <cell r="B76" t="str">
            <v>WGL</v>
          </cell>
          <cell r="C76" t="str">
            <v>WGL Holdings Inc.</v>
          </cell>
          <cell r="D76">
            <v>69</v>
          </cell>
          <cell r="E76">
            <v>69</v>
          </cell>
          <cell r="G76">
            <v>2.448203749346479</v>
          </cell>
          <cell r="H76">
            <v>2.1502022183958678</v>
          </cell>
          <cell r="I76">
            <v>1.6859740906826108</v>
          </cell>
          <cell r="J76">
            <v>1.7094589113328467</v>
          </cell>
          <cell r="K76">
            <v>1.6606063065622336</v>
          </cell>
          <cell r="L76">
            <v>1.6255054697143831</v>
          </cell>
          <cell r="M76">
            <v>1.5030233984751555</v>
          </cell>
          <cell r="N76">
            <v>1.4543876478918278</v>
          </cell>
          <cell r="O76">
            <v>1.5883446106928427</v>
          </cell>
          <cell r="P76">
            <v>1.6442472521932037</v>
          </cell>
          <cell r="Q76">
            <v>1.5905812473483241</v>
          </cell>
        </row>
        <row r="77">
          <cell r="B77" t="str">
            <v>XEL</v>
          </cell>
          <cell r="C77" t="str">
            <v xml:space="preserve">Xcel Energy Inc.              </v>
          </cell>
          <cell r="D77">
            <v>70</v>
          </cell>
          <cell r="E77">
            <v>70</v>
          </cell>
          <cell r="G77">
            <v>1.8790960972017672</v>
          </cell>
          <cell r="H77">
            <v>1.6627088619715611</v>
          </cell>
          <cell r="I77">
            <v>1.5519136505421598</v>
          </cell>
          <cell r="J77">
            <v>1.4953149401353463</v>
          </cell>
          <cell r="K77">
            <v>1.5077532167601453</v>
          </cell>
          <cell r="L77">
            <v>1.4050473186119874</v>
          </cell>
          <cell r="M77">
            <v>1.3151739363923862</v>
          </cell>
          <cell r="N77">
            <v>1.1853759658269991</v>
          </cell>
          <cell r="O77">
            <v>1.3020982666492897</v>
          </cell>
          <cell r="P77">
            <v>1.529908132017693</v>
          </cell>
          <cell r="Q77">
            <v>1.3991037669794146</v>
          </cell>
          <cell r="R77">
            <v>1.3783177570093457</v>
          </cell>
        </row>
        <row r="78">
          <cell r="B78" t="str">
            <v>YORW</v>
          </cell>
          <cell r="C78" t="str">
            <v>York Water Co. (The)</v>
          </cell>
          <cell r="D78">
            <v>71</v>
          </cell>
          <cell r="E78">
            <v>71</v>
          </cell>
          <cell r="G78" t="str">
            <v>N/A</v>
          </cell>
          <cell r="H78">
            <v>2.6802537295900386</v>
          </cell>
          <cell r="I78">
            <v>2.5188957055214725</v>
          </cell>
          <cell r="J78">
            <v>2.469843260188088</v>
          </cell>
          <cell r="K78">
            <v>2.2777274492040895</v>
          </cell>
          <cell r="L78">
            <v>2.27917282127031</v>
          </cell>
          <cell r="M78">
            <v>2.0460361613351878</v>
          </cell>
          <cell r="N78">
            <v>2.0221066319895966</v>
          </cell>
          <cell r="O78">
            <v>2.2825484764542936</v>
          </cell>
          <cell r="P78">
            <v>2.8884795713328866</v>
          </cell>
          <cell r="Q78">
            <v>3.1060839760068548</v>
          </cell>
        </row>
      </sheetData>
      <sheetData sheetId="19">
        <row r="5">
          <cell r="B5" t="str">
            <v>ALE</v>
          </cell>
          <cell r="C5" t="str">
            <v xml:space="preserve">ALLETE                        </v>
          </cell>
          <cell r="D5">
            <v>3</v>
          </cell>
          <cell r="E5">
            <v>3</v>
          </cell>
          <cell r="G5">
            <v>3.5553124572678792E-2</v>
          </cell>
          <cell r="H5">
            <v>3.9693456474749457E-2</v>
          </cell>
          <cell r="I5">
            <v>3.9228244335921862E-2</v>
          </cell>
          <cell r="J5">
            <v>3.8852422141790889E-2</v>
          </cell>
          <cell r="K5">
            <v>4.4906526089715432E-2</v>
          </cell>
          <cell r="L5">
            <v>4.5811349890618976E-2</v>
          </cell>
          <cell r="M5">
            <v>5.0304398776688485E-2</v>
          </cell>
          <cell r="N5">
            <v>5.7909976309555147E-2</v>
          </cell>
          <cell r="O5">
            <v>4.3730295942235327E-2</v>
          </cell>
          <cell r="P5">
            <v>3.6023371260378682E-2</v>
          </cell>
          <cell r="Q5">
            <v>3.1638664630154918E-2</v>
          </cell>
        </row>
        <row r="6">
          <cell r="B6" t="str">
            <v>LNT</v>
          </cell>
          <cell r="C6" t="str">
            <v xml:space="preserve">Alliant Energy                </v>
          </cell>
          <cell r="D6">
            <v>4</v>
          </cell>
          <cell r="E6">
            <v>4</v>
          </cell>
          <cell r="G6">
            <v>3.2064346077552236E-2</v>
          </cell>
          <cell r="H6">
            <v>3.6017157264005763E-2</v>
          </cell>
          <cell r="I6">
            <v>3.5306334371754934E-2</v>
          </cell>
          <cell r="J6">
            <v>3.7406979983286237E-2</v>
          </cell>
          <cell r="K6">
            <v>4.0707404224523951E-2</v>
          </cell>
          <cell r="L6">
            <v>4.2778057372924005E-2</v>
          </cell>
          <cell r="M6">
            <v>4.6064139941690965E-2</v>
          </cell>
          <cell r="N6">
            <v>5.7256279105275212E-2</v>
          </cell>
          <cell r="O6">
            <v>4.1031652989449004E-2</v>
          </cell>
          <cell r="P6">
            <v>3.131318112332955E-2</v>
          </cell>
          <cell r="Q6">
            <v>3.3189033189033185E-2</v>
          </cell>
        </row>
        <row r="7">
          <cell r="B7" t="str">
            <v>AWR</v>
          </cell>
          <cell r="C7" t="str">
            <v>Amer. States Water</v>
          </cell>
          <cell r="D7">
            <v>6</v>
          </cell>
          <cell r="E7">
            <v>6</v>
          </cell>
          <cell r="G7">
            <v>2.204481319794506E-2</v>
          </cell>
          <cell r="H7">
            <v>2.2090231265006952E-2</v>
          </cell>
          <cell r="I7">
            <v>2.633997908016102E-2</v>
          </cell>
          <cell r="J7">
            <v>2.7498371806932483E-2</v>
          </cell>
          <cell r="K7">
            <v>3.1491767506447131E-2</v>
          </cell>
          <cell r="L7">
            <v>3.1976744186046513E-2</v>
          </cell>
          <cell r="M7">
            <v>2.9778948574046501E-2</v>
          </cell>
          <cell r="N7">
            <v>2.9413477779719262E-2</v>
          </cell>
          <cell r="O7">
            <v>2.8566531451751129E-2</v>
          </cell>
          <cell r="P7">
            <v>2.4584683433626495E-2</v>
          </cell>
          <cell r="Q7">
            <v>2.467462039045553E-2</v>
          </cell>
        </row>
        <row r="8">
          <cell r="B8" t="str">
            <v>AWK</v>
          </cell>
          <cell r="C8" t="str">
            <v>Amer. Water Works</v>
          </cell>
          <cell r="D8">
            <v>7</v>
          </cell>
          <cell r="E8">
            <v>7</v>
          </cell>
          <cell r="G8">
            <v>2.0246818357115309E-2</v>
          </cell>
          <cell r="H8">
            <v>2.4565486415101312E-2</v>
          </cell>
          <cell r="I8">
            <v>2.5292113459166821E-2</v>
          </cell>
          <cell r="J8">
            <v>2.0489304095421615E-2</v>
          </cell>
          <cell r="K8">
            <v>3.4324293657097465E-2</v>
          </cell>
          <cell r="L8">
            <v>3.1149413352715191E-2</v>
          </cell>
          <cell r="M8">
            <v>3.846497897844172E-2</v>
          </cell>
          <cell r="N8">
            <v>4.1956610724519033E-2</v>
          </cell>
          <cell r="O8">
            <v>1.9222451823730117E-2</v>
          </cell>
          <cell r="P8" t="str">
            <v>N/A</v>
          </cell>
          <cell r="Q8" t="str">
            <v>N/A</v>
          </cell>
        </row>
        <row r="9">
          <cell r="B9" t="str">
            <v>AEE</v>
          </cell>
          <cell r="C9" t="str">
            <v xml:space="preserve">Ameren Corp.                  </v>
          </cell>
          <cell r="D9">
            <v>8</v>
          </cell>
          <cell r="E9">
            <v>8</v>
          </cell>
          <cell r="G9">
            <v>3.498001142204455E-2</v>
          </cell>
          <cell r="H9">
            <v>3.9633124191771632E-2</v>
          </cell>
          <cell r="I9">
            <v>4.0154632747225347E-2</v>
          </cell>
          <cell r="J9">
            <v>4.6129450771226752E-2</v>
          </cell>
          <cell r="K9">
            <v>4.9724958821518478E-2</v>
          </cell>
          <cell r="L9">
            <v>5.275299385961936E-2</v>
          </cell>
          <cell r="M9">
            <v>5.7585162472422693E-2</v>
          </cell>
          <cell r="N9">
            <v>5.9817440279665957E-2</v>
          </cell>
          <cell r="O9">
            <v>6.2085991542616896E-2</v>
          </cell>
          <cell r="P9">
            <v>4.8846153846153845E-2</v>
          </cell>
          <cell r="Q9">
            <v>4.9258217783380201E-2</v>
          </cell>
        </row>
        <row r="10">
          <cell r="B10" t="str">
            <v>AEP</v>
          </cell>
          <cell r="C10" t="str">
            <v>American Electric Power</v>
          </cell>
          <cell r="D10">
            <v>5</v>
          </cell>
          <cell r="E10">
            <v>5</v>
          </cell>
          <cell r="G10">
            <v>3.540457920019964E-2</v>
          </cell>
          <cell r="H10">
            <v>3.7978484746780658E-2</v>
          </cell>
          <cell r="I10">
            <v>3.8283828382838281E-2</v>
          </cell>
          <cell r="J10">
            <v>4.2307608860732031E-2</v>
          </cell>
          <cell r="K10">
            <v>4.582459903475844E-2</v>
          </cell>
          <cell r="L10">
            <v>4.9593866445058046E-2</v>
          </cell>
          <cell r="M10">
            <v>4.9022418439309677E-2</v>
          </cell>
          <cell r="N10">
            <v>5.5042792414834694E-2</v>
          </cell>
          <cell r="O10">
            <v>4.1996363729481956E-2</v>
          </cell>
          <cell r="P10">
            <v>3.3959506512487643E-2</v>
          </cell>
          <cell r="Q10">
            <v>4.0638292108043671E-2</v>
          </cell>
        </row>
        <row r="11">
          <cell r="B11" t="str">
            <v>WTR</v>
          </cell>
          <cell r="C11" t="str">
            <v>Aqua America</v>
          </cell>
          <cell r="D11">
            <v>10</v>
          </cell>
          <cell r="E11">
            <v>10</v>
          </cell>
          <cell r="G11">
            <v>2.3492809295533192E-2</v>
          </cell>
          <cell r="H11">
            <v>2.5746268656716417E-2</v>
          </cell>
          <cell r="I11">
            <v>2.5288002247822423E-2</v>
          </cell>
          <cell r="J11">
            <v>2.3606984411249948E-2</v>
          </cell>
          <cell r="K11">
            <v>2.8020283339432274E-2</v>
          </cell>
          <cell r="L11">
            <v>2.8497116363225151E-2</v>
          </cell>
          <cell r="M11">
            <v>3.1101739588824458E-2</v>
          </cell>
          <cell r="N11">
            <v>3.0929284408828903E-2</v>
          </cell>
          <cell r="O11">
            <v>2.8025827723588404E-2</v>
          </cell>
          <cell r="P11">
            <v>2.1147703491573962E-2</v>
          </cell>
          <cell r="Q11">
            <v>1.811258618915303E-2</v>
          </cell>
        </row>
        <row r="12">
          <cell r="B12" t="str">
            <v>ATO</v>
          </cell>
          <cell r="C12" t="str">
            <v>Atmos Energy</v>
          </cell>
          <cell r="D12">
            <v>12</v>
          </cell>
          <cell r="E12">
            <v>12</v>
          </cell>
          <cell r="G12">
            <v>2.389588222743759E-2</v>
          </cell>
          <cell r="H12">
            <v>2.8846687253832357E-2</v>
          </cell>
          <cell r="I12">
            <v>3.1070896227405369E-2</v>
          </cell>
          <cell r="J12">
            <v>3.527959075674722E-2</v>
          </cell>
          <cell r="K12">
            <v>4.1253138825780224E-2</v>
          </cell>
          <cell r="L12">
            <v>4.1920966648172124E-2</v>
          </cell>
          <cell r="M12">
            <v>4.6963165457540396E-2</v>
          </cell>
          <cell r="N12">
            <v>5.3441295546558708E-2</v>
          </cell>
          <cell r="O12">
            <v>4.7848651036107331E-2</v>
          </cell>
          <cell r="P12">
            <v>4.1585445094217022E-2</v>
          </cell>
          <cell r="Q12">
            <v>4.6583850931677023E-2</v>
          </cell>
        </row>
        <row r="13">
          <cell r="B13" t="str">
            <v>AGR</v>
          </cell>
          <cell r="C13" t="str">
            <v>Avangrid, Inc.</v>
          </cell>
          <cell r="D13">
            <v>13</v>
          </cell>
          <cell r="E13">
            <v>13</v>
          </cell>
          <cell r="G13">
            <v>4.2587800369685763E-2</v>
          </cell>
          <cell r="H13">
            <v>0</v>
          </cell>
          <cell r="I13" t="str">
            <v>N/A</v>
          </cell>
          <cell r="J13" t="str">
            <v>N/A</v>
          </cell>
          <cell r="K13" t="str">
            <v>N/A</v>
          </cell>
          <cell r="L13" t="str">
            <v>N/A</v>
          </cell>
          <cell r="M13" t="str">
            <v>N/A</v>
          </cell>
          <cell r="N13" t="str">
            <v>N/A</v>
          </cell>
          <cell r="O13" t="str">
            <v>N/A</v>
          </cell>
          <cell r="P13" t="str">
            <v>N/A</v>
          </cell>
          <cell r="Q13" t="str">
            <v>N/A</v>
          </cell>
        </row>
        <row r="14">
          <cell r="B14" t="str">
            <v>AVA</v>
          </cell>
          <cell r="C14" t="str">
            <v xml:space="preserve">Avista Corp.                  </v>
          </cell>
          <cell r="D14">
            <v>14</v>
          </cell>
          <cell r="E14">
            <v>14</v>
          </cell>
          <cell r="G14">
            <v>3.3903338365215675E-2</v>
          </cell>
          <cell r="H14">
            <v>3.9675383228133451E-2</v>
          </cell>
          <cell r="I14">
            <v>3.9938362841598796E-2</v>
          </cell>
          <cell r="J14">
            <v>4.5061682795301761E-2</v>
          </cell>
          <cell r="K14">
            <v>4.5540201005025122E-2</v>
          </cell>
          <cell r="L14">
            <v>4.5428264640290747E-2</v>
          </cell>
          <cell r="M14">
            <v>4.7573739295908662E-2</v>
          </cell>
          <cell r="N14">
            <v>4.4907689748849594E-2</v>
          </cell>
          <cell r="O14">
            <v>3.388665160593262E-2</v>
          </cell>
          <cell r="P14">
            <v>2.6765632028789923E-2</v>
          </cell>
          <cell r="Q14">
            <v>2.5194483734087694E-2</v>
          </cell>
        </row>
        <row r="15">
          <cell r="B15" t="str">
            <v>BKH</v>
          </cell>
          <cell r="C15" t="str">
            <v xml:space="preserve">Black Hills                   </v>
          </cell>
          <cell r="D15">
            <v>15</v>
          </cell>
          <cell r="E15">
            <v>15</v>
          </cell>
          <cell r="G15">
            <v>2.8659649601664988E-2</v>
          </cell>
          <cell r="H15">
            <v>3.5473416834544982E-2</v>
          </cell>
          <cell r="I15">
            <v>2.8366215110464589E-2</v>
          </cell>
          <cell r="J15">
            <v>3.1932773109243695E-2</v>
          </cell>
          <cell r="K15">
            <v>4.3853151204480127E-2</v>
          </cell>
          <cell r="L15">
            <v>4.6437659033078879E-2</v>
          </cell>
          <cell r="M15">
            <v>4.7936085219707054E-2</v>
          </cell>
          <cell r="N15">
            <v>6.1664061142956403E-2</v>
          </cell>
          <cell r="O15">
            <v>4.2115396185548402E-2</v>
          </cell>
          <cell r="P15">
            <v>3.4027967511984301E-2</v>
          </cell>
          <cell r="Q15">
            <v>3.7880961946851865E-2</v>
          </cell>
        </row>
        <row r="16">
          <cell r="B16" t="str">
            <v>CWT</v>
          </cell>
          <cell r="C16" t="str">
            <v>California Water</v>
          </cell>
          <cell r="D16">
            <v>16</v>
          </cell>
          <cell r="E16">
            <v>16</v>
          </cell>
          <cell r="G16">
            <v>2.3041474654377878E-2</v>
          </cell>
          <cell r="H16">
            <v>2.8771417529093488E-2</v>
          </cell>
          <cell r="I16">
            <v>2.7739842949812226E-2</v>
          </cell>
          <cell r="J16">
            <v>3.1176929072486363E-2</v>
          </cell>
          <cell r="K16">
            <v>3.4547049791620967E-2</v>
          </cell>
          <cell r="L16">
            <v>3.3610230626297956E-2</v>
          </cell>
          <cell r="M16">
            <v>3.2395056351064405E-2</v>
          </cell>
          <cell r="N16">
            <v>3.0738772533083256E-2</v>
          </cell>
          <cell r="O16">
            <v>3.1153477473639366E-2</v>
          </cell>
          <cell r="P16">
            <v>2.9678145627590441E-2</v>
          </cell>
          <cell r="Q16">
            <v>2.9351710056151094E-2</v>
          </cell>
        </row>
        <row r="17">
          <cell r="B17" t="str">
            <v>CNP</v>
          </cell>
          <cell r="C17" t="str">
            <v xml:space="preserve">CenterPoint Energy            </v>
          </cell>
          <cell r="D17">
            <v>17</v>
          </cell>
          <cell r="E17">
            <v>17</v>
          </cell>
          <cell r="G17">
            <v>4.701049748973072E-2</v>
          </cell>
          <cell r="H17">
            <v>5.0649749309321604E-2</v>
          </cell>
          <cell r="I17">
            <v>3.94469127600382E-2</v>
          </cell>
          <cell r="J17">
            <v>3.5705067538501251E-2</v>
          </cell>
          <cell r="K17">
            <v>4.0413111809609346E-2</v>
          </cell>
          <cell r="L17">
            <v>4.267963263101026E-2</v>
          </cell>
          <cell r="M17">
            <v>5.2895700528957007E-2</v>
          </cell>
          <cell r="N17">
            <v>6.3731656184486368E-2</v>
          </cell>
          <cell r="O17">
            <v>4.9815749965879626E-2</v>
          </cell>
          <cell r="P17">
            <v>3.8742023701002735E-2</v>
          </cell>
          <cell r="Q17">
            <v>4.3949604453559922E-2</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row>
        <row r="19">
          <cell r="B19" t="str">
            <v>CPK</v>
          </cell>
          <cell r="C19" t="str">
            <v>Chesapeake Utilities</v>
          </cell>
          <cell r="D19">
            <v>18</v>
          </cell>
          <cell r="E19">
            <v>18</v>
          </cell>
          <cell r="G19">
            <v>1.9108791649939783E-2</v>
          </cell>
          <cell r="H19">
            <v>2.1828529107953774E-2</v>
          </cell>
          <cell r="I19">
            <v>2.4403631955721244E-2</v>
          </cell>
          <cell r="J19">
            <v>2.8692007024301816E-2</v>
          </cell>
          <cell r="K19">
            <v>3.2528038491512215E-2</v>
          </cell>
          <cell r="L19">
            <v>3.3594211458948614E-2</v>
          </cell>
          <cell r="M19">
            <v>3.9138062890818302E-2</v>
          </cell>
          <cell r="N19">
            <v>4.0927627376799482E-2</v>
          </cell>
          <cell r="O19">
            <v>4.0960308598111866E-2</v>
          </cell>
          <cell r="P19">
            <v>3.6221492343988526E-2</v>
          </cell>
          <cell r="Q19">
            <v>3.7601328254712373E-2</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row>
        <row r="21">
          <cell r="B21" t="str">
            <v>CMS</v>
          </cell>
          <cell r="C21" t="str">
            <v xml:space="preserve">CMS Energy Corp.              </v>
          </cell>
          <cell r="D21">
            <v>19</v>
          </cell>
          <cell r="E21">
            <v>19</v>
          </cell>
          <cell r="G21">
            <v>2.9903296597294234E-2</v>
          </cell>
          <cell r="H21">
            <v>3.3555105582875326E-2</v>
          </cell>
          <cell r="I21">
            <v>3.5880398671096346E-2</v>
          </cell>
          <cell r="J21">
            <v>3.7643932683790966E-2</v>
          </cell>
          <cell r="K21">
            <v>4.1637751561415678E-2</v>
          </cell>
          <cell r="L21">
            <v>4.2548880559213853E-2</v>
          </cell>
          <cell r="M21">
            <v>3.9838232631134181E-2</v>
          </cell>
          <cell r="N21">
            <v>3.9660506068057433E-2</v>
          </cell>
          <cell r="O21">
            <v>2.6936026936026935E-2</v>
          </cell>
          <cell r="P21">
            <v>1.1644154634373547E-2</v>
          </cell>
          <cell r="Q21">
            <v>0</v>
          </cell>
        </row>
        <row r="22">
          <cell r="B22" t="str">
            <v>CTWS</v>
          </cell>
          <cell r="C22" t="str">
            <v>Conn. Water Services</v>
          </cell>
          <cell r="D22">
            <v>20</v>
          </cell>
          <cell r="E22">
            <v>20</v>
          </cell>
          <cell r="G22">
            <v>2.312472900708195E-2</v>
          </cell>
          <cell r="H22">
            <v>2.9282985191176062E-2</v>
          </cell>
          <cell r="I22">
            <v>3.0022888736957881E-2</v>
          </cell>
          <cell r="J22">
            <v>3.2142740004591816E-2</v>
          </cell>
          <cell r="K22">
            <v>3.2367915303954956E-2</v>
          </cell>
          <cell r="L22">
            <v>3.6174716182412928E-2</v>
          </cell>
          <cell r="M22">
            <v>3.939030655934235E-2</v>
          </cell>
          <cell r="N22">
            <v>4.1092137704319243E-2</v>
          </cell>
          <cell r="O22">
            <v>3.5763634885800206E-2</v>
          </cell>
          <cell r="P22">
            <v>3.6023353070266238E-2</v>
          </cell>
          <cell r="Q22">
            <v>3.6427932342039109E-2</v>
          </cell>
        </row>
        <row r="23">
          <cell r="B23" t="str">
            <v>ED</v>
          </cell>
          <cell r="C23" t="str">
            <v xml:space="preserve">Consol. Edison                </v>
          </cell>
          <cell r="D23">
            <v>21</v>
          </cell>
          <cell r="E23">
            <v>21</v>
          </cell>
          <cell r="G23">
            <v>3.6177594189986374E-2</v>
          </cell>
          <cell r="H23">
            <v>4.1181594994852307E-2</v>
          </cell>
          <cell r="I23">
            <v>4.3778121362680888E-2</v>
          </cell>
          <cell r="J23">
            <v>4.2515684139575884E-2</v>
          </cell>
          <cell r="K23">
            <v>4.0736625930040737E-2</v>
          </cell>
          <cell r="L23">
            <v>4.4593916646537467E-2</v>
          </cell>
          <cell r="M23">
            <v>5.1581023384842113E-2</v>
          </cell>
          <cell r="N23">
            <v>5.990912090980631E-2</v>
          </cell>
          <cell r="O23">
            <v>5.6687419753385489E-2</v>
          </cell>
          <cell r="P23">
            <v>4.8370619018827006E-2</v>
          </cell>
          <cell r="Q23">
            <v>5.0350262697022766E-2</v>
          </cell>
        </row>
        <row r="24">
          <cell r="B24" t="str">
            <v>CWCO</v>
          </cell>
          <cell r="C24" t="str">
            <v>Consolidated Water</v>
          </cell>
          <cell r="D24">
            <v>22</v>
          </cell>
          <cell r="E24">
            <v>22</v>
          </cell>
          <cell r="G24">
            <v>2.4797487187964949E-2</v>
          </cell>
          <cell r="H24">
            <v>2.5922405599239608E-2</v>
          </cell>
          <cell r="I24">
            <v>2.52503997979968E-2</v>
          </cell>
          <cell r="J24">
            <v>2.5833118057349523E-2</v>
          </cell>
          <cell r="K24">
            <v>3.7759597230962866E-2</v>
          </cell>
          <cell r="L24">
            <v>3.1897926634768738E-2</v>
          </cell>
          <cell r="M24">
            <v>2.596728122565567E-2</v>
          </cell>
          <cell r="N24">
            <v>1.9882127387630479E-2</v>
          </cell>
          <cell r="O24">
            <v>1.7200317544323895E-2</v>
          </cell>
          <cell r="P24">
            <v>6.9747478360397746E-3</v>
          </cell>
          <cell r="Q24">
            <v>9.4491909130280712E-3</v>
          </cell>
        </row>
        <row r="25">
          <cell r="B25" t="str">
            <v>D</v>
          </cell>
          <cell r="C25" t="str">
            <v xml:space="preserve">Dominion Resources            </v>
          </cell>
          <cell r="D25">
            <v>24</v>
          </cell>
          <cell r="E25">
            <v>24</v>
          </cell>
          <cell r="G25">
            <v>3.8168979525068834E-2</v>
          </cell>
          <cell r="H25">
            <v>3.656281321908042E-2</v>
          </cell>
          <cell r="I25">
            <v>3.4253418205691777E-2</v>
          </cell>
          <cell r="J25">
            <v>3.7836747048733729E-2</v>
          </cell>
          <cell r="K25">
            <v>4.0570681433625591E-2</v>
          </cell>
          <cell r="L25">
            <v>4.132924936013091E-2</v>
          </cell>
          <cell r="M25">
            <v>4.413147804278101E-2</v>
          </cell>
          <cell r="N25">
            <v>5.2022949552602629E-2</v>
          </cell>
          <cell r="O25">
            <v>3.7717832418238242E-2</v>
          </cell>
          <cell r="P25">
            <v>3.3232422097284497E-2</v>
          </cell>
          <cell r="Q25">
            <v>3.5990924027853838E-2</v>
          </cell>
        </row>
        <row r="26">
          <cell r="B26" t="str">
            <v>DTE</v>
          </cell>
          <cell r="C26" t="str">
            <v xml:space="preserve">DTE Energy                    </v>
          </cell>
          <cell r="D26">
            <v>25</v>
          </cell>
          <cell r="E26">
            <v>25</v>
          </cell>
          <cell r="G26">
            <v>3.3403925507062858E-2</v>
          </cell>
          <cell r="H26">
            <v>3.5313281026571997E-2</v>
          </cell>
          <cell r="I26">
            <v>3.5370070871628995E-2</v>
          </cell>
          <cell r="J26">
            <v>3.8449547958017243E-2</v>
          </cell>
          <cell r="K26">
            <v>4.1889529348635129E-2</v>
          </cell>
          <cell r="L26">
            <v>4.6794005526533407E-2</v>
          </cell>
          <cell r="M26">
            <v>4.7521471857697173E-2</v>
          </cell>
          <cell r="N26">
            <v>6.2855787476280831E-2</v>
          </cell>
          <cell r="O26">
            <v>5.2431122322797653E-2</v>
          </cell>
          <cell r="P26">
            <v>4.3634866728414122E-2</v>
          </cell>
          <cell r="Q26">
            <v>4.8586882712435907E-2</v>
          </cell>
        </row>
        <row r="27">
          <cell r="B27" t="str">
            <v>DUK</v>
          </cell>
          <cell r="C27" t="str">
            <v xml:space="preserve">Duke Energy                   </v>
          </cell>
          <cell r="D27">
            <v>26</v>
          </cell>
          <cell r="E27">
            <v>26</v>
          </cell>
          <cell r="G27">
            <v>4.2616338799893454E-2</v>
          </cell>
          <cell r="H27">
            <v>4.3376978070527754E-2</v>
          </cell>
          <cell r="I27">
            <v>4.2579650982035443E-2</v>
          </cell>
          <cell r="J27">
            <v>4.4494362607456039E-2</v>
          </cell>
          <cell r="K27">
            <v>4.6766476308072229E-2</v>
          </cell>
          <cell r="L27">
            <v>5.2124466908861161E-2</v>
          </cell>
          <cell r="M27">
            <v>5.7066656207714783E-2</v>
          </cell>
          <cell r="N27">
            <v>6.2468156746339404E-2</v>
          </cell>
          <cell r="O27">
            <v>5.155918803826838E-2</v>
          </cell>
          <cell r="P27">
            <v>4.4432963058641181E-2</v>
          </cell>
          <cell r="Q27" t="str">
            <v>N/A</v>
          </cell>
        </row>
        <row r="28">
          <cell r="B28" t="str">
            <v>EIX</v>
          </cell>
          <cell r="C28" t="str">
            <v xml:space="preserve">Edison Int'l                  </v>
          </cell>
          <cell r="D28">
            <v>27</v>
          </cell>
          <cell r="E28">
            <v>27</v>
          </cell>
          <cell r="G28">
            <v>2.8086227409211944E-2</v>
          </cell>
          <cell r="H28">
            <v>2.8279103162429427E-2</v>
          </cell>
          <cell r="I28">
            <v>2.6245000530917072E-2</v>
          </cell>
          <cell r="J28">
            <v>2.8497625197900178E-2</v>
          </cell>
          <cell r="K28">
            <v>2.9729423751839693E-2</v>
          </cell>
          <cell r="L28">
            <v>3.3692545688140743E-2</v>
          </cell>
          <cell r="M28">
            <v>3.6593479707252158E-2</v>
          </cell>
          <cell r="N28">
            <v>3.9540127671737549E-2</v>
          </cell>
          <cell r="O28">
            <v>2.6937877954920288E-2</v>
          </cell>
          <cell r="P28">
            <v>2.2080655466606532E-2</v>
          </cell>
          <cell r="Q28">
            <v>2.5822202399117353E-2</v>
          </cell>
        </row>
        <row r="29">
          <cell r="B29" t="str">
            <v>EE</v>
          </cell>
          <cell r="C29" t="str">
            <v xml:space="preserve">El Paso Electric              </v>
          </cell>
          <cell r="D29">
            <v>28</v>
          </cell>
          <cell r="E29">
            <v>28</v>
          </cell>
          <cell r="G29">
            <v>2.7472527472527472E-2</v>
          </cell>
          <cell r="H29">
            <v>3.1311312387453973E-2</v>
          </cell>
          <cell r="I29">
            <v>2.9712288249529446E-2</v>
          </cell>
          <cell r="J29">
            <v>2.9914407580225E-2</v>
          </cell>
          <cell r="K29">
            <v>2.9654539896056251E-2</v>
          </cell>
          <cell r="L29">
            <v>2.1129466000768343E-2</v>
          </cell>
          <cell r="M29">
            <v>0</v>
          </cell>
          <cell r="N29">
            <v>0</v>
          </cell>
          <cell r="O29">
            <v>0</v>
          </cell>
          <cell r="P29">
            <v>0</v>
          </cell>
          <cell r="Q29">
            <v>0</v>
          </cell>
        </row>
        <row r="30">
          <cell r="B30" t="str">
            <v>EDE</v>
          </cell>
          <cell r="C30" t="str">
            <v>Empire District Electric</v>
          </cell>
          <cell r="D30" t="e">
            <v>#N/A</v>
          </cell>
          <cell r="E30">
            <v>29</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row>
        <row r="31">
          <cell r="B31" t="str">
            <v>ETR</v>
          </cell>
          <cell r="C31" t="str">
            <v xml:space="preserve">Entergy Corp.                 </v>
          </cell>
          <cell r="D31">
            <v>29</v>
          </cell>
          <cell r="E31">
            <v>30</v>
          </cell>
          <cell r="G31">
            <v>4.5513221457753883E-2</v>
          </cell>
          <cell r="H31">
            <v>4.5882272134075142E-2</v>
          </cell>
          <cell r="I31">
            <v>4.4653665097511772E-2</v>
          </cell>
          <cell r="J31">
            <v>5.0656087885260902E-2</v>
          </cell>
          <cell r="K31">
            <v>4.91356855316126E-2</v>
          </cell>
          <cell r="L31">
            <v>4.8525951152491337E-2</v>
          </cell>
          <cell r="M31">
            <v>4.2045159615883732E-2</v>
          </cell>
          <cell r="N31">
            <v>3.9745101416250449E-2</v>
          </cell>
          <cell r="O31">
            <v>2.9225808337148926E-2</v>
          </cell>
          <cell r="P31">
            <v>2.3867893982145335E-2</v>
          </cell>
          <cell r="Q31">
            <v>2.8227545379699692E-2</v>
          </cell>
        </row>
        <row r="32">
          <cell r="B32" t="str">
            <v>ES</v>
          </cell>
          <cell r="C32" t="str">
            <v xml:space="preserve">Eversource Energy    </v>
          </cell>
          <cell r="D32">
            <v>30</v>
          </cell>
          <cell r="E32">
            <v>31</v>
          </cell>
          <cell r="G32">
            <v>3.2172357077014838E-2</v>
          </cell>
          <cell r="H32">
            <v>3.3411359862353197E-2</v>
          </cell>
          <cell r="I32">
            <v>3.3958427962710619E-2</v>
          </cell>
          <cell r="J32">
            <v>3.4848161581679825E-2</v>
          </cell>
          <cell r="K32">
            <v>3.5175611575973993E-2</v>
          </cell>
          <cell r="L32">
            <v>3.2279836840097428E-2</v>
          </cell>
          <cell r="M32">
            <v>3.6361701372875942E-2</v>
          </cell>
          <cell r="N32">
            <v>4.1586412187007524E-2</v>
          </cell>
          <cell r="O32">
            <v>3.2464977176137257E-2</v>
          </cell>
          <cell r="P32">
            <v>2.6001476212843051E-2</v>
          </cell>
          <cell r="Q32">
            <v>3.2667958365250299E-2</v>
          </cell>
        </row>
        <row r="33">
          <cell r="B33" t="str">
            <v>EXC</v>
          </cell>
          <cell r="C33" t="str">
            <v xml:space="preserve">Exelon Corp.                  </v>
          </cell>
          <cell r="D33">
            <v>31</v>
          </cell>
          <cell r="E33">
            <v>32</v>
          </cell>
          <cell r="G33">
            <v>3.7471004579789455E-2</v>
          </cell>
          <cell r="H33">
            <v>3.8819146604889956E-2</v>
          </cell>
          <cell r="I33">
            <v>3.6863071526250075E-2</v>
          </cell>
          <cell r="J33">
            <v>4.689010634869481E-2</v>
          </cell>
          <cell r="K33">
            <v>5.7330057330057325E-2</v>
          </cell>
          <cell r="L33">
            <v>4.9551675318546484E-2</v>
          </cell>
          <cell r="M33">
            <v>4.946646880079146E-2</v>
          </cell>
          <cell r="N33">
            <v>4.261017774531288E-2</v>
          </cell>
          <cell r="O33">
            <v>2.7820752924571826E-2</v>
          </cell>
          <cell r="P33">
            <v>2.4784159925919876E-2</v>
          </cell>
          <cell r="Q33">
            <v>2.8349178910976661E-2</v>
          </cell>
        </row>
        <row r="34">
          <cell r="B34" t="str">
            <v>FE</v>
          </cell>
          <cell r="C34" t="str">
            <v xml:space="preserve">FirstEnergy Corp.             </v>
          </cell>
          <cell r="D34">
            <v>32</v>
          </cell>
          <cell r="E34">
            <v>33</v>
          </cell>
          <cell r="G34">
            <v>4.3089260600257341E-2</v>
          </cell>
          <cell r="H34">
            <v>4.2296959906006751E-2</v>
          </cell>
          <cell r="I34">
            <v>4.2577097069867835E-2</v>
          </cell>
          <cell r="J34">
            <v>4.2556484060662335E-2</v>
          </cell>
          <cell r="K34">
            <v>4.8962877236713255E-2</v>
          </cell>
          <cell r="L34">
            <v>5.2263980614814465E-2</v>
          </cell>
          <cell r="M34">
            <v>5.7621791513881616E-2</v>
          </cell>
          <cell r="N34">
            <v>5.0878815911193344E-2</v>
          </cell>
          <cell r="O34">
            <v>3.2108351090224467E-2</v>
          </cell>
          <cell r="P34">
            <v>3.1165909056357081E-2</v>
          </cell>
          <cell r="Q34">
            <v>3.4036133495234946E-2</v>
          </cell>
        </row>
        <row r="35">
          <cell r="B35" t="str">
            <v>FTS.TO</v>
          </cell>
          <cell r="C35" t="str">
            <v>Fortis Inc.</v>
          </cell>
          <cell r="D35">
            <v>33</v>
          </cell>
          <cell r="E35">
            <v>34</v>
          </cell>
          <cell r="G35">
            <v>3.7963212422542802E-2</v>
          </cell>
          <cell r="H35">
            <v>3.7646439383967355E-2</v>
          </cell>
          <cell r="I35">
            <v>3.8788602118454425E-2</v>
          </cell>
          <cell r="J35">
            <v>3.8401277994531656E-2</v>
          </cell>
          <cell r="K35">
            <v>3.6443587735678573E-2</v>
          </cell>
          <cell r="L35">
            <v>3.5780910731215025E-2</v>
          </cell>
          <cell r="M35">
            <v>3.7955808594279522E-2</v>
          </cell>
          <cell r="N35">
            <v>4.2088223391339538E-2</v>
          </cell>
          <cell r="O35">
            <v>3.7632183042938319E-2</v>
          </cell>
          <cell r="P35">
            <v>3.0133764515654856E-2</v>
          </cell>
          <cell r="Q35">
            <v>2.7878333957475139E-2</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row>
        <row r="37">
          <cell r="B37" t="str">
            <v>GXP</v>
          </cell>
          <cell r="C37" t="str">
            <v xml:space="preserve">Great Plains Energy             </v>
          </cell>
          <cell r="D37">
            <v>35</v>
          </cell>
          <cell r="E37">
            <v>36</v>
          </cell>
          <cell r="G37">
            <v>3.6443400462882997E-2</v>
          </cell>
          <cell r="H37">
            <v>3.7616373299159477E-2</v>
          </cell>
          <cell r="I37">
            <v>3.6159022352850186E-2</v>
          </cell>
          <cell r="J37">
            <v>3.8377860934644507E-2</v>
          </cell>
          <cell r="K37">
            <v>4.0770587954794713E-2</v>
          </cell>
          <cell r="L37">
            <v>4.1478317023496102E-2</v>
          </cell>
          <cell r="M37">
            <v>4.4852742502026477E-2</v>
          </cell>
          <cell r="N37">
            <v>5.0260385127770375E-2</v>
          </cell>
          <cell r="O37">
            <v>6.9648401443316271E-2</v>
          </cell>
          <cell r="P37">
            <v>5.4888734583209337E-2</v>
          </cell>
          <cell r="Q37">
            <v>5.5997841047092163E-2</v>
          </cell>
        </row>
        <row r="38">
          <cell r="B38" t="str">
            <v>HE</v>
          </cell>
          <cell r="C38" t="str">
            <v xml:space="preserve">Hawaiian Elec.                </v>
          </cell>
          <cell r="D38">
            <v>36</v>
          </cell>
          <cell r="E38">
            <v>37</v>
          </cell>
          <cell r="G38">
            <v>3.9943306274964563E-2</v>
          </cell>
          <cell r="H38">
            <v>4.0517579401385444E-2</v>
          </cell>
          <cell r="I38">
            <v>4.7609905932040696E-2</v>
          </cell>
          <cell r="J38">
            <v>4.7211117456691411E-2</v>
          </cell>
          <cell r="K38">
            <v>4.6955468039987881E-2</v>
          </cell>
          <cell r="L38">
            <v>5.0388069405502049E-2</v>
          </cell>
          <cell r="M38">
            <v>5.513316437686186E-2</v>
          </cell>
          <cell r="N38">
            <v>6.886975840044432E-2</v>
          </cell>
          <cell r="O38">
            <v>5.0036316681462349E-2</v>
          </cell>
          <cell r="P38">
            <v>5.1781016411241491E-2</v>
          </cell>
          <cell r="Q38">
            <v>4.5861380279606477E-2</v>
          </cell>
        </row>
        <row r="39">
          <cell r="B39" t="str">
            <v>IDA</v>
          </cell>
          <cell r="C39" t="str">
            <v xml:space="preserve">IDACORP, Inc.                 </v>
          </cell>
          <cell r="D39">
            <v>37</v>
          </cell>
          <cell r="E39">
            <v>38</v>
          </cell>
          <cell r="G39">
            <v>2.7697142400596553E-2</v>
          </cell>
          <cell r="H39">
            <v>3.0590784526161492E-2</v>
          </cell>
          <cell r="I39">
            <v>3.117306363910094E-2</v>
          </cell>
          <cell r="J39">
            <v>3.206895847376269E-2</v>
          </cell>
          <cell r="K39">
            <v>3.275944524151124E-2</v>
          </cell>
          <cell r="L39">
            <v>3.0961349914856284E-2</v>
          </cell>
          <cell r="M39">
            <v>3.4393809114359415E-2</v>
          </cell>
          <cell r="N39">
            <v>4.4574867204041455E-2</v>
          </cell>
          <cell r="O39">
            <v>3.9529597786342525E-2</v>
          </cell>
          <cell r="P39">
            <v>3.5460992907801414E-2</v>
          </cell>
          <cell r="Q39">
            <v>3.3884904275145421E-2</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row>
        <row r="43">
          <cell r="B43" t="str">
            <v>MGEE</v>
          </cell>
          <cell r="C43" t="str">
            <v xml:space="preserve">MGE Energy                    </v>
          </cell>
          <cell r="D43">
            <v>38</v>
          </cell>
          <cell r="E43">
            <v>39</v>
          </cell>
          <cell r="G43">
            <v>2.2287714127832012E-2</v>
          </cell>
          <cell r="H43">
            <v>2.7767803710353083E-2</v>
          </cell>
          <cell r="I43">
            <v>2.7831406865080361E-2</v>
          </cell>
          <cell r="J43">
            <v>2.9114854017577758E-2</v>
          </cell>
          <cell r="K43">
            <v>3.2450310462104906E-2</v>
          </cell>
          <cell r="L43">
            <v>3.6302919314876655E-2</v>
          </cell>
          <cell r="M43">
            <v>3.9772499699603475E-2</v>
          </cell>
          <cell r="N43">
            <v>4.363228699551569E-2</v>
          </cell>
          <cell r="O43">
            <v>4.2360864941510097E-2</v>
          </cell>
          <cell r="P43">
            <v>4.1398749229278602E-2</v>
          </cell>
          <cell r="Q43">
            <v>4.2519034950921936E-2</v>
          </cell>
        </row>
        <row r="44">
          <cell r="B44" t="str">
            <v>MSEX</v>
          </cell>
          <cell r="C44" t="str">
            <v>Middlesex Water</v>
          </cell>
          <cell r="D44">
            <v>39</v>
          </cell>
          <cell r="E44">
            <v>40</v>
          </cell>
          <cell r="G44">
            <v>2.283130827917491E-2</v>
          </cell>
          <cell r="H44">
            <v>3.3284721626490522E-2</v>
          </cell>
          <cell r="I44">
            <v>3.652465294399234E-2</v>
          </cell>
          <cell r="J44">
            <v>3.7102734663710273E-2</v>
          </cell>
          <cell r="K44">
            <v>3.9635122159394007E-2</v>
          </cell>
          <cell r="L44">
            <v>4.0164383561643834E-2</v>
          </cell>
          <cell r="M44">
            <v>4.2288120722933843E-2</v>
          </cell>
          <cell r="N44">
            <v>4.711868887126619E-2</v>
          </cell>
          <cell r="O44">
            <v>3.9895579138527891E-2</v>
          </cell>
          <cell r="P44">
            <v>3.6897029070386535E-2</v>
          </cell>
          <cell r="Q44">
            <v>3.6663266949379998E-2</v>
          </cell>
        </row>
        <row r="45">
          <cell r="B45" t="str">
            <v>NJR</v>
          </cell>
          <cell r="C45" t="str">
            <v>New Jersey Resources</v>
          </cell>
          <cell r="D45">
            <v>40</v>
          </cell>
          <cell r="E45">
            <v>41</v>
          </cell>
          <cell r="G45">
            <v>2.8644082658638527E-2</v>
          </cell>
          <cell r="H45">
            <v>3.1449731155523991E-2</v>
          </cell>
          <cell r="I45">
            <v>3.50366758185469E-2</v>
          </cell>
          <cell r="J45">
            <v>3.7127011046431686E-2</v>
          </cell>
          <cell r="K45">
            <v>3.3767486734201636E-2</v>
          </cell>
          <cell r="L45">
            <v>3.3311742389192191E-2</v>
          </cell>
          <cell r="M45">
            <v>3.689636462289745E-2</v>
          </cell>
          <cell r="N45">
            <v>3.461753210496929E-2</v>
          </cell>
          <cell r="O45">
            <v>3.3494266747133378E-2</v>
          </cell>
          <cell r="P45">
            <v>3.0192949023344448E-2</v>
          </cell>
          <cell r="Q45">
            <v>3.1904287138584245E-2</v>
          </cell>
        </row>
        <row r="46">
          <cell r="B46" t="str">
            <v>NEE</v>
          </cell>
          <cell r="C46" t="str">
            <v>NextEra Energy, Inc.</v>
          </cell>
          <cell r="D46">
            <v>41</v>
          </cell>
          <cell r="E46">
            <v>42</v>
          </cell>
          <cell r="G46">
            <v>2.9069767441860465E-2</v>
          </cell>
          <cell r="H46">
            <v>3.0084000781402619E-2</v>
          </cell>
          <cell r="I46">
            <v>3.0012936610608019E-2</v>
          </cell>
          <cell r="J46">
            <v>3.2983920338834821E-2</v>
          </cell>
          <cell r="K46">
            <v>3.6464743151465431E-2</v>
          </cell>
          <cell r="L46">
            <v>3.9566922053163561E-2</v>
          </cell>
          <cell r="M46">
            <v>3.8965846435599201E-2</v>
          </cell>
          <cell r="N46">
            <v>3.548629365377394E-2</v>
          </cell>
          <cell r="O46">
            <v>3.0198666508321599E-2</v>
          </cell>
          <cell r="P46">
            <v>2.6540223002605473E-2</v>
          </cell>
          <cell r="Q46">
            <v>3.4015919450302738E-2</v>
          </cell>
        </row>
        <row r="47">
          <cell r="B47" t="str">
            <v>NI</v>
          </cell>
          <cell r="C47" t="str">
            <v xml:space="preserve">NiSource Inc.                 </v>
          </cell>
          <cell r="D47">
            <v>42</v>
          </cell>
          <cell r="E47">
            <v>43</v>
          </cell>
          <cell r="G47">
            <v>2.7606435750334297E-2</v>
          </cell>
          <cell r="H47">
            <v>3.5283115116476783E-2</v>
          </cell>
          <cell r="I47">
            <v>2.6856947260328078E-2</v>
          </cell>
          <cell r="J47">
            <v>3.304670375990558E-2</v>
          </cell>
          <cell r="K47">
            <v>3.8395555918634097E-2</v>
          </cell>
          <cell r="L47">
            <v>4.525109438788058E-2</v>
          </cell>
          <cell r="M47">
            <v>5.6625838616359947E-2</v>
          </cell>
          <cell r="N47">
            <v>7.6405614151648538E-2</v>
          </cell>
          <cell r="O47">
            <v>5.6906043174367538E-2</v>
          </cell>
          <cell r="P47">
            <v>4.2890442890442894E-2</v>
          </cell>
          <cell r="Q47">
            <v>4.2120684918963466E-2</v>
          </cell>
        </row>
        <row r="48">
          <cell r="B48" t="str">
            <v>NWN</v>
          </cell>
          <cell r="C48" t="str">
            <v>Northwest Nat. Gas</v>
          </cell>
          <cell r="D48">
            <v>43</v>
          </cell>
          <cell r="E48">
            <v>44</v>
          </cell>
          <cell r="G48">
            <v>3.2763333099726684E-2</v>
          </cell>
          <cell r="H48">
            <v>4.0055129640795939E-2</v>
          </cell>
          <cell r="I48">
            <v>4.1395359244590632E-2</v>
          </cell>
          <cell r="J48">
            <v>4.2156185210780933E-2</v>
          </cell>
          <cell r="K48">
            <v>3.8256855243753871E-2</v>
          </cell>
          <cell r="L48">
            <v>3.8500462005544064E-2</v>
          </cell>
          <cell r="M48">
            <v>3.6260036260036259E-2</v>
          </cell>
          <cell r="N48">
            <v>3.7261294829995344E-2</v>
          </cell>
          <cell r="O48">
            <v>3.2721245129485717E-2</v>
          </cell>
          <cell r="P48">
            <v>3.1170180527295553E-2</v>
          </cell>
          <cell r="Q48">
            <v>3.7317439862542955E-2</v>
          </cell>
        </row>
        <row r="49">
          <cell r="B49" t="str">
            <v>NWE</v>
          </cell>
          <cell r="C49" t="str">
            <v xml:space="preserve">NorthWestern Corp             </v>
          </cell>
          <cell r="D49">
            <v>44</v>
          </cell>
          <cell r="E49">
            <v>45</v>
          </cell>
          <cell r="G49">
            <v>3.4328281354593981E-2</v>
          </cell>
          <cell r="H49">
            <v>3.605701515521418E-2</v>
          </cell>
          <cell r="I49">
            <v>3.2959789057350038E-2</v>
          </cell>
          <cell r="J49">
            <v>3.6648583484026519E-2</v>
          </cell>
          <cell r="K49">
            <v>4.1665493651642689E-2</v>
          </cell>
          <cell r="L49">
            <v>4.5091592296852979E-2</v>
          </cell>
          <cell r="M49">
            <v>4.9282504710827658E-2</v>
          </cell>
          <cell r="N49">
            <v>5.749345690136011E-2</v>
          </cell>
          <cell r="O49">
            <v>5.3783156093387123E-2</v>
          </cell>
          <cell r="P49">
            <v>4.0897181928557735E-2</v>
          </cell>
          <cell r="Q49">
            <v>3.6472733690217071E-2</v>
          </cell>
        </row>
        <row r="50">
          <cell r="B50" t="str">
            <v>OGE</v>
          </cell>
          <cell r="C50" t="str">
            <v xml:space="preserve">OGE Energy                    </v>
          </cell>
          <cell r="D50">
            <v>45</v>
          </cell>
          <cell r="E50">
            <v>46</v>
          </cell>
          <cell r="G50">
            <v>3.8654618473895584E-2</v>
          </cell>
          <cell r="H50">
            <v>3.5122930255895635E-2</v>
          </cell>
          <cell r="I50">
            <v>2.6267765304429577E-2</v>
          </cell>
          <cell r="J50">
            <v>2.4793147651788836E-2</v>
          </cell>
          <cell r="K50">
            <v>2.9415017140329538E-2</v>
          </cell>
          <cell r="L50">
            <v>3.0627068033249941E-2</v>
          </cell>
          <cell r="M50">
            <v>3.6776527331189711E-2</v>
          </cell>
          <cell r="N50">
            <v>4.9552363106391835E-2</v>
          </cell>
          <cell r="O50">
            <v>4.52485758674262E-2</v>
          </cell>
          <cell r="P50">
            <v>3.768387416671258E-2</v>
          </cell>
          <cell r="Q50">
            <v>3.9935530085959889E-2</v>
          </cell>
        </row>
        <row r="51">
          <cell r="B51" t="str">
            <v>OGS</v>
          </cell>
          <cell r="C51" t="str">
            <v>ONE Gas Inc.</v>
          </cell>
          <cell r="D51">
            <v>46</v>
          </cell>
          <cell r="E51">
            <v>47</v>
          </cell>
          <cell r="G51">
            <v>2.3233815158404832E-2</v>
          </cell>
          <cell r="H51">
            <v>2.7069704489059328E-2</v>
          </cell>
          <cell r="I51">
            <v>2.2762993875670694E-2</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47</v>
          </cell>
          <cell r="E52">
            <v>48</v>
          </cell>
          <cell r="G52">
            <v>3.8688910210777187E-2</v>
          </cell>
          <cell r="H52">
            <v>4.3325114476928495E-2</v>
          </cell>
          <cell r="I52">
            <v>4.1439775334771736E-2</v>
          </cell>
          <cell r="J52">
            <v>4.1128084606345469E-2</v>
          </cell>
          <cell r="K52">
            <v>5.2108420545605813E-2</v>
          </cell>
          <cell r="L52">
            <v>5.569335891795759E-2</v>
          </cell>
          <cell r="M52">
            <v>5.6837178201270475E-2</v>
          </cell>
          <cell r="N52">
            <v>5.3790173122994167E-2</v>
          </cell>
          <cell r="O52">
            <v>3.6323677543420523E-2</v>
          </cell>
          <cell r="P52">
            <v>3.4559149313247675E-2</v>
          </cell>
          <cell r="Q52">
            <v>3.9223711586343322E-2</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row>
        <row r="54">
          <cell r="B54" t="str">
            <v>PCG</v>
          </cell>
          <cell r="C54" t="str">
            <v xml:space="preserve">PG&amp;E Corp.                    </v>
          </cell>
          <cell r="D54">
            <v>48</v>
          </cell>
          <cell r="E54">
            <v>49</v>
          </cell>
          <cell r="G54">
            <v>3.2197096407305816E-2</v>
          </cell>
          <cell r="H54">
            <v>3.4471655586491658E-2</v>
          </cell>
          <cell r="I54">
            <v>3.964364285869873E-2</v>
          </cell>
          <cell r="J54">
            <v>4.2023597866494268E-2</v>
          </cell>
          <cell r="K54">
            <v>4.2470772174643547E-2</v>
          </cell>
          <cell r="L54">
            <v>4.2352174621273823E-2</v>
          </cell>
          <cell r="M54">
            <v>4.0839223605968811E-2</v>
          </cell>
          <cell r="N54">
            <v>4.2619041578934015E-2</v>
          </cell>
          <cell r="O54">
            <v>4.009149083806636E-2</v>
          </cell>
          <cell r="P54">
            <v>3.0745580322828592E-2</v>
          </cell>
          <cell r="Q54">
            <v>3.2223415682062301E-2</v>
          </cell>
        </row>
        <row r="55">
          <cell r="B55" t="str">
            <v>PNW</v>
          </cell>
          <cell r="C55" t="str">
            <v xml:space="preserve">Pinnacle West Capital         </v>
          </cell>
          <cell r="D55">
            <v>49</v>
          </cell>
          <cell r="E55">
            <v>50</v>
          </cell>
          <cell r="G55">
            <v>3.4578240021611403E-2</v>
          </cell>
          <cell r="H55">
            <v>3.8816417435571113E-2</v>
          </cell>
          <cell r="I55">
            <v>4.088127725418484E-2</v>
          </cell>
          <cell r="J55">
            <v>3.9817465998568363E-2</v>
          </cell>
          <cell r="K55">
            <v>5.3176658036247756E-2</v>
          </cell>
          <cell r="L55">
            <v>4.8092337287592185E-2</v>
          </cell>
          <cell r="M55">
            <v>5.4264968087030678E-2</v>
          </cell>
          <cell r="N55">
            <v>6.7619783616692422E-2</v>
          </cell>
          <cell r="O55">
            <v>6.1655901350557839E-2</v>
          </cell>
          <cell r="P55">
            <v>4.7515612272603862E-2</v>
          </cell>
          <cell r="Q55">
            <v>4.6660061291734826E-2</v>
          </cell>
        </row>
        <row r="56">
          <cell r="B56" t="str">
            <v>PNM</v>
          </cell>
          <cell r="C56" t="str">
            <v xml:space="preserve">PNM Resources                 </v>
          </cell>
          <cell r="D56">
            <v>50</v>
          </cell>
          <cell r="E56">
            <v>51</v>
          </cell>
          <cell r="G56">
            <v>2.6893221685716031E-2</v>
          </cell>
          <cell r="H56">
            <v>2.8955083426834123E-2</v>
          </cell>
          <cell r="I56">
            <v>2.7880354505169867E-2</v>
          </cell>
          <cell r="J56">
            <v>2.9896680589140471E-2</v>
          </cell>
          <cell r="K56">
            <v>2.9573730369161739E-2</v>
          </cell>
          <cell r="L56">
            <v>3.1857279388340237E-2</v>
          </cell>
          <cell r="M56">
            <v>4.0919878877158526E-2</v>
          </cell>
          <cell r="N56">
            <v>4.7646274061368399E-2</v>
          </cell>
          <cell r="O56">
            <v>4.8520330419440212E-2</v>
          </cell>
          <cell r="P56">
            <v>3.3588011663529323E-2</v>
          </cell>
          <cell r="Q56">
            <v>3.2106324199208537E-2</v>
          </cell>
        </row>
        <row r="57">
          <cell r="B57" t="str">
            <v>POR</v>
          </cell>
          <cell r="C57" t="str">
            <v xml:space="preserve">Portland General              </v>
          </cell>
          <cell r="D57">
            <v>51</v>
          </cell>
          <cell r="E57">
            <v>52</v>
          </cell>
          <cell r="G57">
            <v>3.0608526660998423E-2</v>
          </cell>
          <cell r="H57">
            <v>3.2653513019896503E-2</v>
          </cell>
          <cell r="I57">
            <v>3.3390231485640701E-2</v>
          </cell>
          <cell r="J57">
            <v>3.6650266090972987E-2</v>
          </cell>
          <cell r="K57">
            <v>4.1124713083397088E-2</v>
          </cell>
          <cell r="L57">
            <v>4.3737821815015961E-2</v>
          </cell>
          <cell r="M57">
            <v>5.1957831325301199E-2</v>
          </cell>
          <cell r="N57">
            <v>5.3561011825847167E-2</v>
          </cell>
          <cell r="O57">
            <v>4.282371639221226E-2</v>
          </cell>
          <cell r="P57">
            <v>3.3424381828637148E-2</v>
          </cell>
          <cell r="Q57">
            <v>2.5357827115969799E-2</v>
          </cell>
        </row>
        <row r="58">
          <cell r="B58" t="str">
            <v>PPL</v>
          </cell>
          <cell r="C58" t="str">
            <v xml:space="preserve">PPL Corp.                     </v>
          </cell>
          <cell r="D58">
            <v>52</v>
          </cell>
          <cell r="E58">
            <v>53</v>
          </cell>
          <cell r="G58">
            <v>4.2465217634240382E-2</v>
          </cell>
          <cell r="H58">
            <v>4.5483489493313926E-2</v>
          </cell>
          <cell r="I58">
            <v>4.4474956719001847E-2</v>
          </cell>
          <cell r="J58">
            <v>4.8089505365087673E-2</v>
          </cell>
          <cell r="K58">
            <v>5.070244005492764E-2</v>
          </cell>
          <cell r="L58">
            <v>5.1009254536180132E-2</v>
          </cell>
          <cell r="M58">
            <v>5.124638529960833E-2</v>
          </cell>
          <cell r="N58">
            <v>4.5146726862302478E-2</v>
          </cell>
          <cell r="O58">
            <v>3.100846947748415E-2</v>
          </cell>
          <cell r="P58">
            <v>2.6872246696035242E-2</v>
          </cell>
          <cell r="Q58">
            <v>3.4067329431075599E-2</v>
          </cell>
        </row>
        <row r="59">
          <cell r="B59" t="str">
            <v>PEG</v>
          </cell>
          <cell r="C59" t="str">
            <v xml:space="preserve">Public Serv. Enterprise       </v>
          </cell>
          <cell r="D59">
            <v>53</v>
          </cell>
          <cell r="E59">
            <v>54</v>
          </cell>
          <cell r="G59">
            <v>3.7759307439044043E-2</v>
          </cell>
          <cell r="H59">
            <v>3.80859375E-2</v>
          </cell>
          <cell r="I59">
            <v>3.9241681028768391E-2</v>
          </cell>
          <cell r="J59">
            <v>4.3537414965986392E-2</v>
          </cell>
          <cell r="K59">
            <v>4.5508444700830049E-2</v>
          </cell>
          <cell r="L59">
            <v>4.2379435147090673E-2</v>
          </cell>
          <cell r="M59">
            <v>4.3038451872329735E-2</v>
          </cell>
          <cell r="N59">
            <v>4.301423027166882E-2</v>
          </cell>
          <cell r="O59">
            <v>3.259798347358047E-2</v>
          </cell>
          <cell r="P59">
            <v>2.7307099845959949E-2</v>
          </cell>
          <cell r="Q59">
            <v>3.4696859021183343E-2</v>
          </cell>
        </row>
        <row r="60">
          <cell r="B60" t="str">
            <v>SCG</v>
          </cell>
          <cell r="C60" t="str">
            <v xml:space="preserve">SCANA Corp.                   </v>
          </cell>
          <cell r="D60">
            <v>55</v>
          </cell>
          <cell r="E60">
            <v>56</v>
          </cell>
          <cell r="G60">
            <v>3.2917805670449829E-2</v>
          </cell>
          <cell r="H60">
            <v>3.901565995525727E-2</v>
          </cell>
          <cell r="I60">
            <v>4.0513948373654358E-2</v>
          </cell>
          <cell r="J60">
            <v>4.1508199402936242E-2</v>
          </cell>
          <cell r="K60">
            <v>4.2473775661239464E-2</v>
          </cell>
          <cell r="L60">
            <v>4.7780897492734349E-2</v>
          </cell>
          <cell r="M60">
            <v>4.9295591936278957E-2</v>
          </cell>
          <cell r="N60">
            <v>5.6737588652482268E-2</v>
          </cell>
          <cell r="O60">
            <v>4.9238673767026148E-2</v>
          </cell>
          <cell r="P60">
            <v>4.2946731412117807E-2</v>
          </cell>
          <cell r="Q60">
            <v>4.2066254350602197E-2</v>
          </cell>
        </row>
        <row r="61">
          <cell r="B61" t="str">
            <v>SRE</v>
          </cell>
          <cell r="C61" t="str">
            <v xml:space="preserve">Sempra Energy                 </v>
          </cell>
          <cell r="D61">
            <v>56</v>
          </cell>
          <cell r="E61">
            <v>57</v>
          </cell>
          <cell r="G61">
            <v>2.9223921037352427E-2</v>
          </cell>
          <cell r="H61">
            <v>2.7140724657348351E-2</v>
          </cell>
          <cell r="I61">
            <v>2.6070211820471041E-2</v>
          </cell>
          <cell r="J61">
            <v>3.0337687353277555E-2</v>
          </cell>
          <cell r="K61">
            <v>3.7058196809906886E-2</v>
          </cell>
          <cell r="L61">
            <v>3.6490801277178041E-2</v>
          </cell>
          <cell r="M61">
            <v>3.0810554589982622E-2</v>
          </cell>
          <cell r="N61">
            <v>3.2345684131953809E-2</v>
          </cell>
          <cell r="O61">
            <v>2.6209060299969392E-2</v>
          </cell>
          <cell r="P61">
            <v>2.078131022809164E-2</v>
          </cell>
          <cell r="Q61">
            <v>2.4666995559940796E-2</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row>
        <row r="63">
          <cell r="B63" t="str">
            <v>SJW</v>
          </cell>
          <cell r="C63" t="str">
            <v>SJW Corp.</v>
          </cell>
          <cell r="D63">
            <v>57</v>
          </cell>
          <cell r="E63">
            <v>58</v>
          </cell>
          <cell r="G63">
            <v>2.0105741306128529E-2</v>
          </cell>
          <cell r="H63">
            <v>2.5334545926984541E-2</v>
          </cell>
          <cell r="I63">
            <v>2.6391723555492998E-2</v>
          </cell>
          <cell r="J63">
            <v>2.678112847604373E-2</v>
          </cell>
          <cell r="K63">
            <v>2.9543941411451398E-2</v>
          </cell>
          <cell r="L63">
            <v>2.9357954303705906E-2</v>
          </cell>
          <cell r="M63">
            <v>2.7797081306462822E-2</v>
          </cell>
          <cell r="N63">
            <v>2.8423772609819126E-2</v>
          </cell>
          <cell r="O63">
            <v>2.2677730117431967E-2</v>
          </cell>
          <cell r="P63">
            <v>1.7403060637441028E-2</v>
          </cell>
          <cell r="Q63">
            <v>2.0196604110813223E-2</v>
          </cell>
        </row>
        <row r="64">
          <cell r="B64" t="str">
            <v>SJI</v>
          </cell>
          <cell r="C64" t="str">
            <v>South Jersey Inds.</v>
          </cell>
          <cell r="D64">
            <v>58</v>
          </cell>
          <cell r="E64">
            <v>59</v>
          </cell>
          <cell r="G64">
            <v>3.6429872495446269E-2</v>
          </cell>
          <cell r="H64">
            <v>3.9464520622146559E-2</v>
          </cell>
          <cell r="I64">
            <v>3.4014810615455478E-2</v>
          </cell>
          <cell r="J64">
            <v>3.1426775612822123E-2</v>
          </cell>
          <cell r="K64">
            <v>3.215622076707203E-2</v>
          </cell>
          <cell r="L64">
            <v>2.8083576724331611E-2</v>
          </cell>
          <cell r="M64">
            <v>2.996914940502424E-2</v>
          </cell>
          <cell r="N64">
            <v>3.4275439680845086E-2</v>
          </cell>
          <cell r="O64">
            <v>3.0759851465942473E-2</v>
          </cell>
          <cell r="P64">
            <v>2.8127436782889606E-2</v>
          </cell>
          <cell r="Q64">
            <v>3.1539252656839219E-2</v>
          </cell>
        </row>
        <row r="65">
          <cell r="B65" t="str">
            <v>SO</v>
          </cell>
          <cell r="C65" t="str">
            <v xml:space="preserve">Southern Co.                  </v>
          </cell>
          <cell r="D65">
            <v>59</v>
          </cell>
          <cell r="E65">
            <v>60</v>
          </cell>
          <cell r="G65">
            <v>4.4233524355300854E-2</v>
          </cell>
          <cell r="H65">
            <v>4.7833814707842703E-2</v>
          </cell>
          <cell r="I65">
            <v>4.6870077854281988E-2</v>
          </cell>
          <cell r="J65">
            <v>4.606196512745412E-2</v>
          </cell>
          <cell r="K65">
            <v>4.2888045205721349E-2</v>
          </cell>
          <cell r="L65">
            <v>4.6349913387775304E-2</v>
          </cell>
          <cell r="M65">
            <v>5.128423926956225E-2</v>
          </cell>
          <cell r="N65">
            <v>5.5247385870951293E-2</v>
          </cell>
          <cell r="O65">
            <v>4.5830347792537064E-2</v>
          </cell>
          <cell r="P65">
            <v>4.3854825405554028E-2</v>
          </cell>
          <cell r="Q65">
            <v>4.515237086716084E-2</v>
          </cell>
        </row>
        <row r="66">
          <cell r="B66" t="str">
            <v>SWX</v>
          </cell>
          <cell r="C66" t="str">
            <v>Southwest Gas</v>
          </cell>
          <cell r="D66">
            <v>60</v>
          </cell>
          <cell r="E66">
            <v>61</v>
          </cell>
          <cell r="G66">
            <v>2.6153667325351623E-2</v>
          </cell>
          <cell r="H66">
            <v>2.866495620631691E-2</v>
          </cell>
          <cell r="I66">
            <v>2.7158243270894174E-2</v>
          </cell>
          <cell r="J66">
            <v>2.6936026936026935E-2</v>
          </cell>
          <cell r="K66">
            <v>2.750134010767474E-2</v>
          </cell>
          <cell r="L66">
            <v>2.7806196059914481E-2</v>
          </cell>
          <cell r="M66">
            <v>3.1535793125197095E-2</v>
          </cell>
          <cell r="N66">
            <v>4.0141975830305078E-2</v>
          </cell>
          <cell r="O66">
            <v>3.1944345850784414E-2</v>
          </cell>
          <cell r="P66">
            <v>2.5551131974567709E-2</v>
          </cell>
          <cell r="Q66">
            <v>2.5985549499302825E-2</v>
          </cell>
        </row>
        <row r="67">
          <cell r="B67" t="str">
            <v>SR</v>
          </cell>
          <cell r="C67" t="str">
            <v>Spire Inc.</v>
          </cell>
          <cell r="D67">
            <v>61</v>
          </cell>
          <cell r="E67">
            <v>62</v>
          </cell>
          <cell r="G67">
            <v>3.0841856805664831E-2</v>
          </cell>
          <cell r="H67">
            <v>3.5318054435870862E-2</v>
          </cell>
          <cell r="I67">
            <v>3.7829124126813544E-2</v>
          </cell>
          <cell r="J67">
            <v>3.9597503028044344E-2</v>
          </cell>
          <cell r="K67">
            <v>4.1146143168748754E-2</v>
          </cell>
          <cell r="L67">
            <v>4.3148500522606062E-2</v>
          </cell>
          <cell r="M67">
            <v>4.702710798262693E-2</v>
          </cell>
          <cell r="N67">
            <v>3.9134438305709028E-2</v>
          </cell>
          <cell r="O67">
            <v>3.9430507039271728E-2</v>
          </cell>
          <cell r="P67">
            <v>4.425183874019592E-2</v>
          </cell>
          <cell r="Q67">
            <v>4.3436443175824513E-2</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row>
        <row r="69">
          <cell r="B69" t="str">
            <v>UGI</v>
          </cell>
          <cell r="C69" t="str">
            <v>UGI Corp.</v>
          </cell>
          <cell r="D69">
            <v>63</v>
          </cell>
          <cell r="E69">
            <v>64</v>
          </cell>
          <cell r="G69">
            <v>2.3471216212805696E-2</v>
          </cell>
          <cell r="H69">
            <v>2.499648925712681E-2</v>
          </cell>
          <cell r="I69">
            <v>2.6066038357608911E-2</v>
          </cell>
          <cell r="J69">
            <v>3.0095981779729948E-2</v>
          </cell>
          <cell r="K69">
            <v>3.6801832283587528E-2</v>
          </cell>
          <cell r="L69">
            <v>3.2956913681965787E-2</v>
          </cell>
          <cell r="M69">
            <v>3.4804803062822666E-2</v>
          </cell>
          <cell r="N69">
            <v>3.2295912066197363E-2</v>
          </cell>
          <cell r="O69">
            <v>2.8496969010254378E-2</v>
          </cell>
          <cell r="P69">
            <v>2.6916620033575821E-2</v>
          </cell>
          <cell r="Q69">
            <v>2.9618539252701474E-2</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row>
        <row r="72">
          <cell r="B72" t="str">
            <v>UTL</v>
          </cell>
          <cell r="C72" t="str">
            <v xml:space="preserve">UNITIL Corp.                  </v>
          </cell>
          <cell r="D72">
            <v>64</v>
          </cell>
          <cell r="E72">
            <v>65</v>
          </cell>
          <cell r="G72">
            <v>3.4915170887632158E-2</v>
          </cell>
          <cell r="H72">
            <v>3.9974872937011019E-2</v>
          </cell>
          <cell r="I72">
            <v>4.2070410983870481E-2</v>
          </cell>
          <cell r="J72">
            <v>4.7525570823432173E-2</v>
          </cell>
          <cell r="K72">
            <v>5.1646706586826345E-2</v>
          </cell>
          <cell r="L72">
            <v>5.4811931524804382E-2</v>
          </cell>
          <cell r="M72">
            <v>6.2466051059206953E-2</v>
          </cell>
          <cell r="N72">
            <v>6.5968736555284666E-2</v>
          </cell>
          <cell r="O72">
            <v>5.2875589103030765E-2</v>
          </cell>
          <cell r="P72">
            <v>4.9407468404281972E-2</v>
          </cell>
          <cell r="Q72">
            <v>5.5551082843571367E-2</v>
          </cell>
        </row>
        <row r="73">
          <cell r="B73" t="str">
            <v>VVC</v>
          </cell>
          <cell r="C73" t="str">
            <v xml:space="preserve">Vectren Corp.                 </v>
          </cell>
          <cell r="D73">
            <v>65</v>
          </cell>
          <cell r="E73">
            <v>66</v>
          </cell>
          <cell r="G73">
            <v>3.3126124652380171E-2</v>
          </cell>
          <cell r="H73">
            <v>3.5952747817154594E-2</v>
          </cell>
          <cell r="I73">
            <v>3.616994921342747E-2</v>
          </cell>
          <cell r="J73">
            <v>4.1541556132116728E-2</v>
          </cell>
          <cell r="K73">
            <v>4.8223785824609573E-2</v>
          </cell>
          <cell r="L73">
            <v>5.058621571277256E-2</v>
          </cell>
          <cell r="M73">
            <v>5.5313307493540055E-2</v>
          </cell>
          <cell r="N73">
            <v>5.8507410938718904E-2</v>
          </cell>
          <cell r="O73">
            <v>4.7871368536451679E-2</v>
          </cell>
          <cell r="P73">
            <v>4.5258543886532908E-2</v>
          </cell>
          <cell r="Q73">
            <v>4.5152527440255497E-2</v>
          </cell>
        </row>
        <row r="74">
          <cell r="B74" t="str">
            <v>WEC</v>
          </cell>
          <cell r="C74" t="str">
            <v>WEC Energy Group</v>
          </cell>
          <cell r="D74">
            <v>66</v>
          </cell>
          <cell r="E74">
            <v>67</v>
          </cell>
          <cell r="G74">
            <v>3.3535449341146981E-2</v>
          </cell>
          <cell r="H74">
            <v>3.4855071012199278E-2</v>
          </cell>
          <cell r="I74">
            <v>3.4009897752294578E-2</v>
          </cell>
          <cell r="J74">
            <v>3.4881475401921498E-2</v>
          </cell>
          <cell r="K74">
            <v>3.2407907529437181E-2</v>
          </cell>
          <cell r="L74">
            <v>3.3481424248277637E-2</v>
          </cell>
          <cell r="M74">
            <v>2.9739776951672865E-2</v>
          </cell>
          <cell r="N74">
            <v>3.1610002809778028E-2</v>
          </cell>
          <cell r="O74">
            <v>2.4129764511372269E-2</v>
          </cell>
          <cell r="P74">
            <v>2.1376656690893545E-2</v>
          </cell>
          <cell r="Q74">
            <v>2.1825773391535398E-2</v>
          </cell>
        </row>
        <row r="75">
          <cell r="B75" t="str">
            <v>WR</v>
          </cell>
          <cell r="C75" t="str">
            <v xml:space="preserve">Westar Energy                 </v>
          </cell>
          <cell r="D75">
            <v>67</v>
          </cell>
          <cell r="E75">
            <v>68</v>
          </cell>
          <cell r="G75">
            <v>2.8977770999351813E-2</v>
          </cell>
          <cell r="H75">
            <v>3.7335684098628426E-2</v>
          </cell>
          <cell r="I75">
            <v>3.8790834280014404E-2</v>
          </cell>
          <cell r="J75">
            <v>4.2681395932714035E-2</v>
          </cell>
          <cell r="K75">
            <v>4.5715868947842353E-2</v>
          </cell>
          <cell r="L75">
            <v>4.8387706498317772E-2</v>
          </cell>
          <cell r="M75">
            <v>5.3168681931223739E-2</v>
          </cell>
          <cell r="N75">
            <v>6.2722140915743255E-2</v>
          </cell>
          <cell r="O75">
            <v>5.220287115791368E-2</v>
          </cell>
          <cell r="P75">
            <v>4.1618497109826597E-2</v>
          </cell>
          <cell r="Q75">
            <v>4.2807845192853709E-2</v>
          </cell>
        </row>
        <row r="76">
          <cell r="B76" t="str">
            <v>WGL</v>
          </cell>
          <cell r="C76" t="str">
            <v>WGL Holdings Inc.</v>
          </cell>
          <cell r="D76">
            <v>68</v>
          </cell>
          <cell r="E76">
            <v>69</v>
          </cell>
          <cell r="G76">
            <v>2.9439580219042676E-2</v>
          </cell>
          <cell r="H76">
            <v>3.4080116207609361E-2</v>
          </cell>
          <cell r="I76">
            <v>4.2359315355251816E-2</v>
          </cell>
          <cell r="J76">
            <v>3.9387827737572663E-2</v>
          </cell>
          <cell r="K76">
            <v>3.8857254576113789E-2</v>
          </cell>
          <cell r="L76">
            <v>4.0588666596836701E-2</v>
          </cell>
          <cell r="M76">
            <v>4.3729228616407205E-2</v>
          </cell>
          <cell r="N76">
            <v>4.6171241912180409E-2</v>
          </cell>
          <cell r="O76">
            <v>4.2240422404224043E-2</v>
          </cell>
          <cell r="P76">
            <v>4.1855758616460195E-2</v>
          </cell>
          <cell r="Q76">
            <v>4.4845292077887434E-2</v>
          </cell>
        </row>
        <row r="77">
          <cell r="B77" t="str">
            <v>XEL</v>
          </cell>
          <cell r="C77" t="str">
            <v xml:space="preserve">Xcel Energy Inc.              </v>
          </cell>
          <cell r="D77">
            <v>69</v>
          </cell>
          <cell r="E77">
            <v>70</v>
          </cell>
          <cell r="G77">
            <v>3.3309657351392394E-2</v>
          </cell>
          <cell r="H77">
            <v>3.6856805551556335E-2</v>
          </cell>
          <cell r="I77">
            <v>3.8284839203675342E-2</v>
          </cell>
          <cell r="J77">
            <v>3.8642297650130553E-2</v>
          </cell>
          <cell r="K77">
            <v>3.9022611232676876E-2</v>
          </cell>
          <cell r="L77">
            <v>4.2045964812017798E-2</v>
          </cell>
          <cell r="M77">
            <v>4.5369992287101313E-2</v>
          </cell>
          <cell r="N77">
            <v>5.1404345521992578E-2</v>
          </cell>
          <cell r="O77">
            <v>4.7042338104293861E-2</v>
          </cell>
          <cell r="P77">
            <v>4.047682590516858E-2</v>
          </cell>
          <cell r="Q77">
            <v>4.4039635672104893E-2</v>
          </cell>
        </row>
        <row r="78">
          <cell r="B78" t="str">
            <v>YORW</v>
          </cell>
          <cell r="C78" t="str">
            <v>York Water Co. (The)</v>
          </cell>
          <cell r="D78">
            <v>70</v>
          </cell>
          <cell r="E78">
            <v>71</v>
          </cell>
          <cell r="G78" t="str">
            <v>N/A</v>
          </cell>
          <cell r="H78">
            <v>2.629618267081562E-2</v>
          </cell>
          <cell r="I78">
            <v>2.7863023040576744E-2</v>
          </cell>
          <cell r="J78">
            <v>2.8024572269888821E-2</v>
          </cell>
          <cell r="K78">
            <v>3.0624999999999999E-2</v>
          </cell>
          <cell r="L78">
            <v>3.1049313615742653E-2</v>
          </cell>
          <cell r="M78">
            <v>3.5007817279586705E-2</v>
          </cell>
          <cell r="N78">
            <v>3.6155769917827797E-2</v>
          </cell>
          <cell r="O78">
            <v>3.490862364363221E-2</v>
          </cell>
          <cell r="P78">
            <v>2.753623188405797E-2</v>
          </cell>
          <cell r="Q78">
            <v>2.5049657912160673E-2</v>
          </cell>
        </row>
      </sheetData>
      <sheetData sheetId="20">
        <row r="5">
          <cell r="B5" t="str">
            <v>ALE</v>
          </cell>
          <cell r="C5" t="str">
            <v xml:space="preserve">ALLETE                        </v>
          </cell>
          <cell r="D5">
            <v>3</v>
          </cell>
          <cell r="E5">
            <v>3</v>
          </cell>
          <cell r="G5">
            <v>5.4500196515131667E-2</v>
          </cell>
          <cell r="H5">
            <v>5.4490032640069061E-2</v>
          </cell>
          <cell r="I5">
            <v>5.5899381113994805E-2</v>
          </cell>
          <cell r="J5">
            <v>5.8575084009002069E-2</v>
          </cell>
          <cell r="K5">
            <v>6.0363493209107021E-2</v>
          </cell>
          <cell r="L5">
            <v>6.1846356971613219E-2</v>
          </cell>
          <cell r="M5">
            <v>6.4556358434508299E-2</v>
          </cell>
          <cell r="N5">
            <v>6.6651518594258885E-2</v>
          </cell>
          <cell r="O5">
            <v>6.7793937960663755E-2</v>
          </cell>
          <cell r="P5">
            <v>6.8021567814184988E-2</v>
          </cell>
          <cell r="Q5">
            <v>6.6207022510387653E-2</v>
          </cell>
        </row>
        <row r="6">
          <cell r="B6" t="str">
            <v>LNT</v>
          </cell>
          <cell r="C6" t="str">
            <v xml:space="preserve">Alliant Energy                </v>
          </cell>
          <cell r="D6">
            <v>4</v>
          </cell>
          <cell r="E6">
            <v>4</v>
          </cell>
          <cell r="G6">
            <v>6.9563166892648701E-2</v>
          </cell>
          <cell r="H6">
            <v>6.7024128686327081E-2</v>
          </cell>
          <cell r="I6">
            <v>6.5620174987133295E-2</v>
          </cell>
          <cell r="J6">
            <v>6.356075461491649E-2</v>
          </cell>
          <cell r="K6">
            <v>6.3725837286695466E-2</v>
          </cell>
          <cell r="L6">
            <v>6.2638172439204123E-2</v>
          </cell>
          <cell r="M6">
            <v>6.0550318080784857E-2</v>
          </cell>
          <cell r="N6">
            <v>5.9822924144532177E-2</v>
          </cell>
          <cell r="O6">
            <v>5.4764512595837894E-2</v>
          </cell>
          <cell r="P6">
            <v>5.2271978926572274E-2</v>
          </cell>
          <cell r="Q6">
            <v>5.0367904695164674E-2</v>
          </cell>
        </row>
        <row r="7">
          <cell r="B7" t="str">
            <v>AWR</v>
          </cell>
          <cell r="C7" t="str">
            <v>Amer. States Water</v>
          </cell>
          <cell r="D7">
            <v>6</v>
          </cell>
          <cell r="E7">
            <v>6</v>
          </cell>
          <cell r="G7">
            <v>6.7623557265463152E-2</v>
          </cell>
          <cell r="H7">
            <v>6.8468468468468463E-2</v>
          </cell>
          <cell r="I7">
            <v>6.2778575205862358E-2</v>
          </cell>
          <cell r="J7">
            <v>5.9762522607533224E-2</v>
          </cell>
          <cell r="K7">
            <v>5.381812017967625E-2</v>
          </cell>
          <cell r="L7">
            <v>5.073332718383914E-2</v>
          </cell>
          <cell r="M7">
            <v>5.1322542439794713E-2</v>
          </cell>
          <cell r="N7">
            <v>5.2077962256367953E-2</v>
          </cell>
          <cell r="O7">
            <v>5.5716514374860707E-2</v>
          </cell>
          <cell r="P7">
            <v>5.4522641724649254E-2</v>
          </cell>
          <cell r="Q7">
            <v>5.4680927773104196E-2</v>
          </cell>
        </row>
        <row r="8">
          <cell r="B8" t="str">
            <v>AWK</v>
          </cell>
          <cell r="C8" t="str">
            <v>Amer. Water Works</v>
          </cell>
          <cell r="D8">
            <v>7</v>
          </cell>
          <cell r="E8">
            <v>7</v>
          </cell>
          <cell r="G8">
            <v>5.0268440310501657E-2</v>
          </cell>
          <cell r="H8">
            <v>4.707464694014795E-2</v>
          </cell>
          <cell r="I8">
            <v>4.4175094008981057E-2</v>
          </cell>
          <cell r="J8">
            <v>3.1669431458301915E-2</v>
          </cell>
          <cell r="K8">
            <v>4.8197570205138415E-2</v>
          </cell>
          <cell r="L8">
            <v>3.7324264919338115E-2</v>
          </cell>
          <cell r="M8">
            <v>3.6459216550788535E-2</v>
          </cell>
          <cell r="N8">
            <v>3.579223046704496E-2</v>
          </cell>
          <cell r="O8">
            <v>1.5601841017240034E-2</v>
          </cell>
          <cell r="P8">
            <v>0</v>
          </cell>
          <cell r="Q8">
            <v>0</v>
          </cell>
        </row>
        <row r="9">
          <cell r="B9" t="str">
            <v>AEE</v>
          </cell>
          <cell r="C9" t="str">
            <v xml:space="preserve">Ameren Corp.                  </v>
          </cell>
          <cell r="D9">
            <v>8</v>
          </cell>
          <cell r="E9">
            <v>8</v>
          </cell>
          <cell r="G9">
            <v>5.8584409373505501E-2</v>
          </cell>
          <cell r="H9">
            <v>5.7812554581339298E-2</v>
          </cell>
          <cell r="I9">
            <v>5.8192069975060538E-2</v>
          </cell>
          <cell r="J9">
            <v>5.9322976530347411E-2</v>
          </cell>
          <cell r="K9">
            <v>5.8678989254410098E-2</v>
          </cell>
          <cell r="L9">
            <v>4.7638012376692601E-2</v>
          </cell>
          <cell r="M9">
            <v>4.7893018193127038E-2</v>
          </cell>
          <cell r="N9">
            <v>4.6555216300371835E-2</v>
          </cell>
          <cell r="O9">
            <v>7.7443746569912791E-2</v>
          </cell>
          <cell r="P9">
            <v>7.8358784513342591E-2</v>
          </cell>
          <cell r="Q9">
            <v>7.9713783580215913E-2</v>
          </cell>
        </row>
        <row r="10">
          <cell r="B10" t="str">
            <v>AEP</v>
          </cell>
          <cell r="C10" t="str">
            <v>American Electric Power</v>
          </cell>
          <cell r="D10">
            <v>5</v>
          </cell>
          <cell r="E10">
            <v>5</v>
          </cell>
          <cell r="G10">
            <v>6.4160542679479932E-2</v>
          </cell>
          <cell r="H10">
            <v>5.9009194455880327E-2</v>
          </cell>
          <cell r="I10">
            <v>5.9066573556797008E-2</v>
          </cell>
          <cell r="J10">
            <v>5.9133915574963614E-2</v>
          </cell>
          <cell r="K10">
            <v>5.9924138590507756E-2</v>
          </cell>
          <cell r="L10">
            <v>6.0987670600646145E-2</v>
          </cell>
          <cell r="M10">
            <v>6.0355781448538752E-2</v>
          </cell>
          <cell r="N10">
            <v>5.9666739430983044E-2</v>
          </cell>
          <cell r="O10">
            <v>6.2279269357839971E-2</v>
          </cell>
          <cell r="P10">
            <v>6.2770648762464742E-2</v>
          </cell>
          <cell r="Q10">
            <v>6.3219117461120244E-2</v>
          </cell>
        </row>
        <row r="11">
          <cell r="B11" t="str">
            <v>WTR</v>
          </cell>
          <cell r="C11" t="str">
            <v>Aqua America</v>
          </cell>
          <cell r="D11">
            <v>10</v>
          </cell>
          <cell r="E11">
            <v>10</v>
          </cell>
          <cell r="G11">
            <v>7.0955988110077667E-2</v>
          </cell>
          <cell r="H11">
            <v>7.0581014729950903E-2</v>
          </cell>
          <cell r="I11">
            <v>6.7968497141007653E-2</v>
          </cell>
          <cell r="J11">
            <v>6.7230787063869243E-2</v>
          </cell>
          <cell r="K11">
            <v>6.7856690720344351E-2</v>
          </cell>
          <cell r="L11">
            <v>6.9922308546059936E-2</v>
          </cell>
          <cell r="M11">
            <v>6.9320017623733285E-2</v>
          </cell>
          <cell r="N11">
            <v>6.7692307692307691E-2</v>
          </cell>
          <cell r="O11">
            <v>6.5227817745803357E-2</v>
          </cell>
          <cell r="P11">
            <v>6.5584970111016216E-2</v>
          </cell>
          <cell r="Q11">
            <v>6.3173007896625985E-2</v>
          </cell>
        </row>
        <row r="12">
          <cell r="B12" t="str">
            <v>ATO</v>
          </cell>
          <cell r="C12" t="str">
            <v>Atmos Energy</v>
          </cell>
          <cell r="D12">
            <v>12</v>
          </cell>
          <cell r="E12">
            <v>12</v>
          </cell>
          <cell r="G12">
            <v>5.0418654902313856E-2</v>
          </cell>
          <cell r="H12">
            <v>4.955212502382314E-2</v>
          </cell>
          <cell r="I12">
            <v>4.8141040236801873E-2</v>
          </cell>
          <cell r="J12">
            <v>4.9176297024834024E-2</v>
          </cell>
          <cell r="K12">
            <v>5.2784577723378211E-2</v>
          </cell>
          <cell r="L12">
            <v>5.4447914164464727E-2</v>
          </cell>
          <cell r="M12">
            <v>5.5463576158940403E-2</v>
          </cell>
          <cell r="N12">
            <v>5.6124835239593523E-2</v>
          </cell>
          <cell r="O12">
            <v>5.7519578779700015E-2</v>
          </cell>
          <cell r="P12">
            <v>5.8165954739616471E-2</v>
          </cell>
          <cell r="Q12">
            <v>6.2490700788573127E-2</v>
          </cell>
        </row>
        <row r="13">
          <cell r="B13" t="str">
            <v>AGR</v>
          </cell>
          <cell r="C13" t="str">
            <v>Avangrid, Inc.</v>
          </cell>
          <cell r="D13">
            <v>13</v>
          </cell>
          <cell r="E13">
            <v>13</v>
          </cell>
          <cell r="G13">
            <v>3.5338868665385083E-2</v>
          </cell>
          <cell r="H13">
            <v>0</v>
          </cell>
          <cell r="I13" t="str">
            <v>N/A</v>
          </cell>
          <cell r="J13" t="str">
            <v>N/A</v>
          </cell>
          <cell r="K13" t="str">
            <v>N/A</v>
          </cell>
          <cell r="L13" t="str">
            <v>N/A</v>
          </cell>
          <cell r="M13" t="str">
            <v>N/A</v>
          </cell>
          <cell r="N13" t="str">
            <v>N/A</v>
          </cell>
          <cell r="O13" t="str">
            <v>N/A</v>
          </cell>
          <cell r="P13" t="str">
            <v>N/A</v>
          </cell>
          <cell r="Q13" t="str">
            <v>N/A</v>
          </cell>
        </row>
        <row r="14">
          <cell r="B14" t="str">
            <v>AVA</v>
          </cell>
          <cell r="C14" t="str">
            <v xml:space="preserve">Avista Corp.                  </v>
          </cell>
          <cell r="D14">
            <v>14</v>
          </cell>
          <cell r="E14">
            <v>14</v>
          </cell>
          <cell r="G14">
            <v>5.3336447870435261E-2</v>
          </cell>
          <cell r="H14">
            <v>5.3807272134355127E-2</v>
          </cell>
          <cell r="I14">
            <v>5.3278516591853002E-2</v>
          </cell>
          <cell r="J14">
            <v>5.6455344747801943E-2</v>
          </cell>
          <cell r="K14">
            <v>5.5088569121907204E-2</v>
          </cell>
          <cell r="L14">
            <v>5.4200542005420051E-2</v>
          </cell>
          <cell r="M14">
            <v>5.0738241412552641E-2</v>
          </cell>
          <cell r="N14">
            <v>4.2251317093526683E-2</v>
          </cell>
          <cell r="O14">
            <v>3.7713161346742456E-2</v>
          </cell>
          <cell r="P14">
            <v>3.4444830380919299E-2</v>
          </cell>
          <cell r="Q14">
            <v>3.2647917979265709E-2</v>
          </cell>
        </row>
        <row r="15">
          <cell r="B15" t="str">
            <v>BKH</v>
          </cell>
          <cell r="C15" t="str">
            <v xml:space="preserve">Black Hills                   </v>
          </cell>
          <cell r="D15">
            <v>15</v>
          </cell>
          <cell r="E15">
            <v>15</v>
          </cell>
          <cell r="G15">
            <v>5.5542698449432999E-2</v>
          </cell>
          <cell r="H15">
            <v>5.6574122577265587E-2</v>
          </cell>
          <cell r="I15">
            <v>5.0644417751517706E-2</v>
          </cell>
          <cell r="J15">
            <v>5.1721791207295489E-2</v>
          </cell>
          <cell r="K15">
            <v>5.3082744521358631E-2</v>
          </cell>
          <cell r="L15">
            <v>5.3029202382681967E-2</v>
          </cell>
          <cell r="M15">
            <v>5.1393697134087583E-2</v>
          </cell>
          <cell r="N15">
            <v>5.1007579295233307E-2</v>
          </cell>
          <cell r="O15">
            <v>5.1487624581663047E-2</v>
          </cell>
          <cell r="P15">
            <v>5.3390491036632896E-2</v>
          </cell>
          <cell r="Q15">
            <v>5.5752660922453123E-2</v>
          </cell>
        </row>
        <row r="16">
          <cell r="B16" t="str">
            <v>CWT</v>
          </cell>
          <cell r="C16" t="str">
            <v>California Water</v>
          </cell>
          <cell r="D16">
            <v>16</v>
          </cell>
          <cell r="E16">
            <v>16</v>
          </cell>
          <cell r="G16">
            <v>5.0185468034038831E-2</v>
          </cell>
          <cell r="H16">
            <v>4.9951539551181694E-2</v>
          </cell>
          <cell r="I16">
            <v>4.9588037839487335E-2</v>
          </cell>
          <cell r="J16">
            <v>5.1028544091851383E-2</v>
          </cell>
          <cell r="K16">
            <v>5.5831265508684863E-2</v>
          </cell>
          <cell r="L16">
            <v>5.7172073998326675E-2</v>
          </cell>
          <cell r="M16">
            <v>5.692145795465417E-2</v>
          </cell>
          <cell r="N16">
            <v>5.8254344391785146E-2</v>
          </cell>
          <cell r="O16">
            <v>6.0172803949804565E-2</v>
          </cell>
          <cell r="P16">
            <v>6.271626297577855E-2</v>
          </cell>
          <cell r="Q16">
            <v>6.3374848451449348E-2</v>
          </cell>
        </row>
        <row r="17">
          <cell r="B17" t="str">
            <v>CNP</v>
          </cell>
          <cell r="C17" t="str">
            <v xml:space="preserve">CenterPoint Energy            </v>
          </cell>
          <cell r="D17">
            <v>17</v>
          </cell>
          <cell r="E17">
            <v>17</v>
          </cell>
          <cell r="G17">
            <v>0.12820512820512819</v>
          </cell>
          <cell r="H17">
            <v>0.12299664554603057</v>
          </cell>
          <cell r="I17">
            <v>8.9614187340816887E-2</v>
          </cell>
          <cell r="J17">
            <v>8.2251511247646417E-2</v>
          </cell>
          <cell r="K17">
            <v>8.050089445438284E-2</v>
          </cell>
          <cell r="L17">
            <v>7.9717457114026238E-2</v>
          </cell>
          <cell r="M17">
            <v>0.10358565737051793</v>
          </cell>
          <cell r="N17">
            <v>0.11282660332541568</v>
          </cell>
          <cell r="O17">
            <v>0.12402310567448181</v>
          </cell>
          <cell r="P17">
            <v>0.12123373150294171</v>
          </cell>
          <cell r="Q17">
            <v>0.12094335819391251</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row>
        <row r="19">
          <cell r="B19" t="str">
            <v>CPK</v>
          </cell>
          <cell r="C19" t="str">
            <v>Chesapeake Utilities</v>
          </cell>
          <cell r="D19">
            <v>18</v>
          </cell>
          <cell r="E19">
            <v>18</v>
          </cell>
          <cell r="G19">
            <v>4.3492562406344797E-2</v>
          </cell>
          <cell r="H19">
            <v>4.7755084637359835E-2</v>
          </cell>
          <cell r="I19">
            <v>5.1831341688526184E-2</v>
          </cell>
          <cell r="J19">
            <v>5.2536043978840367E-2</v>
          </cell>
          <cell r="K19">
            <v>5.3859964093357263E-2</v>
          </cell>
          <cell r="L19">
            <v>5.4237692215997148E-2</v>
          </cell>
          <cell r="M19">
            <v>5.4938115685779235E-2</v>
          </cell>
          <cell r="N19">
            <v>5.5954859944918382E-2</v>
          </cell>
          <cell r="O19">
            <v>6.7149276085871193E-2</v>
          </cell>
          <cell r="P19">
            <v>6.657031117156946E-2</v>
          </cell>
          <cell r="Q19">
            <v>6.9494584837545129E-2</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row>
        <row r="21">
          <cell r="B21" t="str">
            <v>CMS</v>
          </cell>
          <cell r="C21" t="str">
            <v xml:space="preserve">CMS Energy Corp.              </v>
          </cell>
          <cell r="D21">
            <v>19</v>
          </cell>
          <cell r="E21">
            <v>19</v>
          </cell>
          <cell r="G21">
            <v>8.1407563025210086E-2</v>
          </cell>
          <cell r="H21">
            <v>8.1644144144144143E-2</v>
          </cell>
          <cell r="I21">
            <v>8.0983803239352128E-2</v>
          </cell>
          <cell r="J21">
            <v>7.8582434514637908E-2</v>
          </cell>
          <cell r="K21">
            <v>7.9378204068132965E-2</v>
          </cell>
          <cell r="L21">
            <v>7.0487538810103209E-2</v>
          </cell>
          <cell r="M21">
            <v>5.8981233243967833E-2</v>
          </cell>
          <cell r="N21">
            <v>4.3790506218251889E-2</v>
          </cell>
          <cell r="O21">
            <v>3.3094318808604521E-2</v>
          </cell>
          <cell r="P21">
            <v>2.1139414438220063E-2</v>
          </cell>
          <cell r="Q21">
            <v>0</v>
          </cell>
        </row>
        <row r="22">
          <cell r="B22" t="str">
            <v>CTWS</v>
          </cell>
          <cell r="C22" t="str">
            <v>Conn. Water Services</v>
          </cell>
          <cell r="D22">
            <v>20</v>
          </cell>
          <cell r="E22">
            <v>20</v>
          </cell>
          <cell r="G22">
            <v>5.3376542915693659E-2</v>
          </cell>
          <cell r="H22">
            <v>5.2473763118440778E-2</v>
          </cell>
          <cell r="I22">
            <v>5.3640660682989005E-2</v>
          </cell>
          <cell r="J22">
            <v>5.4702763047725374E-2</v>
          </cell>
          <cell r="K22">
            <v>4.5832139788026346E-2</v>
          </cell>
          <cell r="L22">
            <v>6.9645106319922948E-2</v>
          </cell>
          <cell r="M22">
            <v>7.0525105404369487E-2</v>
          </cell>
          <cell r="N22">
            <v>7.1033938437253363E-2</v>
          </cell>
          <cell r="O22">
            <v>7.1936565029019864E-2</v>
          </cell>
          <cell r="P22">
            <v>7.2803347280334732E-2</v>
          </cell>
          <cell r="Q22">
            <v>7.3719606828763579E-2</v>
          </cell>
        </row>
        <row r="23">
          <cell r="B23" t="str">
            <v>ED</v>
          </cell>
          <cell r="C23" t="str">
            <v xml:space="preserve">Consol. Edison                </v>
          </cell>
          <cell r="D23">
            <v>21</v>
          </cell>
          <cell r="E23">
            <v>21</v>
          </cell>
          <cell r="G23">
            <v>5.7168454958510216E-2</v>
          </cell>
          <cell r="H23">
            <v>5.8366632245319447E-2</v>
          </cell>
          <cell r="I23">
            <v>5.8686539357242669E-2</v>
          </cell>
          <cell r="J23">
            <v>5.8837598660607504E-2</v>
          </cell>
          <cell r="K23">
            <v>5.9714751024033945E-2</v>
          </cell>
          <cell r="L23">
            <v>6.1465963222865336E-2</v>
          </cell>
          <cell r="M23">
            <v>6.2747165831795404E-2</v>
          </cell>
          <cell r="N23">
            <v>6.4733795978824366E-2</v>
          </cell>
          <cell r="O23">
            <v>6.6045723962743441E-2</v>
          </cell>
          <cell r="P23">
            <v>7.1204959793751146E-2</v>
          </cell>
          <cell r="Q23">
            <v>7.3981150889382091E-2</v>
          </cell>
        </row>
        <row r="24">
          <cell r="B24" t="str">
            <v>CWCO</v>
          </cell>
          <cell r="C24" t="str">
            <v>Consolidated Water</v>
          </cell>
          <cell r="D24">
            <v>22</v>
          </cell>
          <cell r="E24">
            <v>22</v>
          </cell>
          <cell r="G24">
            <v>3.0646644192460926E-2</v>
          </cell>
          <cell r="H24">
            <v>3.0577922739781875E-2</v>
          </cell>
          <cell r="I24">
            <v>3.1325049597995196E-2</v>
          </cell>
          <cell r="J24">
            <v>3.1769564756962833E-2</v>
          </cell>
          <cell r="K24">
            <v>3.2626427406199018E-2</v>
          </cell>
          <cell r="L24">
            <v>3.3955857385398976E-2</v>
          </cell>
          <cell r="M24">
            <v>3.4534361689881436E-2</v>
          </cell>
          <cell r="N24">
            <v>3.2813781788351114E-2</v>
          </cell>
          <cell r="O24">
            <v>3.8857006217120994E-2</v>
          </cell>
          <cell r="P24">
            <v>2.3737066342057214E-2</v>
          </cell>
          <cell r="Q24">
            <v>3.2051282051282048E-2</v>
          </cell>
        </row>
        <row r="25">
          <cell r="B25" t="str">
            <v>D</v>
          </cell>
          <cell r="C25" t="str">
            <v xml:space="preserve">Dominion Resources            </v>
          </cell>
          <cell r="D25">
            <v>24</v>
          </cell>
          <cell r="E25">
            <v>24</v>
          </cell>
          <cell r="G25">
            <v>0.12035763411279229</v>
          </cell>
          <cell r="H25">
            <v>0.12195121951219512</v>
          </cell>
          <cell r="I25">
            <v>0.12156823016918245</v>
          </cell>
          <cell r="J25">
            <v>0.11238199890115379</v>
          </cell>
          <cell r="K25">
            <v>0.11502398604448319</v>
          </cell>
          <cell r="L25">
            <v>9.8053854959932296E-2</v>
          </cell>
          <cell r="M25">
            <v>8.8594113090627424E-2</v>
          </cell>
          <cell r="N25">
            <v>9.3783494105037515E-2</v>
          </cell>
          <cell r="O25">
            <v>9.1440476879449048E-2</v>
          </cell>
          <cell r="P25">
            <v>8.9532102777948125E-2</v>
          </cell>
          <cell r="Q25">
            <v>7.4594594594594582E-2</v>
          </cell>
        </row>
        <row r="26">
          <cell r="B26" t="str">
            <v>DTE</v>
          </cell>
          <cell r="C26" t="str">
            <v xml:space="preserve">DTE Energy                    </v>
          </cell>
          <cell r="D26">
            <v>25</v>
          </cell>
          <cell r="E26">
            <v>25</v>
          </cell>
          <cell r="G26">
            <v>6.0933112965212366E-2</v>
          </cell>
          <cell r="H26">
            <v>5.8105039179982401E-2</v>
          </cell>
          <cell r="I26">
            <v>5.7175650399591903E-2</v>
          </cell>
          <cell r="J26">
            <v>5.7904267924612667E-2</v>
          </cell>
          <cell r="K26">
            <v>5.6569812291077388E-2</v>
          </cell>
          <cell r="L26">
            <v>5.6021056190085239E-2</v>
          </cell>
          <cell r="M26">
            <v>5.4946439823566486E-2</v>
          </cell>
          <cell r="N26">
            <v>5.5854146906944881E-2</v>
          </cell>
          <cell r="O26">
            <v>5.7647858599592122E-2</v>
          </cell>
          <cell r="P26">
            <v>5.9123741528850714E-2</v>
          </cell>
          <cell r="Q26">
            <v>6.2842605772434057E-2</v>
          </cell>
        </row>
        <row r="27">
          <cell r="B27" t="str">
            <v>DUK</v>
          </cell>
          <cell r="C27" t="str">
            <v xml:space="preserve">Duke Energy                   </v>
          </cell>
          <cell r="D27">
            <v>26</v>
          </cell>
          <cell r="E27">
            <v>26</v>
          </cell>
          <cell r="G27">
            <v>5.7319299203329975E-2</v>
          </cell>
          <cell r="H27">
            <v>5.6110697400550719E-2</v>
          </cell>
          <cell r="I27">
            <v>5.4484130415982011E-2</v>
          </cell>
          <cell r="J27">
            <v>5.2783519242923765E-2</v>
          </cell>
          <cell r="K27">
            <v>5.220177796154641E-2</v>
          </cell>
          <cell r="L27">
            <v>5.8075870160344156E-2</v>
          </cell>
          <cell r="M27">
            <v>5.7232766250368772E-2</v>
          </cell>
          <cell r="N27">
            <v>5.6567439621278984E-2</v>
          </cell>
          <cell r="O27">
            <v>5.4539945460054542E-2</v>
          </cell>
          <cell r="P27">
            <v>5.1191491894680453E-2</v>
          </cell>
          <cell r="Q27">
            <v>0</v>
          </cell>
        </row>
        <row r="28">
          <cell r="B28" t="str">
            <v>EIX</v>
          </cell>
          <cell r="C28" t="str">
            <v xml:space="preserve">Edison Int'l                  </v>
          </cell>
          <cell r="D28">
            <v>27</v>
          </cell>
          <cell r="E28">
            <v>27</v>
          </cell>
          <cell r="G28">
            <v>5.3858062413427846E-2</v>
          </cell>
          <cell r="H28">
            <v>4.9668969075119661E-2</v>
          </cell>
          <cell r="I28">
            <v>4.4085733820862685E-2</v>
          </cell>
          <cell r="J28">
            <v>4.4849518064389228E-2</v>
          </cell>
          <cell r="K28">
            <v>4.5355625410204145E-2</v>
          </cell>
          <cell r="L28">
            <v>4.1638313729302351E-2</v>
          </cell>
          <cell r="M28">
            <v>3.899266383083657E-2</v>
          </cell>
          <cell r="N28">
            <v>4.1218341334216195E-2</v>
          </cell>
          <cell r="O28">
            <v>4.193769257103732E-2</v>
          </cell>
          <cell r="P28">
            <v>4.5337037465756069E-2</v>
          </cell>
          <cell r="Q28">
            <v>4.6490004649000466E-2</v>
          </cell>
        </row>
        <row r="29">
          <cell r="B29" t="str">
            <v>EE</v>
          </cell>
          <cell r="C29" t="str">
            <v xml:space="preserve">El Paso Electric              </v>
          </cell>
          <cell r="D29">
            <v>28</v>
          </cell>
          <cell r="E29">
            <v>28</v>
          </cell>
          <cell r="G29">
            <v>4.6196779424520121E-2</v>
          </cell>
          <cell r="H29">
            <v>4.6349711557589018E-2</v>
          </cell>
          <cell r="I29">
            <v>4.5307310672844318E-2</v>
          </cell>
          <cell r="J29">
            <v>4.4581911262798632E-2</v>
          </cell>
          <cell r="K29">
            <v>4.7162930908737292E-2</v>
          </cell>
          <cell r="L29">
            <v>3.468937243771681E-2</v>
          </cell>
          <cell r="M29">
            <v>0</v>
          </cell>
          <cell r="N29">
            <v>0</v>
          </cell>
          <cell r="O29">
            <v>0</v>
          </cell>
          <cell r="P29">
            <v>0</v>
          </cell>
          <cell r="Q29">
            <v>0</v>
          </cell>
        </row>
        <row r="30">
          <cell r="B30" t="str">
            <v>EDE</v>
          </cell>
          <cell r="C30" t="str">
            <v>Empire District Electric</v>
          </cell>
          <cell r="D30" t="e">
            <v>#N/A</v>
          </cell>
          <cell r="E30">
            <v>29</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row>
        <row r="31">
          <cell r="B31" t="str">
            <v>ETR</v>
          </cell>
          <cell r="C31" t="str">
            <v xml:space="preserve">Entergy Corp.                 </v>
          </cell>
          <cell r="D31">
            <v>29</v>
          </cell>
          <cell r="E31">
            <v>30</v>
          </cell>
          <cell r="G31">
            <v>7.580291242768801E-2</v>
          </cell>
          <cell r="H31">
            <v>6.4365689618623656E-2</v>
          </cell>
          <cell r="I31">
            <v>5.9461976573414045E-2</v>
          </cell>
          <cell r="J31">
            <v>6.1479204473908367E-2</v>
          </cell>
          <cell r="K31">
            <v>6.4185596906718212E-2</v>
          </cell>
          <cell r="L31">
            <v>6.5336324634943127E-2</v>
          </cell>
          <cell r="M31">
            <v>6.8163170849725452E-2</v>
          </cell>
          <cell r="N31">
            <v>6.5868920847513446E-2</v>
          </cell>
          <cell r="O31">
            <v>7.1308026906895486E-2</v>
          </cell>
          <cell r="P31">
            <v>6.3368865746426292E-2</v>
          </cell>
          <cell r="Q31">
            <v>5.3399258343634119E-2</v>
          </cell>
        </row>
        <row r="32">
          <cell r="B32" t="str">
            <v>ES</v>
          </cell>
          <cell r="C32" t="str">
            <v xml:space="preserve">Eversource Energy    </v>
          </cell>
          <cell r="D32">
            <v>30</v>
          </cell>
          <cell r="E32">
            <v>31</v>
          </cell>
          <cell r="G32">
            <v>5.2658048102239452E-2</v>
          </cell>
          <cell r="H32">
            <v>5.1168918711891408E-2</v>
          </cell>
          <cell r="I32">
            <v>4.988244265107708E-2</v>
          </cell>
          <cell r="J32">
            <v>4.8218854556189725E-2</v>
          </cell>
          <cell r="K32">
            <v>4.4879640962872301E-2</v>
          </cell>
          <cell r="L32">
            <v>4.8565121412803537E-2</v>
          </cell>
          <cell r="M32">
            <v>4.7455900736145189E-2</v>
          </cell>
          <cell r="N32">
            <v>4.6630344082854755E-2</v>
          </cell>
          <cell r="O32">
            <v>4.2565266742338244E-2</v>
          </cell>
          <cell r="P32">
            <v>4.1550503967402959E-2</v>
          </cell>
          <cell r="Q32">
            <v>3.9960315273108081E-2</v>
          </cell>
        </row>
        <row r="33">
          <cell r="B33" t="str">
            <v>EXC</v>
          </cell>
          <cell r="C33" t="str">
            <v xml:space="preserve">Exelon Corp.                  </v>
          </cell>
          <cell r="D33">
            <v>31</v>
          </cell>
          <cell r="E33">
            <v>32</v>
          </cell>
          <cell r="G33">
            <v>4.5062765995493727E-2</v>
          </cell>
          <cell r="H33">
            <v>4.4225693701405236E-2</v>
          </cell>
          <cell r="I33">
            <v>4.7160841288555889E-2</v>
          </cell>
          <cell r="J33">
            <v>5.4872529793332334E-2</v>
          </cell>
          <cell r="K33">
            <v>8.3758774728781113E-2</v>
          </cell>
          <cell r="L33">
            <v>9.6841134424717562E-2</v>
          </cell>
          <cell r="M33">
            <v>0.10249902381882078</v>
          </cell>
          <cell r="N33">
            <v>0.10960906101571065</v>
          </cell>
          <cell r="O33">
            <v>0.12213285671730711</v>
          </cell>
          <cell r="P33">
            <v>0.11865180259469327</v>
          </cell>
          <cell r="Q33">
            <v>0.11015583019881783</v>
          </cell>
        </row>
        <row r="34">
          <cell r="B34" t="str">
            <v>FE</v>
          </cell>
          <cell r="C34" t="str">
            <v xml:space="preserve">FirstEnergy Corp.             </v>
          </cell>
          <cell r="D34">
            <v>32</v>
          </cell>
          <cell r="E34">
            <v>33</v>
          </cell>
          <cell r="G34">
            <v>0.10206251328938974</v>
          </cell>
          <cell r="H34">
            <v>4.9104859335038366E-2</v>
          </cell>
          <cell r="I34">
            <v>4.8823489523292872E-2</v>
          </cell>
          <cell r="J34">
            <v>5.4423114981199283E-2</v>
          </cell>
          <cell r="K34">
            <v>7.0321240210963726E-2</v>
          </cell>
          <cell r="L34">
            <v>6.9282610064873726E-2</v>
          </cell>
          <cell r="M34">
            <v>7.8481735159817365E-2</v>
          </cell>
          <cell r="N34">
            <v>7.8355949709726827E-2</v>
          </cell>
          <cell r="O34">
            <v>8.0965699985278972E-2</v>
          </cell>
          <cell r="P34">
            <v>6.96118713708445E-2</v>
          </cell>
          <cell r="Q34">
            <v>6.535947712418301E-2</v>
          </cell>
        </row>
        <row r="35">
          <cell r="B35" t="str">
            <v>FTS.TO</v>
          </cell>
          <cell r="C35" t="str">
            <v>Fortis Inc.</v>
          </cell>
          <cell r="D35">
            <v>33</v>
          </cell>
          <cell r="E35">
            <v>34</v>
          </cell>
          <cell r="G35">
            <v>4.796534117282996E-2</v>
          </cell>
          <cell r="H35">
            <v>4.9954586739327879E-2</v>
          </cell>
          <cell r="I35">
            <v>5.2219321148825069E-2</v>
          </cell>
          <cell r="J35">
            <v>5.5838470472616815E-2</v>
          </cell>
          <cell r="K35">
            <v>5.8064206535822262E-2</v>
          </cell>
          <cell r="L35">
            <v>5.6984219754529511E-2</v>
          </cell>
          <cell r="M35">
            <v>5.9099783652577703E-2</v>
          </cell>
          <cell r="N35">
            <v>5.6007324034681463E-2</v>
          </cell>
          <cell r="O35">
            <v>5.5546297839249012E-2</v>
          </cell>
          <cell r="P35">
            <v>4.9031332217172922E-2</v>
          </cell>
          <cell r="Q35">
            <v>5.4671562627498976E-2</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row>
        <row r="37">
          <cell r="B37" t="str">
            <v>GXP</v>
          </cell>
          <cell r="C37" t="str">
            <v xml:space="preserve">Great Plains Energy             </v>
          </cell>
          <cell r="D37">
            <v>35</v>
          </cell>
          <cell r="E37">
            <v>36</v>
          </cell>
          <cell r="G37">
            <v>4.2659010957907077E-2</v>
          </cell>
          <cell r="H37">
            <v>4.2143490562053965E-2</v>
          </cell>
          <cell r="I37">
            <v>4.0194308313988479E-2</v>
          </cell>
          <cell r="J37">
            <v>3.9059386209645275E-2</v>
          </cell>
          <cell r="K37">
            <v>3.9301310043668124E-2</v>
          </cell>
          <cell r="L37">
            <v>3.8406697024055927E-2</v>
          </cell>
          <cell r="M37">
            <v>3.9031272043263579E-2</v>
          </cell>
          <cell r="N37">
            <v>4.0250230347703801E-2</v>
          </cell>
          <cell r="O37">
            <v>7.7613615111277345E-2</v>
          </cell>
          <cell r="P37">
            <v>9.1299087009129906E-2</v>
          </cell>
          <cell r="Q37">
            <v>9.9395245793665044E-2</v>
          </cell>
        </row>
        <row r="38">
          <cell r="B38" t="str">
            <v>HE</v>
          </cell>
          <cell r="C38" t="str">
            <v xml:space="preserve">Hawaiian Elec.                </v>
          </cell>
          <cell r="D38">
            <v>36</v>
          </cell>
          <cell r="E38">
            <v>37</v>
          </cell>
          <cell r="G38">
            <v>6.5146579804560262E-2</v>
          </cell>
          <cell r="H38">
            <v>6.912699297580556E-2</v>
          </cell>
          <cell r="I38">
            <v>7.0995076147944577E-2</v>
          </cell>
          <cell r="J38">
            <v>7.2701688555347088E-2</v>
          </cell>
          <cell r="K38">
            <v>7.6185795035635287E-2</v>
          </cell>
          <cell r="L38">
            <v>7.7738072848097292E-2</v>
          </cell>
          <cell r="M38">
            <v>7.9142200663773296E-2</v>
          </cell>
          <cell r="N38">
            <v>7.9579001411885508E-2</v>
          </cell>
          <cell r="O38">
            <v>8.0781758957654728E-2</v>
          </cell>
          <cell r="P38">
            <v>8.111467259763197E-2</v>
          </cell>
          <cell r="Q38">
            <v>9.2227593901078458E-2</v>
          </cell>
        </row>
        <row r="39">
          <cell r="B39" t="str">
            <v>IDA</v>
          </cell>
          <cell r="C39" t="str">
            <v xml:space="preserve">IDACORP, Inc.                 </v>
          </cell>
          <cell r="D39">
            <v>37</v>
          </cell>
          <cell r="E39">
            <v>38</v>
          </cell>
          <cell r="G39">
            <v>4.8667493390112081E-2</v>
          </cell>
          <cell r="H39">
            <v>4.6967880819002425E-2</v>
          </cell>
          <cell r="I39">
            <v>4.5297781438204565E-2</v>
          </cell>
          <cell r="J39">
            <v>4.2614407469735632E-2</v>
          </cell>
          <cell r="K39">
            <v>3.9070298017966638E-2</v>
          </cell>
          <cell r="L39">
            <v>3.6160916076540602E-2</v>
          </cell>
          <cell r="M39">
            <v>3.8695946599593689E-2</v>
          </cell>
          <cell r="N39">
            <v>4.1132515253307737E-2</v>
          </cell>
          <cell r="O39">
            <v>4.3229222954717386E-2</v>
          </cell>
          <cell r="P39">
            <v>4.4789489399820838E-2</v>
          </cell>
          <cell r="Q39">
            <v>4.6573003182488554E-2</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row>
        <row r="43">
          <cell r="B43" t="str">
            <v>MGEE</v>
          </cell>
          <cell r="C43" t="str">
            <v xml:space="preserve">MGE Energy                    </v>
          </cell>
          <cell r="D43">
            <v>38</v>
          </cell>
          <cell r="E43">
            <v>39</v>
          </cell>
          <cell r="G43">
            <v>5.7933544000766064E-2</v>
          </cell>
          <cell r="H43">
            <v>5.8244627435227951E-2</v>
          </cell>
          <cell r="I43">
            <v>5.8359621451104106E-2</v>
          </cell>
          <cell r="J43">
            <v>6.0071861666292387E-2</v>
          </cell>
          <cell r="K43">
            <v>6.2230732407850646E-2</v>
          </cell>
          <cell r="L43">
            <v>6.3624921334172427E-2</v>
          </cell>
          <cell r="M43">
            <v>6.5570522979397777E-2</v>
          </cell>
          <cell r="N43">
            <v>6.7228632626269602E-2</v>
          </cell>
          <cell r="O43">
            <v>6.8688029889351923E-2</v>
          </cell>
          <cell r="P43">
            <v>7.2363356428021552E-2</v>
          </cell>
          <cell r="Q43">
            <v>7.7709782882052145E-2</v>
          </cell>
        </row>
        <row r="44">
          <cell r="B44" t="str">
            <v>MSEX</v>
          </cell>
          <cell r="C44" t="str">
            <v>Middlesex Water</v>
          </cell>
          <cell r="D44">
            <v>39</v>
          </cell>
          <cell r="E44">
            <v>40</v>
          </cell>
          <cell r="G44">
            <v>6.0280513279618031E-2</v>
          </cell>
          <cell r="H44">
            <v>6.0915299474056044E-2</v>
          </cell>
          <cell r="I44">
            <v>6.2356979405034325E-2</v>
          </cell>
          <cell r="J44">
            <v>6.3684032476319347E-2</v>
          </cell>
          <cell r="K44">
            <v>6.4698711250435387E-2</v>
          </cell>
          <cell r="L44">
            <v>6.5039929015084291E-2</v>
          </cell>
          <cell r="M44">
            <v>6.494789795185052E-2</v>
          </cell>
          <cell r="N44">
            <v>6.9028947623196821E-2</v>
          </cell>
          <cell r="O44">
            <v>7.0096719513411107E-2</v>
          </cell>
          <cell r="P44">
            <v>6.8927789934354472E-2</v>
          </cell>
          <cell r="Q44">
            <v>7.1728628439403488E-2</v>
          </cell>
        </row>
        <row r="45">
          <cell r="B45" t="str">
            <v>NJR</v>
          </cell>
          <cell r="C45" t="str">
            <v>New Jersey Resources</v>
          </cell>
          <cell r="D45">
            <v>40</v>
          </cell>
          <cell r="E45">
            <v>41</v>
          </cell>
          <cell r="G45">
            <v>7.2149009791651328E-2</v>
          </cell>
          <cell r="H45">
            <v>7.1565986918045416E-2</v>
          </cell>
          <cell r="I45">
            <v>7.4509803921568626E-2</v>
          </cell>
          <cell r="J45">
            <v>7.6049197258473394E-2</v>
          </cell>
          <cell r="K45">
            <v>7.8579446882334938E-2</v>
          </cell>
          <cell r="L45">
            <v>7.6882007474639608E-2</v>
          </cell>
          <cell r="M45">
            <v>7.7185017026106695E-2</v>
          </cell>
          <cell r="N45">
            <v>7.4761847341131074E-2</v>
          </cell>
          <cell r="O45">
            <v>6.4221245082156916E-2</v>
          </cell>
          <cell r="P45">
            <v>6.5436241610738258E-2</v>
          </cell>
          <cell r="Q45">
            <v>6.3991467804292754E-2</v>
          </cell>
        </row>
        <row r="46">
          <cell r="B46" t="str">
            <v>NEE</v>
          </cell>
          <cell r="C46" t="str">
            <v>NextEra Energy, Inc.</v>
          </cell>
          <cell r="D46">
            <v>41</v>
          </cell>
          <cell r="E46">
            <v>42</v>
          </cell>
          <cell r="G46">
            <v>6.6908923112418528E-2</v>
          </cell>
          <cell r="H46">
            <v>6.2899503747421731E-2</v>
          </cell>
          <cell r="I46">
            <v>6.4506083590986946E-2</v>
          </cell>
          <cell r="J46">
            <v>6.3658942393479787E-2</v>
          </cell>
          <cell r="K46">
            <v>6.333122229259025E-2</v>
          </cell>
          <cell r="L46">
            <v>6.1245510982433679E-2</v>
          </cell>
          <cell r="M46">
            <v>5.8207217694994179E-2</v>
          </cell>
          <cell r="N46">
            <v>6.028708133971291E-2</v>
          </cell>
          <cell r="O46">
            <v>6.23118392494574E-2</v>
          </cell>
          <cell r="P46">
            <v>6.2229642559004324E-2</v>
          </cell>
          <cell r="Q46">
            <v>6.1239487221360335E-2</v>
          </cell>
        </row>
        <row r="47">
          <cell r="B47" t="str">
            <v>NI</v>
          </cell>
          <cell r="C47" t="str">
            <v xml:space="preserve">NiSource Inc.                 </v>
          </cell>
          <cell r="D47">
            <v>42</v>
          </cell>
          <cell r="E47">
            <v>43</v>
          </cell>
          <cell r="G47">
            <v>5.0801714557866327E-2</v>
          </cell>
          <cell r="H47">
            <v>6.8913982065758883E-2</v>
          </cell>
          <cell r="I47">
            <v>5.2200614124872063E-2</v>
          </cell>
          <cell r="J47">
            <v>5.2219321148825062E-2</v>
          </cell>
          <cell r="K47">
            <v>5.2511032903189765E-2</v>
          </cell>
          <cell r="L47">
            <v>5.1948051948051945E-2</v>
          </cell>
          <cell r="M47">
            <v>5.2192658989050893E-2</v>
          </cell>
          <cell r="N47">
            <v>5.2460512060215549E-2</v>
          </cell>
          <cell r="O47">
            <v>5.3358079109152072E-2</v>
          </cell>
          <cell r="P47">
            <v>4.9686757399006271E-2</v>
          </cell>
          <cell r="Q47">
            <v>5.0215599585175477E-2</v>
          </cell>
        </row>
        <row r="48">
          <cell r="B48" t="str">
            <v>NWN</v>
          </cell>
          <cell r="C48" t="str">
            <v>Northwest Nat. Gas</v>
          </cell>
          <cell r="D48">
            <v>43</v>
          </cell>
          <cell r="E48">
            <v>44</v>
          </cell>
          <cell r="G48">
            <v>6.2950245741601032E-2</v>
          </cell>
          <cell r="H48">
            <v>6.5320456540825286E-2</v>
          </cell>
          <cell r="I48">
            <v>6.5782455641290052E-2</v>
          </cell>
          <cell r="J48">
            <v>6.5898451566438601E-2</v>
          </cell>
          <cell r="K48">
            <v>6.5729078691293658E-2</v>
          </cell>
          <cell r="L48">
            <v>6.5533253445176756E-2</v>
          </cell>
          <cell r="M48">
            <v>6.4417177914110432E-2</v>
          </cell>
          <cell r="N48">
            <v>6.4311266530005226E-2</v>
          </cell>
          <cell r="O48">
            <v>6.4105267597317703E-2</v>
          </cell>
          <cell r="P48">
            <v>6.3937483349613716E-2</v>
          </cell>
          <cell r="Q48">
            <v>6.3150243060288033E-2</v>
          </cell>
        </row>
        <row r="49">
          <cell r="B49" t="str">
            <v>NWE</v>
          </cell>
          <cell r="C49" t="str">
            <v xml:space="preserve">NorthWestern Corp             </v>
          </cell>
          <cell r="D49">
            <v>44</v>
          </cell>
          <cell r="E49">
            <v>45</v>
          </cell>
          <cell r="G49">
            <v>5.7666801222536181E-2</v>
          </cell>
          <cell r="H49">
            <v>5.7799987958335831E-2</v>
          </cell>
          <cell r="I49">
            <v>5.0795263341693389E-2</v>
          </cell>
          <cell r="J49">
            <v>5.7140708995902414E-2</v>
          </cell>
          <cell r="K49">
            <v>5.8978241810791421E-2</v>
          </cell>
          <cell r="L49">
            <v>6.0808242895148003E-2</v>
          </cell>
          <cell r="M49">
            <v>6.0062712538091242E-2</v>
          </cell>
          <cell r="N49">
            <v>6.1299176578225076E-2</v>
          </cell>
          <cell r="O49">
            <v>6.2114724012987621E-2</v>
          </cell>
          <cell r="P49">
            <v>6.0608930347080828E-2</v>
          </cell>
          <cell r="Q49">
            <v>6.0045518376834049E-2</v>
          </cell>
        </row>
        <row r="50">
          <cell r="B50" t="str">
            <v>OGE</v>
          </cell>
          <cell r="C50" t="str">
            <v xml:space="preserve">OGE Energy                    </v>
          </cell>
          <cell r="D50">
            <v>45</v>
          </cell>
          <cell r="E50">
            <v>46</v>
          </cell>
          <cell r="G50">
            <v>6.6975935053638733E-2</v>
          </cell>
          <cell r="H50">
            <v>6.3044130891624139E-2</v>
          </cell>
          <cell r="I50">
            <v>5.8386085673898344E-2</v>
          </cell>
          <cell r="J50">
            <v>5.5620915032679734E-2</v>
          </cell>
          <cell r="K50">
            <v>5.698371893744645E-2</v>
          </cell>
          <cell r="L50">
            <v>5.8094144661308841E-2</v>
          </cell>
          <cell r="M50">
            <v>6.2404092071611253E-2</v>
          </cell>
          <cell r="N50">
            <v>6.7870722433460082E-2</v>
          </cell>
          <cell r="O50">
            <v>6.8914522330671385E-2</v>
          </cell>
          <cell r="P50">
            <v>7.4713271436373574E-2</v>
          </cell>
          <cell r="Q50">
            <v>7.6083248038212231E-2</v>
          </cell>
        </row>
        <row r="51">
          <cell r="B51" t="str">
            <v>OGS</v>
          </cell>
          <cell r="C51" t="str">
            <v>ONE Gas Inc.</v>
          </cell>
          <cell r="D51">
            <v>46</v>
          </cell>
          <cell r="E51">
            <v>47</v>
          </cell>
          <cell r="G51">
            <v>3.8762909433230887E-2</v>
          </cell>
          <cell r="H51">
            <v>3.4053179715655954E-2</v>
          </cell>
          <cell r="I51">
            <v>2.4386703440267093E-2</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47</v>
          </cell>
          <cell r="E52">
            <v>48</v>
          </cell>
          <cell r="G52">
            <v>7.3399882560187896E-2</v>
          </cell>
          <cell r="H52">
            <v>7.6961581779501936E-2</v>
          </cell>
          <cell r="I52">
            <v>7.8627591136526093E-2</v>
          </cell>
          <cell r="J52">
            <v>8.0705323838589346E-2</v>
          </cell>
          <cell r="K52">
            <v>8.2455654101995554E-2</v>
          </cell>
          <cell r="L52">
            <v>7.5178469897024439E-2</v>
          </cell>
          <cell r="M52">
            <v>6.7748363222317101E-2</v>
          </cell>
          <cell r="N52">
            <v>6.3348416289592757E-2</v>
          </cell>
          <cell r="O52">
            <v>6.2176707246982599E-2</v>
          </cell>
          <cell r="P52">
            <v>6.6662868212637463E-2</v>
          </cell>
          <cell r="Q52">
            <v>6.8998620027599433E-2</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row>
        <row r="54">
          <cell r="B54" t="str">
            <v>PCG</v>
          </cell>
          <cell r="C54" t="str">
            <v xml:space="preserve">PG&amp;E Corp.                    </v>
          </cell>
          <cell r="D54">
            <v>48</v>
          </cell>
          <cell r="E54">
            <v>49</v>
          </cell>
          <cell r="G54">
            <v>5.4390822784810125E-2</v>
          </cell>
          <cell r="H54">
            <v>5.4023568523850519E-2</v>
          </cell>
          <cell r="I54">
            <v>5.5001511030522809E-2</v>
          </cell>
          <cell r="J54">
            <v>5.7950710055403427E-2</v>
          </cell>
          <cell r="K54">
            <v>5.9959148711866646E-2</v>
          </cell>
          <cell r="L54">
            <v>6.2003883759751986E-2</v>
          </cell>
          <cell r="M54">
            <v>6.3756743501716534E-2</v>
          </cell>
          <cell r="N54">
            <v>6.0253927264902085E-2</v>
          </cell>
          <cell r="O54">
            <v>6.0066997805244313E-2</v>
          </cell>
          <cell r="P54">
            <v>5.9553349875930521E-2</v>
          </cell>
          <cell r="Q54">
            <v>5.8831394571466772E-2</v>
          </cell>
        </row>
        <row r="55">
          <cell r="B55" t="str">
            <v>PNW</v>
          </cell>
          <cell r="C55" t="str">
            <v xml:space="preserve">Pinnacle West Capital         </v>
          </cell>
          <cell r="D55">
            <v>49</v>
          </cell>
          <cell r="E55">
            <v>50</v>
          </cell>
          <cell r="G55">
            <v>5.9334801251593461E-2</v>
          </cell>
          <cell r="H55">
            <v>5.9074181677319385E-2</v>
          </cell>
          <cell r="I55">
            <v>5.8862249677207018E-2</v>
          </cell>
          <cell r="J55">
            <v>5.8446505030339643E-2</v>
          </cell>
          <cell r="K55">
            <v>7.3754868650037289E-2</v>
          </cell>
          <cell r="L55">
            <v>6.0027441115938718E-2</v>
          </cell>
          <cell r="M55">
            <v>6.2012756909992924E-2</v>
          </cell>
          <cell r="N55">
            <v>6.4235898690811213E-2</v>
          </cell>
          <cell r="O55">
            <v>6.1482609204824928E-2</v>
          </cell>
          <cell r="P55">
            <v>5.9752454118651301E-2</v>
          </cell>
          <cell r="Q55">
            <v>5.8738216098622183E-2</v>
          </cell>
        </row>
        <row r="56">
          <cell r="B56" t="str">
            <v>PNM</v>
          </cell>
          <cell r="C56" t="str">
            <v xml:space="preserve">PNM Resources                 </v>
          </cell>
          <cell r="D56">
            <v>50</v>
          </cell>
          <cell r="E56">
            <v>51</v>
          </cell>
          <cell r="G56">
            <v>4.1825095057034224E-2</v>
          </cell>
          <cell r="H56">
            <v>3.8507821901323708E-2</v>
          </cell>
          <cell r="I56">
            <v>3.3718904917154215E-2</v>
          </cell>
          <cell r="J56">
            <v>3.2588900603853159E-2</v>
          </cell>
          <cell r="K56">
            <v>2.893489648291344E-2</v>
          </cell>
          <cell r="L56">
            <v>2.5489396411092987E-2</v>
          </cell>
          <cell r="M56">
            <v>2.8413934193328407E-2</v>
          </cell>
          <cell r="N56">
            <v>2.6453626792233214E-2</v>
          </cell>
          <cell r="O56">
            <v>3.2022442174350289E-2</v>
          </cell>
          <cell r="P56">
            <v>4.1303558460421205E-2</v>
          </cell>
          <cell r="Q56">
            <v>3.8928118776027525E-2</v>
          </cell>
        </row>
        <row r="57">
          <cell r="B57" t="str">
            <v>POR</v>
          </cell>
          <cell r="C57" t="str">
            <v xml:space="preserve">Portland General              </v>
          </cell>
          <cell r="D57">
            <v>51</v>
          </cell>
          <cell r="E57">
            <v>52</v>
          </cell>
          <cell r="G57">
            <v>4.7812393275907861E-2</v>
          </cell>
          <cell r="H57">
            <v>4.640188753440818E-2</v>
          </cell>
          <cell r="I57">
            <v>4.5644342557720645E-2</v>
          </cell>
          <cell r="J57">
            <v>4.7005795235028972E-2</v>
          </cell>
          <cell r="K57">
            <v>4.7004809794490593E-2</v>
          </cell>
          <cell r="L57">
            <v>4.7808945484207187E-2</v>
          </cell>
          <cell r="M57">
            <v>4.8966267682263323E-2</v>
          </cell>
          <cell r="N57">
            <v>4.9263486489123015E-2</v>
          </cell>
          <cell r="O57">
            <v>4.4828542379147789E-2</v>
          </cell>
          <cell r="P57">
            <v>4.4188919509645541E-2</v>
          </cell>
          <cell r="Q57">
            <v>3.4468671807179704E-2</v>
          </cell>
        </row>
        <row r="58">
          <cell r="B58" t="str">
            <v>PPL</v>
          </cell>
          <cell r="C58" t="str">
            <v xml:space="preserve">PPL Corp.                     </v>
          </cell>
          <cell r="D58">
            <v>52</v>
          </cell>
          <cell r="E58">
            <v>53</v>
          </cell>
          <cell r="G58">
            <v>0.10437409874339078</v>
          </cell>
          <cell r="H58">
            <v>0.10190217391304347</v>
          </cell>
          <cell r="I58">
            <v>7.2800117261933847E-2</v>
          </cell>
          <cell r="J58">
            <v>7.4328765737978461E-2</v>
          </cell>
          <cell r="K58">
            <v>7.9960019990004988E-2</v>
          </cell>
          <cell r="L58">
            <v>7.4786324786324784E-2</v>
          </cell>
          <cell r="M58">
            <v>8.2430522845030607E-2</v>
          </cell>
          <cell r="N58">
            <v>9.4708667901997112E-2</v>
          </cell>
          <cell r="O58">
            <v>9.8863804043086909E-2</v>
          </cell>
          <cell r="P58">
            <v>8.1961706415854887E-2</v>
          </cell>
          <cell r="Q58">
            <v>8.2688115462677597E-2</v>
          </cell>
        </row>
        <row r="59">
          <cell r="B59" t="str">
            <v>PEG</v>
          </cell>
          <cell r="C59" t="str">
            <v xml:space="preserve">Public Serv. Enterprise       </v>
          </cell>
          <cell r="D59">
            <v>53</v>
          </cell>
          <cell r="E59">
            <v>54</v>
          </cell>
          <cell r="G59">
            <v>6.3059945399315559E-2</v>
          </cell>
          <cell r="H59">
            <v>6.0327158822846977E-2</v>
          </cell>
          <cell r="I59">
            <v>6.1438831001702027E-2</v>
          </cell>
          <cell r="J59">
            <v>6.2753301085109167E-2</v>
          </cell>
          <cell r="K59">
            <v>6.6638509549955413E-2</v>
          </cell>
          <cell r="L59">
            <v>6.7491009409330519E-2</v>
          </cell>
          <cell r="M59">
            <v>7.1957560796260311E-2</v>
          </cell>
          <cell r="N59">
            <v>7.6577614002763708E-2</v>
          </cell>
          <cell r="O59">
            <v>8.40007814026177E-2</v>
          </cell>
          <cell r="P59">
            <v>8.1516059360412452E-2</v>
          </cell>
          <cell r="Q59">
            <v>8.5374073241968093E-2</v>
          </cell>
        </row>
        <row r="60">
          <cell r="B60" t="str">
            <v>SCG</v>
          </cell>
          <cell r="C60" t="str">
            <v xml:space="preserve">SCANA Corp.                   </v>
          </cell>
          <cell r="D60">
            <v>55</v>
          </cell>
          <cell r="E60">
            <v>56</v>
          </cell>
          <cell r="G60">
            <v>5.7409579911639162E-2</v>
          </cell>
          <cell r="H60">
            <v>5.7232869519558936E-2</v>
          </cell>
          <cell r="I60">
            <v>6.0090994935187568E-2</v>
          </cell>
          <cell r="J60">
            <v>6.1370094927141898E-2</v>
          </cell>
          <cell r="K60">
            <v>6.2923062255696452E-2</v>
          </cell>
          <cell r="L60">
            <v>6.4789767224393002E-2</v>
          </cell>
          <cell r="M60">
            <v>6.5408978242908297E-2</v>
          </cell>
          <cell r="N60">
            <v>6.8039520828055436E-2</v>
          </cell>
          <cell r="O60">
            <v>7.117162418288013E-2</v>
          </cell>
          <cell r="P60">
            <v>6.9367807031373172E-2</v>
          </cell>
          <cell r="Q60">
            <v>6.886657101865136E-2</v>
          </cell>
        </row>
        <row r="61">
          <cell r="B61" t="str">
            <v>SRE</v>
          </cell>
          <cell r="C61" t="str">
            <v xml:space="preserve">Sempra Energy                 </v>
          </cell>
          <cell r="D61">
            <v>56</v>
          </cell>
          <cell r="E61">
            <v>57</v>
          </cell>
          <cell r="G61">
            <v>5.8332689484663525E-2</v>
          </cell>
          <cell r="H61">
            <v>5.8873002523128673E-2</v>
          </cell>
          <cell r="I61">
            <v>5.741751669240306E-2</v>
          </cell>
          <cell r="J61">
            <v>5.5962691538974013E-2</v>
          </cell>
          <cell r="K61">
            <v>5.6573085354642526E-2</v>
          </cell>
          <cell r="L61">
            <v>4.6825842011560127E-2</v>
          </cell>
          <cell r="M61">
            <v>4.1552353301547558E-2</v>
          </cell>
          <cell r="N61">
            <v>4.2695276150856651E-2</v>
          </cell>
          <cell r="O61">
            <v>4.1830783792861294E-2</v>
          </cell>
          <cell r="P61">
            <v>3.8908064010040787E-2</v>
          </cell>
          <cell r="Q61">
            <v>4.1876046901172533E-2</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row>
        <row r="63">
          <cell r="B63" t="str">
            <v>SJW</v>
          </cell>
          <cell r="C63" t="str">
            <v>SJW Corp.</v>
          </cell>
          <cell r="D63">
            <v>57</v>
          </cell>
          <cell r="E63">
            <v>58</v>
          </cell>
          <cell r="G63">
            <v>3.9297496603920054E-2</v>
          </cell>
          <cell r="H63">
            <v>4.142326075411578E-2</v>
          </cell>
          <cell r="I63">
            <v>4.2246380893370135E-2</v>
          </cell>
          <cell r="J63">
            <v>4.5842753077116299E-2</v>
          </cell>
          <cell r="K63">
            <v>4.8273048680989937E-2</v>
          </cell>
          <cell r="L63">
            <v>4.8594971476864562E-2</v>
          </cell>
          <cell r="M63">
            <v>4.9465337891903695E-2</v>
          </cell>
          <cell r="N63">
            <v>4.8309178743961352E-2</v>
          </cell>
          <cell r="O63">
            <v>4.6094475809333235E-2</v>
          </cell>
          <cell r="P63">
            <v>4.6884686918784869E-2</v>
          </cell>
          <cell r="Q63">
            <v>4.5268808589055361E-2</v>
          </cell>
        </row>
        <row r="64">
          <cell r="B64" t="str">
            <v>SJI</v>
          </cell>
          <cell r="C64" t="str">
            <v>South Jersey Inds.</v>
          </cell>
          <cell r="D64">
            <v>58</v>
          </cell>
          <cell r="E64">
            <v>59</v>
          </cell>
          <cell r="G64">
            <v>6.534738918685655E-2</v>
          </cell>
          <cell r="H64">
            <v>6.9767441860465115E-2</v>
          </cell>
          <cell r="I64">
            <v>7.0355441553682674E-2</v>
          </cell>
          <cell r="J64">
            <v>7.1208165202943277E-2</v>
          </cell>
          <cell r="K64">
            <v>7.0943331326855277E-2</v>
          </cell>
          <cell r="L64">
            <v>7.2611094975312221E-2</v>
          </cell>
          <cell r="M64">
            <v>7.1263885977782437E-2</v>
          </cell>
          <cell r="N64">
            <v>6.6871300153475116E-2</v>
          </cell>
          <cell r="O64">
            <v>6.4043387952919459E-2</v>
          </cell>
          <cell r="P64">
            <v>6.21614967996061E-2</v>
          </cell>
          <cell r="Q64">
            <v>6.0894890124437384E-2</v>
          </cell>
        </row>
        <row r="65">
          <cell r="B65" t="str">
            <v>SO</v>
          </cell>
          <cell r="C65" t="str">
            <v xml:space="preserve">Southern Co.                  </v>
          </cell>
          <cell r="D65">
            <v>59</v>
          </cell>
          <cell r="E65">
            <v>60</v>
          </cell>
          <cell r="G65">
            <v>8.8927114169133528E-2</v>
          </cell>
          <cell r="H65">
            <v>9.5324537324006031E-2</v>
          </cell>
          <cell r="I65">
            <v>9.4785220240262119E-2</v>
          </cell>
          <cell r="J65">
            <v>9.394688943855882E-2</v>
          </cell>
          <cell r="K65">
            <v>9.2150818117144886E-2</v>
          </cell>
          <cell r="L65">
            <v>9.2184270105325317E-2</v>
          </cell>
          <cell r="M65">
            <v>9.3847595252966889E-2</v>
          </cell>
          <cell r="N65">
            <v>9.5471573380343761E-2</v>
          </cell>
          <cell r="O65">
            <v>9.7353939819693244E-2</v>
          </cell>
          <cell r="P65">
            <v>9.8274799753542821E-2</v>
          </cell>
          <cell r="Q65">
            <v>0.10074161580363589</v>
          </cell>
        </row>
        <row r="66">
          <cell r="B66" t="str">
            <v>SWX</v>
          </cell>
          <cell r="C66" t="str">
            <v>Southwest Gas</v>
          </cell>
          <cell r="D66">
            <v>60</v>
          </cell>
          <cell r="E66">
            <v>61</v>
          </cell>
          <cell r="G66">
            <v>5.1378660729576982E-2</v>
          </cell>
          <cell r="H66">
            <v>4.8201374631795059E-2</v>
          </cell>
          <cell r="I66">
            <v>4.5700691770745296E-2</v>
          </cell>
          <cell r="J66">
            <v>4.3324143363528952E-2</v>
          </cell>
          <cell r="K66">
            <v>4.1615235408217245E-2</v>
          </cell>
          <cell r="L66">
            <v>3.9764414600292605E-2</v>
          </cell>
          <cell r="M66">
            <v>3.9039625219597897E-2</v>
          </cell>
          <cell r="N66">
            <v>3.8869113375066489E-2</v>
          </cell>
          <cell r="O66">
            <v>3.8322333404300621E-2</v>
          </cell>
          <cell r="P66">
            <v>3.7423846823324627E-2</v>
          </cell>
          <cell r="Q66">
            <v>3.7996385709652004E-2</v>
          </cell>
        </row>
        <row r="67">
          <cell r="B67" t="str">
            <v>SR</v>
          </cell>
          <cell r="C67" t="str">
            <v>Spire Inc.</v>
          </cell>
          <cell r="D67">
            <v>61</v>
          </cell>
          <cell r="E67">
            <v>62</v>
          </cell>
          <cell r="G67">
            <v>5.0602845119149052E-2</v>
          </cell>
          <cell r="H67">
            <v>5.0694291381970472E-2</v>
          </cell>
          <cell r="I67">
            <v>5.0386487260234758E-2</v>
          </cell>
          <cell r="J67">
            <v>5.3126660208131504E-2</v>
          </cell>
          <cell r="K67">
            <v>6.2232885956361998E-2</v>
          </cell>
          <cell r="L67">
            <v>6.2989045383411588E-2</v>
          </cell>
          <cell r="M67">
            <v>6.5348595213319469E-2</v>
          </cell>
          <cell r="N67">
            <v>6.560048021266561E-2</v>
          </cell>
          <cell r="O67">
            <v>6.7362900673629003E-2</v>
          </cell>
          <cell r="P67">
            <v>7.3276733373761879E-2</v>
          </cell>
          <cell r="Q67">
            <v>7.4274497320812774E-2</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row>
        <row r="69">
          <cell r="B69" t="str">
            <v>UGI</v>
          </cell>
          <cell r="C69" t="str">
            <v>UGI Corp.</v>
          </cell>
          <cell r="D69">
            <v>63</v>
          </cell>
          <cell r="E69">
            <v>64</v>
          </cell>
          <cell r="G69">
            <v>5.6483449741876711E-2</v>
          </cell>
          <cell r="H69">
            <v>5.7234726688102894E-2</v>
          </cell>
          <cell r="I69">
            <v>5.1383655969858388E-2</v>
          </cell>
          <cell r="J69">
            <v>5.0733580145344848E-2</v>
          </cell>
          <cell r="K69">
            <v>5.3524112347641761E-2</v>
          </cell>
          <cell r="L69">
            <v>5.7680888964288753E-2</v>
          </cell>
          <cell r="M69">
            <v>5.4058924227407872E-2</v>
          </cell>
          <cell r="N69">
            <v>5.3498363338788872E-2</v>
          </cell>
          <cell r="O69">
            <v>5.7159090909090902E-2</v>
          </cell>
          <cell r="P69">
            <v>5.8211303400701922E-2</v>
          </cell>
          <cell r="Q69">
            <v>6.5448791714614499E-2</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row>
        <row r="72">
          <cell r="B72" t="str">
            <v>UTL</v>
          </cell>
          <cell r="C72" t="str">
            <v xml:space="preserve">UNITIL Corp.                  </v>
          </cell>
          <cell r="D72">
            <v>64</v>
          </cell>
          <cell r="E72">
            <v>65</v>
          </cell>
          <cell r="G72">
            <v>6.8187274909963985E-2</v>
          </cell>
          <cell r="H72">
            <v>6.9310361899103903E-2</v>
          </cell>
          <cell r="I72">
            <v>7.0573248407643313E-2</v>
          </cell>
          <cell r="J72">
            <v>7.2081483416035513E-2</v>
          </cell>
          <cell r="K72">
            <v>7.3031329381879756E-2</v>
          </cell>
          <cell r="L72">
            <v>7.8857142857142848E-2</v>
          </cell>
          <cell r="M72">
            <v>7.9515989628349174E-2</v>
          </cell>
          <cell r="N72">
            <v>7.7445423424434584E-2</v>
          </cell>
          <cell r="O72">
            <v>7.7077747989276135E-2</v>
          </cell>
          <cell r="P72">
            <v>7.8897718826825225E-2</v>
          </cell>
          <cell r="Q72">
            <v>7.9745738225946258E-2</v>
          </cell>
        </row>
        <row r="73">
          <cell r="B73" t="str">
            <v>VVC</v>
          </cell>
          <cell r="C73" t="str">
            <v xml:space="preserve">Vectren Corp.                 </v>
          </cell>
          <cell r="D73">
            <v>65</v>
          </cell>
          <cell r="E73">
            <v>66</v>
          </cell>
          <cell r="G73">
            <v>7.5956489122280577E-2</v>
          </cell>
          <cell r="H73">
            <v>7.5727773406766327E-2</v>
          </cell>
          <cell r="I73">
            <v>7.5064267352185091E-2</v>
          </cell>
          <cell r="J73">
            <v>7.5544717171181677E-2</v>
          </cell>
          <cell r="K73">
            <v>7.5675966821070778E-2</v>
          </cell>
          <cell r="L73">
            <v>7.7400245892477931E-2</v>
          </cell>
          <cell r="M73">
            <v>7.7787871905518974E-2</v>
          </cell>
          <cell r="N73">
            <v>7.8360807986997905E-2</v>
          </cell>
          <cell r="O73">
            <v>7.8532462082608959E-2</v>
          </cell>
          <cell r="P73">
            <v>7.8603701182150154E-2</v>
          </cell>
          <cell r="Q73">
            <v>7.9714841218405705E-2</v>
          </cell>
        </row>
        <row r="74">
          <cell r="B74" t="str">
            <v>WEC</v>
          </cell>
          <cell r="C74" t="str">
            <v>WEC Energy Group</v>
          </cell>
          <cell r="D74">
            <v>66</v>
          </cell>
          <cell r="E74">
            <v>67</v>
          </cell>
          <cell r="G74">
            <v>6.9981974339942743E-2</v>
          </cell>
          <cell r="H74">
            <v>6.3466588853224398E-2</v>
          </cell>
          <cell r="I74">
            <v>7.9599959179508115E-2</v>
          </cell>
          <cell r="J74">
            <v>7.7136603854161101E-2</v>
          </cell>
          <cell r="K74">
            <v>6.6467264872050513E-2</v>
          </cell>
          <cell r="L74">
            <v>6.0482698458854317E-2</v>
          </cell>
          <cell r="M74">
            <v>4.9188391539596657E-2</v>
          </cell>
          <cell r="N74">
            <v>4.4247787610619468E-2</v>
          </cell>
          <cell r="O74">
            <v>3.7841625788367209E-2</v>
          </cell>
          <cell r="P74">
            <v>3.7733001282922042E-2</v>
          </cell>
          <cell r="Q74">
            <v>3.7249979755445785E-2</v>
          </cell>
        </row>
        <row r="75">
          <cell r="B75" t="str">
            <v>WR</v>
          </cell>
          <cell r="C75" t="str">
            <v xml:space="preserve">Westar Energy                 </v>
          </cell>
          <cell r="D75">
            <v>67</v>
          </cell>
          <cell r="E75">
            <v>68</v>
          </cell>
          <cell r="G75">
            <v>5.662978279497783E-2</v>
          </cell>
          <cell r="H75">
            <v>5.5665081758088833E-2</v>
          </cell>
          <cell r="I75">
            <v>5.5955235811350916E-2</v>
          </cell>
          <cell r="J75">
            <v>5.6953808785962561E-2</v>
          </cell>
          <cell r="K75">
            <v>5.765702804228183E-2</v>
          </cell>
          <cell r="L75">
            <v>5.8099950070355413E-2</v>
          </cell>
          <cell r="M75">
            <v>5.8350195284927762E-2</v>
          </cell>
          <cell r="N75">
            <v>5.8292043136111922E-2</v>
          </cell>
          <cell r="O75">
            <v>5.7471264367816084E-2</v>
          </cell>
          <cell r="P75">
            <v>5.6429280526673294E-2</v>
          </cell>
          <cell r="Q75">
            <v>5.563440249787114E-2</v>
          </cell>
        </row>
        <row r="76">
          <cell r="B76" t="str">
            <v>WGL</v>
          </cell>
          <cell r="C76" t="str">
            <v>WGL Holdings Inc.</v>
          </cell>
          <cell r="D76">
            <v>68</v>
          </cell>
          <cell r="E76">
            <v>69</v>
          </cell>
          <cell r="G76">
            <v>7.2074090671446711E-2</v>
          </cell>
          <cell r="H76">
            <v>7.3279141472790618E-2</v>
          </cell>
          <cell r="I76">
            <v>7.1416708188008632E-2</v>
          </cell>
          <cell r="J76">
            <v>6.733187312403667E-2</v>
          </cell>
          <cell r="K76">
            <v>6.4526602004788769E-2</v>
          </cell>
          <cell r="L76">
            <v>6.5977099561571537E-2</v>
          </cell>
          <cell r="M76">
            <v>6.572605380772939E-2</v>
          </cell>
          <cell r="N76">
            <v>6.7150883924900651E-2</v>
          </cell>
          <cell r="O76">
            <v>6.7092347279138473E-2</v>
          </cell>
          <cell r="P76">
            <v>6.8821216093576693E-2</v>
          </cell>
          <cell r="Q76">
            <v>7.1330080610946117E-2</v>
          </cell>
        </row>
        <row r="77">
          <cell r="B77" t="str">
            <v>XEL</v>
          </cell>
          <cell r="C77" t="str">
            <v xml:space="preserve">Xcel Energy Inc.              </v>
          </cell>
          <cell r="D77">
            <v>69</v>
          </cell>
          <cell r="E77">
            <v>70</v>
          </cell>
          <cell r="G77">
            <v>6.2592047128129602E-2</v>
          </cell>
          <cell r="H77">
            <v>6.1282137214535355E-2</v>
          </cell>
          <cell r="I77">
            <v>5.9414764568995394E-2</v>
          </cell>
          <cell r="J77">
            <v>5.7782404997397188E-2</v>
          </cell>
          <cell r="K77">
            <v>5.8836467612449143E-2</v>
          </cell>
          <cell r="L77">
            <v>5.9076570117579587E-2</v>
          </cell>
          <cell r="M77">
            <v>5.9669431350319227E-2</v>
          </cell>
          <cell r="N77">
            <v>6.0933475720836731E-2</v>
          </cell>
          <cell r="O77">
            <v>6.1253746904730871E-2</v>
          </cell>
          <cell r="P77">
            <v>6.1925825110581832E-2</v>
          </cell>
          <cell r="Q77">
            <v>6.1616020165242966E-2</v>
          </cell>
        </row>
        <row r="78">
          <cell r="B78" t="str">
            <v>YORW</v>
          </cell>
          <cell r="C78" t="str">
            <v>York Water Co. (The)</v>
          </cell>
          <cell r="D78">
            <v>70</v>
          </cell>
          <cell r="E78">
            <v>71</v>
          </cell>
          <cell r="G78" t="str">
            <v>N/A</v>
          </cell>
          <cell r="H78">
            <v>7.0480441677434516E-2</v>
          </cell>
          <cell r="I78">
            <v>7.018404907975459E-2</v>
          </cell>
          <cell r="J78">
            <v>6.9216300940438874E-2</v>
          </cell>
          <cell r="K78">
            <v>6.975540313187524E-2</v>
          </cell>
          <cell r="L78">
            <v>7.0766751712098841E-2</v>
          </cell>
          <cell r="M78">
            <v>7.1627260083449232E-2</v>
          </cell>
          <cell r="N78">
            <v>7.3110822135529552E-2</v>
          </cell>
          <cell r="O78">
            <v>7.9680625712889044E-2</v>
          </cell>
          <cell r="P78">
            <v>7.9537843268586733E-2</v>
          </cell>
          <cell r="Q78">
            <v>7.7806341045415603E-2</v>
          </cell>
        </row>
      </sheetData>
      <sheetData sheetId="21">
        <row r="5">
          <cell r="B5" t="str">
            <v>ALE</v>
          </cell>
          <cell r="C5" t="str">
            <v xml:space="preserve">ALLETE                        </v>
          </cell>
          <cell r="D5">
            <v>3</v>
          </cell>
          <cell r="E5">
            <v>3</v>
          </cell>
          <cell r="G5">
            <v>0.66242038216560506</v>
          </cell>
          <cell r="H5">
            <v>0.59763313609467461</v>
          </cell>
          <cell r="I5">
            <v>0.67586206896551726</v>
          </cell>
          <cell r="J5">
            <v>0.72243346007604559</v>
          </cell>
          <cell r="K5">
            <v>0.71317829457364346</v>
          </cell>
          <cell r="L5">
            <v>0.67169811320754724</v>
          </cell>
          <cell r="M5">
            <v>0.80365296803652975</v>
          </cell>
          <cell r="N5">
            <v>0.93121693121693128</v>
          </cell>
          <cell r="O5">
            <v>0.60992907801418439</v>
          </cell>
          <cell r="P5">
            <v>0.53246753246753242</v>
          </cell>
          <cell r="Q5">
            <v>0.52346570397111913</v>
          </cell>
        </row>
        <row r="6">
          <cell r="B6" t="str">
            <v>LNT</v>
          </cell>
          <cell r="C6" t="str">
            <v xml:space="preserve">Alliant Energy                </v>
          </cell>
          <cell r="D6">
            <v>4</v>
          </cell>
          <cell r="E6">
            <v>4</v>
          </cell>
          <cell r="G6">
            <v>0.7151515151515152</v>
          </cell>
          <cell r="H6">
            <v>0.65088757396449715</v>
          </cell>
          <cell r="I6">
            <v>0.5862068965517242</v>
          </cell>
          <cell r="J6">
            <v>0.5714285714285714</v>
          </cell>
          <cell r="K6">
            <v>0.59016393442622961</v>
          </cell>
          <cell r="L6">
            <v>0.61818181818181817</v>
          </cell>
          <cell r="M6">
            <v>0.57454545454545458</v>
          </cell>
          <cell r="N6">
            <v>0.79365079365079372</v>
          </cell>
          <cell r="O6">
            <v>0.55118110236220463</v>
          </cell>
          <cell r="P6">
            <v>0.47211895910780671</v>
          </cell>
          <cell r="Q6">
            <v>0.55825242718446599</v>
          </cell>
        </row>
        <row r="7">
          <cell r="B7" t="str">
            <v>AWR</v>
          </cell>
          <cell r="C7" t="str">
            <v>Amer. States Water</v>
          </cell>
          <cell r="D7">
            <v>6</v>
          </cell>
          <cell r="E7">
            <v>6</v>
          </cell>
          <cell r="G7">
            <v>0.56419753086419755</v>
          </cell>
          <cell r="H7">
            <v>0.54625000000000001</v>
          </cell>
          <cell r="I7">
            <v>0.52929936305732483</v>
          </cell>
          <cell r="J7">
            <v>0.47204968944099379</v>
          </cell>
          <cell r="K7">
            <v>0.45035460992907805</v>
          </cell>
          <cell r="L7">
            <v>0.49107142857142855</v>
          </cell>
          <cell r="M7">
            <v>0.46846846846846846</v>
          </cell>
          <cell r="N7">
            <v>0.62345679012345678</v>
          </cell>
          <cell r="O7">
            <v>0.64516129032258063</v>
          </cell>
          <cell r="P7">
            <v>0.59012345679012335</v>
          </cell>
          <cell r="Q7">
            <v>0.68421052631578949</v>
          </cell>
        </row>
        <row r="8">
          <cell r="B8" t="str">
            <v>AWK</v>
          </cell>
          <cell r="C8" t="str">
            <v>Amer. Water Works</v>
          </cell>
          <cell r="D8">
            <v>7</v>
          </cell>
          <cell r="E8">
            <v>7</v>
          </cell>
          <cell r="G8">
            <v>0.56106870229007633</v>
          </cell>
          <cell r="H8">
            <v>0.50378787878787878</v>
          </cell>
          <cell r="I8">
            <v>0.506276150627615</v>
          </cell>
          <cell r="J8">
            <v>0.40776699029126212</v>
          </cell>
          <cell r="K8">
            <v>0.57345971563981046</v>
          </cell>
          <cell r="L8">
            <v>0.52325581395348841</v>
          </cell>
          <cell r="M8">
            <v>0.56209150326797386</v>
          </cell>
          <cell r="N8">
            <v>0.65599999999999992</v>
          </cell>
          <cell r="O8">
            <v>0.36363636363636365</v>
          </cell>
          <cell r="P8">
            <v>0</v>
          </cell>
          <cell r="Q8">
            <v>0</v>
          </cell>
        </row>
        <row r="9">
          <cell r="B9" t="str">
            <v>AEE</v>
          </cell>
          <cell r="C9" t="str">
            <v xml:space="preserve">Ameren Corp.                  </v>
          </cell>
          <cell r="D9">
            <v>8</v>
          </cell>
          <cell r="E9">
            <v>8</v>
          </cell>
          <cell r="G9">
            <v>0.6399253731343284</v>
          </cell>
          <cell r="H9">
            <v>0.69537815126050428</v>
          </cell>
          <cell r="I9">
            <v>0.67083333333333339</v>
          </cell>
          <cell r="J9">
            <v>0.76190476190476186</v>
          </cell>
          <cell r="K9">
            <v>0.66390041493775931</v>
          </cell>
          <cell r="L9">
            <v>0.62955465587044523</v>
          </cell>
          <cell r="M9">
            <v>0.55595667870036103</v>
          </cell>
          <cell r="N9">
            <v>0.5539568345323741</v>
          </cell>
          <cell r="O9">
            <v>0.88194444444444453</v>
          </cell>
          <cell r="P9">
            <v>0.8523489932885906</v>
          </cell>
          <cell r="Q9">
            <v>0.95488721804511278</v>
          </cell>
        </row>
        <row r="10">
          <cell r="B10" t="str">
            <v>AEP</v>
          </cell>
          <cell r="C10" t="str">
            <v>American Electric Power</v>
          </cell>
          <cell r="D10">
            <v>5</v>
          </cell>
          <cell r="E10">
            <v>5</v>
          </cell>
          <cell r="G10">
            <v>0.53664302600472813</v>
          </cell>
          <cell r="H10">
            <v>0.59888579387186625</v>
          </cell>
          <cell r="I10">
            <v>0.60778443113772451</v>
          </cell>
          <cell r="J10">
            <v>0.6132075471698113</v>
          </cell>
          <cell r="K10">
            <v>0.63087248322147649</v>
          </cell>
          <cell r="L10">
            <v>0.59105431309904155</v>
          </cell>
          <cell r="M10">
            <v>0.65769230769230769</v>
          </cell>
          <cell r="N10">
            <v>0.55218855218855212</v>
          </cell>
          <cell r="O10">
            <v>0.54849498327759194</v>
          </cell>
          <cell r="P10">
            <v>0.5524475524475525</v>
          </cell>
          <cell r="Q10">
            <v>0.52447552447552448</v>
          </cell>
        </row>
        <row r="11">
          <cell r="B11" t="str">
            <v>WTR</v>
          </cell>
          <cell r="C11" t="str">
            <v>Aqua America</v>
          </cell>
          <cell r="D11">
            <v>10</v>
          </cell>
          <cell r="E11">
            <v>10</v>
          </cell>
          <cell r="G11">
            <v>0.56060606060606055</v>
          </cell>
          <cell r="H11">
            <v>0.60526315789473684</v>
          </cell>
          <cell r="I11">
            <v>0.52500000000000002</v>
          </cell>
          <cell r="J11">
            <v>0.5</v>
          </cell>
          <cell r="K11">
            <v>0.6146788990825689</v>
          </cell>
          <cell r="L11">
            <v>0.60576923076923084</v>
          </cell>
          <cell r="M11">
            <v>0.65555555555555556</v>
          </cell>
          <cell r="N11">
            <v>0.7142857142857143</v>
          </cell>
          <cell r="O11">
            <v>0.69863013698630139</v>
          </cell>
          <cell r="P11">
            <v>0.67605633802816911</v>
          </cell>
          <cell r="Q11">
            <v>0.62857142857142845</v>
          </cell>
        </row>
        <row r="12">
          <cell r="B12" t="str">
            <v>ATO</v>
          </cell>
          <cell r="C12" t="str">
            <v>Atmos Energy</v>
          </cell>
          <cell r="D12">
            <v>12</v>
          </cell>
          <cell r="E12">
            <v>12</v>
          </cell>
          <cell r="G12">
            <v>0.49704142011834318</v>
          </cell>
          <cell r="H12">
            <v>0.50485436893203883</v>
          </cell>
          <cell r="I12">
            <v>0.5</v>
          </cell>
          <cell r="J12">
            <v>0.55999999999999994</v>
          </cell>
          <cell r="K12">
            <v>0.65714285714285703</v>
          </cell>
          <cell r="L12">
            <v>0.60176991150442483</v>
          </cell>
          <cell r="M12">
            <v>0.62037037037037035</v>
          </cell>
          <cell r="N12">
            <v>0.67005076142131981</v>
          </cell>
          <cell r="O12">
            <v>0.65</v>
          </cell>
          <cell r="P12">
            <v>0.65979381443298968</v>
          </cell>
          <cell r="Q12">
            <v>0.63</v>
          </cell>
        </row>
        <row r="13">
          <cell r="B13" t="str">
            <v>AGR</v>
          </cell>
          <cell r="C13" t="str">
            <v>Avangrid, Inc.</v>
          </cell>
          <cell r="D13">
            <v>13</v>
          </cell>
          <cell r="E13">
            <v>13</v>
          </cell>
          <cell r="G13">
            <v>0.87272727272727268</v>
          </cell>
          <cell r="H13">
            <v>0</v>
          </cell>
          <cell r="I13" t="str">
            <v>N/A</v>
          </cell>
          <cell r="J13" t="str">
            <v>N/A</v>
          </cell>
          <cell r="K13" t="str">
            <v>N/A</v>
          </cell>
          <cell r="L13" t="str">
            <v>N/A</v>
          </cell>
          <cell r="M13" t="str">
            <v>N/A</v>
          </cell>
          <cell r="N13" t="str">
            <v>N/A</v>
          </cell>
          <cell r="O13" t="str">
            <v>N/A</v>
          </cell>
          <cell r="P13" t="str">
            <v>N/A</v>
          </cell>
          <cell r="Q13" t="str">
            <v>N/A</v>
          </cell>
        </row>
        <row r="14">
          <cell r="B14" t="str">
            <v>AVA</v>
          </cell>
          <cell r="C14" t="str">
            <v xml:space="preserve">Avista Corp.                  </v>
          </cell>
          <cell r="D14">
            <v>14</v>
          </cell>
          <cell r="E14">
            <v>14</v>
          </cell>
          <cell r="G14">
            <v>0.63720930232558148</v>
          </cell>
          <cell r="H14">
            <v>0.69841269841269848</v>
          </cell>
          <cell r="I14">
            <v>0.69021739130434778</v>
          </cell>
          <cell r="J14">
            <v>0.65945945945945939</v>
          </cell>
          <cell r="K14">
            <v>0.87878787878787867</v>
          </cell>
          <cell r="L14">
            <v>0.63953488372093026</v>
          </cell>
          <cell r="M14">
            <v>0.60606060606060608</v>
          </cell>
          <cell r="N14">
            <v>0.51265822784810122</v>
          </cell>
          <cell r="O14">
            <v>0.50735294117647056</v>
          </cell>
          <cell r="P14">
            <v>0.82638888888888884</v>
          </cell>
          <cell r="Q14">
            <v>0.38775510204081631</v>
          </cell>
        </row>
        <row r="15">
          <cell r="B15" t="str">
            <v>BKH</v>
          </cell>
          <cell r="C15" t="str">
            <v xml:space="preserve">Black Hills                   </v>
          </cell>
          <cell r="D15">
            <v>15</v>
          </cell>
          <cell r="E15">
            <v>15</v>
          </cell>
          <cell r="G15">
            <v>0.63878326996197721</v>
          </cell>
          <cell r="H15">
            <v>0.57243816254416968</v>
          </cell>
          <cell r="I15">
            <v>0.53979238754325254</v>
          </cell>
          <cell r="J15">
            <v>0.58237547892720309</v>
          </cell>
          <cell r="K15">
            <v>0.75126903553299496</v>
          </cell>
          <cell r="L15">
            <v>1.4455445544554455</v>
          </cell>
          <cell r="M15">
            <v>0.86746987951807231</v>
          </cell>
          <cell r="N15">
            <v>0.61206896551724144</v>
          </cell>
          <cell r="O15">
            <v>7.7777777777777777</v>
          </cell>
          <cell r="P15">
            <v>0.51119402985074625</v>
          </cell>
          <cell r="Q15">
            <v>0.59728506787330315</v>
          </cell>
        </row>
        <row r="16">
          <cell r="B16" t="str">
            <v>CWT</v>
          </cell>
          <cell r="C16" t="str">
            <v>California Water</v>
          </cell>
          <cell r="D16">
            <v>16</v>
          </cell>
          <cell r="E16">
            <v>16</v>
          </cell>
          <cell r="G16">
            <v>0.68316831683168311</v>
          </cell>
          <cell r="H16">
            <v>0.7127659574468086</v>
          </cell>
          <cell r="I16">
            <v>0.54621848739495804</v>
          </cell>
          <cell r="J16">
            <v>0.62745098039215685</v>
          </cell>
          <cell r="K16">
            <v>0.61764705882352944</v>
          </cell>
          <cell r="L16">
            <v>0.71511627906976749</v>
          </cell>
          <cell r="M16">
            <v>0.65745856353591159</v>
          </cell>
          <cell r="N16">
            <v>0.60512820512820509</v>
          </cell>
          <cell r="O16">
            <v>0.61578947368421055</v>
          </cell>
          <cell r="P16">
            <v>0.77333333333333332</v>
          </cell>
          <cell r="Q16">
            <v>0.85820895522388052</v>
          </cell>
        </row>
        <row r="17">
          <cell r="B17" t="str">
            <v>CNP</v>
          </cell>
          <cell r="C17" t="str">
            <v xml:space="preserve">CenterPoint Energy            </v>
          </cell>
          <cell r="D17">
            <v>17</v>
          </cell>
          <cell r="E17">
            <v>17</v>
          </cell>
          <cell r="G17">
            <v>1.03</v>
          </cell>
          <cell r="H17">
            <v>0.91666666666666663</v>
          </cell>
          <cell r="I17">
            <v>0.66901408450704225</v>
          </cell>
          <cell r="J17">
            <v>0.66935483870967738</v>
          </cell>
          <cell r="K17">
            <v>0.6</v>
          </cell>
          <cell r="L17">
            <v>0.62204724409448819</v>
          </cell>
          <cell r="M17">
            <v>0.7289719626168224</v>
          </cell>
          <cell r="N17">
            <v>0.75247524752475248</v>
          </cell>
          <cell r="O17">
            <v>0.56153846153846154</v>
          </cell>
          <cell r="P17">
            <v>0.58119658119658124</v>
          </cell>
          <cell r="Q17">
            <v>0.45112781954887216</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row>
        <row r="19">
          <cell r="B19" t="str">
            <v>CPK</v>
          </cell>
          <cell r="C19" t="str">
            <v>Chesapeake Utilities</v>
          </cell>
          <cell r="D19">
            <v>18</v>
          </cell>
          <cell r="E19">
            <v>18</v>
          </cell>
          <cell r="G19">
            <v>0.41608391608391609</v>
          </cell>
          <cell r="H19">
            <v>0.41791044776119407</v>
          </cell>
          <cell r="I19">
            <v>0.43198380566801614</v>
          </cell>
          <cell r="J19">
            <v>0.44823008849557522</v>
          </cell>
          <cell r="K19">
            <v>0.48168590065228295</v>
          </cell>
          <cell r="L19">
            <v>0.47569262937794043</v>
          </cell>
          <cell r="M19">
            <v>0.47802197802197799</v>
          </cell>
          <cell r="N19">
            <v>0.58129797627355195</v>
          </cell>
          <cell r="O19">
            <v>0.57974137931034486</v>
          </cell>
          <cell r="P19">
            <v>0.60556844547563815</v>
          </cell>
          <cell r="Q19">
            <v>0.67131647776809067</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row>
        <row r="21">
          <cell r="B21" t="str">
            <v>CMS</v>
          </cell>
          <cell r="C21" t="str">
            <v xml:space="preserve">CMS Energy Corp.              </v>
          </cell>
          <cell r="D21">
            <v>19</v>
          </cell>
          <cell r="E21">
            <v>19</v>
          </cell>
          <cell r="G21">
            <v>0.6262626262626263</v>
          </cell>
          <cell r="H21">
            <v>0.61375661375661372</v>
          </cell>
          <cell r="I21">
            <v>0.62068965517241381</v>
          </cell>
          <cell r="J21">
            <v>0.6144578313253013</v>
          </cell>
          <cell r="K21">
            <v>0.62745098039215685</v>
          </cell>
          <cell r="L21">
            <v>0.57931034482758625</v>
          </cell>
          <cell r="M21">
            <v>0.49624060150375937</v>
          </cell>
          <cell r="N21">
            <v>0.5376344086021505</v>
          </cell>
          <cell r="O21">
            <v>0.29268292682926828</v>
          </cell>
          <cell r="P21">
            <v>0.3125</v>
          </cell>
          <cell r="Q21">
            <v>0</v>
          </cell>
        </row>
        <row r="22">
          <cell r="B22" t="str">
            <v>CTWS</v>
          </cell>
          <cell r="C22" t="str">
            <v>Conn. Water Services</v>
          </cell>
          <cell r="D22">
            <v>20</v>
          </cell>
          <cell r="E22">
            <v>20</v>
          </cell>
          <cell r="G22">
            <v>0.53846153846153855</v>
          </cell>
          <cell r="H22">
            <v>0.51470588235294124</v>
          </cell>
          <cell r="I22">
            <v>0.52604166666666674</v>
          </cell>
          <cell r="J22">
            <v>0.59036144578313254</v>
          </cell>
          <cell r="K22">
            <v>0.62745098039215685</v>
          </cell>
          <cell r="L22">
            <v>0.83333333333333337</v>
          </cell>
          <cell r="M22">
            <v>0.81415929203539839</v>
          </cell>
          <cell r="N22">
            <v>0.75630252100840345</v>
          </cell>
          <cell r="O22">
            <v>0.79279279279279269</v>
          </cell>
          <cell r="P22">
            <v>0.82857142857142851</v>
          </cell>
          <cell r="Q22">
            <v>1.0555555555555554</v>
          </cell>
        </row>
        <row r="23">
          <cell r="B23" t="str">
            <v>ED</v>
          </cell>
          <cell r="C23" t="str">
            <v xml:space="preserve">Consol. Edison                </v>
          </cell>
          <cell r="D23">
            <v>21</v>
          </cell>
          <cell r="E23">
            <v>21</v>
          </cell>
          <cell r="G23">
            <v>0.68020304568527923</v>
          </cell>
          <cell r="H23">
            <v>0.64197530864197538</v>
          </cell>
          <cell r="I23">
            <v>0.69613259668508287</v>
          </cell>
          <cell r="J23">
            <v>0.62595419847328237</v>
          </cell>
          <cell r="K23">
            <v>0.62694300518134716</v>
          </cell>
          <cell r="L23">
            <v>0.67226890756302526</v>
          </cell>
          <cell r="M23">
            <v>0.68587896253602298</v>
          </cell>
          <cell r="N23">
            <v>0.75159235668789803</v>
          </cell>
          <cell r="O23">
            <v>0.6964285714285714</v>
          </cell>
          <cell r="P23">
            <v>0.66666666666666663</v>
          </cell>
          <cell r="Q23">
            <v>0.77966101694915246</v>
          </cell>
        </row>
        <row r="24">
          <cell r="B24" t="str">
            <v>CWCO</v>
          </cell>
          <cell r="C24" t="str">
            <v>Consolidated Water</v>
          </cell>
          <cell r="D24">
            <v>22</v>
          </cell>
          <cell r="E24">
            <v>22</v>
          </cell>
          <cell r="G24">
            <v>1.1111111111111109</v>
          </cell>
          <cell r="H24">
            <v>0.58823529411764708</v>
          </cell>
          <cell r="I24">
            <v>0.7142857142857143</v>
          </cell>
          <cell r="J24">
            <v>0.51724137931034486</v>
          </cell>
          <cell r="K24">
            <v>0.46875</v>
          </cell>
          <cell r="L24">
            <v>0.7142857142857143</v>
          </cell>
          <cell r="M24">
            <v>0.69767441860465118</v>
          </cell>
          <cell r="N24">
            <v>0.3783783783783784</v>
          </cell>
          <cell r="O24">
            <v>0.65</v>
          </cell>
          <cell r="P24">
            <v>0.24683544303797469</v>
          </cell>
          <cell r="Q24">
            <v>0.40677966101694918</v>
          </cell>
        </row>
        <row r="25">
          <cell r="B25" t="str">
            <v>D</v>
          </cell>
          <cell r="C25" t="str">
            <v xml:space="preserve">Dominion Resources            </v>
          </cell>
          <cell r="D25">
            <v>24</v>
          </cell>
          <cell r="E25">
            <v>24</v>
          </cell>
          <cell r="G25">
            <v>0.81395348837209303</v>
          </cell>
          <cell r="H25">
            <v>0.80937499999999996</v>
          </cell>
          <cell r="I25">
            <v>0.78688524590163933</v>
          </cell>
          <cell r="J25">
            <v>0.72815533980582525</v>
          </cell>
          <cell r="K25">
            <v>0.76727272727272722</v>
          </cell>
          <cell r="L25">
            <v>0.71376811594202905</v>
          </cell>
          <cell r="M25">
            <v>0.63321799307958482</v>
          </cell>
          <cell r="N25">
            <v>0.66287878787878785</v>
          </cell>
          <cell r="O25">
            <v>0.51973684210526316</v>
          </cell>
          <cell r="P25">
            <v>0.68544600938967137</v>
          </cell>
          <cell r="Q25">
            <v>0.57499999999999996</v>
          </cell>
        </row>
        <row r="26">
          <cell r="B26" t="str">
            <v>DTE</v>
          </cell>
          <cell r="C26" t="str">
            <v xml:space="preserve">DTE Energy                    </v>
          </cell>
          <cell r="D26">
            <v>25</v>
          </cell>
          <cell r="E26">
            <v>25</v>
          </cell>
          <cell r="G26">
            <v>0.63354037267080743</v>
          </cell>
          <cell r="H26">
            <v>0.63963963963963955</v>
          </cell>
          <cell r="I26">
            <v>0.52745098039215688</v>
          </cell>
          <cell r="J26">
            <v>0.68882978723404253</v>
          </cell>
          <cell r="K26">
            <v>0.62371134020618557</v>
          </cell>
          <cell r="L26">
            <v>0.63215258855585832</v>
          </cell>
          <cell r="M26">
            <v>0.58288770053475936</v>
          </cell>
          <cell r="N26">
            <v>0.65432098765432101</v>
          </cell>
          <cell r="O26">
            <v>0.77655677655677657</v>
          </cell>
          <cell r="P26">
            <v>0.79699248120300747</v>
          </cell>
          <cell r="Q26">
            <v>0.84693877551020413</v>
          </cell>
        </row>
        <row r="27">
          <cell r="B27" t="str">
            <v>DUK</v>
          </cell>
          <cell r="C27" t="str">
            <v xml:space="preserve">Duke Energy                   </v>
          </cell>
          <cell r="D27">
            <v>26</v>
          </cell>
          <cell r="E27">
            <v>26</v>
          </cell>
          <cell r="G27">
            <v>0.90566037735849059</v>
          </cell>
          <cell r="H27">
            <v>0.79024390243902454</v>
          </cell>
          <cell r="I27">
            <v>0.76271186440677963</v>
          </cell>
          <cell r="J27">
            <v>0.77638190954773867</v>
          </cell>
          <cell r="K27">
            <v>0.81671159029649587</v>
          </cell>
          <cell r="L27">
            <v>0.71739130434782616</v>
          </cell>
          <cell r="M27">
            <v>0.72388059701492546</v>
          </cell>
          <cell r="N27">
            <v>0.83185840707964598</v>
          </cell>
          <cell r="O27">
            <v>0.89108910891089121</v>
          </cell>
          <cell r="P27">
            <v>0.71666666666666667</v>
          </cell>
          <cell r="Q27">
            <v>0</v>
          </cell>
        </row>
        <row r="28">
          <cell r="B28" t="str">
            <v>EIX</v>
          </cell>
          <cell r="C28" t="str">
            <v xml:space="preserve">Edison Int'l                  </v>
          </cell>
          <cell r="D28">
            <v>27</v>
          </cell>
          <cell r="E28">
            <v>27</v>
          </cell>
          <cell r="G28">
            <v>0.50329949238578686</v>
          </cell>
          <cell r="H28">
            <v>0.4175903614457831</v>
          </cell>
          <cell r="I28">
            <v>0.34249422632794457</v>
          </cell>
          <cell r="J28">
            <v>0.36190476190476195</v>
          </cell>
          <cell r="K28">
            <v>0.28857142857142859</v>
          </cell>
          <cell r="L28">
            <v>0.39783281733746129</v>
          </cell>
          <cell r="M28">
            <v>0.37761194029850742</v>
          </cell>
          <cell r="N28">
            <v>0.38425925925925924</v>
          </cell>
          <cell r="O28">
            <v>0.3328804347826087</v>
          </cell>
          <cell r="P28">
            <v>0.35391566265060243</v>
          </cell>
          <cell r="Q28">
            <v>0.33536585365853661</v>
          </cell>
        </row>
        <row r="29">
          <cell r="B29" t="str">
            <v>EE</v>
          </cell>
          <cell r="C29" t="str">
            <v xml:space="preserve">El Paso Electric              </v>
          </cell>
          <cell r="D29">
            <v>28</v>
          </cell>
          <cell r="E29">
            <v>28</v>
          </cell>
          <cell r="G29">
            <v>0.5125523012552301</v>
          </cell>
          <cell r="H29">
            <v>0.57389162561576357</v>
          </cell>
          <cell r="I29">
            <v>0.486784140969163</v>
          </cell>
          <cell r="J29">
            <v>0.47499999999999992</v>
          </cell>
          <cell r="K29">
            <v>0.42920353982300885</v>
          </cell>
          <cell r="L29">
            <v>0.26612903225806456</v>
          </cell>
          <cell r="M29">
            <v>0</v>
          </cell>
          <cell r="N29">
            <v>0</v>
          </cell>
          <cell r="O29">
            <v>0</v>
          </cell>
          <cell r="P29">
            <v>0</v>
          </cell>
          <cell r="Q29">
            <v>0</v>
          </cell>
        </row>
        <row r="30">
          <cell r="B30" t="str">
            <v>EDE</v>
          </cell>
          <cell r="C30" t="str">
            <v>Empire District Electric</v>
          </cell>
          <cell r="D30" t="e">
            <v>#N/A</v>
          </cell>
          <cell r="E30" t="e">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row>
        <row r="31">
          <cell r="B31" t="str">
            <v>ETR</v>
          </cell>
          <cell r="C31" t="str">
            <v xml:space="preserve">Entergy Corp.                 </v>
          </cell>
          <cell r="D31">
            <v>29</v>
          </cell>
          <cell r="E31">
            <v>29</v>
          </cell>
          <cell r="G31">
            <v>0.49709302325581395</v>
          </cell>
          <cell r="H31">
            <v>0.57487091222030984</v>
          </cell>
          <cell r="I31">
            <v>0.57538994800693244</v>
          </cell>
          <cell r="J31">
            <v>0.66935483870967738</v>
          </cell>
          <cell r="K31">
            <v>0.55149501661129574</v>
          </cell>
          <cell r="L31">
            <v>0.43973509933774835</v>
          </cell>
          <cell r="M31">
            <v>0.48648648648648651</v>
          </cell>
          <cell r="N31">
            <v>0.47619047619047622</v>
          </cell>
          <cell r="O31">
            <v>0.48387096774193544</v>
          </cell>
          <cell r="P31">
            <v>0.46071428571428574</v>
          </cell>
          <cell r="Q31">
            <v>0.40298507462686567</v>
          </cell>
        </row>
        <row r="32">
          <cell r="B32" t="str">
            <v>ES</v>
          </cell>
          <cell r="C32" t="str">
            <v xml:space="preserve">Eversource Energy    </v>
          </cell>
          <cell r="D32">
            <v>30</v>
          </cell>
          <cell r="E32">
            <v>30</v>
          </cell>
          <cell r="G32">
            <v>0.60135135135135132</v>
          </cell>
          <cell r="H32">
            <v>0.60507246376811596</v>
          </cell>
          <cell r="I32">
            <v>0.60852713178294571</v>
          </cell>
          <cell r="J32">
            <v>0.59036144578313243</v>
          </cell>
          <cell r="K32">
            <v>0.69841269841269848</v>
          </cell>
          <cell r="L32">
            <v>0.49549549549549549</v>
          </cell>
          <cell r="M32">
            <v>0.48809523809523803</v>
          </cell>
          <cell r="N32">
            <v>0.49738219895287961</v>
          </cell>
          <cell r="O32">
            <v>0.44354838709677413</v>
          </cell>
          <cell r="P32">
            <v>0.48742138364779874</v>
          </cell>
          <cell r="Q32">
            <v>0.88414634146341464</v>
          </cell>
        </row>
        <row r="33">
          <cell r="B33" t="str">
            <v>EXC</v>
          </cell>
          <cell r="C33" t="str">
            <v xml:space="preserve">Exelon Corp.                  </v>
          </cell>
          <cell r="D33">
            <v>31</v>
          </cell>
          <cell r="E33">
            <v>31</v>
          </cell>
          <cell r="G33">
            <v>0.7</v>
          </cell>
          <cell r="H33">
            <v>0.48818897637795272</v>
          </cell>
          <cell r="I33">
            <v>0.59047619047619049</v>
          </cell>
          <cell r="J33">
            <v>0.62987012987012991</v>
          </cell>
          <cell r="K33">
            <v>1.09375</v>
          </cell>
          <cell r="L33">
            <v>0.56000000000000005</v>
          </cell>
          <cell r="M33">
            <v>0.54263565891472865</v>
          </cell>
          <cell r="N33">
            <v>0.48951048951048953</v>
          </cell>
          <cell r="O33">
            <v>0.5</v>
          </cell>
          <cell r="P33">
            <v>0.45161290322580644</v>
          </cell>
          <cell r="Q33">
            <v>0.46857142857142853</v>
          </cell>
        </row>
        <row r="34">
          <cell r="B34" t="str">
            <v>FE</v>
          </cell>
          <cell r="C34" t="str">
            <v xml:space="preserve">FirstEnergy Corp.             </v>
          </cell>
          <cell r="D34">
            <v>32</v>
          </cell>
          <cell r="E34">
            <v>32</v>
          </cell>
          <cell r="G34">
            <v>0.68571428571428561</v>
          </cell>
          <cell r="H34">
            <v>0.72</v>
          </cell>
          <cell r="I34">
            <v>1.6941176470588235</v>
          </cell>
          <cell r="J34">
            <v>0.55555555555555547</v>
          </cell>
          <cell r="K34">
            <v>1.0328638497652582</v>
          </cell>
          <cell r="L34">
            <v>1.1702127659574471</v>
          </cell>
          <cell r="M34">
            <v>0.67692307692307696</v>
          </cell>
          <cell r="N34">
            <v>0.66265060240963869</v>
          </cell>
          <cell r="O34">
            <v>0.50228310502283113</v>
          </cell>
          <cell r="P34">
            <v>0.48578199052132698</v>
          </cell>
          <cell r="Q34">
            <v>0.48429319371727753</v>
          </cell>
        </row>
        <row r="35">
          <cell r="B35" t="str">
            <v>FTS.TO</v>
          </cell>
          <cell r="C35" t="str">
            <v>Fortis Inc.</v>
          </cell>
          <cell r="D35">
            <v>33</v>
          </cell>
          <cell r="E35">
            <v>33</v>
          </cell>
          <cell r="G35">
            <v>0.82010582010582023</v>
          </cell>
          <cell r="H35">
            <v>0.67772511848341233</v>
          </cell>
          <cell r="I35">
            <v>0.94202898550724645</v>
          </cell>
          <cell r="J35">
            <v>0.76687116564417179</v>
          </cell>
          <cell r="K35">
            <v>0.73333333333333339</v>
          </cell>
          <cell r="L35">
            <v>0.67241379310344829</v>
          </cell>
          <cell r="M35">
            <v>0.6913580246913581</v>
          </cell>
          <cell r="N35">
            <v>0.6887417218543046</v>
          </cell>
          <cell r="O35">
            <v>0.65789473684210531</v>
          </cell>
          <cell r="P35">
            <v>0.63714063714063718</v>
          </cell>
          <cell r="Q35">
            <v>0.49300956585724803</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row>
        <row r="37">
          <cell r="B37" t="str">
            <v>GXP</v>
          </cell>
          <cell r="C37" t="str">
            <v xml:space="preserve">Great Plains Energy             </v>
          </cell>
          <cell r="D37">
            <v>35</v>
          </cell>
          <cell r="E37">
            <v>35</v>
          </cell>
          <cell r="G37">
            <v>0.65527950310559002</v>
          </cell>
          <cell r="H37">
            <v>0.72846715328467149</v>
          </cell>
          <cell r="I37">
            <v>0.59554140127388533</v>
          </cell>
          <cell r="J37">
            <v>0.5444444444444444</v>
          </cell>
          <cell r="K37">
            <v>0.6333333333333333</v>
          </cell>
          <cell r="L37">
            <v>0.66799999999999993</v>
          </cell>
          <cell r="M37">
            <v>0.54248366013071891</v>
          </cell>
          <cell r="N37">
            <v>0.80582524271844658</v>
          </cell>
          <cell r="O37">
            <v>1.4310344827586208</v>
          </cell>
          <cell r="P37">
            <v>0.89729729729729724</v>
          </cell>
          <cell r="Q37">
            <v>1.0246913580246912</v>
          </cell>
        </row>
        <row r="38">
          <cell r="B38" t="str">
            <v>HE</v>
          </cell>
          <cell r="C38" t="str">
            <v xml:space="preserve">Hawaiian Elec.                </v>
          </cell>
          <cell r="D38">
            <v>36</v>
          </cell>
          <cell r="E38">
            <v>36</v>
          </cell>
          <cell r="G38">
            <v>0.54148471615720528</v>
          </cell>
          <cell r="H38">
            <v>0.82666666666666666</v>
          </cell>
          <cell r="I38">
            <v>0.75609756097560976</v>
          </cell>
          <cell r="J38">
            <v>0.76543209876543206</v>
          </cell>
          <cell r="K38">
            <v>0.74251497005988032</v>
          </cell>
          <cell r="L38">
            <v>0.86111111111111116</v>
          </cell>
          <cell r="M38">
            <v>1.024793388429752</v>
          </cell>
          <cell r="N38">
            <v>1.3626373626373627</v>
          </cell>
          <cell r="O38">
            <v>1.1588785046728971</v>
          </cell>
          <cell r="P38">
            <v>1.117117117117117</v>
          </cell>
          <cell r="Q38">
            <v>0.93233082706766912</v>
          </cell>
        </row>
        <row r="39">
          <cell r="B39" t="str">
            <v>IDA</v>
          </cell>
          <cell r="C39" t="str">
            <v xml:space="preserve">IDACORP, Inc.                 </v>
          </cell>
          <cell r="D39">
            <v>37</v>
          </cell>
          <cell r="E39">
            <v>37</v>
          </cell>
          <cell r="G39">
            <v>0.52791878172588835</v>
          </cell>
          <cell r="H39">
            <v>0.49612403100775193</v>
          </cell>
          <cell r="I39">
            <v>0.45714285714285713</v>
          </cell>
          <cell r="J39">
            <v>0.43131868131868134</v>
          </cell>
          <cell r="K39">
            <v>0.40652818991097922</v>
          </cell>
          <cell r="L39">
            <v>0.35714285714285715</v>
          </cell>
          <cell r="M39">
            <v>0.40677966101694912</v>
          </cell>
          <cell r="N39">
            <v>0.45454545454545453</v>
          </cell>
          <cell r="O39">
            <v>0.55045871559633019</v>
          </cell>
          <cell r="P39">
            <v>0.64516129032258063</v>
          </cell>
          <cell r="Q39">
            <v>0.51063829787234039</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row>
        <row r="43">
          <cell r="B43" t="str">
            <v>MGEE</v>
          </cell>
          <cell r="C43" t="str">
            <v xml:space="preserve">MGE Energy                    </v>
          </cell>
          <cell r="D43">
            <v>38</v>
          </cell>
          <cell r="E43">
            <v>38</v>
          </cell>
          <cell r="G43">
            <v>0.55504587155963292</v>
          </cell>
          <cell r="H43">
            <v>0.56310679611650483</v>
          </cell>
          <cell r="I43">
            <v>0.47844827586206906</v>
          </cell>
          <cell r="J43">
            <v>0.49537037037037035</v>
          </cell>
          <cell r="K43">
            <v>0.55913978494623651</v>
          </cell>
          <cell r="L43">
            <v>0.5744318181818181</v>
          </cell>
          <cell r="M43">
            <v>0.59568086382723451</v>
          </cell>
          <cell r="N43">
            <v>0.66055668703326542</v>
          </cell>
          <cell r="O43">
            <v>0.60239445494643984</v>
          </cell>
          <cell r="P43">
            <v>0.62128222075346995</v>
          </cell>
          <cell r="Q43">
            <v>0.67516387472687545</v>
          </cell>
        </row>
        <row r="44">
          <cell r="B44" t="str">
            <v>MSEX</v>
          </cell>
          <cell r="C44" t="str">
            <v>Middlesex Water</v>
          </cell>
          <cell r="D44">
            <v>39</v>
          </cell>
          <cell r="E44">
            <v>39</v>
          </cell>
          <cell r="G44">
            <v>0.58550724637681173</v>
          </cell>
          <cell r="H44">
            <v>0.63606557377049189</v>
          </cell>
          <cell r="I44">
            <v>0.67522123893805319</v>
          </cell>
          <cell r="J44">
            <v>0.73106796116504857</v>
          </cell>
          <cell r="K44">
            <v>0.82555555555555549</v>
          </cell>
          <cell r="L44">
            <v>0.87261904761904763</v>
          </cell>
          <cell r="M44">
            <v>0.75312500000000004</v>
          </cell>
          <cell r="N44">
            <v>0.99027777777777781</v>
          </cell>
          <cell r="O44">
            <v>0.78988764044943816</v>
          </cell>
          <cell r="P44">
            <v>0.79655172413793096</v>
          </cell>
          <cell r="Q44">
            <v>0.83292682926829276</v>
          </cell>
        </row>
        <row r="45">
          <cell r="B45" t="str">
            <v>NJR</v>
          </cell>
          <cell r="C45" t="str">
            <v>New Jersey Resources</v>
          </cell>
          <cell r="D45">
            <v>40</v>
          </cell>
          <cell r="E45">
            <v>40</v>
          </cell>
          <cell r="G45">
            <v>0.60869565217391297</v>
          </cell>
          <cell r="H45">
            <v>0.52247191011235961</v>
          </cell>
          <cell r="I45">
            <v>0.41105769230769229</v>
          </cell>
          <cell r="J45">
            <v>0.59340659340659341</v>
          </cell>
          <cell r="K45">
            <v>0.56826568265682664</v>
          </cell>
          <cell r="L45">
            <v>0.55813953488372092</v>
          </cell>
          <cell r="M45">
            <v>0.55284552845528456</v>
          </cell>
          <cell r="N45">
            <v>0.51666666666666672</v>
          </cell>
          <cell r="O45">
            <v>0.41111111111111109</v>
          </cell>
          <cell r="P45">
            <v>0.65250965250965254</v>
          </cell>
          <cell r="Q45">
            <v>0.51446945337620575</v>
          </cell>
        </row>
        <row r="46">
          <cell r="B46" t="str">
            <v>NEE</v>
          </cell>
          <cell r="C46" t="str">
            <v>NextEra Energy, Inc.</v>
          </cell>
          <cell r="D46">
            <v>41</v>
          </cell>
          <cell r="E46">
            <v>41</v>
          </cell>
          <cell r="G46">
            <v>0.60207612456747406</v>
          </cell>
          <cell r="H46">
            <v>0.5082508250825083</v>
          </cell>
          <cell r="I46">
            <v>0.5178571428571429</v>
          </cell>
          <cell r="J46">
            <v>0.54658385093167705</v>
          </cell>
          <cell r="K46">
            <v>0.52631578947368418</v>
          </cell>
          <cell r="L46">
            <v>0.45643153526970953</v>
          </cell>
          <cell r="M46">
            <v>0.42194092827004215</v>
          </cell>
          <cell r="N46">
            <v>0.47607052896725438</v>
          </cell>
          <cell r="O46">
            <v>0.4373464373464373</v>
          </cell>
          <cell r="P46">
            <v>0.50152905198776754</v>
          </cell>
          <cell r="Q46">
            <v>0.46439628482972134</v>
          </cell>
        </row>
        <row r="47">
          <cell r="B47" t="str">
            <v>NI</v>
          </cell>
          <cell r="C47" t="str">
            <v xml:space="preserve">NiSource Inc.                 </v>
          </cell>
          <cell r="D47">
            <v>42</v>
          </cell>
          <cell r="E47">
            <v>42</v>
          </cell>
          <cell r="G47">
            <v>0.64</v>
          </cell>
          <cell r="H47">
            <v>1.3174603174603174</v>
          </cell>
          <cell r="I47">
            <v>0.6107784431137725</v>
          </cell>
          <cell r="J47">
            <v>0.62420382165605093</v>
          </cell>
          <cell r="K47">
            <v>0.68613138686131381</v>
          </cell>
          <cell r="L47">
            <v>0.87619047619047619</v>
          </cell>
          <cell r="M47">
            <v>0.86792452830188682</v>
          </cell>
          <cell r="N47">
            <v>1.0952380952380953</v>
          </cell>
          <cell r="O47">
            <v>0.68656716417910446</v>
          </cell>
          <cell r="P47">
            <v>0.80701754385964919</v>
          </cell>
          <cell r="Q47">
            <v>0.80701754385964919</v>
          </cell>
        </row>
        <row r="48">
          <cell r="B48" t="str">
            <v>NWN</v>
          </cell>
          <cell r="C48" t="str">
            <v>Northwest Nat. Gas</v>
          </cell>
          <cell r="D48">
            <v>43</v>
          </cell>
          <cell r="E48">
            <v>43</v>
          </cell>
          <cell r="G48">
            <v>0.88207547169811318</v>
          </cell>
          <cell r="H48">
            <v>0.94897959183673475</v>
          </cell>
          <cell r="I48">
            <v>0.85648148148148151</v>
          </cell>
          <cell r="J48">
            <v>0.8169642857142857</v>
          </cell>
          <cell r="K48">
            <v>0.80630630630630629</v>
          </cell>
          <cell r="L48">
            <v>0.73221757322175729</v>
          </cell>
          <cell r="M48">
            <v>0.61538461538461542</v>
          </cell>
          <cell r="N48">
            <v>0.56537102473498235</v>
          </cell>
          <cell r="O48">
            <v>0.59143968871595332</v>
          </cell>
          <cell r="P48">
            <v>0.52173913043478259</v>
          </cell>
          <cell r="Q48">
            <v>0.59148936170212763</v>
          </cell>
        </row>
        <row r="49">
          <cell r="B49" t="str">
            <v>NWE</v>
          </cell>
          <cell r="C49" t="str">
            <v xml:space="preserve">NorthWestern Corp             </v>
          </cell>
          <cell r="D49">
            <v>44</v>
          </cell>
          <cell r="E49">
            <v>44</v>
          </cell>
          <cell r="G49">
            <v>0.58997050147492625</v>
          </cell>
          <cell r="H49">
            <v>0.66206896551724137</v>
          </cell>
          <cell r="I49">
            <v>0.53511705685618727</v>
          </cell>
          <cell r="J49">
            <v>0.61788617886178865</v>
          </cell>
          <cell r="K49">
            <v>0.65486725663716816</v>
          </cell>
          <cell r="L49">
            <v>0.56916996047430835</v>
          </cell>
          <cell r="M49">
            <v>0.63551401869158874</v>
          </cell>
          <cell r="N49">
            <v>0.6633663366336634</v>
          </cell>
          <cell r="O49">
            <v>0.74576271186440679</v>
          </cell>
          <cell r="P49">
            <v>0.88888888888888895</v>
          </cell>
          <cell r="Q49">
            <v>0.94656488549618312</v>
          </cell>
        </row>
        <row r="50">
          <cell r="B50" t="str">
            <v>OGE</v>
          </cell>
          <cell r="C50" t="str">
            <v xml:space="preserve">OGE Energy                    </v>
          </cell>
          <cell r="D50">
            <v>45</v>
          </cell>
          <cell r="E50">
            <v>45</v>
          </cell>
          <cell r="G50">
            <v>0.68343195266272194</v>
          </cell>
          <cell r="H50">
            <v>0.62130177514792906</v>
          </cell>
          <cell r="I50">
            <v>0.47979797979797978</v>
          </cell>
          <cell r="J50">
            <v>0.43865979381443299</v>
          </cell>
          <cell r="K50">
            <v>0.44581005586592182</v>
          </cell>
          <cell r="L50">
            <v>0.44</v>
          </cell>
          <cell r="M50">
            <v>0.48963210702341131</v>
          </cell>
          <cell r="N50">
            <v>0.53684210526315779</v>
          </cell>
          <cell r="O50">
            <v>0.56144578313253002</v>
          </cell>
          <cell r="P50">
            <v>0.51818181818181819</v>
          </cell>
          <cell r="Q50">
            <v>0.54612244897959183</v>
          </cell>
        </row>
        <row r="51">
          <cell r="B51" t="str">
            <v>OGS</v>
          </cell>
          <cell r="C51" t="str">
            <v>ONE Gas Inc.</v>
          </cell>
          <cell r="D51">
            <v>46</v>
          </cell>
          <cell r="E51">
            <v>46</v>
          </cell>
          <cell r="G51">
            <v>0.52830188679245282</v>
          </cell>
          <cell r="H51">
            <v>0.5357142857142857</v>
          </cell>
          <cell r="I51">
            <v>0.40579710144927539</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47</v>
          </cell>
          <cell r="E52">
            <v>47</v>
          </cell>
          <cell r="G52">
            <v>0.78125</v>
          </cell>
          <cell r="H52">
            <v>0.78846153846153844</v>
          </cell>
          <cell r="I52">
            <v>0.78064516129032258</v>
          </cell>
          <cell r="J52">
            <v>0.86861313868613133</v>
          </cell>
          <cell r="K52">
            <v>1.1333333333333333</v>
          </cell>
          <cell r="L52">
            <v>2.6444444444444444</v>
          </cell>
          <cell r="M52">
            <v>3.1315789473684208</v>
          </cell>
          <cell r="N52">
            <v>1.676056338028169</v>
          </cell>
          <cell r="O52">
            <v>1.0917431192660549</v>
          </cell>
          <cell r="P52">
            <v>0.65730337078651679</v>
          </cell>
          <cell r="Q52">
            <v>0.68047337278106501</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row>
        <row r="54">
          <cell r="B54" t="str">
            <v>PCG</v>
          </cell>
          <cell r="C54" t="str">
            <v xml:space="preserve">PG&amp;E Corp.                    </v>
          </cell>
          <cell r="D54">
            <v>48</v>
          </cell>
          <cell r="E54">
            <v>48</v>
          </cell>
          <cell r="G54">
            <v>0.68021201413427557</v>
          </cell>
          <cell r="H54">
            <v>0.91</v>
          </cell>
          <cell r="I54">
            <v>0.59477124183006536</v>
          </cell>
          <cell r="J54">
            <v>0.99453551912568305</v>
          </cell>
          <cell r="K54">
            <v>0.87922705314009675</v>
          </cell>
          <cell r="L54">
            <v>0.65467625899280579</v>
          </cell>
          <cell r="M54">
            <v>0.64539007092198586</v>
          </cell>
          <cell r="N54">
            <v>0.5544554455445545</v>
          </cell>
          <cell r="O54">
            <v>0.48447204968944096</v>
          </cell>
          <cell r="P54">
            <v>0.51798561151079137</v>
          </cell>
          <cell r="Q54">
            <v>0.47826086956521746</v>
          </cell>
        </row>
        <row r="55">
          <cell r="B55" t="str">
            <v>PNW</v>
          </cell>
          <cell r="C55" t="str">
            <v xml:space="preserve">Pinnacle West Capital         </v>
          </cell>
          <cell r="D55">
            <v>49</v>
          </cell>
          <cell r="E55">
            <v>49</v>
          </cell>
          <cell r="G55">
            <v>0.64810126582278482</v>
          </cell>
          <cell r="H55">
            <v>0.62244897959183676</v>
          </cell>
          <cell r="I55">
            <v>0.6494413407821229</v>
          </cell>
          <cell r="J55">
            <v>0.60792349726775952</v>
          </cell>
          <cell r="K55">
            <v>0.76285714285714279</v>
          </cell>
          <cell r="L55">
            <v>0.7023411371237458</v>
          </cell>
          <cell r="M55">
            <v>0.68181818181818188</v>
          </cell>
          <cell r="N55">
            <v>0.92920353982300896</v>
          </cell>
          <cell r="O55">
            <v>0.99056603773584906</v>
          </cell>
          <cell r="P55">
            <v>0.70945945945945954</v>
          </cell>
          <cell r="Q55">
            <v>0.63880126182965302</v>
          </cell>
        </row>
        <row r="56">
          <cell r="B56" t="str">
            <v>PNM</v>
          </cell>
          <cell r="C56" t="str">
            <v xml:space="preserve">PNM Resources                 </v>
          </cell>
          <cell r="D56">
            <v>50</v>
          </cell>
          <cell r="E56">
            <v>50</v>
          </cell>
          <cell r="G56">
            <v>0.53333333333333333</v>
          </cell>
          <cell r="H56">
            <v>0.48780487804878053</v>
          </cell>
          <cell r="I56">
            <v>0.52068965517241383</v>
          </cell>
          <cell r="J56">
            <v>0.48226950354609938</v>
          </cell>
          <cell r="K56">
            <v>0.4427480916030534</v>
          </cell>
          <cell r="L56">
            <v>0.46296296296296291</v>
          </cell>
          <cell r="M56">
            <v>0.57471264367816088</v>
          </cell>
          <cell r="N56">
            <v>0.86206896551724144</v>
          </cell>
          <cell r="O56">
            <v>5.5</v>
          </cell>
          <cell r="P56">
            <v>1.1973684210526316</v>
          </cell>
          <cell r="Q56">
            <v>0.5</v>
          </cell>
        </row>
        <row r="57">
          <cell r="B57" t="str">
            <v>POR</v>
          </cell>
          <cell r="C57" t="str">
            <v xml:space="preserve">Portland General              </v>
          </cell>
          <cell r="D57">
            <v>51</v>
          </cell>
          <cell r="E57">
            <v>51</v>
          </cell>
          <cell r="G57">
            <v>0.58333333333333326</v>
          </cell>
          <cell r="H57">
            <v>0.57843137254901955</v>
          </cell>
          <cell r="I57">
            <v>0.51146788990825687</v>
          </cell>
          <cell r="J57">
            <v>0.61864406779661019</v>
          </cell>
          <cell r="K57">
            <v>0.57486631016042777</v>
          </cell>
          <cell r="L57">
            <v>0.54102564102564099</v>
          </cell>
          <cell r="M57">
            <v>0.62349397590361444</v>
          </cell>
          <cell r="N57">
            <v>0.77099236641221369</v>
          </cell>
          <cell r="O57">
            <v>0.69784172661870503</v>
          </cell>
          <cell r="P57">
            <v>0.39914163090128757</v>
          </cell>
          <cell r="Q57">
            <v>0.5921052631578948</v>
          </cell>
        </row>
        <row r="58">
          <cell r="B58" t="str">
            <v>PPL</v>
          </cell>
          <cell r="C58" t="str">
            <v xml:space="preserve">PPL Corp.                     </v>
          </cell>
          <cell r="D58">
            <v>52</v>
          </cell>
          <cell r="E58">
            <v>52</v>
          </cell>
          <cell r="G58">
            <v>0.54480286738351258</v>
          </cell>
          <cell r="H58">
            <v>0.63291139240506322</v>
          </cell>
          <cell r="I58">
            <v>0.62605042016806722</v>
          </cell>
          <cell r="J58">
            <v>0.61764705882352944</v>
          </cell>
          <cell r="K58">
            <v>0.55172413793103448</v>
          </cell>
          <cell r="L58">
            <v>0.53639846743295017</v>
          </cell>
          <cell r="M58">
            <v>0.611353711790393</v>
          </cell>
          <cell r="N58">
            <v>1.1596638655462184</v>
          </cell>
          <cell r="O58">
            <v>0.54693877551020409</v>
          </cell>
          <cell r="P58">
            <v>0.46387832699619774</v>
          </cell>
          <cell r="Q58">
            <v>0.48034934497816595</v>
          </cell>
        </row>
        <row r="59">
          <cell r="B59" t="str">
            <v>PEG</v>
          </cell>
          <cell r="C59" t="str">
            <v xml:space="preserve">Public Serv. Enterprise       </v>
          </cell>
          <cell r="D59">
            <v>53</v>
          </cell>
          <cell r="E59">
            <v>53</v>
          </cell>
          <cell r="G59">
            <v>0.57950530035335679</v>
          </cell>
          <cell r="H59">
            <v>0.47272727272727277</v>
          </cell>
          <cell r="I59">
            <v>0.49498327759197319</v>
          </cell>
          <cell r="J59">
            <v>0.58775510204081627</v>
          </cell>
          <cell r="K59">
            <v>0.58196721311475408</v>
          </cell>
          <cell r="L59">
            <v>0.44051446945337625</v>
          </cell>
          <cell r="M59">
            <v>0.44625407166123782</v>
          </cell>
          <cell r="N59">
            <v>0.43181818181818182</v>
          </cell>
          <cell r="O59">
            <v>0.44482758620689655</v>
          </cell>
          <cell r="P59">
            <v>0.45173745173745172</v>
          </cell>
          <cell r="Q59">
            <v>0.61788617886178854</v>
          </cell>
        </row>
        <row r="60">
          <cell r="B60" t="str">
            <v>SCG</v>
          </cell>
          <cell r="C60" t="str">
            <v xml:space="preserve">SCANA Corp.                   </v>
          </cell>
          <cell r="D60">
            <v>55</v>
          </cell>
          <cell r="E60">
            <v>55</v>
          </cell>
          <cell r="G60">
            <v>0.55288461538461531</v>
          </cell>
          <cell r="H60">
            <v>0.57217847769028873</v>
          </cell>
          <cell r="I60">
            <v>0.55408970976253302</v>
          </cell>
          <cell r="J60">
            <v>0.59882005899705004</v>
          </cell>
          <cell r="K60">
            <v>0.62857142857142856</v>
          </cell>
          <cell r="L60">
            <v>0.65319865319865311</v>
          </cell>
          <cell r="M60">
            <v>0.63758389261744963</v>
          </cell>
          <cell r="N60">
            <v>0.65964912280701749</v>
          </cell>
          <cell r="O60">
            <v>0.62372881355932197</v>
          </cell>
          <cell r="P60">
            <v>0.64233576642335766</v>
          </cell>
          <cell r="Q60">
            <v>0.64864864864864868</v>
          </cell>
        </row>
        <row r="61">
          <cell r="B61" t="str">
            <v>SRE</v>
          </cell>
          <cell r="C61" t="str">
            <v xml:space="preserve">Sempra Energy                 </v>
          </cell>
          <cell r="D61">
            <v>56</v>
          </cell>
          <cell r="E61">
            <v>56</v>
          </cell>
          <cell r="G61">
            <v>0.71226415094339623</v>
          </cell>
          <cell r="H61">
            <v>0.53537284894837467</v>
          </cell>
          <cell r="I61">
            <v>0.57019438444924408</v>
          </cell>
          <cell r="J61">
            <v>0.59715639810426546</v>
          </cell>
          <cell r="K61">
            <v>0.55172413793103448</v>
          </cell>
          <cell r="L61">
            <v>0.42953020134228187</v>
          </cell>
          <cell r="M61">
            <v>0.38805970149253738</v>
          </cell>
          <cell r="N61">
            <v>0.32635983263598328</v>
          </cell>
          <cell r="O61">
            <v>0.30925507900677207</v>
          </cell>
          <cell r="P61">
            <v>0.29107981220657281</v>
          </cell>
          <cell r="Q61">
            <v>0.28368794326241131</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row>
        <row r="63">
          <cell r="B63" t="str">
            <v>SJW</v>
          </cell>
          <cell r="C63" t="str">
            <v>SJW Corp.</v>
          </cell>
          <cell r="D63">
            <v>57</v>
          </cell>
          <cell r="E63">
            <v>57</v>
          </cell>
          <cell r="G63">
            <v>0.31517509727626464</v>
          </cell>
          <cell r="H63">
            <v>0.42162162162162159</v>
          </cell>
          <cell r="I63">
            <v>0.29527559055118108</v>
          </cell>
          <cell r="J63">
            <v>0.65178571428571419</v>
          </cell>
          <cell r="K63">
            <v>0.60169491525423724</v>
          </cell>
          <cell r="L63">
            <v>0.62162162162162149</v>
          </cell>
          <cell r="M63">
            <v>0.80952380952380965</v>
          </cell>
          <cell r="N63">
            <v>0.81481481481481477</v>
          </cell>
          <cell r="O63">
            <v>0.59501845018450183</v>
          </cell>
          <cell r="P63">
            <v>0.58173076923076916</v>
          </cell>
          <cell r="Q63">
            <v>0.47478991596638653</v>
          </cell>
        </row>
        <row r="64">
          <cell r="B64" t="str">
            <v>SJI</v>
          </cell>
          <cell r="C64" t="str">
            <v>South Jersey Inds.</v>
          </cell>
          <cell r="D64">
            <v>58</v>
          </cell>
          <cell r="E64">
            <v>58</v>
          </cell>
          <cell r="G64">
            <v>0.79104477611940294</v>
          </cell>
          <cell r="H64">
            <v>0.70833333333333337</v>
          </cell>
          <cell r="I64">
            <v>0.61341853035143767</v>
          </cell>
          <cell r="J64">
            <v>0.59405940594059414</v>
          </cell>
          <cell r="K64">
            <v>0.54455445544554459</v>
          </cell>
          <cell r="L64">
            <v>0.51903114186851207</v>
          </cell>
          <cell r="M64">
            <v>0.50370370370370365</v>
          </cell>
          <cell r="N64">
            <v>0.51260504201680679</v>
          </cell>
          <cell r="O64">
            <v>0.48898678414096919</v>
          </cell>
          <cell r="P64">
            <v>0.48325358851674644</v>
          </cell>
          <cell r="Q64">
            <v>0.37398373983739841</v>
          </cell>
        </row>
        <row r="65">
          <cell r="B65" t="str">
            <v>SO</v>
          </cell>
          <cell r="C65" t="str">
            <v xml:space="preserve">Southern Co.                  </v>
          </cell>
          <cell r="D65">
            <v>59</v>
          </cell>
          <cell r="E65">
            <v>59</v>
          </cell>
          <cell r="G65">
            <v>0.78551236749116604</v>
          </cell>
          <cell r="H65">
            <v>0.75809859154929582</v>
          </cell>
          <cell r="I65">
            <v>0.75198555956678703</v>
          </cell>
          <cell r="J65">
            <v>0.74555555555555542</v>
          </cell>
          <cell r="K65">
            <v>0.72771535580524349</v>
          </cell>
          <cell r="L65">
            <v>0.73450980392156873</v>
          </cell>
          <cell r="M65">
            <v>0.76398305084745766</v>
          </cell>
          <cell r="N65">
            <v>0.74698275862068975</v>
          </cell>
          <cell r="O65">
            <v>0.73911111111111116</v>
          </cell>
          <cell r="P65">
            <v>0.69956140350877194</v>
          </cell>
          <cell r="Q65">
            <v>0.73095238095238091</v>
          </cell>
        </row>
        <row r="66">
          <cell r="B66" t="str">
            <v>SWX</v>
          </cell>
          <cell r="C66" t="str">
            <v>Southwest Gas</v>
          </cell>
          <cell r="D66">
            <v>60</v>
          </cell>
          <cell r="E66">
            <v>60</v>
          </cell>
          <cell r="G66">
            <v>0.56603773584905659</v>
          </cell>
          <cell r="H66">
            <v>0.5547945205479452</v>
          </cell>
          <cell r="I66">
            <v>0.4850498338870432</v>
          </cell>
          <cell r="J66">
            <v>0.42443729903536981</v>
          </cell>
          <cell r="K66">
            <v>0.41258741258741261</v>
          </cell>
          <cell r="L66">
            <v>0.43621399176954734</v>
          </cell>
          <cell r="M66">
            <v>0.44052863436123346</v>
          </cell>
          <cell r="N66">
            <v>0.48969072164948452</v>
          </cell>
          <cell r="O66">
            <v>0.64748201438848929</v>
          </cell>
          <cell r="P66">
            <v>0.44102564102564101</v>
          </cell>
          <cell r="Q66">
            <v>0.41414141414141414</v>
          </cell>
        </row>
        <row r="67">
          <cell r="B67" t="str">
            <v>SR</v>
          </cell>
          <cell r="C67" t="str">
            <v>Spire Inc.</v>
          </cell>
          <cell r="D67">
            <v>61</v>
          </cell>
          <cell r="E67">
            <v>61</v>
          </cell>
          <cell r="G67">
            <v>0.60493827160493818</v>
          </cell>
          <cell r="H67">
            <v>0.58227848101265822</v>
          </cell>
          <cell r="I67">
            <v>0.74893617021276593</v>
          </cell>
          <cell r="J67">
            <v>0.84158415841584155</v>
          </cell>
          <cell r="K67">
            <v>0.59498207885304655</v>
          </cell>
          <cell r="L67">
            <v>0.56293706293706303</v>
          </cell>
          <cell r="M67">
            <v>0.64609053497942381</v>
          </cell>
          <cell r="N67">
            <v>0.52397260273972601</v>
          </cell>
          <cell r="O67">
            <v>0.56439393939393934</v>
          </cell>
          <cell r="P67">
            <v>0.62770562770562766</v>
          </cell>
          <cell r="Q67">
            <v>0.59071729957805896</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row>
        <row r="69">
          <cell r="B69" t="str">
            <v>UGI</v>
          </cell>
          <cell r="C69" t="str">
            <v>UGI Corp.</v>
          </cell>
          <cell r="D69">
            <v>63</v>
          </cell>
          <cell r="E69">
            <v>63</v>
          </cell>
          <cell r="G69">
            <v>0.45365853658536592</v>
          </cell>
          <cell r="H69">
            <v>0.44278606965174133</v>
          </cell>
          <cell r="I69">
            <v>0.41197916666666667</v>
          </cell>
          <cell r="J69">
            <v>0.46453232893910862</v>
          </cell>
          <cell r="K69">
            <v>0.60272804774083544</v>
          </cell>
          <cell r="L69">
            <v>0.49526584122359801</v>
          </cell>
          <cell r="M69">
            <v>0.3780718336483932</v>
          </cell>
          <cell r="N69">
            <v>0.3324856961220598</v>
          </cell>
          <cell r="O69">
            <v>0.37905048982667672</v>
          </cell>
          <cell r="P69">
            <v>0.40762711864406781</v>
          </cell>
          <cell r="Q69">
            <v>0.41363636363636364</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row>
        <row r="72">
          <cell r="B72" t="str">
            <v>UTL</v>
          </cell>
          <cell r="C72" t="str">
            <v xml:space="preserve">UNITIL Corp.                  </v>
          </cell>
          <cell r="D72">
            <v>64</v>
          </cell>
          <cell r="E72">
            <v>64</v>
          </cell>
          <cell r="G72">
            <v>0.73195876288659789</v>
          </cell>
          <cell r="H72">
            <v>0.7407407407407407</v>
          </cell>
          <cell r="I72">
            <v>0.77374301675977653</v>
          </cell>
          <cell r="J72">
            <v>0.87898089171974514</v>
          </cell>
          <cell r="K72">
            <v>0.965034965034965</v>
          </cell>
          <cell r="L72">
            <v>0.91999999999999993</v>
          </cell>
          <cell r="M72">
            <v>1.5681818181818181</v>
          </cell>
          <cell r="N72">
            <v>1.3398058252427183</v>
          </cell>
          <cell r="O72">
            <v>0.83636363636363631</v>
          </cell>
          <cell r="P72">
            <v>0.9078947368421052</v>
          </cell>
          <cell r="Q72">
            <v>0.97872340425531912</v>
          </cell>
        </row>
        <row r="73">
          <cell r="B73" t="str">
            <v>VVC</v>
          </cell>
          <cell r="C73" t="str">
            <v xml:space="preserve">Vectren Corp.                 </v>
          </cell>
          <cell r="D73">
            <v>65</v>
          </cell>
          <cell r="E73">
            <v>65</v>
          </cell>
          <cell r="G73">
            <v>0.6352941176470589</v>
          </cell>
          <cell r="H73">
            <v>0.64435146443514646</v>
          </cell>
          <cell r="I73">
            <v>0.72277227722772275</v>
          </cell>
          <cell r="J73">
            <v>0.85843373493975905</v>
          </cell>
          <cell r="K73">
            <v>0.72422680412371132</v>
          </cell>
          <cell r="L73">
            <v>0.80057803468208089</v>
          </cell>
          <cell r="M73">
            <v>0.83536585365853666</v>
          </cell>
          <cell r="N73">
            <v>0.75418994413407825</v>
          </cell>
          <cell r="O73">
            <v>0.80368098159509216</v>
          </cell>
          <cell r="P73">
            <v>0.69398907103825136</v>
          </cell>
          <cell r="Q73">
            <v>0.85416666666666674</v>
          </cell>
        </row>
        <row r="74">
          <cell r="B74" t="str">
            <v>WEC</v>
          </cell>
          <cell r="C74" t="str">
            <v>WEC Energy Group</v>
          </cell>
          <cell r="D74">
            <v>66</v>
          </cell>
          <cell r="E74">
            <v>66</v>
          </cell>
          <cell r="G74">
            <v>0.66891891891891897</v>
          </cell>
          <cell r="H74">
            <v>0.74358974358974361</v>
          </cell>
          <cell r="I74">
            <v>0.60231660231660233</v>
          </cell>
          <cell r="J74">
            <v>0.57569721115537853</v>
          </cell>
          <cell r="K74">
            <v>0.51063829787234039</v>
          </cell>
          <cell r="L74">
            <v>0.47706422018348621</v>
          </cell>
          <cell r="M74">
            <v>0.41666666666666669</v>
          </cell>
          <cell r="N74">
            <v>0.421875</v>
          </cell>
          <cell r="O74">
            <v>0.35643564356435647</v>
          </cell>
          <cell r="P74">
            <v>0.35211267605633806</v>
          </cell>
          <cell r="Q74">
            <v>0.34848484848484851</v>
          </cell>
        </row>
        <row r="75">
          <cell r="B75" t="str">
            <v>WR</v>
          </cell>
          <cell r="C75" t="str">
            <v xml:space="preserve">Westar Energy                 </v>
          </cell>
          <cell r="D75">
            <v>67</v>
          </cell>
          <cell r="E75">
            <v>67</v>
          </cell>
          <cell r="G75">
            <v>0.625514403292181</v>
          </cell>
          <cell r="H75">
            <v>0.68899521531100483</v>
          </cell>
          <cell r="I75">
            <v>0.5957446808510638</v>
          </cell>
          <cell r="J75">
            <v>0.59911894273127753</v>
          </cell>
          <cell r="K75">
            <v>0.61395348837209307</v>
          </cell>
          <cell r="L75">
            <v>0.71508379888268159</v>
          </cell>
          <cell r="M75">
            <v>0.68888888888888888</v>
          </cell>
          <cell r="N75">
            <v>0.9375</v>
          </cell>
          <cell r="O75">
            <v>0.88549618320610679</v>
          </cell>
          <cell r="P75">
            <v>0.58695652173913049</v>
          </cell>
          <cell r="Q75">
            <v>0.52127659574468088</v>
          </cell>
        </row>
        <row r="76">
          <cell r="B76" t="str">
            <v>WGL</v>
          </cell>
          <cell r="C76" t="str">
            <v>WGL Holdings Inc.</v>
          </cell>
          <cell r="D76">
            <v>68</v>
          </cell>
          <cell r="E76">
            <v>68</v>
          </cell>
          <cell r="G76">
            <v>0.5902140672782874</v>
          </cell>
          <cell r="H76">
            <v>0.57911392405063289</v>
          </cell>
          <cell r="I76">
            <v>0.64179104477611937</v>
          </cell>
          <cell r="J76">
            <v>0.7186147186147186</v>
          </cell>
          <cell r="K76">
            <v>0.59328358208955223</v>
          </cell>
          <cell r="L76">
            <v>0.68888888888888888</v>
          </cell>
          <cell r="M76">
            <v>0.66079295154185025</v>
          </cell>
          <cell r="N76">
            <v>0.58102766798418981</v>
          </cell>
          <cell r="O76">
            <v>0.57704918032786878</v>
          </cell>
          <cell r="P76">
            <v>0.65311004784688997</v>
          </cell>
          <cell r="Q76">
            <v>0.69329896907216493</v>
          </cell>
        </row>
        <row r="77">
          <cell r="B77" t="str">
            <v>XEL</v>
          </cell>
          <cell r="C77" t="str">
            <v xml:space="preserve">Xcel Energy Inc.              </v>
          </cell>
          <cell r="D77">
            <v>69</v>
          </cell>
          <cell r="E77">
            <v>69</v>
          </cell>
          <cell r="G77">
            <v>0.61538461538461542</v>
          </cell>
          <cell r="H77">
            <v>0.60952380952380947</v>
          </cell>
          <cell r="I77">
            <v>0.59113300492610843</v>
          </cell>
          <cell r="J77">
            <v>0.5811518324607331</v>
          </cell>
          <cell r="K77">
            <v>0.57837837837837835</v>
          </cell>
          <cell r="L77">
            <v>0.59883720930232565</v>
          </cell>
          <cell r="M77">
            <v>0.64102564102564097</v>
          </cell>
          <cell r="N77">
            <v>0.65100671140939592</v>
          </cell>
          <cell r="O77">
            <v>0.64383561643835618</v>
          </cell>
          <cell r="P77">
            <v>0.67407407407407405</v>
          </cell>
          <cell r="Q77">
            <v>0.65185185185185179</v>
          </cell>
        </row>
        <row r="78">
          <cell r="B78" t="str">
            <v>YORW</v>
          </cell>
          <cell r="C78" t="str">
            <v>York Water Co. (The)</v>
          </cell>
          <cell r="D78">
            <v>70</v>
          </cell>
          <cell r="E78">
            <v>70</v>
          </cell>
          <cell r="G78" t="str">
            <v>N/A</v>
          </cell>
          <cell r="H78">
            <v>0.61855670103092786</v>
          </cell>
          <cell r="I78">
            <v>0.64269662921348303</v>
          </cell>
          <cell r="J78">
            <v>0.7360000000000001</v>
          </cell>
          <cell r="K78">
            <v>0.74861111111111123</v>
          </cell>
          <cell r="L78">
            <v>0.74225352112676068</v>
          </cell>
          <cell r="M78">
            <v>0.72535211267605637</v>
          </cell>
          <cell r="N78">
            <v>0.79062500000000002</v>
          </cell>
          <cell r="O78">
            <v>0.85789473684210527</v>
          </cell>
          <cell r="P78">
            <v>0.83333333333333337</v>
          </cell>
          <cell r="Q78">
            <v>0.78275862068965529</v>
          </cell>
        </row>
      </sheetData>
      <sheetData sheetId="22">
        <row r="5">
          <cell r="B5" t="str">
            <v>ALE</v>
          </cell>
          <cell r="C5" t="str">
            <v xml:space="preserve">ALLETE                        </v>
          </cell>
          <cell r="D5">
            <v>3</v>
          </cell>
          <cell r="E5">
            <v>3</v>
          </cell>
          <cell r="G5">
            <v>1.321942110177404</v>
          </cell>
          <cell r="H5">
            <v>1.162472179421332</v>
          </cell>
          <cell r="I5">
            <v>0.45476400352592355</v>
          </cell>
          <cell r="J5">
            <v>0.67359798361688716</v>
          </cell>
          <cell r="K5">
            <v>0.48626080201961358</v>
          </cell>
          <cell r="L5">
            <v>0.77002664994513248</v>
          </cell>
          <cell r="M5">
            <v>0.62591687041564792</v>
          </cell>
          <cell r="N5">
            <v>0.39467285587975243</v>
          </cell>
          <cell r="O5">
            <v>0.45831528800346466</v>
          </cell>
          <cell r="P5">
            <v>0.64747252747252737</v>
          </cell>
          <cell r="Q5">
            <v>1.2317979197622584</v>
          </cell>
        </row>
        <row r="6">
          <cell r="B6" t="str">
            <v>LNT</v>
          </cell>
          <cell r="C6" t="str">
            <v xml:space="preserve">Alliant Energy                </v>
          </cell>
          <cell r="D6">
            <v>4</v>
          </cell>
          <cell r="E6">
            <v>4</v>
          </cell>
          <cell r="G6" t="str">
            <v>N/A</v>
          </cell>
          <cell r="H6">
            <v>0.81120527306967982</v>
          </cell>
          <cell r="I6">
            <v>0.91007669928590318</v>
          </cell>
          <cell r="J6">
            <v>1.0075369309617124</v>
          </cell>
          <cell r="K6">
            <v>0.56507571401188428</v>
          </cell>
          <cell r="L6">
            <v>0.90801186943620182</v>
          </cell>
          <cell r="M6">
            <v>0.66615502686108985</v>
          </cell>
          <cell r="N6">
            <v>0.3870077291129923</v>
          </cell>
          <cell r="O6">
            <v>0.57250565468710735</v>
          </cell>
          <cell r="P6">
            <v>1.0419381107491859</v>
          </cell>
          <cell r="Q6">
            <v>1.2653419053185271</v>
          </cell>
        </row>
        <row r="7">
          <cell r="B7" t="str">
            <v>AWR</v>
          </cell>
          <cell r="C7" t="str">
            <v>Amer. States Water</v>
          </cell>
          <cell r="D7">
            <v>6</v>
          </cell>
          <cell r="E7">
            <v>6</v>
          </cell>
          <cell r="G7">
            <v>0.76119402985074625</v>
          </cell>
          <cell r="H7">
            <v>1.1743311036789299</v>
          </cell>
          <cell r="I7">
            <v>1.4086589229144668</v>
          </cell>
          <cell r="J7">
            <v>1.0552683896620279</v>
          </cell>
          <cell r="K7">
            <v>1.4027149321266967</v>
          </cell>
          <cell r="L7">
            <v>1.0009389671361504</v>
          </cell>
          <cell r="M7">
            <v>0.9971711456859973</v>
          </cell>
          <cell r="N7">
            <v>0.81435406698564594</v>
          </cell>
          <cell r="O7">
            <v>0.75741239892183287</v>
          </cell>
          <cell r="P7">
            <v>1.1423635107118175</v>
          </cell>
          <cell r="Q7">
            <v>0.74091141833077323</v>
          </cell>
        </row>
        <row r="8">
          <cell r="B8" t="str">
            <v>AWK</v>
          </cell>
          <cell r="C8" t="str">
            <v>Amer. Water Works</v>
          </cell>
          <cell r="D8">
            <v>7</v>
          </cell>
          <cell r="E8">
            <v>7</v>
          </cell>
          <cell r="G8">
            <v>0.71471267490830059</v>
          </cell>
          <cell r="H8">
            <v>0.78868910404180115</v>
          </cell>
          <cell r="I8">
            <v>0.89207957957957951</v>
          </cell>
          <cell r="J8">
            <v>0.79268957992362254</v>
          </cell>
          <cell r="K8">
            <v>0.81379836096817226</v>
          </cell>
          <cell r="L8">
            <v>0.70940170940170943</v>
          </cell>
          <cell r="M8">
            <v>0.81302857142857143</v>
          </cell>
          <cell r="N8">
            <v>0.64198354458527906</v>
          </cell>
          <cell r="O8">
            <v>0.45440126883425858</v>
          </cell>
          <cell r="P8">
            <v>-9.8713351613583647E-2</v>
          </cell>
          <cell r="Q8">
            <v>0.15005807200929153</v>
          </cell>
        </row>
        <row r="9">
          <cell r="B9" t="str">
            <v>AEE</v>
          </cell>
          <cell r="C9" t="str">
            <v xml:space="preserve">Ameren Corp.                  </v>
          </cell>
          <cell r="D9">
            <v>8</v>
          </cell>
          <cell r="E9">
            <v>8</v>
          </cell>
          <cell r="G9">
            <v>0.74985767960833438</v>
          </cell>
          <cell r="H9">
            <v>0.74910659272951319</v>
          </cell>
          <cell r="I9">
            <v>0.75306708431218994</v>
          </cell>
          <cell r="J9">
            <v>0.89401942409269042</v>
          </cell>
          <cell r="K9">
            <v>1.0705432008749545</v>
          </cell>
          <cell r="L9">
            <v>1.305043323705843</v>
          </cell>
          <cell r="M9">
            <v>1.3568518121381083</v>
          </cell>
          <cell r="N9">
            <v>0.8059880239520959</v>
          </cell>
          <cell r="O9">
            <v>0.66068130515083112</v>
          </cell>
          <cell r="P9">
            <v>0.97239792984473838</v>
          </cell>
          <cell r="Q9">
            <v>1.2056112224448898</v>
          </cell>
        </row>
        <row r="10">
          <cell r="B10" t="str">
            <v>AEP</v>
          </cell>
          <cell r="C10" t="str">
            <v>American Electric Power</v>
          </cell>
          <cell r="D10">
            <v>5</v>
          </cell>
          <cell r="E10">
            <v>5</v>
          </cell>
          <cell r="G10">
            <v>0.84817225838758137</v>
          </cell>
          <cell r="H10">
            <v>0.85172929120409901</v>
          </cell>
          <cell r="I10">
            <v>0.87229387379087986</v>
          </cell>
          <cell r="J10">
            <v>0.90613298902517747</v>
          </cell>
          <cell r="K10">
            <v>1.0730345790044968</v>
          </cell>
          <cell r="L10">
            <v>1.189198606271777</v>
          </cell>
          <cell r="M10">
            <v>1.2420055270430319</v>
          </cell>
          <cell r="N10">
            <v>1.0205037132709074</v>
          </cell>
          <cell r="O10">
            <v>0.69535143932458554</v>
          </cell>
          <cell r="P10">
            <v>0.7654543407273956</v>
          </cell>
          <cell r="Q10">
            <v>0.74971891162581517</v>
          </cell>
        </row>
        <row r="11">
          <cell r="B11" t="str">
            <v>WTR</v>
          </cell>
          <cell r="C11" t="str">
            <v>Aqua America</v>
          </cell>
          <cell r="D11">
            <v>10</v>
          </cell>
          <cell r="E11">
            <v>10</v>
          </cell>
          <cell r="G11">
            <v>0.95877721167207042</v>
          </cell>
          <cell r="H11">
            <v>0.90609874152952574</v>
          </cell>
          <cell r="I11">
            <v>1.0255434782608694</v>
          </cell>
          <cell r="J11">
            <v>1.0519630484988454</v>
          </cell>
          <cell r="K11">
            <v>0.76108870967741937</v>
          </cell>
          <cell r="L11">
            <v>0.76050420168067223</v>
          </cell>
          <cell r="M11">
            <v>0.75026399155227042</v>
          </cell>
          <cell r="N11">
            <v>0.77316486161251508</v>
          </cell>
          <cell r="O11">
            <v>0.71898734177215184</v>
          </cell>
          <cell r="P11">
            <v>0.76890756302521013</v>
          </cell>
          <cell r="Q11">
            <v>0.61472915398660988</v>
          </cell>
        </row>
        <row r="12">
          <cell r="B12" t="str">
            <v>ATO</v>
          </cell>
          <cell r="C12" t="str">
            <v>Atmos Energy</v>
          </cell>
          <cell r="D12">
            <v>12</v>
          </cell>
          <cell r="E12">
            <v>12</v>
          </cell>
          <cell r="G12">
            <v>0.5917957544463569</v>
          </cell>
          <cell r="H12">
            <v>0.60495368924966175</v>
          </cell>
          <cell r="I12">
            <v>0.6510817307692307</v>
          </cell>
          <cell r="J12">
            <v>0.55121741928563772</v>
          </cell>
          <cell r="K12">
            <v>0.58638098756310786</v>
          </cell>
          <cell r="L12">
            <v>0.68444702130743595</v>
          </cell>
          <cell r="M12">
            <v>0.77068793619142573</v>
          </cell>
          <cell r="N12">
            <v>0.77892824704813812</v>
          </cell>
          <cell r="O12">
            <v>0.80634615384615371</v>
          </cell>
          <cell r="P12">
            <v>0.94127020259503758</v>
          </cell>
          <cell r="Q12">
            <v>0.81798962137228526</v>
          </cell>
        </row>
        <row r="13">
          <cell r="B13" t="str">
            <v>AGR</v>
          </cell>
          <cell r="C13" t="str">
            <v>Avangrid, Inc.</v>
          </cell>
          <cell r="D13">
            <v>13</v>
          </cell>
          <cell r="E13">
            <v>13</v>
          </cell>
          <cell r="G13">
            <v>0.85771180304127448</v>
          </cell>
          <cell r="H13">
            <v>0.88923779617470744</v>
          </cell>
          <cell r="I13" t="str">
            <v>N/A</v>
          </cell>
          <cell r="J13" t="str">
            <v>N/A</v>
          </cell>
          <cell r="K13" t="str">
            <v>N/A</v>
          </cell>
          <cell r="L13" t="str">
            <v>N/A</v>
          </cell>
          <cell r="M13" t="str">
            <v>N/A</v>
          </cell>
          <cell r="N13" t="str">
            <v>N/A</v>
          </cell>
          <cell r="O13" t="str">
            <v>N/A</v>
          </cell>
          <cell r="P13" t="str">
            <v>N/A</v>
          </cell>
          <cell r="Q13" t="str">
            <v>N/A</v>
          </cell>
        </row>
        <row r="14">
          <cell r="B14" t="str">
            <v>AVA</v>
          </cell>
          <cell r="C14" t="str">
            <v xml:space="preserve">Avista Corp.                  </v>
          </cell>
          <cell r="D14">
            <v>14</v>
          </cell>
          <cell r="E14">
            <v>14</v>
          </cell>
          <cell r="G14">
            <v>0.83504179151553382</v>
          </cell>
          <cell r="H14">
            <v>0.76183844011142066</v>
          </cell>
          <cell r="I14">
            <v>0.79576178297405908</v>
          </cell>
          <cell r="J14">
            <v>0.86422200198216059</v>
          </cell>
          <cell r="K14">
            <v>0.80212397052449069</v>
          </cell>
          <cell r="L14">
            <v>0.89938154138915327</v>
          </cell>
          <cell r="M14">
            <v>0.99450851180669964</v>
          </cell>
          <cell r="N14">
            <v>1.1526697770865733</v>
          </cell>
          <cell r="O14">
            <v>0.97333007095669211</v>
          </cell>
          <cell r="P14">
            <v>0.72531551596139565</v>
          </cell>
          <cell r="Q14">
            <v>1.3584605597964376</v>
          </cell>
        </row>
        <row r="15">
          <cell r="B15" t="str">
            <v>BKH</v>
          </cell>
          <cell r="C15" t="str">
            <v xml:space="preserve">Black Hills                   </v>
          </cell>
          <cell r="D15">
            <v>15</v>
          </cell>
          <cell r="E15">
            <v>15</v>
          </cell>
          <cell r="G15">
            <v>0.70665617270069714</v>
          </cell>
          <cell r="H15">
            <v>0.63673148252219847</v>
          </cell>
          <cell r="I15">
            <v>0.70011210762331844</v>
          </cell>
          <cell r="J15">
            <v>0.74372804816859006</v>
          </cell>
          <cell r="K15">
            <v>0.70777412003038742</v>
          </cell>
          <cell r="L15">
            <v>0.39928236818498958</v>
          </cell>
          <cell r="M15">
            <v>0.4050843233363795</v>
          </cell>
          <cell r="N15">
            <v>0.60813391753735535</v>
          </cell>
          <cell r="O15">
            <v>0.34688124045577351</v>
          </cell>
          <cell r="P15">
            <v>0.76456977584960228</v>
          </cell>
          <cell r="Q15">
            <v>0.54500216356555609</v>
          </cell>
        </row>
        <row r="16">
          <cell r="B16" t="str">
            <v>CWT</v>
          </cell>
          <cell r="C16" t="str">
            <v>California Water</v>
          </cell>
          <cell r="D16">
            <v>16</v>
          </cell>
          <cell r="E16">
            <v>16</v>
          </cell>
          <cell r="G16">
            <v>0.49046721139744404</v>
          </cell>
          <cell r="H16">
            <v>0.60097455332972394</v>
          </cell>
          <cell r="I16">
            <v>0.89351684172401302</v>
          </cell>
          <cell r="J16">
            <v>0.858307453416149</v>
          </cell>
          <cell r="K16">
            <v>0.76224926011180538</v>
          </cell>
          <cell r="L16">
            <v>0.72996823155665369</v>
          </cell>
          <cell r="M16">
            <v>0.64963012777404161</v>
          </cell>
          <cell r="N16">
            <v>0.7262485918137439</v>
          </cell>
          <cell r="O16">
            <v>0.77187888842803809</v>
          </cell>
          <cell r="P16">
            <v>0.84937466014138119</v>
          </cell>
          <cell r="Q16">
            <v>0.63440860215053774</v>
          </cell>
        </row>
        <row r="17">
          <cell r="B17" t="str">
            <v>CNP</v>
          </cell>
          <cell r="C17" t="str">
            <v xml:space="preserve">CenterPoint Energy            </v>
          </cell>
          <cell r="D17">
            <v>17</v>
          </cell>
          <cell r="E17">
            <v>17</v>
          </cell>
          <cell r="G17">
            <v>1.1203167834297898</v>
          </cell>
          <cell r="H17">
            <v>0.92290988056460366</v>
          </cell>
          <cell r="I17">
            <v>1.2041901188242652</v>
          </cell>
          <cell r="J17">
            <v>1.1817878585723816</v>
          </cell>
          <cell r="K17">
            <v>1.3724867724867724</v>
          </cell>
          <cell r="L17">
            <v>1.1223021582733814</v>
          </cell>
          <cell r="M17">
            <v>0.88347875035181533</v>
          </cell>
          <cell r="N17">
            <v>0.99324552516041875</v>
          </cell>
          <cell r="O17">
            <v>1.1598235493722431</v>
          </cell>
          <cell r="P17">
            <v>0.98290845886442635</v>
          </cell>
          <cell r="Q17">
            <v>1.0794145126128933</v>
          </cell>
        </row>
        <row r="18">
          <cell r="B18" t="str">
            <v>CHG</v>
          </cell>
          <cell r="C18" t="str">
            <v xml:space="preserve">CH Energy Group               </v>
          </cell>
          <cell r="D18" t="e">
            <v>#N/A</v>
          </cell>
          <cell r="E18" t="e">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row>
        <row r="19">
          <cell r="B19" t="str">
            <v>CPK</v>
          </cell>
          <cell r="C19" t="str">
            <v>Chesapeake Utilities</v>
          </cell>
          <cell r="D19">
            <v>18</v>
          </cell>
          <cell r="E19">
            <v>18</v>
          </cell>
          <cell r="G19">
            <v>0.4955369997120645</v>
          </cell>
          <cell r="H19">
            <v>0.53347412882787748</v>
          </cell>
          <cell r="I19">
            <v>0.71006006006006006</v>
          </cell>
          <cell r="J19">
            <v>0.64736528728788334</v>
          </cell>
          <cell r="K19">
            <v>0.79048380647740912</v>
          </cell>
          <cell r="L19">
            <v>1.1244661378889567</v>
          </cell>
          <cell r="M19">
            <v>1.0997168921044354</v>
          </cell>
          <cell r="N19">
            <v>1.1377118644067798</v>
          </cell>
          <cell r="O19">
            <v>0.83250083250083251</v>
          </cell>
          <cell r="P19">
            <v>0.81897952551186226</v>
          </cell>
          <cell r="Q19">
            <v>0.44731977818853974</v>
          </cell>
        </row>
        <row r="20">
          <cell r="B20" t="str">
            <v>CNL</v>
          </cell>
          <cell r="C20" t="str">
            <v xml:space="preserve">Cleco Corp.                   </v>
          </cell>
          <cell r="D20" t="e">
            <v>#N/A</v>
          </cell>
          <cell r="E20" t="e">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row>
        <row r="21">
          <cell r="B21" t="str">
            <v>CMS</v>
          </cell>
          <cell r="C21" t="str">
            <v xml:space="preserve">CMS Energy Corp.              </v>
          </cell>
          <cell r="D21">
            <v>19</v>
          </cell>
          <cell r="E21">
            <v>19</v>
          </cell>
          <cell r="G21">
            <v>0.81462925851703405</v>
          </cell>
          <cell r="H21">
            <v>0.81392876129718239</v>
          </cell>
          <cell r="I21">
            <v>0.73682373472949392</v>
          </cell>
          <cell r="J21">
            <v>0.81522394055031133</v>
          </cell>
          <cell r="K21">
            <v>0.8224278949634094</v>
          </cell>
          <cell r="L21">
            <v>1.052146355517142</v>
          </cell>
          <cell r="M21">
            <v>1.1255700820918211</v>
          </cell>
          <cell r="N21">
            <v>0.96600724435775986</v>
          </cell>
          <cell r="O21">
            <v>1.1086335048599198</v>
          </cell>
          <cell r="P21">
            <v>0.54937611408199638</v>
          </cell>
          <cell r="Q21">
            <v>1.0718323910874625</v>
          </cell>
        </row>
        <row r="22">
          <cell r="B22" t="str">
            <v>CTWS</v>
          </cell>
          <cell r="C22" t="str">
            <v>Conn. Water Services</v>
          </cell>
          <cell r="D22">
            <v>20</v>
          </cell>
          <cell r="E22">
            <v>20</v>
          </cell>
          <cell r="G22">
            <v>0.55861022094788326</v>
          </cell>
          <cell r="H22">
            <v>0.74108599394080632</v>
          </cell>
          <cell r="I22">
            <v>0.72399512789281351</v>
          </cell>
          <cell r="J22">
            <v>0.87139542591978791</v>
          </cell>
          <cell r="K22">
            <v>0.94867193108399128</v>
          </cell>
          <cell r="L22">
            <v>0.80620451934124848</v>
          </cell>
          <cell r="M22">
            <v>0.66699378475629711</v>
          </cell>
          <cell r="N22">
            <v>0.58950899664531875</v>
          </cell>
          <cell r="O22">
            <v>0.79885057471264365</v>
          </cell>
          <cell r="P22">
            <v>0.84852546916890081</v>
          </cell>
          <cell r="Q22">
            <v>0.77488514548238896</v>
          </cell>
        </row>
        <row r="23">
          <cell r="B23" t="str">
            <v>ED</v>
          </cell>
          <cell r="C23" t="str">
            <v xml:space="preserve">Consol. Edison                </v>
          </cell>
          <cell r="D23">
            <v>21</v>
          </cell>
          <cell r="E23">
            <v>21</v>
          </cell>
          <cell r="G23">
            <v>0.65348914304657713</v>
          </cell>
          <cell r="H23">
            <v>0.76062553967187951</v>
          </cell>
          <cell r="I23">
            <v>0.88352100738588202</v>
          </cell>
          <cell r="J23">
            <v>0.85933533348719127</v>
          </cell>
          <cell r="K23">
            <v>1.0114649681528662</v>
          </cell>
          <cell r="L23">
            <v>0.98377010125074449</v>
          </cell>
          <cell r="M23">
            <v>0.89752802529462483</v>
          </cell>
          <cell r="N23">
            <v>0.75144212280476863</v>
          </cell>
          <cell r="O23">
            <v>0.70463638503177228</v>
          </cell>
          <cell r="P23">
            <v>0.81433408577878108</v>
          </cell>
          <cell r="Q23">
            <v>0.73585168664622247</v>
          </cell>
        </row>
        <row r="24">
          <cell r="B24" t="str">
            <v>CWCO</v>
          </cell>
          <cell r="C24" t="str">
            <v>Consolidated Water</v>
          </cell>
          <cell r="D24">
            <v>22</v>
          </cell>
          <cell r="E24">
            <v>22</v>
          </cell>
          <cell r="G24">
            <v>4.0944206008583688</v>
          </cell>
          <cell r="H24">
            <v>4.2227488151658772</v>
          </cell>
          <cell r="I24">
            <v>2.4922118380062308</v>
          </cell>
          <cell r="J24">
            <v>3.2551020408163267</v>
          </cell>
          <cell r="K24">
            <v>3.7284345047923324</v>
          </cell>
          <cell r="L24">
            <v>0.86743215031315235</v>
          </cell>
          <cell r="M24">
            <v>9.931034482758621</v>
          </cell>
          <cell r="N24">
            <v>6.7045454545454541</v>
          </cell>
          <cell r="O24">
            <v>2.0765864332603936</v>
          </cell>
          <cell r="P24">
            <v>2.2300556586270868</v>
          </cell>
          <cell r="Q24">
            <v>0.47489082969432311</v>
          </cell>
        </row>
        <row r="25">
          <cell r="B25" t="str">
            <v>D</v>
          </cell>
          <cell r="C25" t="str">
            <v xml:space="preserve">Dominion Resources            </v>
          </cell>
          <cell r="D25">
            <v>24</v>
          </cell>
          <cell r="E25">
            <v>24</v>
          </cell>
          <cell r="G25">
            <v>0.65273909006499542</v>
          </cell>
          <cell r="H25">
            <v>0.6400684565194138</v>
          </cell>
          <cell r="I25">
            <v>0.62527376259307932</v>
          </cell>
          <cell r="J25">
            <v>0.77458203457069985</v>
          </cell>
          <cell r="K25">
            <v>0.72883947185545517</v>
          </cell>
          <cell r="L25">
            <v>0.78705148205928233</v>
          </cell>
          <cell r="M25">
            <v>0.86642905634758993</v>
          </cell>
          <cell r="N25">
            <v>0.75238244024371193</v>
          </cell>
          <cell r="O25">
            <v>0.83147358057105347</v>
          </cell>
          <cell r="P25">
            <v>0.73787394713912291</v>
          </cell>
          <cell r="Q25">
            <v>0.84582256675279943</v>
          </cell>
        </row>
        <row r="26">
          <cell r="B26" t="str">
            <v>DTE</v>
          </cell>
          <cell r="C26" t="str">
            <v xml:space="preserve">DTE Energy                    </v>
          </cell>
          <cell r="D26">
            <v>25</v>
          </cell>
          <cell r="E26">
            <v>25</v>
          </cell>
          <cell r="G26">
            <v>0.93006931648679469</v>
          </cell>
          <cell r="H26">
            <v>0.83864948911594839</v>
          </cell>
          <cell r="I26">
            <v>1.023926751317267</v>
          </cell>
          <cell r="J26">
            <v>0.9557296582971494</v>
          </cell>
          <cell r="K26">
            <v>0.92528409090909092</v>
          </cell>
          <cell r="L26">
            <v>1.0910127737226278</v>
          </cell>
          <cell r="M26">
            <v>1.5076306459071989</v>
          </cell>
          <cell r="N26">
            <v>1.4993608181527642</v>
          </cell>
          <cell r="O26">
            <v>0.98040845404891941</v>
          </cell>
          <cell r="P26">
            <v>1.0662226690123147</v>
          </cell>
          <cell r="Q26">
            <v>1.0342171717171718</v>
          </cell>
        </row>
        <row r="27">
          <cell r="B27" t="str">
            <v>DUK</v>
          </cell>
          <cell r="C27" t="str">
            <v xml:space="preserve">Duke Energy                   </v>
          </cell>
          <cell r="D27">
            <v>26</v>
          </cell>
          <cell r="E27">
            <v>26</v>
          </cell>
          <cell r="G27">
            <v>0.81509701426419767</v>
          </cell>
          <cell r="H27">
            <v>0.95586739882041905</v>
          </cell>
          <cell r="I27">
            <v>1.196323046618516</v>
          </cell>
          <cell r="J27">
            <v>1.0933946595119459</v>
          </cell>
          <cell r="K27">
            <v>0.86997696442283079</v>
          </cell>
          <cell r="L27">
            <v>0.8858950806286997</v>
          </cell>
          <cell r="M27">
            <v>0.78262473485197825</v>
          </cell>
          <cell r="N27">
            <v>0.76977759723773742</v>
          </cell>
          <cell r="O27">
            <v>0.70981150314161423</v>
          </cell>
          <cell r="P27">
            <v>1.0912639655404495</v>
          </cell>
          <cell r="Q27">
            <v>0.97459727385377937</v>
          </cell>
        </row>
        <row r="28">
          <cell r="B28" t="str">
            <v>EIX</v>
          </cell>
          <cell r="C28" t="str">
            <v xml:space="preserve">Edison Int'l                  </v>
          </cell>
          <cell r="D28">
            <v>27</v>
          </cell>
          <cell r="E28">
            <v>27</v>
          </cell>
          <cell r="G28">
            <v>0.90969374400139602</v>
          </cell>
          <cell r="H28">
            <v>0.79811844540407151</v>
          </cell>
          <cell r="I28">
            <v>0.83001084327300023</v>
          </cell>
          <cell r="J28">
            <v>0.79639688575049805</v>
          </cell>
          <cell r="K28">
            <v>0.75608606879220985</v>
          </cell>
          <cell r="L28">
            <v>0.61191299044521241</v>
          </cell>
          <cell r="M28">
            <v>0.60334193918531265</v>
          </cell>
          <cell r="N28">
            <v>0.79072768787848702</v>
          </cell>
          <cell r="O28">
            <v>0.9326257498846332</v>
          </cell>
          <cell r="P28">
            <v>0.87572054415494582</v>
          </cell>
          <cell r="Q28">
            <v>0.93178314491264136</v>
          </cell>
        </row>
        <row r="29">
          <cell r="B29" t="str">
            <v>EE</v>
          </cell>
          <cell r="C29" t="str">
            <v xml:space="preserve">El Paso Electric              </v>
          </cell>
          <cell r="D29">
            <v>28</v>
          </cell>
          <cell r="E29">
            <v>28</v>
          </cell>
          <cell r="G29">
            <v>0.8503130335799659</v>
          </cell>
          <cell r="H29">
            <v>0.67220014028524666</v>
          </cell>
          <cell r="I29">
            <v>0.6908598988354312</v>
          </cell>
          <cell r="J29">
            <v>0.78566457898399444</v>
          </cell>
          <cell r="K29">
            <v>0.84505150022391395</v>
          </cell>
          <cell r="L29">
            <v>1.0254237288135593</v>
          </cell>
          <cell r="M29">
            <v>0.97835580026580582</v>
          </cell>
          <cell r="N29">
            <v>0.68398923646148679</v>
          </cell>
          <cell r="O29">
            <v>0.77665732959850597</v>
          </cell>
          <cell r="P29">
            <v>0.83531445861249198</v>
          </cell>
          <cell r="Q29">
            <v>1.2583241858763263</v>
          </cell>
        </row>
        <row r="30">
          <cell r="B30" t="str">
            <v>EDE</v>
          </cell>
          <cell r="C30" t="str">
            <v>Empire District Electric</v>
          </cell>
          <cell r="D30">
            <v>29</v>
          </cell>
          <cell r="E30" t="e">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row>
        <row r="31">
          <cell r="B31" t="str">
            <v>ETR</v>
          </cell>
          <cell r="C31" t="str">
            <v xml:space="preserve">Entergy Corp.                 </v>
          </cell>
          <cell r="D31">
            <v>30</v>
          </cell>
          <cell r="E31">
            <v>29</v>
          </cell>
          <cell r="G31">
            <v>1.0836902419261489</v>
          </cell>
          <cell r="H31">
            <v>1.0548075777433574</v>
          </cell>
          <cell r="I31">
            <v>1.1925516124679529</v>
          </cell>
          <cell r="J31">
            <v>1.0329348931841302</v>
          </cell>
          <cell r="K31">
            <v>0.87893289328932889</v>
          </cell>
          <cell r="L31">
            <v>1.1530417625780993</v>
          </cell>
          <cell r="M31">
            <v>1.2408074440942518</v>
          </cell>
          <cell r="N31">
            <v>1.0229407236335644</v>
          </cell>
          <cell r="O31">
            <v>0.92587271943686256</v>
          </cell>
          <cell r="P31">
            <v>1.1403576982892689</v>
          </cell>
          <cell r="Q31">
            <v>1.1333333333333333</v>
          </cell>
        </row>
        <row r="32">
          <cell r="B32" t="str">
            <v>ES</v>
          </cell>
          <cell r="C32" t="str">
            <v xml:space="preserve">Eversource Energy    </v>
          </cell>
          <cell r="D32">
            <v>31</v>
          </cell>
          <cell r="E32">
            <v>30</v>
          </cell>
          <cell r="G32">
            <v>0.87495992305226034</v>
          </cell>
          <cell r="H32">
            <v>0.90857247976453281</v>
          </cell>
          <cell r="I32">
            <v>0.90096857086380699</v>
          </cell>
          <cell r="J32">
            <v>1.1296256221597056</v>
          </cell>
          <cell r="K32">
            <v>0.86049488054607515</v>
          </cell>
          <cell r="L32">
            <v>0.80223757815070751</v>
          </cell>
          <cell r="M32">
            <v>1.0493621741541874</v>
          </cell>
          <cell r="N32">
            <v>0.9590021272481144</v>
          </cell>
          <cell r="O32">
            <v>0.76501986097318775</v>
          </cell>
          <cell r="P32">
            <v>0.67544843049327352</v>
          </cell>
          <cell r="Q32">
            <v>0.67219387755102034</v>
          </cell>
        </row>
        <row r="33">
          <cell r="B33" t="str">
            <v>EXC</v>
          </cell>
          <cell r="C33" t="str">
            <v xml:space="preserve">Exelon Corp.                  </v>
          </cell>
          <cell r="D33">
            <v>32</v>
          </cell>
          <cell r="E33">
            <v>31</v>
          </cell>
          <cell r="G33">
            <v>0.75680639585133969</v>
          </cell>
          <cell r="H33">
            <v>0.82058397683397688</v>
          </cell>
          <cell r="I33">
            <v>0.93477645727221292</v>
          </cell>
          <cell r="J33">
            <v>1.0686477037978706</v>
          </cell>
          <cell r="K33">
            <v>0.9754873006497341</v>
          </cell>
          <cell r="L33">
            <v>1.1872640735269981</v>
          </cell>
          <cell r="M33">
            <v>1.6555223880597016</v>
          </cell>
          <cell r="N33">
            <v>1.6623664583753275</v>
          </cell>
          <cell r="O33">
            <v>1.6121199324324325</v>
          </cell>
          <cell r="P33">
            <v>1.8358872960949084</v>
          </cell>
          <cell r="Q33">
            <v>1.8601108033240998</v>
          </cell>
        </row>
        <row r="34">
          <cell r="B34" t="str">
            <v>FE</v>
          </cell>
          <cell r="C34" t="str">
            <v xml:space="preserve">FirstEnergy Corp.             </v>
          </cell>
          <cell r="D34">
            <v>33</v>
          </cell>
          <cell r="E34">
            <v>32</v>
          </cell>
          <cell r="G34">
            <v>0.94188058840496103</v>
          </cell>
          <cell r="H34">
            <v>0.92594760720035119</v>
          </cell>
          <cell r="I34">
            <v>0.54050843430743645</v>
          </cell>
          <cell r="J34">
            <v>0.91346571966951728</v>
          </cell>
          <cell r="K34">
            <v>0.8542401580358403</v>
          </cell>
          <cell r="L34">
            <v>1.054892601431981</v>
          </cell>
          <cell r="M34">
            <v>1.3203416149068323</v>
          </cell>
          <cell r="N34">
            <v>1.2173792721737926</v>
          </cell>
          <cell r="O34">
            <v>0.95429596791218074</v>
          </cell>
          <cell r="P34">
            <v>1.5572148590629085</v>
          </cell>
          <cell r="Q34">
            <v>1.7526699029126214</v>
          </cell>
        </row>
        <row r="35">
          <cell r="B35" t="str">
            <v>FTS.TO</v>
          </cell>
          <cell r="C35" t="str">
            <v>Fortis Inc.</v>
          </cell>
          <cell r="D35">
            <v>34</v>
          </cell>
          <cell r="E35">
            <v>33</v>
          </cell>
          <cell r="G35">
            <v>0.76076368595363331</v>
          </cell>
          <cell r="H35">
            <v>0.65453175997991464</v>
          </cell>
          <cell r="I35">
            <v>0.60383333333333333</v>
          </cell>
          <cell r="J35">
            <v>0.77089201877934277</v>
          </cell>
          <cell r="K35">
            <v>0.72235915492957747</v>
          </cell>
          <cell r="L35">
            <v>0.66040609137055839</v>
          </cell>
          <cell r="M35">
            <v>0.67668534555951765</v>
          </cell>
          <cell r="N35">
            <v>0.63104281767955794</v>
          </cell>
          <cell r="O35">
            <v>0.6559985027138312</v>
          </cell>
          <cell r="P35">
            <v>0.57389114855704049</v>
          </cell>
          <cell r="Q35">
            <v>0.63397876327295444</v>
          </cell>
        </row>
        <row r="36">
          <cell r="B36" t="str">
            <v>FPL</v>
          </cell>
          <cell r="C36" t="str">
            <v xml:space="preserve">FPL Group                     </v>
          </cell>
          <cell r="D36" t="e">
            <v>#N/A</v>
          </cell>
          <cell r="E36" t="e">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row>
        <row r="37">
          <cell r="B37" t="str">
            <v>GXP</v>
          </cell>
          <cell r="C37" t="str">
            <v xml:space="preserve">Great Plains Energy             </v>
          </cell>
          <cell r="D37">
            <v>36</v>
          </cell>
          <cell r="E37">
            <v>35</v>
          </cell>
          <cell r="G37">
            <v>1.1726668996854246</v>
          </cell>
          <cell r="H37">
            <v>0.9002939181550984</v>
          </cell>
          <cell r="I37">
            <v>0.78561630413482275</v>
          </cell>
          <cell r="J37">
            <v>0.90598870056497183</v>
          </cell>
          <cell r="K37">
            <v>0.85931653778997241</v>
          </cell>
          <cell r="L37">
            <v>1.0335689045936396</v>
          </cell>
          <cell r="M37">
            <v>0.86481947942905124</v>
          </cell>
          <cell r="N37">
            <v>0.50315919247958085</v>
          </cell>
          <cell r="O37">
            <v>0.34909706546275399</v>
          </cell>
          <cell r="P37">
            <v>0.68931880994960171</v>
          </cell>
          <cell r="Q37">
            <v>0.63843863711544813</v>
          </cell>
        </row>
        <row r="38">
          <cell r="B38" t="str">
            <v>HE</v>
          </cell>
          <cell r="C38" t="str">
            <v xml:space="preserve">Hawaiian Elec.                </v>
          </cell>
          <cell r="D38">
            <v>37</v>
          </cell>
          <cell r="E38">
            <v>36</v>
          </cell>
          <cell r="G38">
            <v>1.3723684210526315</v>
          </cell>
          <cell r="H38">
            <v>0.97725258493353029</v>
          </cell>
          <cell r="I38">
            <v>1.0289855072463769</v>
          </cell>
          <cell r="J38">
            <v>0.92188841201716731</v>
          </cell>
          <cell r="K38">
            <v>0.9873646209386282</v>
          </cell>
          <cell r="L38">
            <v>1.3002450980392157</v>
          </cell>
          <cell r="M38">
            <v>1.4976599063962557</v>
          </cell>
          <cell r="N38">
            <v>0.78658166363084403</v>
          </cell>
          <cell r="O38">
            <v>0.87355584082156612</v>
          </cell>
          <cell r="P38">
            <v>1.1521406727828745</v>
          </cell>
          <cell r="Q38">
            <v>1.234907120743034</v>
          </cell>
        </row>
        <row r="39">
          <cell r="B39" t="str">
            <v>IDA</v>
          </cell>
          <cell r="C39" t="str">
            <v xml:space="preserve">IDACORP, Inc.                 </v>
          </cell>
          <cell r="D39">
            <v>38</v>
          </cell>
          <cell r="E39">
            <v>37</v>
          </cell>
          <cell r="G39">
            <v>1.1637813985064493</v>
          </cell>
          <cell r="H39">
            <v>1.1470638589282658</v>
          </cell>
          <cell r="I39">
            <v>1.2061628760088041</v>
          </cell>
          <cell r="J39">
            <v>1.3439368061485908</v>
          </cell>
          <cell r="K39">
            <v>1.2410041841004185</v>
          </cell>
          <cell r="L39">
            <v>0.86305826678497499</v>
          </cell>
          <cell r="M39">
            <v>0.78147823546596551</v>
          </cell>
          <cell r="N39">
            <v>0.96444866920152106</v>
          </cell>
          <cell r="O39">
            <v>0.82315546137545748</v>
          </cell>
          <cell r="P39">
            <v>0.64406514249921709</v>
          </cell>
          <cell r="Q39">
            <v>0.88832880961613014</v>
          </cell>
        </row>
        <row r="40">
          <cell r="B40" t="str">
            <v>TEG</v>
          </cell>
          <cell r="C40" t="str">
            <v xml:space="preserve">Integrys Energy               </v>
          </cell>
          <cell r="D40" t="e">
            <v>#N/A</v>
          </cell>
          <cell r="E40" t="e">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row>
        <row r="41">
          <cell r="B41" t="str">
            <v>ITC</v>
          </cell>
          <cell r="C41" t="str">
            <v>ITC Holdings</v>
          </cell>
          <cell r="D41" t="e">
            <v>#N/A</v>
          </cell>
          <cell r="E41" t="e">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row>
        <row r="42">
          <cell r="B42" t="str">
            <v>MDU</v>
          </cell>
          <cell r="C42" t="str">
            <v xml:space="preserve">MDU Resources                 </v>
          </cell>
          <cell r="D42" t="e">
            <v>#N/A</v>
          </cell>
          <cell r="E42" t="e">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row>
        <row r="43">
          <cell r="B43" t="str">
            <v>MGEE</v>
          </cell>
          <cell r="C43" t="str">
            <v xml:space="preserve">MGE Energy                    </v>
          </cell>
          <cell r="D43">
            <v>39</v>
          </cell>
          <cell r="E43">
            <v>38</v>
          </cell>
          <cell r="G43">
            <v>1.4368006630750105</v>
          </cell>
          <cell r="H43">
            <v>1.6044273339749762</v>
          </cell>
          <cell r="I43">
            <v>1.3060231949120837</v>
          </cell>
          <cell r="J43">
            <v>0.95544554455445541</v>
          </cell>
          <cell r="K43">
            <v>1.0479041916167664</v>
          </cell>
          <cell r="L43">
            <v>1.5627659574468087</v>
          </cell>
          <cell r="M43">
            <v>1.5711845102505695</v>
          </cell>
          <cell r="N43">
            <v>1.1282922684791843</v>
          </cell>
          <cell r="O43">
            <v>0.87008769080870396</v>
          </cell>
          <cell r="P43">
            <v>0.59473175447075877</v>
          </cell>
          <cell r="Q43">
            <v>0.79673691366417398</v>
          </cell>
        </row>
        <row r="44">
          <cell r="B44" t="str">
            <v>MSEX</v>
          </cell>
          <cell r="C44" t="str">
            <v>Middlesex Water</v>
          </cell>
          <cell r="D44">
            <v>40</v>
          </cell>
          <cell r="E44">
            <v>39</v>
          </cell>
          <cell r="G44">
            <v>0.74716202270381837</v>
          </cell>
          <cell r="H44">
            <v>1.2392947103274559</v>
          </cell>
          <cell r="I44">
            <v>1.3162027123483226</v>
          </cell>
          <cell r="J44">
            <v>1.3656597774244832</v>
          </cell>
          <cell r="K44">
            <v>1.1400293255131964</v>
          </cell>
          <cell r="L44">
            <v>0.97599999999999998</v>
          </cell>
          <cell r="M44">
            <v>0.81335436382755</v>
          </cell>
          <cell r="N44">
            <v>0.94291470785762244</v>
          </cell>
          <cell r="O44">
            <v>0.72182932578972181</v>
          </cell>
          <cell r="P44">
            <v>0.90157004830917886</v>
          </cell>
          <cell r="Q44">
            <v>0.57805724197745012</v>
          </cell>
        </row>
        <row r="45">
          <cell r="B45" t="str">
            <v>NJR</v>
          </cell>
          <cell r="C45" t="str">
            <v>New Jersey Resources</v>
          </cell>
          <cell r="D45">
            <v>41</v>
          </cell>
          <cell r="E45">
            <v>40</v>
          </cell>
          <cell r="G45">
            <v>0.59213699951760734</v>
          </cell>
          <cell r="H45">
            <v>0.67207878626563744</v>
          </cell>
          <cell r="I45">
            <v>1.7905449770190414</v>
          </cell>
          <cell r="J45">
            <v>1.4577677224736048</v>
          </cell>
          <cell r="K45">
            <v>1.4769108280254777</v>
          </cell>
          <cell r="L45">
            <v>1.5057573073516386</v>
          </cell>
          <cell r="M45">
            <v>1.547528517110266</v>
          </cell>
          <cell r="N45">
            <v>1.7486157253599113</v>
          </cell>
          <cell r="O45">
            <v>2.1058139534883722</v>
          </cell>
          <cell r="P45">
            <v>1.6712328767123288</v>
          </cell>
          <cell r="Q45">
            <v>2.1359374999999998</v>
          </cell>
        </row>
        <row r="46">
          <cell r="B46" t="str">
            <v>NEE</v>
          </cell>
          <cell r="C46" t="str">
            <v>NextEra Energy, Inc.</v>
          </cell>
          <cell r="D46">
            <v>42</v>
          </cell>
          <cell r="E46">
            <v>41</v>
          </cell>
          <cell r="G46">
            <v>0.62991743564837299</v>
          </cell>
          <cell r="H46">
            <v>0.71091299323097246</v>
          </cell>
          <cell r="I46">
            <v>0.76401515151515154</v>
          </cell>
          <cell r="J46">
            <v>0.68589284551786989</v>
          </cell>
          <cell r="K46">
            <v>0.38926234650891817</v>
          </cell>
          <cell r="L46">
            <v>0.58312935417058942</v>
          </cell>
          <cell r="M46">
            <v>0.69260672377798582</v>
          </cell>
          <cell r="N46">
            <v>0.60261707988980717</v>
          </cell>
          <cell r="O46">
            <v>0.6267864115579852</v>
          </cell>
          <cell r="P46">
            <v>0.55612369125882644</v>
          </cell>
          <cell r="Q46">
            <v>0.73392605442914449</v>
          </cell>
        </row>
        <row r="47">
          <cell r="B47" t="str">
            <v>NI</v>
          </cell>
          <cell r="C47" t="str">
            <v xml:space="preserve">NiSource Inc.                 </v>
          </cell>
          <cell r="D47">
            <v>43</v>
          </cell>
          <cell r="E47">
            <v>42</v>
          </cell>
          <cell r="G47">
            <v>0.59320920043811609</v>
          </cell>
          <cell r="H47">
            <v>0.53142589118198869</v>
          </cell>
          <cell r="I47">
            <v>0.56005608350210323</v>
          </cell>
          <cell r="J47">
            <v>0.56816285666611044</v>
          </cell>
          <cell r="K47">
            <v>0.64886128364389228</v>
          </cell>
          <cell r="L47">
            <v>0.74824473420260784</v>
          </cell>
          <cell r="M47">
            <v>1.108408617095205</v>
          </cell>
          <cell r="N47">
            <v>1.0551994301994303</v>
          </cell>
          <cell r="O47">
            <v>0.93834841628959276</v>
          </cell>
          <cell r="P47">
            <v>1.1144347826086958</v>
          </cell>
          <cell r="Q47">
            <v>1.3658222413052812</v>
          </cell>
        </row>
        <row r="48">
          <cell r="B48" t="str">
            <v>NWN</v>
          </cell>
          <cell r="C48" t="str">
            <v>Northwest Nat. Gas</v>
          </cell>
          <cell r="D48">
            <v>44</v>
          </cell>
          <cell r="E48">
            <v>43</v>
          </cell>
          <cell r="G48">
            <v>1.0119023189000615</v>
          </cell>
          <cell r="H48">
            <v>1.1233409610983982</v>
          </cell>
          <cell r="I48">
            <v>1.1481144934120855</v>
          </cell>
          <cell r="J48">
            <v>0.98206977197427392</v>
          </cell>
          <cell r="K48">
            <v>1.0063200815494393</v>
          </cell>
          <cell r="L48">
            <v>1.3321799307958477</v>
          </cell>
          <cell r="M48">
            <v>0.55448615121377387</v>
          </cell>
          <cell r="N48">
            <v>1.0208128804241114</v>
          </cell>
          <cell r="O48">
            <v>1.3524464831804281</v>
          </cell>
          <cell r="P48">
            <v>1.2081751172660262</v>
          </cell>
          <cell r="Q48">
            <v>1.3355780022446688</v>
          </cell>
        </row>
        <row r="49">
          <cell r="B49" t="str">
            <v>NWE</v>
          </cell>
          <cell r="C49" t="str">
            <v xml:space="preserve">NorthWestern Corp             </v>
          </cell>
          <cell r="D49">
            <v>45</v>
          </cell>
          <cell r="E49">
            <v>44</v>
          </cell>
          <cell r="G49">
            <v>1.130938391807957</v>
          </cell>
          <cell r="H49">
            <v>1.0059432840889795</v>
          </cell>
          <cell r="I49">
            <v>0.93492972410203024</v>
          </cell>
          <cell r="J49">
            <v>0.91661062542030924</v>
          </cell>
          <cell r="K49">
            <v>0.87979626485568774</v>
          </cell>
          <cell r="L49">
            <v>1.0420991926182239</v>
          </cell>
          <cell r="M49">
            <v>0.75583055687767731</v>
          </cell>
          <cell r="N49">
            <v>0.87811370983076631</v>
          </cell>
          <cell r="O49">
            <v>1.2699740409576001</v>
          </cell>
          <cell r="P49">
            <v>1.2330226364846872</v>
          </cell>
          <cell r="Q49">
            <v>1.2883588465646136</v>
          </cell>
        </row>
        <row r="50">
          <cell r="B50" t="str">
            <v>OGE</v>
          </cell>
          <cell r="C50" t="str">
            <v xml:space="preserve">OGE Energy                    </v>
          </cell>
          <cell r="D50">
            <v>46</v>
          </cell>
          <cell r="E50">
            <v>45</v>
          </cell>
          <cell r="G50">
            <v>1.0012102874432678</v>
          </cell>
          <cell r="H50">
            <v>1.178271965001823</v>
          </cell>
          <cell r="I50">
            <v>1.1894921190893171</v>
          </cell>
          <cell r="J50">
            <v>0.69278557114228456</v>
          </cell>
          <cell r="K50">
            <v>0.63085070037581137</v>
          </cell>
          <cell r="L50">
            <v>0.51166023166023167</v>
          </cell>
          <cell r="M50">
            <v>0.69012147604859042</v>
          </cell>
          <cell r="N50">
            <v>0.61441647597254001</v>
          </cell>
          <cell r="O50">
            <v>0.59860383944153572</v>
          </cell>
          <cell r="P50">
            <v>0.78801843317972364</v>
          </cell>
          <cell r="Q50">
            <v>0.83733133433283358</v>
          </cell>
        </row>
        <row r="51">
          <cell r="B51" t="str">
            <v>OGS</v>
          </cell>
          <cell r="C51" t="str">
            <v>ONE Gas Inc.</v>
          </cell>
          <cell r="D51">
            <v>47</v>
          </cell>
          <cell r="E51">
            <v>46</v>
          </cell>
          <cell r="G51">
            <v>0.91864005412719896</v>
          </cell>
          <cell r="H51">
            <v>0.85635653409090917</v>
          </cell>
          <cell r="I51">
            <v>0.79277699859747552</v>
          </cell>
          <cell r="J51" t="str">
            <v>N/A</v>
          </cell>
          <cell r="K51" t="str">
            <v>N/A</v>
          </cell>
          <cell r="L51" t="str">
            <v>N/A</v>
          </cell>
          <cell r="M51" t="str">
            <v>N/A</v>
          </cell>
          <cell r="N51" t="str">
            <v>N/A</v>
          </cell>
          <cell r="O51" t="str">
            <v>N/A</v>
          </cell>
          <cell r="P51" t="str">
            <v>N/A</v>
          </cell>
          <cell r="Q51" t="str">
            <v>N/A</v>
          </cell>
        </row>
        <row r="52">
          <cell r="B52" t="str">
            <v>OTTR</v>
          </cell>
          <cell r="C52" t="str">
            <v xml:space="preserve">Otter Tail Corp.              </v>
          </cell>
          <cell r="D52">
            <v>48</v>
          </cell>
          <cell r="E52">
            <v>47</v>
          </cell>
          <cell r="G52">
            <v>0.84016593460224509</v>
          </cell>
          <cell r="H52">
            <v>0.74296524000945852</v>
          </cell>
          <cell r="I52">
            <v>0.70284414106939708</v>
          </cell>
          <cell r="J52">
            <v>0.66607851786501993</v>
          </cell>
          <cell r="K52">
            <v>0.84629803186504216</v>
          </cell>
          <cell r="L52">
            <v>1.1582557569818717</v>
          </cell>
          <cell r="M52">
            <v>1.0921329406815314</v>
          </cell>
          <cell r="N52">
            <v>0.55843105539830173</v>
          </cell>
          <cell r="O52">
            <v>0.37410167686984291</v>
          </cell>
          <cell r="P52">
            <v>0.65468951538603282</v>
          </cell>
          <cell r="Q52">
            <v>1.4400510204081634</v>
          </cell>
        </row>
        <row r="53">
          <cell r="B53" t="str">
            <v>POM</v>
          </cell>
          <cell r="C53" t="str">
            <v xml:space="preserve">Pepco Holdings                </v>
          </cell>
          <cell r="D53" t="e">
            <v>#N/A</v>
          </cell>
          <cell r="E53" t="e">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row>
        <row r="54">
          <cell r="B54" t="str">
            <v>PCG</v>
          </cell>
          <cell r="C54" t="str">
            <v xml:space="preserve">PG&amp;E Corp.                    </v>
          </cell>
          <cell r="D54">
            <v>49</v>
          </cell>
          <cell r="E54">
            <v>48</v>
          </cell>
          <cell r="G54">
            <v>0.73079996448548346</v>
          </cell>
          <cell r="H54">
            <v>0.69317101008179571</v>
          </cell>
          <cell r="I54">
            <v>0.80059084194977859</v>
          </cell>
          <cell r="J54">
            <v>0.55525346430450806</v>
          </cell>
          <cell r="K54">
            <v>0.6814456035767511</v>
          </cell>
          <cell r="L54">
            <v>0.82542113323124056</v>
          </cell>
          <cell r="M54">
            <v>0.8547817047817049</v>
          </cell>
          <cell r="N54">
            <v>0.78342696629213493</v>
          </cell>
          <cell r="O54">
            <v>0.83986863057324845</v>
          </cell>
          <cell r="P54">
            <v>1.0245273377618804</v>
          </cell>
          <cell r="Q54">
            <v>1.1240579710144927</v>
          </cell>
        </row>
        <row r="55">
          <cell r="B55" t="str">
            <v>PNW</v>
          </cell>
          <cell r="C55" t="str">
            <v xml:space="preserve">Pinnacle West Capital         </v>
          </cell>
          <cell r="D55">
            <v>50</v>
          </cell>
          <cell r="E55">
            <v>49</v>
          </cell>
          <cell r="G55">
            <v>0.80687580575848727</v>
          </cell>
          <cell r="H55">
            <v>0.92360052829421913</v>
          </cell>
          <cell r="I55">
            <v>0.96537726838586446</v>
          </cell>
          <cell r="J55">
            <v>0.871246928090608</v>
          </cell>
          <cell r="K55">
            <v>0.96032516379519528</v>
          </cell>
          <cell r="L55">
            <v>0.91056517003509618</v>
          </cell>
          <cell r="M55">
            <v>0.97356076759061838</v>
          </cell>
          <cell r="N55">
            <v>1.0567765567765566</v>
          </cell>
          <cell r="O55">
            <v>0.85983086680761101</v>
          </cell>
          <cell r="P55">
            <v>0.99167644861807691</v>
          </cell>
          <cell r="Q55">
            <v>1.2773020682387037</v>
          </cell>
        </row>
        <row r="56">
          <cell r="B56" t="str">
            <v>PNM</v>
          </cell>
          <cell r="C56" t="str">
            <v xml:space="preserve">PNM Resources                 </v>
          </cell>
          <cell r="D56">
            <v>51</v>
          </cell>
          <cell r="E56">
            <v>50</v>
          </cell>
          <cell r="G56">
            <v>0.5682240509689408</v>
          </cell>
          <cell r="H56">
            <v>0.56723228290317984</v>
          </cell>
          <cell r="I56">
            <v>0.62597267854054983</v>
          </cell>
          <cell r="J56">
            <v>0.80407415884641797</v>
          </cell>
          <cell r="K56">
            <v>0.87158329035585347</v>
          </cell>
          <cell r="L56">
            <v>0.7743664717348927</v>
          </cell>
          <cell r="M56">
            <v>0.82112068965517226</v>
          </cell>
          <cell r="N56">
            <v>0.69756244357508279</v>
          </cell>
          <cell r="O56">
            <v>0.44054189663823379</v>
          </cell>
          <cell r="P56">
            <v>0.42772911051212942</v>
          </cell>
          <cell r="Q56">
            <v>0.88550185873605947</v>
          </cell>
        </row>
        <row r="57">
          <cell r="B57" t="str">
            <v>POR</v>
          </cell>
          <cell r="C57" t="str">
            <v xml:space="preserve">Portland General              </v>
          </cell>
          <cell r="D57">
            <v>52</v>
          </cell>
          <cell r="E57">
            <v>51</v>
          </cell>
          <cell r="G57">
            <v>0.88014011574779172</v>
          </cell>
          <cell r="H57">
            <v>0.7976243504083147</v>
          </cell>
          <cell r="I57">
            <v>0.47269478753981203</v>
          </cell>
          <cell r="J57">
            <v>0.58683490060707055</v>
          </cell>
          <cell r="K57">
            <v>1.283790523690773</v>
          </cell>
          <cell r="L57">
            <v>1.2466716905300177</v>
          </cell>
          <cell r="M57">
            <v>0.80669456066945622</v>
          </cell>
          <cell r="N57">
            <v>0.43970175059433758</v>
          </cell>
          <cell r="O57">
            <v>0.77013559875837279</v>
          </cell>
          <cell r="P57">
            <v>0.71650405386835236</v>
          </cell>
          <cell r="Q57">
            <v>0.78167115902964956</v>
          </cell>
        </row>
        <row r="58">
          <cell r="B58" t="str">
            <v>PPL</v>
          </cell>
          <cell r="C58" t="str">
            <v xml:space="preserve">PPL Corp.                     </v>
          </cell>
          <cell r="D58">
            <v>53</v>
          </cell>
          <cell r="E58">
            <v>52</v>
          </cell>
          <cell r="G58">
            <v>0.99581005586592164</v>
          </cell>
          <cell r="H58">
            <v>0.72038909021552544</v>
          </cell>
          <cell r="I58">
            <v>0.74523848282598082</v>
          </cell>
          <cell r="J58">
            <v>0.69425321759952108</v>
          </cell>
          <cell r="K58">
            <v>0.90742128935532218</v>
          </cell>
          <cell r="L58">
            <v>1.0674418604651164</v>
          </cell>
          <cell r="M58">
            <v>1.1077481840193706</v>
          </cell>
          <cell r="N58">
            <v>1.0668103448275861</v>
          </cell>
          <cell r="O58">
            <v>1.245377707342842</v>
          </cell>
          <cell r="P58">
            <v>1.1300398759415151</v>
          </cell>
          <cell r="Q58">
            <v>1.1765193370165747</v>
          </cell>
        </row>
        <row r="59">
          <cell r="B59" t="str">
            <v>PEG</v>
          </cell>
          <cell r="C59" t="str">
            <v xml:space="preserve">Public Serv. Enterprise       </v>
          </cell>
          <cell r="D59">
            <v>54</v>
          </cell>
          <cell r="E59">
            <v>53</v>
          </cell>
          <cell r="G59">
            <v>0.60971504148130329</v>
          </cell>
          <cell r="H59">
            <v>0.80405493786788762</v>
          </cell>
          <cell r="I59">
            <v>1.0443049327354259</v>
          </cell>
          <cell r="J59">
            <v>0.92945834083138379</v>
          </cell>
          <cell r="K59">
            <v>0.95813679245283012</v>
          </cell>
          <cell r="L59">
            <v>1.3019188729657518</v>
          </cell>
          <cell r="M59">
            <v>1.2347153900210821</v>
          </cell>
          <cell r="N59">
            <v>1.4055273547659335</v>
          </cell>
          <cell r="O59">
            <v>1.3365714285714285</v>
          </cell>
          <cell r="P59">
            <v>1.6439079592606562</v>
          </cell>
          <cell r="Q59">
            <v>1.944748631159781</v>
          </cell>
        </row>
        <row r="60">
          <cell r="B60" t="str">
            <v>SCG</v>
          </cell>
          <cell r="C60" t="str">
            <v xml:space="preserve">SCANA Corp.                   </v>
          </cell>
          <cell r="D60">
            <v>56</v>
          </cell>
          <cell r="E60">
            <v>55</v>
          </cell>
          <cell r="G60">
            <v>0.6592760180995475</v>
          </cell>
          <cell r="H60">
            <v>0.83083405626471674</v>
          </cell>
          <cell r="I60">
            <v>0.90303188708834292</v>
          </cell>
          <cell r="J60">
            <v>0.83273839877613465</v>
          </cell>
          <cell r="K60">
            <v>0.77261583721500371</v>
          </cell>
          <cell r="L60">
            <v>0.88348516015280631</v>
          </cell>
          <cell r="M60">
            <v>0.85947046843177199</v>
          </cell>
          <cell r="N60">
            <v>0.76045883940620773</v>
          </cell>
          <cell r="O60">
            <v>0.76325732899022802</v>
          </cell>
          <cell r="P60">
            <v>0.92275506919858374</v>
          </cell>
          <cell r="Q60">
            <v>1.2581359309276068</v>
          </cell>
        </row>
        <row r="61">
          <cell r="B61" t="str">
            <v>SRE</v>
          </cell>
          <cell r="C61" t="str">
            <v xml:space="preserve">Sempra Energy                 </v>
          </cell>
          <cell r="D61">
            <v>57</v>
          </cell>
          <cell r="E61">
            <v>56</v>
          </cell>
          <cell r="G61">
            <v>0.56381336815861327</v>
          </cell>
          <cell r="H61">
            <v>0.8120525529069309</v>
          </cell>
          <cell r="I61">
            <v>0.74191512856917496</v>
          </cell>
          <cell r="J61">
            <v>0.84288565725691467</v>
          </cell>
          <cell r="K61">
            <v>0.73171531649721222</v>
          </cell>
          <cell r="L61">
            <v>0.72361427486712226</v>
          </cell>
          <cell r="M61">
            <v>0.90438432835820892</v>
          </cell>
          <cell r="N61">
            <v>1.0241103661681279</v>
          </cell>
          <cell r="O61">
            <v>0.87343565525383693</v>
          </cell>
          <cell r="P61">
            <v>0.90050655929341472</v>
          </cell>
          <cell r="Q61">
            <v>0.92552899148117618</v>
          </cell>
        </row>
        <row r="62">
          <cell r="B62" t="str">
            <v>SRP</v>
          </cell>
          <cell r="C62" t="str">
            <v xml:space="preserve">Sierra Pacific Res.           </v>
          </cell>
          <cell r="D62" t="e">
            <v>#N/A</v>
          </cell>
          <cell r="E62" t="e">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row>
        <row r="63">
          <cell r="B63" t="str">
            <v>SJW</v>
          </cell>
          <cell r="C63" t="str">
            <v>SJW Corp.</v>
          </cell>
          <cell r="D63">
            <v>58</v>
          </cell>
          <cell r="E63">
            <v>57</v>
          </cell>
          <cell r="G63">
            <v>0.68541426927502869</v>
          </cell>
          <cell r="H63">
            <v>0.73620920022905145</v>
          </cell>
          <cell r="I63">
            <v>0.88087649402390444</v>
          </cell>
          <cell r="J63">
            <v>0.62005559119093434</v>
          </cell>
          <cell r="K63">
            <v>0.52364149611856037</v>
          </cell>
          <cell r="L63">
            <v>0.74673420421221015</v>
          </cell>
          <cell r="M63">
            <v>0.42103399433427768</v>
          </cell>
          <cell r="N63">
            <v>0.69589905362776028</v>
          </cell>
          <cell r="O63">
            <v>0.6422356973372001</v>
          </cell>
          <cell r="P63">
            <v>0.3472411186696901</v>
          </cell>
          <cell r="Q63">
            <v>0.61524547803617569</v>
          </cell>
        </row>
        <row r="64">
          <cell r="B64" t="str">
            <v>SJI</v>
          </cell>
          <cell r="C64" t="str">
            <v>South Jersey Inds.</v>
          </cell>
          <cell r="D64">
            <v>59</v>
          </cell>
          <cell r="E64">
            <v>58</v>
          </cell>
          <cell r="G64">
            <v>0.76472269868496279</v>
          </cell>
          <cell r="H64">
            <v>0.49609856262833674</v>
          </cell>
          <cell r="I64">
            <v>0.53281468182724911</v>
          </cell>
          <cell r="J64">
            <v>0.51167596610870014</v>
          </cell>
          <cell r="K64">
            <v>0.5845386533665835</v>
          </cell>
          <cell r="L64">
            <v>0.69774718397997493</v>
          </cell>
          <cell r="M64">
            <v>0.753042233357194</v>
          </cell>
          <cell r="N64">
            <v>1.0136314067611778</v>
          </cell>
          <cell r="O64">
            <v>1.6679462571976966</v>
          </cell>
          <cell r="P64">
            <v>1.7046908315565032</v>
          </cell>
          <cell r="Q64">
            <v>1.395700636942675</v>
          </cell>
        </row>
        <row r="65">
          <cell r="B65" t="str">
            <v>SO</v>
          </cell>
          <cell r="C65" t="str">
            <v xml:space="preserve">Southern Co.                  </v>
          </cell>
          <cell r="D65">
            <v>60</v>
          </cell>
          <cell r="E65">
            <v>59</v>
          </cell>
          <cell r="G65">
            <v>0.77089825226934028</v>
          </cell>
          <cell r="H65">
            <v>0.8791579623975575</v>
          </cell>
          <cell r="I65">
            <v>0.80179222357229651</v>
          </cell>
          <cell r="J65">
            <v>0.85514777525170504</v>
          </cell>
          <cell r="K65">
            <v>0.9346806207145435</v>
          </cell>
          <cell r="L65">
            <v>0.93957934990439762</v>
          </cell>
          <cell r="M65">
            <v>0.93147574819401446</v>
          </cell>
          <cell r="N65">
            <v>0.77781677781677783</v>
          </cell>
          <cell r="O65">
            <v>0.86992348440258971</v>
          </cell>
          <cell r="P65">
            <v>0.90830822212656048</v>
          </cell>
          <cell r="Q65">
            <v>1.0002492522432702</v>
          </cell>
        </row>
        <row r="66">
          <cell r="B66" t="str">
            <v>SWX</v>
          </cell>
          <cell r="C66" t="str">
            <v>Southwest Gas</v>
          </cell>
          <cell r="D66">
            <v>61</v>
          </cell>
          <cell r="E66">
            <v>60</v>
          </cell>
          <cell r="G66">
            <v>0.83312410329985664</v>
          </cell>
          <cell r="H66">
            <v>0.83699029126213587</v>
          </cell>
          <cell r="I66">
            <v>0.99308404641894255</v>
          </cell>
          <cell r="J66">
            <v>1.0491219139730212</v>
          </cell>
          <cell r="K66">
            <v>0.9015743440233237</v>
          </cell>
          <cell r="L66">
            <v>0.82098914354644159</v>
          </cell>
          <cell r="M66">
            <v>1.3662507929794883</v>
          </cell>
          <cell r="N66">
            <v>1.2793017456359101</v>
          </cell>
          <cell r="O66">
            <v>0.84824845451869302</v>
          </cell>
          <cell r="P66">
            <v>0.77973125706392055</v>
          </cell>
          <cell r="Q66">
            <v>0.72226926333615582</v>
          </cell>
        </row>
        <row r="67">
          <cell r="B67" t="str">
            <v>SR</v>
          </cell>
          <cell r="C67" t="str">
            <v>Spire Inc.</v>
          </cell>
          <cell r="D67">
            <v>62</v>
          </cell>
          <cell r="E67">
            <v>61</v>
          </cell>
          <cell r="G67">
            <v>0.95844357976653705</v>
          </cell>
          <cell r="H67">
            <v>0.92070616397366845</v>
          </cell>
          <cell r="I67">
            <v>0.97651515151515156</v>
          </cell>
          <cell r="J67">
            <v>0.78025</v>
          </cell>
          <cell r="K67">
            <v>0.94985495234148365</v>
          </cell>
          <cell r="L67">
            <v>1.5316749585406302</v>
          </cell>
          <cell r="M67">
            <v>1.6069612827532265</v>
          </cell>
          <cell r="N67">
            <v>1.9284807448159123</v>
          </cell>
          <cell r="O67">
            <v>1.63986013986014</v>
          </cell>
          <cell r="P67">
            <v>1.424264705882353</v>
          </cell>
          <cell r="Q67">
            <v>1.2829235432805659</v>
          </cell>
        </row>
        <row r="68">
          <cell r="B68" t="str">
            <v>TE</v>
          </cell>
          <cell r="C68" t="str">
            <v xml:space="preserve">TECO Energy                   </v>
          </cell>
          <cell r="D68" t="e">
            <v>#N/A</v>
          </cell>
          <cell r="E68" t="e">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row>
        <row r="69">
          <cell r="B69" t="str">
            <v>UGI</v>
          </cell>
          <cell r="C69" t="str">
            <v>UGI Corp.</v>
          </cell>
          <cell r="D69">
            <v>64</v>
          </cell>
          <cell r="E69">
            <v>63</v>
          </cell>
          <cell r="G69">
            <v>1.3495085995085996</v>
          </cell>
          <cell r="H69">
            <v>1.4837685250529287</v>
          </cell>
          <cell r="I69">
            <v>1.5323251417769377</v>
          </cell>
          <cell r="J69">
            <v>1.319268635724332</v>
          </cell>
          <cell r="K69">
            <v>1.518426294820717</v>
          </cell>
          <cell r="L69">
            <v>1.2776744186046511</v>
          </cell>
          <cell r="M69">
            <v>1.3563653573118788</v>
          </cell>
          <cell r="N69">
            <v>1.5229357798165137</v>
          </cell>
          <cell r="O69">
            <v>1.7224149895905623</v>
          </cell>
          <cell r="P69">
            <v>1.6179211469534052</v>
          </cell>
          <cell r="Q69">
            <v>1.6947194719471945</v>
          </cell>
        </row>
        <row r="70">
          <cell r="B70" t="str">
            <v>UIL</v>
          </cell>
          <cell r="C70" t="str">
            <v xml:space="preserve">UIL Holdings                  </v>
          </cell>
          <cell r="D70" t="e">
            <v>#N/A</v>
          </cell>
          <cell r="E70" t="e">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row>
        <row r="71">
          <cell r="B71" t="str">
            <v>UNS</v>
          </cell>
          <cell r="C71" t="str">
            <v xml:space="preserve">UniSource Energy              </v>
          </cell>
          <cell r="D71" t="e">
            <v>#N/A</v>
          </cell>
          <cell r="E71" t="e">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row>
        <row r="72">
          <cell r="B72" t="str">
            <v>UTL</v>
          </cell>
          <cell r="C72" t="str">
            <v xml:space="preserve">UNITIL Corp.                  </v>
          </cell>
          <cell r="D72">
            <v>65</v>
          </cell>
          <cell r="E72">
            <v>64</v>
          </cell>
          <cell r="G72">
            <v>0.75125448028673847</v>
          </cell>
          <cell r="H72">
            <v>0.69297064368435224</v>
          </cell>
          <cell r="I72">
            <v>0.72137060414788101</v>
          </cell>
          <cell r="J72">
            <v>0.66254253015774822</v>
          </cell>
          <cell r="K72">
            <v>0.7765037215851941</v>
          </cell>
          <cell r="L72">
            <v>0.79800498753117211</v>
          </cell>
          <cell r="M72">
            <v>0.7734357848518113</v>
          </cell>
          <cell r="N72">
            <v>0.63540705187373092</v>
          </cell>
          <cell r="O72">
            <v>1.0140418502202642</v>
          </cell>
          <cell r="P72">
            <v>0.81225715294948786</v>
          </cell>
          <cell r="Q72">
            <v>0.71649311387302661</v>
          </cell>
        </row>
        <row r="73">
          <cell r="B73" t="str">
            <v>VVC</v>
          </cell>
          <cell r="C73" t="str">
            <v xml:space="preserve">Vectren Corp.                 </v>
          </cell>
          <cell r="D73">
            <v>66</v>
          </cell>
          <cell r="E73">
            <v>65</v>
          </cell>
          <cell r="G73">
            <v>0.87014377485469563</v>
          </cell>
          <cell r="H73">
            <v>0.95104166666666667</v>
          </cell>
          <cell r="I73">
            <v>0.98231066887783325</v>
          </cell>
          <cell r="J73">
            <v>1.053414327607876</v>
          </cell>
          <cell r="K73">
            <v>1.1307865168539326</v>
          </cell>
          <cell r="L73">
            <v>1.2011215906194239</v>
          </cell>
          <cell r="M73">
            <v>1.3088712054229297</v>
          </cell>
          <cell r="N73">
            <v>0.82616857518302977</v>
          </cell>
          <cell r="O73">
            <v>0.82159138002486531</v>
          </cell>
          <cell r="P73">
            <v>0.9801415202008672</v>
          </cell>
          <cell r="Q73">
            <v>0.99891833423472143</v>
          </cell>
        </row>
        <row r="74">
          <cell r="B74" t="str">
            <v>WEC</v>
          </cell>
          <cell r="C74" t="str">
            <v>WEC Energy Group</v>
          </cell>
          <cell r="D74">
            <v>67</v>
          </cell>
          <cell r="E74">
            <v>66</v>
          </cell>
          <cell r="G74">
            <v>1.1950786965196187</v>
          </cell>
          <cell r="H74">
            <v>0.96509598603839442</v>
          </cell>
          <cell r="I74">
            <v>1.3688725490196079</v>
          </cell>
          <cell r="J74">
            <v>1.4220907297830374</v>
          </cell>
          <cell r="K74">
            <v>1.2983479105928084</v>
          </cell>
          <cell r="L74">
            <v>1.0219140083217753</v>
          </cell>
          <cell r="M74">
            <v>0.96719390743995315</v>
          </cell>
          <cell r="N74">
            <v>0.88876179582499293</v>
          </cell>
          <cell r="O74">
            <v>0.6076495990129549</v>
          </cell>
          <cell r="P74">
            <v>0.56474820143884896</v>
          </cell>
          <cell r="Q74">
            <v>0.69429803545759461</v>
          </cell>
        </row>
        <row r="75">
          <cell r="B75" t="str">
            <v>WR</v>
          </cell>
          <cell r="C75" t="str">
            <v xml:space="preserve">Westar Energy                 </v>
          </cell>
          <cell r="D75">
            <v>68</v>
          </cell>
          <cell r="E75">
            <v>67</v>
          </cell>
          <cell r="G75">
            <v>0.63031567962431512</v>
          </cell>
          <cell r="H75">
            <v>0.86051675413807027</v>
          </cell>
          <cell r="I75">
            <v>0.70386398763523961</v>
          </cell>
          <cell r="J75">
            <v>0.72443275238408411</v>
          </cell>
          <cell r="K75">
            <v>0.67135050741608115</v>
          </cell>
          <cell r="L75">
            <v>0.71454316092989723</v>
          </cell>
          <cell r="M75">
            <v>0.87917791156321368</v>
          </cell>
          <cell r="N75">
            <v>0.68346965950161698</v>
          </cell>
          <cell r="O75">
            <v>0.36230209176008316</v>
          </cell>
          <cell r="P75">
            <v>0.48156182212581344</v>
          </cell>
          <cell r="Q75">
            <v>0.99898631525595538</v>
          </cell>
        </row>
        <row r="76">
          <cell r="B76" t="str">
            <v>WGL</v>
          </cell>
          <cell r="C76" t="str">
            <v>WGL Holdings Inc.</v>
          </cell>
          <cell r="D76">
            <v>69</v>
          </cell>
          <cell r="E76">
            <v>68</v>
          </cell>
          <cell r="G76">
            <v>0.55874092009685239</v>
          </cell>
          <cell r="H76">
            <v>0.60057902637786831</v>
          </cell>
          <cell r="I76">
            <v>0.62934312311524843</v>
          </cell>
          <cell r="J76">
            <v>0.70953326713008935</v>
          </cell>
          <cell r="K76">
            <v>0.93003693065244164</v>
          </cell>
          <cell r="L76">
            <v>1.0193040386080772</v>
          </cell>
          <cell r="M76">
            <v>1.5971250971250972</v>
          </cell>
          <cell r="N76">
            <v>1.6039711191335739</v>
          </cell>
          <cell r="O76">
            <v>1.6046597633136095</v>
          </cell>
          <cell r="P76">
            <v>1.1683198076345056</v>
          </cell>
          <cell r="Q76">
            <v>1.1753365973072216</v>
          </cell>
        </row>
        <row r="77">
          <cell r="B77" t="str">
            <v>XEL</v>
          </cell>
          <cell r="C77" t="str">
            <v xml:space="preserve">Xcel Energy Inc.              </v>
          </cell>
          <cell r="D77">
            <v>70</v>
          </cell>
          <cell r="E77">
            <v>69</v>
          </cell>
          <cell r="G77">
            <v>0.78575880336553439</v>
          </cell>
          <cell r="H77">
            <v>0.62794543199669295</v>
          </cell>
          <cell r="I77">
            <v>0.67725620357199312</v>
          </cell>
          <cell r="J77">
            <v>0.60149603989439726</v>
          </cell>
          <cell r="K77">
            <v>0.75963546610973987</v>
          </cell>
          <cell r="L77">
            <v>0.83480370533745041</v>
          </cell>
          <cell r="M77">
            <v>0.76397650641722858</v>
          </cell>
          <cell r="N77">
            <v>0.89016897081413204</v>
          </cell>
          <cell r="O77">
            <v>0.75198625724715473</v>
          </cell>
          <cell r="P77">
            <v>0.70633946830265859</v>
          </cell>
          <cell r="Q77">
            <v>0.90265265265265271</v>
          </cell>
        </row>
        <row r="78">
          <cell r="B78" t="str">
            <v>YORW</v>
          </cell>
          <cell r="C78" t="str">
            <v>York Water Co. (The)</v>
          </cell>
          <cell r="D78">
            <v>71</v>
          </cell>
          <cell r="E78">
            <v>70</v>
          </cell>
          <cell r="G78" t="str">
            <v>N/A</v>
          </cell>
          <cell r="H78">
            <v>1.3131768953068592</v>
          </cell>
          <cell r="I78">
            <v>1.2313974591651542</v>
          </cell>
          <cell r="J78">
            <v>1.5625823451910408</v>
          </cell>
          <cell r="K78">
            <v>1.1851851851851853</v>
          </cell>
          <cell r="L78">
            <v>1.4783783783783786</v>
          </cell>
          <cell r="M78">
            <v>1.2815884476534296</v>
          </cell>
          <cell r="N78">
            <v>0.80697278911564629</v>
          </cell>
          <cell r="O78">
            <v>0.40681086056143578</v>
          </cell>
          <cell r="P78">
            <v>0.50620934358367831</v>
          </cell>
          <cell r="Q78">
            <v>0.41657638136511377</v>
          </cell>
        </row>
      </sheetData>
      <sheetData sheetId="23">
        <row r="1">
          <cell r="A1">
            <v>43290</v>
          </cell>
          <cell r="B1" t="str">
            <v>Downloaded from Value Line Investment Analyzer.</v>
          </cell>
        </row>
        <row r="2">
          <cell r="B2">
            <v>1</v>
          </cell>
          <cell r="C2">
            <v>2</v>
          </cell>
          <cell r="D2">
            <v>3</v>
          </cell>
          <cell r="E2">
            <v>4</v>
          </cell>
          <cell r="F2">
            <v>5</v>
          </cell>
          <cell r="G2">
            <v>6</v>
          </cell>
          <cell r="H2">
            <v>7</v>
          </cell>
          <cell r="I2">
            <v>8</v>
          </cell>
          <cell r="J2">
            <v>9</v>
          </cell>
        </row>
        <row r="3">
          <cell r="A3" t="str">
            <v>Company Name</v>
          </cell>
          <cell r="B3" t="str">
            <v>Ticker Symbol</v>
          </cell>
          <cell r="C3" t="str">
            <v>CapSpendperShare2017</v>
          </cell>
          <cell r="D3" t="str">
            <v>CapSpendperShare2018</v>
          </cell>
          <cell r="E3" t="str">
            <v>CapSpendperShare2019</v>
          </cell>
          <cell r="F3" t="str">
            <v>CapSpendperShare3-5yr</v>
          </cell>
          <cell r="G3" t="str">
            <v>CashFlowperShare2017</v>
          </cell>
          <cell r="H3" t="str">
            <v>CashFlowperShare2018</v>
          </cell>
          <cell r="I3" t="str">
            <v>CashFlowperShare2019</v>
          </cell>
          <cell r="J3" t="str">
            <v>CashFlowperShare3-5yrs</v>
          </cell>
        </row>
        <row r="4">
          <cell r="A4" t="str">
            <v xml:space="preserve">Adams Resources &amp; Energy      </v>
          </cell>
          <cell r="B4" t="str">
            <v>AE</v>
          </cell>
          <cell r="C4">
            <v>0.627</v>
          </cell>
          <cell r="G4">
            <v>3.11</v>
          </cell>
        </row>
        <row r="5">
          <cell r="A5" t="str">
            <v xml:space="preserve">ALLETE                        </v>
          </cell>
          <cell r="B5" t="str">
            <v>ALE</v>
          </cell>
          <cell r="C5">
            <v>4.08</v>
          </cell>
          <cell r="D5">
            <v>6.3</v>
          </cell>
          <cell r="E5">
            <v>6.9</v>
          </cell>
          <cell r="F5">
            <v>6.75</v>
          </cell>
          <cell r="G5">
            <v>6.5890000000000004</v>
          </cell>
          <cell r="H5">
            <v>6.85</v>
          </cell>
          <cell r="I5">
            <v>7.2</v>
          </cell>
          <cell r="J5">
            <v>8.5</v>
          </cell>
        </row>
        <row r="6">
          <cell r="A6" t="str">
            <v xml:space="preserve">Alliant Energy                </v>
          </cell>
          <cell r="B6" t="str">
            <v>LNT</v>
          </cell>
          <cell r="C6">
            <v>6.3410000000000002</v>
          </cell>
          <cell r="D6">
            <v>6.75</v>
          </cell>
          <cell r="E6">
            <v>7.1</v>
          </cell>
          <cell r="F6">
            <v>5.3</v>
          </cell>
          <cell r="G6">
            <v>3.1019999999999999</v>
          </cell>
          <cell r="H6">
            <v>4.25</v>
          </cell>
          <cell r="I6">
            <v>4.45</v>
          </cell>
          <cell r="J6">
            <v>5</v>
          </cell>
        </row>
        <row r="7">
          <cell r="A7" t="str">
            <v xml:space="preserve">Amer. Elec. Power             </v>
          </cell>
          <cell r="B7" t="str">
            <v>AEP</v>
          </cell>
          <cell r="C7">
            <v>11.787000000000001</v>
          </cell>
          <cell r="D7">
            <v>12.5</v>
          </cell>
          <cell r="E7">
            <v>12.95</v>
          </cell>
          <cell r="F7">
            <v>11.25</v>
          </cell>
          <cell r="G7">
            <v>7.9459999999999997</v>
          </cell>
          <cell r="H7">
            <v>8.4499999999999993</v>
          </cell>
          <cell r="I7">
            <v>8.9</v>
          </cell>
          <cell r="J7">
            <v>10.25</v>
          </cell>
        </row>
        <row r="8">
          <cell r="A8" t="str">
            <v xml:space="preserve">Amer. States Water            </v>
          </cell>
          <cell r="B8" t="str">
            <v>AWR</v>
          </cell>
          <cell r="C8">
            <v>3.0840000000000001</v>
          </cell>
          <cell r="D8">
            <v>3.4</v>
          </cell>
          <cell r="E8">
            <v>3.4</v>
          </cell>
          <cell r="F8">
            <v>3.25</v>
          </cell>
          <cell r="G8">
            <v>2.9550000000000001</v>
          </cell>
          <cell r="H8">
            <v>3.05</v>
          </cell>
          <cell r="I8">
            <v>3.25</v>
          </cell>
          <cell r="J8">
            <v>4</v>
          </cell>
        </row>
        <row r="9">
          <cell r="A9" t="str">
            <v xml:space="preserve">Amer. Water Works             </v>
          </cell>
          <cell r="B9" t="str">
            <v>AWK</v>
          </cell>
          <cell r="C9">
            <v>8.0359999999999996</v>
          </cell>
          <cell r="D9">
            <v>9.6</v>
          </cell>
          <cell r="E9">
            <v>9.5500000000000007</v>
          </cell>
          <cell r="F9">
            <v>9.1999999999999993</v>
          </cell>
          <cell r="G9">
            <v>5.14</v>
          </cell>
          <cell r="H9">
            <v>5.8</v>
          </cell>
          <cell r="I9">
            <v>6.3</v>
          </cell>
          <cell r="J9">
            <v>7.7</v>
          </cell>
        </row>
        <row r="10">
          <cell r="A10" t="str">
            <v xml:space="preserve">Ameren Corp.                  </v>
          </cell>
          <cell r="B10" t="str">
            <v>AEE</v>
          </cell>
          <cell r="C10">
            <v>9.0470000000000006</v>
          </cell>
          <cell r="D10">
            <v>9.8000000000000007</v>
          </cell>
          <cell r="E10">
            <v>11.25</v>
          </cell>
          <cell r="F10">
            <v>9.5</v>
          </cell>
          <cell r="G10">
            <v>6.8040000000000003</v>
          </cell>
          <cell r="H10">
            <v>7.4</v>
          </cell>
          <cell r="I10">
            <v>7.9</v>
          </cell>
          <cell r="J10">
            <v>9.5</v>
          </cell>
        </row>
        <row r="11">
          <cell r="A11" t="str">
            <v xml:space="preserve">AmeriGas Partners             </v>
          </cell>
          <cell r="B11" t="str">
            <v>APU</v>
          </cell>
          <cell r="C11">
            <v>1.056</v>
          </cell>
          <cell r="D11">
            <v>1.2</v>
          </cell>
          <cell r="E11">
            <v>1.25</v>
          </cell>
          <cell r="F11">
            <v>1.45</v>
          </cell>
          <cell r="G11">
            <v>3.7930000000000001</v>
          </cell>
          <cell r="H11">
            <v>4</v>
          </cell>
          <cell r="I11">
            <v>4.2</v>
          </cell>
          <cell r="J11">
            <v>4.7</v>
          </cell>
        </row>
        <row r="12">
          <cell r="A12" t="str">
            <v xml:space="preserve">Aqua America                  </v>
          </cell>
          <cell r="B12" t="str">
            <v>WTR</v>
          </cell>
          <cell r="C12">
            <v>2.69</v>
          </cell>
          <cell r="D12">
            <v>2.65</v>
          </cell>
          <cell r="E12">
            <v>2.65</v>
          </cell>
          <cell r="F12">
            <v>2.1</v>
          </cell>
          <cell r="G12">
            <v>2.1179999999999999</v>
          </cell>
          <cell r="H12">
            <v>2.2000000000000002</v>
          </cell>
          <cell r="I12">
            <v>2.4</v>
          </cell>
          <cell r="J12">
            <v>2.9</v>
          </cell>
        </row>
        <row r="13">
          <cell r="A13" t="str">
            <v xml:space="preserve">Artesian Res Corp             </v>
          </cell>
          <cell r="B13" t="str">
            <v>ARTNA</v>
          </cell>
          <cell r="C13">
            <v>4.4589999999999996</v>
          </cell>
          <cell r="G13">
            <v>2.5539999999999998</v>
          </cell>
        </row>
        <row r="14">
          <cell r="A14" t="str">
            <v xml:space="preserve">Atmos Energy                  </v>
          </cell>
          <cell r="B14" t="str">
            <v>ATO</v>
          </cell>
          <cell r="C14">
            <v>10.717000000000001</v>
          </cell>
          <cell r="D14">
            <v>12.3</v>
          </cell>
          <cell r="E14">
            <v>13</v>
          </cell>
          <cell r="F14">
            <v>14.2</v>
          </cell>
          <cell r="G14">
            <v>6.6180000000000003</v>
          </cell>
          <cell r="H14">
            <v>7.15</v>
          </cell>
          <cell r="I14">
            <v>7.5</v>
          </cell>
          <cell r="J14">
            <v>8.6</v>
          </cell>
        </row>
        <row r="15">
          <cell r="A15" t="str">
            <v xml:space="preserve">AVANGRID, Inc.                </v>
          </cell>
          <cell r="B15" t="str">
            <v>AGR</v>
          </cell>
          <cell r="C15">
            <v>7.819</v>
          </cell>
          <cell r="D15">
            <v>7.75</v>
          </cell>
          <cell r="E15">
            <v>7.75</v>
          </cell>
          <cell r="F15">
            <v>7.75</v>
          </cell>
          <cell r="G15">
            <v>4.4889999999999999</v>
          </cell>
          <cell r="H15">
            <v>5.2</v>
          </cell>
          <cell r="I15">
            <v>5.6</v>
          </cell>
          <cell r="J15">
            <v>6.75</v>
          </cell>
        </row>
        <row r="16">
          <cell r="A16" t="str">
            <v xml:space="preserve">Avista Corp.                  </v>
          </cell>
          <cell r="B16" t="str">
            <v>AVA</v>
          </cell>
          <cell r="C16">
            <v>6.2960000000000003</v>
          </cell>
          <cell r="D16">
            <v>6.15</v>
          </cell>
          <cell r="E16">
            <v>6.05</v>
          </cell>
          <cell r="F16">
            <v>6.25</v>
          </cell>
          <cell r="G16">
            <v>4.8739999999999997</v>
          </cell>
          <cell r="H16">
            <v>5.0999999999999996</v>
          </cell>
          <cell r="I16">
            <v>5.4</v>
          </cell>
          <cell r="J16">
            <v>6.5</v>
          </cell>
        </row>
        <row r="17">
          <cell r="A17" t="str">
            <v xml:space="preserve">Black Hills                   </v>
          </cell>
          <cell r="B17" t="str">
            <v>BKH</v>
          </cell>
          <cell r="C17">
            <v>6.0890000000000004</v>
          </cell>
          <cell r="D17">
            <v>7.25</v>
          </cell>
          <cell r="E17">
            <v>8.5</v>
          </cell>
          <cell r="F17">
            <v>6.75</v>
          </cell>
          <cell r="G17">
            <v>7.1539999999999999</v>
          </cell>
          <cell r="H17">
            <v>6.75</v>
          </cell>
          <cell r="I17">
            <v>7.25</v>
          </cell>
          <cell r="J17">
            <v>8.5</v>
          </cell>
        </row>
        <row r="18">
          <cell r="A18" t="str">
            <v xml:space="preserve">California Water              </v>
          </cell>
          <cell r="B18" t="str">
            <v>CWT</v>
          </cell>
          <cell r="C18">
            <v>5.399</v>
          </cell>
          <cell r="D18">
            <v>4.3499999999999996</v>
          </cell>
          <cell r="E18">
            <v>3.95</v>
          </cell>
          <cell r="F18">
            <v>3.65</v>
          </cell>
          <cell r="G18">
            <v>2.9990000000000001</v>
          </cell>
          <cell r="H18">
            <v>2.8</v>
          </cell>
          <cell r="I18">
            <v>3</v>
          </cell>
          <cell r="J18">
            <v>3.3</v>
          </cell>
        </row>
        <row r="19">
          <cell r="A19" t="str">
            <v xml:space="preserve">CenterPoint Energy            </v>
          </cell>
          <cell r="B19" t="str">
            <v>CNP</v>
          </cell>
          <cell r="C19">
            <v>3.3079999999999998</v>
          </cell>
          <cell r="D19">
            <v>3.85</v>
          </cell>
          <cell r="E19">
            <v>3.75</v>
          </cell>
          <cell r="F19">
            <v>3.75</v>
          </cell>
          <cell r="G19">
            <v>4.0339999999999998</v>
          </cell>
          <cell r="H19">
            <v>4.25</v>
          </cell>
          <cell r="I19">
            <v>4.5</v>
          </cell>
          <cell r="J19">
            <v>5.25</v>
          </cell>
        </row>
        <row r="20">
          <cell r="A20" t="str">
            <v xml:space="preserve">Chesapeake Utilities          </v>
          </cell>
          <cell r="B20" t="str">
            <v>CPK</v>
          </cell>
          <cell r="C20">
            <v>10.727</v>
          </cell>
          <cell r="D20">
            <v>10.7</v>
          </cell>
          <cell r="E20">
            <v>10.8</v>
          </cell>
          <cell r="F20">
            <v>11.8</v>
          </cell>
          <cell r="G20">
            <v>5.4169999999999998</v>
          </cell>
          <cell r="H20">
            <v>6.2</v>
          </cell>
          <cell r="I20">
            <v>6.55</v>
          </cell>
          <cell r="J20">
            <v>8.25</v>
          </cell>
        </row>
        <row r="21">
          <cell r="A21" t="str">
            <v xml:space="preserve">CMS Energy Corp.              </v>
          </cell>
          <cell r="B21" t="str">
            <v>CMS</v>
          </cell>
          <cell r="C21">
            <v>5.9119999999999999</v>
          </cell>
          <cell r="D21">
            <v>7.4</v>
          </cell>
          <cell r="E21">
            <v>8.4</v>
          </cell>
          <cell r="F21">
            <v>6.5</v>
          </cell>
          <cell r="G21">
            <v>5.2869999999999999</v>
          </cell>
          <cell r="H21">
            <v>5.65</v>
          </cell>
          <cell r="I21">
            <v>5.95</v>
          </cell>
          <cell r="J21">
            <v>7</v>
          </cell>
        </row>
        <row r="22">
          <cell r="A22" t="str">
            <v xml:space="preserve">Conn. Water Services          </v>
          </cell>
          <cell r="B22" t="str">
            <v>CTWS</v>
          </cell>
          <cell r="C22">
            <v>4.3949999999999996</v>
          </cell>
          <cell r="D22">
            <v>4.45</v>
          </cell>
          <cell r="E22">
            <v>4</v>
          </cell>
          <cell r="F22">
            <v>3.35</v>
          </cell>
          <cell r="G22">
            <v>3.3919999999999999</v>
          </cell>
          <cell r="H22">
            <v>3.35</v>
          </cell>
          <cell r="I22">
            <v>3.85</v>
          </cell>
          <cell r="J22">
            <v>4.5</v>
          </cell>
        </row>
        <row r="23">
          <cell r="A23" t="str">
            <v xml:space="preserve">Consol. Edison                </v>
          </cell>
          <cell r="B23" t="str">
            <v>ED</v>
          </cell>
          <cell r="C23">
            <v>11.106</v>
          </cell>
          <cell r="D23">
            <v>12.5</v>
          </cell>
          <cell r="E23">
            <v>11.15</v>
          </cell>
          <cell r="F23">
            <v>11.25</v>
          </cell>
          <cell r="G23">
            <v>8.41</v>
          </cell>
          <cell r="H23">
            <v>8.75</v>
          </cell>
          <cell r="I23">
            <v>9.15</v>
          </cell>
          <cell r="J23">
            <v>10.5</v>
          </cell>
        </row>
        <row r="24">
          <cell r="A24" t="str">
            <v xml:space="preserve">Consolidated Water            </v>
          </cell>
          <cell r="B24" t="str">
            <v>CWCO</v>
          </cell>
          <cell r="C24">
            <v>0.307</v>
          </cell>
          <cell r="D24">
            <v>0.2</v>
          </cell>
          <cell r="E24">
            <v>0.2</v>
          </cell>
          <cell r="F24">
            <v>1.9</v>
          </cell>
          <cell r="G24">
            <v>1.117</v>
          </cell>
          <cell r="H24">
            <v>1.05</v>
          </cell>
          <cell r="I24">
            <v>1.1499999999999999</v>
          </cell>
          <cell r="J24">
            <v>1.9</v>
          </cell>
        </row>
        <row r="25">
          <cell r="A25" t="str">
            <v xml:space="preserve">Dominion Energy               </v>
          </cell>
          <cell r="B25" t="str">
            <v>D</v>
          </cell>
          <cell r="C25">
            <v>8.5389999999999997</v>
          </cell>
          <cell r="D25">
            <v>7.35</v>
          </cell>
          <cell r="E25">
            <v>6.95</v>
          </cell>
          <cell r="F25">
            <v>7.5</v>
          </cell>
          <cell r="G25">
            <v>6.8970000000000002</v>
          </cell>
          <cell r="H25">
            <v>7.15</v>
          </cell>
          <cell r="I25">
            <v>8.0500000000000007</v>
          </cell>
          <cell r="J25">
            <v>9.5</v>
          </cell>
        </row>
        <row r="26">
          <cell r="A26" t="str">
            <v xml:space="preserve">DTE Energy                    </v>
          </cell>
          <cell r="B26" t="str">
            <v>DTE</v>
          </cell>
          <cell r="C26">
            <v>12.542999999999999</v>
          </cell>
          <cell r="D26">
            <v>19.5</v>
          </cell>
          <cell r="E26">
            <v>13.3</v>
          </cell>
          <cell r="F26">
            <v>13.25</v>
          </cell>
          <cell r="G26">
            <v>11.773</v>
          </cell>
          <cell r="H26">
            <v>12.35</v>
          </cell>
          <cell r="I26">
            <v>12.8</v>
          </cell>
          <cell r="J26">
            <v>15.75</v>
          </cell>
        </row>
        <row r="27">
          <cell r="A27" t="str">
            <v xml:space="preserve">Duke Energy                   </v>
          </cell>
          <cell r="B27" t="str">
            <v>DUK</v>
          </cell>
          <cell r="C27">
            <v>11.503</v>
          </cell>
          <cell r="D27">
            <v>15.05</v>
          </cell>
          <cell r="E27">
            <v>15</v>
          </cell>
          <cell r="F27">
            <v>11.75</v>
          </cell>
          <cell r="G27">
            <v>10.013</v>
          </cell>
          <cell r="H27">
            <v>11.15</v>
          </cell>
          <cell r="I27">
            <v>11.7</v>
          </cell>
          <cell r="J27">
            <v>13.25</v>
          </cell>
        </row>
        <row r="28">
          <cell r="A28" t="str">
            <v xml:space="preserve">Edison Int'l                  </v>
          </cell>
          <cell r="B28" t="str">
            <v>EIX</v>
          </cell>
          <cell r="C28">
            <v>11.749000000000001</v>
          </cell>
          <cell r="D28">
            <v>13.3</v>
          </cell>
          <cell r="E28">
            <v>15.05</v>
          </cell>
          <cell r="F28">
            <v>15.75</v>
          </cell>
          <cell r="G28">
            <v>11.031000000000001</v>
          </cell>
          <cell r="H28">
            <v>11.45</v>
          </cell>
          <cell r="I28">
            <v>12.05</v>
          </cell>
          <cell r="J28">
            <v>14.25</v>
          </cell>
        </row>
        <row r="29">
          <cell r="A29" t="str">
            <v xml:space="preserve">El Paso Electric              </v>
          </cell>
          <cell r="B29" t="str">
            <v>EE</v>
          </cell>
          <cell r="C29">
            <v>5.9089999999999998</v>
          </cell>
          <cell r="D29">
            <v>6.8</v>
          </cell>
          <cell r="E29">
            <v>6.85</v>
          </cell>
          <cell r="F29">
            <v>7.25</v>
          </cell>
          <cell r="G29">
            <v>6.173</v>
          </cell>
          <cell r="H29">
            <v>6.35</v>
          </cell>
          <cell r="I29">
            <v>6.6</v>
          </cell>
          <cell r="J29">
            <v>7.5</v>
          </cell>
        </row>
        <row r="30">
          <cell r="A30" t="str">
            <v xml:space="preserve">Entergy Corp.                 </v>
          </cell>
          <cell r="B30" t="str">
            <v>ETR</v>
          </cell>
          <cell r="C30">
            <v>22.074999999999999</v>
          </cell>
          <cell r="D30">
            <v>21.4</v>
          </cell>
          <cell r="E30">
            <v>18.850000000000001</v>
          </cell>
          <cell r="F30">
            <v>17.5</v>
          </cell>
          <cell r="G30">
            <v>16.704999999999998</v>
          </cell>
          <cell r="H30">
            <v>15.55</v>
          </cell>
          <cell r="I30">
            <v>16.45</v>
          </cell>
          <cell r="J30">
            <v>19.5</v>
          </cell>
        </row>
        <row r="31">
          <cell r="A31" t="str">
            <v xml:space="preserve">Eversource Energy             </v>
          </cell>
          <cell r="B31" t="str">
            <v>ES</v>
          </cell>
          <cell r="C31">
            <v>7.41</v>
          </cell>
          <cell r="D31">
            <v>9.6</v>
          </cell>
          <cell r="E31">
            <v>9.4499999999999993</v>
          </cell>
          <cell r="F31">
            <v>6.25</v>
          </cell>
          <cell r="G31">
            <v>5.8440000000000003</v>
          </cell>
          <cell r="H31">
            <v>6.45</v>
          </cell>
          <cell r="I31">
            <v>6.8</v>
          </cell>
          <cell r="J31">
            <v>8</v>
          </cell>
        </row>
        <row r="32">
          <cell r="A32" t="str">
            <v xml:space="preserve">Exelon Corp.                  </v>
          </cell>
          <cell r="B32" t="str">
            <v>EXC</v>
          </cell>
          <cell r="C32">
            <v>7.8730000000000002</v>
          </cell>
          <cell r="D32">
            <v>8.15</v>
          </cell>
          <cell r="E32">
            <v>7.2</v>
          </cell>
          <cell r="F32">
            <v>7.25</v>
          </cell>
          <cell r="G32">
            <v>8.3699999999999992</v>
          </cell>
          <cell r="H32">
            <v>8.9499999999999993</v>
          </cell>
          <cell r="I32">
            <v>9.9</v>
          </cell>
          <cell r="J32">
            <v>11.75</v>
          </cell>
        </row>
        <row r="33">
          <cell r="A33" t="str">
            <v xml:space="preserve">FirstEnergy Corp.             </v>
          </cell>
          <cell r="B33" t="str">
            <v>FE</v>
          </cell>
          <cell r="C33">
            <v>6.3789999999999996</v>
          </cell>
          <cell r="D33">
            <v>5.85</v>
          </cell>
          <cell r="E33">
            <v>4.6500000000000004</v>
          </cell>
          <cell r="F33">
            <v>5</v>
          </cell>
          <cell r="G33">
            <v>6.5410000000000004</v>
          </cell>
          <cell r="H33">
            <v>3.45</v>
          </cell>
          <cell r="I33">
            <v>4.3</v>
          </cell>
          <cell r="J33">
            <v>5.25</v>
          </cell>
        </row>
        <row r="34">
          <cell r="A34" t="str">
            <v xml:space="preserve">Fortis Inc.                   </v>
          </cell>
          <cell r="B34" t="str">
            <v>FTS.TO</v>
          </cell>
          <cell r="C34">
            <v>7.181</v>
          </cell>
          <cell r="D34">
            <v>7.5</v>
          </cell>
          <cell r="E34">
            <v>6.95</v>
          </cell>
          <cell r="F34">
            <v>7</v>
          </cell>
          <cell r="G34">
            <v>5.4329999999999998</v>
          </cell>
          <cell r="H34">
            <v>5.6</v>
          </cell>
          <cell r="I34">
            <v>5.8</v>
          </cell>
          <cell r="J34">
            <v>6.75</v>
          </cell>
        </row>
        <row r="35">
          <cell r="A35" t="str">
            <v xml:space="preserve">Hawaiian Elec.                </v>
          </cell>
          <cell r="B35" t="str">
            <v>HE</v>
          </cell>
          <cell r="C35">
            <v>4.5519999999999996</v>
          </cell>
          <cell r="D35">
            <v>4.1500000000000004</v>
          </cell>
          <cell r="E35">
            <v>3.85</v>
          </cell>
          <cell r="F35">
            <v>4.5</v>
          </cell>
          <cell r="G35">
            <v>3.6829999999999998</v>
          </cell>
          <cell r="H35">
            <v>4</v>
          </cell>
          <cell r="I35">
            <v>4.1500000000000004</v>
          </cell>
          <cell r="J35">
            <v>4.75</v>
          </cell>
        </row>
        <row r="36">
          <cell r="A36" t="str">
            <v xml:space="preserve">IDACORP, Inc.                 </v>
          </cell>
          <cell r="B36" t="str">
            <v>IDA</v>
          </cell>
          <cell r="C36">
            <v>5.6619999999999999</v>
          </cell>
          <cell r="D36">
            <v>6.25</v>
          </cell>
          <cell r="E36">
            <v>6.4</v>
          </cell>
          <cell r="F36">
            <v>6.75</v>
          </cell>
          <cell r="G36">
            <v>7.5039999999999996</v>
          </cell>
          <cell r="H36">
            <v>7.65</v>
          </cell>
          <cell r="I36">
            <v>8.0500000000000007</v>
          </cell>
          <cell r="J36">
            <v>9.25</v>
          </cell>
        </row>
        <row r="37">
          <cell r="A37" t="str">
            <v xml:space="preserve">MGE Energy                    </v>
          </cell>
          <cell r="B37" t="str">
            <v>MGEE</v>
          </cell>
          <cell r="C37">
            <v>3.1190000000000002</v>
          </cell>
          <cell r="D37">
            <v>3.55</v>
          </cell>
          <cell r="E37">
            <v>4</v>
          </cell>
          <cell r="F37">
            <v>4.8499999999999996</v>
          </cell>
          <cell r="G37">
            <v>3.726</v>
          </cell>
          <cell r="H37">
            <v>3.9</v>
          </cell>
          <cell r="I37">
            <v>4.2</v>
          </cell>
          <cell r="J37">
            <v>5.55</v>
          </cell>
        </row>
        <row r="38">
          <cell r="A38" t="str">
            <v xml:space="preserve">Middlesex Water               </v>
          </cell>
          <cell r="B38" t="str">
            <v>MSEX</v>
          </cell>
          <cell r="C38">
            <v>3.0760000000000001</v>
          </cell>
          <cell r="D38">
            <v>3.05</v>
          </cell>
          <cell r="E38">
            <v>3</v>
          </cell>
          <cell r="F38">
            <v>2.5</v>
          </cell>
          <cell r="G38">
            <v>2.2370000000000001</v>
          </cell>
          <cell r="H38">
            <v>2.4</v>
          </cell>
          <cell r="I38">
            <v>2.5499999999999998</v>
          </cell>
          <cell r="J38">
            <v>3.15</v>
          </cell>
        </row>
        <row r="39">
          <cell r="A39" t="str">
            <v xml:space="preserve">New Jersey Resources          </v>
          </cell>
          <cell r="B39" t="str">
            <v>NJR</v>
          </cell>
          <cell r="C39">
            <v>3.8010000000000002</v>
          </cell>
          <cell r="D39">
            <v>2.2000000000000002</v>
          </cell>
          <cell r="E39">
            <v>2.25</v>
          </cell>
          <cell r="F39">
            <v>2.35</v>
          </cell>
          <cell r="G39">
            <v>2.6789999999999998</v>
          </cell>
          <cell r="H39">
            <v>3.65</v>
          </cell>
          <cell r="I39">
            <v>3.8</v>
          </cell>
          <cell r="J39">
            <v>4.2</v>
          </cell>
        </row>
        <row r="40">
          <cell r="A40" t="str">
            <v xml:space="preserve">NextEra Energy                </v>
          </cell>
          <cell r="B40" t="str">
            <v>NEE</v>
          </cell>
          <cell r="C40">
            <v>22.803000000000001</v>
          </cell>
          <cell r="D40">
            <v>20</v>
          </cell>
          <cell r="E40">
            <v>18.7</v>
          </cell>
          <cell r="F40">
            <v>18.75</v>
          </cell>
          <cell r="G40">
            <v>12.108000000000001</v>
          </cell>
          <cell r="H40">
            <v>15.2</v>
          </cell>
          <cell r="I40">
            <v>15.65</v>
          </cell>
          <cell r="J40">
            <v>19</v>
          </cell>
        </row>
        <row r="41">
          <cell r="A41" t="str">
            <v xml:space="preserve">NiSource Inc.                 </v>
          </cell>
          <cell r="B41" t="str">
            <v>NI</v>
          </cell>
          <cell r="C41">
            <v>5.032</v>
          </cell>
          <cell r="D41">
            <v>4.95</v>
          </cell>
          <cell r="E41">
            <v>5.2</v>
          </cell>
          <cell r="F41">
            <v>5.7</v>
          </cell>
          <cell r="G41">
            <v>2.0739999999999998</v>
          </cell>
          <cell r="H41">
            <v>3.05</v>
          </cell>
          <cell r="I41">
            <v>3</v>
          </cell>
          <cell r="J41">
            <v>3.45</v>
          </cell>
        </row>
        <row r="42">
          <cell r="A42" t="str">
            <v xml:space="preserve">Northwest Nat. Gas            </v>
          </cell>
          <cell r="B42" t="str">
            <v>NWN</v>
          </cell>
          <cell r="C42">
            <v>7.4329999999999998</v>
          </cell>
          <cell r="D42">
            <v>6.8</v>
          </cell>
          <cell r="E42">
            <v>6.65</v>
          </cell>
          <cell r="F42">
            <v>6.25</v>
          </cell>
          <cell r="G42">
            <v>1.042</v>
          </cell>
          <cell r="H42">
            <v>4.8499999999999996</v>
          </cell>
          <cell r="I42">
            <v>5.65</v>
          </cell>
          <cell r="J42">
            <v>6.35</v>
          </cell>
        </row>
        <row r="43">
          <cell r="A43" t="str">
            <v xml:space="preserve">NorthWestern Corp.            </v>
          </cell>
          <cell r="B43" t="str">
            <v>NWE</v>
          </cell>
          <cell r="C43">
            <v>5.5990000000000002</v>
          </cell>
          <cell r="D43">
            <v>5.7</v>
          </cell>
          <cell r="E43">
            <v>6.7</v>
          </cell>
          <cell r="F43">
            <v>6.25</v>
          </cell>
          <cell r="G43">
            <v>6.7569999999999997</v>
          </cell>
          <cell r="H43">
            <v>6.95</v>
          </cell>
          <cell r="I43">
            <v>7.3</v>
          </cell>
          <cell r="J43">
            <v>8.25</v>
          </cell>
        </row>
        <row r="44">
          <cell r="A44" t="str">
            <v xml:space="preserve">OGE Energy                    </v>
          </cell>
          <cell r="B44" t="str">
            <v>OGE</v>
          </cell>
          <cell r="C44">
            <v>4.1269999999999998</v>
          </cell>
          <cell r="D44">
            <v>3.15</v>
          </cell>
          <cell r="E44">
            <v>3.15</v>
          </cell>
          <cell r="F44">
            <v>2.75</v>
          </cell>
          <cell r="G44">
            <v>3.3439999999999999</v>
          </cell>
          <cell r="H44">
            <v>3.55</v>
          </cell>
          <cell r="I44">
            <v>4</v>
          </cell>
          <cell r="J44">
            <v>4.75</v>
          </cell>
        </row>
        <row r="45">
          <cell r="A45" t="str">
            <v xml:space="preserve">ONE Gas, Inc.                 </v>
          </cell>
          <cell r="B45" t="str">
            <v>OGS</v>
          </cell>
          <cell r="C45">
            <v>6.8120000000000003</v>
          </cell>
          <cell r="D45">
            <v>7.15</v>
          </cell>
          <cell r="E45">
            <v>7.3</v>
          </cell>
          <cell r="F45">
            <v>7.35</v>
          </cell>
          <cell r="G45">
            <v>5.96</v>
          </cell>
          <cell r="H45">
            <v>6.15</v>
          </cell>
          <cell r="I45">
            <v>6.45</v>
          </cell>
          <cell r="J45">
            <v>7.9</v>
          </cell>
        </row>
        <row r="46">
          <cell r="A46" t="str">
            <v xml:space="preserve">Otter Tail Corp.              </v>
          </cell>
          <cell r="B46" t="str">
            <v>OTTR</v>
          </cell>
          <cell r="C46">
            <v>3.36</v>
          </cell>
          <cell r="D46">
            <v>2.75</v>
          </cell>
          <cell r="E46">
            <v>9.65</v>
          </cell>
          <cell r="F46">
            <v>2.4500000000000002</v>
          </cell>
          <cell r="G46">
            <v>3.7010000000000001</v>
          </cell>
          <cell r="H46">
            <v>4.05</v>
          </cell>
          <cell r="I46">
            <v>4.2</v>
          </cell>
          <cell r="J46">
            <v>5.0999999999999996</v>
          </cell>
        </row>
        <row r="47">
          <cell r="A47" t="str">
            <v xml:space="preserve">PG&amp;E Corp.                    </v>
          </cell>
          <cell r="B47" t="str">
            <v>PCG</v>
          </cell>
          <cell r="C47">
            <v>10.959</v>
          </cell>
          <cell r="D47">
            <v>12.1</v>
          </cell>
          <cell r="E47">
            <v>11.4</v>
          </cell>
          <cell r="F47">
            <v>11.5</v>
          </cell>
          <cell r="G47">
            <v>9.0280000000000005</v>
          </cell>
          <cell r="H47">
            <v>9.25</v>
          </cell>
          <cell r="I47">
            <v>9.4499999999999993</v>
          </cell>
          <cell r="J47">
            <v>10.75</v>
          </cell>
        </row>
        <row r="48">
          <cell r="A48" t="str">
            <v xml:space="preserve">Pinnacle West Capital         </v>
          </cell>
          <cell r="B48" t="str">
            <v>PNW</v>
          </cell>
          <cell r="C48">
            <v>12.804</v>
          </cell>
          <cell r="D48">
            <v>11.25</v>
          </cell>
          <cell r="E48">
            <v>10.8</v>
          </cell>
          <cell r="F48">
            <v>11</v>
          </cell>
          <cell r="G48">
            <v>9.7859999999999996</v>
          </cell>
          <cell r="H48">
            <v>10.1</v>
          </cell>
          <cell r="I48">
            <v>10.65</v>
          </cell>
          <cell r="J48">
            <v>12.75</v>
          </cell>
        </row>
        <row r="49">
          <cell r="A49" t="str">
            <v xml:space="preserve">PNM Resources                 </v>
          </cell>
          <cell r="B49" t="str">
            <v>PNM</v>
          </cell>
          <cell r="C49">
            <v>6.2830000000000004</v>
          </cell>
          <cell r="D49">
            <v>6.3</v>
          </cell>
          <cell r="E49">
            <v>6.6</v>
          </cell>
          <cell r="F49">
            <v>8.25</v>
          </cell>
          <cell r="G49">
            <v>5.2990000000000004</v>
          </cell>
          <cell r="H49">
            <v>5.55</v>
          </cell>
          <cell r="I49">
            <v>6.15</v>
          </cell>
          <cell r="J49">
            <v>7.25</v>
          </cell>
        </row>
        <row r="50">
          <cell r="A50" t="str">
            <v xml:space="preserve">Portland General              </v>
          </cell>
          <cell r="B50" t="str">
            <v>POR</v>
          </cell>
          <cell r="C50">
            <v>5.7679999999999998</v>
          </cell>
          <cell r="D50">
            <v>6.35</v>
          </cell>
          <cell r="E50">
            <v>5.0999999999999996</v>
          </cell>
          <cell r="F50">
            <v>5</v>
          </cell>
          <cell r="G50">
            <v>6.1609999999999996</v>
          </cell>
          <cell r="H50">
            <v>6.4</v>
          </cell>
          <cell r="I50">
            <v>6.85</v>
          </cell>
          <cell r="J50">
            <v>8</v>
          </cell>
        </row>
        <row r="51">
          <cell r="A51" t="str">
            <v xml:space="preserve">PPL Corp.                     </v>
          </cell>
          <cell r="B51" t="str">
            <v>PPL</v>
          </cell>
          <cell r="C51">
            <v>4.5179999999999998</v>
          </cell>
          <cell r="D51">
            <v>4.75</v>
          </cell>
          <cell r="E51">
            <v>4.3499999999999996</v>
          </cell>
          <cell r="F51">
            <v>3.25</v>
          </cell>
          <cell r="G51">
            <v>3.6829999999999998</v>
          </cell>
          <cell r="H51">
            <v>3.7</v>
          </cell>
          <cell r="I51">
            <v>4</v>
          </cell>
          <cell r="J51">
            <v>4.75</v>
          </cell>
        </row>
        <row r="52">
          <cell r="A52" t="str">
            <v xml:space="preserve">Public Serv. Enterprise       </v>
          </cell>
          <cell r="B52" t="str">
            <v>PEG</v>
          </cell>
          <cell r="C52">
            <v>8.2970000000000006</v>
          </cell>
          <cell r="D52">
            <v>6.35</v>
          </cell>
          <cell r="E52">
            <v>5.35</v>
          </cell>
          <cell r="F52">
            <v>5.25</v>
          </cell>
          <cell r="G52">
            <v>5.3029999999999999</v>
          </cell>
          <cell r="H52">
            <v>5.8</v>
          </cell>
          <cell r="I52">
            <v>6.1</v>
          </cell>
          <cell r="J52">
            <v>7.5</v>
          </cell>
        </row>
        <row r="53">
          <cell r="A53" t="str">
            <v xml:space="preserve">RGC Resources Inc             </v>
          </cell>
          <cell r="B53" t="str">
            <v>RGCO</v>
          </cell>
          <cell r="C53">
            <v>2.8660000000000001</v>
          </cell>
          <cell r="G53">
            <v>1.7250000000000001</v>
          </cell>
        </row>
        <row r="54">
          <cell r="A54" t="str">
            <v xml:space="preserve">SCANA Corp.                   </v>
          </cell>
          <cell r="B54" t="str">
            <v>SCG</v>
          </cell>
          <cell r="C54">
            <v>8.5660000000000007</v>
          </cell>
          <cell r="D54">
            <v>6.2</v>
          </cell>
          <cell r="E54">
            <v>6.05</v>
          </cell>
          <cell r="F54">
            <v>6.5</v>
          </cell>
          <cell r="G54">
            <v>7.35</v>
          </cell>
          <cell r="H54">
            <v>7</v>
          </cell>
          <cell r="I54">
            <v>7.25</v>
          </cell>
          <cell r="J54">
            <v>8.25</v>
          </cell>
        </row>
        <row r="55">
          <cell r="A55" t="str">
            <v xml:space="preserve">Sempra Energy                 </v>
          </cell>
          <cell r="B55" t="str">
            <v>SRE</v>
          </cell>
          <cell r="C55">
            <v>15.711</v>
          </cell>
          <cell r="D55">
            <v>9.5</v>
          </cell>
          <cell r="E55">
            <v>9.5500000000000007</v>
          </cell>
          <cell r="F55">
            <v>9.25</v>
          </cell>
          <cell r="G55">
            <v>10.574999999999999</v>
          </cell>
          <cell r="H55">
            <v>11</v>
          </cell>
          <cell r="I55">
            <v>11.75</v>
          </cell>
          <cell r="J55">
            <v>14.25</v>
          </cell>
        </row>
        <row r="56">
          <cell r="A56" t="str">
            <v xml:space="preserve">SJW Group                     </v>
          </cell>
          <cell r="B56" t="str">
            <v>SJW</v>
          </cell>
          <cell r="C56">
            <v>7.2640000000000002</v>
          </cell>
          <cell r="D56">
            <v>5.5</v>
          </cell>
          <cell r="E56">
            <v>5.25</v>
          </cell>
          <cell r="F56">
            <v>5</v>
          </cell>
          <cell r="G56">
            <v>5.2380000000000004</v>
          </cell>
          <cell r="H56">
            <v>5</v>
          </cell>
          <cell r="I56">
            <v>5.25</v>
          </cell>
          <cell r="J56">
            <v>5.65</v>
          </cell>
        </row>
        <row r="57">
          <cell r="A57" t="str">
            <v xml:space="preserve">South Jersey Inds.            </v>
          </cell>
          <cell r="B57" t="str">
            <v>SJI</v>
          </cell>
          <cell r="C57">
            <v>3.431</v>
          </cell>
          <cell r="D57">
            <v>2.65</v>
          </cell>
          <cell r="E57">
            <v>3.1</v>
          </cell>
          <cell r="F57">
            <v>4.75</v>
          </cell>
          <cell r="G57">
            <v>2.7850000000000001</v>
          </cell>
          <cell r="H57">
            <v>2.85</v>
          </cell>
          <cell r="I57">
            <v>2.8</v>
          </cell>
          <cell r="J57">
            <v>3.6</v>
          </cell>
        </row>
        <row r="58">
          <cell r="A58" t="str">
            <v xml:space="preserve">Southern Co.                  </v>
          </cell>
          <cell r="B58" t="str">
            <v>SO</v>
          </cell>
          <cell r="C58">
            <v>7.367</v>
          </cell>
          <cell r="D58">
            <v>8.4499999999999993</v>
          </cell>
          <cell r="E58">
            <v>7.15</v>
          </cell>
          <cell r="F58">
            <v>7.25</v>
          </cell>
          <cell r="G58">
            <v>6.6379999999999999</v>
          </cell>
          <cell r="H58">
            <v>6.35</v>
          </cell>
          <cell r="I58">
            <v>6.6</v>
          </cell>
          <cell r="J58">
            <v>7.5</v>
          </cell>
        </row>
        <row r="59">
          <cell r="A59" t="str">
            <v xml:space="preserve">Southwest Gas                 </v>
          </cell>
          <cell r="B59" t="str">
            <v>SWX</v>
          </cell>
          <cell r="C59">
            <v>12.968</v>
          </cell>
          <cell r="D59">
            <v>12.75</v>
          </cell>
          <cell r="E59">
            <v>13.5</v>
          </cell>
          <cell r="F59">
            <v>15.55</v>
          </cell>
          <cell r="G59">
            <v>8.8330000000000002</v>
          </cell>
          <cell r="H59">
            <v>9.1</v>
          </cell>
          <cell r="I59">
            <v>10</v>
          </cell>
          <cell r="J59">
            <v>13.5</v>
          </cell>
        </row>
        <row r="60">
          <cell r="A60" t="str">
            <v xml:space="preserve">Spire Inc.                    </v>
          </cell>
          <cell r="B60" t="str">
            <v>SR</v>
          </cell>
          <cell r="C60">
            <v>9.077</v>
          </cell>
          <cell r="D60">
            <v>9.3000000000000007</v>
          </cell>
          <cell r="E60">
            <v>9.1999999999999993</v>
          </cell>
          <cell r="F60">
            <v>10</v>
          </cell>
          <cell r="G60">
            <v>6.5410000000000004</v>
          </cell>
          <cell r="H60">
            <v>7.3</v>
          </cell>
          <cell r="I60">
            <v>7.25</v>
          </cell>
          <cell r="J60">
            <v>8.25</v>
          </cell>
        </row>
        <row r="61">
          <cell r="A61" t="str">
            <v xml:space="preserve">Star Group L.P.               </v>
          </cell>
          <cell r="B61" t="str">
            <v>SGU</v>
          </cell>
          <cell r="C61">
            <v>0.216</v>
          </cell>
          <cell r="G61">
            <v>0.97499999999999998</v>
          </cell>
        </row>
        <row r="62">
          <cell r="A62" t="str">
            <v xml:space="preserve">UGI Corp.                     </v>
          </cell>
          <cell r="B62" t="str">
            <v>UGI</v>
          </cell>
          <cell r="C62">
            <v>3.6720000000000002</v>
          </cell>
          <cell r="D62">
            <v>3.75</v>
          </cell>
          <cell r="E62">
            <v>3.9</v>
          </cell>
          <cell r="F62">
            <v>4.3499999999999996</v>
          </cell>
          <cell r="G62">
            <v>4.7290000000000001</v>
          </cell>
          <cell r="H62">
            <v>5.3</v>
          </cell>
          <cell r="I62">
            <v>5.4</v>
          </cell>
          <cell r="J62">
            <v>5.9</v>
          </cell>
        </row>
        <row r="63">
          <cell r="A63" t="str">
            <v xml:space="preserve">Unitil Corp.                  </v>
          </cell>
          <cell r="B63" t="str">
            <v>UTL</v>
          </cell>
          <cell r="C63">
            <v>8.0519999999999996</v>
          </cell>
          <cell r="G63">
            <v>5.1230000000000002</v>
          </cell>
        </row>
        <row r="64">
          <cell r="A64" t="str">
            <v xml:space="preserve">Vectren Corp.                 </v>
          </cell>
          <cell r="B64" t="str">
            <v>VVC</v>
          </cell>
          <cell r="C64">
            <v>7.26</v>
          </cell>
          <cell r="D64">
            <v>7.5</v>
          </cell>
          <cell r="E64">
            <v>8.0500000000000007</v>
          </cell>
          <cell r="F64">
            <v>9.9</v>
          </cell>
          <cell r="G64">
            <v>5.93</v>
          </cell>
          <cell r="H64">
            <v>6.35</v>
          </cell>
          <cell r="I64">
            <v>6.65</v>
          </cell>
          <cell r="J64">
            <v>8</v>
          </cell>
        </row>
        <row r="65">
          <cell r="A65" t="str">
            <v xml:space="preserve">WEC Energy Group              </v>
          </cell>
          <cell r="B65" t="str">
            <v>WEC</v>
          </cell>
          <cell r="C65">
            <v>6.2089999999999996</v>
          </cell>
          <cell r="D65">
            <v>7.9</v>
          </cell>
          <cell r="E65">
            <v>6.35</v>
          </cell>
          <cell r="F65">
            <v>7</v>
          </cell>
          <cell r="G65">
            <v>5.69</v>
          </cell>
          <cell r="H65">
            <v>6.05</v>
          </cell>
          <cell r="I65">
            <v>6.35</v>
          </cell>
          <cell r="J65">
            <v>7.5</v>
          </cell>
        </row>
        <row r="66">
          <cell r="A66" t="str">
            <v xml:space="preserve">WGL Holdings Inc.             </v>
          </cell>
          <cell r="B66" t="str">
            <v>WGL</v>
          </cell>
          <cell r="C66">
            <v>10.087999999999999</v>
          </cell>
          <cell r="D66">
            <v>10.85</v>
          </cell>
          <cell r="E66">
            <v>11.1</v>
          </cell>
          <cell r="F66">
            <v>11.8</v>
          </cell>
          <cell r="G66">
            <v>6.1139999999999999</v>
          </cell>
          <cell r="H66">
            <v>7.05</v>
          </cell>
          <cell r="I66">
            <v>7.2</v>
          </cell>
          <cell r="J66">
            <v>7.7</v>
          </cell>
        </row>
        <row r="67">
          <cell r="A67" t="str">
            <v xml:space="preserve">Xcel Energy Inc.              </v>
          </cell>
          <cell r="B67" t="str">
            <v>XEL</v>
          </cell>
          <cell r="C67">
            <v>6.5369999999999999</v>
          </cell>
          <cell r="D67">
            <v>8.25</v>
          </cell>
          <cell r="E67">
            <v>7.95</v>
          </cell>
          <cell r="F67">
            <v>6.75</v>
          </cell>
          <cell r="G67">
            <v>5.4649999999999999</v>
          </cell>
          <cell r="H67">
            <v>5.9</v>
          </cell>
          <cell r="I67">
            <v>6.15</v>
          </cell>
          <cell r="J67">
            <v>7.25</v>
          </cell>
        </row>
        <row r="68">
          <cell r="A68" t="str">
            <v xml:space="preserve">York Water Co. (The)          </v>
          </cell>
          <cell r="B68" t="str">
            <v>YORW</v>
          </cell>
          <cell r="C68">
            <v>1.948</v>
          </cell>
          <cell r="D68">
            <v>1.5</v>
          </cell>
          <cell r="E68">
            <v>1.25</v>
          </cell>
          <cell r="F68">
            <v>1.25</v>
          </cell>
          <cell r="G68">
            <v>1.534</v>
          </cell>
          <cell r="H68">
            <v>1.65</v>
          </cell>
          <cell r="I68">
            <v>1.75</v>
          </cell>
          <cell r="J68">
            <v>2.25</v>
          </cell>
        </row>
      </sheetData>
      <sheetData sheetId="24">
        <row r="1">
          <cell r="D1" t="str">
            <v>April 27, May 18, and June 15, 2018.</v>
          </cell>
        </row>
        <row r="9">
          <cell r="D9" t="str">
            <v>ALE</v>
          </cell>
          <cell r="E9" t="str">
            <v xml:space="preserve">ALLETE                        </v>
          </cell>
          <cell r="F9">
            <v>22.1</v>
          </cell>
          <cell r="G9">
            <v>79.900000000000006</v>
          </cell>
          <cell r="H9">
            <v>66.599999999999994</v>
          </cell>
          <cell r="I9">
            <v>73.25</v>
          </cell>
          <cell r="J9">
            <v>6.85</v>
          </cell>
          <cell r="K9">
            <v>3.4</v>
          </cell>
          <cell r="L9">
            <v>2.2400000000000002</v>
          </cell>
          <cell r="M9">
            <v>6.3</v>
          </cell>
          <cell r="N9">
            <v>41.75</v>
          </cell>
          <cell r="O9">
            <v>7.2</v>
          </cell>
          <cell r="P9">
            <v>6.9</v>
          </cell>
          <cell r="Q9">
            <v>8.5</v>
          </cell>
          <cell r="R9">
            <v>6.75</v>
          </cell>
          <cell r="S9">
            <v>43266</v>
          </cell>
          <cell r="T9">
            <v>10.693430656934307</v>
          </cell>
          <cell r="U9">
            <v>1.7544910179640718</v>
          </cell>
          <cell r="V9">
            <v>5.3652694610778449E-2</v>
          </cell>
          <cell r="W9">
            <v>0.65882352941176481</v>
          </cell>
          <cell r="X9">
            <v>1.0873015873015872</v>
          </cell>
          <cell r="Y9">
            <v>3.0580204778157E-2</v>
          </cell>
          <cell r="Z9">
            <v>1.0434782608695652</v>
          </cell>
        </row>
        <row r="10">
          <cell r="D10" t="str">
            <v>LNT</v>
          </cell>
          <cell r="E10" t="str">
            <v xml:space="preserve">Alliant Energy                </v>
          </cell>
          <cell r="F10">
            <v>18.899999999999999</v>
          </cell>
          <cell r="G10">
            <v>43.5</v>
          </cell>
          <cell r="H10">
            <v>36.799999999999997</v>
          </cell>
          <cell r="I10">
            <v>40.15</v>
          </cell>
          <cell r="J10">
            <v>4.25</v>
          </cell>
          <cell r="K10">
            <v>2.1</v>
          </cell>
          <cell r="L10">
            <v>1.34</v>
          </cell>
          <cell r="M10">
            <v>6.75</v>
          </cell>
          <cell r="N10">
            <v>19</v>
          </cell>
          <cell r="O10">
            <v>4.45</v>
          </cell>
          <cell r="P10">
            <v>7.1</v>
          </cell>
          <cell r="Q10">
            <v>5</v>
          </cell>
          <cell r="R10">
            <v>5.3</v>
          </cell>
          <cell r="S10">
            <v>43266</v>
          </cell>
          <cell r="T10">
            <v>9.447058823529412</v>
          </cell>
          <cell r="U10">
            <v>2.1131578947368421</v>
          </cell>
          <cell r="V10">
            <v>7.0526315789473687E-2</v>
          </cell>
          <cell r="W10">
            <v>0.63809523809523816</v>
          </cell>
          <cell r="X10">
            <v>0.62962962962962965</v>
          </cell>
          <cell r="Y10">
            <v>3.3374844333748446E-2</v>
          </cell>
          <cell r="Z10">
            <v>0.62676056338028174</v>
          </cell>
        </row>
        <row r="11">
          <cell r="D11" t="str">
            <v>AWR</v>
          </cell>
          <cell r="E11" t="str">
            <v>Amer. States Water</v>
          </cell>
          <cell r="F11">
            <v>33.200000000000003</v>
          </cell>
          <cell r="G11">
            <v>60</v>
          </cell>
          <cell r="H11">
            <v>50.1</v>
          </cell>
          <cell r="I11">
            <v>55.05</v>
          </cell>
          <cell r="J11">
            <v>3.05</v>
          </cell>
          <cell r="K11">
            <v>1.75</v>
          </cell>
          <cell r="L11">
            <v>1.05</v>
          </cell>
          <cell r="M11">
            <v>3.4</v>
          </cell>
          <cell r="N11">
            <v>15.2</v>
          </cell>
          <cell r="O11">
            <v>3.25</v>
          </cell>
          <cell r="P11">
            <v>3.4</v>
          </cell>
          <cell r="Q11">
            <v>4</v>
          </cell>
          <cell r="R11">
            <v>3.25</v>
          </cell>
          <cell r="S11">
            <v>43294</v>
          </cell>
          <cell r="T11">
            <v>18.049180327868854</v>
          </cell>
          <cell r="U11">
            <v>3.6217105263157894</v>
          </cell>
          <cell r="V11">
            <v>6.9078947368421059E-2</v>
          </cell>
          <cell r="W11">
            <v>0.6</v>
          </cell>
          <cell r="X11">
            <v>0.89705882352941169</v>
          </cell>
          <cell r="Y11">
            <v>1.9073569482288829E-2</v>
          </cell>
          <cell r="Z11">
            <v>0.95588235294117652</v>
          </cell>
        </row>
        <row r="12">
          <cell r="D12" t="str">
            <v>AWK</v>
          </cell>
          <cell r="E12" t="str">
            <v>Amer. Water Works</v>
          </cell>
          <cell r="F12">
            <v>26.2</v>
          </cell>
          <cell r="G12">
            <v>91.5</v>
          </cell>
          <cell r="H12">
            <v>76</v>
          </cell>
          <cell r="I12">
            <v>83.75</v>
          </cell>
          <cell r="J12">
            <v>5.8</v>
          </cell>
          <cell r="K12">
            <v>3.3</v>
          </cell>
          <cell r="L12">
            <v>1.78</v>
          </cell>
          <cell r="M12">
            <v>9.6</v>
          </cell>
          <cell r="N12">
            <v>31.75</v>
          </cell>
          <cell r="O12">
            <v>6.3</v>
          </cell>
          <cell r="P12">
            <v>9.5500000000000007</v>
          </cell>
          <cell r="Q12">
            <v>7.7</v>
          </cell>
          <cell r="R12">
            <v>9.1999999999999993</v>
          </cell>
          <cell r="S12">
            <v>43294</v>
          </cell>
          <cell r="T12">
            <v>14.439655172413794</v>
          </cell>
          <cell r="U12">
            <v>2.6377952755905514</v>
          </cell>
          <cell r="V12">
            <v>5.606299212598425E-2</v>
          </cell>
          <cell r="W12">
            <v>0.53939393939393943</v>
          </cell>
          <cell r="X12">
            <v>0.60416666666666663</v>
          </cell>
          <cell r="Y12">
            <v>2.1253731343283584E-2</v>
          </cell>
          <cell r="Z12">
            <v>0.65968586387434547</v>
          </cell>
        </row>
        <row r="13">
          <cell r="D13" t="str">
            <v>AEE</v>
          </cell>
          <cell r="E13" t="str">
            <v xml:space="preserve">Ameren Corp.                  </v>
          </cell>
          <cell r="F13">
            <v>18.8</v>
          </cell>
          <cell r="G13">
            <v>59.8</v>
          </cell>
          <cell r="H13">
            <v>51.9</v>
          </cell>
          <cell r="I13">
            <v>55.849999999999994</v>
          </cell>
          <cell r="J13">
            <v>7.4</v>
          </cell>
          <cell r="K13">
            <v>3.05</v>
          </cell>
          <cell r="L13">
            <v>1.85</v>
          </cell>
          <cell r="M13">
            <v>9.8000000000000007</v>
          </cell>
          <cell r="N13">
            <v>31</v>
          </cell>
          <cell r="O13">
            <v>7.9</v>
          </cell>
          <cell r="P13">
            <v>11.25</v>
          </cell>
          <cell r="Q13">
            <v>9.5</v>
          </cell>
          <cell r="R13">
            <v>9.5</v>
          </cell>
          <cell r="S13">
            <v>43266</v>
          </cell>
          <cell r="T13">
            <v>7.5472972972972965</v>
          </cell>
          <cell r="U13">
            <v>1.8016129032258064</v>
          </cell>
          <cell r="V13">
            <v>5.9677419354838709E-2</v>
          </cell>
          <cell r="W13">
            <v>0.60655737704918045</v>
          </cell>
          <cell r="X13">
            <v>0.75510204081632648</v>
          </cell>
          <cell r="Y13">
            <v>3.312444046553268E-2</v>
          </cell>
          <cell r="Z13">
            <v>0.7022222222222223</v>
          </cell>
        </row>
        <row r="14">
          <cell r="D14" t="str">
            <v>AEP</v>
          </cell>
          <cell r="E14" t="str">
            <v>American Electric Power</v>
          </cell>
          <cell r="F14">
            <v>17</v>
          </cell>
          <cell r="G14">
            <v>73.400000000000006</v>
          </cell>
          <cell r="H14">
            <v>63.3</v>
          </cell>
          <cell r="I14">
            <v>68.349999999999994</v>
          </cell>
          <cell r="J14">
            <v>8.4499999999999993</v>
          </cell>
          <cell r="K14">
            <v>3.85</v>
          </cell>
          <cell r="L14">
            <v>2.5099999999999998</v>
          </cell>
          <cell r="M14">
            <v>12.5</v>
          </cell>
          <cell r="N14">
            <v>38.6</v>
          </cell>
          <cell r="O14">
            <v>8.9</v>
          </cell>
          <cell r="P14">
            <v>12.95</v>
          </cell>
          <cell r="Q14">
            <v>10.25</v>
          </cell>
          <cell r="R14">
            <v>11.25</v>
          </cell>
          <cell r="S14">
            <v>43266</v>
          </cell>
          <cell r="T14">
            <v>8.0887573964497044</v>
          </cell>
          <cell r="U14">
            <v>1.7707253886010361</v>
          </cell>
          <cell r="V14">
            <v>6.5025906735751288E-2</v>
          </cell>
          <cell r="W14">
            <v>0.65194805194805183</v>
          </cell>
          <cell r="X14">
            <v>0.67599999999999993</v>
          </cell>
          <cell r="Y14">
            <v>3.6722750548646668E-2</v>
          </cell>
          <cell r="Z14">
            <v>0.68725868725868733</v>
          </cell>
        </row>
        <row r="15">
          <cell r="D15" t="str">
            <v>WTR</v>
          </cell>
          <cell r="E15" t="str">
            <v>Aqua America</v>
          </cell>
          <cell r="F15">
            <v>25.3</v>
          </cell>
          <cell r="G15">
            <v>39.4</v>
          </cell>
          <cell r="H15">
            <v>32.4</v>
          </cell>
          <cell r="I15">
            <v>35.9</v>
          </cell>
          <cell r="J15">
            <v>2.2000000000000002</v>
          </cell>
          <cell r="K15">
            <v>1.4</v>
          </cell>
          <cell r="L15">
            <v>0.85</v>
          </cell>
          <cell r="M15">
            <v>2.65</v>
          </cell>
          <cell r="N15">
            <v>11</v>
          </cell>
          <cell r="O15">
            <v>2.4</v>
          </cell>
          <cell r="P15">
            <v>2.65</v>
          </cell>
          <cell r="Q15">
            <v>2.9</v>
          </cell>
          <cell r="R15">
            <v>2.1</v>
          </cell>
          <cell r="S15">
            <v>43294</v>
          </cell>
          <cell r="T15">
            <v>16.318181818181817</v>
          </cell>
          <cell r="U15">
            <v>3.2636363636363637</v>
          </cell>
          <cell r="V15">
            <v>7.7272727272727271E-2</v>
          </cell>
          <cell r="W15">
            <v>0.60714285714285721</v>
          </cell>
          <cell r="X15">
            <v>0.83018867924528317</v>
          </cell>
          <cell r="Y15">
            <v>2.3676880222841225E-2</v>
          </cell>
          <cell r="Z15">
            <v>0.90566037735849059</v>
          </cell>
        </row>
        <row r="16">
          <cell r="D16" t="str">
            <v>ATO</v>
          </cell>
          <cell r="E16" t="str">
            <v>Atmos Energy</v>
          </cell>
          <cell r="F16">
            <v>20.9</v>
          </cell>
          <cell r="G16">
            <v>89.9</v>
          </cell>
          <cell r="H16">
            <v>76.5</v>
          </cell>
          <cell r="I16">
            <v>83.2</v>
          </cell>
          <cell r="J16">
            <v>7.15</v>
          </cell>
          <cell r="K16">
            <v>4.05</v>
          </cell>
          <cell r="L16">
            <v>1.94</v>
          </cell>
          <cell r="M16">
            <v>12.3</v>
          </cell>
          <cell r="N16">
            <v>42.1</v>
          </cell>
          <cell r="O16">
            <v>7.5</v>
          </cell>
          <cell r="P16">
            <v>13</v>
          </cell>
          <cell r="Q16">
            <v>8.6</v>
          </cell>
          <cell r="R16">
            <v>14.2</v>
          </cell>
          <cell r="S16">
            <v>43252</v>
          </cell>
          <cell r="T16">
            <v>11.636363636363637</v>
          </cell>
          <cell r="U16">
            <v>1.9762470308788598</v>
          </cell>
          <cell r="V16">
            <v>4.6080760095011872E-2</v>
          </cell>
          <cell r="W16">
            <v>0.47901234567901235</v>
          </cell>
          <cell r="X16">
            <v>0.58130081300813008</v>
          </cell>
          <cell r="Y16">
            <v>2.3317307692307689E-2</v>
          </cell>
          <cell r="Z16">
            <v>0.57692307692307687</v>
          </cell>
        </row>
        <row r="17">
          <cell r="D17" t="str">
            <v>AGR</v>
          </cell>
          <cell r="E17" t="str">
            <v>Avangrid, Inc.</v>
          </cell>
          <cell r="F17">
            <v>22.9</v>
          </cell>
          <cell r="G17">
            <v>54.6</v>
          </cell>
          <cell r="H17">
            <v>45.2</v>
          </cell>
          <cell r="I17">
            <v>49.900000000000006</v>
          </cell>
          <cell r="J17">
            <v>5.2</v>
          </cell>
          <cell r="K17">
            <v>2.2999999999999998</v>
          </cell>
          <cell r="L17">
            <v>1.74</v>
          </cell>
          <cell r="M17">
            <v>7.75</v>
          </cell>
          <cell r="N17">
            <v>49.35</v>
          </cell>
          <cell r="O17">
            <v>5.6</v>
          </cell>
          <cell r="P17">
            <v>7.75</v>
          </cell>
          <cell r="Q17">
            <v>6.75</v>
          </cell>
          <cell r="R17">
            <v>7.75</v>
          </cell>
          <cell r="S17">
            <v>43238</v>
          </cell>
          <cell r="T17">
            <v>9.5961538461538467</v>
          </cell>
          <cell r="U17">
            <v>1.0111448834853092</v>
          </cell>
          <cell r="V17">
            <v>3.5258358662613981E-2</v>
          </cell>
          <cell r="W17">
            <v>0.75652173913043486</v>
          </cell>
          <cell r="X17">
            <v>0.67096774193548392</v>
          </cell>
          <cell r="Y17">
            <v>3.4869739478957912E-2</v>
          </cell>
          <cell r="Z17">
            <v>0.72258064516129028</v>
          </cell>
        </row>
        <row r="18">
          <cell r="D18" t="str">
            <v>AVA</v>
          </cell>
          <cell r="E18" t="str">
            <v xml:space="preserve">Avista Corp.                  </v>
          </cell>
          <cell r="F18">
            <v>26.4</v>
          </cell>
          <cell r="G18">
            <v>52.3</v>
          </cell>
          <cell r="H18">
            <v>47.5</v>
          </cell>
          <cell r="I18">
            <v>49.9</v>
          </cell>
          <cell r="J18">
            <v>5.0999999999999996</v>
          </cell>
          <cell r="K18">
            <v>1.95</v>
          </cell>
          <cell r="L18">
            <v>1.49</v>
          </cell>
          <cell r="M18">
            <v>6.15</v>
          </cell>
          <cell r="N18">
            <v>26.95</v>
          </cell>
          <cell r="O18">
            <v>5.4</v>
          </cell>
          <cell r="P18">
            <v>6.05</v>
          </cell>
          <cell r="Q18">
            <v>6.5</v>
          </cell>
          <cell r="R18">
            <v>6.25</v>
          </cell>
          <cell r="S18">
            <v>43217</v>
          </cell>
          <cell r="T18">
            <v>9.7843137254901968</v>
          </cell>
          <cell r="U18">
            <v>1.8515769944341374</v>
          </cell>
          <cell r="V18">
            <v>5.528756957328386E-2</v>
          </cell>
          <cell r="W18">
            <v>0.76410256410256416</v>
          </cell>
          <cell r="X18">
            <v>0.82926829268292668</v>
          </cell>
          <cell r="Y18">
            <v>2.9859719438877757E-2</v>
          </cell>
          <cell r="Z18">
            <v>0.89256198347107452</v>
          </cell>
        </row>
        <row r="19">
          <cell r="D19" t="str">
            <v>BKH</v>
          </cell>
          <cell r="E19" t="str">
            <v xml:space="preserve">Black Hills                   </v>
          </cell>
          <cell r="F19">
            <v>15.9</v>
          </cell>
          <cell r="G19">
            <v>60.2</v>
          </cell>
          <cell r="H19">
            <v>50.5</v>
          </cell>
          <cell r="I19">
            <v>55.35</v>
          </cell>
          <cell r="J19">
            <v>6.75</v>
          </cell>
          <cell r="K19">
            <v>3.45</v>
          </cell>
          <cell r="L19">
            <v>1.9</v>
          </cell>
          <cell r="M19">
            <v>7.25</v>
          </cell>
          <cell r="N19">
            <v>35.25</v>
          </cell>
          <cell r="O19">
            <v>7.25</v>
          </cell>
          <cell r="P19">
            <v>8.5</v>
          </cell>
          <cell r="Q19">
            <v>8.5</v>
          </cell>
          <cell r="R19">
            <v>6.75</v>
          </cell>
          <cell r="S19">
            <v>43217</v>
          </cell>
          <cell r="T19">
            <v>8.2000000000000011</v>
          </cell>
          <cell r="U19">
            <v>1.5702127659574467</v>
          </cell>
          <cell r="V19">
            <v>5.3900709219858151E-2</v>
          </cell>
          <cell r="W19">
            <v>0.55072463768115931</v>
          </cell>
          <cell r="X19">
            <v>0.93103448275862066</v>
          </cell>
          <cell r="Y19">
            <v>3.4327009936766031E-2</v>
          </cell>
          <cell r="Z19">
            <v>0.8529411764705882</v>
          </cell>
        </row>
        <row r="20">
          <cell r="D20" t="str">
            <v>CWT</v>
          </cell>
          <cell r="E20" t="str">
            <v>California Water</v>
          </cell>
          <cell r="F20">
            <v>27.5</v>
          </cell>
          <cell r="G20">
            <v>45.8</v>
          </cell>
          <cell r="H20">
            <v>35.299999999999997</v>
          </cell>
          <cell r="I20">
            <v>40.549999999999997</v>
          </cell>
          <cell r="J20">
            <v>2.8</v>
          </cell>
          <cell r="K20">
            <v>1.45</v>
          </cell>
          <cell r="L20">
            <v>0.75</v>
          </cell>
          <cell r="M20">
            <v>4.3499999999999996</v>
          </cell>
          <cell r="N20">
            <v>14.45</v>
          </cell>
          <cell r="O20">
            <v>3</v>
          </cell>
          <cell r="P20">
            <v>3.95</v>
          </cell>
          <cell r="Q20">
            <v>3.3</v>
          </cell>
          <cell r="R20">
            <v>3.65</v>
          </cell>
          <cell r="S20">
            <v>43294</v>
          </cell>
          <cell r="T20">
            <v>14.482142857142858</v>
          </cell>
          <cell r="U20">
            <v>2.8062283737024223</v>
          </cell>
          <cell r="V20">
            <v>5.1903114186851215E-2</v>
          </cell>
          <cell r="W20">
            <v>0.51724137931034486</v>
          </cell>
          <cell r="X20">
            <v>0.64367816091954022</v>
          </cell>
          <cell r="Y20">
            <v>1.8495684340320593E-2</v>
          </cell>
          <cell r="Z20">
            <v>0.75949367088607589</v>
          </cell>
        </row>
        <row r="21">
          <cell r="D21" t="str">
            <v>CNP</v>
          </cell>
          <cell r="E21" t="str">
            <v xml:space="preserve">CenterPoint Energy            </v>
          </cell>
          <cell r="F21">
            <v>17.100000000000001</v>
          </cell>
          <cell r="G21">
            <v>28.5</v>
          </cell>
          <cell r="H21">
            <v>24.8</v>
          </cell>
          <cell r="I21">
            <v>26.65</v>
          </cell>
          <cell r="J21">
            <v>4.25</v>
          </cell>
          <cell r="K21">
            <v>1.5</v>
          </cell>
          <cell r="L21">
            <v>1.1100000000000001</v>
          </cell>
          <cell r="M21">
            <v>3.85</v>
          </cell>
          <cell r="N21">
            <v>11.3</v>
          </cell>
          <cell r="O21">
            <v>4.5</v>
          </cell>
          <cell r="P21">
            <v>3.75</v>
          </cell>
          <cell r="Q21">
            <v>5.25</v>
          </cell>
          <cell r="R21">
            <v>3.75</v>
          </cell>
          <cell r="S21">
            <v>43266</v>
          </cell>
          <cell r="T21">
            <v>6.2705882352941176</v>
          </cell>
          <cell r="U21">
            <v>2.3584070796460175</v>
          </cell>
          <cell r="V21">
            <v>9.8230088495575227E-2</v>
          </cell>
          <cell r="W21">
            <v>0.7400000000000001</v>
          </cell>
          <cell r="X21">
            <v>1.1038961038961039</v>
          </cell>
          <cell r="Y21">
            <v>4.165103189493434E-2</v>
          </cell>
          <cell r="Z21">
            <v>1.2</v>
          </cell>
        </row>
        <row r="22">
          <cell r="D22" t="str">
            <v>CPK</v>
          </cell>
          <cell r="E22" t="str">
            <v>Chesapeake Utilities</v>
          </cell>
          <cell r="F22">
            <v>24.4</v>
          </cell>
          <cell r="G22">
            <v>78.900000000000006</v>
          </cell>
          <cell r="H22">
            <v>66.400000000000006</v>
          </cell>
          <cell r="I22">
            <v>72.650000000000006</v>
          </cell>
          <cell r="J22">
            <v>6.2</v>
          </cell>
          <cell r="K22">
            <v>3.15</v>
          </cell>
          <cell r="L22">
            <v>1.39</v>
          </cell>
          <cell r="M22">
            <v>10.7</v>
          </cell>
          <cell r="N22">
            <v>32.299999999999997</v>
          </cell>
          <cell r="O22">
            <v>6.55</v>
          </cell>
          <cell r="P22">
            <v>10.8</v>
          </cell>
          <cell r="Q22">
            <v>8.25</v>
          </cell>
          <cell r="R22">
            <v>11.8</v>
          </cell>
          <cell r="S22">
            <v>43252</v>
          </cell>
          <cell r="T22">
            <v>11.717741935483872</v>
          </cell>
          <cell r="U22">
            <v>2.2492260061919507</v>
          </cell>
          <cell r="V22">
            <v>4.3034055727554178E-2</v>
          </cell>
          <cell r="W22">
            <v>0.44126984126984126</v>
          </cell>
          <cell r="X22">
            <v>0.57943925233644866</v>
          </cell>
          <cell r="Y22">
            <v>1.9132828630419818E-2</v>
          </cell>
          <cell r="Z22">
            <v>0.6064814814814814</v>
          </cell>
        </row>
        <row r="23">
          <cell r="D23" t="str">
            <v>CMS</v>
          </cell>
          <cell r="E23" t="str">
            <v xml:space="preserve">CMS Energy Corp.              </v>
          </cell>
          <cell r="F23">
            <v>18.8</v>
          </cell>
          <cell r="G23">
            <v>47.5</v>
          </cell>
          <cell r="H23">
            <v>40.5</v>
          </cell>
          <cell r="I23">
            <v>44</v>
          </cell>
          <cell r="J23">
            <v>5.65</v>
          </cell>
          <cell r="K23">
            <v>2.35</v>
          </cell>
          <cell r="L23">
            <v>1.43</v>
          </cell>
          <cell r="M23">
            <v>7.4</v>
          </cell>
          <cell r="N23">
            <v>16.95</v>
          </cell>
          <cell r="O23">
            <v>5.95</v>
          </cell>
          <cell r="P23">
            <v>8.4</v>
          </cell>
          <cell r="Q23">
            <v>7</v>
          </cell>
          <cell r="R23">
            <v>6.5</v>
          </cell>
          <cell r="S23">
            <v>43266</v>
          </cell>
          <cell r="T23">
            <v>7.7876106194690262</v>
          </cell>
          <cell r="U23">
            <v>2.5958702064896757</v>
          </cell>
          <cell r="V23">
            <v>8.4365781710914453E-2</v>
          </cell>
          <cell r="W23">
            <v>0.60851063829787233</v>
          </cell>
          <cell r="X23">
            <v>0.76351351351351349</v>
          </cell>
          <cell r="Y23">
            <v>3.2500000000000001E-2</v>
          </cell>
          <cell r="Z23">
            <v>0.70833333333333337</v>
          </cell>
        </row>
        <row r="24">
          <cell r="D24" t="str">
            <v>CTWS</v>
          </cell>
          <cell r="E24" t="str">
            <v>Conn. Water Services</v>
          </cell>
          <cell r="F24">
            <v>35.799999999999997</v>
          </cell>
          <cell r="G24">
            <v>69.7</v>
          </cell>
          <cell r="H24">
            <v>48.9</v>
          </cell>
          <cell r="I24">
            <v>59.3</v>
          </cell>
          <cell r="J24">
            <v>3.35</v>
          </cell>
          <cell r="K24">
            <v>1.85</v>
          </cell>
          <cell r="L24">
            <v>1.24</v>
          </cell>
          <cell r="M24">
            <v>4.45</v>
          </cell>
          <cell r="N24">
            <v>24.7</v>
          </cell>
          <cell r="O24">
            <v>3.85</v>
          </cell>
          <cell r="P24">
            <v>4</v>
          </cell>
          <cell r="Q24">
            <v>4.5</v>
          </cell>
          <cell r="R24">
            <v>3.35</v>
          </cell>
          <cell r="S24">
            <v>43294</v>
          </cell>
          <cell r="T24">
            <v>17.701492537313431</v>
          </cell>
          <cell r="U24">
            <v>2.4008097165991904</v>
          </cell>
          <cell r="V24">
            <v>5.020242914979757E-2</v>
          </cell>
          <cell r="W24">
            <v>0.6702702702702702</v>
          </cell>
          <cell r="X24">
            <v>0.7528089887640449</v>
          </cell>
          <cell r="Y24">
            <v>2.0910623946037099E-2</v>
          </cell>
          <cell r="Z24">
            <v>0.96250000000000002</v>
          </cell>
        </row>
        <row r="25">
          <cell r="D25" t="str">
            <v>ED</v>
          </cell>
          <cell r="E25" t="str">
            <v xml:space="preserve">Consol. Edison                </v>
          </cell>
          <cell r="F25">
            <v>17.899999999999999</v>
          </cell>
          <cell r="G25">
            <v>84.9</v>
          </cell>
          <cell r="H25">
            <v>73.7</v>
          </cell>
          <cell r="I25">
            <v>79.300000000000011</v>
          </cell>
          <cell r="J25">
            <v>8.75</v>
          </cell>
          <cell r="K25">
            <v>4.25</v>
          </cell>
          <cell r="L25">
            <v>2.86</v>
          </cell>
          <cell r="M25">
            <v>12.5</v>
          </cell>
          <cell r="N25">
            <v>51.7</v>
          </cell>
          <cell r="O25">
            <v>9.15</v>
          </cell>
          <cell r="P25">
            <v>11.15</v>
          </cell>
          <cell r="Q25">
            <v>10.5</v>
          </cell>
          <cell r="R25">
            <v>11.25</v>
          </cell>
          <cell r="S25">
            <v>43238</v>
          </cell>
          <cell r="T25">
            <v>9.0628571428571441</v>
          </cell>
          <cell r="U25">
            <v>1.5338491295938106</v>
          </cell>
          <cell r="V25">
            <v>5.5319148936170209E-2</v>
          </cell>
          <cell r="W25">
            <v>0.67294117647058815</v>
          </cell>
          <cell r="X25">
            <v>0.7</v>
          </cell>
          <cell r="Y25">
            <v>3.6065573770491799E-2</v>
          </cell>
          <cell r="Z25">
            <v>0.820627802690583</v>
          </cell>
        </row>
        <row r="26">
          <cell r="D26" t="str">
            <v>CWCO</v>
          </cell>
          <cell r="E26" t="str">
            <v>Consolidated Water</v>
          </cell>
          <cell r="F26">
            <v>23.8</v>
          </cell>
          <cell r="G26">
            <v>15.4</v>
          </cell>
          <cell r="H26">
            <v>12</v>
          </cell>
          <cell r="I26">
            <v>13.7</v>
          </cell>
          <cell r="J26">
            <v>1.1000000000000001</v>
          </cell>
          <cell r="K26">
            <v>0.7</v>
          </cell>
          <cell r="L26">
            <v>0.34</v>
          </cell>
          <cell r="M26">
            <v>0.2</v>
          </cell>
          <cell r="N26">
            <v>10.35</v>
          </cell>
          <cell r="O26">
            <v>1.1499999999999999</v>
          </cell>
          <cell r="P26">
            <v>0.2</v>
          </cell>
          <cell r="Q26">
            <v>1.9</v>
          </cell>
          <cell r="R26">
            <v>1.9</v>
          </cell>
          <cell r="S26">
            <v>43203</v>
          </cell>
          <cell r="T26">
            <v>12.454545454545453</v>
          </cell>
          <cell r="U26">
            <v>1.3236714975845409</v>
          </cell>
          <cell r="V26">
            <v>3.2850241545893721E-2</v>
          </cell>
          <cell r="W26">
            <v>0.48571428571428577</v>
          </cell>
          <cell r="X26">
            <v>5.5</v>
          </cell>
          <cell r="Y26">
            <v>2.4817518248175185E-2</v>
          </cell>
          <cell r="Z26">
            <v>5.7499999999999991</v>
          </cell>
        </row>
        <row r="27">
          <cell r="D27" t="str">
            <v>D</v>
          </cell>
          <cell r="E27" t="str">
            <v xml:space="preserve">Dominion Resources            </v>
          </cell>
          <cell r="F27">
            <v>17.3</v>
          </cell>
          <cell r="G27">
            <v>81.7</v>
          </cell>
          <cell r="H27">
            <v>63</v>
          </cell>
          <cell r="I27">
            <v>72.349999999999994</v>
          </cell>
          <cell r="J27">
            <v>7.15</v>
          </cell>
          <cell r="K27">
            <v>3.65</v>
          </cell>
          <cell r="L27">
            <v>3.34</v>
          </cell>
          <cell r="M27">
            <v>7.35</v>
          </cell>
          <cell r="N27">
            <v>29.05</v>
          </cell>
          <cell r="O27">
            <v>8.0500000000000007</v>
          </cell>
          <cell r="P27">
            <v>6.95</v>
          </cell>
          <cell r="Q27">
            <v>9.5</v>
          </cell>
          <cell r="R27">
            <v>7.5</v>
          </cell>
          <cell r="S27">
            <v>43238</v>
          </cell>
          <cell r="T27">
            <v>10.118881118881118</v>
          </cell>
          <cell r="U27">
            <v>2.4905335628227192</v>
          </cell>
          <cell r="V27">
            <v>0.11497418244406195</v>
          </cell>
          <cell r="W27">
            <v>0.91506849315068495</v>
          </cell>
          <cell r="X27">
            <v>0.97278911564625858</v>
          </cell>
          <cell r="Y27">
            <v>4.6164478230822391E-2</v>
          </cell>
          <cell r="Z27">
            <v>1.1582733812949642</v>
          </cell>
        </row>
        <row r="28">
          <cell r="D28" t="str">
            <v>DTE</v>
          </cell>
          <cell r="E28" t="str">
            <v xml:space="preserve">DTE Energy                    </v>
          </cell>
          <cell r="F28">
            <v>17</v>
          </cell>
          <cell r="G28">
            <v>110.5</v>
          </cell>
          <cell r="H28">
            <v>97.7</v>
          </cell>
          <cell r="I28">
            <v>104.1</v>
          </cell>
          <cell r="J28">
            <v>12.35</v>
          </cell>
          <cell r="K28">
            <v>5.85</v>
          </cell>
          <cell r="L28">
            <v>3.59</v>
          </cell>
          <cell r="M28">
            <v>19.5</v>
          </cell>
          <cell r="N28">
            <v>56</v>
          </cell>
          <cell r="O28">
            <v>12.8</v>
          </cell>
          <cell r="P28">
            <v>13.3</v>
          </cell>
          <cell r="Q28">
            <v>15.75</v>
          </cell>
          <cell r="R28">
            <v>13.25</v>
          </cell>
          <cell r="S28">
            <v>43266</v>
          </cell>
          <cell r="T28">
            <v>8.4291497975708491</v>
          </cell>
          <cell r="U28">
            <v>1.8589285714285713</v>
          </cell>
          <cell r="V28">
            <v>6.4107142857142849E-2</v>
          </cell>
          <cell r="W28">
            <v>0.61367521367521372</v>
          </cell>
          <cell r="X28">
            <v>0.6333333333333333</v>
          </cell>
          <cell r="Y28">
            <v>3.4486071085494716E-2</v>
          </cell>
          <cell r="Z28">
            <v>0.96240601503759393</v>
          </cell>
        </row>
        <row r="29">
          <cell r="D29" t="str">
            <v>DUK</v>
          </cell>
          <cell r="E29" t="str">
            <v xml:space="preserve">Duke Energy                   </v>
          </cell>
          <cell r="F29">
            <v>16.2</v>
          </cell>
          <cell r="G29">
            <v>84.4</v>
          </cell>
          <cell r="H29">
            <v>72.900000000000006</v>
          </cell>
          <cell r="I29">
            <v>78.650000000000006</v>
          </cell>
          <cell r="J29">
            <v>11.15</v>
          </cell>
          <cell r="K29">
            <v>4.8</v>
          </cell>
          <cell r="L29">
            <v>3.64</v>
          </cell>
          <cell r="M29">
            <v>15.05</v>
          </cell>
          <cell r="N29">
            <v>61.05</v>
          </cell>
          <cell r="O29">
            <v>11.7</v>
          </cell>
          <cell r="P29">
            <v>15</v>
          </cell>
          <cell r="Q29">
            <v>13.25</v>
          </cell>
          <cell r="R29">
            <v>11.75</v>
          </cell>
          <cell r="S29">
            <v>43238</v>
          </cell>
          <cell r="T29">
            <v>7.0538116591928253</v>
          </cell>
          <cell r="U29">
            <v>1.2882882882882885</v>
          </cell>
          <cell r="V29">
            <v>5.9623259623259629E-2</v>
          </cell>
          <cell r="W29">
            <v>0.75833333333333341</v>
          </cell>
          <cell r="X29">
            <v>0.74086378737541525</v>
          </cell>
          <cell r="Y29">
            <v>4.6280991735537187E-2</v>
          </cell>
          <cell r="Z29">
            <v>0.77999999999999992</v>
          </cell>
        </row>
        <row r="30">
          <cell r="D30" t="str">
            <v>EIX</v>
          </cell>
          <cell r="E30" t="str">
            <v xml:space="preserve">Edison Int'l                  </v>
          </cell>
          <cell r="F30">
            <v>14.3</v>
          </cell>
          <cell r="G30">
            <v>67.599999999999994</v>
          </cell>
          <cell r="H30">
            <v>57.6</v>
          </cell>
          <cell r="I30">
            <v>62.599999999999994</v>
          </cell>
          <cell r="J30">
            <v>11.45</v>
          </cell>
          <cell r="K30">
            <v>4.55</v>
          </cell>
          <cell r="L30">
            <v>2.4500000000000002</v>
          </cell>
          <cell r="M30">
            <v>13.3</v>
          </cell>
          <cell r="N30">
            <v>37.35</v>
          </cell>
          <cell r="O30">
            <v>12.05</v>
          </cell>
          <cell r="P30">
            <v>15.05</v>
          </cell>
          <cell r="Q30">
            <v>14.25</v>
          </cell>
          <cell r="R30">
            <v>15.75</v>
          </cell>
          <cell r="S30">
            <v>43217</v>
          </cell>
          <cell r="T30">
            <v>5.4672489082969431</v>
          </cell>
          <cell r="U30">
            <v>1.6760374832663987</v>
          </cell>
          <cell r="V30">
            <v>6.5595716198125834E-2</v>
          </cell>
          <cell r="W30">
            <v>0.53846153846153855</v>
          </cell>
          <cell r="X30">
            <v>0.86090225563909761</v>
          </cell>
          <cell r="Y30">
            <v>3.91373801916933E-2</v>
          </cell>
          <cell r="Z30">
            <v>0.80066445182724255</v>
          </cell>
        </row>
        <row r="31">
          <cell r="D31" t="str">
            <v>EE</v>
          </cell>
          <cell r="E31" t="str">
            <v xml:space="preserve">El Paso Electric              </v>
          </cell>
          <cell r="F31">
            <v>20.399999999999999</v>
          </cell>
          <cell r="G31">
            <v>55.8</v>
          </cell>
          <cell r="H31">
            <v>48.1</v>
          </cell>
          <cell r="I31">
            <v>51.95</v>
          </cell>
          <cell r="J31">
            <v>6.35</v>
          </cell>
          <cell r="K31">
            <v>2.4500000000000002</v>
          </cell>
          <cell r="L31">
            <v>1.42</v>
          </cell>
          <cell r="M31">
            <v>6.8</v>
          </cell>
          <cell r="N31">
            <v>29.2</v>
          </cell>
          <cell r="O31">
            <v>6.6</v>
          </cell>
          <cell r="P31">
            <v>6.85</v>
          </cell>
          <cell r="Q31">
            <v>7.5</v>
          </cell>
          <cell r="R31">
            <v>7.25</v>
          </cell>
          <cell r="S31">
            <v>43217</v>
          </cell>
          <cell r="T31">
            <v>8.1811023622047259</v>
          </cell>
          <cell r="U31">
            <v>1.779109589041096</v>
          </cell>
          <cell r="V31">
            <v>4.8630136986301371E-2</v>
          </cell>
          <cell r="W31">
            <v>0.57959183673469383</v>
          </cell>
          <cell r="X31">
            <v>0.93382352941176472</v>
          </cell>
          <cell r="Y31">
            <v>2.73339749759384E-2</v>
          </cell>
          <cell r="Z31">
            <v>0.96350364963503654</v>
          </cell>
        </row>
        <row r="32">
          <cell r="T32"/>
          <cell r="U32"/>
          <cell r="V32"/>
          <cell r="W32"/>
          <cell r="X32"/>
          <cell r="Y32"/>
          <cell r="Z32"/>
        </row>
        <row r="33">
          <cell r="D33" t="str">
            <v>ETR</v>
          </cell>
          <cell r="E33" t="str">
            <v xml:space="preserve">Entergy Corp.                 </v>
          </cell>
          <cell r="F33">
            <v>19</v>
          </cell>
          <cell r="G33">
            <v>83</v>
          </cell>
          <cell r="H33">
            <v>71.900000000000006</v>
          </cell>
          <cell r="I33">
            <v>77.45</v>
          </cell>
          <cell r="J33">
            <v>15.55</v>
          </cell>
          <cell r="K33">
            <v>4.0999999999999996</v>
          </cell>
          <cell r="L33">
            <v>3.58</v>
          </cell>
          <cell r="M33">
            <v>21.4</v>
          </cell>
          <cell r="N33">
            <v>45.6</v>
          </cell>
          <cell r="O33">
            <v>16.45</v>
          </cell>
          <cell r="P33">
            <v>18.850000000000001</v>
          </cell>
          <cell r="Q33">
            <v>19.5</v>
          </cell>
          <cell r="R33">
            <v>17.5</v>
          </cell>
          <cell r="S33">
            <v>43266</v>
          </cell>
          <cell r="T33">
            <v>4.980707395498392</v>
          </cell>
          <cell r="U33">
            <v>1.6984649122807018</v>
          </cell>
          <cell r="V33">
            <v>7.8508771929824556E-2</v>
          </cell>
          <cell r="W33">
            <v>0.87317073170731718</v>
          </cell>
          <cell r="X33">
            <v>0.72663551401869164</v>
          </cell>
          <cell r="Y33">
            <v>4.6223369916074883E-2</v>
          </cell>
          <cell r="Z33">
            <v>0.87267904509283811</v>
          </cell>
        </row>
        <row r="34">
          <cell r="D34" t="str">
            <v>ES</v>
          </cell>
          <cell r="E34" t="str">
            <v xml:space="preserve">Eversource Energy    </v>
          </cell>
          <cell r="F34">
            <v>17.600000000000001</v>
          </cell>
          <cell r="G34">
            <v>65</v>
          </cell>
          <cell r="H34">
            <v>55.9</v>
          </cell>
          <cell r="I34">
            <v>60.45</v>
          </cell>
          <cell r="J34">
            <v>6.45</v>
          </cell>
          <cell r="K34">
            <v>3.25</v>
          </cell>
          <cell r="L34">
            <v>2.02</v>
          </cell>
          <cell r="M34">
            <v>9.6</v>
          </cell>
          <cell r="N34">
            <v>36.25</v>
          </cell>
          <cell r="O34">
            <v>6.8</v>
          </cell>
          <cell r="P34">
            <v>9.4499999999999993</v>
          </cell>
          <cell r="Q34">
            <v>8</v>
          </cell>
          <cell r="R34">
            <v>6.25</v>
          </cell>
          <cell r="S34">
            <v>43238</v>
          </cell>
          <cell r="T34">
            <v>9.3720930232558146</v>
          </cell>
          <cell r="U34">
            <v>1.6675862068965519</v>
          </cell>
          <cell r="V34">
            <v>5.5724137931034486E-2</v>
          </cell>
          <cell r="W34">
            <v>0.6215384615384616</v>
          </cell>
          <cell r="X34">
            <v>0.671875</v>
          </cell>
          <cell r="Y34">
            <v>3.3416046319272127E-2</v>
          </cell>
          <cell r="Z34">
            <v>0.71957671957671965</v>
          </cell>
        </row>
        <row r="35">
          <cell r="D35" t="str">
            <v>EXC</v>
          </cell>
          <cell r="E35" t="str">
            <v xml:space="preserve">Exelon Corp.                  </v>
          </cell>
          <cell r="F35">
            <v>15.7</v>
          </cell>
          <cell r="G35">
            <v>41.6</v>
          </cell>
          <cell r="H35">
            <v>35.6</v>
          </cell>
          <cell r="I35">
            <v>38.6</v>
          </cell>
          <cell r="J35">
            <v>8.9499999999999993</v>
          </cell>
          <cell r="K35">
            <v>2.6</v>
          </cell>
          <cell r="L35">
            <v>1.38</v>
          </cell>
          <cell r="M35">
            <v>8.15</v>
          </cell>
          <cell r="N35">
            <v>32.25</v>
          </cell>
          <cell r="O35">
            <v>9.9</v>
          </cell>
          <cell r="P35">
            <v>7.2</v>
          </cell>
          <cell r="Q35">
            <v>11.75</v>
          </cell>
          <cell r="R35">
            <v>7.25</v>
          </cell>
          <cell r="S35">
            <v>43238</v>
          </cell>
          <cell r="T35">
            <v>4.3128491620111733</v>
          </cell>
          <cell r="U35">
            <v>1.1968992248062016</v>
          </cell>
          <cell r="V35">
            <v>4.27906976744186E-2</v>
          </cell>
          <cell r="W35">
            <v>0.53076923076923066</v>
          </cell>
          <cell r="X35">
            <v>1.0981595092024539</v>
          </cell>
          <cell r="Y35">
            <v>3.5751295336787559E-2</v>
          </cell>
          <cell r="Z35">
            <v>1.375</v>
          </cell>
        </row>
        <row r="36">
          <cell r="D36" t="str">
            <v>FE</v>
          </cell>
          <cell r="E36" t="str">
            <v xml:space="preserve">FirstEnergy Corp.             </v>
          </cell>
          <cell r="F36">
            <v>33.200000000000003</v>
          </cell>
          <cell r="G36">
            <v>35.6</v>
          </cell>
          <cell r="H36">
            <v>29.3</v>
          </cell>
          <cell r="I36">
            <v>32.450000000000003</v>
          </cell>
          <cell r="J36">
            <v>3.45</v>
          </cell>
          <cell r="K36">
            <v>1</v>
          </cell>
          <cell r="L36">
            <v>1.44</v>
          </cell>
          <cell r="M36">
            <v>5.85</v>
          </cell>
          <cell r="N36">
            <v>12.3</v>
          </cell>
          <cell r="O36">
            <v>4.3</v>
          </cell>
          <cell r="P36">
            <v>4.6500000000000004</v>
          </cell>
          <cell r="Q36">
            <v>5.25</v>
          </cell>
          <cell r="R36">
            <v>5</v>
          </cell>
          <cell r="S36">
            <v>43238</v>
          </cell>
          <cell r="T36">
            <v>9.4057971014492754</v>
          </cell>
          <cell r="U36">
            <v>2.6382113821138211</v>
          </cell>
          <cell r="V36">
            <v>0.11707317073170731</v>
          </cell>
          <cell r="W36">
            <v>1.44</v>
          </cell>
          <cell r="X36">
            <v>0.58974358974358976</v>
          </cell>
          <cell r="Y36">
            <v>4.4375963020030808E-2</v>
          </cell>
          <cell r="Z36">
            <v>0.92473118279569877</v>
          </cell>
        </row>
        <row r="37">
          <cell r="D37" t="str">
            <v>FTS.TO</v>
          </cell>
          <cell r="E37" t="str">
            <v>Fortis Inc.</v>
          </cell>
          <cell r="F37">
            <v>15.1</v>
          </cell>
          <cell r="G37">
            <v>45.9</v>
          </cell>
          <cell r="H37">
            <v>39.4</v>
          </cell>
          <cell r="I37">
            <v>42.65</v>
          </cell>
          <cell r="J37">
            <v>5.6</v>
          </cell>
          <cell r="K37">
            <v>2.7</v>
          </cell>
          <cell r="L37">
            <v>1.75</v>
          </cell>
          <cell r="M37">
            <v>7.5</v>
          </cell>
          <cell r="N37">
            <v>33.6</v>
          </cell>
          <cell r="O37">
            <v>5.8</v>
          </cell>
          <cell r="P37">
            <v>6.95</v>
          </cell>
          <cell r="Q37">
            <v>6.75</v>
          </cell>
          <cell r="R37">
            <v>7</v>
          </cell>
          <cell r="S37">
            <v>43266</v>
          </cell>
          <cell r="T37">
            <v>7.6160714285714288</v>
          </cell>
          <cell r="U37">
            <v>1.2693452380952379</v>
          </cell>
          <cell r="V37">
            <v>5.2083333333333329E-2</v>
          </cell>
          <cell r="W37">
            <v>0.64814814814814814</v>
          </cell>
          <cell r="X37">
            <v>0.74666666666666659</v>
          </cell>
          <cell r="Y37">
            <v>4.1031652989449004E-2</v>
          </cell>
          <cell r="Z37">
            <v>0.83453237410071934</v>
          </cell>
        </row>
        <row r="38">
          <cell r="D38" t="str">
            <v>GXP</v>
          </cell>
          <cell r="E38" t="str">
            <v xml:space="preserve">Great Plains Energy             </v>
          </cell>
          <cell r="F38" t="str">
            <v>N/A</v>
          </cell>
          <cell r="G38" t="str">
            <v>N/A</v>
          </cell>
          <cell r="H38" t="str">
            <v>N/A</v>
          </cell>
          <cell r="I38"/>
          <cell r="J38" t="str">
            <v>N/A</v>
          </cell>
          <cell r="K38" t="str">
            <v>N/A</v>
          </cell>
          <cell r="L38" t="str">
            <v>N/A</v>
          </cell>
          <cell r="M38" t="str">
            <v>N/A</v>
          </cell>
          <cell r="N38" t="str">
            <v>N/A</v>
          </cell>
          <cell r="S38">
            <v>43266</v>
          </cell>
          <cell r="T38" t="str">
            <v>N/A</v>
          </cell>
          <cell r="U38" t="str">
            <v>N/A</v>
          </cell>
          <cell r="V38" t="str">
            <v>N/A</v>
          </cell>
          <cell r="W38" t="str">
            <v>N/A</v>
          </cell>
          <cell r="X38" t="str">
            <v>N/A</v>
          </cell>
          <cell r="Y38" t="str">
            <v>N/A</v>
          </cell>
          <cell r="Z38" t="str">
            <v>N/A</v>
          </cell>
        </row>
        <row r="39">
          <cell r="D39" t="str">
            <v>HE</v>
          </cell>
          <cell r="E39" t="str">
            <v xml:space="preserve">Hawaiian Elec.                </v>
          </cell>
          <cell r="F39">
            <v>19</v>
          </cell>
          <cell r="G39">
            <v>36.200000000000003</v>
          </cell>
          <cell r="H39">
            <v>31.7</v>
          </cell>
          <cell r="I39">
            <v>33.950000000000003</v>
          </cell>
          <cell r="J39">
            <v>4</v>
          </cell>
          <cell r="K39">
            <v>1.9</v>
          </cell>
          <cell r="L39">
            <v>1.24</v>
          </cell>
          <cell r="M39">
            <v>4.1500000000000004</v>
          </cell>
          <cell r="N39">
            <v>19.95</v>
          </cell>
          <cell r="O39">
            <v>4.1500000000000004</v>
          </cell>
          <cell r="P39">
            <v>3.85</v>
          </cell>
          <cell r="Q39">
            <v>4.75</v>
          </cell>
          <cell r="R39">
            <v>4.5</v>
          </cell>
          <cell r="S39">
            <v>43217</v>
          </cell>
          <cell r="T39">
            <v>8.4875000000000007</v>
          </cell>
          <cell r="U39">
            <v>1.7017543859649125</v>
          </cell>
          <cell r="V39">
            <v>6.215538847117795E-2</v>
          </cell>
          <cell r="W39">
            <v>0.65263157894736845</v>
          </cell>
          <cell r="X39">
            <v>0.96385542168674687</v>
          </cell>
          <cell r="Y39">
            <v>3.652430044182621E-2</v>
          </cell>
          <cell r="Z39">
            <v>1.0779220779220779</v>
          </cell>
        </row>
        <row r="40">
          <cell r="D40" t="str">
            <v>IDA</v>
          </cell>
          <cell r="E40" t="str">
            <v xml:space="preserve">IDACORP, Inc.                 </v>
          </cell>
          <cell r="F40">
            <v>21.1</v>
          </cell>
          <cell r="G40">
            <v>91.4</v>
          </cell>
          <cell r="H40">
            <v>79.599999999999994</v>
          </cell>
          <cell r="I40">
            <v>85.5</v>
          </cell>
          <cell r="J40">
            <v>7.65</v>
          </cell>
          <cell r="K40">
            <v>4.1500000000000004</v>
          </cell>
          <cell r="L40">
            <v>2.4</v>
          </cell>
          <cell r="M40">
            <v>6.25</v>
          </cell>
          <cell r="N40">
            <v>46.4</v>
          </cell>
          <cell r="O40">
            <v>8.0500000000000007</v>
          </cell>
          <cell r="P40">
            <v>6.4</v>
          </cell>
          <cell r="Q40">
            <v>9.25</v>
          </cell>
          <cell r="R40">
            <v>6.75</v>
          </cell>
          <cell r="S40">
            <v>43217</v>
          </cell>
          <cell r="T40">
            <v>11.176470588235293</v>
          </cell>
          <cell r="U40">
            <v>1.8426724137931034</v>
          </cell>
          <cell r="V40">
            <v>5.1724137931034482E-2</v>
          </cell>
          <cell r="W40">
            <v>0.57831325301204817</v>
          </cell>
          <cell r="X40">
            <v>1.224</v>
          </cell>
          <cell r="Y40">
            <v>2.8070175438596492E-2</v>
          </cell>
          <cell r="Z40">
            <v>1.2578125</v>
          </cell>
        </row>
        <row r="41">
          <cell r="D41" t="str">
            <v>MGEE</v>
          </cell>
          <cell r="E41" t="str">
            <v xml:space="preserve">MGE Energy                    </v>
          </cell>
          <cell r="F41">
            <v>24.4</v>
          </cell>
          <cell r="G41">
            <v>63.3</v>
          </cell>
          <cell r="H41">
            <v>51.1</v>
          </cell>
          <cell r="I41">
            <v>57.2</v>
          </cell>
          <cell r="J41">
            <v>3.9</v>
          </cell>
          <cell r="K41">
            <v>2.35</v>
          </cell>
          <cell r="L41">
            <v>1.32</v>
          </cell>
          <cell r="M41">
            <v>3.55</v>
          </cell>
          <cell r="N41">
            <v>23.55</v>
          </cell>
          <cell r="O41">
            <v>4.2</v>
          </cell>
          <cell r="P41">
            <v>4</v>
          </cell>
          <cell r="Q41">
            <v>5.55</v>
          </cell>
          <cell r="R41">
            <v>4.8499999999999996</v>
          </cell>
          <cell r="S41">
            <v>43266</v>
          </cell>
          <cell r="T41">
            <v>14.666666666666668</v>
          </cell>
          <cell r="U41">
            <v>2.4288747346072186</v>
          </cell>
          <cell r="V41">
            <v>5.605095541401274E-2</v>
          </cell>
          <cell r="W41">
            <v>0.5617021276595745</v>
          </cell>
          <cell r="X41">
            <v>1.0985915492957747</v>
          </cell>
          <cell r="Y41">
            <v>2.3076923076923078E-2</v>
          </cell>
          <cell r="Z41">
            <v>1.05</v>
          </cell>
        </row>
        <row r="42">
          <cell r="D42" t="str">
            <v>MSEX</v>
          </cell>
          <cell r="E42" t="str">
            <v>Middlesex Water</v>
          </cell>
          <cell r="F42">
            <v>28.2</v>
          </cell>
          <cell r="G42">
            <v>45.2</v>
          </cell>
          <cell r="H42">
            <v>34</v>
          </cell>
          <cell r="I42">
            <v>39.6</v>
          </cell>
          <cell r="J42">
            <v>2.4</v>
          </cell>
          <cell r="K42">
            <v>1.5</v>
          </cell>
          <cell r="L42">
            <v>0.91</v>
          </cell>
          <cell r="M42">
            <v>3.05</v>
          </cell>
          <cell r="N42">
            <v>14.85</v>
          </cell>
          <cell r="O42">
            <v>2.5499999999999998</v>
          </cell>
          <cell r="P42">
            <v>3</v>
          </cell>
          <cell r="Q42">
            <v>3.15</v>
          </cell>
          <cell r="R42">
            <v>2.5</v>
          </cell>
          <cell r="S42">
            <v>43294</v>
          </cell>
          <cell r="T42">
            <v>16.5</v>
          </cell>
          <cell r="U42">
            <v>2.666666666666667</v>
          </cell>
          <cell r="V42">
            <v>6.1279461279461281E-2</v>
          </cell>
          <cell r="W42">
            <v>0.60666666666666669</v>
          </cell>
          <cell r="X42">
            <v>0.78688524590163933</v>
          </cell>
          <cell r="Y42">
            <v>2.2979797979797979E-2</v>
          </cell>
          <cell r="Z42">
            <v>0.85</v>
          </cell>
        </row>
        <row r="43">
          <cell r="D43" t="str">
            <v>NJR</v>
          </cell>
          <cell r="E43" t="str">
            <v>New Jersey Resources</v>
          </cell>
          <cell r="F43">
            <v>16.100000000000001</v>
          </cell>
          <cell r="G43">
            <v>43.9</v>
          </cell>
          <cell r="H43">
            <v>35.6</v>
          </cell>
          <cell r="I43">
            <v>39.75</v>
          </cell>
          <cell r="J43">
            <v>3.65</v>
          </cell>
          <cell r="K43">
            <v>2.65</v>
          </cell>
          <cell r="L43">
            <v>1.1000000000000001</v>
          </cell>
          <cell r="M43">
            <v>2.2000000000000002</v>
          </cell>
          <cell r="N43">
            <v>15.95</v>
          </cell>
          <cell r="O43">
            <v>3.8</v>
          </cell>
          <cell r="P43">
            <v>2.25</v>
          </cell>
          <cell r="Q43">
            <v>4.2</v>
          </cell>
          <cell r="R43">
            <v>2.35</v>
          </cell>
          <cell r="S43">
            <v>43252</v>
          </cell>
          <cell r="T43">
            <v>10.890410958904109</v>
          </cell>
          <cell r="U43">
            <v>2.492163009404389</v>
          </cell>
          <cell r="V43">
            <v>6.8965517241379323E-2</v>
          </cell>
          <cell r="W43">
            <v>0.41509433962264158</v>
          </cell>
          <cell r="X43">
            <v>1.6590909090909089</v>
          </cell>
          <cell r="Y43">
            <v>2.7672955974842768E-2</v>
          </cell>
          <cell r="Z43">
            <v>1.6888888888888889</v>
          </cell>
        </row>
        <row r="44">
          <cell r="D44" t="str">
            <v>NEE</v>
          </cell>
          <cell r="E44" t="str">
            <v>NextEra Energy, Inc.</v>
          </cell>
          <cell r="F44">
            <v>20.6</v>
          </cell>
          <cell r="G44">
            <v>165.1</v>
          </cell>
          <cell r="H44">
            <v>145.1</v>
          </cell>
          <cell r="I44">
            <v>155.1</v>
          </cell>
          <cell r="J44">
            <v>15.2</v>
          </cell>
          <cell r="K44">
            <v>7.75</v>
          </cell>
          <cell r="L44">
            <v>4.4400000000000004</v>
          </cell>
          <cell r="M44">
            <v>20</v>
          </cell>
          <cell r="N44">
            <v>68.900000000000006</v>
          </cell>
          <cell r="O44">
            <v>15.65</v>
          </cell>
          <cell r="P44">
            <v>18.7</v>
          </cell>
          <cell r="Q44">
            <v>19</v>
          </cell>
          <cell r="R44">
            <v>18.75</v>
          </cell>
          <cell r="S44">
            <v>43238</v>
          </cell>
          <cell r="T44">
            <v>10.203947368421053</v>
          </cell>
          <cell r="U44">
            <v>2.2510885341074016</v>
          </cell>
          <cell r="V44">
            <v>6.4441219158200294E-2</v>
          </cell>
          <cell r="W44">
            <v>0.5729032258064517</v>
          </cell>
          <cell r="X44">
            <v>0.76</v>
          </cell>
          <cell r="Y44">
            <v>2.8626692456479693E-2</v>
          </cell>
          <cell r="Z44">
            <v>0.83689839572192515</v>
          </cell>
        </row>
        <row r="45">
          <cell r="D45" t="str">
            <v>NI</v>
          </cell>
          <cell r="E45" t="str">
            <v>NiSource Inc.</v>
          </cell>
          <cell r="F45">
            <v>17.399999999999999</v>
          </cell>
          <cell r="G45">
            <v>25.8</v>
          </cell>
          <cell r="H45">
            <v>22.4</v>
          </cell>
          <cell r="I45">
            <v>24.1</v>
          </cell>
          <cell r="J45">
            <v>3.05</v>
          </cell>
          <cell r="K45">
            <v>1.4</v>
          </cell>
          <cell r="L45">
            <v>0.78</v>
          </cell>
          <cell r="M45">
            <v>4.95</v>
          </cell>
          <cell r="N45">
            <v>14.15</v>
          </cell>
          <cell r="O45">
            <v>3</v>
          </cell>
          <cell r="P45">
            <v>5.2</v>
          </cell>
          <cell r="Q45">
            <v>3.45</v>
          </cell>
          <cell r="R45">
            <v>5.7</v>
          </cell>
          <cell r="S45">
            <v>43252</v>
          </cell>
          <cell r="T45">
            <v>7.9016393442622963</v>
          </cell>
          <cell r="U45">
            <v>1.7031802120141344</v>
          </cell>
          <cell r="V45">
            <v>5.5123674911660779E-2</v>
          </cell>
          <cell r="W45">
            <v>0.55714285714285716</v>
          </cell>
          <cell r="X45">
            <v>0.61616161616161613</v>
          </cell>
          <cell r="Y45">
            <v>3.2365145228215764E-2</v>
          </cell>
          <cell r="Z45">
            <v>0.57692307692307687</v>
          </cell>
        </row>
        <row r="46">
          <cell r="D46" t="str">
            <v>NWN</v>
          </cell>
          <cell r="E46" t="str">
            <v>Northwest Nat. Gas</v>
          </cell>
          <cell r="F46">
            <v>26.1</v>
          </cell>
          <cell r="G46">
            <v>62.8</v>
          </cell>
          <cell r="H46">
            <v>51.5</v>
          </cell>
          <cell r="I46">
            <v>57.15</v>
          </cell>
          <cell r="J46">
            <v>4.8499999999999996</v>
          </cell>
          <cell r="K46">
            <v>2.25</v>
          </cell>
          <cell r="L46">
            <v>1.89</v>
          </cell>
          <cell r="M46">
            <v>6.8</v>
          </cell>
          <cell r="N46">
            <v>26.35</v>
          </cell>
          <cell r="O46">
            <v>5.65</v>
          </cell>
          <cell r="P46">
            <v>6.65</v>
          </cell>
          <cell r="Q46">
            <v>6.35</v>
          </cell>
          <cell r="R46">
            <v>6.25</v>
          </cell>
          <cell r="S46">
            <v>43252</v>
          </cell>
          <cell r="T46">
            <v>11.783505154639176</v>
          </cell>
          <cell r="U46">
            <v>2.1688804554079693</v>
          </cell>
          <cell r="V46">
            <v>7.1726755218216309E-2</v>
          </cell>
          <cell r="W46">
            <v>0.84</v>
          </cell>
          <cell r="X46">
            <v>0.71323529411764708</v>
          </cell>
          <cell r="Y46">
            <v>3.3070866141732283E-2</v>
          </cell>
          <cell r="Z46">
            <v>0.84962406015037595</v>
          </cell>
        </row>
        <row r="47">
          <cell r="D47" t="str">
            <v>NWE</v>
          </cell>
          <cell r="E47" t="str">
            <v xml:space="preserve">NorthWestern Corp             </v>
          </cell>
          <cell r="F47">
            <v>16.2</v>
          </cell>
          <cell r="G47">
            <v>59.8</v>
          </cell>
          <cell r="H47">
            <v>50</v>
          </cell>
          <cell r="I47">
            <v>54.9</v>
          </cell>
          <cell r="J47">
            <v>6.95</v>
          </cell>
          <cell r="K47">
            <v>3.45</v>
          </cell>
          <cell r="L47">
            <v>2.2000000000000002</v>
          </cell>
          <cell r="M47">
            <v>5.7</v>
          </cell>
          <cell r="N47">
            <v>37.950000000000003</v>
          </cell>
          <cell r="O47">
            <v>7.3</v>
          </cell>
          <cell r="P47">
            <v>6.7</v>
          </cell>
          <cell r="Q47">
            <v>8.25</v>
          </cell>
          <cell r="R47">
            <v>6.25</v>
          </cell>
          <cell r="S47">
            <v>43217</v>
          </cell>
          <cell r="T47">
            <v>7.8992805755395681</v>
          </cell>
          <cell r="U47">
            <v>1.4466403162055335</v>
          </cell>
          <cell r="V47">
            <v>5.7971014492753624E-2</v>
          </cell>
          <cell r="W47">
            <v>0.63768115942028991</v>
          </cell>
          <cell r="X47">
            <v>1.2192982456140351</v>
          </cell>
          <cell r="Y47">
            <v>4.0072859744990898E-2</v>
          </cell>
          <cell r="Z47">
            <v>1.0895522388059702</v>
          </cell>
        </row>
        <row r="48">
          <cell r="D48" t="str">
            <v>OGS</v>
          </cell>
          <cell r="E48" t="str">
            <v>ONE Gas Inc.</v>
          </cell>
          <cell r="F48">
            <v>22.6</v>
          </cell>
          <cell r="G48">
            <v>74.599999999999994</v>
          </cell>
          <cell r="H48">
            <v>62.2</v>
          </cell>
          <cell r="I48">
            <v>68.400000000000006</v>
          </cell>
          <cell r="J48">
            <v>6.15</v>
          </cell>
          <cell r="K48">
            <v>3.2</v>
          </cell>
          <cell r="L48">
            <v>1.84</v>
          </cell>
          <cell r="M48">
            <v>7.15</v>
          </cell>
          <cell r="N48">
            <v>40.25</v>
          </cell>
          <cell r="O48">
            <v>6.45</v>
          </cell>
          <cell r="P48">
            <v>7.3</v>
          </cell>
          <cell r="Q48">
            <v>7.9</v>
          </cell>
          <cell r="R48">
            <v>7.35</v>
          </cell>
          <cell r="S48">
            <v>43252</v>
          </cell>
          <cell r="T48">
            <v>11.121951219512196</v>
          </cell>
          <cell r="U48">
            <v>1.6993788819875777</v>
          </cell>
          <cell r="V48">
            <v>4.5714285714285714E-2</v>
          </cell>
          <cell r="W48">
            <v>0.57499999999999996</v>
          </cell>
          <cell r="X48">
            <v>0.8601398601398601</v>
          </cell>
          <cell r="Y48">
            <v>2.6900584795321637E-2</v>
          </cell>
          <cell r="Z48">
            <v>0.88356164383561653</v>
          </cell>
        </row>
        <row r="49">
          <cell r="D49" t="str">
            <v>OGE</v>
          </cell>
          <cell r="E49" t="str">
            <v xml:space="preserve">OGE Energy                    </v>
          </cell>
          <cell r="F49">
            <v>16.7</v>
          </cell>
          <cell r="G49">
            <v>35.4</v>
          </cell>
          <cell r="H49">
            <v>29.6</v>
          </cell>
          <cell r="I49">
            <v>32.5</v>
          </cell>
          <cell r="J49">
            <v>3.55</v>
          </cell>
          <cell r="K49">
            <v>2.0499999999999998</v>
          </cell>
          <cell r="L49">
            <v>1.4</v>
          </cell>
          <cell r="M49">
            <v>3.15</v>
          </cell>
          <cell r="N49">
            <v>19.899999999999999</v>
          </cell>
          <cell r="O49">
            <v>4</v>
          </cell>
          <cell r="P49">
            <v>3.15</v>
          </cell>
          <cell r="Q49">
            <v>4.75</v>
          </cell>
          <cell r="R49">
            <v>2.75</v>
          </cell>
          <cell r="S49">
            <v>43266</v>
          </cell>
          <cell r="T49">
            <v>9.1549295774647899</v>
          </cell>
          <cell r="U49">
            <v>1.6331658291457287</v>
          </cell>
          <cell r="V49">
            <v>7.0351758793969849E-2</v>
          </cell>
          <cell r="W49">
            <v>0.68292682926829273</v>
          </cell>
          <cell r="X49">
            <v>1.126984126984127</v>
          </cell>
          <cell r="Y49">
            <v>4.3076923076923075E-2</v>
          </cell>
          <cell r="Z49">
            <v>1.2698412698412698</v>
          </cell>
        </row>
        <row r="50">
          <cell r="D50" t="str">
            <v>OTTR</v>
          </cell>
          <cell r="E50" t="str">
            <v xml:space="preserve">Otter Tail Corp.              </v>
          </cell>
          <cell r="F50">
            <v>22.3</v>
          </cell>
          <cell r="G50">
            <v>48.3</v>
          </cell>
          <cell r="H50">
            <v>39</v>
          </cell>
          <cell r="I50">
            <v>43.65</v>
          </cell>
          <cell r="J50">
            <v>4.05</v>
          </cell>
          <cell r="K50">
            <v>2.0499999999999998</v>
          </cell>
          <cell r="L50">
            <v>1.34</v>
          </cell>
          <cell r="M50">
            <v>2.75</v>
          </cell>
          <cell r="N50">
            <v>18.75</v>
          </cell>
          <cell r="O50">
            <v>4.2</v>
          </cell>
          <cell r="P50">
            <v>9.65</v>
          </cell>
          <cell r="Q50">
            <v>5.0999999999999996</v>
          </cell>
          <cell r="R50">
            <v>2.4500000000000002</v>
          </cell>
          <cell r="S50">
            <v>43266</v>
          </cell>
          <cell r="T50">
            <v>10.777777777777779</v>
          </cell>
          <cell r="U50">
            <v>2.3279999999999998</v>
          </cell>
          <cell r="V50">
            <v>7.1466666666666664E-2</v>
          </cell>
          <cell r="W50">
            <v>0.65365853658536599</v>
          </cell>
          <cell r="X50">
            <v>1.4727272727272727</v>
          </cell>
          <cell r="Y50">
            <v>3.0698739977090495E-2</v>
          </cell>
          <cell r="Z50">
            <v>0.43523316062176165</v>
          </cell>
        </row>
        <row r="51">
          <cell r="D51" t="str">
            <v>PCG</v>
          </cell>
          <cell r="E51" t="str">
            <v xml:space="preserve">PG&amp;E Corp.                    </v>
          </cell>
          <cell r="F51">
            <v>13.7</v>
          </cell>
          <cell r="G51">
            <v>47</v>
          </cell>
          <cell r="H51">
            <v>37.299999999999997</v>
          </cell>
          <cell r="I51">
            <v>42.15</v>
          </cell>
          <cell r="J51">
            <v>9.25</v>
          </cell>
          <cell r="K51">
            <v>3.5</v>
          </cell>
          <cell r="L51" t="str">
            <v>Nil</v>
          </cell>
          <cell r="M51">
            <v>12.1</v>
          </cell>
          <cell r="N51">
            <v>41.05</v>
          </cell>
          <cell r="O51">
            <v>9.4499999999999993</v>
          </cell>
          <cell r="P51">
            <v>11.4</v>
          </cell>
          <cell r="Q51">
            <v>10.75</v>
          </cell>
          <cell r="R51">
            <v>11.5</v>
          </cell>
          <cell r="S51">
            <v>43217</v>
          </cell>
          <cell r="T51">
            <v>4.5567567567567568</v>
          </cell>
          <cell r="U51">
            <v>1.0267965895249695</v>
          </cell>
          <cell r="V51" t="str">
            <v>N/A</v>
          </cell>
          <cell r="W51" t="str">
            <v>N/A</v>
          </cell>
          <cell r="X51">
            <v>0.76446280991735538</v>
          </cell>
          <cell r="Y51" t="str">
            <v>N/A</v>
          </cell>
          <cell r="Z51">
            <v>0.82894736842105254</v>
          </cell>
        </row>
        <row r="52">
          <cell r="D52" t="str">
            <v>PNW</v>
          </cell>
          <cell r="E52" t="str">
            <v xml:space="preserve">Pinnacle West Capital         </v>
          </cell>
          <cell r="F52">
            <v>18.100000000000001</v>
          </cell>
          <cell r="G52">
            <v>85.6</v>
          </cell>
          <cell r="H52">
            <v>73.8</v>
          </cell>
          <cell r="I52">
            <v>79.699999999999989</v>
          </cell>
          <cell r="J52">
            <v>10.1</v>
          </cell>
          <cell r="K52">
            <v>4.5</v>
          </cell>
          <cell r="L52">
            <v>2.86</v>
          </cell>
          <cell r="M52">
            <v>11.25</v>
          </cell>
          <cell r="N52">
            <v>46.35</v>
          </cell>
          <cell r="O52">
            <v>10.65</v>
          </cell>
          <cell r="P52">
            <v>10.8</v>
          </cell>
          <cell r="Q52">
            <v>12.75</v>
          </cell>
          <cell r="R52">
            <v>11</v>
          </cell>
          <cell r="S52">
            <v>43217</v>
          </cell>
          <cell r="T52">
            <v>7.8910891089108901</v>
          </cell>
          <cell r="U52">
            <v>1.7195253505933115</v>
          </cell>
          <cell r="V52">
            <v>6.1704422869471406E-2</v>
          </cell>
          <cell r="W52">
            <v>0.63555555555555554</v>
          </cell>
          <cell r="X52">
            <v>0.89777777777777779</v>
          </cell>
          <cell r="Y52">
            <v>3.588456712672522E-2</v>
          </cell>
          <cell r="Z52">
            <v>0.98611111111111105</v>
          </cell>
        </row>
        <row r="53">
          <cell r="D53" t="str">
            <v>PNM</v>
          </cell>
          <cell r="E53" t="str">
            <v xml:space="preserve">PNM Resources                 </v>
          </cell>
          <cell r="F53">
            <v>22.3</v>
          </cell>
          <cell r="G53">
            <v>40.6</v>
          </cell>
          <cell r="H53">
            <v>33.799999999999997</v>
          </cell>
          <cell r="I53">
            <v>37.200000000000003</v>
          </cell>
          <cell r="J53">
            <v>5.55</v>
          </cell>
          <cell r="K53">
            <v>1.85</v>
          </cell>
          <cell r="L53">
            <v>1.08</v>
          </cell>
          <cell r="M53">
            <v>6.3</v>
          </cell>
          <cell r="N53">
            <v>21.9</v>
          </cell>
          <cell r="O53">
            <v>6.15</v>
          </cell>
          <cell r="P53">
            <v>6.6</v>
          </cell>
          <cell r="Q53">
            <v>7.25</v>
          </cell>
          <cell r="R53">
            <v>8.25</v>
          </cell>
          <cell r="S53">
            <v>43217</v>
          </cell>
          <cell r="T53">
            <v>6.7027027027027035</v>
          </cell>
          <cell r="U53">
            <v>1.6986301369863017</v>
          </cell>
          <cell r="V53">
            <v>4.9315068493150691E-2</v>
          </cell>
          <cell r="W53">
            <v>0.58378378378378382</v>
          </cell>
          <cell r="X53">
            <v>0.88095238095238093</v>
          </cell>
          <cell r="Y53">
            <v>2.903225806451613E-2</v>
          </cell>
          <cell r="Z53">
            <v>0.93181818181818188</v>
          </cell>
        </row>
        <row r="54">
          <cell r="D54" t="str">
            <v>POR</v>
          </cell>
          <cell r="E54" t="str">
            <v xml:space="preserve">Portland General              </v>
          </cell>
          <cell r="F54">
            <v>18.399999999999999</v>
          </cell>
          <cell r="G54">
            <v>45.6</v>
          </cell>
          <cell r="H54">
            <v>39</v>
          </cell>
          <cell r="I54">
            <v>42.3</v>
          </cell>
          <cell r="J54">
            <v>6.4</v>
          </cell>
          <cell r="K54">
            <v>2.2000000000000002</v>
          </cell>
          <cell r="L54">
            <v>1.42</v>
          </cell>
          <cell r="M54">
            <v>6.35</v>
          </cell>
          <cell r="N54">
            <v>27.85</v>
          </cell>
          <cell r="O54">
            <v>6.85</v>
          </cell>
          <cell r="P54">
            <v>5.0999999999999996</v>
          </cell>
          <cell r="Q54">
            <v>8</v>
          </cell>
          <cell r="R54">
            <v>5</v>
          </cell>
          <cell r="S54">
            <v>43217</v>
          </cell>
          <cell r="T54">
            <v>6.6093749999999991</v>
          </cell>
          <cell r="U54">
            <v>1.5188509874326748</v>
          </cell>
          <cell r="V54">
            <v>5.098743267504488E-2</v>
          </cell>
          <cell r="W54">
            <v>0.64545454545454539</v>
          </cell>
          <cell r="X54">
            <v>1.0078740157480317</v>
          </cell>
          <cell r="Y54">
            <v>3.3569739952718676E-2</v>
          </cell>
          <cell r="Z54">
            <v>1.3431372549019609</v>
          </cell>
        </row>
        <row r="55">
          <cell r="D55" t="str">
            <v>PPL</v>
          </cell>
          <cell r="E55" t="str">
            <v xml:space="preserve">PPL Corp.                     </v>
          </cell>
          <cell r="F55">
            <v>12.2</v>
          </cell>
          <cell r="G55">
            <v>32.4</v>
          </cell>
          <cell r="H55">
            <v>27.1</v>
          </cell>
          <cell r="I55">
            <v>29.75</v>
          </cell>
          <cell r="J55">
            <v>3.7</v>
          </cell>
          <cell r="K55">
            <v>2.25</v>
          </cell>
          <cell r="L55">
            <v>1.64</v>
          </cell>
          <cell r="M55">
            <v>4.75</v>
          </cell>
          <cell r="N55">
            <v>167</v>
          </cell>
          <cell r="O55">
            <v>4</v>
          </cell>
          <cell r="P55">
            <v>4.3499999999999996</v>
          </cell>
          <cell r="Q55">
            <v>4.75</v>
          </cell>
          <cell r="R55">
            <v>3.25</v>
          </cell>
          <cell r="S55">
            <v>43238</v>
          </cell>
          <cell r="T55">
            <v>8.0405405405405403</v>
          </cell>
          <cell r="U55">
            <v>0.17814371257485029</v>
          </cell>
          <cell r="V55">
            <v>9.8203592814371243E-3</v>
          </cell>
          <cell r="W55">
            <v>0.72888888888888881</v>
          </cell>
          <cell r="X55">
            <v>0.77894736842105272</v>
          </cell>
          <cell r="Y55">
            <v>5.5126050420168063E-2</v>
          </cell>
          <cell r="Z55">
            <v>0.91954022988505757</v>
          </cell>
        </row>
        <row r="56">
          <cell r="D56" t="str">
            <v>PEG</v>
          </cell>
          <cell r="E56" t="str">
            <v xml:space="preserve">Public Serv. Enterprise       </v>
          </cell>
          <cell r="F56">
            <v>16.5</v>
          </cell>
          <cell r="G56">
            <v>52.3</v>
          </cell>
          <cell r="H56">
            <v>46.2</v>
          </cell>
          <cell r="I56">
            <v>49.25</v>
          </cell>
          <cell r="J56">
            <v>5.8</v>
          </cell>
          <cell r="K56">
            <v>3.1</v>
          </cell>
          <cell r="L56">
            <v>1.8</v>
          </cell>
          <cell r="M56">
            <v>6.35</v>
          </cell>
          <cell r="N56">
            <v>28.7</v>
          </cell>
          <cell r="O56">
            <v>6.1</v>
          </cell>
          <cell r="P56">
            <v>5.35</v>
          </cell>
          <cell r="Q56">
            <v>7.5</v>
          </cell>
          <cell r="R56">
            <v>5.25</v>
          </cell>
          <cell r="S56">
            <v>43238</v>
          </cell>
          <cell r="T56">
            <v>8.4913793103448274</v>
          </cell>
          <cell r="U56">
            <v>1.7160278745644599</v>
          </cell>
          <cell r="V56">
            <v>6.2717770034843204E-2</v>
          </cell>
          <cell r="W56">
            <v>0.58064516129032262</v>
          </cell>
          <cell r="X56">
            <v>0.91338582677165359</v>
          </cell>
          <cell r="Y56">
            <v>3.654822335025381E-2</v>
          </cell>
          <cell r="Z56">
            <v>1.1401869158878504</v>
          </cell>
        </row>
        <row r="57">
          <cell r="D57" t="str">
            <v>SCG</v>
          </cell>
          <cell r="E57" t="str">
            <v xml:space="preserve">SCANA Corp.                   </v>
          </cell>
          <cell r="F57">
            <v>9.6999999999999993</v>
          </cell>
          <cell r="G57">
            <v>49.4</v>
          </cell>
          <cell r="H57">
            <v>34.799999999999997</v>
          </cell>
          <cell r="I57">
            <v>42.099999999999994</v>
          </cell>
          <cell r="J57">
            <v>7</v>
          </cell>
          <cell r="K57">
            <v>3.65</v>
          </cell>
          <cell r="L57">
            <v>0.61</v>
          </cell>
          <cell r="M57">
            <v>6.2</v>
          </cell>
          <cell r="N57">
            <v>39.799999999999997</v>
          </cell>
          <cell r="O57">
            <v>7.25</v>
          </cell>
          <cell r="P57">
            <v>6.05</v>
          </cell>
          <cell r="Q57">
            <v>8.25</v>
          </cell>
          <cell r="R57">
            <v>6.5</v>
          </cell>
          <cell r="S57">
            <v>43238</v>
          </cell>
          <cell r="T57">
            <v>6.0142857142857133</v>
          </cell>
          <cell r="U57">
            <v>1.057788944723618</v>
          </cell>
          <cell r="V57">
            <v>1.5326633165829147E-2</v>
          </cell>
          <cell r="W57">
            <v>0.16712328767123288</v>
          </cell>
          <cell r="X57">
            <v>1.129032258064516</v>
          </cell>
          <cell r="Y57">
            <v>1.4489311163895489E-2</v>
          </cell>
          <cell r="Z57">
            <v>1.1983471074380165</v>
          </cell>
        </row>
        <row r="58">
          <cell r="D58" t="str">
            <v>SRE</v>
          </cell>
          <cell r="E58" t="str">
            <v xml:space="preserve">Sempra Energy                 </v>
          </cell>
          <cell r="F58">
            <v>20.3</v>
          </cell>
          <cell r="G58">
            <v>113.5</v>
          </cell>
          <cell r="H58">
            <v>100.6</v>
          </cell>
          <cell r="I58">
            <v>107.05</v>
          </cell>
          <cell r="J58">
            <v>11</v>
          </cell>
          <cell r="K58">
            <v>5.5</v>
          </cell>
          <cell r="L58">
            <v>3.58</v>
          </cell>
          <cell r="M58">
            <v>9.5</v>
          </cell>
          <cell r="N58">
            <v>58.2</v>
          </cell>
          <cell r="O58">
            <v>11.75</v>
          </cell>
          <cell r="P58">
            <v>9.5500000000000007</v>
          </cell>
          <cell r="Q58">
            <v>14.25</v>
          </cell>
          <cell r="R58">
            <v>9.25</v>
          </cell>
          <cell r="S58">
            <v>43217</v>
          </cell>
          <cell r="T58">
            <v>9.7318181818181824</v>
          </cell>
          <cell r="U58">
            <v>1.8393470790378006</v>
          </cell>
          <cell r="V58">
            <v>6.1512027491408931E-2</v>
          </cell>
          <cell r="W58">
            <v>0.65090909090909088</v>
          </cell>
          <cell r="X58">
            <v>1.1578947368421053</v>
          </cell>
          <cell r="Y58">
            <v>3.3442316674451196E-2</v>
          </cell>
          <cell r="Z58">
            <v>1.2303664921465967</v>
          </cell>
        </row>
        <row r="59">
          <cell r="D59" t="str">
            <v>SJW</v>
          </cell>
          <cell r="E59" t="str">
            <v>SJW Corp.</v>
          </cell>
          <cell r="F59">
            <v>25.7</v>
          </cell>
          <cell r="G59">
            <v>68.400000000000006</v>
          </cell>
          <cell r="H59">
            <v>51.3</v>
          </cell>
          <cell r="I59">
            <v>59.85</v>
          </cell>
          <cell r="J59">
            <v>5</v>
          </cell>
          <cell r="K59">
            <v>2.6</v>
          </cell>
          <cell r="L59">
            <v>1.1200000000000001</v>
          </cell>
          <cell r="M59">
            <v>5.5</v>
          </cell>
          <cell r="N59">
            <v>22.65</v>
          </cell>
          <cell r="O59">
            <v>5.25</v>
          </cell>
          <cell r="P59">
            <v>5.25</v>
          </cell>
          <cell r="Q59">
            <v>5.65</v>
          </cell>
          <cell r="R59">
            <v>5</v>
          </cell>
          <cell r="S59">
            <v>43294</v>
          </cell>
          <cell r="T59">
            <v>11.97</v>
          </cell>
          <cell r="U59">
            <v>2.6423841059602653</v>
          </cell>
          <cell r="V59">
            <v>4.9448123620309058E-2</v>
          </cell>
          <cell r="W59">
            <v>0.43076923076923079</v>
          </cell>
          <cell r="X59">
            <v>0.90909090909090906</v>
          </cell>
          <cell r="Y59">
            <v>1.8713450292397661E-2</v>
          </cell>
          <cell r="Z59">
            <v>1</v>
          </cell>
        </row>
        <row r="60">
          <cell r="D60" t="str">
            <v>SJI</v>
          </cell>
          <cell r="E60" t="str">
            <v>South Jersey Inds.</v>
          </cell>
          <cell r="F60">
            <v>17.5</v>
          </cell>
          <cell r="G60">
            <v>32.799999999999997</v>
          </cell>
          <cell r="H60">
            <v>26</v>
          </cell>
          <cell r="I60">
            <v>29.4</v>
          </cell>
          <cell r="J60">
            <v>2.85</v>
          </cell>
          <cell r="K60">
            <v>1.85</v>
          </cell>
          <cell r="L60">
            <v>1.1499999999999999</v>
          </cell>
          <cell r="M60">
            <v>2.65</v>
          </cell>
          <cell r="N60">
            <v>17.2</v>
          </cell>
          <cell r="O60">
            <v>2.8</v>
          </cell>
          <cell r="P60">
            <v>3.1</v>
          </cell>
          <cell r="Q60">
            <v>3.6</v>
          </cell>
          <cell r="R60">
            <v>4.75</v>
          </cell>
          <cell r="S60">
            <v>43252</v>
          </cell>
          <cell r="T60">
            <v>10.315789473684209</v>
          </cell>
          <cell r="U60">
            <v>1.7093023255813953</v>
          </cell>
          <cell r="V60">
            <v>6.6860465116279064E-2</v>
          </cell>
          <cell r="W60">
            <v>0.62162162162162149</v>
          </cell>
          <cell r="X60">
            <v>1.0754716981132075</v>
          </cell>
          <cell r="Y60">
            <v>3.9115646258503403E-2</v>
          </cell>
          <cell r="Z60">
            <v>0.90322580645161277</v>
          </cell>
        </row>
        <row r="61">
          <cell r="D61" t="str">
            <v>SO</v>
          </cell>
          <cell r="E61" t="str">
            <v xml:space="preserve">Southern Co.                  </v>
          </cell>
          <cell r="F61">
            <v>15.2</v>
          </cell>
          <cell r="G61">
            <v>48.1</v>
          </cell>
          <cell r="H61">
            <v>42.4</v>
          </cell>
          <cell r="I61">
            <v>45.25</v>
          </cell>
          <cell r="J61">
            <v>6.35</v>
          </cell>
          <cell r="K61">
            <v>2.9</v>
          </cell>
          <cell r="L61">
            <v>2.38</v>
          </cell>
          <cell r="M61">
            <v>8.4499999999999993</v>
          </cell>
          <cell r="N61">
            <v>24.95</v>
          </cell>
          <cell r="O61">
            <v>6.6</v>
          </cell>
          <cell r="P61">
            <v>7.15</v>
          </cell>
          <cell r="Q61">
            <v>7.5</v>
          </cell>
          <cell r="R61">
            <v>7.25</v>
          </cell>
          <cell r="S61">
            <v>43238</v>
          </cell>
          <cell r="T61">
            <v>7.1259842519685046</v>
          </cell>
          <cell r="U61">
            <v>1.8136272545090182</v>
          </cell>
          <cell r="V61">
            <v>9.5390781563126248E-2</v>
          </cell>
          <cell r="W61">
            <v>0.82068965517241377</v>
          </cell>
          <cell r="X61">
            <v>0.75147928994082847</v>
          </cell>
          <cell r="Y61">
            <v>5.2596685082872928E-2</v>
          </cell>
          <cell r="Z61">
            <v>0.92307692307692302</v>
          </cell>
        </row>
        <row r="62">
          <cell r="D62" t="str">
            <v>SWX</v>
          </cell>
          <cell r="E62" t="str">
            <v>Southwest Gas</v>
          </cell>
          <cell r="F62">
            <v>17.7</v>
          </cell>
          <cell r="G62">
            <v>81.2</v>
          </cell>
          <cell r="H62">
            <v>62.5</v>
          </cell>
          <cell r="I62">
            <v>71.849999999999994</v>
          </cell>
          <cell r="J62">
            <v>9.1</v>
          </cell>
          <cell r="K62">
            <v>4</v>
          </cell>
          <cell r="L62">
            <v>2.08</v>
          </cell>
          <cell r="M62">
            <v>12.75</v>
          </cell>
          <cell r="N62">
            <v>39.799999999999997</v>
          </cell>
          <cell r="O62">
            <v>10</v>
          </cell>
          <cell r="P62">
            <v>13.5</v>
          </cell>
          <cell r="Q62">
            <v>13.5</v>
          </cell>
          <cell r="R62">
            <v>15.55</v>
          </cell>
          <cell r="S62">
            <v>42156</v>
          </cell>
          <cell r="T62">
            <v>7.8956043956043951</v>
          </cell>
          <cell r="U62">
            <v>1.8052763819095476</v>
          </cell>
          <cell r="V62">
            <v>5.2261306532663324E-2</v>
          </cell>
          <cell r="W62">
            <v>0.52</v>
          </cell>
          <cell r="X62">
            <v>0.71372549019607845</v>
          </cell>
          <cell r="Y62">
            <v>2.8949199721642314E-2</v>
          </cell>
          <cell r="Z62">
            <v>0.7407407407407407</v>
          </cell>
        </row>
        <row r="63">
          <cell r="D63" t="str">
            <v>SR</v>
          </cell>
          <cell r="E63" t="str">
            <v>Spire Inc.</v>
          </cell>
          <cell r="F63">
            <v>21.2</v>
          </cell>
          <cell r="G63">
            <v>75.3</v>
          </cell>
          <cell r="H63">
            <v>60.1</v>
          </cell>
          <cell r="I63">
            <v>67.7</v>
          </cell>
          <cell r="J63">
            <v>7.3</v>
          </cell>
          <cell r="K63">
            <v>4.4000000000000004</v>
          </cell>
          <cell r="L63">
            <v>2.25</v>
          </cell>
          <cell r="M63">
            <v>9.3000000000000007</v>
          </cell>
          <cell r="N63">
            <v>41.6</v>
          </cell>
          <cell r="O63">
            <v>7.25</v>
          </cell>
          <cell r="P63">
            <v>9.1999999999999993</v>
          </cell>
          <cell r="Q63">
            <v>8.25</v>
          </cell>
          <cell r="R63">
            <v>10</v>
          </cell>
          <cell r="S63">
            <v>43252</v>
          </cell>
          <cell r="T63">
            <v>9.2739726027397271</v>
          </cell>
          <cell r="U63">
            <v>1.6274038461538463</v>
          </cell>
          <cell r="V63">
            <v>5.4086538461538457E-2</v>
          </cell>
          <cell r="W63">
            <v>0.51136363636363635</v>
          </cell>
          <cell r="X63">
            <v>0.78494623655913975</v>
          </cell>
          <cell r="Y63">
            <v>3.3234859675036928E-2</v>
          </cell>
          <cell r="Z63">
            <v>0.78804347826086962</v>
          </cell>
        </row>
        <row r="64">
          <cell r="D64" t="str">
            <v>UGI</v>
          </cell>
          <cell r="E64" t="str">
            <v>UGI Corp.</v>
          </cell>
          <cell r="F64">
            <v>17.399999999999999</v>
          </cell>
          <cell r="G64">
            <v>50.2</v>
          </cell>
          <cell r="H64">
            <v>42.5</v>
          </cell>
          <cell r="I64">
            <v>46.35</v>
          </cell>
          <cell r="J64">
            <v>5.3</v>
          </cell>
          <cell r="K64">
            <v>2.8</v>
          </cell>
          <cell r="L64">
            <v>1.02</v>
          </cell>
          <cell r="M64">
            <v>3.75</v>
          </cell>
          <cell r="N64">
            <v>19.95</v>
          </cell>
          <cell r="O64">
            <v>5.4</v>
          </cell>
          <cell r="P64">
            <v>3.9</v>
          </cell>
          <cell r="Q64">
            <v>5.9</v>
          </cell>
          <cell r="R64">
            <v>4.3499999999999996</v>
          </cell>
          <cell r="S64">
            <v>43252</v>
          </cell>
          <cell r="T64">
            <v>8.7452830188679247</v>
          </cell>
          <cell r="U64">
            <v>2.3233082706766921</v>
          </cell>
          <cell r="V64">
            <v>5.1127819548872182E-2</v>
          </cell>
          <cell r="W64">
            <v>0.36428571428571432</v>
          </cell>
          <cell r="X64">
            <v>1.4133333333333333</v>
          </cell>
          <cell r="Y64">
            <v>2.2006472491909384E-2</v>
          </cell>
          <cell r="Z64">
            <v>1.3846153846153848</v>
          </cell>
        </row>
        <row r="65">
          <cell r="D65" t="str">
            <v>VVC</v>
          </cell>
          <cell r="E65" t="str">
            <v xml:space="preserve">Vectren Corp.                 </v>
          </cell>
          <cell r="F65">
            <v>24.7</v>
          </cell>
          <cell r="G65">
            <v>70.900000000000006</v>
          </cell>
          <cell r="H65">
            <v>58</v>
          </cell>
          <cell r="I65">
            <v>64.45</v>
          </cell>
          <cell r="J65">
            <v>6.35</v>
          </cell>
          <cell r="K65">
            <v>2.85</v>
          </cell>
          <cell r="L65">
            <v>1.83</v>
          </cell>
          <cell r="M65">
            <v>7.5</v>
          </cell>
          <cell r="N65">
            <v>23.6</v>
          </cell>
          <cell r="O65">
            <v>6.65</v>
          </cell>
          <cell r="P65">
            <v>8.0500000000000007</v>
          </cell>
          <cell r="Q65">
            <v>8</v>
          </cell>
          <cell r="R65">
            <v>9.9</v>
          </cell>
          <cell r="S65">
            <v>43266</v>
          </cell>
          <cell r="T65">
            <v>10.1496062992126</v>
          </cell>
          <cell r="U65">
            <v>2.7309322033898304</v>
          </cell>
          <cell r="V65">
            <v>7.7542372881355931E-2</v>
          </cell>
          <cell r="W65">
            <v>0.64210526315789473</v>
          </cell>
          <cell r="X65">
            <v>0.84666666666666657</v>
          </cell>
          <cell r="Y65">
            <v>2.8394103956555471E-2</v>
          </cell>
          <cell r="Z65">
            <v>0.82608695652173914</v>
          </cell>
        </row>
        <row r="66">
          <cell r="D66" t="str">
            <v>WEC</v>
          </cell>
          <cell r="E66" t="str">
            <v>WEC Energy Group</v>
          </cell>
          <cell r="F66">
            <v>18.399999999999999</v>
          </cell>
          <cell r="G66">
            <v>66.400000000000006</v>
          </cell>
          <cell r="H66">
            <v>58.9</v>
          </cell>
          <cell r="I66">
            <v>62.650000000000006</v>
          </cell>
          <cell r="J66">
            <v>6.05</v>
          </cell>
          <cell r="K66">
            <v>3.3</v>
          </cell>
          <cell r="L66">
            <v>2.21</v>
          </cell>
          <cell r="M66">
            <v>7.9</v>
          </cell>
          <cell r="N66">
            <v>30.95</v>
          </cell>
          <cell r="O66">
            <v>6.35</v>
          </cell>
          <cell r="P66">
            <v>6.35</v>
          </cell>
          <cell r="Q66">
            <v>7.5</v>
          </cell>
          <cell r="R66">
            <v>7</v>
          </cell>
          <cell r="S66">
            <v>43266</v>
          </cell>
          <cell r="T66">
            <v>10.355371900826448</v>
          </cell>
          <cell r="U66">
            <v>2.0242326332794831</v>
          </cell>
          <cell r="V66">
            <v>7.1405492730210018E-2</v>
          </cell>
          <cell r="W66">
            <v>0.66969696969696968</v>
          </cell>
          <cell r="X66">
            <v>0.76582278481012656</v>
          </cell>
          <cell r="Y66">
            <v>3.5275339185953707E-2</v>
          </cell>
          <cell r="Z66">
            <v>1</v>
          </cell>
        </row>
        <row r="67">
          <cell r="D67" t="str">
            <v>WR</v>
          </cell>
          <cell r="E67" t="str">
            <v xml:space="preserve">Westar Energy                 </v>
          </cell>
          <cell r="F67" t="str">
            <v>N/A</v>
          </cell>
          <cell r="G67" t="str">
            <v>N/A</v>
          </cell>
          <cell r="H67" t="str">
            <v>N/A</v>
          </cell>
          <cell r="I67"/>
          <cell r="J67" t="str">
            <v>N/A</v>
          </cell>
          <cell r="K67" t="str">
            <v>N/A</v>
          </cell>
          <cell r="L67" t="str">
            <v>N/A</v>
          </cell>
          <cell r="M67" t="str">
            <v>N/A</v>
          </cell>
          <cell r="N67" t="str">
            <v>N/A</v>
          </cell>
          <cell r="S67">
            <v>43266</v>
          </cell>
          <cell r="T67" t="str">
            <v>N/A</v>
          </cell>
          <cell r="U67" t="str">
            <v>N/A</v>
          </cell>
          <cell r="V67" t="str">
            <v>N/A</v>
          </cell>
          <cell r="W67" t="str">
            <v>N/A</v>
          </cell>
          <cell r="X67" t="str">
            <v>N/A</v>
          </cell>
          <cell r="Y67" t="str">
            <v>N/A</v>
          </cell>
          <cell r="Z67" t="str">
            <v>N/A</v>
          </cell>
        </row>
        <row r="68">
          <cell r="D68" t="str">
            <v>WGL</v>
          </cell>
          <cell r="E68" t="str">
            <v>WGL Holdings Inc.</v>
          </cell>
          <cell r="F68">
            <v>20.9</v>
          </cell>
          <cell r="G68">
            <v>88.3</v>
          </cell>
          <cell r="H68">
            <v>80.900000000000006</v>
          </cell>
          <cell r="I68">
            <v>84.6</v>
          </cell>
          <cell r="J68">
            <v>7.05</v>
          </cell>
          <cell r="K68">
            <v>4.1500000000000004</v>
          </cell>
          <cell r="L68">
            <v>2.06</v>
          </cell>
          <cell r="M68">
            <v>10.85</v>
          </cell>
          <cell r="N68">
            <v>33.1</v>
          </cell>
          <cell r="O68">
            <v>7.2</v>
          </cell>
          <cell r="P68">
            <v>11.1</v>
          </cell>
          <cell r="Q68">
            <v>7.7</v>
          </cell>
          <cell r="R68">
            <v>11.8</v>
          </cell>
          <cell r="S68">
            <v>43252</v>
          </cell>
          <cell r="T68">
            <v>12</v>
          </cell>
          <cell r="U68">
            <v>2.5558912386706947</v>
          </cell>
          <cell r="V68">
            <v>6.2235649546827795E-2</v>
          </cell>
          <cell r="W68">
            <v>0.49638554216867464</v>
          </cell>
          <cell r="X68">
            <v>0.64976958525345618</v>
          </cell>
          <cell r="Y68">
            <v>2.4349881796690311E-2</v>
          </cell>
          <cell r="Z68">
            <v>0.64864864864864868</v>
          </cell>
        </row>
        <row r="69">
          <cell r="D69" t="str">
            <v>XEL</v>
          </cell>
          <cell r="E69" t="str">
            <v xml:space="preserve">Xcel Energy Inc.              </v>
          </cell>
          <cell r="F69">
            <v>18.8</v>
          </cell>
          <cell r="G69">
            <v>48.4</v>
          </cell>
          <cell r="H69">
            <v>41.5</v>
          </cell>
          <cell r="I69">
            <v>44.95</v>
          </cell>
          <cell r="J69">
            <v>5.9</v>
          </cell>
          <cell r="K69">
            <v>2.4500000000000002</v>
          </cell>
          <cell r="L69">
            <v>1.52</v>
          </cell>
          <cell r="M69">
            <v>8.25</v>
          </cell>
          <cell r="N69">
            <v>23.55</v>
          </cell>
          <cell r="O69">
            <v>6.15</v>
          </cell>
          <cell r="P69">
            <v>7.95</v>
          </cell>
          <cell r="Q69">
            <v>7.25</v>
          </cell>
          <cell r="R69">
            <v>6.75</v>
          </cell>
          <cell r="S69">
            <v>43217</v>
          </cell>
          <cell r="T69">
            <v>7.6186440677966099</v>
          </cell>
          <cell r="U69">
            <v>1.9087048832271762</v>
          </cell>
          <cell r="V69">
            <v>6.4543524416135881E-2</v>
          </cell>
          <cell r="W69">
            <v>0.62040816326530612</v>
          </cell>
          <cell r="X69">
            <v>0.7151515151515152</v>
          </cell>
          <cell r="Y69">
            <v>3.3815350389321465E-2</v>
          </cell>
          <cell r="Z69">
            <v>0.77358490566037741</v>
          </cell>
        </row>
        <row r="70">
          <cell r="D70" t="str">
            <v>YORW</v>
          </cell>
          <cell r="E70" t="str">
            <v>York Water Co. (The)</v>
          </cell>
          <cell r="F70">
            <v>31.2</v>
          </cell>
          <cell r="G70">
            <v>34.200000000000003</v>
          </cell>
          <cell r="H70">
            <v>27.5</v>
          </cell>
          <cell r="I70">
            <v>30.85</v>
          </cell>
          <cell r="J70">
            <v>1.65</v>
          </cell>
          <cell r="K70">
            <v>1.05</v>
          </cell>
          <cell r="L70">
            <v>0.7</v>
          </cell>
          <cell r="M70">
            <v>1.5</v>
          </cell>
          <cell r="N70">
            <v>9.35</v>
          </cell>
          <cell r="O70">
            <v>1.75</v>
          </cell>
          <cell r="P70">
            <v>1.25</v>
          </cell>
          <cell r="Q70">
            <v>2.25</v>
          </cell>
          <cell r="R70">
            <v>1.25</v>
          </cell>
          <cell r="S70">
            <v>43294</v>
          </cell>
          <cell r="T70">
            <v>18.696969696969699</v>
          </cell>
          <cell r="U70">
            <v>3.2994652406417115</v>
          </cell>
          <cell r="V70">
            <v>7.4866310160427801E-2</v>
          </cell>
          <cell r="W70">
            <v>0.66666666666666663</v>
          </cell>
          <cell r="X70">
            <v>1.0999999999999999</v>
          </cell>
          <cell r="Y70">
            <v>2.2690437601296593E-2</v>
          </cell>
          <cell r="Z70">
            <v>1.4</v>
          </cell>
        </row>
        <row r="71">
          <cell r="E71" t="e">
            <v>#N/A</v>
          </cell>
          <cell r="I71"/>
          <cell r="T71"/>
          <cell r="U71"/>
          <cell r="V71"/>
          <cell r="W71"/>
          <cell r="X71"/>
          <cell r="Y71"/>
          <cell r="Z71"/>
        </row>
        <row r="72">
          <cell r="E72" t="e">
            <v>#N/A</v>
          </cell>
          <cell r="I72"/>
          <cell r="T72"/>
          <cell r="U72"/>
          <cell r="V72"/>
          <cell r="W72"/>
          <cell r="X72"/>
          <cell r="Y72"/>
          <cell r="Z72"/>
        </row>
      </sheetData>
      <sheetData sheetId="25" refreshError="1"/>
      <sheetData sheetId="26">
        <row r="1">
          <cell r="A1">
            <v>43272</v>
          </cell>
        </row>
      </sheetData>
      <sheetData sheetId="27" refreshError="1"/>
      <sheetData sheetId="28">
        <row r="3">
          <cell r="B3" t="str">
            <v>Ticker</v>
          </cell>
          <cell r="D3" t="str">
            <v>P 2015</v>
          </cell>
          <cell r="E3" t="str">
            <v>P 2014</v>
          </cell>
          <cell r="F3" t="str">
            <v>P 2013</v>
          </cell>
          <cell r="G3" t="str">
            <v>P 2012</v>
          </cell>
          <cell r="H3" t="str">
            <v>P 2011</v>
          </cell>
          <cell r="I3" t="str">
            <v>P 2010</v>
          </cell>
          <cell r="J3" t="str">
            <v>P 2009</v>
          </cell>
          <cell r="K3" t="str">
            <v>P 2008</v>
          </cell>
          <cell r="L3" t="str">
            <v>P 2007</v>
          </cell>
          <cell r="M3" t="str">
            <v>P 2006</v>
          </cell>
        </row>
        <row r="4">
          <cell r="B4" t="str">
            <v>AE</v>
          </cell>
          <cell r="C4">
            <v>37.026000000000003</v>
          </cell>
          <cell r="D4">
            <v>49.274000000000001</v>
          </cell>
          <cell r="E4">
            <v>61.976999999999997</v>
          </cell>
          <cell r="F4">
            <v>54.917000000000002</v>
          </cell>
          <cell r="G4">
            <v>40.618000000000002</v>
          </cell>
          <cell r="H4">
            <v>25.192</v>
          </cell>
          <cell r="I4">
            <v>19.861000000000001</v>
          </cell>
          <cell r="J4">
            <v>17.91</v>
          </cell>
          <cell r="K4">
            <v>25.855</v>
          </cell>
          <cell r="L4">
            <v>29.949000000000002</v>
          </cell>
          <cell r="M4">
            <v>32.863</v>
          </cell>
        </row>
        <row r="5">
          <cell r="B5" t="str">
            <v>ALE</v>
          </cell>
          <cell r="C5">
            <v>58.503999999999998</v>
          </cell>
          <cell r="D5">
            <v>50.89</v>
          </cell>
          <cell r="E5">
            <v>49.963999999999999</v>
          </cell>
          <cell r="F5">
            <v>48.902999999999999</v>
          </cell>
          <cell r="G5">
            <v>40.973999999999997</v>
          </cell>
          <cell r="H5">
            <v>38.854999999999997</v>
          </cell>
          <cell r="I5">
            <v>34.987000000000002</v>
          </cell>
          <cell r="J5">
            <v>30.391999999999999</v>
          </cell>
          <cell r="K5">
            <v>39.332000000000001</v>
          </cell>
          <cell r="L5">
            <v>45.526000000000003</v>
          </cell>
          <cell r="M5">
            <v>45.83</v>
          </cell>
        </row>
        <row r="6">
          <cell r="B6" t="str">
            <v>LNT</v>
          </cell>
          <cell r="C6">
            <v>36.801000000000002</v>
          </cell>
          <cell r="D6">
            <v>30.541</v>
          </cell>
          <cell r="E6">
            <v>28.89</v>
          </cell>
          <cell r="F6">
            <v>25.129000000000001</v>
          </cell>
          <cell r="G6">
            <v>22.109000000000002</v>
          </cell>
          <cell r="H6">
            <v>19.87</v>
          </cell>
          <cell r="I6">
            <v>17.149999999999999</v>
          </cell>
          <cell r="J6">
            <v>13.099</v>
          </cell>
          <cell r="K6">
            <v>17.059999999999999</v>
          </cell>
          <cell r="L6">
            <v>20.279</v>
          </cell>
          <cell r="M6">
            <v>17.324999999999999</v>
          </cell>
        </row>
        <row r="7">
          <cell r="B7" t="str">
            <v>AEP</v>
          </cell>
          <cell r="C7">
            <v>64.116</v>
          </cell>
          <cell r="D7">
            <v>56.610999999999997</v>
          </cell>
          <cell r="E7">
            <v>53.024999999999999</v>
          </cell>
          <cell r="F7">
            <v>46.091000000000001</v>
          </cell>
          <cell r="G7">
            <v>41.026000000000003</v>
          </cell>
          <cell r="H7">
            <v>37.302999999999997</v>
          </cell>
          <cell r="I7">
            <v>34.881999999999998</v>
          </cell>
          <cell r="J7">
            <v>29.795000000000002</v>
          </cell>
          <cell r="K7">
            <v>39.051000000000002</v>
          </cell>
          <cell r="L7">
            <v>46.526000000000003</v>
          </cell>
          <cell r="M7">
            <v>36.911000000000001</v>
          </cell>
        </row>
        <row r="8">
          <cell r="B8" t="str">
            <v>AWR</v>
          </cell>
          <cell r="C8">
            <v>41.460999999999999</v>
          </cell>
          <cell r="D8">
            <v>39.564999999999998</v>
          </cell>
          <cell r="E8">
            <v>31.548999999999999</v>
          </cell>
          <cell r="F8">
            <v>27.638000000000002</v>
          </cell>
          <cell r="G8">
            <v>20.164000000000001</v>
          </cell>
          <cell r="H8">
            <v>17.2</v>
          </cell>
          <cell r="I8">
            <v>17.462</v>
          </cell>
          <cell r="J8">
            <v>17.169</v>
          </cell>
          <cell r="K8">
            <v>17.503</v>
          </cell>
          <cell r="L8">
            <v>19.443000000000001</v>
          </cell>
          <cell r="M8">
            <v>18.440000000000001</v>
          </cell>
        </row>
        <row r="9">
          <cell r="B9" t="str">
            <v>AWK</v>
          </cell>
          <cell r="C9">
            <v>72.603999999999999</v>
          </cell>
          <cell r="D9">
            <v>54.140999999999998</v>
          </cell>
          <cell r="E9">
            <v>47.841000000000001</v>
          </cell>
          <cell r="F9">
            <v>40.997</v>
          </cell>
          <cell r="G9">
            <v>35.252000000000002</v>
          </cell>
          <cell r="H9">
            <v>28.893000000000001</v>
          </cell>
          <cell r="I9">
            <v>22.358000000000001</v>
          </cell>
          <cell r="J9">
            <v>19.544</v>
          </cell>
          <cell r="K9">
            <v>20.809000000000001</v>
          </cell>
          <cell r="L9" t="str">
            <v>N/A</v>
          </cell>
          <cell r="M9" t="str">
            <v>N/A</v>
          </cell>
        </row>
        <row r="10">
          <cell r="B10" t="str">
            <v>AEE</v>
          </cell>
          <cell r="C10">
            <v>49.027999999999999</v>
          </cell>
          <cell r="D10">
            <v>41.758000000000003</v>
          </cell>
          <cell r="E10">
            <v>40.094999999999999</v>
          </cell>
          <cell r="F10">
            <v>34.685000000000002</v>
          </cell>
          <cell r="G10">
            <v>32.177</v>
          </cell>
          <cell r="H10">
            <v>29.477</v>
          </cell>
          <cell r="I10">
            <v>26.742999999999999</v>
          </cell>
          <cell r="J10">
            <v>25.745000000000001</v>
          </cell>
          <cell r="K10">
            <v>40.911000000000001</v>
          </cell>
          <cell r="L10">
            <v>52</v>
          </cell>
          <cell r="M10">
            <v>51.564999999999998</v>
          </cell>
        </row>
        <row r="11">
          <cell r="B11" t="str">
            <v>APU</v>
          </cell>
          <cell r="C11">
            <v>42.222999999999999</v>
          </cell>
          <cell r="D11">
            <v>47.04</v>
          </cell>
          <cell r="E11">
            <v>44.317</v>
          </cell>
          <cell r="F11">
            <v>43.633000000000003</v>
          </cell>
          <cell r="G11">
            <v>42.305</v>
          </cell>
          <cell r="H11">
            <v>46.231000000000002</v>
          </cell>
          <cell r="I11">
            <v>40.701000000000001</v>
          </cell>
          <cell r="J11">
            <v>30.943000000000001</v>
          </cell>
          <cell r="K11">
            <v>33.209000000000003</v>
          </cell>
          <cell r="L11">
            <v>33.975000000000001</v>
          </cell>
          <cell r="M11">
            <v>29.739000000000001</v>
          </cell>
        </row>
        <row r="12">
          <cell r="B12" t="str">
            <v>WTR</v>
          </cell>
          <cell r="C12">
            <v>31.498999999999999</v>
          </cell>
          <cell r="D12">
            <v>26.8</v>
          </cell>
          <cell r="E12">
            <v>24.913</v>
          </cell>
          <cell r="F12">
            <v>24.568999999999999</v>
          </cell>
          <cell r="G12">
            <v>19.129000000000001</v>
          </cell>
          <cell r="H12">
            <v>17.686</v>
          </cell>
          <cell r="I12">
            <v>15.176</v>
          </cell>
          <cell r="J12">
            <v>14.226000000000001</v>
          </cell>
          <cell r="K12">
            <v>14.558</v>
          </cell>
          <cell r="L12">
            <v>18.158000000000001</v>
          </cell>
          <cell r="M12">
            <v>19.434000000000001</v>
          </cell>
        </row>
        <row r="13">
          <cell r="B13" t="str">
            <v>ARTNA</v>
          </cell>
          <cell r="C13">
            <v>29.407</v>
          </cell>
          <cell r="D13">
            <v>22.716999999999999</v>
          </cell>
          <cell r="E13">
            <v>21.899000000000001</v>
          </cell>
          <cell r="F13">
            <v>22.491</v>
          </cell>
          <cell r="G13">
            <v>20.689</v>
          </cell>
          <cell r="H13">
            <v>18.657</v>
          </cell>
          <cell r="I13">
            <v>18.244</v>
          </cell>
          <cell r="J13">
            <v>15.926</v>
          </cell>
          <cell r="K13">
            <v>17.260000000000002</v>
          </cell>
          <cell r="L13">
            <v>19.324999999999999</v>
          </cell>
          <cell r="M13">
            <v>19.681000000000001</v>
          </cell>
        </row>
        <row r="14">
          <cell r="B14" t="str">
            <v>ATO</v>
          </cell>
          <cell r="C14">
            <v>70.305000000000007</v>
          </cell>
          <cell r="D14">
            <v>54.079000000000001</v>
          </cell>
          <cell r="E14">
            <v>47.633000000000003</v>
          </cell>
          <cell r="F14">
            <v>39.683</v>
          </cell>
          <cell r="G14">
            <v>33.451999999999998</v>
          </cell>
          <cell r="H14">
            <v>32.442</v>
          </cell>
          <cell r="I14">
            <v>28.533000000000001</v>
          </cell>
          <cell r="J14">
            <v>24.7</v>
          </cell>
          <cell r="K14">
            <v>27.169</v>
          </cell>
          <cell r="L14">
            <v>30.78</v>
          </cell>
          <cell r="M14">
            <v>27.047999999999998</v>
          </cell>
        </row>
        <row r="15">
          <cell r="B15" t="str">
            <v>AGR</v>
          </cell>
          <cell r="C15">
            <v>40.575000000000003</v>
          </cell>
          <cell r="D15">
            <v>35.204999999999998</v>
          </cell>
          <cell r="E15" t="str">
            <v>N/A</v>
          </cell>
          <cell r="F15" t="str">
            <v>N/A</v>
          </cell>
          <cell r="G15" t="str">
            <v>N/A</v>
          </cell>
          <cell r="H15" t="str">
            <v>N/A</v>
          </cell>
          <cell r="I15" t="str">
            <v>N/A</v>
          </cell>
          <cell r="J15" t="str">
            <v>N/A</v>
          </cell>
          <cell r="K15" t="str">
            <v>N/A</v>
          </cell>
          <cell r="L15" t="str">
            <v>N/A</v>
          </cell>
          <cell r="M15" t="str">
            <v>N/A</v>
          </cell>
        </row>
        <row r="16">
          <cell r="B16" t="str">
            <v>AVA</v>
          </cell>
          <cell r="C16">
            <v>40.408999999999999</v>
          </cell>
          <cell r="D16">
            <v>33.270000000000003</v>
          </cell>
          <cell r="E16">
            <v>31.798999999999999</v>
          </cell>
          <cell r="F16">
            <v>27.074000000000002</v>
          </cell>
          <cell r="G16">
            <v>25.472000000000001</v>
          </cell>
          <cell r="H16">
            <v>24.213999999999999</v>
          </cell>
          <cell r="I16">
            <v>21.02</v>
          </cell>
          <cell r="J16">
            <v>18.036999999999999</v>
          </cell>
          <cell r="K16">
            <v>20.361999999999998</v>
          </cell>
          <cell r="L16">
            <v>22.23</v>
          </cell>
          <cell r="M16">
            <v>22.623999999999999</v>
          </cell>
        </row>
        <row r="17">
          <cell r="B17" t="str">
            <v>BKH</v>
          </cell>
          <cell r="C17">
            <v>58.619</v>
          </cell>
          <cell r="D17">
            <v>45.667999999999999</v>
          </cell>
          <cell r="E17">
            <v>54.994999999999997</v>
          </cell>
          <cell r="F17">
            <v>47.6</v>
          </cell>
          <cell r="G17">
            <v>33.749000000000002</v>
          </cell>
          <cell r="H17">
            <v>31.44</v>
          </cell>
          <cell r="I17">
            <v>30.04</v>
          </cell>
          <cell r="J17">
            <v>23.027999999999999</v>
          </cell>
          <cell r="K17">
            <v>33.241999999999997</v>
          </cell>
          <cell r="L17">
            <v>40.261000000000003</v>
          </cell>
          <cell r="M17">
            <v>34.845999999999997</v>
          </cell>
        </row>
        <row r="18">
          <cell r="B18" t="str">
            <v>CWT</v>
          </cell>
          <cell r="C18">
            <v>29.946000000000002</v>
          </cell>
          <cell r="D18">
            <v>23.286999999999999</v>
          </cell>
          <cell r="E18">
            <v>23.431999999999999</v>
          </cell>
          <cell r="F18">
            <v>20.527999999999999</v>
          </cell>
          <cell r="G18">
            <v>18.236000000000001</v>
          </cell>
          <cell r="H18">
            <v>18.297999999999998</v>
          </cell>
          <cell r="I18">
            <v>18.367000000000001</v>
          </cell>
          <cell r="J18">
            <v>19.193999999999999</v>
          </cell>
          <cell r="K18">
            <v>18.777999999999999</v>
          </cell>
          <cell r="L18">
            <v>19.542999999999999</v>
          </cell>
          <cell r="M18">
            <v>19.59</v>
          </cell>
        </row>
        <row r="19">
          <cell r="B19" t="str">
            <v>CNP</v>
          </cell>
          <cell r="C19">
            <v>21.91</v>
          </cell>
          <cell r="D19">
            <v>19.545999999999999</v>
          </cell>
          <cell r="E19">
            <v>24.082999999999998</v>
          </cell>
          <cell r="F19">
            <v>23.245999999999999</v>
          </cell>
          <cell r="G19">
            <v>20.042999999999999</v>
          </cell>
          <cell r="H19">
            <v>18.510000000000002</v>
          </cell>
          <cell r="I19">
            <v>14.746</v>
          </cell>
          <cell r="J19">
            <v>11.925000000000001</v>
          </cell>
          <cell r="K19">
            <v>14.654</v>
          </cell>
          <cell r="L19">
            <v>17.552</v>
          </cell>
          <cell r="M19">
            <v>13.651999999999999</v>
          </cell>
        </row>
        <row r="20">
          <cell r="B20" t="str">
            <v>CPK</v>
          </cell>
          <cell r="C20">
            <v>62.274999999999999</v>
          </cell>
          <cell r="D20">
            <v>51.308999999999997</v>
          </cell>
          <cell r="E20">
            <v>43.722999999999999</v>
          </cell>
          <cell r="F20">
            <v>35.305999999999997</v>
          </cell>
          <cell r="G20">
            <v>29.513000000000002</v>
          </cell>
          <cell r="H20">
            <v>27.088000000000001</v>
          </cell>
          <cell r="I20">
            <v>22.228999999999999</v>
          </cell>
          <cell r="J20">
            <v>20.353000000000002</v>
          </cell>
          <cell r="K20">
            <v>19.702000000000002</v>
          </cell>
          <cell r="L20">
            <v>21.617000000000001</v>
          </cell>
          <cell r="M20">
            <v>20.478000000000002</v>
          </cell>
        </row>
        <row r="21">
          <cell r="B21" t="str">
            <v>CMS</v>
          </cell>
          <cell r="C21">
            <v>41.466999999999999</v>
          </cell>
          <cell r="D21">
            <v>34.57</v>
          </cell>
          <cell r="E21">
            <v>30.1</v>
          </cell>
          <cell r="F21">
            <v>27.096</v>
          </cell>
          <cell r="G21">
            <v>23.056000000000001</v>
          </cell>
          <cell r="H21">
            <v>19.742000000000001</v>
          </cell>
          <cell r="I21">
            <v>16.567</v>
          </cell>
          <cell r="J21">
            <v>12.606999999999999</v>
          </cell>
          <cell r="K21">
            <v>13.365</v>
          </cell>
          <cell r="L21">
            <v>17.175999999999998</v>
          </cell>
          <cell r="M21">
            <v>14.196</v>
          </cell>
        </row>
        <row r="22">
          <cell r="B22" t="str">
            <v>CTWS</v>
          </cell>
          <cell r="C22">
            <v>48.433</v>
          </cell>
          <cell r="D22">
            <v>35.856999999999999</v>
          </cell>
          <cell r="E22">
            <v>33.640999999999998</v>
          </cell>
          <cell r="F22">
            <v>30.489000000000001</v>
          </cell>
          <cell r="G22">
            <v>29.658999999999999</v>
          </cell>
          <cell r="H22">
            <v>25.984999999999999</v>
          </cell>
          <cell r="I22">
            <v>23.356000000000002</v>
          </cell>
          <cell r="J22">
            <v>21.902000000000001</v>
          </cell>
          <cell r="K22">
            <v>24.606000000000002</v>
          </cell>
          <cell r="L22">
            <v>24.151</v>
          </cell>
          <cell r="M22">
            <v>23.471</v>
          </cell>
        </row>
        <row r="23">
          <cell r="B23" t="str">
            <v>ED</v>
          </cell>
          <cell r="C23">
            <v>74.078999999999994</v>
          </cell>
          <cell r="D23">
            <v>63.134999999999998</v>
          </cell>
          <cell r="E23">
            <v>57.563000000000002</v>
          </cell>
          <cell r="F23">
            <v>57.860999999999997</v>
          </cell>
          <cell r="G23">
            <v>59.405999999999999</v>
          </cell>
          <cell r="H23">
            <v>53.819000000000003</v>
          </cell>
          <cell r="I23">
            <v>46.140999999999998</v>
          </cell>
          <cell r="J23">
            <v>39.393000000000001</v>
          </cell>
          <cell r="K23">
            <v>41.279000000000003</v>
          </cell>
          <cell r="L23">
            <v>47.963000000000001</v>
          </cell>
          <cell r="M23">
            <v>45.68</v>
          </cell>
        </row>
        <row r="24">
          <cell r="B24" t="str">
            <v>CWCO</v>
          </cell>
          <cell r="C24">
            <v>12.098000000000001</v>
          </cell>
          <cell r="D24">
            <v>11.573</v>
          </cell>
          <cell r="E24">
            <v>11.881</v>
          </cell>
          <cell r="F24">
            <v>11.613</v>
          </cell>
          <cell r="G24">
            <v>7.9450000000000003</v>
          </cell>
          <cell r="H24">
            <v>9.4049999999999994</v>
          </cell>
          <cell r="I24">
            <v>11.553000000000001</v>
          </cell>
          <cell r="J24">
            <v>14.083</v>
          </cell>
          <cell r="K24">
            <v>18.895</v>
          </cell>
          <cell r="L24">
            <v>27.957999999999998</v>
          </cell>
          <cell r="M24">
            <v>25.399000000000001</v>
          </cell>
        </row>
        <row r="25">
          <cell r="B25" t="str">
            <v>DGAS</v>
          </cell>
          <cell r="C25">
            <v>21.96</v>
          </cell>
          <cell r="D25">
            <v>20.297000000000001</v>
          </cell>
          <cell r="E25">
            <v>21.018999999999998</v>
          </cell>
          <cell r="F25">
            <v>20.677</v>
          </cell>
          <cell r="G25">
            <v>17.611000000000001</v>
          </cell>
          <cell r="H25">
            <v>15.372999999999999</v>
          </cell>
          <cell r="I25">
            <v>13.842000000000001</v>
          </cell>
          <cell r="J25">
            <v>11.829000000000001</v>
          </cell>
          <cell r="K25">
            <v>12.77</v>
          </cell>
          <cell r="L25">
            <v>12.555999999999999</v>
          </cell>
          <cell r="M25">
            <v>13.119</v>
          </cell>
        </row>
        <row r="26">
          <cell r="B26" t="str">
            <v>D</v>
          </cell>
          <cell r="C26">
            <v>73.358000000000004</v>
          </cell>
          <cell r="D26">
            <v>70.837000000000003</v>
          </cell>
          <cell r="E26">
            <v>70.066000000000003</v>
          </cell>
          <cell r="F26">
            <v>59.466000000000001</v>
          </cell>
          <cell r="G26">
            <v>52.008000000000003</v>
          </cell>
          <cell r="H26">
            <v>47.665999999999997</v>
          </cell>
          <cell r="I26">
            <v>41.466999999999999</v>
          </cell>
          <cell r="J26">
            <v>33.639000000000003</v>
          </cell>
          <cell r="K26">
            <v>41.89</v>
          </cell>
          <cell r="L26">
            <v>43.933</v>
          </cell>
          <cell r="M26">
            <v>38.343000000000004</v>
          </cell>
        </row>
        <row r="27">
          <cell r="B27" t="str">
            <v>DTE</v>
          </cell>
          <cell r="C27">
            <v>91.605999999999995</v>
          </cell>
          <cell r="D27">
            <v>80.423000000000002</v>
          </cell>
          <cell r="E27">
            <v>76.052999999999997</v>
          </cell>
          <cell r="F27">
            <v>67.361000000000004</v>
          </cell>
          <cell r="G27">
            <v>57.771000000000001</v>
          </cell>
          <cell r="H27">
            <v>49.579000000000001</v>
          </cell>
          <cell r="I27">
            <v>45.874000000000002</v>
          </cell>
          <cell r="J27">
            <v>33.728000000000002</v>
          </cell>
          <cell r="K27">
            <v>40.433999999999997</v>
          </cell>
          <cell r="L27">
            <v>48.585000000000001</v>
          </cell>
          <cell r="M27">
            <v>42.707000000000001</v>
          </cell>
        </row>
        <row r="28">
          <cell r="B28" t="str">
            <v>DUK</v>
          </cell>
          <cell r="C28">
            <v>78.843000000000004</v>
          </cell>
          <cell r="D28">
            <v>74.694000000000003</v>
          </cell>
          <cell r="E28">
            <v>73.978999999999999</v>
          </cell>
          <cell r="F28">
            <v>69.447000000000003</v>
          </cell>
          <cell r="G28">
            <v>64.790000000000006</v>
          </cell>
          <cell r="H28">
            <v>56.978999999999999</v>
          </cell>
          <cell r="I28">
            <v>50.993000000000002</v>
          </cell>
          <cell r="J28">
            <v>45.143000000000001</v>
          </cell>
          <cell r="K28">
            <v>52.366999999999997</v>
          </cell>
          <cell r="L28">
            <v>58.064999999999998</v>
          </cell>
          <cell r="M28" t="str">
            <v>N/A</v>
          </cell>
        </row>
        <row r="29">
          <cell r="B29" t="str">
            <v>EIX</v>
          </cell>
          <cell r="C29">
            <v>70.603999999999999</v>
          </cell>
          <cell r="D29">
            <v>61.281999999999996</v>
          </cell>
          <cell r="E29">
            <v>56.506</v>
          </cell>
          <cell r="F29">
            <v>48.003999999999998</v>
          </cell>
          <cell r="G29">
            <v>44.164999999999999</v>
          </cell>
          <cell r="H29">
            <v>38.139000000000003</v>
          </cell>
          <cell r="I29">
            <v>34.569000000000003</v>
          </cell>
          <cell r="J29">
            <v>31.486999999999998</v>
          </cell>
          <cell r="K29">
            <v>45.475000000000001</v>
          </cell>
          <cell r="L29">
            <v>53.213999999999999</v>
          </cell>
          <cell r="M29">
            <v>42.598999999999997</v>
          </cell>
        </row>
        <row r="30">
          <cell r="B30" t="str">
            <v>EE</v>
          </cell>
          <cell r="C30">
            <v>44.59</v>
          </cell>
          <cell r="D30">
            <v>37.207000000000001</v>
          </cell>
          <cell r="E30">
            <v>37.19</v>
          </cell>
          <cell r="F30">
            <v>34.933</v>
          </cell>
          <cell r="G30">
            <v>32.71</v>
          </cell>
          <cell r="H30">
            <v>31.236000000000001</v>
          </cell>
          <cell r="I30">
            <v>22.19</v>
          </cell>
          <cell r="J30">
            <v>16.190000000000001</v>
          </cell>
          <cell r="K30">
            <v>20.577000000000002</v>
          </cell>
          <cell r="L30">
            <v>24.873999999999999</v>
          </cell>
          <cell r="M30">
            <v>21.489000000000001</v>
          </cell>
        </row>
        <row r="31">
          <cell r="B31" t="str">
            <v>EDE</v>
          </cell>
          <cell r="C31" t="str">
            <v>N/A</v>
          </cell>
          <cell r="D31">
            <v>24.135999999999999</v>
          </cell>
          <cell r="E31">
            <v>25.129000000000001</v>
          </cell>
          <cell r="F31">
            <v>22.195</v>
          </cell>
          <cell r="G31">
            <v>20.800999999999998</v>
          </cell>
          <cell r="H31">
            <v>20.649000000000001</v>
          </cell>
          <cell r="I31">
            <v>19.600000000000001</v>
          </cell>
          <cell r="J31">
            <v>16.919</v>
          </cell>
          <cell r="K31">
            <v>20.187999999999999</v>
          </cell>
          <cell r="L31">
            <v>23.655000000000001</v>
          </cell>
          <cell r="M31">
            <v>22.442</v>
          </cell>
        </row>
        <row r="32">
          <cell r="B32" t="str">
            <v>ETR</v>
          </cell>
          <cell r="C32">
            <v>75.143000000000001</v>
          </cell>
          <cell r="D32">
            <v>72.795000000000002</v>
          </cell>
          <cell r="E32">
            <v>74.349999999999994</v>
          </cell>
          <cell r="F32">
            <v>65.540000000000006</v>
          </cell>
          <cell r="G32">
            <v>67.567999999999998</v>
          </cell>
          <cell r="H32">
            <v>68.417000000000002</v>
          </cell>
          <cell r="I32">
            <v>77.06</v>
          </cell>
          <cell r="J32">
            <v>75.480999999999995</v>
          </cell>
          <cell r="K32">
            <v>102.649</v>
          </cell>
          <cell r="L32">
            <v>108.095</v>
          </cell>
          <cell r="M32">
            <v>76.521000000000001</v>
          </cell>
        </row>
        <row r="33">
          <cell r="B33" t="str">
            <v>ES</v>
          </cell>
          <cell r="C33">
            <v>55.326999999999998</v>
          </cell>
          <cell r="D33">
            <v>49.982999999999997</v>
          </cell>
          <cell r="E33">
            <v>46.232999999999997</v>
          </cell>
          <cell r="F33">
            <v>42.183</v>
          </cell>
          <cell r="G33">
            <v>37.526000000000003</v>
          </cell>
          <cell r="H33">
            <v>34.076999999999998</v>
          </cell>
          <cell r="I33">
            <v>28.189</v>
          </cell>
          <cell r="J33">
            <v>22.844000000000001</v>
          </cell>
          <cell r="K33">
            <v>25.411999999999999</v>
          </cell>
          <cell r="L33">
            <v>29.806000000000001</v>
          </cell>
          <cell r="M33">
            <v>22.193000000000001</v>
          </cell>
        </row>
        <row r="34">
          <cell r="B34" t="str">
            <v>EXC</v>
          </cell>
          <cell r="C34">
            <v>33.625999999999998</v>
          </cell>
          <cell r="D34">
            <v>31.943000000000001</v>
          </cell>
          <cell r="E34">
            <v>33.637999999999998</v>
          </cell>
          <cell r="F34">
            <v>31.03</v>
          </cell>
          <cell r="G34">
            <v>36.630000000000003</v>
          </cell>
          <cell r="H34">
            <v>42.38</v>
          </cell>
          <cell r="I34">
            <v>42.453000000000003</v>
          </cell>
          <cell r="J34">
            <v>49.283999999999999</v>
          </cell>
          <cell r="K34">
            <v>73.686000000000007</v>
          </cell>
          <cell r="L34">
            <v>73.433999999999997</v>
          </cell>
          <cell r="M34">
            <v>57.85</v>
          </cell>
        </row>
        <row r="35">
          <cell r="B35" t="str">
            <v>FE</v>
          </cell>
          <cell r="C35">
            <v>33.418999999999997</v>
          </cell>
          <cell r="D35">
            <v>34.045000000000002</v>
          </cell>
          <cell r="E35">
            <v>33.820999999999998</v>
          </cell>
          <cell r="F35">
            <v>38.771999999999998</v>
          </cell>
          <cell r="G35">
            <v>44.932000000000002</v>
          </cell>
          <cell r="H35">
            <v>42.094000000000001</v>
          </cell>
          <cell r="I35">
            <v>38.18</v>
          </cell>
          <cell r="J35">
            <v>43.24</v>
          </cell>
          <cell r="K35">
            <v>68.518000000000001</v>
          </cell>
          <cell r="L35">
            <v>65.777000000000001</v>
          </cell>
          <cell r="M35">
            <v>54.353999999999999</v>
          </cell>
        </row>
        <row r="36">
          <cell r="B36" t="str">
            <v>FTS.TO</v>
          </cell>
          <cell r="C36">
            <v>40.829000000000001</v>
          </cell>
          <cell r="D36">
            <v>37.984999999999999</v>
          </cell>
          <cell r="E36">
            <v>33.515000000000001</v>
          </cell>
          <cell r="F36">
            <v>32.551000000000002</v>
          </cell>
          <cell r="G36">
            <v>33.201999999999998</v>
          </cell>
          <cell r="H36">
            <v>32.698999999999998</v>
          </cell>
          <cell r="I36">
            <v>29.507999999999999</v>
          </cell>
          <cell r="J36">
            <v>24.71</v>
          </cell>
          <cell r="K36">
            <v>26.573</v>
          </cell>
          <cell r="L36">
            <v>27.212</v>
          </cell>
          <cell r="M36">
            <v>24.033000000000001</v>
          </cell>
        </row>
        <row r="37">
          <cell r="B37" t="str">
            <v>EGAS</v>
          </cell>
          <cell r="C37">
            <v>8.6920000000000002</v>
          </cell>
          <cell r="D37">
            <v>9.4740000000000002</v>
          </cell>
          <cell r="E37">
            <v>10.760999999999999</v>
          </cell>
          <cell r="F37">
            <v>9.968</v>
          </cell>
          <cell r="G37">
            <v>10.432</v>
          </cell>
          <cell r="H37">
            <v>11.112</v>
          </cell>
          <cell r="I37">
            <v>10.814</v>
          </cell>
          <cell r="J37">
            <v>8.5739999999999998</v>
          </cell>
          <cell r="K37">
            <v>9.42</v>
          </cell>
          <cell r="L37">
            <v>8.1549999999999994</v>
          </cell>
          <cell r="M37">
            <v>6.4859999999999998</v>
          </cell>
        </row>
        <row r="38">
          <cell r="B38" t="str">
            <v>GXP</v>
          </cell>
          <cell r="C38">
            <v>28.949000000000002</v>
          </cell>
          <cell r="D38">
            <v>26.530999999999999</v>
          </cell>
          <cell r="E38">
            <v>25.858000000000001</v>
          </cell>
          <cell r="F38">
            <v>22.981999999999999</v>
          </cell>
          <cell r="G38">
            <v>20.971</v>
          </cell>
          <cell r="H38">
            <v>20.131</v>
          </cell>
          <cell r="I38">
            <v>18.504999999999999</v>
          </cell>
          <cell r="J38">
            <v>16.513999999999999</v>
          </cell>
          <cell r="K38">
            <v>23.834</v>
          </cell>
          <cell r="L38">
            <v>30.242999999999999</v>
          </cell>
          <cell r="M38">
            <v>29.643999999999998</v>
          </cell>
        </row>
        <row r="39">
          <cell r="B39" t="str">
            <v>HE</v>
          </cell>
          <cell r="C39">
            <v>31.044</v>
          </cell>
          <cell r="D39">
            <v>30.603999999999999</v>
          </cell>
          <cell r="E39">
            <v>26.045000000000002</v>
          </cell>
          <cell r="F39">
            <v>26.265000000000001</v>
          </cell>
          <cell r="G39">
            <v>26.408000000000001</v>
          </cell>
          <cell r="H39">
            <v>24.609000000000002</v>
          </cell>
          <cell r="I39">
            <v>22.491</v>
          </cell>
          <cell r="J39">
            <v>18.004999999999999</v>
          </cell>
          <cell r="K39">
            <v>24.782</v>
          </cell>
          <cell r="L39">
            <v>23.946999999999999</v>
          </cell>
          <cell r="M39">
            <v>27.038</v>
          </cell>
        </row>
        <row r="40">
          <cell r="B40" t="str">
            <v>IDA</v>
          </cell>
          <cell r="C40">
            <v>75.097999999999999</v>
          </cell>
          <cell r="D40">
            <v>62.764000000000003</v>
          </cell>
          <cell r="E40">
            <v>56.459000000000003</v>
          </cell>
          <cell r="F40">
            <v>48.957000000000001</v>
          </cell>
          <cell r="G40">
            <v>41.82</v>
          </cell>
          <cell r="H40">
            <v>38.758000000000003</v>
          </cell>
          <cell r="I40">
            <v>34.89</v>
          </cell>
          <cell r="J40">
            <v>26.920999999999999</v>
          </cell>
          <cell r="K40">
            <v>30.356999999999999</v>
          </cell>
          <cell r="L40">
            <v>33.840000000000003</v>
          </cell>
          <cell r="M40">
            <v>35.414000000000001</v>
          </cell>
        </row>
        <row r="41">
          <cell r="B41" t="str">
            <v>MGEE</v>
          </cell>
          <cell r="C41">
            <v>54.29</v>
          </cell>
          <cell r="D41">
            <v>41.774999999999999</v>
          </cell>
          <cell r="E41">
            <v>39.883000000000003</v>
          </cell>
          <cell r="F41">
            <v>36.750999999999998</v>
          </cell>
          <cell r="G41">
            <v>32.048999999999999</v>
          </cell>
          <cell r="H41">
            <v>27.849</v>
          </cell>
          <cell r="I41">
            <v>24.966999999999999</v>
          </cell>
          <cell r="J41">
            <v>22.3</v>
          </cell>
          <cell r="K41">
            <v>22.568000000000001</v>
          </cell>
          <cell r="L41">
            <v>22.706</v>
          </cell>
          <cell r="M41">
            <v>21.802</v>
          </cell>
        </row>
        <row r="42">
          <cell r="B42" t="str">
            <v>MSEX</v>
          </cell>
          <cell r="C42">
            <v>35.39</v>
          </cell>
          <cell r="D42">
            <v>23.314</v>
          </cell>
          <cell r="E42">
            <v>20.89</v>
          </cell>
          <cell r="F42">
            <v>20.295000000000002</v>
          </cell>
          <cell r="G42">
            <v>18.745999999999999</v>
          </cell>
          <cell r="H42">
            <v>18.25</v>
          </cell>
          <cell r="I42">
            <v>17.097000000000001</v>
          </cell>
          <cell r="J42">
            <v>15.132</v>
          </cell>
          <cell r="K42">
            <v>17.620999999999999</v>
          </cell>
          <cell r="L42">
            <v>18.782</v>
          </cell>
          <cell r="M42">
            <v>18.629000000000001</v>
          </cell>
        </row>
        <row r="43">
          <cell r="B43" t="str">
            <v>NJR</v>
          </cell>
          <cell r="C43">
            <v>34.213000000000001</v>
          </cell>
          <cell r="D43">
            <v>29.571000000000002</v>
          </cell>
          <cell r="E43">
            <v>24.402999999999999</v>
          </cell>
          <cell r="F43">
            <v>21.817</v>
          </cell>
          <cell r="G43">
            <v>22.803000000000001</v>
          </cell>
          <cell r="H43">
            <v>21.614000000000001</v>
          </cell>
          <cell r="I43">
            <v>18.43</v>
          </cell>
          <cell r="J43">
            <v>17.91</v>
          </cell>
          <cell r="K43">
            <v>16.57</v>
          </cell>
          <cell r="L43">
            <v>16.792000000000002</v>
          </cell>
          <cell r="M43">
            <v>15.045</v>
          </cell>
        </row>
        <row r="44">
          <cell r="B44" t="str">
            <v>NEE</v>
          </cell>
          <cell r="C44">
            <v>119.712</v>
          </cell>
          <cell r="D44">
            <v>102.38</v>
          </cell>
          <cell r="E44">
            <v>96.625</v>
          </cell>
          <cell r="F44">
            <v>80.039000000000001</v>
          </cell>
          <cell r="G44">
            <v>65.816999999999993</v>
          </cell>
          <cell r="H44">
            <v>55.601999999999997</v>
          </cell>
          <cell r="I44">
            <v>51.326999999999998</v>
          </cell>
          <cell r="J44">
            <v>53.26</v>
          </cell>
          <cell r="K44">
            <v>58.942999999999998</v>
          </cell>
          <cell r="L44">
            <v>61.792999999999999</v>
          </cell>
          <cell r="M44">
            <v>44.097000000000001</v>
          </cell>
        </row>
        <row r="45">
          <cell r="B45" t="str">
            <v>NI</v>
          </cell>
          <cell r="C45">
            <v>23.183</v>
          </cell>
          <cell r="D45">
            <v>23.524000000000001</v>
          </cell>
          <cell r="E45">
            <v>37.978999999999999</v>
          </cell>
          <cell r="F45">
            <v>29.655000000000001</v>
          </cell>
          <cell r="G45">
            <v>24.481999999999999</v>
          </cell>
          <cell r="H45">
            <v>20.331</v>
          </cell>
          <cell r="I45">
            <v>16.247</v>
          </cell>
          <cell r="J45">
            <v>12.041</v>
          </cell>
          <cell r="K45">
            <v>16.167000000000002</v>
          </cell>
          <cell r="L45">
            <v>21.45</v>
          </cell>
          <cell r="M45">
            <v>21.841999999999999</v>
          </cell>
        </row>
        <row r="46">
          <cell r="B46" t="str">
            <v>NWN</v>
          </cell>
          <cell r="C46">
            <v>57.076000000000001</v>
          </cell>
          <cell r="D46">
            <v>46.436</v>
          </cell>
          <cell r="E46">
            <v>44.691000000000003</v>
          </cell>
          <cell r="F46">
            <v>43.41</v>
          </cell>
          <cell r="G46">
            <v>46.789000000000001</v>
          </cell>
          <cell r="H46">
            <v>45.454000000000001</v>
          </cell>
          <cell r="I46">
            <v>46.332000000000001</v>
          </cell>
          <cell r="J46">
            <v>42.94</v>
          </cell>
          <cell r="K46">
            <v>46.453000000000003</v>
          </cell>
          <cell r="L46">
            <v>46.198</v>
          </cell>
          <cell r="M46">
            <v>37.247999999999998</v>
          </cell>
        </row>
        <row r="47">
          <cell r="B47" t="str">
            <v>NWE</v>
          </cell>
          <cell r="C47">
            <v>58.261000000000003</v>
          </cell>
          <cell r="D47">
            <v>53.249000000000002</v>
          </cell>
          <cell r="E47">
            <v>48.543999999999997</v>
          </cell>
          <cell r="F47">
            <v>41.475000000000001</v>
          </cell>
          <cell r="G47">
            <v>35.521000000000001</v>
          </cell>
          <cell r="H47">
            <v>31.934999999999999</v>
          </cell>
          <cell r="I47">
            <v>27.596</v>
          </cell>
          <cell r="J47">
            <v>23.306999999999999</v>
          </cell>
          <cell r="K47">
            <v>24.542999999999999</v>
          </cell>
          <cell r="L47">
            <v>31.297999999999998</v>
          </cell>
          <cell r="M47">
            <v>33.997999999999998</v>
          </cell>
        </row>
        <row r="48">
          <cell r="B48" t="str">
            <v>OGE</v>
          </cell>
          <cell r="C48">
            <v>29.88</v>
          </cell>
          <cell r="D48">
            <v>29.895</v>
          </cell>
          <cell r="E48">
            <v>36.165999999999997</v>
          </cell>
          <cell r="F48">
            <v>34.323999999999998</v>
          </cell>
          <cell r="G48">
            <v>27.129000000000001</v>
          </cell>
          <cell r="H48">
            <v>24.782</v>
          </cell>
          <cell r="I48">
            <v>19.904</v>
          </cell>
          <cell r="J48">
            <v>14.409000000000001</v>
          </cell>
          <cell r="K48">
            <v>15.448</v>
          </cell>
          <cell r="L48">
            <v>18.151</v>
          </cell>
          <cell r="M48">
            <v>16.751999999999999</v>
          </cell>
        </row>
        <row r="49">
          <cell r="B49" t="str">
            <v>OGS</v>
          </cell>
          <cell r="C49">
            <v>60.256999999999998</v>
          </cell>
          <cell r="D49">
            <v>44.33</v>
          </cell>
          <cell r="E49">
            <v>36.902000000000001</v>
          </cell>
        </row>
        <row r="50">
          <cell r="B50" t="str">
            <v>OTTR</v>
          </cell>
          <cell r="C50">
            <v>32.308999999999997</v>
          </cell>
          <cell r="D50">
            <v>28.39</v>
          </cell>
          <cell r="E50">
            <v>29.199000000000002</v>
          </cell>
          <cell r="F50">
            <v>28.934000000000001</v>
          </cell>
          <cell r="G50">
            <v>22.837</v>
          </cell>
          <cell r="H50">
            <v>21.367000000000001</v>
          </cell>
          <cell r="I50">
            <v>20.937000000000001</v>
          </cell>
          <cell r="J50">
            <v>22.123000000000001</v>
          </cell>
          <cell r="K50">
            <v>32.761000000000003</v>
          </cell>
          <cell r="L50">
            <v>33.854999999999997</v>
          </cell>
          <cell r="M50">
            <v>29.318999999999999</v>
          </cell>
        </row>
        <row r="51">
          <cell r="B51" t="str">
            <v>PCG</v>
          </cell>
          <cell r="C51">
            <v>59.787999999999997</v>
          </cell>
          <cell r="D51">
            <v>52.796999999999997</v>
          </cell>
          <cell r="E51">
            <v>45.908999999999999</v>
          </cell>
          <cell r="F51">
            <v>43.308999999999997</v>
          </cell>
          <cell r="G51">
            <v>42.853000000000002</v>
          </cell>
          <cell r="H51">
            <v>42.972999999999999</v>
          </cell>
          <cell r="I51">
            <v>44.564999999999998</v>
          </cell>
          <cell r="J51">
            <v>39.418999999999997</v>
          </cell>
          <cell r="K51">
            <v>38.911000000000001</v>
          </cell>
          <cell r="L51">
            <v>46.835999999999999</v>
          </cell>
          <cell r="M51">
            <v>40.963999999999999</v>
          </cell>
        </row>
        <row r="52">
          <cell r="B52" t="str">
            <v>PNW</v>
          </cell>
          <cell r="C52">
            <v>74.034999999999997</v>
          </cell>
          <cell r="D52">
            <v>62.86</v>
          </cell>
          <cell r="E52">
            <v>56.872</v>
          </cell>
          <cell r="F52">
            <v>55.88</v>
          </cell>
          <cell r="G52">
            <v>50.21</v>
          </cell>
          <cell r="H52">
            <v>43.665999999999997</v>
          </cell>
          <cell r="I52">
            <v>38.698999999999998</v>
          </cell>
          <cell r="J52">
            <v>31.056000000000001</v>
          </cell>
          <cell r="K52">
            <v>34.06</v>
          </cell>
          <cell r="L52">
            <v>44.195999999999998</v>
          </cell>
          <cell r="M52">
            <v>43.399000000000001</v>
          </cell>
        </row>
        <row r="53">
          <cell r="B53" t="str">
            <v>PNM</v>
          </cell>
          <cell r="C53">
            <v>32.722000000000001</v>
          </cell>
          <cell r="D53">
            <v>27.629000000000001</v>
          </cell>
          <cell r="E53">
            <v>27.08</v>
          </cell>
          <cell r="F53">
            <v>22.745000000000001</v>
          </cell>
          <cell r="G53">
            <v>19.611999999999998</v>
          </cell>
          <cell r="H53">
            <v>15.695</v>
          </cell>
          <cell r="I53">
            <v>12.218999999999999</v>
          </cell>
          <cell r="J53">
            <v>10.494</v>
          </cell>
          <cell r="K53">
            <v>12.468999999999999</v>
          </cell>
          <cell r="L53">
            <v>27.093</v>
          </cell>
          <cell r="M53">
            <v>26.786000000000001</v>
          </cell>
        </row>
        <row r="54">
          <cell r="B54" t="str">
            <v>POR</v>
          </cell>
          <cell r="C54">
            <v>41.164999999999999</v>
          </cell>
          <cell r="D54">
            <v>36.137</v>
          </cell>
          <cell r="E54">
            <v>33.393000000000001</v>
          </cell>
          <cell r="F54">
            <v>29.876999999999999</v>
          </cell>
          <cell r="G54">
            <v>26.14</v>
          </cell>
          <cell r="H54">
            <v>24.120999999999999</v>
          </cell>
          <cell r="I54">
            <v>19.920000000000002</v>
          </cell>
          <cell r="J54">
            <v>18.856999999999999</v>
          </cell>
          <cell r="K54">
            <v>22.651</v>
          </cell>
          <cell r="L54">
            <v>27.824000000000002</v>
          </cell>
          <cell r="M54">
            <v>26.619</v>
          </cell>
        </row>
        <row r="55">
          <cell r="B55" t="str">
            <v>PPL</v>
          </cell>
          <cell r="C55">
            <v>35.793999999999997</v>
          </cell>
          <cell r="D55">
            <v>32.978999999999999</v>
          </cell>
          <cell r="E55">
            <v>33.502000000000002</v>
          </cell>
          <cell r="F55">
            <v>30.568000000000001</v>
          </cell>
          <cell r="G55">
            <v>28.401</v>
          </cell>
          <cell r="H55">
            <v>27.446000000000002</v>
          </cell>
          <cell r="I55">
            <v>27.318999999999999</v>
          </cell>
          <cell r="J55">
            <v>30.567</v>
          </cell>
          <cell r="K55">
            <v>43.213999999999999</v>
          </cell>
          <cell r="L55">
            <v>45.4</v>
          </cell>
          <cell r="M55">
            <v>32.289000000000001</v>
          </cell>
        </row>
        <row r="56">
          <cell r="B56" t="str">
            <v>PEG</v>
          </cell>
          <cell r="C56">
            <v>43.433</v>
          </cell>
          <cell r="D56">
            <v>40.96</v>
          </cell>
          <cell r="E56">
            <v>37.715000000000003</v>
          </cell>
          <cell r="F56">
            <v>33.075000000000003</v>
          </cell>
          <cell r="G56">
            <v>31.202999999999999</v>
          </cell>
          <cell r="H56">
            <v>32.326999999999998</v>
          </cell>
          <cell r="I56">
            <v>31.832000000000001</v>
          </cell>
          <cell r="J56">
            <v>30.92</v>
          </cell>
          <cell r="K56">
            <v>39.573</v>
          </cell>
          <cell r="L56">
            <v>42.845999999999997</v>
          </cell>
          <cell r="M56">
            <v>32.856000000000002</v>
          </cell>
        </row>
        <row r="57">
          <cell r="B57" t="str">
            <v>RGCO</v>
          </cell>
          <cell r="C57">
            <v>14.97</v>
          </cell>
          <cell r="D57">
            <v>20.946999999999999</v>
          </cell>
          <cell r="E57">
            <v>19.355</v>
          </cell>
          <cell r="F57">
            <v>18.885999999999999</v>
          </cell>
          <cell r="G57">
            <v>17.975000000000001</v>
          </cell>
          <cell r="H57">
            <v>16.324999999999999</v>
          </cell>
          <cell r="I57">
            <v>15.202999999999999</v>
          </cell>
          <cell r="J57">
            <v>12.958</v>
          </cell>
          <cell r="K57">
            <v>14.269</v>
          </cell>
          <cell r="L57">
            <v>13.407999999999999</v>
          </cell>
          <cell r="M57">
            <v>12.746</v>
          </cell>
        </row>
        <row r="58">
          <cell r="B58" t="str">
            <v>SCG</v>
          </cell>
          <cell r="C58">
            <v>69.870999999999995</v>
          </cell>
          <cell r="D58">
            <v>55.875</v>
          </cell>
          <cell r="E58">
            <v>51.834000000000003</v>
          </cell>
          <cell r="F58">
            <v>48.905999999999999</v>
          </cell>
          <cell r="G58">
            <v>46.616999999999997</v>
          </cell>
          <cell r="H58">
            <v>40.601999999999997</v>
          </cell>
          <cell r="I58">
            <v>38.542999999999999</v>
          </cell>
          <cell r="J58">
            <v>33.134999999999998</v>
          </cell>
          <cell r="K58">
            <v>37.369</v>
          </cell>
          <cell r="L58">
            <v>40.981000000000002</v>
          </cell>
          <cell r="M58">
            <v>39.936999999999998</v>
          </cell>
        </row>
        <row r="59">
          <cell r="B59" t="str">
            <v>SRE</v>
          </cell>
          <cell r="C59">
            <v>103.34</v>
          </cell>
          <cell r="D59">
            <v>103.166</v>
          </cell>
          <cell r="E59">
            <v>101.265</v>
          </cell>
          <cell r="F59">
            <v>83.064999999999998</v>
          </cell>
          <cell r="G59">
            <v>64.763000000000005</v>
          </cell>
          <cell r="H59">
            <v>52.616</v>
          </cell>
          <cell r="I59">
            <v>50.631999999999998</v>
          </cell>
          <cell r="J59">
            <v>48.228999999999999</v>
          </cell>
          <cell r="K59">
            <v>52.271999999999998</v>
          </cell>
          <cell r="L59">
            <v>59.668999999999997</v>
          </cell>
          <cell r="M59">
            <v>48.648000000000003</v>
          </cell>
        </row>
        <row r="60">
          <cell r="B60" t="str">
            <v>SJW</v>
          </cell>
          <cell r="C60">
            <v>40.286999999999999</v>
          </cell>
          <cell r="D60">
            <v>30.788</v>
          </cell>
          <cell r="E60">
            <v>28.417999999999999</v>
          </cell>
          <cell r="F60">
            <v>27.257999999999999</v>
          </cell>
          <cell r="G60">
            <v>24.032</v>
          </cell>
          <cell r="H60">
            <v>23.503</v>
          </cell>
          <cell r="I60">
            <v>24.463000000000001</v>
          </cell>
          <cell r="J60">
            <v>23.22</v>
          </cell>
          <cell r="K60">
            <v>28.442</v>
          </cell>
          <cell r="L60">
            <v>34.764000000000003</v>
          </cell>
          <cell r="M60">
            <v>27.975000000000001</v>
          </cell>
        </row>
        <row r="61">
          <cell r="B61" t="str">
            <v>SJI</v>
          </cell>
          <cell r="C61">
            <v>29.097000000000001</v>
          </cell>
          <cell r="D61">
            <v>25.846</v>
          </cell>
          <cell r="E61">
            <v>28.222999999999999</v>
          </cell>
          <cell r="F61">
            <v>28.638000000000002</v>
          </cell>
          <cell r="G61">
            <v>25.655999999999999</v>
          </cell>
          <cell r="H61">
            <v>26.706</v>
          </cell>
          <cell r="I61">
            <v>22.69</v>
          </cell>
          <cell r="J61">
            <v>17.797000000000001</v>
          </cell>
          <cell r="K61">
            <v>18.042999999999999</v>
          </cell>
          <cell r="L61">
            <v>17.954000000000001</v>
          </cell>
          <cell r="M61">
            <v>14.585000000000001</v>
          </cell>
        </row>
        <row r="62">
          <cell r="B62" t="str">
            <v>SO</v>
          </cell>
          <cell r="C62">
            <v>50.256</v>
          </cell>
          <cell r="D62">
            <v>45.01</v>
          </cell>
          <cell r="E62">
            <v>44.442</v>
          </cell>
          <cell r="F62">
            <v>43.701999999999998</v>
          </cell>
          <cell r="G62">
            <v>45.304000000000002</v>
          </cell>
          <cell r="H62">
            <v>40.409999999999997</v>
          </cell>
          <cell r="I62">
            <v>35.156999999999996</v>
          </cell>
          <cell r="J62">
            <v>31.367999999999999</v>
          </cell>
          <cell r="K62">
            <v>36.286000000000001</v>
          </cell>
          <cell r="L62">
            <v>36.369999999999997</v>
          </cell>
          <cell r="M62">
            <v>33.996000000000002</v>
          </cell>
        </row>
        <row r="63">
          <cell r="B63" t="str">
            <v>SWX</v>
          </cell>
          <cell r="C63">
            <v>68.823999999999998</v>
          </cell>
          <cell r="D63">
            <v>56.515000000000001</v>
          </cell>
          <cell r="E63">
            <v>53.759</v>
          </cell>
          <cell r="F63">
            <v>49.005000000000003</v>
          </cell>
          <cell r="G63">
            <v>42.906999999999996</v>
          </cell>
          <cell r="H63">
            <v>38.121000000000002</v>
          </cell>
          <cell r="I63">
            <v>31.71</v>
          </cell>
          <cell r="J63">
            <v>23.666</v>
          </cell>
          <cell r="K63">
            <v>28.173999999999999</v>
          </cell>
          <cell r="L63">
            <v>33.658000000000001</v>
          </cell>
          <cell r="M63">
            <v>31.556000000000001</v>
          </cell>
        </row>
        <row r="64">
          <cell r="B64" t="str">
            <v>SR</v>
          </cell>
          <cell r="C64">
            <v>63.55</v>
          </cell>
          <cell r="D64">
            <v>52.097999999999999</v>
          </cell>
          <cell r="E64">
            <v>46.524999999999999</v>
          </cell>
          <cell r="F64">
            <v>42.932000000000002</v>
          </cell>
          <cell r="G64">
            <v>40.344000000000001</v>
          </cell>
          <cell r="H64">
            <v>37.313000000000002</v>
          </cell>
          <cell r="I64">
            <v>33.384999999999998</v>
          </cell>
          <cell r="J64">
            <v>39.095999999999997</v>
          </cell>
          <cell r="K64">
            <v>37.787999999999997</v>
          </cell>
          <cell r="L64">
            <v>32.767000000000003</v>
          </cell>
          <cell r="M64">
            <v>32.231000000000002</v>
          </cell>
        </row>
        <row r="65">
          <cell r="B65" t="str">
            <v>SGU</v>
          </cell>
          <cell r="C65">
            <v>8.2889999999999997</v>
          </cell>
          <cell r="D65">
            <v>7.5670000000000002</v>
          </cell>
          <cell r="E65">
            <v>5.8380000000000001</v>
          </cell>
          <cell r="F65">
            <v>4.5910000000000002</v>
          </cell>
          <cell r="G65">
            <v>4.4260000000000002</v>
          </cell>
          <cell r="H65">
            <v>5.2859999999999996</v>
          </cell>
          <cell r="I65">
            <v>4.2370000000000001</v>
          </cell>
          <cell r="J65">
            <v>2.8370000000000002</v>
          </cell>
          <cell r="K65">
            <v>3.2229999999999999</v>
          </cell>
          <cell r="L65">
            <v>3.7919999999999998</v>
          </cell>
          <cell r="M65">
            <v>2.27</v>
          </cell>
        </row>
        <row r="66">
          <cell r="B66" t="str">
            <v>UGI</v>
          </cell>
          <cell r="C66">
            <v>39.622999999999998</v>
          </cell>
          <cell r="D66">
            <v>35.604999999999997</v>
          </cell>
          <cell r="E66">
            <v>30.346</v>
          </cell>
          <cell r="F66">
            <v>24.588000000000001</v>
          </cell>
          <cell r="G66">
            <v>19.210999999999999</v>
          </cell>
          <cell r="H66">
            <v>20.632999999999999</v>
          </cell>
          <cell r="I66">
            <v>17.239000000000001</v>
          </cell>
          <cell r="J66">
            <v>16.193999999999999</v>
          </cell>
          <cell r="K66">
            <v>17.651</v>
          </cell>
          <cell r="L66">
            <v>17.87</v>
          </cell>
          <cell r="M66">
            <v>15.362</v>
          </cell>
        </row>
        <row r="67">
          <cell r="B67" t="str">
            <v>UTL</v>
          </cell>
          <cell r="C67">
            <v>40.67</v>
          </cell>
          <cell r="D67">
            <v>35.021999999999998</v>
          </cell>
          <cell r="E67">
            <v>32.920999999999999</v>
          </cell>
          <cell r="F67">
            <v>29.036999999999999</v>
          </cell>
          <cell r="G67">
            <v>26.72</v>
          </cell>
          <cell r="H67">
            <v>25.177</v>
          </cell>
          <cell r="I67">
            <v>22.091999999999999</v>
          </cell>
          <cell r="J67">
            <v>20.919</v>
          </cell>
          <cell r="K67">
            <v>26.099</v>
          </cell>
          <cell r="L67">
            <v>27.931000000000001</v>
          </cell>
          <cell r="M67">
            <v>24.841999999999999</v>
          </cell>
        </row>
        <row r="68">
          <cell r="B68" t="str">
            <v>VVC</v>
          </cell>
          <cell r="C68">
            <v>48.904000000000003</v>
          </cell>
          <cell r="D68">
            <v>42.834000000000003</v>
          </cell>
          <cell r="E68">
            <v>40.365000000000002</v>
          </cell>
          <cell r="F68">
            <v>34.302999999999997</v>
          </cell>
          <cell r="G68">
            <v>29.135000000000002</v>
          </cell>
          <cell r="H68">
            <v>27.379000000000001</v>
          </cell>
          <cell r="I68">
            <v>24.768000000000001</v>
          </cell>
          <cell r="J68">
            <v>23.074000000000002</v>
          </cell>
          <cell r="K68">
            <v>27.364999999999998</v>
          </cell>
          <cell r="L68">
            <v>28.061</v>
          </cell>
          <cell r="M68">
            <v>27.241</v>
          </cell>
        </row>
        <row r="69">
          <cell r="B69" t="str">
            <v>WEC</v>
          </cell>
          <cell r="C69">
            <v>59.042000000000002</v>
          </cell>
          <cell r="D69">
            <v>49.920999999999999</v>
          </cell>
          <cell r="E69">
            <v>45.869</v>
          </cell>
          <cell r="F69">
            <v>41.426000000000002</v>
          </cell>
          <cell r="G69">
            <v>37.027999999999999</v>
          </cell>
          <cell r="H69">
            <v>31.062000000000001</v>
          </cell>
          <cell r="I69">
            <v>26.9</v>
          </cell>
          <cell r="J69">
            <v>21.353999999999999</v>
          </cell>
          <cell r="K69">
            <v>22.379000000000001</v>
          </cell>
          <cell r="L69">
            <v>23.39</v>
          </cell>
          <cell r="M69">
            <v>21.076000000000001</v>
          </cell>
        </row>
        <row r="70">
          <cell r="B70" t="str">
            <v>WR</v>
          </cell>
          <cell r="C70">
            <v>52.454000000000001</v>
          </cell>
          <cell r="D70">
            <v>38.569000000000003</v>
          </cell>
          <cell r="E70">
            <v>36.091000000000001</v>
          </cell>
          <cell r="F70">
            <v>31.864000000000001</v>
          </cell>
          <cell r="G70">
            <v>28.873999999999999</v>
          </cell>
          <cell r="H70">
            <v>26.452999999999999</v>
          </cell>
          <cell r="I70">
            <v>23.321999999999999</v>
          </cell>
          <cell r="J70">
            <v>19.132000000000001</v>
          </cell>
          <cell r="K70">
            <v>22.221</v>
          </cell>
          <cell r="L70">
            <v>25.95</v>
          </cell>
          <cell r="M70">
            <v>22.893000000000001</v>
          </cell>
        </row>
        <row r="71">
          <cell r="B71" t="str">
            <v>WGL</v>
          </cell>
          <cell r="C71">
            <v>65.558000000000007</v>
          </cell>
          <cell r="D71">
            <v>53.697000000000003</v>
          </cell>
          <cell r="E71">
            <v>40.604999999999997</v>
          </cell>
          <cell r="F71">
            <v>42.145000000000003</v>
          </cell>
          <cell r="G71">
            <v>40.918999999999997</v>
          </cell>
          <cell r="H71">
            <v>38.188000000000002</v>
          </cell>
          <cell r="I71">
            <v>34.302</v>
          </cell>
          <cell r="J71">
            <v>31.838000000000001</v>
          </cell>
          <cell r="K71">
            <v>33.332999999999998</v>
          </cell>
          <cell r="L71">
            <v>32.612000000000002</v>
          </cell>
          <cell r="M71">
            <v>29.992000000000001</v>
          </cell>
        </row>
        <row r="72">
          <cell r="B72" t="str">
            <v>XEL</v>
          </cell>
          <cell r="C72">
            <v>40.829000000000001</v>
          </cell>
          <cell r="D72">
            <v>34.728999999999999</v>
          </cell>
          <cell r="E72">
            <v>31.344000000000001</v>
          </cell>
          <cell r="F72">
            <v>28.725000000000001</v>
          </cell>
          <cell r="G72">
            <v>27.42</v>
          </cell>
          <cell r="H72">
            <v>24.497</v>
          </cell>
          <cell r="I72">
            <v>22.041</v>
          </cell>
          <cell r="J72">
            <v>18.87</v>
          </cell>
          <cell r="K72">
            <v>19.981999999999999</v>
          </cell>
          <cell r="L72">
            <v>22.481999999999999</v>
          </cell>
          <cell r="M72">
            <v>19.981999999999999</v>
          </cell>
        </row>
        <row r="73">
          <cell r="B73" t="str">
            <v>YORW</v>
          </cell>
          <cell r="C73" t="str">
            <v>N/A</v>
          </cell>
          <cell r="D73">
            <v>22.817</v>
          </cell>
          <cell r="E73">
            <v>20.529</v>
          </cell>
          <cell r="F73">
            <v>19.696999999999999</v>
          </cell>
          <cell r="G73">
            <v>17.600000000000001</v>
          </cell>
          <cell r="H73">
            <v>16.972999999999999</v>
          </cell>
          <cell r="I73">
            <v>14.711</v>
          </cell>
          <cell r="J73">
            <v>13.994999999999999</v>
          </cell>
          <cell r="K73">
            <v>14.007999999999999</v>
          </cell>
          <cell r="L73">
            <v>17.25</v>
          </cell>
          <cell r="M73">
            <v>18.123999999999999</v>
          </cell>
        </row>
      </sheetData>
      <sheetData sheetId="29">
        <row r="1">
          <cell r="B1">
            <v>70</v>
          </cell>
        </row>
        <row r="3">
          <cell r="B3" t="str">
            <v>Ticker</v>
          </cell>
          <cell r="C3" t="str">
            <v>CF 2016</v>
          </cell>
          <cell r="D3" t="str">
            <v>CF 2015</v>
          </cell>
          <cell r="E3" t="str">
            <v>CF 2014</v>
          </cell>
          <cell r="F3" t="str">
            <v>CF 2013</v>
          </cell>
          <cell r="G3" t="str">
            <v>CF 2012</v>
          </cell>
          <cell r="H3" t="str">
            <v>CF 2011</v>
          </cell>
          <cell r="I3" t="str">
            <v>CF 2010</v>
          </cell>
          <cell r="J3" t="str">
            <v>CF 2009</v>
          </cell>
          <cell r="K3" t="str">
            <v>CF 2008</v>
          </cell>
          <cell r="L3" t="str">
            <v>CF 2007</v>
          </cell>
          <cell r="M3" t="str">
            <v>CF 2006</v>
          </cell>
        </row>
        <row r="4">
          <cell r="B4" t="str">
            <v>AE</v>
          </cell>
          <cell r="C4">
            <v>5.0510000000000002</v>
          </cell>
          <cell r="D4">
            <v>5.3209999999999997</v>
          </cell>
          <cell r="E4">
            <v>7.3109999999999999</v>
          </cell>
          <cell r="F4">
            <v>10.526</v>
          </cell>
          <cell r="G4">
            <v>11.439</v>
          </cell>
          <cell r="H4">
            <v>8.8420000000000005</v>
          </cell>
          <cell r="I4">
            <v>4.8490000000000002</v>
          </cell>
          <cell r="J4">
            <v>3.431</v>
          </cell>
          <cell r="K4">
            <v>1.85</v>
          </cell>
          <cell r="L4">
            <v>4.8819999999999997</v>
          </cell>
          <cell r="M4">
            <v>4.734</v>
          </cell>
        </row>
        <row r="5">
          <cell r="B5" t="str">
            <v>ALE</v>
          </cell>
          <cell r="C5">
            <v>7.0789999999999997</v>
          </cell>
          <cell r="D5">
            <v>6.79</v>
          </cell>
          <cell r="E5">
            <v>5.6749999999999998</v>
          </cell>
          <cell r="F5">
            <v>5.3449999999999998</v>
          </cell>
          <cell r="G5">
            <v>5.008</v>
          </cell>
          <cell r="H5">
            <v>4.9119999999999999</v>
          </cell>
          <cell r="I5">
            <v>4.3520000000000003</v>
          </cell>
          <cell r="J5">
            <v>3.5710000000000002</v>
          </cell>
          <cell r="K5">
            <v>4.2329999999999997</v>
          </cell>
          <cell r="L5">
            <v>4.4189999999999996</v>
          </cell>
          <cell r="M5">
            <v>4.1449999999999996</v>
          </cell>
        </row>
        <row r="6">
          <cell r="B6" t="str">
            <v>LNT</v>
          </cell>
          <cell r="C6">
            <v>3.45</v>
          </cell>
          <cell r="D6">
            <v>3.4460000000000002</v>
          </cell>
          <cell r="E6">
            <v>3.4409999999999998</v>
          </cell>
          <cell r="F6">
            <v>3.3420000000000001</v>
          </cell>
          <cell r="G6">
            <v>2.948</v>
          </cell>
          <cell r="H6">
            <v>2.754</v>
          </cell>
          <cell r="I6">
            <v>2.6040000000000001</v>
          </cell>
          <cell r="J6">
            <v>2.1030000000000002</v>
          </cell>
          <cell r="K6">
            <v>2.278</v>
          </cell>
          <cell r="L6">
            <v>2.5590000000000002</v>
          </cell>
          <cell r="M6">
            <v>2.165</v>
          </cell>
        </row>
        <row r="7">
          <cell r="B7" t="str">
            <v>AEP</v>
          </cell>
          <cell r="C7">
            <v>8.4689999999999994</v>
          </cell>
          <cell r="D7">
            <v>7.9790000000000001</v>
          </cell>
          <cell r="E7">
            <v>7.5750000000000002</v>
          </cell>
          <cell r="F7">
            <v>7.0179999999999998</v>
          </cell>
          <cell r="G7">
            <v>6.92</v>
          </cell>
          <cell r="H7">
            <v>6.8259999999999996</v>
          </cell>
          <cell r="I7">
            <v>6.2919999999999998</v>
          </cell>
          <cell r="J7">
            <v>6.3209999999999997</v>
          </cell>
          <cell r="K7">
            <v>6.8360000000000003</v>
          </cell>
          <cell r="L7">
            <v>6.798</v>
          </cell>
          <cell r="M7">
            <v>6.6680000000000001</v>
          </cell>
        </row>
        <row r="8">
          <cell r="B8" t="str">
            <v>AWR</v>
          </cell>
          <cell r="C8">
            <v>2.7029999999999998</v>
          </cell>
          <cell r="D8">
            <v>2.8090000000000002</v>
          </cell>
          <cell r="E8">
            <v>2.6680000000000001</v>
          </cell>
          <cell r="F8">
            <v>2.6539999999999999</v>
          </cell>
          <cell r="G8">
            <v>2.48</v>
          </cell>
          <cell r="H8">
            <v>2.1320000000000001</v>
          </cell>
          <cell r="I8">
            <v>2.1150000000000002</v>
          </cell>
          <cell r="J8">
            <v>1.702</v>
          </cell>
          <cell r="K8">
            <v>1.6859999999999999</v>
          </cell>
          <cell r="L8">
            <v>1.653</v>
          </cell>
          <cell r="M8">
            <v>1.4470000000000001</v>
          </cell>
        </row>
        <row r="9">
          <cell r="B9" t="str">
            <v>AWK</v>
          </cell>
          <cell r="C9">
            <v>5.2610000000000001</v>
          </cell>
          <cell r="D9">
            <v>5.1319999999999997</v>
          </cell>
          <cell r="E9">
            <v>4.7530000000000001</v>
          </cell>
          <cell r="F9">
            <v>4.359</v>
          </cell>
          <cell r="G9">
            <v>4.2699999999999996</v>
          </cell>
          <cell r="H9">
            <v>3.7349999999999999</v>
          </cell>
          <cell r="I9">
            <v>3.5569999999999999</v>
          </cell>
          <cell r="J9">
            <v>2.887</v>
          </cell>
          <cell r="K9">
            <v>2.8650000000000002</v>
          </cell>
          <cell r="L9">
            <v>-0.46800000000000003</v>
          </cell>
          <cell r="M9">
            <v>0.64600000000000002</v>
          </cell>
        </row>
        <row r="10">
          <cell r="B10" t="str">
            <v>AEE</v>
          </cell>
          <cell r="C10">
            <v>6.5860000000000003</v>
          </cell>
          <cell r="D10">
            <v>6.0789999999999997</v>
          </cell>
          <cell r="E10">
            <v>5.77</v>
          </cell>
          <cell r="F10">
            <v>5.2469999999999999</v>
          </cell>
          <cell r="G10">
            <v>5.8730000000000002</v>
          </cell>
          <cell r="H10">
            <v>5.8739999999999997</v>
          </cell>
          <cell r="I10">
            <v>6.327</v>
          </cell>
          <cell r="J10">
            <v>6.0570000000000004</v>
          </cell>
          <cell r="K10">
            <v>6.4390000000000001</v>
          </cell>
          <cell r="L10">
            <v>6.7640000000000002</v>
          </cell>
          <cell r="M10">
            <v>6.016</v>
          </cell>
        </row>
        <row r="11">
          <cell r="B11" t="str">
            <v>APU</v>
          </cell>
          <cell r="C11">
            <v>4.2720000000000002</v>
          </cell>
          <cell r="D11">
            <v>4.3719999999999999</v>
          </cell>
          <cell r="E11">
            <v>4.9569999999999999</v>
          </cell>
          <cell r="F11">
            <v>4.3369999999999997</v>
          </cell>
          <cell r="G11">
            <v>2.0350000000000001</v>
          </cell>
          <cell r="H11">
            <v>4.5170000000000003</v>
          </cell>
          <cell r="I11">
            <v>4.343</v>
          </cell>
          <cell r="J11">
            <v>4.8440000000000003</v>
          </cell>
          <cell r="K11">
            <v>4.1420000000000003</v>
          </cell>
          <cell r="L11">
            <v>4.0620000000000003</v>
          </cell>
          <cell r="M11">
            <v>2.8809999999999998</v>
          </cell>
        </row>
        <row r="12">
          <cell r="B12" t="str">
            <v>WTR</v>
          </cell>
          <cell r="C12">
            <v>2.0699999999999998</v>
          </cell>
          <cell r="D12">
            <v>1.8720000000000001</v>
          </cell>
          <cell r="E12">
            <v>1.887</v>
          </cell>
          <cell r="F12">
            <v>1.8220000000000001</v>
          </cell>
          <cell r="G12">
            <v>1.51</v>
          </cell>
          <cell r="H12">
            <v>1.448</v>
          </cell>
          <cell r="I12">
            <v>1.421</v>
          </cell>
          <cell r="J12">
            <v>1.2849999999999999</v>
          </cell>
          <cell r="K12">
            <v>1.1359999999999999</v>
          </cell>
          <cell r="L12">
            <v>1.0980000000000001</v>
          </cell>
          <cell r="M12">
            <v>1.01</v>
          </cell>
        </row>
        <row r="13">
          <cell r="B13" t="str">
            <v>ARTNA</v>
          </cell>
          <cell r="C13">
            <v>2.4260000000000002</v>
          </cell>
          <cell r="D13">
            <v>2.2240000000000002</v>
          </cell>
          <cell r="E13">
            <v>2.04</v>
          </cell>
          <cell r="F13">
            <v>1.875</v>
          </cell>
          <cell r="G13">
            <v>2.0409999999999999</v>
          </cell>
          <cell r="H13">
            <v>1.6439999999999999</v>
          </cell>
          <cell r="I13">
            <v>1.915</v>
          </cell>
          <cell r="J13">
            <v>1.841</v>
          </cell>
          <cell r="K13">
            <v>1.6479999999999999</v>
          </cell>
          <cell r="L13">
            <v>1.5649999999999999</v>
          </cell>
          <cell r="M13">
            <v>1.7549999999999999</v>
          </cell>
        </row>
        <row r="14">
          <cell r="B14" t="str">
            <v>ATO</v>
          </cell>
          <cell r="C14">
            <v>6.1890000000000001</v>
          </cell>
          <cell r="D14">
            <v>5.8129999999999997</v>
          </cell>
          <cell r="E14">
            <v>5.4169999999999998</v>
          </cell>
          <cell r="F14">
            <v>5.1390000000000002</v>
          </cell>
          <cell r="G14">
            <v>4.7619999999999996</v>
          </cell>
          <cell r="H14">
            <v>4.7220000000000004</v>
          </cell>
          <cell r="I14">
            <v>4.6379999999999999</v>
          </cell>
          <cell r="J14">
            <v>4.2880000000000003</v>
          </cell>
          <cell r="K14">
            <v>4.1929999999999996</v>
          </cell>
          <cell r="L14">
            <v>4.1349999999999998</v>
          </cell>
          <cell r="M14">
            <v>4.2560000000000002</v>
          </cell>
        </row>
        <row r="15">
          <cell r="B15" t="str">
            <v>AGR</v>
          </cell>
          <cell r="C15">
            <v>4.7380000000000004</v>
          </cell>
          <cell r="D15">
            <v>3.1150000000000002</v>
          </cell>
          <cell r="E15" t="str">
            <v>N/A</v>
          </cell>
          <cell r="F15" t="str">
            <v>N/A</v>
          </cell>
          <cell r="G15" t="str">
            <v>N/A</v>
          </cell>
          <cell r="H15" t="str">
            <v>N/A</v>
          </cell>
          <cell r="I15" t="str">
            <v>N/A</v>
          </cell>
          <cell r="J15" t="str">
            <v>N/A</v>
          </cell>
          <cell r="K15" t="str">
            <v>N/A</v>
          </cell>
          <cell r="L15" t="str">
            <v>N/A</v>
          </cell>
          <cell r="M15" t="str">
            <v>N/A</v>
          </cell>
        </row>
        <row r="16">
          <cell r="B16" t="str">
            <v>AVA</v>
          </cell>
          <cell r="C16">
            <v>5.2949999999999999</v>
          </cell>
          <cell r="D16">
            <v>4.923</v>
          </cell>
          <cell r="E16">
            <v>4.3559999999999999</v>
          </cell>
          <cell r="F16">
            <v>4.3600000000000003</v>
          </cell>
          <cell r="G16">
            <v>3.7010000000000001</v>
          </cell>
          <cell r="H16">
            <v>3.7810000000000001</v>
          </cell>
          <cell r="I16">
            <v>3.6219999999999999</v>
          </cell>
          <cell r="J16">
            <v>4.4470000000000001</v>
          </cell>
          <cell r="K16">
            <v>3.9780000000000002</v>
          </cell>
          <cell r="L16">
            <v>2.931</v>
          </cell>
          <cell r="M16">
            <v>4.2709999999999999</v>
          </cell>
        </row>
        <row r="17">
          <cell r="B17" t="str">
            <v>BKH</v>
          </cell>
          <cell r="C17">
            <v>6.2850000000000001</v>
          </cell>
          <cell r="D17">
            <v>5.665</v>
          </cell>
          <cell r="E17">
            <v>6.2450000000000001</v>
          </cell>
          <cell r="F17">
            <v>5.9290000000000003</v>
          </cell>
          <cell r="G17">
            <v>5.59</v>
          </cell>
          <cell r="H17">
            <v>4.0060000000000002</v>
          </cell>
          <cell r="I17">
            <v>4.8760000000000003</v>
          </cell>
          <cell r="J17">
            <v>5.4130000000000003</v>
          </cell>
          <cell r="K17">
            <v>2.9529999999999998</v>
          </cell>
          <cell r="L17">
            <v>5.2869999999999999</v>
          </cell>
          <cell r="M17">
            <v>5.0380000000000003</v>
          </cell>
        </row>
        <row r="18">
          <cell r="B18" t="str">
            <v>CWT</v>
          </cell>
          <cell r="C18">
            <v>2.3410000000000002</v>
          </cell>
          <cell r="D18">
            <v>2.2200000000000002</v>
          </cell>
          <cell r="E18">
            <v>2.4670000000000001</v>
          </cell>
          <cell r="F18">
            <v>2.2109999999999999</v>
          </cell>
          <cell r="G18">
            <v>2.3180000000000001</v>
          </cell>
          <cell r="H18">
            <v>2.0680000000000001</v>
          </cell>
          <cell r="I18">
            <v>1.9319999999999999</v>
          </cell>
          <cell r="J18">
            <v>1.9339999999999999</v>
          </cell>
          <cell r="K18">
            <v>1.861</v>
          </cell>
          <cell r="L18">
            <v>1.5620000000000001</v>
          </cell>
          <cell r="M18">
            <v>1.357</v>
          </cell>
        </row>
        <row r="19">
          <cell r="B19" t="str">
            <v>CNP</v>
          </cell>
          <cell r="C19">
            <v>3.6779999999999999</v>
          </cell>
          <cell r="D19">
            <v>3.4</v>
          </cell>
          <cell r="E19">
            <v>3.851</v>
          </cell>
          <cell r="F19">
            <v>3.5430000000000001</v>
          </cell>
          <cell r="G19">
            <v>3.891</v>
          </cell>
          <cell r="H19">
            <v>3.4319999999999999</v>
          </cell>
          <cell r="I19">
            <v>3.1389999999999998</v>
          </cell>
          <cell r="J19">
            <v>2.9409999999999998</v>
          </cell>
          <cell r="K19">
            <v>3.4180000000000001</v>
          </cell>
          <cell r="L19">
            <v>3.3929999999999998</v>
          </cell>
          <cell r="M19">
            <v>3.4660000000000002</v>
          </cell>
        </row>
        <row r="20">
          <cell r="B20" t="str">
            <v>CPK</v>
          </cell>
          <cell r="C20">
            <v>5.1630000000000003</v>
          </cell>
          <cell r="D20">
            <v>5.0519999999999996</v>
          </cell>
          <cell r="E20">
            <v>4.7290000000000001</v>
          </cell>
          <cell r="F20">
            <v>4.3490000000000002</v>
          </cell>
          <cell r="G20">
            <v>3.9540000000000002</v>
          </cell>
          <cell r="H20">
            <v>3.6859999999999999</v>
          </cell>
          <cell r="I20">
            <v>3.496</v>
          </cell>
          <cell r="J20">
            <v>2.1480000000000001</v>
          </cell>
          <cell r="K20">
            <v>2.5</v>
          </cell>
          <cell r="L20">
            <v>2.52</v>
          </cell>
          <cell r="M20">
            <v>2.1779999999999999</v>
          </cell>
        </row>
        <row r="21">
          <cell r="B21" t="str">
            <v>CMS</v>
          </cell>
          <cell r="C21">
            <v>4.8780000000000001</v>
          </cell>
          <cell r="D21">
            <v>4.593</v>
          </cell>
          <cell r="E21">
            <v>4.2220000000000004</v>
          </cell>
          <cell r="F21">
            <v>4.0590000000000002</v>
          </cell>
          <cell r="G21">
            <v>3.8210000000000002</v>
          </cell>
          <cell r="H21">
            <v>3.6520000000000001</v>
          </cell>
          <cell r="I21">
            <v>3.702</v>
          </cell>
          <cell r="J21">
            <v>3.4670000000000001</v>
          </cell>
          <cell r="K21">
            <v>3.8780000000000001</v>
          </cell>
          <cell r="L21">
            <v>3.0819999999999999</v>
          </cell>
          <cell r="M21">
            <v>3.2229999999999999</v>
          </cell>
        </row>
        <row r="22">
          <cell r="B22" t="str">
            <v>CTWS</v>
          </cell>
          <cell r="C22">
            <v>3.3119999999999998</v>
          </cell>
          <cell r="D22">
            <v>3.18</v>
          </cell>
          <cell r="E22">
            <v>2.972</v>
          </cell>
          <cell r="F22">
            <v>2.629</v>
          </cell>
          <cell r="G22">
            <v>2.6429999999999998</v>
          </cell>
          <cell r="H22">
            <v>2.105</v>
          </cell>
          <cell r="I22">
            <v>2.0390000000000001</v>
          </cell>
          <cell r="J22">
            <v>1.9330000000000001</v>
          </cell>
          <cell r="K22">
            <v>1.946</v>
          </cell>
          <cell r="L22">
            <v>1.899</v>
          </cell>
          <cell r="M22">
            <v>1.518</v>
          </cell>
        </row>
        <row r="23">
          <cell r="B23" t="str">
            <v>ED</v>
          </cell>
          <cell r="C23">
            <v>7.8849999999999998</v>
          </cell>
          <cell r="D23">
            <v>7.9279999999999999</v>
          </cell>
          <cell r="E23">
            <v>7.2969999999999997</v>
          </cell>
          <cell r="F23">
            <v>7.4470000000000001</v>
          </cell>
          <cell r="G23">
            <v>7.1459999999999999</v>
          </cell>
          <cell r="H23">
            <v>6.6070000000000002</v>
          </cell>
          <cell r="I23">
            <v>6.2450000000000001</v>
          </cell>
          <cell r="J23">
            <v>5.8620000000000001</v>
          </cell>
          <cell r="K23">
            <v>5.9880000000000004</v>
          </cell>
          <cell r="L23">
            <v>5.7720000000000002</v>
          </cell>
          <cell r="M23">
            <v>5.2789999999999999</v>
          </cell>
        </row>
        <row r="24">
          <cell r="B24" t="str">
            <v>CWCO</v>
          </cell>
          <cell r="C24">
            <v>0.95399999999999996</v>
          </cell>
          <cell r="D24">
            <v>0.89100000000000001</v>
          </cell>
          <cell r="E24">
            <v>0.8</v>
          </cell>
          <cell r="F24">
            <v>0.95699999999999996</v>
          </cell>
          <cell r="G24">
            <v>1.167</v>
          </cell>
          <cell r="H24">
            <v>0.83099999999999996</v>
          </cell>
          <cell r="I24">
            <v>0.86399999999999999</v>
          </cell>
          <cell r="J24">
            <v>1.18</v>
          </cell>
          <cell r="K24">
            <v>0.94899999999999995</v>
          </cell>
          <cell r="L24">
            <v>1.202</v>
          </cell>
          <cell r="M24">
            <v>0.87</v>
          </cell>
        </row>
        <row r="25">
          <cell r="B25" t="str">
            <v>DGAS</v>
          </cell>
          <cell r="C25">
            <v>1.718</v>
          </cell>
          <cell r="D25">
            <v>1.8660000000000001</v>
          </cell>
          <cell r="E25">
            <v>2.117</v>
          </cell>
          <cell r="F25">
            <v>1.9359999999999999</v>
          </cell>
          <cell r="G25">
            <v>1.7210000000000001</v>
          </cell>
          <cell r="H25">
            <v>1.7110000000000001</v>
          </cell>
          <cell r="I25">
            <v>1.514</v>
          </cell>
          <cell r="J25">
            <v>1.4430000000000001</v>
          </cell>
          <cell r="K25">
            <v>1.7430000000000001</v>
          </cell>
          <cell r="L25">
            <v>1.595</v>
          </cell>
          <cell r="M25">
            <v>1.47</v>
          </cell>
        </row>
        <row r="26">
          <cell r="B26" t="str">
            <v>D</v>
          </cell>
          <cell r="C26">
            <v>6.327</v>
          </cell>
          <cell r="D26">
            <v>5.984</v>
          </cell>
          <cell r="E26">
            <v>5.71</v>
          </cell>
          <cell r="F26">
            <v>5.4669999999999996</v>
          </cell>
          <cell r="G26">
            <v>5.2439999999999998</v>
          </cell>
          <cell r="H26">
            <v>5.0449999999999999</v>
          </cell>
          <cell r="I26">
            <v>5.1050000000000004</v>
          </cell>
          <cell r="J26">
            <v>4.8159999999999998</v>
          </cell>
          <cell r="K26">
            <v>5.0670000000000002</v>
          </cell>
          <cell r="L26">
            <v>5.0810000000000004</v>
          </cell>
          <cell r="M26">
            <v>4.91</v>
          </cell>
        </row>
        <row r="27">
          <cell r="B27" t="str">
            <v>DTE</v>
          </cell>
          <cell r="C27">
            <v>10.6</v>
          </cell>
          <cell r="D27">
            <v>9.4390000000000001</v>
          </cell>
          <cell r="E27">
            <v>11.853999999999999</v>
          </cell>
          <cell r="F27">
            <v>10.125</v>
          </cell>
          <cell r="G27">
            <v>9.7710000000000008</v>
          </cell>
          <cell r="H27">
            <v>9.5660000000000007</v>
          </cell>
          <cell r="I27">
            <v>9.7799999999999994</v>
          </cell>
          <cell r="J27">
            <v>9.3829999999999991</v>
          </cell>
          <cell r="K27">
            <v>8.2569999999999997</v>
          </cell>
          <cell r="L27">
            <v>8.4849999999999994</v>
          </cell>
          <cell r="M27">
            <v>8.1910000000000007</v>
          </cell>
        </row>
        <row r="28">
          <cell r="B28" t="str">
            <v>DUK</v>
          </cell>
          <cell r="C28">
            <v>9.1999999999999993</v>
          </cell>
          <cell r="D28">
            <v>9.4</v>
          </cell>
          <cell r="E28">
            <v>9.11</v>
          </cell>
          <cell r="F28">
            <v>8.5579999999999998</v>
          </cell>
          <cell r="G28">
            <v>6.798</v>
          </cell>
          <cell r="H28">
            <v>8.68</v>
          </cell>
          <cell r="I28">
            <v>8.4860000000000007</v>
          </cell>
          <cell r="J28">
            <v>7.58</v>
          </cell>
          <cell r="K28">
            <v>7.343</v>
          </cell>
          <cell r="L28">
            <v>8.1069999999999993</v>
          </cell>
          <cell r="M28">
            <v>7.8650000000000002</v>
          </cell>
        </row>
        <row r="29">
          <cell r="B29" t="str">
            <v>EIX</v>
          </cell>
          <cell r="C29">
            <v>10.426</v>
          </cell>
          <cell r="D29">
            <v>10.35</v>
          </cell>
          <cell r="E29">
            <v>9.9510000000000005</v>
          </cell>
          <cell r="F29">
            <v>8.7970000000000006</v>
          </cell>
          <cell r="G29">
            <v>9.6280000000000001</v>
          </cell>
          <cell r="H29">
            <v>9.0299999999999994</v>
          </cell>
          <cell r="I29">
            <v>8.4130000000000003</v>
          </cell>
          <cell r="J29">
            <v>7.9649999999999999</v>
          </cell>
          <cell r="K29">
            <v>8.0839999999999996</v>
          </cell>
          <cell r="L29">
            <v>7.5960000000000001</v>
          </cell>
          <cell r="M29">
            <v>7.2530000000000001</v>
          </cell>
        </row>
        <row r="30">
          <cell r="B30" t="str">
            <v>EE</v>
          </cell>
          <cell r="C30">
            <v>5.976</v>
          </cell>
          <cell r="D30">
            <v>5.75</v>
          </cell>
          <cell r="E30">
            <v>5.8730000000000002</v>
          </cell>
          <cell r="F30">
            <v>5.6449999999999996</v>
          </cell>
          <cell r="G30">
            <v>5.6609999999999996</v>
          </cell>
          <cell r="H30">
            <v>6.05</v>
          </cell>
          <cell r="I30">
            <v>5.1529999999999996</v>
          </cell>
          <cell r="J30">
            <v>4.0670000000000002</v>
          </cell>
          <cell r="K30">
            <v>4.1589999999999998</v>
          </cell>
          <cell r="L30">
            <v>3.8650000000000002</v>
          </cell>
          <cell r="M30">
            <v>3.4390000000000001</v>
          </cell>
        </row>
        <row r="31">
          <cell r="B31" t="str">
            <v>EDE</v>
          </cell>
          <cell r="C31" t="str">
            <v>N/A</v>
          </cell>
          <cell r="D31">
            <v>3.3180000000000001</v>
          </cell>
          <cell r="E31">
            <v>3.4470000000000001</v>
          </cell>
          <cell r="F31">
            <v>3.14</v>
          </cell>
          <cell r="G31">
            <v>2.9860000000000002</v>
          </cell>
          <cell r="H31">
            <v>3.2090000000000001</v>
          </cell>
          <cell r="I31">
            <v>2.8490000000000002</v>
          </cell>
          <cell r="J31">
            <v>2.7170000000000001</v>
          </cell>
          <cell r="K31">
            <v>2.907</v>
          </cell>
          <cell r="L31">
            <v>2.6930000000000001</v>
          </cell>
          <cell r="M31">
            <v>2.7480000000000002</v>
          </cell>
        </row>
        <row r="32">
          <cell r="B32" t="str">
            <v>ETR</v>
          </cell>
          <cell r="C32">
            <v>18.724</v>
          </cell>
          <cell r="D32">
            <v>17.706</v>
          </cell>
          <cell r="E32">
            <v>17.675999999999998</v>
          </cell>
          <cell r="F32">
            <v>16.245999999999999</v>
          </cell>
          <cell r="G32">
            <v>15.978999999999999</v>
          </cell>
          <cell r="H32">
            <v>17.532</v>
          </cell>
          <cell r="I32">
            <v>16.535</v>
          </cell>
          <cell r="J32">
            <v>13.288</v>
          </cell>
          <cell r="K32">
            <v>12.89</v>
          </cell>
          <cell r="L32">
            <v>11.731999999999999</v>
          </cell>
          <cell r="M32">
            <v>10.693</v>
          </cell>
        </row>
        <row r="33">
          <cell r="B33" t="str">
            <v>ES</v>
          </cell>
          <cell r="C33">
            <v>5.4580000000000002</v>
          </cell>
          <cell r="D33">
            <v>4.9390000000000001</v>
          </cell>
          <cell r="E33">
            <v>4.5579999999999998</v>
          </cell>
          <cell r="F33">
            <v>5.22</v>
          </cell>
          <cell r="G33">
            <v>4.0339999999999998</v>
          </cell>
          <cell r="H33">
            <v>4.8760000000000003</v>
          </cell>
          <cell r="I33">
            <v>5.6760000000000002</v>
          </cell>
          <cell r="J33">
            <v>4.9589999999999996</v>
          </cell>
          <cell r="K33">
            <v>6.1630000000000003</v>
          </cell>
          <cell r="L33">
            <v>4.82</v>
          </cell>
          <cell r="M33">
            <v>3.6890000000000001</v>
          </cell>
        </row>
        <row r="34">
          <cell r="B34" t="str">
            <v>EXC</v>
          </cell>
          <cell r="C34">
            <v>7.0049999999999999</v>
          </cell>
          <cell r="D34">
            <v>6.8010000000000002</v>
          </cell>
          <cell r="E34">
            <v>6.6070000000000002</v>
          </cell>
          <cell r="F34">
            <v>6.7249999999999996</v>
          </cell>
          <cell r="G34">
            <v>6.6059999999999999</v>
          </cell>
          <cell r="H34">
            <v>7.234</v>
          </cell>
          <cell r="I34">
            <v>8.3190000000000008</v>
          </cell>
          <cell r="J34">
            <v>8.2469999999999999</v>
          </cell>
          <cell r="K34">
            <v>7.6349999999999998</v>
          </cell>
          <cell r="L34">
            <v>7.4279999999999999</v>
          </cell>
          <cell r="M34">
            <v>6.7149999999999999</v>
          </cell>
        </row>
        <row r="35">
          <cell r="B35" t="str">
            <v>FE</v>
          </cell>
          <cell r="C35">
            <v>6.5309999999999997</v>
          </cell>
          <cell r="D35">
            <v>6.327</v>
          </cell>
          <cell r="E35">
            <v>4.55</v>
          </cell>
          <cell r="F35">
            <v>6.3019999999999996</v>
          </cell>
          <cell r="G35">
            <v>6.0540000000000003</v>
          </cell>
          <cell r="H35">
            <v>5.7460000000000004</v>
          </cell>
          <cell r="I35">
            <v>8.5030000000000001</v>
          </cell>
          <cell r="J35">
            <v>8.798</v>
          </cell>
          <cell r="K35">
            <v>9.0410000000000004</v>
          </cell>
          <cell r="L35">
            <v>8.3420000000000005</v>
          </cell>
          <cell r="M35">
            <v>7.2210000000000001</v>
          </cell>
        </row>
        <row r="36">
          <cell r="B36" t="str">
            <v>FTS.TO</v>
          </cell>
          <cell r="C36">
            <v>3.9049999999999998</v>
          </cell>
          <cell r="D36">
            <v>5.2140000000000004</v>
          </cell>
          <cell r="E36">
            <v>3.6230000000000002</v>
          </cell>
          <cell r="F36">
            <v>4.1050000000000004</v>
          </cell>
          <cell r="G36">
            <v>4.1029999999999998</v>
          </cell>
          <cell r="H36">
            <v>3.903</v>
          </cell>
          <cell r="I36">
            <v>3.9849999999999999</v>
          </cell>
          <cell r="J36">
            <v>3.6549999999999998</v>
          </cell>
          <cell r="K36">
            <v>3.5049999999999999</v>
          </cell>
          <cell r="L36">
            <v>2.9630000000000001</v>
          </cell>
          <cell r="M36">
            <v>3.0449999999999999</v>
          </cell>
        </row>
        <row r="37">
          <cell r="B37" t="str">
            <v>EGAS</v>
          </cell>
          <cell r="C37">
            <v>0.81399999999999995</v>
          </cell>
          <cell r="D37">
            <v>0.86299999999999999</v>
          </cell>
          <cell r="E37">
            <v>0.88800000000000001</v>
          </cell>
          <cell r="F37">
            <v>1.2769999999999999</v>
          </cell>
          <cell r="G37">
            <v>1.1000000000000001</v>
          </cell>
          <cell r="H37">
            <v>1.224</v>
          </cell>
          <cell r="I37">
            <v>1.2170000000000001</v>
          </cell>
          <cell r="J37">
            <v>2.0710000000000002</v>
          </cell>
          <cell r="K37">
            <v>1.19</v>
          </cell>
          <cell r="L37">
            <v>0.92100000000000004</v>
          </cell>
          <cell r="M37">
            <v>1.0229999999999999</v>
          </cell>
        </row>
        <row r="38">
          <cell r="B38" t="str">
            <v>GXP</v>
          </cell>
          <cell r="C38">
            <v>3.355</v>
          </cell>
          <cell r="D38">
            <v>3.9820000000000002</v>
          </cell>
          <cell r="E38">
            <v>4.0090000000000003</v>
          </cell>
          <cell r="F38">
            <v>4.0090000000000003</v>
          </cell>
          <cell r="G38">
            <v>3.4449999999999998</v>
          </cell>
          <cell r="H38">
            <v>3.51</v>
          </cell>
          <cell r="I38">
            <v>4.12</v>
          </cell>
          <cell r="J38">
            <v>3.2650000000000001</v>
          </cell>
          <cell r="K38">
            <v>3.093</v>
          </cell>
          <cell r="L38">
            <v>4.24</v>
          </cell>
          <cell r="M38">
            <v>3.86</v>
          </cell>
        </row>
        <row r="39">
          <cell r="B39" t="str">
            <v>HE</v>
          </cell>
          <cell r="C39">
            <v>4.1719999999999997</v>
          </cell>
          <cell r="D39">
            <v>3.3079999999999998</v>
          </cell>
          <cell r="E39">
            <v>3.4079999999999999</v>
          </cell>
          <cell r="F39">
            <v>3.222</v>
          </cell>
          <cell r="G39">
            <v>3.282</v>
          </cell>
          <cell r="H39">
            <v>3.1829999999999998</v>
          </cell>
          <cell r="I39">
            <v>2.88</v>
          </cell>
          <cell r="J39">
            <v>2.5910000000000002</v>
          </cell>
          <cell r="K39">
            <v>2.722</v>
          </cell>
          <cell r="L39">
            <v>3.0139999999999998</v>
          </cell>
          <cell r="M39">
            <v>3.1909999999999998</v>
          </cell>
        </row>
        <row r="40">
          <cell r="B40" t="str">
            <v>IDA</v>
          </cell>
          <cell r="C40">
            <v>6.8570000000000002</v>
          </cell>
          <cell r="D40">
            <v>6.7</v>
          </cell>
          <cell r="E40">
            <v>6.5759999999999996</v>
          </cell>
          <cell r="F40">
            <v>6.2949999999999999</v>
          </cell>
          <cell r="G40">
            <v>5.9320000000000004</v>
          </cell>
          <cell r="H40">
            <v>5.8360000000000003</v>
          </cell>
          <cell r="I40">
            <v>5.35</v>
          </cell>
          <cell r="J40">
            <v>5.0730000000000004</v>
          </cell>
          <cell r="K40">
            <v>4.2729999999999997</v>
          </cell>
          <cell r="L40">
            <v>4.1130000000000004</v>
          </cell>
          <cell r="M40">
            <v>4.5819999999999999</v>
          </cell>
        </row>
        <row r="41">
          <cell r="B41" t="str">
            <v>MGEE</v>
          </cell>
          <cell r="C41">
            <v>3.4670000000000001</v>
          </cell>
          <cell r="D41">
            <v>3.3340000000000001</v>
          </cell>
          <cell r="E41">
            <v>3.4910000000000001</v>
          </cell>
          <cell r="F41">
            <v>3.2810000000000001</v>
          </cell>
          <cell r="G41">
            <v>2.9750000000000001</v>
          </cell>
          <cell r="H41">
            <v>2.9380000000000002</v>
          </cell>
          <cell r="I41">
            <v>2.7589999999999999</v>
          </cell>
          <cell r="J41">
            <v>2.6560000000000001</v>
          </cell>
          <cell r="K41">
            <v>2.6789999999999998</v>
          </cell>
          <cell r="L41">
            <v>2.4609999999999999</v>
          </cell>
          <cell r="M41">
            <v>2.3439999999999999</v>
          </cell>
        </row>
        <row r="42">
          <cell r="B42" t="str">
            <v>MSEX</v>
          </cell>
          <cell r="C42">
            <v>2.1720000000000002</v>
          </cell>
          <cell r="D42">
            <v>1.968</v>
          </cell>
          <cell r="E42">
            <v>1.8440000000000001</v>
          </cell>
          <cell r="F42">
            <v>1.718</v>
          </cell>
          <cell r="G42">
            <v>1.5549999999999999</v>
          </cell>
          <cell r="H42">
            <v>1.464</v>
          </cell>
          <cell r="I42">
            <v>1.5469999999999999</v>
          </cell>
          <cell r="J42">
            <v>1.4039999999999999</v>
          </cell>
          <cell r="K42">
            <v>1.5309999999999999</v>
          </cell>
          <cell r="L42">
            <v>1.4930000000000001</v>
          </cell>
          <cell r="M42">
            <v>1.333</v>
          </cell>
        </row>
        <row r="43">
          <cell r="B43" t="str">
            <v>NJR</v>
          </cell>
          <cell r="C43">
            <v>2.4550000000000001</v>
          </cell>
          <cell r="D43">
            <v>2.5249999999999999</v>
          </cell>
          <cell r="E43">
            <v>2.7269999999999999</v>
          </cell>
          <cell r="F43">
            <v>1.9330000000000001</v>
          </cell>
          <cell r="G43">
            <v>1.855</v>
          </cell>
          <cell r="H43">
            <v>1.7</v>
          </cell>
          <cell r="I43">
            <v>1.6279999999999999</v>
          </cell>
          <cell r="J43">
            <v>1.579</v>
          </cell>
          <cell r="K43">
            <v>1.8109999999999999</v>
          </cell>
          <cell r="L43">
            <v>1.22</v>
          </cell>
          <cell r="M43">
            <v>1.367</v>
          </cell>
        </row>
        <row r="44">
          <cell r="B44" t="str">
            <v>NEE</v>
          </cell>
          <cell r="C44">
            <v>12.97</v>
          </cell>
          <cell r="D44">
            <v>12.917999999999999</v>
          </cell>
          <cell r="E44">
            <v>12.102</v>
          </cell>
          <cell r="F44">
            <v>10.536</v>
          </cell>
          <cell r="G44">
            <v>8.6859999999999999</v>
          </cell>
          <cell r="H44">
            <v>9.2910000000000004</v>
          </cell>
          <cell r="I44">
            <v>9.6210000000000004</v>
          </cell>
          <cell r="J44">
            <v>8.75</v>
          </cell>
          <cell r="K44">
            <v>8.0259999999999998</v>
          </cell>
          <cell r="L44">
            <v>6.8520000000000003</v>
          </cell>
          <cell r="M44">
            <v>6.7690000000000001</v>
          </cell>
        </row>
        <row r="45">
          <cell r="B45" t="str">
            <v>NI</v>
          </cell>
          <cell r="C45">
            <v>2.7080000000000002</v>
          </cell>
          <cell r="D45">
            <v>2.266</v>
          </cell>
          <cell r="E45">
            <v>3.5950000000000002</v>
          </cell>
          <cell r="F45">
            <v>3.4049999999999998</v>
          </cell>
          <cell r="G45">
            <v>3.1339999999999999</v>
          </cell>
          <cell r="H45">
            <v>2.984</v>
          </cell>
          <cell r="I45">
            <v>3.19</v>
          </cell>
          <cell r="J45">
            <v>2.9630000000000001</v>
          </cell>
          <cell r="K45">
            <v>3.3180000000000001</v>
          </cell>
          <cell r="L45">
            <v>3.2040000000000002</v>
          </cell>
          <cell r="M45">
            <v>3.181</v>
          </cell>
        </row>
        <row r="46">
          <cell r="B46" t="str">
            <v>NWN</v>
          </cell>
          <cell r="C46">
            <v>4.931</v>
          </cell>
          <cell r="D46">
            <v>4.9089999999999998</v>
          </cell>
          <cell r="E46">
            <v>5.0540000000000003</v>
          </cell>
          <cell r="F46">
            <v>5.0389999999999997</v>
          </cell>
          <cell r="G46">
            <v>4.9359999999999999</v>
          </cell>
          <cell r="H46">
            <v>5.0049999999999999</v>
          </cell>
          <cell r="I46">
            <v>5.1849999999999996</v>
          </cell>
          <cell r="J46">
            <v>5.1989999999999998</v>
          </cell>
          <cell r="K46">
            <v>5.3070000000000004</v>
          </cell>
          <cell r="L46">
            <v>5.4089999999999998</v>
          </cell>
          <cell r="M46">
            <v>4.76</v>
          </cell>
        </row>
        <row r="47">
          <cell r="B47" t="str">
            <v>NWE</v>
          </cell>
          <cell r="C47">
            <v>6.7370000000000001</v>
          </cell>
          <cell r="D47">
            <v>5.9240000000000004</v>
          </cell>
          <cell r="E47">
            <v>5.3879999999999999</v>
          </cell>
          <cell r="F47">
            <v>5.452</v>
          </cell>
          <cell r="G47">
            <v>5.1820000000000004</v>
          </cell>
          <cell r="H47">
            <v>5.4210000000000003</v>
          </cell>
          <cell r="I47">
            <v>4.7640000000000002</v>
          </cell>
          <cell r="J47">
            <v>4.6180000000000003</v>
          </cell>
          <cell r="K47">
            <v>4.4029999999999996</v>
          </cell>
          <cell r="L47">
            <v>3.7040000000000002</v>
          </cell>
          <cell r="M47">
            <v>3.6190000000000002</v>
          </cell>
        </row>
        <row r="48">
          <cell r="B48" t="str">
            <v>OGE</v>
          </cell>
          <cell r="C48">
            <v>3.3090000000000002</v>
          </cell>
          <cell r="D48">
            <v>3.2320000000000002</v>
          </cell>
          <cell r="E48">
            <v>3.3959999999999999</v>
          </cell>
          <cell r="F48">
            <v>3.4569999999999999</v>
          </cell>
          <cell r="G48">
            <v>3.6930000000000001</v>
          </cell>
          <cell r="H48">
            <v>3.3130000000000002</v>
          </cell>
          <cell r="I48">
            <v>3.0110000000000001</v>
          </cell>
          <cell r="J48">
            <v>2.6850000000000001</v>
          </cell>
          <cell r="K48">
            <v>2.4009999999999998</v>
          </cell>
          <cell r="L48">
            <v>2.3940000000000001</v>
          </cell>
          <cell r="M48">
            <v>2.234</v>
          </cell>
        </row>
        <row r="49">
          <cell r="B49" t="str">
            <v>OGS</v>
          </cell>
          <cell r="C49">
            <v>5.431</v>
          </cell>
          <cell r="D49">
            <v>4.8230000000000004</v>
          </cell>
          <cell r="E49">
            <v>4.5220000000000002</v>
          </cell>
        </row>
        <row r="50">
          <cell r="B50" t="str">
            <v>OTTR</v>
          </cell>
          <cell r="C50">
            <v>3.4430000000000001</v>
          </cell>
          <cell r="D50">
            <v>3.1419999999999999</v>
          </cell>
          <cell r="E50">
            <v>3.089</v>
          </cell>
          <cell r="F50">
            <v>3.02</v>
          </cell>
          <cell r="G50">
            <v>2.7090000000000001</v>
          </cell>
          <cell r="H50">
            <v>2.3639999999999999</v>
          </cell>
          <cell r="I50">
            <v>2.5960000000000001</v>
          </cell>
          <cell r="J50">
            <v>2.762</v>
          </cell>
          <cell r="K50">
            <v>2.8109999999999999</v>
          </cell>
          <cell r="L50">
            <v>3.5529999999999999</v>
          </cell>
          <cell r="M50">
            <v>3.387</v>
          </cell>
        </row>
        <row r="51">
          <cell r="B51" t="str">
            <v>PCG</v>
          </cell>
          <cell r="C51">
            <v>8.2309999999999999</v>
          </cell>
          <cell r="D51">
            <v>7.2880000000000003</v>
          </cell>
          <cell r="E51">
            <v>8.1300000000000008</v>
          </cell>
          <cell r="F51">
            <v>6.3310000000000004</v>
          </cell>
          <cell r="G51">
            <v>7.3159999999999998</v>
          </cell>
          <cell r="H51">
            <v>8.0850000000000009</v>
          </cell>
          <cell r="I51">
            <v>8.2230000000000008</v>
          </cell>
          <cell r="J51">
            <v>8.3670000000000009</v>
          </cell>
          <cell r="K51">
            <v>8.4390000000000001</v>
          </cell>
          <cell r="L51">
            <v>8.02</v>
          </cell>
          <cell r="M51">
            <v>7.7560000000000002</v>
          </cell>
        </row>
        <row r="52">
          <cell r="B52" t="str">
            <v>PNW</v>
          </cell>
          <cell r="C52">
            <v>9.3879999999999999</v>
          </cell>
          <cell r="D52">
            <v>9.0909999999999993</v>
          </cell>
          <cell r="E52">
            <v>8.0860000000000003</v>
          </cell>
          <cell r="F52">
            <v>8.1539999999999999</v>
          </cell>
          <cell r="G52">
            <v>7.915</v>
          </cell>
          <cell r="H52">
            <v>7.524</v>
          </cell>
          <cell r="I52">
            <v>6.8490000000000002</v>
          </cell>
          <cell r="J52">
            <v>8.0779999999999994</v>
          </cell>
          <cell r="K52">
            <v>8.1340000000000003</v>
          </cell>
          <cell r="L52">
            <v>9.2929999999999993</v>
          </cell>
          <cell r="M52">
            <v>9.6959999999999997</v>
          </cell>
        </row>
        <row r="53">
          <cell r="B53" t="str">
            <v>PNM</v>
          </cell>
          <cell r="C53">
            <v>4.2809999999999997</v>
          </cell>
          <cell r="D53">
            <v>3.9780000000000002</v>
          </cell>
          <cell r="E53">
            <v>3.62</v>
          </cell>
          <cell r="F53">
            <v>3.5129999999999999</v>
          </cell>
          <cell r="G53">
            <v>3.38</v>
          </cell>
          <cell r="H53">
            <v>3.1779999999999999</v>
          </cell>
          <cell r="I53">
            <v>2.6669999999999998</v>
          </cell>
          <cell r="J53">
            <v>2.3180000000000001</v>
          </cell>
          <cell r="K53">
            <v>1.756</v>
          </cell>
          <cell r="L53">
            <v>2.5390000000000001</v>
          </cell>
          <cell r="M53">
            <v>3.573</v>
          </cell>
        </row>
        <row r="54">
          <cell r="B54" t="str">
            <v>POR</v>
          </cell>
          <cell r="C54">
            <v>5.7789999999999999</v>
          </cell>
          <cell r="D54">
            <v>5.3719999999999999</v>
          </cell>
          <cell r="E54">
            <v>6.085</v>
          </cell>
          <cell r="F54">
            <v>4.93</v>
          </cell>
          <cell r="G54">
            <v>5.1479999999999997</v>
          </cell>
          <cell r="H54">
            <v>4.9630000000000001</v>
          </cell>
          <cell r="I54">
            <v>4.82</v>
          </cell>
          <cell r="J54">
            <v>4.069</v>
          </cell>
          <cell r="K54">
            <v>4.7140000000000004</v>
          </cell>
          <cell r="L54">
            <v>5.2140000000000004</v>
          </cell>
          <cell r="M54">
            <v>4.6399999999999997</v>
          </cell>
        </row>
        <row r="55">
          <cell r="B55" t="str">
            <v>PPL</v>
          </cell>
          <cell r="C55">
            <v>4.2779999999999996</v>
          </cell>
          <cell r="D55">
            <v>3.7770000000000001</v>
          </cell>
          <cell r="E55">
            <v>4.5780000000000003</v>
          </cell>
          <cell r="F55">
            <v>4.6390000000000002</v>
          </cell>
          <cell r="G55">
            <v>4.8419999999999996</v>
          </cell>
          <cell r="H55">
            <v>4.59</v>
          </cell>
          <cell r="I55">
            <v>3.66</v>
          </cell>
          <cell r="J55">
            <v>3.4649999999999999</v>
          </cell>
          <cell r="K55">
            <v>4.7149999999999999</v>
          </cell>
          <cell r="L55">
            <v>5.101</v>
          </cell>
          <cell r="M55">
            <v>4.2590000000000003</v>
          </cell>
        </row>
        <row r="56">
          <cell r="B56" t="str">
            <v>PEG</v>
          </cell>
          <cell r="C56">
            <v>5.0709999999999997</v>
          </cell>
          <cell r="D56">
            <v>6.1470000000000002</v>
          </cell>
          <cell r="E56">
            <v>5.8220000000000001</v>
          </cell>
          <cell r="F56">
            <v>5.165</v>
          </cell>
          <cell r="G56">
            <v>4.875</v>
          </cell>
          <cell r="H56">
            <v>5.36</v>
          </cell>
          <cell r="I56">
            <v>5.2709999999999999</v>
          </cell>
          <cell r="J56">
            <v>4.984</v>
          </cell>
          <cell r="K56">
            <v>4.6779999999999999</v>
          </cell>
          <cell r="L56">
            <v>4.3579999999999997</v>
          </cell>
          <cell r="M56">
            <v>3.907</v>
          </cell>
        </row>
        <row r="57">
          <cell r="B57" t="str">
            <v>RGCO</v>
          </cell>
          <cell r="C57">
            <v>1.6040000000000001</v>
          </cell>
          <cell r="D57">
            <v>2.1749999999999998</v>
          </cell>
          <cell r="E57">
            <v>1.9950000000000001</v>
          </cell>
          <cell r="F57">
            <v>1.8939999999999999</v>
          </cell>
          <cell r="G57">
            <v>1.859</v>
          </cell>
          <cell r="H57">
            <v>1.907</v>
          </cell>
          <cell r="I57">
            <v>1.8480000000000001</v>
          </cell>
          <cell r="J57">
            <v>1.9390000000000001</v>
          </cell>
          <cell r="K57">
            <v>1.988</v>
          </cell>
          <cell r="L57">
            <v>1.845</v>
          </cell>
          <cell r="M57">
            <v>1.8129999999999999</v>
          </cell>
        </row>
        <row r="58">
          <cell r="B58" t="str">
            <v>SCG</v>
          </cell>
          <cell r="C58">
            <v>7.2850000000000001</v>
          </cell>
          <cell r="D58">
            <v>6.7039999999999997</v>
          </cell>
          <cell r="E58">
            <v>6.91</v>
          </cell>
          <cell r="F58">
            <v>6.532</v>
          </cell>
          <cell r="G58">
            <v>6.3029999999999999</v>
          </cell>
          <cell r="H58">
            <v>6.0129999999999999</v>
          </cell>
          <cell r="I58">
            <v>5.9080000000000004</v>
          </cell>
          <cell r="J58">
            <v>5.6349999999999998</v>
          </cell>
          <cell r="K58">
            <v>5.8579999999999997</v>
          </cell>
          <cell r="L58">
            <v>5.734</v>
          </cell>
          <cell r="M58">
            <v>5.6829999999999998</v>
          </cell>
        </row>
        <row r="59">
          <cell r="B59" t="str">
            <v>SRE</v>
          </cell>
          <cell r="C59">
            <v>9.4979999999999993</v>
          </cell>
          <cell r="D59">
            <v>10.321999999999999</v>
          </cell>
          <cell r="E59">
            <v>9.4060000000000006</v>
          </cell>
          <cell r="F59">
            <v>8.8680000000000003</v>
          </cell>
          <cell r="G59">
            <v>8.9239999999999995</v>
          </cell>
          <cell r="H59">
            <v>8.577</v>
          </cell>
          <cell r="I59">
            <v>7.7560000000000002</v>
          </cell>
          <cell r="J59">
            <v>7.9429999999999996</v>
          </cell>
          <cell r="K59">
            <v>7.3979999999999997</v>
          </cell>
          <cell r="L59">
            <v>6.9329999999999998</v>
          </cell>
          <cell r="M59">
            <v>6.7359999999999998</v>
          </cell>
        </row>
        <row r="60">
          <cell r="B60" t="str">
            <v>SJW</v>
          </cell>
          <cell r="C60">
            <v>4.7649999999999997</v>
          </cell>
          <cell r="D60">
            <v>3.8570000000000002</v>
          </cell>
          <cell r="E60">
            <v>4.4219999999999997</v>
          </cell>
          <cell r="F60">
            <v>2.9</v>
          </cell>
          <cell r="G60">
            <v>2.968</v>
          </cell>
          <cell r="H60">
            <v>2.8010000000000002</v>
          </cell>
          <cell r="I60">
            <v>2.3780000000000001</v>
          </cell>
          <cell r="J60">
            <v>2.206</v>
          </cell>
          <cell r="K60">
            <v>2.4359999999999999</v>
          </cell>
          <cell r="L60">
            <v>2.2970000000000002</v>
          </cell>
          <cell r="M60">
            <v>2.3809999999999998</v>
          </cell>
        </row>
        <row r="61">
          <cell r="B61" t="str">
            <v>SJI</v>
          </cell>
          <cell r="C61">
            <v>2.6749999999999998</v>
          </cell>
          <cell r="D61">
            <v>2.4159999999999999</v>
          </cell>
          <cell r="E61">
            <v>2.6709999999999998</v>
          </cell>
          <cell r="F61">
            <v>2.476</v>
          </cell>
          <cell r="G61">
            <v>2.3439999999999999</v>
          </cell>
          <cell r="H61">
            <v>2.23</v>
          </cell>
          <cell r="I61">
            <v>2.1040000000000001</v>
          </cell>
          <cell r="J61">
            <v>1.859</v>
          </cell>
          <cell r="K61">
            <v>1.738</v>
          </cell>
          <cell r="L61">
            <v>1.599</v>
          </cell>
          <cell r="M61">
            <v>1.7529999999999999</v>
          </cell>
        </row>
        <row r="62">
          <cell r="B62" t="str">
            <v>SO</v>
          </cell>
          <cell r="C62">
            <v>5.69</v>
          </cell>
          <cell r="D62">
            <v>5.4710000000000001</v>
          </cell>
          <cell r="E62">
            <v>5.2789999999999999</v>
          </cell>
          <cell r="F62">
            <v>5.266</v>
          </cell>
          <cell r="G62">
            <v>5.18</v>
          </cell>
          <cell r="H62">
            <v>4.9139999999999997</v>
          </cell>
          <cell r="I62">
            <v>4.5129999999999999</v>
          </cell>
          <cell r="J62">
            <v>4.4320000000000004</v>
          </cell>
          <cell r="K62">
            <v>4.4340000000000002</v>
          </cell>
          <cell r="L62">
            <v>4.22</v>
          </cell>
          <cell r="M62">
            <v>4.0129999999999999</v>
          </cell>
        </row>
        <row r="63">
          <cell r="B63" t="str">
            <v>SWX</v>
          </cell>
          <cell r="C63">
            <v>9.2910000000000004</v>
          </cell>
          <cell r="D63">
            <v>8.6210000000000004</v>
          </cell>
          <cell r="E63">
            <v>8.4719999999999995</v>
          </cell>
          <cell r="F63">
            <v>8.2439999999999998</v>
          </cell>
          <cell r="G63">
            <v>7.7309999999999999</v>
          </cell>
          <cell r="H63">
            <v>6.806</v>
          </cell>
          <cell r="I63">
            <v>6.4610000000000003</v>
          </cell>
          <cell r="J63">
            <v>6.1559999999999997</v>
          </cell>
          <cell r="K63">
            <v>5.7629999999999999</v>
          </cell>
          <cell r="L63">
            <v>6.2089999999999996</v>
          </cell>
          <cell r="M63">
            <v>5.9710000000000001</v>
          </cell>
        </row>
        <row r="64">
          <cell r="B64" t="str">
            <v>SR</v>
          </cell>
          <cell r="C64">
            <v>6.1580000000000004</v>
          </cell>
          <cell r="D64">
            <v>6.1539999999999999</v>
          </cell>
          <cell r="E64">
            <v>3.867</v>
          </cell>
          <cell r="F64">
            <v>3.121</v>
          </cell>
          <cell r="G64">
            <v>4.5839999999999996</v>
          </cell>
          <cell r="H64">
            <v>4.6180000000000003</v>
          </cell>
          <cell r="I64">
            <v>4.109</v>
          </cell>
          <cell r="J64">
            <v>4.5570000000000004</v>
          </cell>
          <cell r="K64">
            <v>4.2210000000000001</v>
          </cell>
          <cell r="L64">
            <v>3.8740000000000001</v>
          </cell>
          <cell r="M64">
            <v>3.8090000000000002</v>
          </cell>
        </row>
        <row r="65">
          <cell r="B65" t="str">
            <v>SGU</v>
          </cell>
          <cell r="C65">
            <v>1.2709999999999999</v>
          </cell>
          <cell r="D65">
            <v>1.085</v>
          </cell>
          <cell r="E65">
            <v>1.0009999999999999</v>
          </cell>
          <cell r="F65">
            <v>0.84499999999999997</v>
          </cell>
          <cell r="G65">
            <v>0.71899999999999997</v>
          </cell>
          <cell r="H65">
            <v>0.65</v>
          </cell>
          <cell r="I65">
            <v>0.69699999999999995</v>
          </cell>
          <cell r="J65">
            <v>2.0379999999999998</v>
          </cell>
          <cell r="K65">
            <v>0.20699999999999999</v>
          </cell>
          <cell r="L65">
            <v>0.93100000000000005</v>
          </cell>
          <cell r="M65">
            <v>-0.252</v>
          </cell>
        </row>
        <row r="66">
          <cell r="B66" t="str">
            <v>UGI</v>
          </cell>
          <cell r="C66">
            <v>4.3940000000000001</v>
          </cell>
          <cell r="D66">
            <v>4.2050000000000001</v>
          </cell>
          <cell r="E66">
            <v>4.0529999999999999</v>
          </cell>
          <cell r="F66">
            <v>3.7519999999999998</v>
          </cell>
          <cell r="G66">
            <v>3.0489999999999999</v>
          </cell>
          <cell r="H66">
            <v>2.7469999999999999</v>
          </cell>
          <cell r="I66">
            <v>2.8660000000000001</v>
          </cell>
          <cell r="J66">
            <v>2.8220000000000001</v>
          </cell>
          <cell r="K66">
            <v>2.4820000000000002</v>
          </cell>
          <cell r="L66">
            <v>2.2570000000000001</v>
          </cell>
          <cell r="M66">
            <v>2.0539999999999998</v>
          </cell>
        </row>
        <row r="67">
          <cell r="B67" t="str">
            <v>UTL</v>
          </cell>
          <cell r="C67">
            <v>5.24</v>
          </cell>
          <cell r="D67">
            <v>5.1459999999999999</v>
          </cell>
          <cell r="E67">
            <v>4.8</v>
          </cell>
          <cell r="F67">
            <v>4.2839999999999998</v>
          </cell>
          <cell r="G67">
            <v>3.86</v>
          </cell>
          <cell r="H67">
            <v>4.16</v>
          </cell>
          <cell r="I67">
            <v>3.5230000000000001</v>
          </cell>
          <cell r="J67">
            <v>3.4420000000000002</v>
          </cell>
          <cell r="K67">
            <v>3.6829999999999998</v>
          </cell>
          <cell r="L67">
            <v>4.5990000000000002</v>
          </cell>
          <cell r="M67">
            <v>4.266</v>
          </cell>
        </row>
        <row r="68">
          <cell r="B68" t="str">
            <v>VVC</v>
          </cell>
          <cell r="C68">
            <v>5.6890000000000001</v>
          </cell>
          <cell r="D68">
            <v>5.4779999999999998</v>
          </cell>
          <cell r="E68">
            <v>5.3310000000000004</v>
          </cell>
          <cell r="F68">
            <v>5.0289999999999999</v>
          </cell>
          <cell r="G68">
            <v>5.032</v>
          </cell>
          <cell r="H68">
            <v>4.7119999999999997</v>
          </cell>
          <cell r="I68">
            <v>4.4409999999999998</v>
          </cell>
          <cell r="J68">
            <v>4.4009999999999998</v>
          </cell>
          <cell r="K68">
            <v>3.9649999999999999</v>
          </cell>
          <cell r="L68">
            <v>4.2939999999999996</v>
          </cell>
          <cell r="M68">
            <v>3.694</v>
          </cell>
        </row>
        <row r="69">
          <cell r="B69" t="str">
            <v>WEC</v>
          </cell>
          <cell r="C69">
            <v>5.391</v>
          </cell>
          <cell r="D69">
            <v>3.871</v>
          </cell>
          <cell r="E69">
            <v>4.468</v>
          </cell>
          <cell r="F69">
            <v>4.3259999999999996</v>
          </cell>
          <cell r="G69">
            <v>4.008</v>
          </cell>
          <cell r="H69">
            <v>3.6840000000000002</v>
          </cell>
          <cell r="I69">
            <v>3.302</v>
          </cell>
          <cell r="J69">
            <v>3.1080000000000001</v>
          </cell>
          <cell r="K69">
            <v>2.9550000000000001</v>
          </cell>
          <cell r="L69">
            <v>2.9830000000000001</v>
          </cell>
          <cell r="M69">
            <v>2.8980000000000001</v>
          </cell>
        </row>
        <row r="70">
          <cell r="B70" t="str">
            <v>WR</v>
          </cell>
          <cell r="C70">
            <v>4.8319999999999999</v>
          </cell>
          <cell r="D70">
            <v>4.2629999999999999</v>
          </cell>
          <cell r="E70">
            <v>4.5540000000000003</v>
          </cell>
          <cell r="F70">
            <v>4.4059999999999997</v>
          </cell>
          <cell r="G70">
            <v>4.3</v>
          </cell>
          <cell r="H70">
            <v>3.9649999999999999</v>
          </cell>
          <cell r="I70">
            <v>4.2350000000000003</v>
          </cell>
          <cell r="J70">
            <v>3.593</v>
          </cell>
          <cell r="K70">
            <v>3.1349999999999998</v>
          </cell>
          <cell r="L70">
            <v>3.774</v>
          </cell>
          <cell r="M70">
            <v>3.9420000000000002</v>
          </cell>
        </row>
        <row r="71">
          <cell r="B71" t="str">
            <v>WGL</v>
          </cell>
          <cell r="C71">
            <v>5.7690000000000001</v>
          </cell>
          <cell r="D71">
            <v>5.601</v>
          </cell>
          <cell r="E71">
            <v>4.8</v>
          </cell>
          <cell r="F71">
            <v>4.2869999999999999</v>
          </cell>
          <cell r="G71">
            <v>4.5330000000000004</v>
          </cell>
          <cell r="H71">
            <v>4.0129999999999999</v>
          </cell>
          <cell r="I71">
            <v>4.1109999999999998</v>
          </cell>
          <cell r="J71">
            <v>4.4429999999999996</v>
          </cell>
          <cell r="K71">
            <v>4.3390000000000004</v>
          </cell>
          <cell r="L71">
            <v>3.887</v>
          </cell>
          <cell r="M71">
            <v>3.8410000000000002</v>
          </cell>
        </row>
        <row r="72">
          <cell r="B72" t="str">
            <v>XEL</v>
          </cell>
          <cell r="C72">
            <v>5.0430000000000001</v>
          </cell>
          <cell r="D72">
            <v>4.5570000000000004</v>
          </cell>
          <cell r="E72">
            <v>4.2850000000000001</v>
          </cell>
          <cell r="F72">
            <v>4.101</v>
          </cell>
          <cell r="G72">
            <v>4.0010000000000003</v>
          </cell>
          <cell r="H72">
            <v>3.7850000000000001</v>
          </cell>
          <cell r="I72">
            <v>3.512</v>
          </cell>
          <cell r="J72">
            <v>3.4769999999999999</v>
          </cell>
          <cell r="K72">
            <v>3.5019999999999998</v>
          </cell>
          <cell r="L72">
            <v>3.4540000000000002</v>
          </cell>
          <cell r="M72">
            <v>3.6070000000000002</v>
          </cell>
        </row>
        <row r="73">
          <cell r="B73" t="str">
            <v>YORW</v>
          </cell>
          <cell r="C73" t="str">
            <v>N/A</v>
          </cell>
          <cell r="D73">
            <v>1.4550000000000001</v>
          </cell>
          <cell r="E73">
            <v>1.357</v>
          </cell>
          <cell r="F73">
            <v>1.1859999999999999</v>
          </cell>
          <cell r="G73">
            <v>1.1200000000000001</v>
          </cell>
          <cell r="H73">
            <v>1.0940000000000001</v>
          </cell>
          <cell r="I73">
            <v>1.0649999999999999</v>
          </cell>
          <cell r="J73">
            <v>0.94899999999999995</v>
          </cell>
          <cell r="K73">
            <v>0.88400000000000001</v>
          </cell>
          <cell r="L73">
            <v>0.85599999999999998</v>
          </cell>
          <cell r="M73">
            <v>0.76900000000000002</v>
          </cell>
        </row>
      </sheetData>
      <sheetData sheetId="30">
        <row r="3">
          <cell r="B3" t="str">
            <v>Ticker</v>
          </cell>
          <cell r="C3" t="str">
            <v>EPS2016</v>
          </cell>
          <cell r="D3" t="str">
            <v>EPS2015</v>
          </cell>
          <cell r="E3" t="str">
            <v>EPS2014</v>
          </cell>
          <cell r="F3" t="str">
            <v>EPS2013</v>
          </cell>
          <cell r="G3" t="str">
            <v>EPS2012</v>
          </cell>
          <cell r="H3" t="str">
            <v>EPS2011</v>
          </cell>
          <cell r="I3" t="str">
            <v>EPS2010</v>
          </cell>
          <cell r="J3" t="str">
            <v>EPS2009</v>
          </cell>
          <cell r="K3" t="str">
            <v>EPS2008</v>
          </cell>
          <cell r="L3" t="str">
            <v>EPS2007</v>
          </cell>
          <cell r="M3" t="str">
            <v>EPS2006</v>
          </cell>
        </row>
        <row r="4">
          <cell r="B4" t="str">
            <v>AE</v>
          </cell>
          <cell r="C4">
            <v>0.6</v>
          </cell>
          <cell r="D4">
            <v>-0.3</v>
          </cell>
          <cell r="E4">
            <v>1.48</v>
          </cell>
          <cell r="F4">
            <v>5.24</v>
          </cell>
          <cell r="G4">
            <v>6.53</v>
          </cell>
          <cell r="H4">
            <v>4.99</v>
          </cell>
          <cell r="I4">
            <v>2.0499999999999998</v>
          </cell>
          <cell r="J4">
            <v>0.98</v>
          </cell>
          <cell r="K4">
            <v>-1.32</v>
          </cell>
          <cell r="L4">
            <v>2.1789999999999998</v>
          </cell>
          <cell r="M4">
            <v>2.4900000000000002</v>
          </cell>
        </row>
        <row r="5">
          <cell r="B5" t="str">
            <v>ALE</v>
          </cell>
          <cell r="C5">
            <v>3.14</v>
          </cell>
          <cell r="D5">
            <v>3.38</v>
          </cell>
          <cell r="E5">
            <v>2.9</v>
          </cell>
          <cell r="F5">
            <v>2.63</v>
          </cell>
          <cell r="G5">
            <v>2.58</v>
          </cell>
          <cell r="H5">
            <v>2.65</v>
          </cell>
          <cell r="I5">
            <v>2.19</v>
          </cell>
          <cell r="J5">
            <v>1.89</v>
          </cell>
          <cell r="K5">
            <v>2.82</v>
          </cell>
          <cell r="L5">
            <v>3.08</v>
          </cell>
          <cell r="M5">
            <v>2.77</v>
          </cell>
        </row>
        <row r="6">
          <cell r="B6" t="str">
            <v>LNT</v>
          </cell>
          <cell r="C6">
            <v>1.65</v>
          </cell>
          <cell r="D6">
            <v>1.69</v>
          </cell>
          <cell r="E6">
            <v>1.74</v>
          </cell>
          <cell r="F6">
            <v>1.645</v>
          </cell>
          <cell r="G6">
            <v>1.5249999999999999</v>
          </cell>
          <cell r="H6">
            <v>1.375</v>
          </cell>
          <cell r="I6">
            <v>1.375</v>
          </cell>
          <cell r="J6">
            <v>0.94499999999999995</v>
          </cell>
          <cell r="K6">
            <v>1.27</v>
          </cell>
          <cell r="L6">
            <v>1.345</v>
          </cell>
          <cell r="M6">
            <v>1.03</v>
          </cell>
        </row>
        <row r="7">
          <cell r="B7" t="str">
            <v>AEP</v>
          </cell>
          <cell r="C7">
            <v>4.2300000000000004</v>
          </cell>
          <cell r="D7">
            <v>3.59</v>
          </cell>
          <cell r="E7">
            <v>3.34</v>
          </cell>
          <cell r="F7">
            <v>3.18</v>
          </cell>
          <cell r="G7">
            <v>2.98</v>
          </cell>
          <cell r="H7">
            <v>3.13</v>
          </cell>
          <cell r="I7">
            <v>2.6</v>
          </cell>
          <cell r="J7">
            <v>2.97</v>
          </cell>
          <cell r="K7">
            <v>2.99</v>
          </cell>
          <cell r="L7">
            <v>2.86</v>
          </cell>
          <cell r="M7">
            <v>2.86</v>
          </cell>
        </row>
        <row r="8">
          <cell r="B8" t="str">
            <v>AWR</v>
          </cell>
          <cell r="C8">
            <v>1.62</v>
          </cell>
          <cell r="D8">
            <v>1.6</v>
          </cell>
          <cell r="E8">
            <v>1.57</v>
          </cell>
          <cell r="F8">
            <v>1.61</v>
          </cell>
          <cell r="G8">
            <v>1.41</v>
          </cell>
          <cell r="H8">
            <v>1.1200000000000001</v>
          </cell>
          <cell r="I8">
            <v>1.1100000000000001</v>
          </cell>
          <cell r="J8">
            <v>0.81</v>
          </cell>
          <cell r="K8">
            <v>0.77500000000000002</v>
          </cell>
          <cell r="L8">
            <v>0.81</v>
          </cell>
          <cell r="M8">
            <v>0.66500000000000004</v>
          </cell>
        </row>
        <row r="9">
          <cell r="B9" t="str">
            <v>AWK</v>
          </cell>
          <cell r="C9">
            <v>2.62</v>
          </cell>
          <cell r="D9">
            <v>2.64</v>
          </cell>
          <cell r="E9">
            <v>2.39</v>
          </cell>
          <cell r="F9">
            <v>2.06</v>
          </cell>
          <cell r="G9">
            <v>2.11</v>
          </cell>
          <cell r="H9">
            <v>1.72</v>
          </cell>
          <cell r="I9">
            <v>1.53</v>
          </cell>
          <cell r="J9">
            <v>1.25</v>
          </cell>
          <cell r="K9">
            <v>1.1000000000000001</v>
          </cell>
          <cell r="L9">
            <v>-2.14</v>
          </cell>
          <cell r="M9">
            <v>-0.97</v>
          </cell>
        </row>
        <row r="10">
          <cell r="B10" t="str">
            <v>AEE</v>
          </cell>
          <cell r="C10">
            <v>2.68</v>
          </cell>
          <cell r="D10">
            <v>2.38</v>
          </cell>
          <cell r="E10">
            <v>2.4</v>
          </cell>
          <cell r="F10">
            <v>2.1</v>
          </cell>
          <cell r="G10">
            <v>2.41</v>
          </cell>
          <cell r="H10">
            <v>2.4700000000000002</v>
          </cell>
          <cell r="I10">
            <v>2.77</v>
          </cell>
          <cell r="J10">
            <v>2.78</v>
          </cell>
          <cell r="K10">
            <v>2.88</v>
          </cell>
          <cell r="L10">
            <v>2.98</v>
          </cell>
          <cell r="M10">
            <v>2.66</v>
          </cell>
        </row>
        <row r="11">
          <cell r="B11" t="str">
            <v>APU</v>
          </cell>
          <cell r="C11">
            <v>1.77</v>
          </cell>
          <cell r="D11">
            <v>1.91</v>
          </cell>
          <cell r="E11">
            <v>2.82</v>
          </cell>
          <cell r="F11">
            <v>2.14</v>
          </cell>
          <cell r="G11">
            <v>0.01</v>
          </cell>
          <cell r="H11">
            <v>2.73</v>
          </cell>
          <cell r="I11">
            <v>2.8</v>
          </cell>
          <cell r="J11">
            <v>3.14</v>
          </cell>
          <cell r="K11">
            <v>2.7</v>
          </cell>
          <cell r="L11">
            <v>2.62</v>
          </cell>
          <cell r="M11">
            <v>1.59</v>
          </cell>
        </row>
        <row r="12">
          <cell r="B12" t="str">
            <v>WTR</v>
          </cell>
          <cell r="C12">
            <v>1.32</v>
          </cell>
          <cell r="D12">
            <v>1.1399999999999999</v>
          </cell>
          <cell r="E12">
            <v>1.2</v>
          </cell>
          <cell r="F12">
            <v>1.1599999999999999</v>
          </cell>
          <cell r="G12">
            <v>0.872</v>
          </cell>
          <cell r="H12">
            <v>0.83199999999999996</v>
          </cell>
          <cell r="I12">
            <v>0.72</v>
          </cell>
          <cell r="J12">
            <v>0.61599999999999999</v>
          </cell>
          <cell r="K12">
            <v>0.58399999999999996</v>
          </cell>
          <cell r="L12">
            <v>0.56799999999999995</v>
          </cell>
          <cell r="M12">
            <v>0.56000000000000005</v>
          </cell>
        </row>
        <row r="13">
          <cell r="B13" t="str">
            <v>ARTNA</v>
          </cell>
          <cell r="C13">
            <v>1.41</v>
          </cell>
          <cell r="D13">
            <v>1.26</v>
          </cell>
          <cell r="E13">
            <v>1.07</v>
          </cell>
          <cell r="F13">
            <v>0.94</v>
          </cell>
          <cell r="G13">
            <v>1.1299999999999999</v>
          </cell>
          <cell r="H13">
            <v>0.83</v>
          </cell>
          <cell r="I13">
            <v>1</v>
          </cell>
          <cell r="J13">
            <v>0.97</v>
          </cell>
          <cell r="K13">
            <v>0.86</v>
          </cell>
          <cell r="L13">
            <v>0.9</v>
          </cell>
          <cell r="M13">
            <v>0.97</v>
          </cell>
        </row>
        <row r="14">
          <cell r="B14" t="str">
            <v>ATO</v>
          </cell>
          <cell r="C14">
            <v>3.38</v>
          </cell>
          <cell r="D14">
            <v>3.09</v>
          </cell>
          <cell r="E14">
            <v>2.96</v>
          </cell>
          <cell r="F14">
            <v>2.5</v>
          </cell>
          <cell r="G14">
            <v>2.1</v>
          </cell>
          <cell r="H14">
            <v>2.2599999999999998</v>
          </cell>
          <cell r="I14">
            <v>2.16</v>
          </cell>
          <cell r="J14">
            <v>1.97</v>
          </cell>
          <cell r="K14">
            <v>2</v>
          </cell>
          <cell r="L14">
            <v>1.94</v>
          </cell>
          <cell r="M14">
            <v>2</v>
          </cell>
        </row>
        <row r="15">
          <cell r="B15" t="str">
            <v>AGR</v>
          </cell>
          <cell r="C15">
            <v>1.98</v>
          </cell>
          <cell r="D15">
            <v>0.86</v>
          </cell>
          <cell r="E15" t="str">
            <v>N/A</v>
          </cell>
          <cell r="F15" t="str">
            <v>N/A</v>
          </cell>
          <cell r="G15" t="str">
            <v>N/A</v>
          </cell>
          <cell r="H15" t="str">
            <v>N/A</v>
          </cell>
          <cell r="I15" t="str">
            <v>N/A</v>
          </cell>
          <cell r="J15" t="str">
            <v>N/A</v>
          </cell>
          <cell r="K15" t="str">
            <v>N/A</v>
          </cell>
          <cell r="L15" t="str">
            <v>N/A</v>
          </cell>
          <cell r="M15" t="str">
            <v>N/A</v>
          </cell>
        </row>
        <row r="16">
          <cell r="B16" t="str">
            <v>AVA</v>
          </cell>
          <cell r="C16">
            <v>2.15</v>
          </cell>
          <cell r="D16">
            <v>1.89</v>
          </cell>
          <cell r="E16">
            <v>1.84</v>
          </cell>
          <cell r="F16">
            <v>1.85</v>
          </cell>
          <cell r="G16">
            <v>1.32</v>
          </cell>
          <cell r="H16">
            <v>1.72</v>
          </cell>
          <cell r="I16">
            <v>1.65</v>
          </cell>
          <cell r="J16">
            <v>1.58</v>
          </cell>
          <cell r="K16">
            <v>1.36</v>
          </cell>
          <cell r="L16">
            <v>0.72</v>
          </cell>
          <cell r="M16">
            <v>1.47</v>
          </cell>
        </row>
        <row r="17">
          <cell r="B17" t="str">
            <v>BKH</v>
          </cell>
          <cell r="C17">
            <v>2.63</v>
          </cell>
          <cell r="D17">
            <v>2.83</v>
          </cell>
          <cell r="E17">
            <v>2.89</v>
          </cell>
          <cell r="F17">
            <v>2.61</v>
          </cell>
          <cell r="G17">
            <v>1.97</v>
          </cell>
          <cell r="H17">
            <v>1.01</v>
          </cell>
          <cell r="I17">
            <v>1.66</v>
          </cell>
          <cell r="J17">
            <v>2.3199999999999998</v>
          </cell>
          <cell r="K17">
            <v>0.18</v>
          </cell>
          <cell r="L17">
            <v>2.68</v>
          </cell>
          <cell r="M17">
            <v>2.21</v>
          </cell>
        </row>
        <row r="18">
          <cell r="B18" t="str">
            <v>CWT</v>
          </cell>
          <cell r="C18">
            <v>1.01</v>
          </cell>
          <cell r="D18">
            <v>0.94</v>
          </cell>
          <cell r="E18">
            <v>1.19</v>
          </cell>
          <cell r="F18">
            <v>1.02</v>
          </cell>
          <cell r="G18">
            <v>1.02</v>
          </cell>
          <cell r="H18">
            <v>0.86</v>
          </cell>
          <cell r="I18">
            <v>0.90500000000000003</v>
          </cell>
          <cell r="J18">
            <v>0.97499999999999998</v>
          </cell>
          <cell r="K18">
            <v>0.95</v>
          </cell>
          <cell r="L18">
            <v>0.75</v>
          </cell>
          <cell r="M18">
            <v>0.67</v>
          </cell>
        </row>
        <row r="19">
          <cell r="B19" t="str">
            <v>CNP</v>
          </cell>
          <cell r="C19">
            <v>1</v>
          </cell>
          <cell r="D19">
            <v>1.08</v>
          </cell>
          <cell r="E19">
            <v>1.42</v>
          </cell>
          <cell r="F19">
            <v>1.24</v>
          </cell>
          <cell r="G19">
            <v>1.35</v>
          </cell>
          <cell r="H19">
            <v>1.27</v>
          </cell>
          <cell r="I19">
            <v>1.07</v>
          </cell>
          <cell r="J19">
            <v>1.01</v>
          </cell>
          <cell r="K19">
            <v>1.3</v>
          </cell>
          <cell r="L19">
            <v>1.17</v>
          </cell>
          <cell r="M19">
            <v>1.33</v>
          </cell>
        </row>
        <row r="20">
          <cell r="B20" t="str">
            <v>CPK</v>
          </cell>
          <cell r="C20">
            <v>2.86</v>
          </cell>
          <cell r="D20">
            <v>2.68</v>
          </cell>
          <cell r="E20">
            <v>2.4700000000000002</v>
          </cell>
          <cell r="F20">
            <v>2.2599999999999998</v>
          </cell>
          <cell r="G20">
            <v>1.9930000000000001</v>
          </cell>
          <cell r="H20">
            <v>1.913</v>
          </cell>
          <cell r="I20">
            <v>1.82</v>
          </cell>
          <cell r="J20">
            <v>1.4330000000000001</v>
          </cell>
          <cell r="K20">
            <v>1.3919999999999999</v>
          </cell>
          <cell r="L20">
            <v>1.2929999999999999</v>
          </cell>
          <cell r="M20">
            <v>1.147</v>
          </cell>
        </row>
        <row r="21">
          <cell r="B21" t="str">
            <v>CMS</v>
          </cell>
          <cell r="C21">
            <v>1.98</v>
          </cell>
          <cell r="D21">
            <v>1.89</v>
          </cell>
          <cell r="E21">
            <v>1.74</v>
          </cell>
          <cell r="F21">
            <v>1.66</v>
          </cell>
          <cell r="G21">
            <v>1.53</v>
          </cell>
          <cell r="H21">
            <v>1.45</v>
          </cell>
          <cell r="I21">
            <v>1.33</v>
          </cell>
          <cell r="J21">
            <v>0.93</v>
          </cell>
          <cell r="K21">
            <v>1.23</v>
          </cell>
          <cell r="L21">
            <v>0.64</v>
          </cell>
          <cell r="M21">
            <v>0.64</v>
          </cell>
        </row>
        <row r="22">
          <cell r="B22" t="str">
            <v>CTWS</v>
          </cell>
          <cell r="C22">
            <v>2.08</v>
          </cell>
          <cell r="D22">
            <v>2.04</v>
          </cell>
          <cell r="E22">
            <v>1.92</v>
          </cell>
          <cell r="F22">
            <v>1.66</v>
          </cell>
          <cell r="G22">
            <v>1.53</v>
          </cell>
          <cell r="H22">
            <v>1.1279999999999999</v>
          </cell>
          <cell r="I22">
            <v>1.1299999999999999</v>
          </cell>
          <cell r="J22">
            <v>1.19</v>
          </cell>
          <cell r="K22">
            <v>1.1100000000000001</v>
          </cell>
          <cell r="L22">
            <v>1.05</v>
          </cell>
          <cell r="M22">
            <v>0.81</v>
          </cell>
        </row>
        <row r="23">
          <cell r="B23" t="str">
            <v>ED</v>
          </cell>
          <cell r="C23">
            <v>3.94</v>
          </cell>
          <cell r="D23">
            <v>4.05</v>
          </cell>
          <cell r="E23">
            <v>3.62</v>
          </cell>
          <cell r="F23">
            <v>3.93</v>
          </cell>
          <cell r="G23">
            <v>3.86</v>
          </cell>
          <cell r="H23">
            <v>3.57</v>
          </cell>
          <cell r="I23">
            <v>3.47</v>
          </cell>
          <cell r="J23">
            <v>3.14</v>
          </cell>
          <cell r="K23">
            <v>3.36</v>
          </cell>
          <cell r="L23">
            <v>3.48</v>
          </cell>
          <cell r="M23">
            <v>2.95</v>
          </cell>
        </row>
        <row r="24">
          <cell r="B24" t="str">
            <v>CWCO</v>
          </cell>
          <cell r="C24">
            <v>0.27</v>
          </cell>
          <cell r="D24">
            <v>0.51</v>
          </cell>
          <cell r="E24">
            <v>0.42</v>
          </cell>
          <cell r="F24">
            <v>0.57999999999999996</v>
          </cell>
          <cell r="G24">
            <v>0.64</v>
          </cell>
          <cell r="H24">
            <v>0.42</v>
          </cell>
          <cell r="I24">
            <v>0.43</v>
          </cell>
          <cell r="J24">
            <v>0.74</v>
          </cell>
          <cell r="K24">
            <v>0.5</v>
          </cell>
          <cell r="L24">
            <v>0.79</v>
          </cell>
          <cell r="M24">
            <v>0.59</v>
          </cell>
        </row>
        <row r="25">
          <cell r="B25" t="str">
            <v>DGAS</v>
          </cell>
          <cell r="C25">
            <v>0.78</v>
          </cell>
          <cell r="D25">
            <v>0.92</v>
          </cell>
          <cell r="E25">
            <v>1.19</v>
          </cell>
          <cell r="F25">
            <v>1.05</v>
          </cell>
          <cell r="G25">
            <v>0.85</v>
          </cell>
          <cell r="H25">
            <v>0.95</v>
          </cell>
          <cell r="I25">
            <v>0.85</v>
          </cell>
          <cell r="J25">
            <v>0.79</v>
          </cell>
          <cell r="K25">
            <v>1.04</v>
          </cell>
          <cell r="L25">
            <v>0.81</v>
          </cell>
          <cell r="M25">
            <v>0.77500000000000002</v>
          </cell>
        </row>
        <row r="26">
          <cell r="B26" t="str">
            <v>D</v>
          </cell>
          <cell r="C26">
            <v>3.44</v>
          </cell>
          <cell r="D26">
            <v>3.2</v>
          </cell>
          <cell r="E26">
            <v>3.05</v>
          </cell>
          <cell r="F26">
            <v>3.09</v>
          </cell>
          <cell r="G26">
            <v>2.75</v>
          </cell>
          <cell r="H26">
            <v>2.76</v>
          </cell>
          <cell r="I26">
            <v>2.89</v>
          </cell>
          <cell r="J26">
            <v>2.64</v>
          </cell>
          <cell r="K26">
            <v>3.04</v>
          </cell>
          <cell r="L26">
            <v>2.13</v>
          </cell>
          <cell r="M26">
            <v>2.4</v>
          </cell>
        </row>
        <row r="27">
          <cell r="B27" t="str">
            <v>DTE</v>
          </cell>
          <cell r="C27">
            <v>4.83</v>
          </cell>
          <cell r="D27">
            <v>4.4400000000000004</v>
          </cell>
          <cell r="E27">
            <v>5.0999999999999996</v>
          </cell>
          <cell r="F27">
            <v>3.76</v>
          </cell>
          <cell r="G27">
            <v>3.88</v>
          </cell>
          <cell r="H27">
            <v>3.67</v>
          </cell>
          <cell r="I27">
            <v>3.74</v>
          </cell>
          <cell r="J27">
            <v>3.24</v>
          </cell>
          <cell r="K27">
            <v>2.73</v>
          </cell>
          <cell r="L27">
            <v>2.66</v>
          </cell>
          <cell r="M27">
            <v>2.4500000000000002</v>
          </cell>
        </row>
        <row r="28">
          <cell r="B28" t="str">
            <v>DUK</v>
          </cell>
          <cell r="C28">
            <v>3.71</v>
          </cell>
          <cell r="D28">
            <v>4.0999999999999996</v>
          </cell>
          <cell r="E28">
            <v>4.13</v>
          </cell>
          <cell r="F28">
            <v>3.98</v>
          </cell>
          <cell r="G28">
            <v>3.71</v>
          </cell>
          <cell r="H28">
            <v>4.1399999999999997</v>
          </cell>
          <cell r="I28">
            <v>4.0199999999999996</v>
          </cell>
          <cell r="J28">
            <v>3.39</v>
          </cell>
          <cell r="K28">
            <v>3.03</v>
          </cell>
          <cell r="L28">
            <v>3.6</v>
          </cell>
          <cell r="M28">
            <v>2.73</v>
          </cell>
        </row>
        <row r="29">
          <cell r="B29" t="str">
            <v>EIX</v>
          </cell>
          <cell r="C29">
            <v>3.94</v>
          </cell>
          <cell r="D29">
            <v>4.1500000000000004</v>
          </cell>
          <cell r="E29">
            <v>4.33</v>
          </cell>
          <cell r="F29">
            <v>3.78</v>
          </cell>
          <cell r="G29">
            <v>4.55</v>
          </cell>
          <cell r="H29">
            <v>3.23</v>
          </cell>
          <cell r="I29">
            <v>3.35</v>
          </cell>
          <cell r="J29">
            <v>3.24</v>
          </cell>
          <cell r="K29">
            <v>3.68</v>
          </cell>
          <cell r="L29">
            <v>3.32</v>
          </cell>
          <cell r="M29">
            <v>3.28</v>
          </cell>
        </row>
        <row r="30">
          <cell r="B30" t="str">
            <v>EE</v>
          </cell>
          <cell r="C30">
            <v>2.39</v>
          </cell>
          <cell r="D30">
            <v>2.0299999999999998</v>
          </cell>
          <cell r="E30">
            <v>2.27</v>
          </cell>
          <cell r="F30">
            <v>2.2000000000000002</v>
          </cell>
          <cell r="G30">
            <v>2.2599999999999998</v>
          </cell>
          <cell r="H30">
            <v>2.48</v>
          </cell>
          <cell r="I30">
            <v>2.0699999999999998</v>
          </cell>
          <cell r="J30">
            <v>1.5</v>
          </cell>
          <cell r="K30">
            <v>1.73</v>
          </cell>
          <cell r="L30">
            <v>1.63</v>
          </cell>
          <cell r="M30">
            <v>1.27</v>
          </cell>
        </row>
        <row r="31">
          <cell r="B31" t="str">
            <v>ETR</v>
          </cell>
          <cell r="C31">
            <v>6.88</v>
          </cell>
          <cell r="D31">
            <v>5.81</v>
          </cell>
          <cell r="E31">
            <v>5.77</v>
          </cell>
          <cell r="F31">
            <v>4.96</v>
          </cell>
          <cell r="G31">
            <v>6.02</v>
          </cell>
          <cell r="H31">
            <v>7.55</v>
          </cell>
          <cell r="I31">
            <v>6.66</v>
          </cell>
          <cell r="J31">
            <v>6.3</v>
          </cell>
          <cell r="K31">
            <v>6.2</v>
          </cell>
          <cell r="L31">
            <v>5.6</v>
          </cell>
          <cell r="M31">
            <v>5.36</v>
          </cell>
        </row>
        <row r="32">
          <cell r="B32" t="str">
            <v>ES</v>
          </cell>
          <cell r="C32">
            <v>2.96</v>
          </cell>
          <cell r="D32">
            <v>2.76</v>
          </cell>
          <cell r="E32">
            <v>2.58</v>
          </cell>
          <cell r="F32">
            <v>2.4900000000000002</v>
          </cell>
          <cell r="G32">
            <v>1.89</v>
          </cell>
          <cell r="H32">
            <v>2.2200000000000002</v>
          </cell>
          <cell r="I32">
            <v>2.1</v>
          </cell>
          <cell r="J32">
            <v>1.91</v>
          </cell>
          <cell r="K32">
            <v>1.86</v>
          </cell>
          <cell r="L32">
            <v>1.59</v>
          </cell>
          <cell r="M32">
            <v>0.82</v>
          </cell>
        </row>
        <row r="33">
          <cell r="B33" t="str">
            <v>EXC</v>
          </cell>
          <cell r="C33">
            <v>1.8</v>
          </cell>
          <cell r="D33">
            <v>2.54</v>
          </cell>
          <cell r="E33">
            <v>2.1</v>
          </cell>
          <cell r="F33">
            <v>2.31</v>
          </cell>
          <cell r="G33">
            <v>1.92</v>
          </cell>
          <cell r="H33">
            <v>3.75</v>
          </cell>
          <cell r="I33">
            <v>3.87</v>
          </cell>
          <cell r="J33">
            <v>4.29</v>
          </cell>
          <cell r="K33">
            <v>4.0999999999999996</v>
          </cell>
          <cell r="L33">
            <v>4.03</v>
          </cell>
          <cell r="M33">
            <v>3.5</v>
          </cell>
        </row>
        <row r="34">
          <cell r="B34" t="str">
            <v>FE</v>
          </cell>
          <cell r="C34">
            <v>2.1</v>
          </cell>
          <cell r="D34">
            <v>2</v>
          </cell>
          <cell r="E34">
            <v>0.85</v>
          </cell>
          <cell r="F34">
            <v>2.97</v>
          </cell>
          <cell r="G34">
            <v>2.13</v>
          </cell>
          <cell r="H34">
            <v>1.88</v>
          </cell>
          <cell r="I34">
            <v>3.25</v>
          </cell>
          <cell r="J34">
            <v>3.32</v>
          </cell>
          <cell r="K34">
            <v>4.38</v>
          </cell>
          <cell r="L34">
            <v>4.22</v>
          </cell>
          <cell r="M34">
            <v>3.82</v>
          </cell>
        </row>
        <row r="35">
          <cell r="B35" t="str">
            <v>FTS.TO</v>
          </cell>
          <cell r="C35">
            <v>1.89</v>
          </cell>
          <cell r="D35">
            <v>2.11</v>
          </cell>
          <cell r="E35">
            <v>1.38</v>
          </cell>
          <cell r="F35">
            <v>1.63</v>
          </cell>
          <cell r="G35">
            <v>1.65</v>
          </cell>
          <cell r="H35">
            <v>1.74</v>
          </cell>
          <cell r="I35">
            <v>1.62</v>
          </cell>
          <cell r="J35">
            <v>1.51</v>
          </cell>
          <cell r="K35">
            <v>1.52</v>
          </cell>
          <cell r="L35">
            <v>1.2869999999999999</v>
          </cell>
          <cell r="M35">
            <v>1.359</v>
          </cell>
        </row>
        <row r="36">
          <cell r="B36" t="str">
            <v>EGAS</v>
          </cell>
          <cell r="C36">
            <v>5.0999999999999997E-2</v>
          </cell>
          <cell r="D36">
            <v>0.11</v>
          </cell>
          <cell r="E36">
            <v>0.253</v>
          </cell>
          <cell r="F36">
            <v>0.75</v>
          </cell>
          <cell r="G36">
            <v>0.46</v>
          </cell>
          <cell r="H36">
            <v>0.66</v>
          </cell>
          <cell r="I36">
            <v>0.92</v>
          </cell>
          <cell r="J36">
            <v>1.58</v>
          </cell>
          <cell r="K36">
            <v>0.77</v>
          </cell>
          <cell r="L36">
            <v>0.50700000000000001</v>
          </cell>
          <cell r="M36">
            <v>0.52700000000000002</v>
          </cell>
        </row>
        <row r="37">
          <cell r="B37" t="str">
            <v>GXP</v>
          </cell>
          <cell r="C37">
            <v>1.61</v>
          </cell>
          <cell r="D37">
            <v>1.37</v>
          </cell>
          <cell r="E37">
            <v>1.57</v>
          </cell>
          <cell r="F37">
            <v>1.62</v>
          </cell>
          <cell r="G37">
            <v>1.35</v>
          </cell>
          <cell r="H37">
            <v>1.25</v>
          </cell>
          <cell r="I37">
            <v>1.53</v>
          </cell>
          <cell r="J37">
            <v>1.03</v>
          </cell>
          <cell r="K37">
            <v>1.1599999999999999</v>
          </cell>
          <cell r="L37">
            <v>1.85</v>
          </cell>
          <cell r="M37">
            <v>1.62</v>
          </cell>
        </row>
        <row r="38">
          <cell r="B38" t="str">
            <v>HE</v>
          </cell>
          <cell r="C38">
            <v>2.29</v>
          </cell>
          <cell r="D38">
            <v>1.5</v>
          </cell>
          <cell r="E38">
            <v>1.64</v>
          </cell>
          <cell r="F38">
            <v>1.62</v>
          </cell>
          <cell r="G38">
            <v>1.67</v>
          </cell>
          <cell r="H38">
            <v>1.44</v>
          </cell>
          <cell r="I38">
            <v>1.21</v>
          </cell>
          <cell r="J38">
            <v>0.91</v>
          </cell>
          <cell r="K38">
            <v>1.07</v>
          </cell>
          <cell r="L38">
            <v>1.1100000000000001</v>
          </cell>
          <cell r="M38">
            <v>1.33</v>
          </cell>
        </row>
        <row r="39">
          <cell r="B39" t="str">
            <v>IDA</v>
          </cell>
          <cell r="C39">
            <v>3.94</v>
          </cell>
          <cell r="D39">
            <v>3.87</v>
          </cell>
          <cell r="E39">
            <v>3.85</v>
          </cell>
          <cell r="F39">
            <v>3.64</v>
          </cell>
          <cell r="G39">
            <v>3.37</v>
          </cell>
          <cell r="H39">
            <v>3.36</v>
          </cell>
          <cell r="I39">
            <v>2.95</v>
          </cell>
          <cell r="J39">
            <v>2.64</v>
          </cell>
          <cell r="K39">
            <v>2.1800000000000002</v>
          </cell>
          <cell r="L39">
            <v>1.86</v>
          </cell>
          <cell r="M39">
            <v>2.35</v>
          </cell>
        </row>
        <row r="40">
          <cell r="B40" t="str">
            <v>MGEE</v>
          </cell>
          <cell r="C40">
            <v>2.1800000000000002</v>
          </cell>
          <cell r="D40">
            <v>2.06</v>
          </cell>
          <cell r="E40">
            <v>2.3199999999999998</v>
          </cell>
          <cell r="F40">
            <v>2.16</v>
          </cell>
          <cell r="G40">
            <v>1.86</v>
          </cell>
          <cell r="H40">
            <v>1.76</v>
          </cell>
          <cell r="I40">
            <v>1.667</v>
          </cell>
          <cell r="J40">
            <v>1.4730000000000001</v>
          </cell>
          <cell r="K40">
            <v>1.587</v>
          </cell>
          <cell r="L40">
            <v>1.5129999999999999</v>
          </cell>
          <cell r="M40">
            <v>1.373</v>
          </cell>
        </row>
        <row r="41">
          <cell r="B41" t="str">
            <v>MSEX</v>
          </cell>
          <cell r="C41">
            <v>1.38</v>
          </cell>
          <cell r="D41">
            <v>1.22</v>
          </cell>
          <cell r="E41">
            <v>1.1299999999999999</v>
          </cell>
          <cell r="F41">
            <v>1.03</v>
          </cell>
          <cell r="G41">
            <v>0.9</v>
          </cell>
          <cell r="H41">
            <v>0.84</v>
          </cell>
          <cell r="I41">
            <v>0.96</v>
          </cell>
          <cell r="J41">
            <v>0.72</v>
          </cell>
          <cell r="K41">
            <v>0.89</v>
          </cell>
          <cell r="L41">
            <v>0.87</v>
          </cell>
          <cell r="M41">
            <v>0.82</v>
          </cell>
        </row>
        <row r="42">
          <cell r="B42" t="str">
            <v>NJR</v>
          </cell>
          <cell r="C42">
            <v>1.61</v>
          </cell>
          <cell r="D42">
            <v>1.78</v>
          </cell>
          <cell r="E42">
            <v>2.08</v>
          </cell>
          <cell r="F42">
            <v>1.365</v>
          </cell>
          <cell r="G42">
            <v>1.355</v>
          </cell>
          <cell r="H42">
            <v>1.29</v>
          </cell>
          <cell r="I42">
            <v>1.23</v>
          </cell>
          <cell r="J42">
            <v>1.2</v>
          </cell>
          <cell r="K42">
            <v>1.35</v>
          </cell>
          <cell r="L42">
            <v>0.77700000000000002</v>
          </cell>
          <cell r="M42">
            <v>0.93300000000000005</v>
          </cell>
        </row>
        <row r="43">
          <cell r="B43" t="str">
            <v>NEE</v>
          </cell>
          <cell r="C43">
            <v>5.78</v>
          </cell>
          <cell r="D43">
            <v>6.06</v>
          </cell>
          <cell r="E43">
            <v>5.6</v>
          </cell>
          <cell r="F43">
            <v>4.83</v>
          </cell>
          <cell r="G43">
            <v>4.5599999999999996</v>
          </cell>
          <cell r="H43">
            <v>4.82</v>
          </cell>
          <cell r="I43">
            <v>4.74</v>
          </cell>
          <cell r="J43">
            <v>3.97</v>
          </cell>
          <cell r="K43">
            <v>4.07</v>
          </cell>
          <cell r="L43">
            <v>3.27</v>
          </cell>
          <cell r="M43">
            <v>3.23</v>
          </cell>
        </row>
        <row r="44">
          <cell r="B44" t="str">
            <v>NI</v>
          </cell>
          <cell r="C44">
            <v>1</v>
          </cell>
          <cell r="D44">
            <v>0.63</v>
          </cell>
          <cell r="E44">
            <v>1.67</v>
          </cell>
          <cell r="F44">
            <v>1.57</v>
          </cell>
          <cell r="G44">
            <v>1.37</v>
          </cell>
          <cell r="H44">
            <v>1.05</v>
          </cell>
          <cell r="I44">
            <v>1.06</v>
          </cell>
          <cell r="J44">
            <v>0.84</v>
          </cell>
          <cell r="K44">
            <v>1.34</v>
          </cell>
          <cell r="L44">
            <v>1.1399999999999999</v>
          </cell>
          <cell r="M44">
            <v>1.1399999999999999</v>
          </cell>
        </row>
        <row r="45">
          <cell r="B45" t="str">
            <v>NWN</v>
          </cell>
          <cell r="C45">
            <v>2.12</v>
          </cell>
          <cell r="D45">
            <v>1.96</v>
          </cell>
          <cell r="E45">
            <v>2.16</v>
          </cell>
          <cell r="F45">
            <v>2.2400000000000002</v>
          </cell>
          <cell r="G45">
            <v>2.2200000000000002</v>
          </cell>
          <cell r="H45">
            <v>2.39</v>
          </cell>
          <cell r="I45">
            <v>2.73</v>
          </cell>
          <cell r="J45">
            <v>2.83</v>
          </cell>
          <cell r="K45">
            <v>2.57</v>
          </cell>
          <cell r="L45">
            <v>2.76</v>
          </cell>
          <cell r="M45">
            <v>2.35</v>
          </cell>
        </row>
        <row r="46">
          <cell r="B46" t="str">
            <v>NWE</v>
          </cell>
          <cell r="C46">
            <v>3.39</v>
          </cell>
          <cell r="D46">
            <v>2.9</v>
          </cell>
          <cell r="E46">
            <v>2.99</v>
          </cell>
          <cell r="F46">
            <v>2.46</v>
          </cell>
          <cell r="G46">
            <v>2.2599999999999998</v>
          </cell>
          <cell r="H46">
            <v>2.5299999999999998</v>
          </cell>
          <cell r="I46">
            <v>2.14</v>
          </cell>
          <cell r="J46">
            <v>2.02</v>
          </cell>
          <cell r="K46">
            <v>1.77</v>
          </cell>
          <cell r="L46">
            <v>1.44</v>
          </cell>
          <cell r="M46">
            <v>1.31</v>
          </cell>
        </row>
        <row r="47">
          <cell r="B47" t="str">
            <v>OGE</v>
          </cell>
          <cell r="C47">
            <v>1.69</v>
          </cell>
          <cell r="D47">
            <v>1.69</v>
          </cell>
          <cell r="E47">
            <v>1.98</v>
          </cell>
          <cell r="F47">
            <v>1.94</v>
          </cell>
          <cell r="G47">
            <v>1.79</v>
          </cell>
          <cell r="H47">
            <v>1.7250000000000001</v>
          </cell>
          <cell r="I47">
            <v>1.4950000000000001</v>
          </cell>
          <cell r="J47">
            <v>1.33</v>
          </cell>
          <cell r="K47">
            <v>1.2450000000000001</v>
          </cell>
          <cell r="L47">
            <v>1.32</v>
          </cell>
          <cell r="M47">
            <v>1.2250000000000001</v>
          </cell>
        </row>
        <row r="48">
          <cell r="B48" t="str">
            <v>OGS</v>
          </cell>
          <cell r="C48">
            <v>2.65</v>
          </cell>
          <cell r="D48">
            <v>2.2400000000000002</v>
          </cell>
          <cell r="E48">
            <v>2.0699999999999998</v>
          </cell>
        </row>
        <row r="49">
          <cell r="B49" t="str">
            <v>OTTR</v>
          </cell>
          <cell r="C49">
            <v>1.6</v>
          </cell>
          <cell r="D49">
            <v>1.56</v>
          </cell>
          <cell r="E49">
            <v>1.55</v>
          </cell>
          <cell r="F49">
            <v>1.37</v>
          </cell>
          <cell r="G49">
            <v>1.05</v>
          </cell>
          <cell r="H49">
            <v>0.45</v>
          </cell>
          <cell r="I49">
            <v>0.38</v>
          </cell>
          <cell r="J49">
            <v>0.71</v>
          </cell>
          <cell r="K49">
            <v>1.0900000000000001</v>
          </cell>
          <cell r="L49">
            <v>1.78</v>
          </cell>
          <cell r="M49">
            <v>1.69</v>
          </cell>
        </row>
        <row r="50">
          <cell r="B50" t="str">
            <v>PCG</v>
          </cell>
          <cell r="C50">
            <v>2.83</v>
          </cell>
          <cell r="D50">
            <v>2</v>
          </cell>
          <cell r="E50">
            <v>3.06</v>
          </cell>
          <cell r="F50">
            <v>1.83</v>
          </cell>
          <cell r="G50">
            <v>2.0699999999999998</v>
          </cell>
          <cell r="H50">
            <v>2.78</v>
          </cell>
          <cell r="I50">
            <v>2.82</v>
          </cell>
          <cell r="J50">
            <v>3.03</v>
          </cell>
          <cell r="K50">
            <v>3.22</v>
          </cell>
          <cell r="L50">
            <v>2.78</v>
          </cell>
          <cell r="M50">
            <v>2.76</v>
          </cell>
        </row>
        <row r="51">
          <cell r="B51" t="str">
            <v>PNW</v>
          </cell>
          <cell r="C51">
            <v>3.95</v>
          </cell>
          <cell r="D51">
            <v>3.92</v>
          </cell>
          <cell r="E51">
            <v>3.58</v>
          </cell>
          <cell r="F51">
            <v>3.66</v>
          </cell>
          <cell r="G51">
            <v>3.5</v>
          </cell>
          <cell r="H51">
            <v>2.99</v>
          </cell>
          <cell r="I51">
            <v>3.08</v>
          </cell>
          <cell r="J51">
            <v>2.2599999999999998</v>
          </cell>
          <cell r="K51">
            <v>2.12</v>
          </cell>
          <cell r="L51">
            <v>2.96</v>
          </cell>
          <cell r="M51">
            <v>3.17</v>
          </cell>
        </row>
        <row r="52">
          <cell r="B52" t="str">
            <v>PNM</v>
          </cell>
          <cell r="C52">
            <v>1.65</v>
          </cell>
          <cell r="D52">
            <v>1.64</v>
          </cell>
          <cell r="E52">
            <v>1.45</v>
          </cell>
          <cell r="F52">
            <v>1.41</v>
          </cell>
          <cell r="G52">
            <v>1.31</v>
          </cell>
          <cell r="H52">
            <v>1.08</v>
          </cell>
          <cell r="I52">
            <v>0.87</v>
          </cell>
          <cell r="J52">
            <v>0.57999999999999996</v>
          </cell>
          <cell r="K52">
            <v>0.11</v>
          </cell>
          <cell r="L52">
            <v>0.76</v>
          </cell>
          <cell r="M52">
            <v>1.72</v>
          </cell>
        </row>
        <row r="53">
          <cell r="B53" t="str">
            <v>POR</v>
          </cell>
          <cell r="C53">
            <v>2.16</v>
          </cell>
          <cell r="D53">
            <v>2.04</v>
          </cell>
          <cell r="E53">
            <v>2.1800000000000002</v>
          </cell>
          <cell r="F53">
            <v>1.77</v>
          </cell>
          <cell r="G53">
            <v>1.87</v>
          </cell>
          <cell r="H53">
            <v>1.95</v>
          </cell>
          <cell r="I53">
            <v>1.66</v>
          </cell>
          <cell r="J53">
            <v>1.31</v>
          </cell>
          <cell r="K53">
            <v>1.39</v>
          </cell>
          <cell r="L53">
            <v>2.33</v>
          </cell>
          <cell r="M53">
            <v>1.1399999999999999</v>
          </cell>
        </row>
        <row r="54">
          <cell r="B54" t="str">
            <v>PPL</v>
          </cell>
          <cell r="C54">
            <v>2.79</v>
          </cell>
          <cell r="D54">
            <v>2.37</v>
          </cell>
          <cell r="E54">
            <v>2.38</v>
          </cell>
          <cell r="F54">
            <v>2.38</v>
          </cell>
          <cell r="G54">
            <v>2.61</v>
          </cell>
          <cell r="H54">
            <v>2.61</v>
          </cell>
          <cell r="I54">
            <v>2.29</v>
          </cell>
          <cell r="J54">
            <v>1.19</v>
          </cell>
          <cell r="K54">
            <v>2.4500000000000002</v>
          </cell>
          <cell r="L54">
            <v>2.63</v>
          </cell>
          <cell r="M54">
            <v>2.29</v>
          </cell>
        </row>
        <row r="55">
          <cell r="B55" t="str">
            <v>PEG</v>
          </cell>
          <cell r="C55">
            <v>2.83</v>
          </cell>
          <cell r="D55">
            <v>3.3</v>
          </cell>
          <cell r="E55">
            <v>2.99</v>
          </cell>
          <cell r="F55">
            <v>2.4500000000000002</v>
          </cell>
          <cell r="G55">
            <v>2.44</v>
          </cell>
          <cell r="H55">
            <v>3.11</v>
          </cell>
          <cell r="I55">
            <v>3.07</v>
          </cell>
          <cell r="J55">
            <v>3.08</v>
          </cell>
          <cell r="K55">
            <v>2.9</v>
          </cell>
          <cell r="L55">
            <v>2.59</v>
          </cell>
          <cell r="M55">
            <v>1.845</v>
          </cell>
        </row>
        <row r="56">
          <cell r="B56" t="str">
            <v>RGCO</v>
          </cell>
          <cell r="C56">
            <v>0.81299999999999994</v>
          </cell>
          <cell r="D56">
            <v>0.72</v>
          </cell>
          <cell r="E56">
            <v>0.66700000000000004</v>
          </cell>
          <cell r="F56">
            <v>0.60699999999999998</v>
          </cell>
          <cell r="G56">
            <v>0.61299999999999999</v>
          </cell>
          <cell r="H56">
            <v>0.67300000000000004</v>
          </cell>
          <cell r="I56">
            <v>0.65300000000000002</v>
          </cell>
          <cell r="J56">
            <v>0.72699999999999998</v>
          </cell>
          <cell r="K56">
            <v>0.64300000000000002</v>
          </cell>
          <cell r="L56">
            <v>0.57699999999999996</v>
          </cell>
          <cell r="M56">
            <v>0.51300000000000001</v>
          </cell>
        </row>
        <row r="57">
          <cell r="B57" t="str">
            <v>SCG</v>
          </cell>
          <cell r="C57">
            <v>4.16</v>
          </cell>
          <cell r="D57">
            <v>3.81</v>
          </cell>
          <cell r="E57">
            <v>3.79</v>
          </cell>
          <cell r="F57">
            <v>3.39</v>
          </cell>
          <cell r="G57">
            <v>3.15</v>
          </cell>
          <cell r="H57">
            <v>2.97</v>
          </cell>
          <cell r="I57">
            <v>2.98</v>
          </cell>
          <cell r="J57">
            <v>2.85</v>
          </cell>
          <cell r="K57">
            <v>2.95</v>
          </cell>
          <cell r="L57">
            <v>2.74</v>
          </cell>
          <cell r="M57">
            <v>2.59</v>
          </cell>
        </row>
        <row r="58">
          <cell r="B58" t="str">
            <v>SRE</v>
          </cell>
          <cell r="C58">
            <v>4.24</v>
          </cell>
          <cell r="D58">
            <v>5.23</v>
          </cell>
          <cell r="E58">
            <v>4.63</v>
          </cell>
          <cell r="F58">
            <v>4.22</v>
          </cell>
          <cell r="G58">
            <v>4.3499999999999996</v>
          </cell>
          <cell r="H58">
            <v>4.47</v>
          </cell>
          <cell r="I58">
            <v>4.0199999999999996</v>
          </cell>
          <cell r="J58">
            <v>4.78</v>
          </cell>
          <cell r="K58">
            <v>4.43</v>
          </cell>
          <cell r="L58">
            <v>4.26</v>
          </cell>
          <cell r="M58">
            <v>4.2300000000000004</v>
          </cell>
        </row>
        <row r="59">
          <cell r="B59" t="str">
            <v>SJW</v>
          </cell>
          <cell r="C59">
            <v>2.57</v>
          </cell>
          <cell r="D59">
            <v>1.85</v>
          </cell>
          <cell r="E59">
            <v>2.54</v>
          </cell>
          <cell r="F59">
            <v>1.1200000000000001</v>
          </cell>
          <cell r="G59">
            <v>1.18</v>
          </cell>
          <cell r="H59">
            <v>1.1100000000000001</v>
          </cell>
          <cell r="I59">
            <v>0.84</v>
          </cell>
          <cell r="J59">
            <v>0.81</v>
          </cell>
          <cell r="K59">
            <v>1.0840000000000001</v>
          </cell>
          <cell r="L59">
            <v>1.04</v>
          </cell>
          <cell r="M59">
            <v>1.19</v>
          </cell>
        </row>
        <row r="60">
          <cell r="B60" t="str">
            <v>SJI</v>
          </cell>
          <cell r="C60">
            <v>1.34</v>
          </cell>
          <cell r="D60">
            <v>1.44</v>
          </cell>
          <cell r="E60">
            <v>1.5649999999999999</v>
          </cell>
          <cell r="F60">
            <v>1.5149999999999999</v>
          </cell>
          <cell r="G60">
            <v>1.5149999999999999</v>
          </cell>
          <cell r="H60">
            <v>1.4450000000000001</v>
          </cell>
          <cell r="I60">
            <v>1.35</v>
          </cell>
          <cell r="J60">
            <v>1.19</v>
          </cell>
          <cell r="K60">
            <v>1.135</v>
          </cell>
          <cell r="L60">
            <v>1.0449999999999999</v>
          </cell>
          <cell r="M60">
            <v>1.23</v>
          </cell>
        </row>
        <row r="61">
          <cell r="B61" t="str">
            <v>SO</v>
          </cell>
          <cell r="C61">
            <v>2.83</v>
          </cell>
          <cell r="D61">
            <v>2.84</v>
          </cell>
          <cell r="E61">
            <v>2.77</v>
          </cell>
          <cell r="F61">
            <v>2.7</v>
          </cell>
          <cell r="G61">
            <v>2.67</v>
          </cell>
          <cell r="H61">
            <v>2.5499999999999998</v>
          </cell>
          <cell r="I61">
            <v>2.36</v>
          </cell>
          <cell r="J61">
            <v>2.3199999999999998</v>
          </cell>
          <cell r="K61">
            <v>2.25</v>
          </cell>
          <cell r="L61">
            <v>2.2799999999999998</v>
          </cell>
          <cell r="M61">
            <v>2.1</v>
          </cell>
        </row>
        <row r="62">
          <cell r="B62" t="str">
            <v>SWX</v>
          </cell>
          <cell r="C62">
            <v>3.18</v>
          </cell>
          <cell r="D62">
            <v>2.92</v>
          </cell>
          <cell r="E62">
            <v>3.01</v>
          </cell>
          <cell r="F62">
            <v>3.11</v>
          </cell>
          <cell r="G62">
            <v>2.86</v>
          </cell>
          <cell r="H62">
            <v>2.4300000000000002</v>
          </cell>
          <cell r="I62">
            <v>2.27</v>
          </cell>
          <cell r="J62">
            <v>1.94</v>
          </cell>
          <cell r="K62">
            <v>1.39</v>
          </cell>
          <cell r="L62">
            <v>1.95</v>
          </cell>
          <cell r="M62">
            <v>1.98</v>
          </cell>
        </row>
        <row r="63">
          <cell r="B63" t="str">
            <v>SR</v>
          </cell>
          <cell r="C63">
            <v>3.24</v>
          </cell>
          <cell r="D63">
            <v>3.16</v>
          </cell>
          <cell r="E63">
            <v>2.35</v>
          </cell>
          <cell r="F63">
            <v>2.02</v>
          </cell>
          <cell r="G63">
            <v>2.79</v>
          </cell>
          <cell r="H63">
            <v>2.86</v>
          </cell>
          <cell r="I63">
            <v>2.4300000000000002</v>
          </cell>
          <cell r="J63">
            <v>2.92</v>
          </cell>
          <cell r="K63">
            <v>2.64</v>
          </cell>
          <cell r="L63">
            <v>2.31</v>
          </cell>
          <cell r="M63">
            <v>2.37</v>
          </cell>
        </row>
        <row r="64">
          <cell r="B64" t="str">
            <v>SGU</v>
          </cell>
          <cell r="C64">
            <v>0.7</v>
          </cell>
          <cell r="D64">
            <v>0.59</v>
          </cell>
          <cell r="E64">
            <v>0.56999999999999995</v>
          </cell>
          <cell r="F64">
            <v>0.47</v>
          </cell>
          <cell r="G64">
            <v>0.4</v>
          </cell>
          <cell r="H64">
            <v>0.36</v>
          </cell>
          <cell r="I64">
            <v>0.38</v>
          </cell>
          <cell r="J64">
            <v>1.43</v>
          </cell>
          <cell r="K64">
            <v>-0.18</v>
          </cell>
          <cell r="L64">
            <v>0.51400000000000001</v>
          </cell>
          <cell r="M64">
            <v>-1.01</v>
          </cell>
        </row>
        <row r="65">
          <cell r="B65" t="str">
            <v>UGI</v>
          </cell>
          <cell r="C65">
            <v>2.0499999999999998</v>
          </cell>
          <cell r="D65">
            <v>2.0099999999999998</v>
          </cell>
          <cell r="E65">
            <v>1.92</v>
          </cell>
          <cell r="F65">
            <v>1.593</v>
          </cell>
          <cell r="G65">
            <v>1.173</v>
          </cell>
          <cell r="H65">
            <v>1.373</v>
          </cell>
          <cell r="I65">
            <v>1.587</v>
          </cell>
          <cell r="J65">
            <v>1.573</v>
          </cell>
          <cell r="K65">
            <v>1.327</v>
          </cell>
          <cell r="L65">
            <v>1.18</v>
          </cell>
          <cell r="M65">
            <v>1.1000000000000001</v>
          </cell>
        </row>
        <row r="66">
          <cell r="B66" t="str">
            <v>UTL</v>
          </cell>
          <cell r="C66">
            <v>1.94</v>
          </cell>
          <cell r="D66">
            <v>1.89</v>
          </cell>
          <cell r="E66">
            <v>1.79</v>
          </cell>
          <cell r="F66">
            <v>1.57</v>
          </cell>
          <cell r="G66">
            <v>1.43</v>
          </cell>
          <cell r="H66">
            <v>1.5</v>
          </cell>
          <cell r="I66">
            <v>0.88</v>
          </cell>
          <cell r="J66">
            <v>1.03</v>
          </cell>
          <cell r="K66">
            <v>1.65</v>
          </cell>
          <cell r="L66">
            <v>1.52</v>
          </cell>
          <cell r="M66">
            <v>1.41</v>
          </cell>
        </row>
        <row r="67">
          <cell r="B67" t="str">
            <v>VVC</v>
          </cell>
          <cell r="C67">
            <v>2.5499999999999998</v>
          </cell>
          <cell r="D67">
            <v>2.39</v>
          </cell>
          <cell r="E67">
            <v>2.02</v>
          </cell>
          <cell r="F67">
            <v>1.66</v>
          </cell>
          <cell r="G67">
            <v>1.94</v>
          </cell>
          <cell r="H67">
            <v>1.73</v>
          </cell>
          <cell r="I67">
            <v>1.64</v>
          </cell>
          <cell r="J67">
            <v>1.79</v>
          </cell>
          <cell r="K67">
            <v>1.63</v>
          </cell>
          <cell r="L67">
            <v>1.83</v>
          </cell>
          <cell r="M67">
            <v>1.44</v>
          </cell>
        </row>
        <row r="68">
          <cell r="B68" t="str">
            <v>WEC</v>
          </cell>
          <cell r="C68">
            <v>2.96</v>
          </cell>
          <cell r="D68">
            <v>2.34</v>
          </cell>
          <cell r="E68">
            <v>2.59</v>
          </cell>
          <cell r="F68">
            <v>2.5099999999999998</v>
          </cell>
          <cell r="G68">
            <v>2.35</v>
          </cell>
          <cell r="H68">
            <v>2.1800000000000002</v>
          </cell>
          <cell r="I68">
            <v>1.92</v>
          </cell>
          <cell r="J68">
            <v>1.6</v>
          </cell>
          <cell r="K68">
            <v>1.5149999999999999</v>
          </cell>
          <cell r="L68">
            <v>1.42</v>
          </cell>
          <cell r="M68">
            <v>1.32</v>
          </cell>
        </row>
        <row r="69">
          <cell r="B69" t="str">
            <v>WR</v>
          </cell>
          <cell r="C69">
            <v>2.4300000000000002</v>
          </cell>
          <cell r="D69">
            <v>2.09</v>
          </cell>
          <cell r="E69">
            <v>2.35</v>
          </cell>
          <cell r="F69">
            <v>2.27</v>
          </cell>
          <cell r="G69">
            <v>2.15</v>
          </cell>
          <cell r="H69">
            <v>1.79</v>
          </cell>
          <cell r="I69">
            <v>1.8</v>
          </cell>
          <cell r="J69">
            <v>1.28</v>
          </cell>
          <cell r="K69">
            <v>1.31</v>
          </cell>
          <cell r="L69">
            <v>1.84</v>
          </cell>
          <cell r="M69">
            <v>1.88</v>
          </cell>
        </row>
        <row r="70">
          <cell r="B70" t="str">
            <v>WGL</v>
          </cell>
          <cell r="C70">
            <v>3.27</v>
          </cell>
          <cell r="D70">
            <v>3.16</v>
          </cell>
          <cell r="E70">
            <v>2.68</v>
          </cell>
          <cell r="F70">
            <v>2.31</v>
          </cell>
          <cell r="G70">
            <v>2.68</v>
          </cell>
          <cell r="H70">
            <v>2.25</v>
          </cell>
          <cell r="I70">
            <v>2.27</v>
          </cell>
          <cell r="J70">
            <v>2.5299999999999998</v>
          </cell>
          <cell r="K70">
            <v>2.44</v>
          </cell>
          <cell r="L70">
            <v>2.09</v>
          </cell>
          <cell r="M70">
            <v>1.94</v>
          </cell>
        </row>
        <row r="71">
          <cell r="B71" t="str">
            <v>XEL</v>
          </cell>
          <cell r="C71">
            <v>2.21</v>
          </cell>
          <cell r="D71">
            <v>2.1</v>
          </cell>
          <cell r="E71">
            <v>2.0299999999999998</v>
          </cell>
          <cell r="F71">
            <v>1.91</v>
          </cell>
          <cell r="G71">
            <v>1.85</v>
          </cell>
          <cell r="H71">
            <v>1.72</v>
          </cell>
          <cell r="I71">
            <v>1.56</v>
          </cell>
          <cell r="J71">
            <v>1.49</v>
          </cell>
          <cell r="K71">
            <v>1.46</v>
          </cell>
          <cell r="L71">
            <v>1.35</v>
          </cell>
          <cell r="M71">
            <v>1.35</v>
          </cell>
        </row>
        <row r="72">
          <cell r="B72" t="str">
            <v>YORW</v>
          </cell>
          <cell r="C72">
            <v>0.92</v>
          </cell>
          <cell r="D72">
            <v>0.97</v>
          </cell>
          <cell r="E72">
            <v>0.89</v>
          </cell>
          <cell r="F72">
            <v>0.75</v>
          </cell>
          <cell r="G72">
            <v>0.72</v>
          </cell>
          <cell r="H72">
            <v>0.71</v>
          </cell>
          <cell r="I72">
            <v>0.71</v>
          </cell>
          <cell r="J72">
            <v>0.64</v>
          </cell>
          <cell r="K72">
            <v>0.56999999999999995</v>
          </cell>
          <cell r="L72">
            <v>0.56999999999999995</v>
          </cell>
          <cell r="M72">
            <v>0.57999999999999996</v>
          </cell>
        </row>
      </sheetData>
      <sheetData sheetId="31">
        <row r="3">
          <cell r="B3" t="str">
            <v>Ticker</v>
          </cell>
          <cell r="C3" t="str">
            <v>2016 Div declared per share</v>
          </cell>
          <cell r="D3" t="str">
            <v>2015 Div declared per share</v>
          </cell>
          <cell r="E3" t="str">
            <v>2014 Div declared per share</v>
          </cell>
          <cell r="F3" t="str">
            <v>2013 Div declared per share</v>
          </cell>
          <cell r="G3" t="str">
            <v>2012 Div declared per share</v>
          </cell>
          <cell r="H3" t="str">
            <v>2011 Div declared per share</v>
          </cell>
          <cell r="I3" t="str">
            <v>2010 Div declared per share</v>
          </cell>
          <cell r="J3" t="str">
            <v>2009 Div declared per share</v>
          </cell>
          <cell r="K3" t="str">
            <v>2008 Div declared per share</v>
          </cell>
          <cell r="L3" t="str">
            <v>2007 Div declared per share</v>
          </cell>
          <cell r="M3" t="str">
            <v>2006 Div declared per share</v>
          </cell>
        </row>
        <row r="4">
          <cell r="B4" t="str">
            <v>AE</v>
          </cell>
          <cell r="C4">
            <v>0.88</v>
          </cell>
          <cell r="D4">
            <v>0.88</v>
          </cell>
          <cell r="E4">
            <v>0.88</v>
          </cell>
          <cell r="F4">
            <v>0.66</v>
          </cell>
          <cell r="G4">
            <v>0.62</v>
          </cell>
          <cell r="H4">
            <v>0.56999999999999995</v>
          </cell>
          <cell r="I4">
            <v>0.54</v>
          </cell>
          <cell r="J4">
            <v>0.5</v>
          </cell>
          <cell r="K4">
            <v>0.5</v>
          </cell>
          <cell r="L4">
            <v>0.47</v>
          </cell>
          <cell r="M4">
            <v>0.42</v>
          </cell>
        </row>
        <row r="5">
          <cell r="B5" t="str">
            <v>ALE</v>
          </cell>
          <cell r="C5">
            <v>2.08</v>
          </cell>
          <cell r="D5">
            <v>2.02</v>
          </cell>
          <cell r="E5">
            <v>1.96</v>
          </cell>
          <cell r="F5">
            <v>1.9</v>
          </cell>
          <cell r="G5">
            <v>1.84</v>
          </cell>
          <cell r="H5">
            <v>1.78</v>
          </cell>
          <cell r="I5">
            <v>1.76</v>
          </cell>
          <cell r="J5">
            <v>1.76</v>
          </cell>
          <cell r="K5">
            <v>1.72</v>
          </cell>
          <cell r="L5">
            <v>1.64</v>
          </cell>
          <cell r="M5">
            <v>1.45</v>
          </cell>
        </row>
        <row r="6">
          <cell r="B6" t="str">
            <v>LNT</v>
          </cell>
          <cell r="C6">
            <v>1.18</v>
          </cell>
          <cell r="D6">
            <v>1.1000000000000001</v>
          </cell>
          <cell r="E6">
            <v>1.02</v>
          </cell>
          <cell r="F6">
            <v>0.94</v>
          </cell>
          <cell r="G6">
            <v>0.9</v>
          </cell>
          <cell r="H6">
            <v>0.85</v>
          </cell>
          <cell r="I6">
            <v>0.79</v>
          </cell>
          <cell r="J6">
            <v>0.75</v>
          </cell>
          <cell r="K6">
            <v>0.7</v>
          </cell>
          <cell r="L6">
            <v>0.63500000000000001</v>
          </cell>
          <cell r="M6">
            <v>0.57499999999999996</v>
          </cell>
        </row>
        <row r="7">
          <cell r="B7" t="str">
            <v>AEP</v>
          </cell>
          <cell r="C7">
            <v>2.27</v>
          </cell>
          <cell r="D7">
            <v>2.15</v>
          </cell>
          <cell r="E7">
            <v>2.0299999999999998</v>
          </cell>
          <cell r="F7">
            <v>1.95</v>
          </cell>
          <cell r="G7">
            <v>1.88</v>
          </cell>
          <cell r="H7">
            <v>1.85</v>
          </cell>
          <cell r="I7">
            <v>1.71</v>
          </cell>
          <cell r="J7">
            <v>1.64</v>
          </cell>
          <cell r="K7">
            <v>1.64</v>
          </cell>
          <cell r="L7">
            <v>1.58</v>
          </cell>
          <cell r="M7">
            <v>1.5</v>
          </cell>
        </row>
        <row r="8">
          <cell r="B8" t="str">
            <v>AWR</v>
          </cell>
          <cell r="C8">
            <v>0.91400000000000003</v>
          </cell>
          <cell r="D8">
            <v>0.874</v>
          </cell>
          <cell r="E8">
            <v>0.83099999999999996</v>
          </cell>
          <cell r="F8">
            <v>0.76</v>
          </cell>
          <cell r="G8">
            <v>0.63500000000000001</v>
          </cell>
          <cell r="H8">
            <v>0.55000000000000004</v>
          </cell>
          <cell r="I8">
            <v>0.52</v>
          </cell>
          <cell r="J8">
            <v>0.505</v>
          </cell>
          <cell r="K8">
            <v>0.5</v>
          </cell>
          <cell r="L8">
            <v>0.47799999999999998</v>
          </cell>
          <cell r="M8">
            <v>0.45500000000000002</v>
          </cell>
        </row>
        <row r="9">
          <cell r="B9" t="str">
            <v>AWK</v>
          </cell>
          <cell r="C9">
            <v>1.47</v>
          </cell>
          <cell r="D9">
            <v>1.33</v>
          </cell>
          <cell r="E9">
            <v>1.21</v>
          </cell>
          <cell r="F9">
            <v>0.84</v>
          </cell>
          <cell r="G9">
            <v>1.21</v>
          </cell>
          <cell r="H9">
            <v>0.9</v>
          </cell>
          <cell r="I9">
            <v>0.86</v>
          </cell>
          <cell r="J9">
            <v>0.82</v>
          </cell>
          <cell r="K9">
            <v>0.4</v>
          </cell>
          <cell r="L9">
            <v>0</v>
          </cell>
          <cell r="M9">
            <v>0</v>
          </cell>
        </row>
        <row r="10">
          <cell r="B10" t="str">
            <v>AEE</v>
          </cell>
          <cell r="C10">
            <v>1.7150000000000001</v>
          </cell>
          <cell r="D10">
            <v>1.655</v>
          </cell>
          <cell r="E10">
            <v>1.61</v>
          </cell>
          <cell r="F10">
            <v>1.6</v>
          </cell>
          <cell r="G10">
            <v>1.6</v>
          </cell>
          <cell r="H10">
            <v>1.5549999999999999</v>
          </cell>
          <cell r="I10">
            <v>1.54</v>
          </cell>
          <cell r="J10">
            <v>1.54</v>
          </cell>
          <cell r="K10">
            <v>2.54</v>
          </cell>
          <cell r="L10">
            <v>2.54</v>
          </cell>
          <cell r="M10">
            <v>2.54</v>
          </cell>
        </row>
        <row r="11">
          <cell r="B11" t="str">
            <v>APU</v>
          </cell>
          <cell r="C11">
            <v>3.72</v>
          </cell>
          <cell r="D11">
            <v>3.6</v>
          </cell>
          <cell r="E11">
            <v>3.44</v>
          </cell>
          <cell r="F11">
            <v>3.28</v>
          </cell>
          <cell r="G11">
            <v>3.1</v>
          </cell>
          <cell r="H11">
            <v>2.9249999999999998</v>
          </cell>
          <cell r="I11">
            <v>2.7850000000000001</v>
          </cell>
          <cell r="J11">
            <v>2.62</v>
          </cell>
          <cell r="K11">
            <v>2.5299999999999998</v>
          </cell>
          <cell r="L11">
            <v>2.66</v>
          </cell>
          <cell r="M11">
            <v>2.2799999999999998</v>
          </cell>
        </row>
        <row r="12">
          <cell r="B12" t="str">
            <v>WTR</v>
          </cell>
          <cell r="C12">
            <v>0.74</v>
          </cell>
          <cell r="D12">
            <v>0.69</v>
          </cell>
          <cell r="E12">
            <v>0.63</v>
          </cell>
          <cell r="F12">
            <v>0.57999999999999996</v>
          </cell>
          <cell r="G12">
            <v>0.53600000000000003</v>
          </cell>
          <cell r="H12">
            <v>0.504</v>
          </cell>
          <cell r="I12">
            <v>0.47199999999999998</v>
          </cell>
          <cell r="J12">
            <v>0.44</v>
          </cell>
          <cell r="K12">
            <v>0.40799999999999997</v>
          </cell>
          <cell r="L12">
            <v>0.38400000000000001</v>
          </cell>
          <cell r="M12">
            <v>0.35199999999999998</v>
          </cell>
        </row>
        <row r="13">
          <cell r="B13" t="str">
            <v>ARTNA</v>
          </cell>
          <cell r="C13">
            <v>0.9</v>
          </cell>
          <cell r="D13">
            <v>0.873</v>
          </cell>
          <cell r="E13">
            <v>0.84799999999999998</v>
          </cell>
          <cell r="F13">
            <v>0.82399999999999995</v>
          </cell>
          <cell r="G13">
            <v>0.79200000000000004</v>
          </cell>
          <cell r="H13">
            <v>0.76300000000000001</v>
          </cell>
          <cell r="I13">
            <v>0.752</v>
          </cell>
          <cell r="J13">
            <v>0.72099999999999997</v>
          </cell>
          <cell r="K13">
            <v>0.70599999999999996</v>
          </cell>
          <cell r="L13">
            <v>0.66400000000000003</v>
          </cell>
          <cell r="M13">
            <v>0.61</v>
          </cell>
        </row>
        <row r="14">
          <cell r="B14" t="str">
            <v>ATO</v>
          </cell>
          <cell r="C14">
            <v>1.68</v>
          </cell>
          <cell r="D14">
            <v>1.56</v>
          </cell>
          <cell r="E14">
            <v>1.48</v>
          </cell>
          <cell r="F14">
            <v>1.4</v>
          </cell>
          <cell r="G14">
            <v>1.38</v>
          </cell>
          <cell r="H14">
            <v>1.36</v>
          </cell>
          <cell r="I14">
            <v>1.34</v>
          </cell>
          <cell r="J14">
            <v>1.32</v>
          </cell>
          <cell r="K14">
            <v>1.3</v>
          </cell>
          <cell r="L14">
            <v>1.28</v>
          </cell>
          <cell r="M14">
            <v>1.26</v>
          </cell>
        </row>
        <row r="15">
          <cell r="B15" t="str">
            <v>AGR</v>
          </cell>
          <cell r="C15">
            <v>1.728</v>
          </cell>
          <cell r="D15">
            <v>0</v>
          </cell>
          <cell r="E15" t="str">
            <v>N/A</v>
          </cell>
          <cell r="F15" t="str">
            <v>N/A</v>
          </cell>
          <cell r="G15" t="str">
            <v>N/A</v>
          </cell>
          <cell r="H15" t="str">
            <v>N/A</v>
          </cell>
          <cell r="I15" t="str">
            <v>N/A</v>
          </cell>
          <cell r="J15" t="str">
            <v>N/A</v>
          </cell>
          <cell r="K15" t="str">
            <v>N/A</v>
          </cell>
          <cell r="L15" t="str">
            <v>N/A</v>
          </cell>
          <cell r="M15" t="str">
            <v>N/A</v>
          </cell>
        </row>
        <row r="16">
          <cell r="B16" t="str">
            <v>AVA</v>
          </cell>
          <cell r="C16">
            <v>1.37</v>
          </cell>
          <cell r="D16">
            <v>1.32</v>
          </cell>
          <cell r="E16">
            <v>1.27</v>
          </cell>
          <cell r="F16">
            <v>1.22</v>
          </cell>
          <cell r="G16">
            <v>1.1599999999999999</v>
          </cell>
          <cell r="H16">
            <v>1.1000000000000001</v>
          </cell>
          <cell r="I16">
            <v>1</v>
          </cell>
          <cell r="J16">
            <v>0.81</v>
          </cell>
          <cell r="K16">
            <v>0.69</v>
          </cell>
          <cell r="L16">
            <v>0.59499999999999997</v>
          </cell>
          <cell r="M16">
            <v>0.56999999999999995</v>
          </cell>
        </row>
        <row r="17">
          <cell r="B17" t="str">
            <v>BKH</v>
          </cell>
          <cell r="C17">
            <v>1.68</v>
          </cell>
          <cell r="D17">
            <v>1.62</v>
          </cell>
          <cell r="E17">
            <v>1.56</v>
          </cell>
          <cell r="F17">
            <v>1.52</v>
          </cell>
          <cell r="G17">
            <v>1.48</v>
          </cell>
          <cell r="H17">
            <v>1.46</v>
          </cell>
          <cell r="I17">
            <v>1.44</v>
          </cell>
          <cell r="J17">
            <v>1.42</v>
          </cell>
          <cell r="K17">
            <v>1.4</v>
          </cell>
          <cell r="L17">
            <v>1.37</v>
          </cell>
          <cell r="M17">
            <v>1.32</v>
          </cell>
        </row>
        <row r="18">
          <cell r="B18" t="str">
            <v>CWT</v>
          </cell>
          <cell r="C18">
            <v>0.69</v>
          </cell>
          <cell r="D18">
            <v>0.67</v>
          </cell>
          <cell r="E18">
            <v>0.65</v>
          </cell>
          <cell r="F18">
            <v>0.64</v>
          </cell>
          <cell r="G18">
            <v>0.63</v>
          </cell>
          <cell r="H18">
            <v>0.61499999999999999</v>
          </cell>
          <cell r="I18">
            <v>0.59499999999999997</v>
          </cell>
          <cell r="J18">
            <v>0.59</v>
          </cell>
          <cell r="K18">
            <v>0.58499999999999996</v>
          </cell>
          <cell r="L18">
            <v>0.57999999999999996</v>
          </cell>
          <cell r="M18">
            <v>0.57499999999999996</v>
          </cell>
        </row>
        <row r="19">
          <cell r="B19" t="str">
            <v>CNP</v>
          </cell>
          <cell r="C19">
            <v>1.03</v>
          </cell>
          <cell r="D19">
            <v>0.99</v>
          </cell>
          <cell r="E19">
            <v>0.95</v>
          </cell>
          <cell r="F19">
            <v>0.83</v>
          </cell>
          <cell r="G19">
            <v>0.81</v>
          </cell>
          <cell r="H19">
            <v>0.79</v>
          </cell>
          <cell r="I19">
            <v>0.78</v>
          </cell>
          <cell r="J19">
            <v>0.76</v>
          </cell>
          <cell r="K19">
            <v>0.73</v>
          </cell>
          <cell r="L19">
            <v>0.68</v>
          </cell>
          <cell r="M19">
            <v>0.6</v>
          </cell>
        </row>
        <row r="20">
          <cell r="B20" t="str">
            <v>CPK</v>
          </cell>
          <cell r="C20">
            <v>1.19</v>
          </cell>
          <cell r="D20">
            <v>1.1200000000000001</v>
          </cell>
          <cell r="E20">
            <v>1.0669999999999999</v>
          </cell>
          <cell r="F20">
            <v>1.0129999999999999</v>
          </cell>
          <cell r="G20">
            <v>0.96</v>
          </cell>
          <cell r="H20">
            <v>0.91</v>
          </cell>
          <cell r="I20">
            <v>0.87</v>
          </cell>
          <cell r="J20">
            <v>0.83299999999999996</v>
          </cell>
          <cell r="K20">
            <v>0.80700000000000005</v>
          </cell>
          <cell r="L20">
            <v>0.78300000000000003</v>
          </cell>
          <cell r="M20">
            <v>0.77</v>
          </cell>
        </row>
        <row r="21">
          <cell r="B21" t="str">
            <v>CMS</v>
          </cell>
          <cell r="C21">
            <v>1.24</v>
          </cell>
          <cell r="D21">
            <v>1.1599999999999999</v>
          </cell>
          <cell r="E21">
            <v>1.08</v>
          </cell>
          <cell r="F21">
            <v>1.02</v>
          </cell>
          <cell r="G21">
            <v>0.96</v>
          </cell>
          <cell r="H21">
            <v>0.84</v>
          </cell>
          <cell r="I21">
            <v>0.66</v>
          </cell>
          <cell r="J21">
            <v>0.5</v>
          </cell>
          <cell r="K21">
            <v>0.36</v>
          </cell>
          <cell r="L21">
            <v>0.2</v>
          </cell>
          <cell r="M21">
            <v>0</v>
          </cell>
        </row>
        <row r="22">
          <cell r="B22" t="str">
            <v>CTWS</v>
          </cell>
          <cell r="C22">
            <v>1.1200000000000001</v>
          </cell>
          <cell r="D22">
            <v>1.05</v>
          </cell>
          <cell r="E22">
            <v>1.01</v>
          </cell>
          <cell r="F22">
            <v>0.98</v>
          </cell>
          <cell r="G22">
            <v>0.96</v>
          </cell>
          <cell r="H22">
            <v>0.94</v>
          </cell>
          <cell r="I22">
            <v>0.92</v>
          </cell>
          <cell r="J22">
            <v>0.9</v>
          </cell>
          <cell r="K22">
            <v>0.88</v>
          </cell>
          <cell r="L22">
            <v>0.87</v>
          </cell>
          <cell r="M22">
            <v>0.85499999999999998</v>
          </cell>
        </row>
        <row r="23">
          <cell r="B23" t="str">
            <v>ED</v>
          </cell>
          <cell r="C23">
            <v>2.68</v>
          </cell>
          <cell r="D23">
            <v>2.6</v>
          </cell>
          <cell r="E23">
            <v>2.52</v>
          </cell>
          <cell r="F23">
            <v>2.46</v>
          </cell>
          <cell r="G23">
            <v>2.42</v>
          </cell>
          <cell r="H23">
            <v>2.4</v>
          </cell>
          <cell r="I23">
            <v>2.38</v>
          </cell>
          <cell r="J23">
            <v>2.36</v>
          </cell>
          <cell r="K23">
            <v>2.34</v>
          </cell>
          <cell r="L23">
            <v>2.3199999999999998</v>
          </cell>
          <cell r="M23">
            <v>2.2999999999999998</v>
          </cell>
        </row>
        <row r="24">
          <cell r="B24" t="str">
            <v>CWCO</v>
          </cell>
          <cell r="C24">
            <v>0.3</v>
          </cell>
          <cell r="D24">
            <v>0.3</v>
          </cell>
          <cell r="E24">
            <v>0.3</v>
          </cell>
          <cell r="F24">
            <v>0.3</v>
          </cell>
          <cell r="G24">
            <v>0.3</v>
          </cell>
          <cell r="H24">
            <v>0.3</v>
          </cell>
          <cell r="I24">
            <v>0.3</v>
          </cell>
          <cell r="J24">
            <v>0.28000000000000003</v>
          </cell>
          <cell r="K24">
            <v>0.32500000000000001</v>
          </cell>
          <cell r="L24">
            <v>0.19500000000000001</v>
          </cell>
          <cell r="M24">
            <v>0.24</v>
          </cell>
        </row>
        <row r="25">
          <cell r="B25" t="str">
            <v>DGAS</v>
          </cell>
          <cell r="C25">
            <v>0.82</v>
          </cell>
          <cell r="D25">
            <v>0.8</v>
          </cell>
          <cell r="E25">
            <v>0.76</v>
          </cell>
          <cell r="F25">
            <v>0.72</v>
          </cell>
          <cell r="G25">
            <v>0.7</v>
          </cell>
          <cell r="H25">
            <v>0.68</v>
          </cell>
          <cell r="I25">
            <v>0.65</v>
          </cell>
          <cell r="J25">
            <v>0.64</v>
          </cell>
          <cell r="K25">
            <v>0.62</v>
          </cell>
          <cell r="L25">
            <v>0.61</v>
          </cell>
          <cell r="M25">
            <v>0.6</v>
          </cell>
        </row>
        <row r="26">
          <cell r="B26" t="str">
            <v>D</v>
          </cell>
          <cell r="C26">
            <v>2.8</v>
          </cell>
          <cell r="D26">
            <v>2.59</v>
          </cell>
          <cell r="E26">
            <v>2.4</v>
          </cell>
          <cell r="F26">
            <v>2.25</v>
          </cell>
          <cell r="G26">
            <v>2.11</v>
          </cell>
          <cell r="H26">
            <v>1.97</v>
          </cell>
          <cell r="I26">
            <v>1.83</v>
          </cell>
          <cell r="J26">
            <v>1.75</v>
          </cell>
          <cell r="K26">
            <v>1.58</v>
          </cell>
          <cell r="L26">
            <v>1.46</v>
          </cell>
          <cell r="M26">
            <v>1.38</v>
          </cell>
        </row>
        <row r="27">
          <cell r="B27" t="str">
            <v>DTE</v>
          </cell>
          <cell r="C27">
            <v>3.06</v>
          </cell>
          <cell r="D27">
            <v>2.84</v>
          </cell>
          <cell r="E27">
            <v>2.69</v>
          </cell>
          <cell r="F27">
            <v>2.59</v>
          </cell>
          <cell r="G27">
            <v>2.42</v>
          </cell>
          <cell r="H27">
            <v>2.3199999999999998</v>
          </cell>
          <cell r="I27">
            <v>2.1800000000000002</v>
          </cell>
          <cell r="J27">
            <v>2.12</v>
          </cell>
          <cell r="K27">
            <v>2.12</v>
          </cell>
          <cell r="L27">
            <v>2.12</v>
          </cell>
          <cell r="M27">
            <v>2.0750000000000002</v>
          </cell>
        </row>
        <row r="28">
          <cell r="B28" t="str">
            <v>DUK</v>
          </cell>
          <cell r="C28">
            <v>3.36</v>
          </cell>
          <cell r="D28">
            <v>3.24</v>
          </cell>
          <cell r="E28">
            <v>3.15</v>
          </cell>
          <cell r="F28">
            <v>3.09</v>
          </cell>
          <cell r="G28">
            <v>3.03</v>
          </cell>
          <cell r="H28">
            <v>2.97</v>
          </cell>
          <cell r="I28">
            <v>2.91</v>
          </cell>
          <cell r="J28">
            <v>2.82</v>
          </cell>
          <cell r="K28">
            <v>2.7</v>
          </cell>
          <cell r="L28">
            <v>2.58</v>
          </cell>
          <cell r="M28">
            <v>0</v>
          </cell>
        </row>
        <row r="29">
          <cell r="B29" t="str">
            <v>EIX</v>
          </cell>
          <cell r="C29">
            <v>1.9830000000000001</v>
          </cell>
          <cell r="D29">
            <v>1.7330000000000001</v>
          </cell>
          <cell r="E29">
            <v>1.4830000000000001</v>
          </cell>
          <cell r="F29">
            <v>1.3680000000000001</v>
          </cell>
          <cell r="G29">
            <v>1.3129999999999999</v>
          </cell>
          <cell r="H29">
            <v>1.2849999999999999</v>
          </cell>
          <cell r="I29">
            <v>1.2649999999999999</v>
          </cell>
          <cell r="J29">
            <v>1.2450000000000001</v>
          </cell>
          <cell r="K29">
            <v>1.2250000000000001</v>
          </cell>
          <cell r="L29">
            <v>1.175</v>
          </cell>
          <cell r="M29">
            <v>1.1000000000000001</v>
          </cell>
        </row>
        <row r="30">
          <cell r="B30" t="str">
            <v>EE</v>
          </cell>
          <cell r="C30">
            <v>1.2250000000000001</v>
          </cell>
          <cell r="D30">
            <v>1.165</v>
          </cell>
          <cell r="E30">
            <v>1.105</v>
          </cell>
          <cell r="F30">
            <v>1.0449999999999999</v>
          </cell>
          <cell r="G30">
            <v>0.97</v>
          </cell>
          <cell r="H30">
            <v>0.66</v>
          </cell>
          <cell r="I30">
            <v>0</v>
          </cell>
          <cell r="J30">
            <v>0</v>
          </cell>
          <cell r="K30">
            <v>0</v>
          </cell>
          <cell r="L30">
            <v>0</v>
          </cell>
          <cell r="M30">
            <v>0</v>
          </cell>
        </row>
        <row r="31">
          <cell r="B31" t="str">
            <v>ETR</v>
          </cell>
          <cell r="C31">
            <v>3.42</v>
          </cell>
          <cell r="D31">
            <v>3.34</v>
          </cell>
          <cell r="E31">
            <v>3.32</v>
          </cell>
          <cell r="F31">
            <v>3.32</v>
          </cell>
          <cell r="G31">
            <v>3.32</v>
          </cell>
          <cell r="H31">
            <v>3.32</v>
          </cell>
          <cell r="I31">
            <v>3.24</v>
          </cell>
          <cell r="J31">
            <v>3</v>
          </cell>
          <cell r="K31">
            <v>3</v>
          </cell>
          <cell r="L31">
            <v>2.58</v>
          </cell>
          <cell r="M31">
            <v>2.16</v>
          </cell>
        </row>
        <row r="32">
          <cell r="B32" t="str">
            <v>ES</v>
          </cell>
          <cell r="C32">
            <v>1.78</v>
          </cell>
          <cell r="D32">
            <v>1.67</v>
          </cell>
          <cell r="E32">
            <v>1.57</v>
          </cell>
          <cell r="F32">
            <v>1.47</v>
          </cell>
          <cell r="G32">
            <v>1.32</v>
          </cell>
          <cell r="H32">
            <v>1.1000000000000001</v>
          </cell>
          <cell r="I32">
            <v>1.0249999999999999</v>
          </cell>
          <cell r="J32">
            <v>0.95</v>
          </cell>
          <cell r="K32">
            <v>0.82499999999999996</v>
          </cell>
          <cell r="L32">
            <v>0.77500000000000002</v>
          </cell>
          <cell r="M32">
            <v>0.72499999999999998</v>
          </cell>
        </row>
        <row r="33">
          <cell r="B33" t="str">
            <v>EXC</v>
          </cell>
          <cell r="C33">
            <v>1.26</v>
          </cell>
          <cell r="D33">
            <v>1.24</v>
          </cell>
          <cell r="E33">
            <v>1.24</v>
          </cell>
          <cell r="F33">
            <v>1.4550000000000001</v>
          </cell>
          <cell r="G33">
            <v>2.1</v>
          </cell>
          <cell r="H33">
            <v>2.1</v>
          </cell>
          <cell r="I33">
            <v>2.1</v>
          </cell>
          <cell r="J33">
            <v>2.1</v>
          </cell>
          <cell r="K33">
            <v>2.0499999999999998</v>
          </cell>
          <cell r="L33">
            <v>1.82</v>
          </cell>
          <cell r="M33">
            <v>1.64</v>
          </cell>
        </row>
        <row r="34">
          <cell r="B34" t="str">
            <v>FE</v>
          </cell>
          <cell r="C34">
            <v>1.44</v>
          </cell>
          <cell r="D34">
            <v>1.44</v>
          </cell>
          <cell r="E34">
            <v>1.44</v>
          </cell>
          <cell r="F34">
            <v>1.65</v>
          </cell>
          <cell r="G34">
            <v>2.2000000000000002</v>
          </cell>
          <cell r="H34">
            <v>2.2000000000000002</v>
          </cell>
          <cell r="I34">
            <v>2.2000000000000002</v>
          </cell>
          <cell r="J34">
            <v>2.2000000000000002</v>
          </cell>
          <cell r="K34">
            <v>2.2000000000000002</v>
          </cell>
          <cell r="L34">
            <v>2.0499999999999998</v>
          </cell>
          <cell r="M34">
            <v>1.85</v>
          </cell>
        </row>
        <row r="35">
          <cell r="B35" t="str">
            <v>FTS.TO</v>
          </cell>
          <cell r="C35">
            <v>1.55</v>
          </cell>
          <cell r="D35">
            <v>1.43</v>
          </cell>
          <cell r="E35">
            <v>1.3</v>
          </cell>
          <cell r="F35">
            <v>1.25</v>
          </cell>
          <cell r="G35">
            <v>1.21</v>
          </cell>
          <cell r="H35">
            <v>1.17</v>
          </cell>
          <cell r="I35">
            <v>1.1200000000000001</v>
          </cell>
          <cell r="J35">
            <v>1.04</v>
          </cell>
          <cell r="K35">
            <v>1</v>
          </cell>
          <cell r="L35">
            <v>0.82</v>
          </cell>
          <cell r="M35">
            <v>0.67</v>
          </cell>
        </row>
        <row r="36">
          <cell r="B36" t="str">
            <v>EGAS</v>
          </cell>
          <cell r="C36">
            <v>0.3</v>
          </cell>
          <cell r="D36">
            <v>0.54</v>
          </cell>
          <cell r="E36">
            <v>0.54</v>
          </cell>
          <cell r="F36">
            <v>0.54</v>
          </cell>
          <cell r="G36">
            <v>0.54</v>
          </cell>
          <cell r="H36">
            <v>0.54</v>
          </cell>
          <cell r="I36">
            <v>0.54</v>
          </cell>
          <cell r="J36">
            <v>0.52500000000000002</v>
          </cell>
          <cell r="K36">
            <v>0.215</v>
          </cell>
          <cell r="L36">
            <v>0.34</v>
          </cell>
          <cell r="M36">
            <v>0.113</v>
          </cell>
        </row>
        <row r="37">
          <cell r="B37" t="str">
            <v>GXP</v>
          </cell>
          <cell r="C37">
            <v>1.0549999999999999</v>
          </cell>
          <cell r="D37">
            <v>0.998</v>
          </cell>
          <cell r="E37">
            <v>0.93500000000000005</v>
          </cell>
          <cell r="F37">
            <v>0.88200000000000001</v>
          </cell>
          <cell r="G37">
            <v>0.85499999999999998</v>
          </cell>
          <cell r="H37">
            <v>0.83499999999999996</v>
          </cell>
          <cell r="I37">
            <v>0.83</v>
          </cell>
          <cell r="J37">
            <v>0.83</v>
          </cell>
          <cell r="K37">
            <v>1.66</v>
          </cell>
          <cell r="L37">
            <v>1.66</v>
          </cell>
          <cell r="M37">
            <v>1.66</v>
          </cell>
        </row>
        <row r="38">
          <cell r="B38" t="str">
            <v>HE</v>
          </cell>
          <cell r="C38">
            <v>1.24</v>
          </cell>
          <cell r="D38">
            <v>1.24</v>
          </cell>
          <cell r="E38">
            <v>1.24</v>
          </cell>
          <cell r="F38">
            <v>1.24</v>
          </cell>
          <cell r="G38">
            <v>1.24</v>
          </cell>
          <cell r="H38">
            <v>1.24</v>
          </cell>
          <cell r="I38">
            <v>1.24</v>
          </cell>
          <cell r="J38">
            <v>1.24</v>
          </cell>
          <cell r="K38">
            <v>1.24</v>
          </cell>
          <cell r="L38">
            <v>1.24</v>
          </cell>
          <cell r="M38">
            <v>1.24</v>
          </cell>
        </row>
        <row r="39">
          <cell r="B39" t="str">
            <v>IDA</v>
          </cell>
          <cell r="C39">
            <v>2.08</v>
          </cell>
          <cell r="D39">
            <v>1.92</v>
          </cell>
          <cell r="E39">
            <v>1.76</v>
          </cell>
          <cell r="F39">
            <v>1.57</v>
          </cell>
          <cell r="G39">
            <v>1.37</v>
          </cell>
          <cell r="H39">
            <v>1.2</v>
          </cell>
          <cell r="I39">
            <v>1.2</v>
          </cell>
          <cell r="J39">
            <v>1.2</v>
          </cell>
          <cell r="K39">
            <v>1.2</v>
          </cell>
          <cell r="L39">
            <v>1.2</v>
          </cell>
          <cell r="M39">
            <v>1.2</v>
          </cell>
        </row>
        <row r="40">
          <cell r="B40" t="str">
            <v>MGEE</v>
          </cell>
          <cell r="C40">
            <v>1.21</v>
          </cell>
          <cell r="D40">
            <v>1.1599999999999999</v>
          </cell>
          <cell r="E40">
            <v>1.1100000000000001</v>
          </cell>
          <cell r="F40">
            <v>1.07</v>
          </cell>
          <cell r="G40">
            <v>1.04</v>
          </cell>
          <cell r="H40">
            <v>1.0109999999999999</v>
          </cell>
          <cell r="I40">
            <v>0.99299999999999999</v>
          </cell>
          <cell r="J40">
            <v>0.97299999999999998</v>
          </cell>
          <cell r="K40">
            <v>0.95599999999999996</v>
          </cell>
          <cell r="L40">
            <v>0.94</v>
          </cell>
          <cell r="M40">
            <v>0.92700000000000005</v>
          </cell>
        </row>
        <row r="41">
          <cell r="B41" t="str">
            <v>MSEX</v>
          </cell>
          <cell r="C41">
            <v>0.80800000000000005</v>
          </cell>
          <cell r="D41">
            <v>0.77600000000000002</v>
          </cell>
          <cell r="E41">
            <v>0.76300000000000001</v>
          </cell>
          <cell r="F41">
            <v>0.753</v>
          </cell>
          <cell r="G41">
            <v>0.74299999999999999</v>
          </cell>
          <cell r="H41">
            <v>0.73299999999999998</v>
          </cell>
          <cell r="I41">
            <v>0.72299999999999998</v>
          </cell>
          <cell r="J41">
            <v>0.71299999999999997</v>
          </cell>
          <cell r="K41">
            <v>0.70299999999999996</v>
          </cell>
          <cell r="L41">
            <v>0.69299999999999995</v>
          </cell>
          <cell r="M41">
            <v>0.68300000000000005</v>
          </cell>
        </row>
        <row r="42">
          <cell r="B42" t="str">
            <v>NJR</v>
          </cell>
          <cell r="C42">
            <v>0.98</v>
          </cell>
          <cell r="D42">
            <v>0.93</v>
          </cell>
          <cell r="E42">
            <v>0.85499999999999998</v>
          </cell>
          <cell r="F42">
            <v>0.81</v>
          </cell>
          <cell r="G42">
            <v>0.77</v>
          </cell>
          <cell r="H42">
            <v>0.72</v>
          </cell>
          <cell r="I42">
            <v>0.68</v>
          </cell>
          <cell r="J42">
            <v>0.62</v>
          </cell>
          <cell r="K42">
            <v>0.55500000000000005</v>
          </cell>
          <cell r="L42">
            <v>0.50700000000000001</v>
          </cell>
          <cell r="M42">
            <v>0.48</v>
          </cell>
        </row>
        <row r="43">
          <cell r="B43" t="str">
            <v>NEE</v>
          </cell>
          <cell r="C43">
            <v>3.48</v>
          </cell>
          <cell r="D43">
            <v>3.08</v>
          </cell>
          <cell r="E43">
            <v>2.9</v>
          </cell>
          <cell r="F43">
            <v>2.64</v>
          </cell>
          <cell r="G43">
            <v>2.4</v>
          </cell>
          <cell r="H43">
            <v>2.2000000000000002</v>
          </cell>
          <cell r="I43">
            <v>2</v>
          </cell>
          <cell r="J43">
            <v>1.89</v>
          </cell>
          <cell r="K43">
            <v>1.78</v>
          </cell>
          <cell r="L43">
            <v>1.64</v>
          </cell>
          <cell r="M43">
            <v>1.5</v>
          </cell>
        </row>
        <row r="44">
          <cell r="B44" t="str">
            <v>NI</v>
          </cell>
          <cell r="C44">
            <v>0.64</v>
          </cell>
          <cell r="D44">
            <v>0.83</v>
          </cell>
          <cell r="E44">
            <v>1.02</v>
          </cell>
          <cell r="F44">
            <v>0.98</v>
          </cell>
          <cell r="G44">
            <v>0.94</v>
          </cell>
          <cell r="H44">
            <v>0.92</v>
          </cell>
          <cell r="I44">
            <v>0.92</v>
          </cell>
          <cell r="J44">
            <v>0.92</v>
          </cell>
          <cell r="K44">
            <v>0.92</v>
          </cell>
          <cell r="L44">
            <v>0.92</v>
          </cell>
          <cell r="M44">
            <v>0.92</v>
          </cell>
        </row>
        <row r="45">
          <cell r="B45" t="str">
            <v>NWN</v>
          </cell>
          <cell r="C45">
            <v>1.87</v>
          </cell>
          <cell r="D45">
            <v>1.86</v>
          </cell>
          <cell r="E45">
            <v>1.85</v>
          </cell>
          <cell r="F45">
            <v>1.83</v>
          </cell>
          <cell r="G45">
            <v>1.79</v>
          </cell>
          <cell r="H45">
            <v>1.75</v>
          </cell>
          <cell r="I45">
            <v>1.68</v>
          </cell>
          <cell r="J45">
            <v>1.6</v>
          </cell>
          <cell r="K45">
            <v>1.52</v>
          </cell>
          <cell r="L45">
            <v>1.44</v>
          </cell>
          <cell r="M45">
            <v>1.39</v>
          </cell>
        </row>
        <row r="46">
          <cell r="B46" t="str">
            <v>NWE</v>
          </cell>
          <cell r="C46">
            <v>2</v>
          </cell>
          <cell r="D46">
            <v>1.92</v>
          </cell>
          <cell r="E46">
            <v>1.6</v>
          </cell>
          <cell r="F46">
            <v>1.52</v>
          </cell>
          <cell r="G46">
            <v>1.48</v>
          </cell>
          <cell r="H46">
            <v>1.44</v>
          </cell>
          <cell r="I46">
            <v>1.36</v>
          </cell>
          <cell r="J46">
            <v>1.34</v>
          </cell>
          <cell r="K46">
            <v>1.32</v>
          </cell>
          <cell r="L46">
            <v>1.28</v>
          </cell>
          <cell r="M46">
            <v>1.24</v>
          </cell>
        </row>
        <row r="47">
          <cell r="B47" t="str">
            <v>OGE</v>
          </cell>
          <cell r="C47">
            <v>1.155</v>
          </cell>
          <cell r="D47">
            <v>1.05</v>
          </cell>
          <cell r="E47">
            <v>0.95</v>
          </cell>
          <cell r="F47">
            <v>0.85099999999999998</v>
          </cell>
          <cell r="G47">
            <v>0.79800000000000004</v>
          </cell>
          <cell r="H47">
            <v>0.75900000000000001</v>
          </cell>
          <cell r="I47">
            <v>0.73199999999999998</v>
          </cell>
          <cell r="J47">
            <v>0.71399999999999997</v>
          </cell>
          <cell r="K47">
            <v>0.69899999999999995</v>
          </cell>
          <cell r="L47">
            <v>0.68400000000000005</v>
          </cell>
          <cell r="M47">
            <v>0.66900000000000004</v>
          </cell>
        </row>
        <row r="48">
          <cell r="B48" t="str">
            <v>OGS</v>
          </cell>
          <cell r="C48">
            <v>1.4</v>
          </cell>
          <cell r="D48">
            <v>1.2</v>
          </cell>
          <cell r="E48">
            <v>0.84</v>
          </cell>
        </row>
        <row r="49">
          <cell r="B49" t="str">
            <v>OTTR</v>
          </cell>
          <cell r="C49">
            <v>1.25</v>
          </cell>
          <cell r="D49">
            <v>1.23</v>
          </cell>
          <cell r="E49">
            <v>1.21</v>
          </cell>
          <cell r="F49">
            <v>1.19</v>
          </cell>
          <cell r="G49">
            <v>1.19</v>
          </cell>
          <cell r="H49">
            <v>1.19</v>
          </cell>
          <cell r="I49">
            <v>1.19</v>
          </cell>
          <cell r="J49">
            <v>1.19</v>
          </cell>
          <cell r="K49">
            <v>1.19</v>
          </cell>
          <cell r="L49">
            <v>1.17</v>
          </cell>
          <cell r="M49">
            <v>1.1499999999999999</v>
          </cell>
        </row>
        <row r="50">
          <cell r="B50" t="str">
            <v>PCG</v>
          </cell>
          <cell r="C50">
            <v>1.925</v>
          </cell>
          <cell r="D50">
            <v>1.82</v>
          </cell>
          <cell r="E50">
            <v>1.82</v>
          </cell>
          <cell r="F50">
            <v>1.82</v>
          </cell>
          <cell r="G50">
            <v>1.82</v>
          </cell>
          <cell r="H50">
            <v>1.82</v>
          </cell>
          <cell r="I50">
            <v>1.82</v>
          </cell>
          <cell r="J50">
            <v>1.68</v>
          </cell>
          <cell r="K50">
            <v>1.56</v>
          </cell>
          <cell r="L50">
            <v>1.44</v>
          </cell>
          <cell r="M50">
            <v>1.32</v>
          </cell>
        </row>
        <row r="51">
          <cell r="B51" t="str">
            <v>PNW</v>
          </cell>
          <cell r="C51">
            <v>2.56</v>
          </cell>
          <cell r="D51">
            <v>2.44</v>
          </cell>
          <cell r="E51">
            <v>2.3250000000000002</v>
          </cell>
          <cell r="F51">
            <v>2.2250000000000001</v>
          </cell>
          <cell r="G51">
            <v>2.67</v>
          </cell>
          <cell r="H51">
            <v>2.1</v>
          </cell>
          <cell r="I51">
            <v>2.1</v>
          </cell>
          <cell r="J51">
            <v>2.1</v>
          </cell>
          <cell r="K51">
            <v>2.1</v>
          </cell>
          <cell r="L51">
            <v>2.1</v>
          </cell>
          <cell r="M51">
            <v>2.0249999999999999</v>
          </cell>
        </row>
        <row r="52">
          <cell r="B52" t="str">
            <v>PNM</v>
          </cell>
          <cell r="C52">
            <v>0.88</v>
          </cell>
          <cell r="D52">
            <v>0.8</v>
          </cell>
          <cell r="E52">
            <v>0.755</v>
          </cell>
          <cell r="F52">
            <v>0.68</v>
          </cell>
          <cell r="G52">
            <v>0.57999999999999996</v>
          </cell>
          <cell r="H52">
            <v>0.5</v>
          </cell>
          <cell r="I52">
            <v>0.5</v>
          </cell>
          <cell r="J52">
            <v>0.5</v>
          </cell>
          <cell r="K52">
            <v>0.60499999999999998</v>
          </cell>
          <cell r="L52">
            <v>0.91</v>
          </cell>
          <cell r="M52">
            <v>0.86</v>
          </cell>
        </row>
        <row r="53">
          <cell r="B53" t="str">
            <v>POR</v>
          </cell>
          <cell r="C53">
            <v>1.26</v>
          </cell>
          <cell r="D53">
            <v>1.18</v>
          </cell>
          <cell r="E53">
            <v>1.115</v>
          </cell>
          <cell r="F53">
            <v>1.095</v>
          </cell>
          <cell r="G53">
            <v>1.075</v>
          </cell>
          <cell r="H53">
            <v>1.0549999999999999</v>
          </cell>
          <cell r="I53">
            <v>1.0349999999999999</v>
          </cell>
          <cell r="J53">
            <v>1.01</v>
          </cell>
          <cell r="K53">
            <v>0.97</v>
          </cell>
          <cell r="L53">
            <v>0.93</v>
          </cell>
          <cell r="M53">
            <v>0.67500000000000004</v>
          </cell>
        </row>
        <row r="54">
          <cell r="B54" t="str">
            <v>PPL</v>
          </cell>
          <cell r="C54">
            <v>1.52</v>
          </cell>
          <cell r="D54">
            <v>1.5</v>
          </cell>
          <cell r="E54">
            <v>1.49</v>
          </cell>
          <cell r="F54">
            <v>1.47</v>
          </cell>
          <cell r="G54">
            <v>1.44</v>
          </cell>
          <cell r="H54">
            <v>1.4</v>
          </cell>
          <cell r="I54">
            <v>1.4</v>
          </cell>
          <cell r="J54">
            <v>1.38</v>
          </cell>
          <cell r="K54">
            <v>1.34</v>
          </cell>
          <cell r="L54">
            <v>1.22</v>
          </cell>
          <cell r="M54">
            <v>1.1000000000000001</v>
          </cell>
        </row>
        <row r="55">
          <cell r="B55" t="str">
            <v>PEG</v>
          </cell>
          <cell r="C55">
            <v>1.64</v>
          </cell>
          <cell r="D55">
            <v>1.56</v>
          </cell>
          <cell r="E55">
            <v>1.48</v>
          </cell>
          <cell r="F55">
            <v>1.44</v>
          </cell>
          <cell r="G55">
            <v>1.42</v>
          </cell>
          <cell r="H55">
            <v>1.37</v>
          </cell>
          <cell r="I55">
            <v>1.37</v>
          </cell>
          <cell r="J55">
            <v>1.33</v>
          </cell>
          <cell r="K55">
            <v>1.29</v>
          </cell>
          <cell r="L55">
            <v>1.17</v>
          </cell>
          <cell r="M55">
            <v>1.1399999999999999</v>
          </cell>
        </row>
        <row r="56">
          <cell r="B56" t="str">
            <v>RGCO</v>
          </cell>
          <cell r="C56">
            <v>0.54</v>
          </cell>
          <cell r="D56">
            <v>0.51300000000000001</v>
          </cell>
          <cell r="E56">
            <v>0.49299999999999999</v>
          </cell>
          <cell r="F56">
            <v>0.48</v>
          </cell>
          <cell r="G56">
            <v>0.46700000000000003</v>
          </cell>
          <cell r="H56">
            <v>0.45300000000000001</v>
          </cell>
          <cell r="I56">
            <v>0.44</v>
          </cell>
          <cell r="J56">
            <v>0.42699999999999999</v>
          </cell>
          <cell r="K56">
            <v>0.41699999999999998</v>
          </cell>
          <cell r="L56">
            <v>0.40699999999999997</v>
          </cell>
          <cell r="M56">
            <v>0.4</v>
          </cell>
        </row>
        <row r="57">
          <cell r="B57" t="str">
            <v>SCG</v>
          </cell>
          <cell r="C57">
            <v>2.2999999999999998</v>
          </cell>
          <cell r="D57">
            <v>2.1800000000000002</v>
          </cell>
          <cell r="E57">
            <v>2.1</v>
          </cell>
          <cell r="F57">
            <v>2.0299999999999998</v>
          </cell>
          <cell r="G57">
            <v>1.98</v>
          </cell>
          <cell r="H57">
            <v>1.94</v>
          </cell>
          <cell r="I57">
            <v>1.9</v>
          </cell>
          <cell r="J57">
            <v>1.88</v>
          </cell>
          <cell r="K57">
            <v>1.84</v>
          </cell>
          <cell r="L57">
            <v>1.76</v>
          </cell>
          <cell r="M57">
            <v>1.68</v>
          </cell>
        </row>
        <row r="58">
          <cell r="B58" t="str">
            <v>SRE</v>
          </cell>
          <cell r="C58">
            <v>3.02</v>
          </cell>
          <cell r="D58">
            <v>2.8</v>
          </cell>
          <cell r="E58">
            <v>2.64</v>
          </cell>
          <cell r="F58">
            <v>2.52</v>
          </cell>
          <cell r="G58">
            <v>2.4</v>
          </cell>
          <cell r="H58">
            <v>1.92</v>
          </cell>
          <cell r="I58">
            <v>1.56</v>
          </cell>
          <cell r="J58">
            <v>1.56</v>
          </cell>
          <cell r="K58">
            <v>1.37</v>
          </cell>
          <cell r="L58">
            <v>1.24</v>
          </cell>
          <cell r="M58">
            <v>1.2</v>
          </cell>
        </row>
        <row r="59">
          <cell r="B59" t="str">
            <v>SJW</v>
          </cell>
          <cell r="C59">
            <v>0.81</v>
          </cell>
          <cell r="D59">
            <v>0.78</v>
          </cell>
          <cell r="E59">
            <v>0.75</v>
          </cell>
          <cell r="F59">
            <v>0.73</v>
          </cell>
          <cell r="G59">
            <v>0.71</v>
          </cell>
          <cell r="H59">
            <v>0.69</v>
          </cell>
          <cell r="I59">
            <v>0.68</v>
          </cell>
          <cell r="J59">
            <v>0.66</v>
          </cell>
          <cell r="K59">
            <v>0.64500000000000002</v>
          </cell>
          <cell r="L59">
            <v>0.60499999999999998</v>
          </cell>
          <cell r="M59">
            <v>0.56499999999999995</v>
          </cell>
        </row>
        <row r="60">
          <cell r="B60" t="str">
            <v>SJI</v>
          </cell>
          <cell r="C60">
            <v>1.06</v>
          </cell>
          <cell r="D60">
            <v>1.02</v>
          </cell>
          <cell r="E60">
            <v>0.96</v>
          </cell>
          <cell r="F60">
            <v>0.9</v>
          </cell>
          <cell r="G60">
            <v>0.82499999999999996</v>
          </cell>
          <cell r="H60">
            <v>0.75</v>
          </cell>
          <cell r="I60">
            <v>0.68</v>
          </cell>
          <cell r="J60">
            <v>0.61</v>
          </cell>
          <cell r="K60">
            <v>0.55500000000000005</v>
          </cell>
          <cell r="L60">
            <v>0.505</v>
          </cell>
          <cell r="M60">
            <v>0.46</v>
          </cell>
        </row>
        <row r="61">
          <cell r="B61" t="str">
            <v>SO</v>
          </cell>
          <cell r="C61">
            <v>2.2229999999999999</v>
          </cell>
          <cell r="D61">
            <v>2.153</v>
          </cell>
          <cell r="E61">
            <v>2.0830000000000002</v>
          </cell>
          <cell r="F61">
            <v>2.0129999999999999</v>
          </cell>
          <cell r="G61">
            <v>1.9430000000000001</v>
          </cell>
          <cell r="H61">
            <v>1.873</v>
          </cell>
          <cell r="I61">
            <v>1.8029999999999999</v>
          </cell>
          <cell r="J61">
            <v>1.7330000000000001</v>
          </cell>
          <cell r="K61">
            <v>1.663</v>
          </cell>
          <cell r="L61">
            <v>1.595</v>
          </cell>
          <cell r="M61">
            <v>1.5349999999999999</v>
          </cell>
        </row>
        <row r="62">
          <cell r="B62" t="str">
            <v>SWX</v>
          </cell>
          <cell r="C62">
            <v>1.8</v>
          </cell>
          <cell r="D62">
            <v>1.62</v>
          </cell>
          <cell r="E62">
            <v>1.46</v>
          </cell>
          <cell r="F62">
            <v>1.32</v>
          </cell>
          <cell r="G62">
            <v>1.18</v>
          </cell>
          <cell r="H62">
            <v>1.06</v>
          </cell>
          <cell r="I62">
            <v>1</v>
          </cell>
          <cell r="J62">
            <v>0.95</v>
          </cell>
          <cell r="K62">
            <v>0.9</v>
          </cell>
          <cell r="L62">
            <v>0.86</v>
          </cell>
          <cell r="M62">
            <v>0.82</v>
          </cell>
        </row>
        <row r="63">
          <cell r="B63" t="str">
            <v>SR</v>
          </cell>
          <cell r="C63">
            <v>1.96</v>
          </cell>
          <cell r="D63">
            <v>1.84</v>
          </cell>
          <cell r="E63">
            <v>1.76</v>
          </cell>
          <cell r="F63">
            <v>1.7</v>
          </cell>
          <cell r="G63">
            <v>1.66</v>
          </cell>
          <cell r="H63">
            <v>1.61</v>
          </cell>
          <cell r="I63">
            <v>1.57</v>
          </cell>
          <cell r="J63">
            <v>1.53</v>
          </cell>
          <cell r="K63">
            <v>1.49</v>
          </cell>
          <cell r="L63">
            <v>1.45</v>
          </cell>
          <cell r="M63">
            <v>1.4</v>
          </cell>
        </row>
        <row r="64">
          <cell r="B64" t="str">
            <v>SGU</v>
          </cell>
          <cell r="C64">
            <v>0.39500000000000002</v>
          </cell>
          <cell r="D64">
            <v>0.36499999999999999</v>
          </cell>
          <cell r="E64">
            <v>0.34499999999999997</v>
          </cell>
          <cell r="F64">
            <v>0.32500000000000001</v>
          </cell>
          <cell r="G64">
            <v>0.31</v>
          </cell>
          <cell r="H64">
            <v>0.31</v>
          </cell>
          <cell r="I64">
            <v>0.28999999999999998</v>
          </cell>
          <cell r="J64">
            <v>0.27</v>
          </cell>
          <cell r="K64">
            <v>0</v>
          </cell>
          <cell r="L64">
            <v>0</v>
          </cell>
          <cell r="M64">
            <v>0</v>
          </cell>
        </row>
        <row r="65">
          <cell r="B65" t="str">
            <v>UGI</v>
          </cell>
          <cell r="C65">
            <v>0.93</v>
          </cell>
          <cell r="D65">
            <v>0.89</v>
          </cell>
          <cell r="E65">
            <v>0.79100000000000004</v>
          </cell>
          <cell r="F65">
            <v>0.74</v>
          </cell>
          <cell r="G65">
            <v>0.70699999999999996</v>
          </cell>
          <cell r="H65">
            <v>0.68</v>
          </cell>
          <cell r="I65">
            <v>0.6</v>
          </cell>
          <cell r="J65">
            <v>0.52300000000000002</v>
          </cell>
          <cell r="K65">
            <v>0.503</v>
          </cell>
          <cell r="L65">
            <v>0.48099999999999998</v>
          </cell>
          <cell r="M65">
            <v>0.45500000000000002</v>
          </cell>
        </row>
        <row r="66">
          <cell r="B66" t="str">
            <v>UTL</v>
          </cell>
          <cell r="C66">
            <v>1.42</v>
          </cell>
          <cell r="D66">
            <v>1.4</v>
          </cell>
          <cell r="E66">
            <v>1.385</v>
          </cell>
          <cell r="F66">
            <v>1.38</v>
          </cell>
          <cell r="G66">
            <v>1.38</v>
          </cell>
          <cell r="H66">
            <v>1.38</v>
          </cell>
          <cell r="I66">
            <v>1.38</v>
          </cell>
          <cell r="J66">
            <v>1.38</v>
          </cell>
          <cell r="K66">
            <v>1.38</v>
          </cell>
          <cell r="L66">
            <v>1.38</v>
          </cell>
          <cell r="M66">
            <v>1.38</v>
          </cell>
        </row>
        <row r="67">
          <cell r="B67" t="str">
            <v>VVC</v>
          </cell>
          <cell r="C67">
            <v>1.62</v>
          </cell>
          <cell r="D67">
            <v>1.54</v>
          </cell>
          <cell r="E67">
            <v>1.46</v>
          </cell>
          <cell r="F67">
            <v>1.425</v>
          </cell>
          <cell r="G67">
            <v>1.405</v>
          </cell>
          <cell r="H67">
            <v>1.385</v>
          </cell>
          <cell r="I67">
            <v>1.37</v>
          </cell>
          <cell r="J67">
            <v>1.35</v>
          </cell>
          <cell r="K67">
            <v>1.31</v>
          </cell>
          <cell r="L67">
            <v>1.27</v>
          </cell>
          <cell r="M67">
            <v>1.23</v>
          </cell>
        </row>
        <row r="68">
          <cell r="B68" t="str">
            <v>WEC</v>
          </cell>
          <cell r="C68">
            <v>1.98</v>
          </cell>
          <cell r="D68">
            <v>1.74</v>
          </cell>
          <cell r="E68">
            <v>1.56</v>
          </cell>
          <cell r="F68">
            <v>1.4450000000000001</v>
          </cell>
          <cell r="G68">
            <v>1.2</v>
          </cell>
          <cell r="H68">
            <v>1.04</v>
          </cell>
          <cell r="I68">
            <v>0.8</v>
          </cell>
          <cell r="J68">
            <v>0.67500000000000004</v>
          </cell>
          <cell r="K68">
            <v>0.54</v>
          </cell>
          <cell r="L68">
            <v>0.5</v>
          </cell>
          <cell r="M68">
            <v>0.46</v>
          </cell>
        </row>
        <row r="69">
          <cell r="B69" t="str">
            <v>WR</v>
          </cell>
          <cell r="C69">
            <v>1.52</v>
          </cell>
          <cell r="D69">
            <v>1.44</v>
          </cell>
          <cell r="E69">
            <v>1.4</v>
          </cell>
          <cell r="F69">
            <v>1.36</v>
          </cell>
          <cell r="G69">
            <v>1.32</v>
          </cell>
          <cell r="H69">
            <v>1.28</v>
          </cell>
          <cell r="I69">
            <v>1.24</v>
          </cell>
          <cell r="J69">
            <v>1.2</v>
          </cell>
          <cell r="K69">
            <v>1.1599999999999999</v>
          </cell>
          <cell r="L69">
            <v>1.08</v>
          </cell>
          <cell r="M69">
            <v>0.98</v>
          </cell>
        </row>
        <row r="70">
          <cell r="B70" t="str">
            <v>WGL</v>
          </cell>
          <cell r="C70">
            <v>1.93</v>
          </cell>
          <cell r="D70">
            <v>1.83</v>
          </cell>
          <cell r="E70">
            <v>1.72</v>
          </cell>
          <cell r="F70">
            <v>1.66</v>
          </cell>
          <cell r="G70">
            <v>1.59</v>
          </cell>
          <cell r="H70">
            <v>1.55</v>
          </cell>
          <cell r="I70">
            <v>1.5</v>
          </cell>
          <cell r="J70">
            <v>1.47</v>
          </cell>
          <cell r="K70">
            <v>1.4079999999999999</v>
          </cell>
          <cell r="L70">
            <v>1.365</v>
          </cell>
          <cell r="M70">
            <v>1.345</v>
          </cell>
        </row>
        <row r="71">
          <cell r="B71" t="str">
            <v>XEL</v>
          </cell>
          <cell r="C71">
            <v>1.36</v>
          </cell>
          <cell r="D71">
            <v>1.28</v>
          </cell>
          <cell r="E71">
            <v>1.2</v>
          </cell>
          <cell r="F71">
            <v>1.1100000000000001</v>
          </cell>
          <cell r="G71">
            <v>1.07</v>
          </cell>
          <cell r="H71">
            <v>1.03</v>
          </cell>
          <cell r="I71">
            <v>1</v>
          </cell>
          <cell r="J71">
            <v>0.97</v>
          </cell>
          <cell r="K71">
            <v>0.94</v>
          </cell>
          <cell r="L71">
            <v>0.91</v>
          </cell>
          <cell r="M71">
            <v>0.88</v>
          </cell>
        </row>
        <row r="72">
          <cell r="B72" t="str">
            <v>YORW</v>
          </cell>
          <cell r="C72" t="str">
            <v>N/A</v>
          </cell>
          <cell r="D72">
            <v>0.6</v>
          </cell>
          <cell r="E72">
            <v>0.57199999999999995</v>
          </cell>
          <cell r="F72">
            <v>0.55200000000000005</v>
          </cell>
          <cell r="G72">
            <v>0.53900000000000003</v>
          </cell>
          <cell r="H72">
            <v>0.52700000000000002</v>
          </cell>
          <cell r="I72">
            <v>0.51500000000000001</v>
          </cell>
          <cell r="J72">
            <v>0.50600000000000001</v>
          </cell>
          <cell r="K72">
            <v>0.48899999999999999</v>
          </cell>
          <cell r="L72">
            <v>0.47499999999999998</v>
          </cell>
          <cell r="M72">
            <v>0.45400000000000001</v>
          </cell>
        </row>
      </sheetData>
      <sheetData sheetId="32">
        <row r="3">
          <cell r="B3" t="str">
            <v>Ticker</v>
          </cell>
          <cell r="C3" t="str">
            <v>CapSpend2016</v>
          </cell>
          <cell r="D3" t="str">
            <v>CapSpend2015</v>
          </cell>
          <cell r="E3" t="str">
            <v>CapSpend2014</v>
          </cell>
          <cell r="F3" t="str">
            <v>CapSpend2013</v>
          </cell>
          <cell r="G3" t="str">
            <v>CapSpend2012</v>
          </cell>
          <cell r="H3" t="str">
            <v>CapSpend2011</v>
          </cell>
          <cell r="I3" t="str">
            <v>CapSpend2010</v>
          </cell>
          <cell r="J3" t="str">
            <v>CapSpend2009</v>
          </cell>
          <cell r="K3" t="str">
            <v>CapSpend2008</v>
          </cell>
          <cell r="L3" t="str">
            <v>CapSpend2007</v>
          </cell>
          <cell r="M3" t="str">
            <v>CapSpend2006</v>
          </cell>
        </row>
        <row r="4">
          <cell r="B4" t="str">
            <v>AE</v>
          </cell>
          <cell r="C4">
            <v>2.0110000000000001</v>
          </cell>
          <cell r="D4">
            <v>2.625</v>
          </cell>
          <cell r="E4">
            <v>7.2370000000000001</v>
          </cell>
          <cell r="F4">
            <v>6.5439999999999996</v>
          </cell>
          <cell r="G4">
            <v>12.095000000000001</v>
          </cell>
          <cell r="H4">
            <v>12.632</v>
          </cell>
          <cell r="I4">
            <v>5.3179999999999996</v>
          </cell>
          <cell r="J4">
            <v>5.3090000000000002</v>
          </cell>
          <cell r="K4">
            <v>4.194</v>
          </cell>
          <cell r="L4">
            <v>3.7559999999999998</v>
          </cell>
          <cell r="M4">
            <v>3.4620000000000002</v>
          </cell>
        </row>
        <row r="5">
          <cell r="B5" t="str">
            <v>ALE</v>
          </cell>
          <cell r="C5">
            <v>5.3550000000000004</v>
          </cell>
          <cell r="D5">
            <v>5.8410000000000002</v>
          </cell>
          <cell r="E5">
            <v>12.478999999999999</v>
          </cell>
          <cell r="F5">
            <v>7.9349999999999996</v>
          </cell>
          <cell r="G5">
            <v>10.298999999999999</v>
          </cell>
          <cell r="H5">
            <v>6.3789999999999996</v>
          </cell>
          <cell r="I5">
            <v>6.9530000000000003</v>
          </cell>
          <cell r="J5">
            <v>9.048</v>
          </cell>
          <cell r="K5">
            <v>9.2360000000000007</v>
          </cell>
          <cell r="L5">
            <v>6.8250000000000002</v>
          </cell>
          <cell r="M5">
            <v>3.3650000000000002</v>
          </cell>
        </row>
        <row r="6">
          <cell r="B6" t="str">
            <v>LNT</v>
          </cell>
          <cell r="C6" t="str">
            <v>N/A</v>
          </cell>
          <cell r="D6">
            <v>4.2480000000000002</v>
          </cell>
          <cell r="E6">
            <v>3.7810000000000001</v>
          </cell>
          <cell r="F6">
            <v>3.3170000000000002</v>
          </cell>
          <cell r="G6">
            <v>5.2169999999999996</v>
          </cell>
          <cell r="H6">
            <v>3.0329999999999999</v>
          </cell>
          <cell r="I6">
            <v>3.9089999999999998</v>
          </cell>
          <cell r="J6">
            <v>5.4340000000000002</v>
          </cell>
          <cell r="K6">
            <v>3.9790000000000001</v>
          </cell>
          <cell r="L6">
            <v>2.456</v>
          </cell>
          <cell r="M6">
            <v>1.7110000000000001</v>
          </cell>
        </row>
        <row r="7">
          <cell r="B7" t="str">
            <v>AEP</v>
          </cell>
          <cell r="C7">
            <v>9.9849999999999994</v>
          </cell>
          <cell r="D7">
            <v>9.3680000000000003</v>
          </cell>
          <cell r="E7">
            <v>8.6839999999999993</v>
          </cell>
          <cell r="F7">
            <v>7.7450000000000001</v>
          </cell>
          <cell r="G7">
            <v>6.4489999999999998</v>
          </cell>
          <cell r="H7">
            <v>5.74</v>
          </cell>
          <cell r="I7">
            <v>5.0659999999999998</v>
          </cell>
          <cell r="J7">
            <v>6.194</v>
          </cell>
          <cell r="K7">
            <v>9.8309999999999995</v>
          </cell>
          <cell r="L7">
            <v>8.8810000000000002</v>
          </cell>
          <cell r="M7">
            <v>8.8940000000000001</v>
          </cell>
        </row>
        <row r="8">
          <cell r="B8" t="str">
            <v>AWR</v>
          </cell>
          <cell r="C8">
            <v>3.5510000000000002</v>
          </cell>
          <cell r="D8">
            <v>2.3919999999999999</v>
          </cell>
          <cell r="E8">
            <v>1.8939999999999999</v>
          </cell>
          <cell r="F8">
            <v>2.5150000000000001</v>
          </cell>
          <cell r="G8">
            <v>1.768</v>
          </cell>
          <cell r="H8">
            <v>2.13</v>
          </cell>
          <cell r="I8">
            <v>2.121</v>
          </cell>
          <cell r="J8">
            <v>2.09</v>
          </cell>
          <cell r="K8">
            <v>2.226</v>
          </cell>
          <cell r="L8">
            <v>1.4470000000000001</v>
          </cell>
          <cell r="M8">
            <v>1.9530000000000001</v>
          </cell>
        </row>
        <row r="9">
          <cell r="B9" t="str">
            <v>AWK</v>
          </cell>
          <cell r="C9">
            <v>7.3609999999999998</v>
          </cell>
          <cell r="D9">
            <v>6.5069999999999997</v>
          </cell>
          <cell r="E9">
            <v>5.3280000000000003</v>
          </cell>
          <cell r="F9">
            <v>5.4989999999999997</v>
          </cell>
          <cell r="G9">
            <v>5.2469999999999999</v>
          </cell>
          <cell r="H9">
            <v>5.2649999999999997</v>
          </cell>
          <cell r="I9">
            <v>4.375</v>
          </cell>
          <cell r="J9">
            <v>4.4969999999999999</v>
          </cell>
          <cell r="K9">
            <v>6.3049999999999997</v>
          </cell>
          <cell r="L9">
            <v>4.7409999999999997</v>
          </cell>
          <cell r="M9">
            <v>4.3049999999999997</v>
          </cell>
        </row>
        <row r="10">
          <cell r="B10" t="str">
            <v>AEE</v>
          </cell>
          <cell r="C10">
            <v>8.7829999999999995</v>
          </cell>
          <cell r="D10">
            <v>8.1150000000000002</v>
          </cell>
          <cell r="E10">
            <v>7.6619999999999999</v>
          </cell>
          <cell r="F10">
            <v>5.8689999999999998</v>
          </cell>
          <cell r="G10">
            <v>5.4859999999999998</v>
          </cell>
          <cell r="H10">
            <v>4.5010000000000003</v>
          </cell>
          <cell r="I10">
            <v>4.6630000000000003</v>
          </cell>
          <cell r="J10">
            <v>7.5149999999999997</v>
          </cell>
          <cell r="K10">
            <v>9.7460000000000004</v>
          </cell>
          <cell r="L10">
            <v>6.9560000000000004</v>
          </cell>
          <cell r="M10">
            <v>4.99</v>
          </cell>
        </row>
        <row r="11">
          <cell r="B11" t="str">
            <v>APU</v>
          </cell>
          <cell r="C11">
            <v>1.0940000000000001</v>
          </cell>
          <cell r="D11">
            <v>1.0980000000000001</v>
          </cell>
          <cell r="E11">
            <v>1.2270000000000001</v>
          </cell>
          <cell r="F11">
            <v>1.196</v>
          </cell>
          <cell r="G11">
            <v>1.111</v>
          </cell>
          <cell r="H11">
            <v>1.3520000000000001</v>
          </cell>
          <cell r="I11">
            <v>1.4570000000000001</v>
          </cell>
          <cell r="J11">
            <v>1.38</v>
          </cell>
          <cell r="K11">
            <v>1.101</v>
          </cell>
          <cell r="L11">
            <v>1.298</v>
          </cell>
          <cell r="M11">
            <v>1.2450000000000001</v>
          </cell>
        </row>
        <row r="12">
          <cell r="B12" t="str">
            <v>WTR</v>
          </cell>
          <cell r="C12">
            <v>2.1589999999999998</v>
          </cell>
          <cell r="D12">
            <v>2.0659999999999998</v>
          </cell>
          <cell r="E12">
            <v>1.84</v>
          </cell>
          <cell r="F12">
            <v>1.732</v>
          </cell>
          <cell r="G12">
            <v>1.984</v>
          </cell>
          <cell r="H12">
            <v>1.9039999999999999</v>
          </cell>
          <cell r="I12">
            <v>1.8939999999999999</v>
          </cell>
          <cell r="J12">
            <v>1.6619999999999999</v>
          </cell>
          <cell r="K12">
            <v>1.58</v>
          </cell>
          <cell r="L12">
            <v>1.4279999999999999</v>
          </cell>
          <cell r="M12">
            <v>1.643</v>
          </cell>
        </row>
        <row r="13">
          <cell r="B13" t="str">
            <v>ARTNA</v>
          </cell>
          <cell r="C13">
            <v>3.0950000000000002</v>
          </cell>
          <cell r="D13">
            <v>2.2850000000000001</v>
          </cell>
          <cell r="E13">
            <v>2.6629999999999998</v>
          </cell>
          <cell r="F13">
            <v>2.4</v>
          </cell>
          <cell r="G13">
            <v>2.359</v>
          </cell>
          <cell r="H13">
            <v>1.833</v>
          </cell>
          <cell r="I13">
            <v>2.5659999999999998</v>
          </cell>
          <cell r="J13">
            <v>2.3170000000000002</v>
          </cell>
          <cell r="K13">
            <v>6.0880000000000001</v>
          </cell>
          <cell r="L13">
            <v>3.6619999999999999</v>
          </cell>
          <cell r="M13">
            <v>5.0759999999999996</v>
          </cell>
        </row>
        <row r="14">
          <cell r="B14" t="str">
            <v>ATO</v>
          </cell>
          <cell r="C14">
            <v>10.458</v>
          </cell>
          <cell r="D14">
            <v>9.609</v>
          </cell>
          <cell r="E14">
            <v>8.32</v>
          </cell>
          <cell r="F14">
            <v>9.3230000000000004</v>
          </cell>
          <cell r="G14">
            <v>8.1210000000000004</v>
          </cell>
          <cell r="H14">
            <v>6.899</v>
          </cell>
          <cell r="I14">
            <v>6.0179999999999998</v>
          </cell>
          <cell r="J14">
            <v>5.5049999999999999</v>
          </cell>
          <cell r="K14">
            <v>5.2</v>
          </cell>
          <cell r="L14">
            <v>4.3929999999999998</v>
          </cell>
          <cell r="M14">
            <v>5.2030000000000003</v>
          </cell>
        </row>
        <row r="15">
          <cell r="B15" t="str">
            <v>AGR</v>
          </cell>
          <cell r="C15">
            <v>5.524</v>
          </cell>
          <cell r="D15">
            <v>3.5030000000000001</v>
          </cell>
          <cell r="E15" t="str">
            <v>N/A</v>
          </cell>
          <cell r="F15" t="str">
            <v>N/A</v>
          </cell>
          <cell r="G15" t="str">
            <v>N/A</v>
          </cell>
          <cell r="H15" t="str">
            <v>N/A</v>
          </cell>
          <cell r="I15" t="str">
            <v>N/A</v>
          </cell>
          <cell r="J15" t="str">
            <v>N/A</v>
          </cell>
          <cell r="K15" t="str">
            <v>N/A</v>
          </cell>
          <cell r="L15" t="str">
            <v>N/A</v>
          </cell>
          <cell r="M15" t="str">
            <v>N/A</v>
          </cell>
        </row>
        <row r="16">
          <cell r="B16" t="str">
            <v>AVA</v>
          </cell>
          <cell r="C16">
            <v>6.3410000000000002</v>
          </cell>
          <cell r="D16">
            <v>6.4619999999999997</v>
          </cell>
          <cell r="E16">
            <v>5.4740000000000002</v>
          </cell>
          <cell r="F16">
            <v>5.0449999999999999</v>
          </cell>
          <cell r="G16">
            <v>4.6139999999999999</v>
          </cell>
          <cell r="H16">
            <v>4.2039999999999997</v>
          </cell>
          <cell r="I16">
            <v>3.6419999999999999</v>
          </cell>
          <cell r="J16">
            <v>3.8580000000000001</v>
          </cell>
          <cell r="K16">
            <v>4.0869999999999997</v>
          </cell>
          <cell r="L16">
            <v>4.0410000000000004</v>
          </cell>
          <cell r="M16">
            <v>3.1440000000000001</v>
          </cell>
        </row>
        <row r="17">
          <cell r="B17" t="str">
            <v>BKH</v>
          </cell>
          <cell r="C17">
            <v>8.8940000000000001</v>
          </cell>
          <cell r="D17">
            <v>8.8970000000000002</v>
          </cell>
          <cell r="E17">
            <v>8.92</v>
          </cell>
          <cell r="F17">
            <v>7.9720000000000004</v>
          </cell>
          <cell r="G17">
            <v>7.8979999999999997</v>
          </cell>
          <cell r="H17">
            <v>10.032999999999999</v>
          </cell>
          <cell r="I17">
            <v>12.037000000000001</v>
          </cell>
          <cell r="J17">
            <v>8.9009999999999998</v>
          </cell>
          <cell r="K17">
            <v>8.5129999999999999</v>
          </cell>
          <cell r="L17">
            <v>6.915</v>
          </cell>
          <cell r="M17">
            <v>9.2439999999999998</v>
          </cell>
        </row>
        <row r="18">
          <cell r="B18" t="str">
            <v>CWT</v>
          </cell>
          <cell r="C18">
            <v>4.7729999999999997</v>
          </cell>
          <cell r="D18">
            <v>3.694</v>
          </cell>
          <cell r="E18">
            <v>2.7610000000000001</v>
          </cell>
          <cell r="F18">
            <v>2.5760000000000001</v>
          </cell>
          <cell r="G18">
            <v>3.0409999999999999</v>
          </cell>
          <cell r="H18">
            <v>2.8330000000000002</v>
          </cell>
          <cell r="I18">
            <v>2.9740000000000002</v>
          </cell>
          <cell r="J18">
            <v>2.6629999999999998</v>
          </cell>
          <cell r="K18">
            <v>2.411</v>
          </cell>
          <cell r="L18">
            <v>1.839</v>
          </cell>
          <cell r="M18">
            <v>2.1389999999999998</v>
          </cell>
        </row>
        <row r="19">
          <cell r="B19" t="str">
            <v>CNP</v>
          </cell>
          <cell r="C19">
            <v>3.2829999999999999</v>
          </cell>
          <cell r="D19">
            <v>3.6840000000000002</v>
          </cell>
          <cell r="E19">
            <v>3.198</v>
          </cell>
          <cell r="F19">
            <v>2.9980000000000002</v>
          </cell>
          <cell r="G19">
            <v>2.835</v>
          </cell>
          <cell r="H19">
            <v>3.0579999999999998</v>
          </cell>
          <cell r="I19">
            <v>3.5529999999999999</v>
          </cell>
          <cell r="J19">
            <v>2.9609999999999999</v>
          </cell>
          <cell r="K19">
            <v>2.9470000000000001</v>
          </cell>
          <cell r="L19">
            <v>3.452</v>
          </cell>
          <cell r="M19">
            <v>3.2109999999999999</v>
          </cell>
        </row>
        <row r="20">
          <cell r="B20" t="str">
            <v>CPK</v>
          </cell>
          <cell r="C20">
            <v>10.419</v>
          </cell>
          <cell r="D20">
            <v>9.4700000000000006</v>
          </cell>
          <cell r="E20">
            <v>6.66</v>
          </cell>
          <cell r="F20">
            <v>6.718</v>
          </cell>
          <cell r="G20">
            <v>5.0019999999999998</v>
          </cell>
          <cell r="H20">
            <v>3.278</v>
          </cell>
          <cell r="I20">
            <v>3.1789999999999998</v>
          </cell>
          <cell r="J20">
            <v>1.8879999999999999</v>
          </cell>
          <cell r="K20">
            <v>3.0030000000000001</v>
          </cell>
          <cell r="L20">
            <v>3.077</v>
          </cell>
          <cell r="M20">
            <v>4.8689999999999998</v>
          </cell>
        </row>
        <row r="21">
          <cell r="B21" t="str">
            <v>CMS</v>
          </cell>
          <cell r="C21">
            <v>5.9880000000000004</v>
          </cell>
          <cell r="D21">
            <v>5.6429999999999998</v>
          </cell>
          <cell r="E21">
            <v>5.73</v>
          </cell>
          <cell r="F21">
            <v>4.9790000000000001</v>
          </cell>
          <cell r="G21">
            <v>4.6459999999999999</v>
          </cell>
          <cell r="H21">
            <v>3.4710000000000001</v>
          </cell>
          <cell r="I21">
            <v>3.2890000000000001</v>
          </cell>
          <cell r="J21">
            <v>3.589</v>
          </cell>
          <cell r="K21">
            <v>3.4980000000000002</v>
          </cell>
          <cell r="L21">
            <v>5.61</v>
          </cell>
          <cell r="M21">
            <v>3.0070000000000001</v>
          </cell>
        </row>
        <row r="22">
          <cell r="B22" t="str">
            <v>CTWS</v>
          </cell>
          <cell r="C22">
            <v>5.9290000000000003</v>
          </cell>
          <cell r="D22">
            <v>4.2910000000000004</v>
          </cell>
          <cell r="E22">
            <v>4.1050000000000004</v>
          </cell>
          <cell r="F22">
            <v>3.0169999999999999</v>
          </cell>
          <cell r="G22">
            <v>2.786</v>
          </cell>
          <cell r="H22">
            <v>2.6110000000000002</v>
          </cell>
          <cell r="I22">
            <v>3.0569999999999999</v>
          </cell>
          <cell r="J22">
            <v>3.2789999999999999</v>
          </cell>
          <cell r="K22">
            <v>2.4359999999999999</v>
          </cell>
          <cell r="L22">
            <v>2.238</v>
          </cell>
          <cell r="M22">
            <v>1.9590000000000001</v>
          </cell>
        </row>
        <row r="23">
          <cell r="B23" t="str">
            <v>ED</v>
          </cell>
          <cell r="C23">
            <v>12.066000000000001</v>
          </cell>
          <cell r="D23">
            <v>10.423</v>
          </cell>
          <cell r="E23">
            <v>8.2590000000000003</v>
          </cell>
          <cell r="F23">
            <v>8.6660000000000004</v>
          </cell>
          <cell r="G23">
            <v>7.0650000000000004</v>
          </cell>
          <cell r="H23">
            <v>6.7160000000000002</v>
          </cell>
          <cell r="I23">
            <v>6.9580000000000002</v>
          </cell>
          <cell r="J23">
            <v>7.8010000000000002</v>
          </cell>
          <cell r="K23">
            <v>8.4979999999999993</v>
          </cell>
          <cell r="L23">
            <v>7.0880000000000001</v>
          </cell>
          <cell r="M23">
            <v>7.1740000000000004</v>
          </cell>
        </row>
        <row r="24">
          <cell r="B24" t="str">
            <v>CWCO</v>
          </cell>
          <cell r="C24">
            <v>0.23300000000000001</v>
          </cell>
          <cell r="D24">
            <v>0.21099999999999999</v>
          </cell>
          <cell r="E24">
            <v>0.32100000000000001</v>
          </cell>
          <cell r="F24">
            <v>0.29399999999999998</v>
          </cell>
          <cell r="G24">
            <v>0.313</v>
          </cell>
          <cell r="H24">
            <v>0.95799999999999996</v>
          </cell>
          <cell r="I24">
            <v>8.6999999999999994E-2</v>
          </cell>
          <cell r="J24">
            <v>0.17599999999999999</v>
          </cell>
          <cell r="K24">
            <v>0.45700000000000002</v>
          </cell>
          <cell r="L24">
            <v>0.53900000000000003</v>
          </cell>
          <cell r="M24">
            <v>1.8320000000000001</v>
          </cell>
        </row>
        <row r="25">
          <cell r="B25" t="str">
            <v>DGAS</v>
          </cell>
          <cell r="C25">
            <v>0.88900000000000001</v>
          </cell>
          <cell r="D25">
            <v>1.282</v>
          </cell>
          <cell r="E25">
            <v>1.163</v>
          </cell>
          <cell r="F25">
            <v>1.046</v>
          </cell>
          <cell r="G25">
            <v>1.0780000000000001</v>
          </cell>
          <cell r="H25">
            <v>1.2070000000000001</v>
          </cell>
          <cell r="I25">
            <v>0.79100000000000004</v>
          </cell>
          <cell r="J25">
            <v>1.2689999999999999</v>
          </cell>
          <cell r="K25">
            <v>0.84399999999999997</v>
          </cell>
          <cell r="L25">
            <v>1.2330000000000001</v>
          </cell>
          <cell r="M25">
            <v>1.1950000000000001</v>
          </cell>
        </row>
        <row r="26">
          <cell r="B26" t="str">
            <v>D</v>
          </cell>
          <cell r="C26">
            <v>9.6929999999999996</v>
          </cell>
          <cell r="D26">
            <v>9.3490000000000002</v>
          </cell>
          <cell r="E26">
            <v>9.1319999999999997</v>
          </cell>
          <cell r="F26">
            <v>7.0579999999999998</v>
          </cell>
          <cell r="G26">
            <v>7.1950000000000003</v>
          </cell>
          <cell r="H26">
            <v>6.41</v>
          </cell>
          <cell r="I26">
            <v>5.8920000000000003</v>
          </cell>
          <cell r="J26">
            <v>6.4009999999999998</v>
          </cell>
          <cell r="K26">
            <v>6.0940000000000003</v>
          </cell>
          <cell r="L26">
            <v>6.8860000000000001</v>
          </cell>
          <cell r="M26">
            <v>5.8049999999999997</v>
          </cell>
        </row>
        <row r="27">
          <cell r="B27" t="str">
            <v>DTE</v>
          </cell>
          <cell r="C27">
            <v>11.397</v>
          </cell>
          <cell r="D27">
            <v>11.255000000000001</v>
          </cell>
          <cell r="E27">
            <v>11.577</v>
          </cell>
          <cell r="F27">
            <v>10.593999999999999</v>
          </cell>
          <cell r="G27">
            <v>10.56</v>
          </cell>
          <cell r="H27">
            <v>8.7680000000000007</v>
          </cell>
          <cell r="I27">
            <v>6.4870000000000001</v>
          </cell>
          <cell r="J27">
            <v>6.258</v>
          </cell>
          <cell r="K27">
            <v>8.4220000000000006</v>
          </cell>
          <cell r="L27">
            <v>7.9580000000000002</v>
          </cell>
          <cell r="M27">
            <v>7.92</v>
          </cell>
        </row>
        <row r="28">
          <cell r="B28" t="str">
            <v>DUK</v>
          </cell>
          <cell r="C28">
            <v>11.287000000000001</v>
          </cell>
          <cell r="D28">
            <v>9.8339999999999996</v>
          </cell>
          <cell r="E28">
            <v>7.6150000000000002</v>
          </cell>
          <cell r="F28">
            <v>7.827</v>
          </cell>
          <cell r="G28">
            <v>7.8140000000000001</v>
          </cell>
          <cell r="H28">
            <v>9.798</v>
          </cell>
          <cell r="I28">
            <v>10.843</v>
          </cell>
          <cell r="J28">
            <v>9.8469999999999995</v>
          </cell>
          <cell r="K28">
            <v>10.345000000000001</v>
          </cell>
          <cell r="L28">
            <v>7.4290000000000003</v>
          </cell>
          <cell r="M28">
            <v>8.07</v>
          </cell>
        </row>
        <row r="29">
          <cell r="B29" t="str">
            <v>EIX</v>
          </cell>
          <cell r="C29">
            <v>11.461</v>
          </cell>
          <cell r="D29">
            <v>12.968</v>
          </cell>
          <cell r="E29">
            <v>11.989000000000001</v>
          </cell>
          <cell r="F29">
            <v>11.045999999999999</v>
          </cell>
          <cell r="G29">
            <v>12.734</v>
          </cell>
          <cell r="H29">
            <v>14.757</v>
          </cell>
          <cell r="I29">
            <v>13.944000000000001</v>
          </cell>
          <cell r="J29">
            <v>10.073</v>
          </cell>
          <cell r="K29">
            <v>8.6679999999999993</v>
          </cell>
          <cell r="L29">
            <v>8.6739999999999995</v>
          </cell>
          <cell r="M29">
            <v>7.7839999999999998</v>
          </cell>
        </row>
        <row r="30">
          <cell r="B30" t="str">
            <v>EE</v>
          </cell>
          <cell r="C30">
            <v>7.0279999999999996</v>
          </cell>
          <cell r="D30">
            <v>8.5540000000000003</v>
          </cell>
          <cell r="E30">
            <v>8.5009999999999994</v>
          </cell>
          <cell r="F30">
            <v>7.1849999999999996</v>
          </cell>
          <cell r="G30">
            <v>6.6989999999999998</v>
          </cell>
          <cell r="H30">
            <v>5.9</v>
          </cell>
          <cell r="I30">
            <v>5.2670000000000003</v>
          </cell>
          <cell r="J30">
            <v>5.9459999999999997</v>
          </cell>
          <cell r="K30">
            <v>5.3550000000000004</v>
          </cell>
          <cell r="L30">
            <v>4.6269999999999998</v>
          </cell>
          <cell r="M30">
            <v>2.7330000000000001</v>
          </cell>
        </row>
        <row r="31">
          <cell r="B31" t="str">
            <v>ETR</v>
          </cell>
          <cell r="C31">
            <v>17.277999999999999</v>
          </cell>
          <cell r="D31">
            <v>16.786000000000001</v>
          </cell>
          <cell r="E31">
            <v>14.821999999999999</v>
          </cell>
          <cell r="F31">
            <v>15.728</v>
          </cell>
          <cell r="G31">
            <v>18.18</v>
          </cell>
          <cell r="H31">
            <v>15.205</v>
          </cell>
          <cell r="I31">
            <v>13.326000000000001</v>
          </cell>
          <cell r="J31">
            <v>12.99</v>
          </cell>
          <cell r="K31">
            <v>13.922000000000001</v>
          </cell>
          <cell r="L31">
            <v>10.288</v>
          </cell>
          <cell r="M31">
            <v>9.4350000000000005</v>
          </cell>
        </row>
        <row r="32">
          <cell r="B32" t="str">
            <v>ES</v>
          </cell>
          <cell r="C32">
            <v>6.2380000000000004</v>
          </cell>
          <cell r="D32">
            <v>5.4359999999999999</v>
          </cell>
          <cell r="E32">
            <v>5.0590000000000002</v>
          </cell>
          <cell r="F32">
            <v>4.6210000000000004</v>
          </cell>
          <cell r="G32">
            <v>4.6879999999999997</v>
          </cell>
          <cell r="H32">
            <v>6.0780000000000003</v>
          </cell>
          <cell r="I32">
            <v>5.4089999999999998</v>
          </cell>
          <cell r="J32">
            <v>5.1710000000000003</v>
          </cell>
          <cell r="K32">
            <v>8.0559999999999992</v>
          </cell>
          <cell r="L32">
            <v>7.1360000000000001</v>
          </cell>
          <cell r="M32">
            <v>5.4880000000000004</v>
          </cell>
        </row>
        <row r="33">
          <cell r="B33" t="str">
            <v>EXC</v>
          </cell>
          <cell r="C33">
            <v>9.2560000000000002</v>
          </cell>
          <cell r="D33">
            <v>8.2880000000000003</v>
          </cell>
          <cell r="E33">
            <v>7.0679999999999996</v>
          </cell>
          <cell r="F33">
            <v>6.2930000000000001</v>
          </cell>
          <cell r="G33">
            <v>6.7720000000000002</v>
          </cell>
          <cell r="H33">
            <v>6.093</v>
          </cell>
          <cell r="I33">
            <v>5.0250000000000004</v>
          </cell>
          <cell r="J33">
            <v>4.9610000000000003</v>
          </cell>
          <cell r="K33">
            <v>4.7359999999999998</v>
          </cell>
          <cell r="L33">
            <v>4.0460000000000003</v>
          </cell>
          <cell r="M33">
            <v>3.61</v>
          </cell>
        </row>
        <row r="34">
          <cell r="B34" t="str">
            <v>FE</v>
          </cell>
          <cell r="C34">
            <v>6.9340000000000002</v>
          </cell>
          <cell r="D34">
            <v>6.8330000000000002</v>
          </cell>
          <cell r="E34">
            <v>8.4179999999999993</v>
          </cell>
          <cell r="F34">
            <v>6.899</v>
          </cell>
          <cell r="G34">
            <v>7.0869999999999997</v>
          </cell>
          <cell r="H34">
            <v>5.4470000000000001</v>
          </cell>
          <cell r="I34">
            <v>6.44</v>
          </cell>
          <cell r="J34">
            <v>7.2270000000000003</v>
          </cell>
          <cell r="K34">
            <v>9.4740000000000002</v>
          </cell>
          <cell r="L34">
            <v>5.3570000000000002</v>
          </cell>
          <cell r="M34">
            <v>4.12</v>
          </cell>
        </row>
        <row r="35">
          <cell r="B35" t="str">
            <v>FTS.TO</v>
          </cell>
          <cell r="C35">
            <v>5.133</v>
          </cell>
          <cell r="D35">
            <v>7.9660000000000002</v>
          </cell>
          <cell r="E35">
            <v>6</v>
          </cell>
          <cell r="F35">
            <v>5.3250000000000002</v>
          </cell>
          <cell r="G35">
            <v>5.68</v>
          </cell>
          <cell r="H35">
            <v>5.91</v>
          </cell>
          <cell r="I35">
            <v>5.8890000000000002</v>
          </cell>
          <cell r="J35">
            <v>5.7919999999999998</v>
          </cell>
          <cell r="K35">
            <v>5.343</v>
          </cell>
          <cell r="L35">
            <v>5.1630000000000003</v>
          </cell>
          <cell r="M35">
            <v>4.8029999999999999</v>
          </cell>
        </row>
        <row r="36">
          <cell r="B36" t="str">
            <v>EGAS</v>
          </cell>
          <cell r="C36">
            <v>0.71499999999999997</v>
          </cell>
          <cell r="D36">
            <v>0.91100000000000003</v>
          </cell>
          <cell r="E36">
            <v>2.0609999999999999</v>
          </cell>
          <cell r="F36">
            <v>2.306</v>
          </cell>
          <cell r="G36">
            <v>2.4740000000000002</v>
          </cell>
          <cell r="H36">
            <v>2.8460000000000001</v>
          </cell>
          <cell r="I36">
            <v>1.046</v>
          </cell>
          <cell r="J36">
            <v>2.0299999999999998</v>
          </cell>
          <cell r="K36">
            <v>0.89</v>
          </cell>
          <cell r="L36">
            <v>0.56100000000000005</v>
          </cell>
          <cell r="M36">
            <v>0.56200000000000006</v>
          </cell>
        </row>
        <row r="37">
          <cell r="B37" t="str">
            <v>GXP</v>
          </cell>
          <cell r="C37">
            <v>2.8610000000000002</v>
          </cell>
          <cell r="D37">
            <v>4.423</v>
          </cell>
          <cell r="E37">
            <v>5.1029999999999998</v>
          </cell>
          <cell r="F37">
            <v>4.4249999999999998</v>
          </cell>
          <cell r="G37">
            <v>4.0090000000000003</v>
          </cell>
          <cell r="H37">
            <v>3.3959999999999999</v>
          </cell>
          <cell r="I37">
            <v>4.7640000000000002</v>
          </cell>
          <cell r="J37">
            <v>6.4889999999999999</v>
          </cell>
          <cell r="K37">
            <v>8.86</v>
          </cell>
          <cell r="L37">
            <v>6.1509999999999998</v>
          </cell>
          <cell r="M37">
            <v>6.0460000000000003</v>
          </cell>
        </row>
        <row r="38">
          <cell r="B38" t="str">
            <v>HE</v>
          </cell>
          <cell r="C38">
            <v>3.04</v>
          </cell>
          <cell r="D38">
            <v>3.3849999999999998</v>
          </cell>
          <cell r="E38">
            <v>3.3119999999999998</v>
          </cell>
          <cell r="F38">
            <v>3.4950000000000001</v>
          </cell>
          <cell r="G38">
            <v>3.3239999999999998</v>
          </cell>
          <cell r="H38">
            <v>2.448</v>
          </cell>
          <cell r="I38">
            <v>1.923</v>
          </cell>
          <cell r="J38">
            <v>3.294</v>
          </cell>
          <cell r="K38">
            <v>3.1160000000000001</v>
          </cell>
          <cell r="L38">
            <v>2.6160000000000001</v>
          </cell>
          <cell r="M38">
            <v>2.5840000000000001</v>
          </cell>
        </row>
        <row r="39">
          <cell r="B39" t="str">
            <v>IDA</v>
          </cell>
          <cell r="C39">
            <v>5.8920000000000003</v>
          </cell>
          <cell r="D39">
            <v>5.8410000000000002</v>
          </cell>
          <cell r="E39">
            <v>5.452</v>
          </cell>
          <cell r="F39">
            <v>4.6840000000000002</v>
          </cell>
          <cell r="G39">
            <v>4.78</v>
          </cell>
          <cell r="H39">
            <v>6.7619999999999996</v>
          </cell>
          <cell r="I39">
            <v>6.8460000000000001</v>
          </cell>
          <cell r="J39">
            <v>5.26</v>
          </cell>
          <cell r="K39">
            <v>5.1909999999999998</v>
          </cell>
          <cell r="L39">
            <v>6.3860000000000001</v>
          </cell>
          <cell r="M39">
            <v>5.1580000000000004</v>
          </cell>
        </row>
        <row r="40">
          <cell r="B40" t="str">
            <v>MGEE</v>
          </cell>
          <cell r="C40">
            <v>2.4129999999999998</v>
          </cell>
          <cell r="D40">
            <v>2.0779999999999998</v>
          </cell>
          <cell r="E40">
            <v>2.673</v>
          </cell>
          <cell r="F40">
            <v>3.4340000000000002</v>
          </cell>
          <cell r="G40">
            <v>2.839</v>
          </cell>
          <cell r="H40">
            <v>1.88</v>
          </cell>
          <cell r="I40">
            <v>1.756</v>
          </cell>
          <cell r="J40">
            <v>2.3540000000000001</v>
          </cell>
          <cell r="K40">
            <v>3.0790000000000002</v>
          </cell>
          <cell r="L40">
            <v>4.1379999999999999</v>
          </cell>
          <cell r="M40">
            <v>2.9420000000000002</v>
          </cell>
        </row>
        <row r="41">
          <cell r="B41" t="str">
            <v>MSEX</v>
          </cell>
          <cell r="C41">
            <v>2.907</v>
          </cell>
          <cell r="D41">
            <v>1.5880000000000001</v>
          </cell>
          <cell r="E41">
            <v>1.401</v>
          </cell>
          <cell r="F41">
            <v>1.258</v>
          </cell>
          <cell r="G41">
            <v>1.3640000000000001</v>
          </cell>
          <cell r="H41">
            <v>1.5</v>
          </cell>
          <cell r="I41">
            <v>1.9019999999999999</v>
          </cell>
          <cell r="J41">
            <v>1.4890000000000001</v>
          </cell>
          <cell r="K41">
            <v>2.121</v>
          </cell>
          <cell r="L41">
            <v>1.6559999999999999</v>
          </cell>
          <cell r="M41">
            <v>2.306</v>
          </cell>
        </row>
        <row r="42">
          <cell r="B42" t="str">
            <v>NJR</v>
          </cell>
          <cell r="C42">
            <v>4.1459999999999999</v>
          </cell>
          <cell r="D42">
            <v>3.7570000000000001</v>
          </cell>
          <cell r="E42">
            <v>1.5229999999999999</v>
          </cell>
          <cell r="F42">
            <v>1.3260000000000001</v>
          </cell>
          <cell r="G42">
            <v>1.256</v>
          </cell>
          <cell r="H42">
            <v>1.129</v>
          </cell>
          <cell r="I42">
            <v>1.052</v>
          </cell>
          <cell r="J42">
            <v>0.90300000000000002</v>
          </cell>
          <cell r="K42">
            <v>0.86</v>
          </cell>
          <cell r="L42">
            <v>0.73</v>
          </cell>
          <cell r="M42">
            <v>0.64</v>
          </cell>
        </row>
        <row r="43">
          <cell r="B43" t="str">
            <v>NEE</v>
          </cell>
          <cell r="C43">
            <v>20.59</v>
          </cell>
          <cell r="D43">
            <v>18.170999999999999</v>
          </cell>
          <cell r="E43">
            <v>15.84</v>
          </cell>
          <cell r="F43">
            <v>15.361000000000001</v>
          </cell>
          <cell r="G43">
            <v>22.314</v>
          </cell>
          <cell r="H43">
            <v>15.933</v>
          </cell>
          <cell r="I43">
            <v>13.891</v>
          </cell>
          <cell r="J43">
            <v>14.52</v>
          </cell>
          <cell r="K43">
            <v>12.805</v>
          </cell>
          <cell r="L43">
            <v>12.321</v>
          </cell>
          <cell r="M43">
            <v>9.2230000000000008</v>
          </cell>
        </row>
        <row r="44">
          <cell r="B44" t="str">
            <v>NI</v>
          </cell>
          <cell r="C44">
            <v>4.5650000000000004</v>
          </cell>
          <cell r="D44">
            <v>4.2640000000000002</v>
          </cell>
          <cell r="E44">
            <v>6.4189999999999996</v>
          </cell>
          <cell r="F44">
            <v>5.9930000000000003</v>
          </cell>
          <cell r="G44">
            <v>4.83</v>
          </cell>
          <cell r="H44">
            <v>3.988</v>
          </cell>
          <cell r="I44">
            <v>2.8780000000000001</v>
          </cell>
          <cell r="J44">
            <v>2.8079999999999998</v>
          </cell>
          <cell r="K44">
            <v>3.536</v>
          </cell>
          <cell r="L44">
            <v>2.875</v>
          </cell>
          <cell r="M44">
            <v>2.3290000000000002</v>
          </cell>
        </row>
        <row r="45">
          <cell r="B45" t="str">
            <v>NWN</v>
          </cell>
          <cell r="C45">
            <v>4.8730000000000002</v>
          </cell>
          <cell r="D45">
            <v>4.37</v>
          </cell>
          <cell r="E45">
            <v>4.4020000000000001</v>
          </cell>
          <cell r="F45">
            <v>5.1310000000000002</v>
          </cell>
          <cell r="G45">
            <v>4.9050000000000002</v>
          </cell>
          <cell r="H45">
            <v>3.7570000000000001</v>
          </cell>
          <cell r="I45">
            <v>9.3510000000000009</v>
          </cell>
          <cell r="J45">
            <v>5.093</v>
          </cell>
          <cell r="K45">
            <v>3.9239999999999999</v>
          </cell>
          <cell r="L45">
            <v>4.4770000000000003</v>
          </cell>
          <cell r="M45">
            <v>3.5640000000000001</v>
          </cell>
        </row>
        <row r="46">
          <cell r="B46" t="str">
            <v>NWE</v>
          </cell>
          <cell r="C46">
            <v>5.9569999999999999</v>
          </cell>
          <cell r="D46">
            <v>5.8890000000000002</v>
          </cell>
          <cell r="E46">
            <v>5.7629999999999999</v>
          </cell>
          <cell r="F46">
            <v>5.9480000000000004</v>
          </cell>
          <cell r="G46">
            <v>5.89</v>
          </cell>
          <cell r="H46">
            <v>5.202</v>
          </cell>
          <cell r="I46">
            <v>6.3029999999999999</v>
          </cell>
          <cell r="J46">
            <v>5.2590000000000003</v>
          </cell>
          <cell r="K46">
            <v>3.4670000000000001</v>
          </cell>
          <cell r="L46">
            <v>3.004</v>
          </cell>
          <cell r="M46">
            <v>2.8090000000000002</v>
          </cell>
        </row>
        <row r="47">
          <cell r="B47" t="str">
            <v>OGE</v>
          </cell>
          <cell r="C47">
            <v>3.3050000000000002</v>
          </cell>
          <cell r="D47">
            <v>2.7429999999999999</v>
          </cell>
          <cell r="E47">
            <v>2.855</v>
          </cell>
          <cell r="F47">
            <v>4.99</v>
          </cell>
          <cell r="G47">
            <v>5.8540000000000001</v>
          </cell>
          <cell r="H47">
            <v>6.4749999999999996</v>
          </cell>
          <cell r="I47">
            <v>4.3630000000000004</v>
          </cell>
          <cell r="J47">
            <v>4.37</v>
          </cell>
          <cell r="K47">
            <v>4.0110000000000001</v>
          </cell>
          <cell r="L47">
            <v>3.0379999999999998</v>
          </cell>
          <cell r="M47">
            <v>2.6680000000000001</v>
          </cell>
        </row>
        <row r="48">
          <cell r="B48" t="str">
            <v>OGS</v>
          </cell>
          <cell r="C48">
            <v>5.9119999999999999</v>
          </cell>
          <cell r="D48">
            <v>5.6319999999999997</v>
          </cell>
          <cell r="E48">
            <v>5.7039999999999997</v>
          </cell>
        </row>
        <row r="49">
          <cell r="B49" t="str">
            <v>OTTR</v>
          </cell>
          <cell r="C49">
            <v>4.0979999999999999</v>
          </cell>
          <cell r="D49">
            <v>4.2290000000000001</v>
          </cell>
          <cell r="E49">
            <v>4.3949999999999996</v>
          </cell>
          <cell r="F49">
            <v>4.5339999999999998</v>
          </cell>
          <cell r="G49">
            <v>3.2010000000000001</v>
          </cell>
          <cell r="H49">
            <v>2.0409999999999999</v>
          </cell>
          <cell r="I49">
            <v>2.3769999999999998</v>
          </cell>
          <cell r="J49">
            <v>4.9459999999999997</v>
          </cell>
          <cell r="K49">
            <v>7.5140000000000002</v>
          </cell>
          <cell r="L49">
            <v>5.4269999999999996</v>
          </cell>
          <cell r="M49">
            <v>2.3519999999999999</v>
          </cell>
        </row>
        <row r="50">
          <cell r="B50" t="str">
            <v>PCG</v>
          </cell>
          <cell r="C50">
            <v>11.263</v>
          </cell>
          <cell r="D50">
            <v>10.513999999999999</v>
          </cell>
          <cell r="E50">
            <v>10.154999999999999</v>
          </cell>
          <cell r="F50">
            <v>11.401999999999999</v>
          </cell>
          <cell r="G50">
            <v>10.736000000000001</v>
          </cell>
          <cell r="H50">
            <v>9.7949999999999999</v>
          </cell>
          <cell r="I50">
            <v>9.6199999999999992</v>
          </cell>
          <cell r="J50">
            <v>10.68</v>
          </cell>
          <cell r="K50">
            <v>10.048</v>
          </cell>
          <cell r="L50">
            <v>7.8280000000000003</v>
          </cell>
          <cell r="M50">
            <v>6.9</v>
          </cell>
        </row>
        <row r="51">
          <cell r="B51" t="str">
            <v>PNW</v>
          </cell>
          <cell r="C51">
            <v>11.635</v>
          </cell>
          <cell r="D51">
            <v>9.843</v>
          </cell>
          <cell r="E51">
            <v>8.3759999999999994</v>
          </cell>
          <cell r="F51">
            <v>9.359</v>
          </cell>
          <cell r="G51">
            <v>8.2420000000000009</v>
          </cell>
          <cell r="H51">
            <v>8.2629999999999999</v>
          </cell>
          <cell r="I51">
            <v>7.0350000000000001</v>
          </cell>
          <cell r="J51">
            <v>7.6440000000000001</v>
          </cell>
          <cell r="K51">
            <v>9.4600000000000009</v>
          </cell>
          <cell r="L51">
            <v>9.3710000000000004</v>
          </cell>
          <cell r="M51">
            <v>7.5910000000000002</v>
          </cell>
        </row>
        <row r="52">
          <cell r="B52" t="str">
            <v>PNM</v>
          </cell>
          <cell r="C52">
            <v>7.5339999999999998</v>
          </cell>
          <cell r="D52">
            <v>7.0129999999999999</v>
          </cell>
          <cell r="E52">
            <v>5.7830000000000004</v>
          </cell>
          <cell r="F52">
            <v>4.3689999999999998</v>
          </cell>
          <cell r="G52">
            <v>3.8780000000000001</v>
          </cell>
          <cell r="H52">
            <v>4.1040000000000001</v>
          </cell>
          <cell r="I52">
            <v>3.2480000000000002</v>
          </cell>
          <cell r="J52">
            <v>3.323</v>
          </cell>
          <cell r="K52">
            <v>3.9860000000000002</v>
          </cell>
          <cell r="L52">
            <v>5.9359999999999999</v>
          </cell>
          <cell r="M52">
            <v>4.0350000000000001</v>
          </cell>
        </row>
        <row r="53">
          <cell r="B53" t="str">
            <v>POR</v>
          </cell>
          <cell r="C53">
            <v>6.5659999999999998</v>
          </cell>
          <cell r="D53">
            <v>6.7350000000000003</v>
          </cell>
          <cell r="E53">
            <v>12.872999999999999</v>
          </cell>
          <cell r="F53">
            <v>8.4009999999999998</v>
          </cell>
          <cell r="G53">
            <v>4.01</v>
          </cell>
          <cell r="H53">
            <v>3.9809999999999999</v>
          </cell>
          <cell r="I53">
            <v>5.9749999999999996</v>
          </cell>
          <cell r="J53">
            <v>9.2539999999999996</v>
          </cell>
          <cell r="K53">
            <v>6.1210000000000004</v>
          </cell>
          <cell r="L53">
            <v>7.2770000000000001</v>
          </cell>
          <cell r="M53">
            <v>5.9359999999999999</v>
          </cell>
        </row>
        <row r="54">
          <cell r="B54" t="str">
            <v>PPL</v>
          </cell>
          <cell r="C54">
            <v>4.2960000000000003</v>
          </cell>
          <cell r="D54">
            <v>5.2430000000000003</v>
          </cell>
          <cell r="E54">
            <v>6.1429999999999998</v>
          </cell>
          <cell r="F54">
            <v>6.6820000000000004</v>
          </cell>
          <cell r="G54">
            <v>5.3360000000000003</v>
          </cell>
          <cell r="H54">
            <v>4.3</v>
          </cell>
          <cell r="I54">
            <v>3.3039999999999998</v>
          </cell>
          <cell r="J54">
            <v>3.2480000000000002</v>
          </cell>
          <cell r="K54">
            <v>3.786</v>
          </cell>
          <cell r="L54">
            <v>4.5140000000000002</v>
          </cell>
          <cell r="M54">
            <v>3.62</v>
          </cell>
        </row>
        <row r="55">
          <cell r="B55" t="str">
            <v>PEG</v>
          </cell>
          <cell r="C55">
            <v>8.3170000000000002</v>
          </cell>
          <cell r="D55">
            <v>7.6449999999999996</v>
          </cell>
          <cell r="E55">
            <v>5.5750000000000002</v>
          </cell>
          <cell r="F55">
            <v>5.5570000000000004</v>
          </cell>
          <cell r="G55">
            <v>5.0880000000000001</v>
          </cell>
          <cell r="H55">
            <v>4.117</v>
          </cell>
          <cell r="I55">
            <v>4.2690000000000001</v>
          </cell>
          <cell r="J55">
            <v>3.5459999999999998</v>
          </cell>
          <cell r="K55">
            <v>3.5</v>
          </cell>
          <cell r="L55">
            <v>2.6509999999999998</v>
          </cell>
          <cell r="M55">
            <v>2.0089999999999999</v>
          </cell>
        </row>
        <row r="56">
          <cell r="B56" t="str">
            <v>RGCO</v>
          </cell>
          <cell r="C56">
            <v>2.4990000000000001</v>
          </cell>
          <cell r="D56">
            <v>1.9379999999999999</v>
          </cell>
          <cell r="E56">
            <v>2.0779999999999998</v>
          </cell>
          <cell r="F56">
            <v>1.4119999999999999</v>
          </cell>
          <cell r="G56">
            <v>1.24</v>
          </cell>
          <cell r="H56">
            <v>1.0940000000000001</v>
          </cell>
          <cell r="I56">
            <v>0.876</v>
          </cell>
          <cell r="J56">
            <v>0.85599999999999998</v>
          </cell>
          <cell r="K56">
            <v>0.98699999999999999</v>
          </cell>
          <cell r="L56">
            <v>0.91600000000000004</v>
          </cell>
          <cell r="M56">
            <v>1.218</v>
          </cell>
        </row>
        <row r="57">
          <cell r="B57" t="str">
            <v>SCG</v>
          </cell>
          <cell r="C57">
            <v>11.05</v>
          </cell>
          <cell r="D57">
            <v>8.0690000000000008</v>
          </cell>
          <cell r="E57">
            <v>7.6520000000000001</v>
          </cell>
          <cell r="F57">
            <v>7.8440000000000003</v>
          </cell>
          <cell r="G57">
            <v>8.1579999999999995</v>
          </cell>
          <cell r="H57">
            <v>6.806</v>
          </cell>
          <cell r="I57">
            <v>6.8739999999999997</v>
          </cell>
          <cell r="J57">
            <v>7.41</v>
          </cell>
          <cell r="K57">
            <v>7.6749999999999998</v>
          </cell>
          <cell r="L57">
            <v>6.2140000000000004</v>
          </cell>
          <cell r="M57">
            <v>4.5170000000000003</v>
          </cell>
        </row>
        <row r="58">
          <cell r="B58" t="str">
            <v>SRE</v>
          </cell>
          <cell r="C58">
            <v>16.846</v>
          </cell>
          <cell r="D58">
            <v>12.711</v>
          </cell>
          <cell r="E58">
            <v>12.678000000000001</v>
          </cell>
          <cell r="F58">
            <v>10.521000000000001</v>
          </cell>
          <cell r="G58">
            <v>12.196</v>
          </cell>
          <cell r="H58">
            <v>11.853</v>
          </cell>
          <cell r="I58">
            <v>8.5760000000000005</v>
          </cell>
          <cell r="J58">
            <v>7.7560000000000002</v>
          </cell>
          <cell r="K58">
            <v>8.4700000000000006</v>
          </cell>
          <cell r="L58">
            <v>7.6989999999999998</v>
          </cell>
          <cell r="M58">
            <v>7.2779999999999996</v>
          </cell>
        </row>
        <row r="59">
          <cell r="B59" t="str">
            <v>SJW</v>
          </cell>
          <cell r="C59">
            <v>6.952</v>
          </cell>
          <cell r="D59">
            <v>5.2389999999999999</v>
          </cell>
          <cell r="E59">
            <v>5.0199999999999996</v>
          </cell>
          <cell r="F59">
            <v>4.6769999999999996</v>
          </cell>
          <cell r="G59">
            <v>5.6680000000000001</v>
          </cell>
          <cell r="H59">
            <v>3.7509999999999999</v>
          </cell>
          <cell r="I59">
            <v>5.6479999999999997</v>
          </cell>
          <cell r="J59">
            <v>3.17</v>
          </cell>
          <cell r="K59">
            <v>3.7930000000000001</v>
          </cell>
          <cell r="L59">
            <v>6.6150000000000002</v>
          </cell>
          <cell r="M59">
            <v>3.87</v>
          </cell>
        </row>
        <row r="60">
          <cell r="B60" t="str">
            <v>SJI</v>
          </cell>
          <cell r="C60">
            <v>3.4980000000000002</v>
          </cell>
          <cell r="D60">
            <v>4.87</v>
          </cell>
          <cell r="E60">
            <v>5.0129999999999999</v>
          </cell>
          <cell r="F60">
            <v>4.8390000000000004</v>
          </cell>
          <cell r="G60">
            <v>4.01</v>
          </cell>
          <cell r="H60">
            <v>3.1960000000000002</v>
          </cell>
          <cell r="I60">
            <v>2.794</v>
          </cell>
          <cell r="J60">
            <v>1.8340000000000001</v>
          </cell>
          <cell r="K60">
            <v>1.042</v>
          </cell>
          <cell r="L60">
            <v>0.93799999999999994</v>
          </cell>
          <cell r="M60">
            <v>1.256</v>
          </cell>
        </row>
        <row r="61">
          <cell r="B61" t="str">
            <v>SO</v>
          </cell>
          <cell r="C61">
            <v>7.3810000000000002</v>
          </cell>
          <cell r="D61">
            <v>6.2229999999999999</v>
          </cell>
          <cell r="E61">
            <v>6.5839999999999996</v>
          </cell>
          <cell r="F61">
            <v>6.1580000000000004</v>
          </cell>
          <cell r="G61">
            <v>5.5419999999999998</v>
          </cell>
          <cell r="H61">
            <v>5.23</v>
          </cell>
          <cell r="I61">
            <v>4.8449999999999998</v>
          </cell>
          <cell r="J61">
            <v>5.6980000000000004</v>
          </cell>
          <cell r="K61">
            <v>5.0970000000000004</v>
          </cell>
          <cell r="L61">
            <v>4.6459999999999999</v>
          </cell>
          <cell r="M61">
            <v>4.0119999999999996</v>
          </cell>
        </row>
        <row r="62">
          <cell r="B62" t="str">
            <v>SWX</v>
          </cell>
          <cell r="C62">
            <v>11.151999999999999</v>
          </cell>
          <cell r="D62">
            <v>10.3</v>
          </cell>
          <cell r="E62">
            <v>8.5310000000000006</v>
          </cell>
          <cell r="F62">
            <v>7.8579999999999997</v>
          </cell>
          <cell r="G62">
            <v>8.5749999999999993</v>
          </cell>
          <cell r="H62">
            <v>8.2899999999999991</v>
          </cell>
          <cell r="I62">
            <v>4.7290000000000001</v>
          </cell>
          <cell r="J62">
            <v>4.8120000000000003</v>
          </cell>
          <cell r="K62">
            <v>6.7939999999999996</v>
          </cell>
          <cell r="L62">
            <v>7.9630000000000001</v>
          </cell>
          <cell r="M62">
            <v>8.2669999999999995</v>
          </cell>
        </row>
        <row r="63">
          <cell r="B63" t="str">
            <v>SR</v>
          </cell>
          <cell r="C63">
            <v>6.4249999999999998</v>
          </cell>
          <cell r="D63">
            <v>6.6840000000000002</v>
          </cell>
          <cell r="E63">
            <v>3.96</v>
          </cell>
          <cell r="F63">
            <v>4</v>
          </cell>
          <cell r="G63">
            <v>4.8259999999999996</v>
          </cell>
          <cell r="H63">
            <v>3.0150000000000001</v>
          </cell>
          <cell r="I63">
            <v>2.5569999999999999</v>
          </cell>
          <cell r="J63">
            <v>2.363</v>
          </cell>
          <cell r="K63">
            <v>2.5739999999999998</v>
          </cell>
          <cell r="L63">
            <v>2.72</v>
          </cell>
          <cell r="M63">
            <v>2.9689999999999999</v>
          </cell>
        </row>
        <row r="64">
          <cell r="B64" t="str">
            <v>SGU</v>
          </cell>
          <cell r="C64">
            <v>0.18</v>
          </cell>
          <cell r="D64">
            <v>0.16600000000000001</v>
          </cell>
          <cell r="E64">
            <v>0.159</v>
          </cell>
          <cell r="F64">
            <v>0.104</v>
          </cell>
          <cell r="G64">
            <v>9.5000000000000001E-2</v>
          </cell>
          <cell r="H64">
            <v>9.8000000000000004E-2</v>
          </cell>
          <cell r="I64">
            <v>8.3000000000000004E-2</v>
          </cell>
          <cell r="J64">
            <v>5.8000000000000003E-2</v>
          </cell>
          <cell r="K64">
            <v>5.5E-2</v>
          </cell>
          <cell r="L64">
            <v>6.4000000000000001E-2</v>
          </cell>
          <cell r="M64">
            <v>7.1999999999999995E-2</v>
          </cell>
        </row>
        <row r="65">
          <cell r="B65" t="str">
            <v>UGI</v>
          </cell>
          <cell r="C65">
            <v>3.2559999999999998</v>
          </cell>
          <cell r="D65">
            <v>2.8340000000000001</v>
          </cell>
          <cell r="E65">
            <v>2.645</v>
          </cell>
          <cell r="F65">
            <v>2.8439999999999999</v>
          </cell>
          <cell r="G65">
            <v>2.008</v>
          </cell>
          <cell r="H65">
            <v>2.15</v>
          </cell>
          <cell r="I65">
            <v>2.113</v>
          </cell>
          <cell r="J65">
            <v>1.853</v>
          </cell>
          <cell r="K65">
            <v>1.4410000000000001</v>
          </cell>
          <cell r="L65">
            <v>1.395</v>
          </cell>
          <cell r="M65">
            <v>1.212</v>
          </cell>
        </row>
        <row r="66">
          <cell r="B66" t="str">
            <v>UTL</v>
          </cell>
          <cell r="C66">
            <v>6.9749999999999996</v>
          </cell>
          <cell r="D66">
            <v>7.4260000000000002</v>
          </cell>
          <cell r="E66">
            <v>6.6539999999999999</v>
          </cell>
          <cell r="F66">
            <v>6.4660000000000002</v>
          </cell>
          <cell r="G66">
            <v>4.9710000000000001</v>
          </cell>
          <cell r="H66">
            <v>5.2130000000000001</v>
          </cell>
          <cell r="I66">
            <v>4.5549999999999997</v>
          </cell>
          <cell r="J66">
            <v>5.4169999999999998</v>
          </cell>
          <cell r="K66">
            <v>3.6320000000000001</v>
          </cell>
          <cell r="L66">
            <v>5.6619999999999999</v>
          </cell>
          <cell r="M66">
            <v>5.9539999999999997</v>
          </cell>
        </row>
        <row r="67">
          <cell r="B67" t="str">
            <v>VVC</v>
          </cell>
          <cell r="C67">
            <v>6.5380000000000003</v>
          </cell>
          <cell r="D67">
            <v>5.76</v>
          </cell>
          <cell r="E67">
            <v>5.4269999999999996</v>
          </cell>
          <cell r="F67">
            <v>4.774</v>
          </cell>
          <cell r="G67">
            <v>4.45</v>
          </cell>
          <cell r="H67">
            <v>3.923</v>
          </cell>
          <cell r="I67">
            <v>3.3929999999999998</v>
          </cell>
          <cell r="J67">
            <v>5.327</v>
          </cell>
          <cell r="K67">
            <v>4.8259999999999996</v>
          </cell>
          <cell r="L67">
            <v>4.3810000000000002</v>
          </cell>
          <cell r="M67">
            <v>3.698</v>
          </cell>
        </row>
        <row r="68">
          <cell r="B68" t="str">
            <v>WEC</v>
          </cell>
          <cell r="C68">
            <v>4.5110000000000001</v>
          </cell>
          <cell r="D68">
            <v>4.0110000000000001</v>
          </cell>
          <cell r="E68">
            <v>3.2639999999999998</v>
          </cell>
          <cell r="F68">
            <v>3.0419999999999998</v>
          </cell>
          <cell r="G68">
            <v>3.0870000000000002</v>
          </cell>
          <cell r="H68">
            <v>3.605</v>
          </cell>
          <cell r="I68">
            <v>3.4140000000000001</v>
          </cell>
          <cell r="J68">
            <v>3.4969999999999999</v>
          </cell>
          <cell r="K68">
            <v>4.8630000000000004</v>
          </cell>
          <cell r="L68">
            <v>5.282</v>
          </cell>
          <cell r="M68">
            <v>4.1740000000000004</v>
          </cell>
        </row>
        <row r="69">
          <cell r="B69" t="str">
            <v>WR</v>
          </cell>
          <cell r="C69">
            <v>7.6660000000000004</v>
          </cell>
          <cell r="D69">
            <v>4.9539999999999997</v>
          </cell>
          <cell r="E69">
            <v>6.47</v>
          </cell>
          <cell r="F69">
            <v>6.0819999999999999</v>
          </cell>
          <cell r="G69">
            <v>6.4050000000000002</v>
          </cell>
          <cell r="H69">
            <v>5.5490000000000004</v>
          </cell>
          <cell r="I69">
            <v>4.8170000000000002</v>
          </cell>
          <cell r="J69">
            <v>5.2569999999999997</v>
          </cell>
          <cell r="K69">
            <v>8.6530000000000005</v>
          </cell>
          <cell r="L69">
            <v>7.8369999999999997</v>
          </cell>
          <cell r="M69">
            <v>3.9460000000000002</v>
          </cell>
        </row>
        <row r="70">
          <cell r="B70" t="str">
            <v>WGL</v>
          </cell>
          <cell r="C70">
            <v>10.324999999999999</v>
          </cell>
          <cell r="D70">
            <v>9.3260000000000005</v>
          </cell>
          <cell r="E70">
            <v>7.6269999999999998</v>
          </cell>
          <cell r="F70">
            <v>6.0419999999999998</v>
          </cell>
          <cell r="G70">
            <v>4.8739999999999997</v>
          </cell>
          <cell r="H70">
            <v>3.9369999999999998</v>
          </cell>
          <cell r="I70">
            <v>2.5739999999999998</v>
          </cell>
          <cell r="J70">
            <v>2.77</v>
          </cell>
          <cell r="K70">
            <v>2.7040000000000002</v>
          </cell>
          <cell r="L70">
            <v>3.327</v>
          </cell>
          <cell r="M70">
            <v>3.2679999999999998</v>
          </cell>
        </row>
        <row r="71">
          <cell r="B71" t="str">
            <v>XEL</v>
          </cell>
          <cell r="C71">
            <v>6.4180000000000001</v>
          </cell>
          <cell r="D71">
            <v>7.2569999999999997</v>
          </cell>
          <cell r="E71">
            <v>6.327</v>
          </cell>
          <cell r="F71">
            <v>6.8179999999999996</v>
          </cell>
          <cell r="G71">
            <v>5.2670000000000003</v>
          </cell>
          <cell r="H71">
            <v>4.5339999999999998</v>
          </cell>
          <cell r="I71">
            <v>4.5970000000000004</v>
          </cell>
          <cell r="J71">
            <v>3.9060000000000001</v>
          </cell>
          <cell r="K71">
            <v>4.657</v>
          </cell>
          <cell r="L71">
            <v>4.8899999999999997</v>
          </cell>
          <cell r="M71">
            <v>3.996</v>
          </cell>
        </row>
        <row r="72">
          <cell r="B72" t="str">
            <v>YORW</v>
          </cell>
          <cell r="C72" t="str">
            <v>N/A</v>
          </cell>
          <cell r="D72">
            <v>1.1080000000000001</v>
          </cell>
          <cell r="E72">
            <v>1.1020000000000001</v>
          </cell>
          <cell r="F72">
            <v>0.75900000000000001</v>
          </cell>
          <cell r="G72">
            <v>0.94499999999999995</v>
          </cell>
          <cell r="H72">
            <v>0.74</v>
          </cell>
          <cell r="I72">
            <v>0.83099999999999996</v>
          </cell>
          <cell r="J72">
            <v>1.1759999999999999</v>
          </cell>
          <cell r="K72">
            <v>2.173</v>
          </cell>
          <cell r="L72">
            <v>1.6910000000000001</v>
          </cell>
          <cell r="M72">
            <v>1.8460000000000001</v>
          </cell>
        </row>
      </sheetData>
      <sheetData sheetId="33">
        <row r="3">
          <cell r="B3" t="str">
            <v>Ticker</v>
          </cell>
        </row>
      </sheetData>
      <sheetData sheetId="34">
        <row r="1">
          <cell r="E1" t="str">
            <v>June 25, 2018</v>
          </cell>
        </row>
      </sheetData>
      <sheetData sheetId="35"/>
      <sheetData sheetId="36">
        <row r="7">
          <cell r="E7">
            <v>3635</v>
          </cell>
        </row>
      </sheetData>
      <sheetData sheetId="37">
        <row r="1">
          <cell r="A1" t="str">
            <v>DGS20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xy Group Ticker"/>
      <sheetName val="Exhibit List"/>
      <sheetName val="WEA-2"/>
      <sheetName val="WEA-3"/>
      <sheetName val="WEA-4 (1)"/>
      <sheetName val="WEA-4 (2)"/>
      <sheetName val="WEA-4 (3)"/>
      <sheetName val="WEA-5"/>
      <sheetName val="WEA-6"/>
      <sheetName val="WEA-7"/>
      <sheetName val="WEA-8"/>
      <sheetName val="WEA-9 (1)"/>
      <sheetName val="WEA-9 (2)"/>
      <sheetName val="WEA-10"/>
      <sheetName val="WEA-11 (1)"/>
      <sheetName val="WEA-11 (2)"/>
      <sheetName val="WEA-11 (3,4)"/>
      <sheetName val="WEA-12"/>
      <sheetName val="WEA-13"/>
      <sheetName val="WEA-14"/>
      <sheetName val="WEA-15"/>
      <sheetName val="WEA-16"/>
      <sheetName val="WEA-18"/>
      <sheetName val="Utility Proxy Group"/>
      <sheetName val="Proxy Group Risk Measures"/>
      <sheetName val="Stock Price"/>
      <sheetName val="2012 01 Market DCF"/>
      <sheetName val="Bond Yields"/>
      <sheetName val="Size Premium"/>
      <sheetName val="Ordinal Ratings"/>
      <sheetName val="Value Line Data"/>
      <sheetName val="CS Data-Operating Cos"/>
      <sheetName val="CS Data"/>
      <sheetName val="MV CS Data"/>
    </sheetNames>
    <sheetDataSet>
      <sheetData sheetId="0">
        <row r="8">
          <cell r="B8" t="str">
            <v>LNT</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B13" t="str">
            <v>ALE</v>
          </cell>
          <cell r="C13" t="str">
            <v>ALLETE</v>
          </cell>
          <cell r="E13" t="str">
            <v>BBB+</v>
          </cell>
          <cell r="F13">
            <v>8</v>
          </cell>
          <cell r="G13">
            <v>2</v>
          </cell>
          <cell r="I13" t="str">
            <v>A</v>
          </cell>
          <cell r="J13">
            <v>3</v>
          </cell>
          <cell r="L13">
            <v>0.7</v>
          </cell>
          <cell r="N13">
            <v>1367.04</v>
          </cell>
        </row>
        <row r="14">
          <cell r="B14" t="str">
            <v>LNT</v>
          </cell>
          <cell r="C14" t="str">
            <v>Alliant Energy</v>
          </cell>
          <cell r="E14" t="str">
            <v>BBB+</v>
          </cell>
          <cell r="F14">
            <v>8</v>
          </cell>
          <cell r="G14">
            <v>2</v>
          </cell>
          <cell r="I14" t="str">
            <v>A</v>
          </cell>
          <cell r="J14">
            <v>3</v>
          </cell>
          <cell r="L14">
            <v>0.7</v>
          </cell>
          <cell r="N14">
            <v>4594.6099999999997</v>
          </cell>
        </row>
        <row r="15">
          <cell r="B15" t="str">
            <v>AEE</v>
          </cell>
          <cell r="C15" t="str">
            <v>Ameren Corp.</v>
          </cell>
          <cell r="E15" t="str">
            <v>BBB-</v>
          </cell>
          <cell r="F15">
            <v>10</v>
          </cell>
          <cell r="G15">
            <v>3</v>
          </cell>
          <cell r="I15" t="str">
            <v>B++</v>
          </cell>
          <cell r="J15">
            <v>4</v>
          </cell>
          <cell r="L15">
            <v>0.8</v>
          </cell>
          <cell r="N15">
            <v>7885.82</v>
          </cell>
        </row>
        <row r="16">
          <cell r="B16" t="str">
            <v>AEP</v>
          </cell>
          <cell r="C16" t="str">
            <v>American Elec Pwr</v>
          </cell>
          <cell r="E16" t="str">
            <v>BBB</v>
          </cell>
          <cell r="F16">
            <v>9</v>
          </cell>
          <cell r="G16">
            <v>3</v>
          </cell>
          <cell r="I16" t="str">
            <v>B++</v>
          </cell>
          <cell r="J16">
            <v>4</v>
          </cell>
          <cell r="L16">
            <v>0.7</v>
          </cell>
          <cell r="N16">
            <v>18759.72</v>
          </cell>
        </row>
        <row r="17">
          <cell r="B17" t="str">
            <v>AVA</v>
          </cell>
          <cell r="C17" t="str">
            <v>Avista Corp.</v>
          </cell>
          <cell r="E17" t="str">
            <v>BBB</v>
          </cell>
          <cell r="F17">
            <v>9</v>
          </cell>
          <cell r="G17">
            <v>2</v>
          </cell>
          <cell r="I17" t="str">
            <v>B++</v>
          </cell>
          <cell r="J17">
            <v>4</v>
          </cell>
          <cell r="L17">
            <v>0.7</v>
          </cell>
          <cell r="N17">
            <v>1418.72</v>
          </cell>
        </row>
        <row r="18">
          <cell r="B18" t="str">
            <v>BKH</v>
          </cell>
          <cell r="C18" t="str">
            <v>Black Hills Corp.</v>
          </cell>
          <cell r="E18" t="str">
            <v>BBB-</v>
          </cell>
          <cell r="F18">
            <v>10</v>
          </cell>
          <cell r="G18">
            <v>3</v>
          </cell>
          <cell r="I18" t="str">
            <v>B+</v>
          </cell>
          <cell r="J18">
            <v>5</v>
          </cell>
          <cell r="L18">
            <v>0.85</v>
          </cell>
          <cell r="N18">
            <v>1290.81</v>
          </cell>
        </row>
        <row r="19">
          <cell r="B19" t="str">
            <v>CNP</v>
          </cell>
          <cell r="C19" t="str">
            <v>CenterPoint Energy</v>
          </cell>
          <cell r="E19" t="str">
            <v>BBB</v>
          </cell>
          <cell r="F19">
            <v>9</v>
          </cell>
          <cell r="G19">
            <v>3</v>
          </cell>
          <cell r="I19" t="str">
            <v>B</v>
          </cell>
          <cell r="J19">
            <v>6</v>
          </cell>
          <cell r="L19">
            <v>0.8</v>
          </cell>
          <cell r="N19">
            <v>8325.0499999999993</v>
          </cell>
        </row>
        <row r="20">
          <cell r="B20" t="str">
            <v>CV</v>
          </cell>
          <cell r="C20" t="str">
            <v xml:space="preserve">Central Vermont P S </v>
          </cell>
          <cell r="E20" t="str">
            <v>--</v>
          </cell>
          <cell r="F20" t="str">
            <v xml:space="preserve"> </v>
          </cell>
          <cell r="G20">
            <v>3</v>
          </cell>
          <cell r="I20" t="str">
            <v>B</v>
          </cell>
          <cell r="J20">
            <v>6</v>
          </cell>
          <cell r="L20">
            <v>0.75</v>
          </cell>
          <cell r="N20">
            <v>472.32</v>
          </cell>
        </row>
        <row r="21">
          <cell r="B21" t="str">
            <v>CHG</v>
          </cell>
          <cell r="C21" t="str">
            <v>CH Energy Group</v>
          </cell>
          <cell r="D21" t="str">
            <v>(a)</v>
          </cell>
          <cell r="E21" t="str">
            <v>A</v>
          </cell>
          <cell r="F21">
            <v>6</v>
          </cell>
          <cell r="G21">
            <v>1</v>
          </cell>
          <cell r="I21" t="str">
            <v>A</v>
          </cell>
          <cell r="J21">
            <v>3</v>
          </cell>
          <cell r="L21">
            <v>0.65</v>
          </cell>
          <cell r="N21">
            <v>853.63</v>
          </cell>
        </row>
        <row r="22">
          <cell r="B22" t="str">
            <v>CNL</v>
          </cell>
          <cell r="C22" t="str">
            <v>Cleco Corp.</v>
          </cell>
          <cell r="E22" t="str">
            <v>BBB</v>
          </cell>
          <cell r="F22">
            <v>9</v>
          </cell>
          <cell r="G22">
            <v>2</v>
          </cell>
          <cell r="I22" t="str">
            <v>B++</v>
          </cell>
          <cell r="J22">
            <v>4</v>
          </cell>
          <cell r="L22">
            <v>0.65</v>
          </cell>
          <cell r="N22">
            <v>2179.69</v>
          </cell>
        </row>
        <row r="23">
          <cell r="B23" t="str">
            <v>CMS</v>
          </cell>
          <cell r="C23" t="str">
            <v>CMS Energy</v>
          </cell>
          <cell r="E23" t="str">
            <v>BBB-</v>
          </cell>
          <cell r="F23">
            <v>10</v>
          </cell>
          <cell r="G23">
            <v>3</v>
          </cell>
          <cell r="I23" t="str">
            <v>B+</v>
          </cell>
          <cell r="J23">
            <v>5</v>
          </cell>
          <cell r="L23">
            <v>0.75</v>
          </cell>
          <cell r="N23">
            <v>5231.5200000000004</v>
          </cell>
        </row>
        <row r="24">
          <cell r="B24" t="str">
            <v>ED</v>
          </cell>
          <cell r="C24" t="str">
            <v>Consolidated Edison</v>
          </cell>
          <cell r="E24" t="str">
            <v>A-</v>
          </cell>
          <cell r="F24">
            <v>7</v>
          </cell>
          <cell r="G24">
            <v>1</v>
          </cell>
          <cell r="I24" t="str">
            <v>A+</v>
          </cell>
          <cell r="J24">
            <v>2</v>
          </cell>
          <cell r="L24">
            <v>0.65</v>
          </cell>
          <cell r="N24">
            <v>17244.95</v>
          </cell>
        </row>
        <row r="25">
          <cell r="B25" t="str">
            <v>CEG</v>
          </cell>
          <cell r="C25" t="str">
            <v>Constellation Energy</v>
          </cell>
          <cell r="E25" t="str">
            <v>BBB-</v>
          </cell>
          <cell r="F25">
            <v>10</v>
          </cell>
          <cell r="G25">
            <v>3</v>
          </cell>
          <cell r="I25" t="str">
            <v>B+</v>
          </cell>
          <cell r="J25">
            <v>5</v>
          </cell>
          <cell r="L25">
            <v>0.8</v>
          </cell>
          <cell r="N25">
            <v>8096.83</v>
          </cell>
        </row>
        <row r="26">
          <cell r="B26" t="str">
            <v>D</v>
          </cell>
          <cell r="C26" t="str">
            <v>Dominion Resources</v>
          </cell>
          <cell r="E26" t="str">
            <v>A-</v>
          </cell>
          <cell r="F26">
            <v>7</v>
          </cell>
          <cell r="G26">
            <v>2</v>
          </cell>
          <cell r="I26" t="str">
            <v>B++</v>
          </cell>
          <cell r="J26">
            <v>4</v>
          </cell>
          <cell r="L26">
            <v>0.7</v>
          </cell>
          <cell r="N26">
            <v>29249.52</v>
          </cell>
        </row>
        <row r="27">
          <cell r="B27" t="str">
            <v>DPL</v>
          </cell>
          <cell r="C27" t="str">
            <v>DPL, Inc.</v>
          </cell>
          <cell r="E27" t="str">
            <v>A-</v>
          </cell>
          <cell r="F27">
            <v>7</v>
          </cell>
          <cell r="G27">
            <v>3</v>
          </cell>
          <cell r="I27" t="str">
            <v>B++</v>
          </cell>
          <cell r="J27">
            <v>4</v>
          </cell>
          <cell r="L27">
            <v>0.6</v>
          </cell>
          <cell r="N27">
            <v>3548.2</v>
          </cell>
        </row>
        <row r="28">
          <cell r="B28" t="str">
            <v>DTE</v>
          </cell>
          <cell r="C28" t="str">
            <v>DTE Energy Co.</v>
          </cell>
          <cell r="E28" t="str">
            <v>BBB+</v>
          </cell>
          <cell r="F28">
            <v>8</v>
          </cell>
          <cell r="G28">
            <v>3</v>
          </cell>
          <cell r="I28" t="str">
            <v>B+</v>
          </cell>
          <cell r="J28">
            <v>5</v>
          </cell>
          <cell r="L28">
            <v>0.75</v>
          </cell>
          <cell r="N28">
            <v>8666.26</v>
          </cell>
        </row>
        <row r="29">
          <cell r="B29" t="str">
            <v>DUK</v>
          </cell>
          <cell r="C29" t="str">
            <v>Duke Energy Corp.</v>
          </cell>
          <cell r="E29" t="str">
            <v>A-</v>
          </cell>
          <cell r="F29">
            <v>7</v>
          </cell>
          <cell r="G29">
            <v>2</v>
          </cell>
          <cell r="I29" t="str">
            <v>A</v>
          </cell>
          <cell r="J29">
            <v>3</v>
          </cell>
          <cell r="L29">
            <v>0.65</v>
          </cell>
          <cell r="N29">
            <v>27639</v>
          </cell>
        </row>
        <row r="30">
          <cell r="B30" t="str">
            <v>EIX</v>
          </cell>
          <cell r="C30" t="str">
            <v>Edison International</v>
          </cell>
          <cell r="E30" t="str">
            <v>BBB-</v>
          </cell>
          <cell r="F30">
            <v>10</v>
          </cell>
          <cell r="G30">
            <v>3</v>
          </cell>
          <cell r="I30" t="str">
            <v>B++</v>
          </cell>
          <cell r="J30">
            <v>4</v>
          </cell>
          <cell r="L30">
            <v>0.8</v>
          </cell>
          <cell r="N30">
            <v>13185.57</v>
          </cell>
        </row>
        <row r="31">
          <cell r="B31" t="str">
            <v>EE</v>
          </cell>
          <cell r="C31" t="str">
            <v>El Paso Electric</v>
          </cell>
          <cell r="E31" t="str">
            <v>BBB</v>
          </cell>
          <cell r="F31">
            <v>9</v>
          </cell>
          <cell r="G31">
            <v>2</v>
          </cell>
          <cell r="I31" t="str">
            <v>B++</v>
          </cell>
          <cell r="J31">
            <v>4</v>
          </cell>
          <cell r="L31">
            <v>0.75</v>
          </cell>
          <cell r="N31">
            <v>1424.01</v>
          </cell>
        </row>
        <row r="32">
          <cell r="B32" t="str">
            <v>EDE</v>
          </cell>
          <cell r="C32" t="str">
            <v>Empire District Elec</v>
          </cell>
          <cell r="E32" t="str">
            <v>BBB-</v>
          </cell>
          <cell r="F32">
            <v>10</v>
          </cell>
          <cell r="G32">
            <v>3</v>
          </cell>
          <cell r="I32" t="str">
            <v>B+</v>
          </cell>
          <cell r="J32">
            <v>5</v>
          </cell>
          <cell r="L32">
            <v>0.7</v>
          </cell>
          <cell r="N32">
            <v>842.13</v>
          </cell>
        </row>
        <row r="33">
          <cell r="B33" t="str">
            <v>ETR</v>
          </cell>
          <cell r="C33" t="str">
            <v>Entergy Corp.</v>
          </cell>
          <cell r="E33" t="str">
            <v>BBB</v>
          </cell>
          <cell r="F33">
            <v>9</v>
          </cell>
          <cell r="G33">
            <v>2</v>
          </cell>
          <cell r="I33" t="str">
            <v>A</v>
          </cell>
          <cell r="J33">
            <v>3</v>
          </cell>
          <cell r="L33">
            <v>0.7</v>
          </cell>
          <cell r="N33">
            <v>12152.7</v>
          </cell>
        </row>
        <row r="34">
          <cell r="B34" t="str">
            <v>EXC</v>
          </cell>
          <cell r="C34" t="str">
            <v>Exelon Corp.</v>
          </cell>
          <cell r="E34" t="str">
            <v>BBB</v>
          </cell>
          <cell r="F34">
            <v>9</v>
          </cell>
          <cell r="G34">
            <v>2</v>
          </cell>
          <cell r="I34" t="str">
            <v>A</v>
          </cell>
          <cell r="J34">
            <v>3</v>
          </cell>
          <cell r="L34">
            <v>0.85</v>
          </cell>
          <cell r="N34">
            <v>29444.37</v>
          </cell>
        </row>
        <row r="35">
          <cell r="B35" t="str">
            <v>FE</v>
          </cell>
          <cell r="C35" t="str">
            <v>FirstEnergy Corp.</v>
          </cell>
          <cell r="E35" t="str">
            <v>BBB-</v>
          </cell>
          <cell r="F35">
            <v>10</v>
          </cell>
          <cell r="G35">
            <v>2</v>
          </cell>
          <cell r="I35" t="str">
            <v>B++</v>
          </cell>
          <cell r="J35">
            <v>4</v>
          </cell>
          <cell r="L35">
            <v>0.8</v>
          </cell>
          <cell r="N35">
            <v>18715.169999999998</v>
          </cell>
        </row>
        <row r="36">
          <cell r="B36" t="str">
            <v>GXP</v>
          </cell>
          <cell r="C36" t="str">
            <v>Great Plains Energy</v>
          </cell>
          <cell r="E36" t="str">
            <v>BBB</v>
          </cell>
          <cell r="F36">
            <v>9</v>
          </cell>
          <cell r="G36">
            <v>3</v>
          </cell>
          <cell r="I36" t="str">
            <v>B+</v>
          </cell>
          <cell r="J36">
            <v>5</v>
          </cell>
          <cell r="L36">
            <v>0.75</v>
          </cell>
          <cell r="N36">
            <v>2872.49</v>
          </cell>
        </row>
        <row r="37">
          <cell r="B37" t="str">
            <v>HE</v>
          </cell>
          <cell r="C37" t="str">
            <v>Hawaiian Elec.</v>
          </cell>
          <cell r="E37" t="str">
            <v>BBB-</v>
          </cell>
          <cell r="F37">
            <v>10</v>
          </cell>
          <cell r="G37">
            <v>3</v>
          </cell>
          <cell r="I37" t="str">
            <v>B+</v>
          </cell>
          <cell r="J37">
            <v>5</v>
          </cell>
          <cell r="L37">
            <v>0.7</v>
          </cell>
          <cell r="N37">
            <v>2469.17</v>
          </cell>
        </row>
        <row r="38">
          <cell r="B38" t="str">
            <v>IDA</v>
          </cell>
          <cell r="C38" t="str">
            <v>IDACORP, Inc.</v>
          </cell>
          <cell r="E38" t="str">
            <v>BBB</v>
          </cell>
          <cell r="F38">
            <v>9</v>
          </cell>
          <cell r="G38">
            <v>3</v>
          </cell>
          <cell r="I38" t="str">
            <v>B+</v>
          </cell>
          <cell r="J38">
            <v>5</v>
          </cell>
          <cell r="L38">
            <v>0.7</v>
          </cell>
          <cell r="N38">
            <v>2016.53</v>
          </cell>
        </row>
        <row r="39">
          <cell r="B39" t="str">
            <v>TEG</v>
          </cell>
          <cell r="C39" t="str">
            <v>Integrys Energy Group</v>
          </cell>
          <cell r="E39" t="str">
            <v>BBB+</v>
          </cell>
          <cell r="F39">
            <v>8</v>
          </cell>
          <cell r="G39">
            <v>2</v>
          </cell>
          <cell r="I39" t="str">
            <v>B++</v>
          </cell>
          <cell r="J39">
            <v>4</v>
          </cell>
          <cell r="L39">
            <v>0.9</v>
          </cell>
          <cell r="N39">
            <v>3996.94</v>
          </cell>
        </row>
        <row r="40">
          <cell r="B40" t="str">
            <v>ITC</v>
          </cell>
          <cell r="C40" t="str">
            <v>ITC Holdings Corp.</v>
          </cell>
          <cell r="E40" t="str">
            <v>BBB</v>
          </cell>
          <cell r="F40">
            <v>9</v>
          </cell>
          <cell r="G40">
            <v>2</v>
          </cell>
          <cell r="I40" t="str">
            <v>B++</v>
          </cell>
          <cell r="J40">
            <v>4</v>
          </cell>
          <cell r="L40">
            <v>0.8</v>
          </cell>
          <cell r="N40">
            <v>3777.3</v>
          </cell>
        </row>
        <row r="41">
          <cell r="B41" t="str">
            <v>MGEE</v>
          </cell>
          <cell r="C41" t="str">
            <v>MGE Energy</v>
          </cell>
          <cell r="E41" t="str">
            <v>AA-</v>
          </cell>
          <cell r="F41">
            <v>4</v>
          </cell>
          <cell r="G41">
            <v>1</v>
          </cell>
          <cell r="I41" t="str">
            <v>A</v>
          </cell>
          <cell r="J41">
            <v>3</v>
          </cell>
          <cell r="L41">
            <v>0.6</v>
          </cell>
          <cell r="N41">
            <v>980.03</v>
          </cell>
        </row>
        <row r="42">
          <cell r="B42" t="str">
            <v>NEE</v>
          </cell>
          <cell r="C42" t="str">
            <v>NextEra Energy, Inc.</v>
          </cell>
          <cell r="E42" t="str">
            <v>A-</v>
          </cell>
          <cell r="F42">
            <v>7</v>
          </cell>
          <cell r="G42">
            <v>2</v>
          </cell>
          <cell r="I42" t="str">
            <v>A</v>
          </cell>
          <cell r="J42">
            <v>3</v>
          </cell>
          <cell r="L42">
            <v>0.75</v>
          </cell>
          <cell r="N42">
            <v>23351.18</v>
          </cell>
        </row>
        <row r="43">
          <cell r="B43" t="str">
            <v>NU</v>
          </cell>
          <cell r="C43" t="str">
            <v>Northeast Utilities</v>
          </cell>
          <cell r="E43" t="str">
            <v>BBB+</v>
          </cell>
          <cell r="F43">
            <v>8</v>
          </cell>
          <cell r="G43">
            <v>3</v>
          </cell>
          <cell r="I43" t="str">
            <v>B+</v>
          </cell>
          <cell r="J43">
            <v>5</v>
          </cell>
          <cell r="L43">
            <v>0.7</v>
          </cell>
          <cell r="N43">
            <v>6065.86</v>
          </cell>
        </row>
        <row r="44">
          <cell r="B44" t="str">
            <v>NST</v>
          </cell>
          <cell r="C44" t="str">
            <v>NSTAR</v>
          </cell>
          <cell r="E44" t="str">
            <v>A+</v>
          </cell>
          <cell r="F44">
            <v>5</v>
          </cell>
          <cell r="G44">
            <v>1</v>
          </cell>
          <cell r="I44" t="str">
            <v>A</v>
          </cell>
          <cell r="J44">
            <v>3</v>
          </cell>
          <cell r="L44">
            <v>0.65</v>
          </cell>
          <cell r="N44">
            <v>4651.01</v>
          </cell>
        </row>
        <row r="45">
          <cell r="B45" t="str">
            <v>NVE</v>
          </cell>
          <cell r="C45" t="str">
            <v>NV Energy, Inc.</v>
          </cell>
          <cell r="E45" t="str">
            <v>BB+</v>
          </cell>
          <cell r="F45">
            <v>11</v>
          </cell>
          <cell r="G45">
            <v>3</v>
          </cell>
          <cell r="I45" t="str">
            <v>B</v>
          </cell>
          <cell r="J45">
            <v>6</v>
          </cell>
          <cell r="L45">
            <v>0.85</v>
          </cell>
          <cell r="N45">
            <v>3641.47</v>
          </cell>
        </row>
        <row r="46">
          <cell r="B46" t="str">
            <v>OGE</v>
          </cell>
          <cell r="C46" t="str">
            <v>OGE Energy Corp.</v>
          </cell>
          <cell r="E46" t="str">
            <v>BBB+</v>
          </cell>
          <cell r="F46">
            <v>8</v>
          </cell>
          <cell r="G46">
            <v>2</v>
          </cell>
          <cell r="I46" t="str">
            <v>A</v>
          </cell>
          <cell r="J46">
            <v>3</v>
          </cell>
          <cell r="L46">
            <v>0.75</v>
          </cell>
          <cell r="N46">
            <v>5060.3100000000004</v>
          </cell>
        </row>
        <row r="47">
          <cell r="B47" t="str">
            <v>OTTR</v>
          </cell>
          <cell r="C47" t="str">
            <v>Otter Tail Corp.</v>
          </cell>
          <cell r="E47" t="str">
            <v>BBB-</v>
          </cell>
          <cell r="F47">
            <v>10</v>
          </cell>
          <cell r="G47">
            <v>3</v>
          </cell>
          <cell r="I47" t="str">
            <v>B+</v>
          </cell>
          <cell r="J47">
            <v>5</v>
          </cell>
          <cell r="L47">
            <v>0.95</v>
          </cell>
          <cell r="N47">
            <v>736.01</v>
          </cell>
        </row>
        <row r="48">
          <cell r="B48" t="str">
            <v>POM</v>
          </cell>
          <cell r="C48" t="str">
            <v>Pepco Holdings</v>
          </cell>
          <cell r="E48" t="str">
            <v>BBB+</v>
          </cell>
          <cell r="F48">
            <v>8</v>
          </cell>
          <cell r="G48">
            <v>3</v>
          </cell>
          <cell r="I48" t="str">
            <v>B</v>
          </cell>
          <cell r="J48">
            <v>6</v>
          </cell>
          <cell r="L48">
            <v>0.8</v>
          </cell>
          <cell r="N48">
            <v>4390.49</v>
          </cell>
        </row>
        <row r="49">
          <cell r="B49" t="str">
            <v>PCG</v>
          </cell>
          <cell r="C49" t="str">
            <v>PG&amp;E Corp.</v>
          </cell>
          <cell r="E49" t="str">
            <v>BBB+</v>
          </cell>
          <cell r="F49">
            <v>8</v>
          </cell>
          <cell r="G49">
            <v>2</v>
          </cell>
          <cell r="I49" t="str">
            <v>B++</v>
          </cell>
          <cell r="J49">
            <v>4</v>
          </cell>
          <cell r="L49">
            <v>0.55000000000000004</v>
          </cell>
          <cell r="N49">
            <v>16156.27</v>
          </cell>
        </row>
        <row r="50">
          <cell r="B50" t="str">
            <v>PNW</v>
          </cell>
          <cell r="C50" t="str">
            <v>Pinnacle West Capital</v>
          </cell>
          <cell r="E50" t="str">
            <v>BBB</v>
          </cell>
          <cell r="F50">
            <v>9</v>
          </cell>
          <cell r="G50">
            <v>2</v>
          </cell>
          <cell r="I50" t="str">
            <v>B++</v>
          </cell>
          <cell r="J50">
            <v>4</v>
          </cell>
          <cell r="L50">
            <v>0.7</v>
          </cell>
          <cell r="N50">
            <v>5016.87</v>
          </cell>
        </row>
        <row r="51">
          <cell r="B51" t="str">
            <v>PNM</v>
          </cell>
          <cell r="C51" t="str">
            <v>PNM Resources</v>
          </cell>
          <cell r="E51" t="str">
            <v>BB</v>
          </cell>
          <cell r="F51">
            <v>12</v>
          </cell>
          <cell r="G51">
            <v>3</v>
          </cell>
          <cell r="I51" t="str">
            <v>B</v>
          </cell>
          <cell r="J51">
            <v>6</v>
          </cell>
          <cell r="L51">
            <v>0.95</v>
          </cell>
          <cell r="N51">
            <v>1589.58</v>
          </cell>
        </row>
        <row r="52">
          <cell r="B52" t="str">
            <v>POR</v>
          </cell>
          <cell r="C52" t="str">
            <v>Portland General Elec.</v>
          </cell>
          <cell r="E52" t="str">
            <v>BBB</v>
          </cell>
          <cell r="F52">
            <v>9</v>
          </cell>
          <cell r="G52">
            <v>3</v>
          </cell>
          <cell r="I52" t="str">
            <v>B+</v>
          </cell>
          <cell r="J52">
            <v>5</v>
          </cell>
          <cell r="L52">
            <v>0.75</v>
          </cell>
          <cell r="N52">
            <v>1847.46</v>
          </cell>
        </row>
        <row r="53">
          <cell r="B53" t="str">
            <v>PPL</v>
          </cell>
          <cell r="C53" t="str">
            <v>PPL Corp.</v>
          </cell>
          <cell r="E53" t="str">
            <v>BBB</v>
          </cell>
          <cell r="F53">
            <v>9</v>
          </cell>
          <cell r="G53">
            <v>3</v>
          </cell>
          <cell r="I53" t="str">
            <v>B++</v>
          </cell>
          <cell r="J53">
            <v>4</v>
          </cell>
          <cell r="L53">
            <v>0.65</v>
          </cell>
          <cell r="N53">
            <v>17260.22</v>
          </cell>
        </row>
        <row r="54">
          <cell r="B54" t="str">
            <v>PGN</v>
          </cell>
          <cell r="C54" t="str">
            <v>Progress Energy</v>
          </cell>
          <cell r="E54" t="str">
            <v>BBB+</v>
          </cell>
          <cell r="F54">
            <v>8</v>
          </cell>
          <cell r="G54">
            <v>2</v>
          </cell>
          <cell r="I54" t="str">
            <v>B++</v>
          </cell>
          <cell r="J54">
            <v>4</v>
          </cell>
          <cell r="L54">
            <v>0.6</v>
          </cell>
          <cell r="N54">
            <v>15679.25</v>
          </cell>
        </row>
        <row r="55">
          <cell r="B55" t="str">
            <v>PEG</v>
          </cell>
          <cell r="C55" t="str">
            <v>Pub Sv Enterprise Grp</v>
          </cell>
          <cell r="E55" t="str">
            <v>BBB</v>
          </cell>
          <cell r="F55">
            <v>9</v>
          </cell>
          <cell r="G55">
            <v>2</v>
          </cell>
          <cell r="I55" t="str">
            <v>A</v>
          </cell>
          <cell r="J55">
            <v>3</v>
          </cell>
          <cell r="L55">
            <v>0.75</v>
          </cell>
          <cell r="N55">
            <v>17003.43</v>
          </cell>
        </row>
        <row r="56">
          <cell r="B56" t="str">
            <v>SCG</v>
          </cell>
          <cell r="C56" t="str">
            <v>SCANA Corp.</v>
          </cell>
          <cell r="E56" t="str">
            <v>BBB+</v>
          </cell>
          <cell r="F56">
            <v>8</v>
          </cell>
          <cell r="G56">
            <v>2</v>
          </cell>
          <cell r="I56" t="str">
            <v>A</v>
          </cell>
          <cell r="J56">
            <v>3</v>
          </cell>
          <cell r="L56">
            <v>0.65</v>
          </cell>
          <cell r="N56">
            <v>5455.17</v>
          </cell>
        </row>
        <row r="57">
          <cell r="B57" t="str">
            <v>SRE</v>
          </cell>
          <cell r="C57" t="str">
            <v>Sempra Energy</v>
          </cell>
          <cell r="E57" t="str">
            <v>BBB+</v>
          </cell>
          <cell r="F57">
            <v>8</v>
          </cell>
          <cell r="G57">
            <v>2</v>
          </cell>
          <cell r="I57" t="str">
            <v>A</v>
          </cell>
          <cell r="J57">
            <v>3</v>
          </cell>
          <cell r="L57">
            <v>0.8</v>
          </cell>
          <cell r="N57">
            <v>12707.86</v>
          </cell>
        </row>
        <row r="58">
          <cell r="B58" t="str">
            <v>SO</v>
          </cell>
          <cell r="C58" t="str">
            <v>Southern Company</v>
          </cell>
          <cell r="E58" t="str">
            <v>A</v>
          </cell>
          <cell r="F58">
            <v>6</v>
          </cell>
          <cell r="G58">
            <v>1</v>
          </cell>
          <cell r="I58" t="str">
            <v>A</v>
          </cell>
          <cell r="J58">
            <v>3</v>
          </cell>
          <cell r="L58">
            <v>0.55000000000000004</v>
          </cell>
          <cell r="N58">
            <v>37393.67</v>
          </cell>
        </row>
        <row r="59">
          <cell r="B59" t="str">
            <v>TE</v>
          </cell>
          <cell r="C59" t="str">
            <v>TECO Energy</v>
          </cell>
          <cell r="E59" t="str">
            <v>BBB+</v>
          </cell>
          <cell r="F59">
            <v>8</v>
          </cell>
          <cell r="G59">
            <v>3</v>
          </cell>
          <cell r="I59" t="str">
            <v>B+</v>
          </cell>
          <cell r="J59">
            <v>5</v>
          </cell>
          <cell r="L59">
            <v>0.85</v>
          </cell>
          <cell r="N59">
            <v>3996.62</v>
          </cell>
        </row>
        <row r="60">
          <cell r="B60" t="str">
            <v>UIL</v>
          </cell>
          <cell r="C60" t="str">
            <v>UIL Holdings</v>
          </cell>
          <cell r="E60" t="str">
            <v>BBB</v>
          </cell>
          <cell r="F60">
            <v>9</v>
          </cell>
          <cell r="G60">
            <v>2</v>
          </cell>
          <cell r="I60" t="str">
            <v>B++</v>
          </cell>
          <cell r="J60">
            <v>4</v>
          </cell>
          <cell r="L60">
            <v>0.7</v>
          </cell>
          <cell r="N60">
            <v>1716.29</v>
          </cell>
        </row>
        <row r="61">
          <cell r="B61" t="str">
            <v>UNS</v>
          </cell>
          <cell r="C61" t="str">
            <v>Unisource Energy</v>
          </cell>
          <cell r="D61" t="str">
            <v>(b)</v>
          </cell>
          <cell r="E61" t="str">
            <v>BB+</v>
          </cell>
          <cell r="F61">
            <v>11</v>
          </cell>
          <cell r="G61">
            <v>3</v>
          </cell>
          <cell r="I61" t="str">
            <v>C++</v>
          </cell>
          <cell r="J61">
            <v>7</v>
          </cell>
          <cell r="L61">
            <v>0.75</v>
          </cell>
          <cell r="N61">
            <v>1341.33</v>
          </cell>
        </row>
        <row r="62">
          <cell r="B62" t="str">
            <v>VVC</v>
          </cell>
          <cell r="C62" t="str">
            <v>Vectren Corp.</v>
          </cell>
          <cell r="E62" t="str">
            <v>A-</v>
          </cell>
          <cell r="F62">
            <v>7</v>
          </cell>
          <cell r="G62">
            <v>2</v>
          </cell>
          <cell r="I62" t="str">
            <v>A</v>
          </cell>
          <cell r="J62">
            <v>3</v>
          </cell>
          <cell r="L62">
            <v>0.7</v>
          </cell>
          <cell r="N62">
            <v>2380.38</v>
          </cell>
        </row>
        <row r="63">
          <cell r="B63" t="str">
            <v>WR</v>
          </cell>
          <cell r="C63" t="str">
            <v>Westar Energy</v>
          </cell>
          <cell r="E63" t="str">
            <v>BBB</v>
          </cell>
          <cell r="F63">
            <v>9</v>
          </cell>
          <cell r="G63">
            <v>2</v>
          </cell>
          <cell r="I63" t="str">
            <v>B++</v>
          </cell>
          <cell r="J63">
            <v>4</v>
          </cell>
          <cell r="L63">
            <v>0.75</v>
          </cell>
          <cell r="N63">
            <v>3164.75</v>
          </cell>
        </row>
        <row r="64">
          <cell r="B64" t="str">
            <v>WEC</v>
          </cell>
          <cell r="C64" t="str">
            <v>Wisconsin Energy</v>
          </cell>
          <cell r="E64" t="str">
            <v>A-</v>
          </cell>
          <cell r="F64">
            <v>7</v>
          </cell>
          <cell r="G64">
            <v>2</v>
          </cell>
          <cell r="I64" t="str">
            <v>B++</v>
          </cell>
          <cell r="J64">
            <v>4</v>
          </cell>
          <cell r="L64">
            <v>0.65</v>
          </cell>
          <cell r="N64">
            <v>7530.05</v>
          </cell>
        </row>
        <row r="65">
          <cell r="B65" t="str">
            <v>XEL</v>
          </cell>
          <cell r="C65" t="str">
            <v>Xcel Energy, Inc.</v>
          </cell>
          <cell r="E65" t="str">
            <v>A-</v>
          </cell>
          <cell r="F65">
            <v>7</v>
          </cell>
          <cell r="G65">
            <v>2</v>
          </cell>
          <cell r="I65" t="str">
            <v>B++</v>
          </cell>
          <cell r="J65">
            <v>4</v>
          </cell>
          <cell r="L65">
            <v>0.65</v>
          </cell>
          <cell r="N65">
            <v>12603.8</v>
          </cell>
        </row>
      </sheetData>
      <sheetData sheetId="24" refreshError="1"/>
      <sheetData sheetId="25" refreshError="1"/>
      <sheetData sheetId="26" refreshError="1"/>
      <sheetData sheetId="27" refreshError="1"/>
      <sheetData sheetId="28" refreshError="1"/>
      <sheetData sheetId="29" refreshError="1"/>
      <sheetData sheetId="30">
        <row r="13">
          <cell r="B13" t="str">
            <v>AEE</v>
          </cell>
          <cell r="C13" t="str">
            <v>Ameren Corp.</v>
          </cell>
          <cell r="E13">
            <v>1.54</v>
          </cell>
          <cell r="F13">
            <v>40</v>
          </cell>
          <cell r="G13">
            <v>30</v>
          </cell>
          <cell r="H13">
            <v>2.4500000000000002</v>
          </cell>
          <cell r="I13">
            <v>2.4</v>
          </cell>
          <cell r="J13">
            <v>2.5</v>
          </cell>
          <cell r="K13">
            <v>1.56</v>
          </cell>
          <cell r="L13">
            <v>1.62</v>
          </cell>
          <cell r="M13">
            <v>1.75</v>
          </cell>
          <cell r="N13">
            <v>32.65</v>
          </cell>
          <cell r="O13">
            <v>33.4</v>
          </cell>
          <cell r="P13">
            <v>35.5</v>
          </cell>
          <cell r="Q13">
            <v>240.4</v>
          </cell>
          <cell r="R13">
            <v>255</v>
          </cell>
          <cell r="S13">
            <v>0.48199999999999998</v>
          </cell>
          <cell r="T13">
            <v>0.46</v>
          </cell>
          <cell r="U13">
            <v>0.50900000000000001</v>
          </cell>
          <cell r="V13">
            <v>0.53</v>
          </cell>
          <cell r="W13">
            <v>15185</v>
          </cell>
          <cell r="X13">
            <v>17000</v>
          </cell>
          <cell r="Y13">
            <v>8.5999999999999993E-2</v>
          </cell>
          <cell r="Z13">
            <v>7.4999999999999997E-2</v>
          </cell>
          <cell r="AA13">
            <v>7.0000000000000007E-2</v>
          </cell>
          <cell r="AB13">
            <v>7.0000000000000007E-2</v>
          </cell>
          <cell r="AC13">
            <v>-0.02</v>
          </cell>
        </row>
        <row r="14">
          <cell r="B14" t="str">
            <v>AEP</v>
          </cell>
          <cell r="C14" t="str">
            <v>American Elec Pwr</v>
          </cell>
          <cell r="E14">
            <v>1.84</v>
          </cell>
          <cell r="F14">
            <v>55</v>
          </cell>
          <cell r="G14">
            <v>35</v>
          </cell>
          <cell r="H14">
            <v>3.15</v>
          </cell>
          <cell r="I14">
            <v>3.25</v>
          </cell>
          <cell r="J14">
            <v>3.75</v>
          </cell>
          <cell r="K14">
            <v>1.85</v>
          </cell>
          <cell r="L14">
            <v>1.9</v>
          </cell>
          <cell r="M14">
            <v>2.1</v>
          </cell>
          <cell r="N14">
            <v>30.4</v>
          </cell>
          <cell r="O14">
            <v>31.85</v>
          </cell>
          <cell r="P14">
            <v>36.75</v>
          </cell>
          <cell r="Q14">
            <v>480.81</v>
          </cell>
          <cell r="R14">
            <v>500</v>
          </cell>
          <cell r="S14">
            <v>0.53100000000000003</v>
          </cell>
          <cell r="T14">
            <v>0.49</v>
          </cell>
          <cell r="U14">
            <v>0.46700000000000003</v>
          </cell>
          <cell r="V14">
            <v>0.51</v>
          </cell>
          <cell r="W14">
            <v>29184</v>
          </cell>
          <cell r="X14">
            <v>36100</v>
          </cell>
          <cell r="Y14">
            <v>9.0999999999999998E-2</v>
          </cell>
          <cell r="Z14">
            <v>0.105</v>
          </cell>
          <cell r="AA14">
            <v>0.105</v>
          </cell>
          <cell r="AB14">
            <v>0.105</v>
          </cell>
          <cell r="AC14">
            <v>4.4999999999999998E-2</v>
          </cell>
        </row>
        <row r="15">
          <cell r="B15" t="str">
            <v>ALE</v>
          </cell>
          <cell r="C15" t="str">
            <v>ALLETE</v>
          </cell>
          <cell r="E15">
            <v>1.78</v>
          </cell>
          <cell r="F15">
            <v>45</v>
          </cell>
          <cell r="G15">
            <v>35</v>
          </cell>
          <cell r="H15">
            <v>2.65</v>
          </cell>
          <cell r="I15">
            <v>2.65</v>
          </cell>
          <cell r="J15">
            <v>3.25</v>
          </cell>
          <cell r="K15">
            <v>1.78</v>
          </cell>
          <cell r="L15">
            <v>1.8</v>
          </cell>
          <cell r="M15">
            <v>1.95</v>
          </cell>
          <cell r="N15">
            <v>28.3</v>
          </cell>
          <cell r="O15">
            <v>29.45</v>
          </cell>
          <cell r="P15">
            <v>32.75</v>
          </cell>
          <cell r="Q15">
            <v>35.799999999999997</v>
          </cell>
          <cell r="R15">
            <v>40</v>
          </cell>
          <cell r="S15">
            <v>0.442</v>
          </cell>
          <cell r="T15">
            <v>0.41499999999999998</v>
          </cell>
          <cell r="U15">
            <v>0.55800000000000005</v>
          </cell>
          <cell r="V15">
            <v>0.58499999999999996</v>
          </cell>
          <cell r="W15">
            <v>1625.3</v>
          </cell>
          <cell r="X15">
            <v>2225</v>
          </cell>
          <cell r="Y15">
            <v>7.6999999999999999E-2</v>
          </cell>
          <cell r="Z15">
            <v>0.09</v>
          </cell>
          <cell r="AA15">
            <v>0.09</v>
          </cell>
          <cell r="AB15">
            <v>9.5000000000000001E-2</v>
          </cell>
          <cell r="AC15">
            <v>0.06</v>
          </cell>
        </row>
        <row r="16">
          <cell r="B16" t="str">
            <v>AVA</v>
          </cell>
          <cell r="C16" t="str">
            <v>Avista Corp.</v>
          </cell>
          <cell r="E16">
            <v>1.1000000000000001</v>
          </cell>
          <cell r="F16">
            <v>35</v>
          </cell>
          <cell r="G16">
            <v>25</v>
          </cell>
          <cell r="H16">
            <v>1.8</v>
          </cell>
          <cell r="I16">
            <v>1.8</v>
          </cell>
          <cell r="J16">
            <v>2</v>
          </cell>
          <cell r="K16">
            <v>1.1000000000000001</v>
          </cell>
          <cell r="L16">
            <v>1.18</v>
          </cell>
          <cell r="M16">
            <v>1.4</v>
          </cell>
          <cell r="N16">
            <v>20.350000000000001</v>
          </cell>
          <cell r="O16">
            <v>21</v>
          </cell>
          <cell r="P16">
            <v>22.75</v>
          </cell>
          <cell r="Q16">
            <v>57.12</v>
          </cell>
          <cell r="R16">
            <v>60.5</v>
          </cell>
          <cell r="S16">
            <v>0.51600000000000001</v>
          </cell>
          <cell r="T16">
            <v>0.51500000000000001</v>
          </cell>
          <cell r="U16">
            <v>0.48399999999999999</v>
          </cell>
          <cell r="V16">
            <v>0.48499999999999999</v>
          </cell>
          <cell r="W16">
            <v>2325.3000000000002</v>
          </cell>
          <cell r="X16">
            <v>2850</v>
          </cell>
          <cell r="Y16">
            <v>8.2000000000000003E-2</v>
          </cell>
          <cell r="Z16">
            <v>0.09</v>
          </cell>
          <cell r="AA16">
            <v>8.5000000000000006E-2</v>
          </cell>
          <cell r="AB16">
            <v>0.09</v>
          </cell>
          <cell r="AC16">
            <v>4.4999999999999998E-2</v>
          </cell>
        </row>
        <row r="17">
          <cell r="B17" t="str">
            <v>BKH</v>
          </cell>
          <cell r="C17" t="str">
            <v>Black Hills Corp.</v>
          </cell>
          <cell r="E17">
            <v>1.46</v>
          </cell>
          <cell r="F17">
            <v>40</v>
          </cell>
          <cell r="G17">
            <v>25</v>
          </cell>
          <cell r="H17">
            <v>1.75</v>
          </cell>
          <cell r="I17">
            <v>1.95</v>
          </cell>
          <cell r="J17">
            <v>2.25</v>
          </cell>
          <cell r="K17">
            <v>1.46</v>
          </cell>
          <cell r="L17">
            <v>1.48</v>
          </cell>
          <cell r="M17">
            <v>1.55</v>
          </cell>
          <cell r="N17">
            <v>28.15</v>
          </cell>
          <cell r="O17">
            <v>28.6</v>
          </cell>
          <cell r="P17">
            <v>30.5</v>
          </cell>
          <cell r="Q17">
            <v>39.270000000000003</v>
          </cell>
          <cell r="R17">
            <v>45</v>
          </cell>
          <cell r="S17">
            <v>0.51900000000000002</v>
          </cell>
          <cell r="T17">
            <v>0.5</v>
          </cell>
          <cell r="U17">
            <v>0.48099999999999998</v>
          </cell>
          <cell r="V17">
            <v>0.5</v>
          </cell>
          <cell r="W17">
            <v>2286.3000000000002</v>
          </cell>
          <cell r="X17">
            <v>2750</v>
          </cell>
          <cell r="Y17">
            <v>5.8999999999999997E-2</v>
          </cell>
          <cell r="Z17">
            <v>0.06</v>
          </cell>
          <cell r="AA17">
            <v>7.0000000000000007E-2</v>
          </cell>
          <cell r="AB17">
            <v>7.4999999999999997E-2</v>
          </cell>
          <cell r="AC17">
            <v>8.5000000000000006E-2</v>
          </cell>
        </row>
        <row r="18">
          <cell r="B18" t="str">
            <v>CEG</v>
          </cell>
          <cell r="C18" t="str">
            <v>Constellation Energy</v>
          </cell>
          <cell r="E18">
            <v>0.96</v>
          </cell>
          <cell r="F18">
            <v>50</v>
          </cell>
          <cell r="G18">
            <v>30</v>
          </cell>
          <cell r="H18">
            <v>1.7</v>
          </cell>
          <cell r="I18">
            <v>2.2999999999999998</v>
          </cell>
          <cell r="J18">
            <v>3.25</v>
          </cell>
          <cell r="K18">
            <v>0.96</v>
          </cell>
          <cell r="L18">
            <v>0.96</v>
          </cell>
          <cell r="M18">
            <v>1</v>
          </cell>
          <cell r="N18">
            <v>39.65</v>
          </cell>
          <cell r="O18">
            <v>40.9</v>
          </cell>
          <cell r="P18">
            <v>46.75</v>
          </cell>
          <cell r="Q18">
            <v>199.79</v>
          </cell>
          <cell r="R18">
            <v>206</v>
          </cell>
          <cell r="S18">
            <v>0.35699999999999998</v>
          </cell>
          <cell r="T18">
            <v>0.32</v>
          </cell>
          <cell r="U18">
            <v>0.628</v>
          </cell>
          <cell r="V18">
            <v>0.66500000000000004</v>
          </cell>
          <cell r="W18">
            <v>12468</v>
          </cell>
          <cell r="X18">
            <v>14500</v>
          </cell>
          <cell r="Y18">
            <v>4.1000000000000002E-2</v>
          </cell>
          <cell r="Z18">
            <v>4.4999999999999998E-2</v>
          </cell>
          <cell r="AA18">
            <v>5.5E-2</v>
          </cell>
          <cell r="AB18">
            <v>7.0000000000000007E-2</v>
          </cell>
          <cell r="AC18">
            <v>0.16500000000000001</v>
          </cell>
        </row>
        <row r="19">
          <cell r="B19" t="str">
            <v>CHG</v>
          </cell>
          <cell r="C19" t="str">
            <v>CH Energy Group</v>
          </cell>
          <cell r="E19">
            <v>2.16</v>
          </cell>
          <cell r="F19">
            <v>55</v>
          </cell>
          <cell r="G19">
            <v>45</v>
          </cell>
          <cell r="H19">
            <v>3</v>
          </cell>
          <cell r="I19">
            <v>3.1</v>
          </cell>
          <cell r="J19">
            <v>3.35</v>
          </cell>
          <cell r="K19">
            <v>2.2200000000000002</v>
          </cell>
          <cell r="L19">
            <v>2.2200000000000002</v>
          </cell>
          <cell r="M19">
            <v>2.2400000000000002</v>
          </cell>
          <cell r="N19">
            <v>35.5</v>
          </cell>
          <cell r="O19">
            <v>35.75</v>
          </cell>
          <cell r="P19">
            <v>37.5</v>
          </cell>
          <cell r="Q19">
            <v>15.8</v>
          </cell>
          <cell r="R19">
            <v>15</v>
          </cell>
          <cell r="S19">
            <v>0.47399999999999998</v>
          </cell>
          <cell r="T19">
            <v>0.48</v>
          </cell>
          <cell r="U19">
            <v>0.50700000000000001</v>
          </cell>
          <cell r="V19">
            <v>0.51</v>
          </cell>
          <cell r="W19">
            <v>1061.8</v>
          </cell>
          <cell r="X19">
            <v>1180</v>
          </cell>
          <cell r="Y19">
            <v>8.5999999999999993E-2</v>
          </cell>
          <cell r="Z19">
            <v>8.5000000000000006E-2</v>
          </cell>
          <cell r="AA19">
            <v>8.5000000000000006E-2</v>
          </cell>
          <cell r="AB19">
            <v>0.09</v>
          </cell>
          <cell r="AC19">
            <v>0.04</v>
          </cell>
        </row>
        <row r="20">
          <cell r="B20" t="str">
            <v>CMS</v>
          </cell>
          <cell r="C20" t="str">
            <v>CMS Energy</v>
          </cell>
          <cell r="E20">
            <v>0.84</v>
          </cell>
          <cell r="F20">
            <v>25</v>
          </cell>
          <cell r="G20">
            <v>18</v>
          </cell>
          <cell r="H20">
            <v>1.45</v>
          </cell>
          <cell r="I20">
            <v>1.55</v>
          </cell>
          <cell r="J20">
            <v>1.75</v>
          </cell>
          <cell r="K20">
            <v>0.84</v>
          </cell>
          <cell r="L20">
            <v>0.92</v>
          </cell>
          <cell r="M20">
            <v>1.1000000000000001</v>
          </cell>
          <cell r="N20">
            <v>12</v>
          </cell>
          <cell r="O20">
            <v>12.7</v>
          </cell>
          <cell r="P20">
            <v>15</v>
          </cell>
          <cell r="Q20">
            <v>249.6</v>
          </cell>
          <cell r="R20">
            <v>260</v>
          </cell>
          <cell r="S20">
            <v>0.70099999999999996</v>
          </cell>
          <cell r="T20">
            <v>0.64</v>
          </cell>
          <cell r="U20">
            <v>0.29499999999999998</v>
          </cell>
          <cell r="V20">
            <v>0.35499999999999998</v>
          </cell>
          <cell r="W20">
            <v>9473</v>
          </cell>
          <cell r="X20">
            <v>11000</v>
          </cell>
          <cell r="Y20">
            <v>0.125</v>
          </cell>
          <cell r="Z20">
            <v>0.125</v>
          </cell>
          <cell r="AA20">
            <v>0.13</v>
          </cell>
          <cell r="AB20">
            <v>0.125</v>
          </cell>
          <cell r="AC20">
            <v>7.0000000000000007E-2</v>
          </cell>
        </row>
        <row r="21">
          <cell r="B21" t="str">
            <v>CNL</v>
          </cell>
          <cell r="C21" t="str">
            <v>Cleco Corp.</v>
          </cell>
          <cell r="E21">
            <v>1.0900000000000001</v>
          </cell>
          <cell r="F21">
            <v>40</v>
          </cell>
          <cell r="G21">
            <v>30</v>
          </cell>
          <cell r="H21">
            <v>2.4500000000000002</v>
          </cell>
          <cell r="I21">
            <v>2.4</v>
          </cell>
          <cell r="J21">
            <v>2.75</v>
          </cell>
          <cell r="K21">
            <v>1.1200000000000001</v>
          </cell>
          <cell r="L21">
            <v>1.25</v>
          </cell>
          <cell r="M21">
            <v>1.6</v>
          </cell>
          <cell r="N21">
            <v>23.65</v>
          </cell>
          <cell r="O21">
            <v>24.8</v>
          </cell>
          <cell r="P21">
            <v>28.25</v>
          </cell>
          <cell r="Q21">
            <v>60.53</v>
          </cell>
          <cell r="R21">
            <v>60.7</v>
          </cell>
          <cell r="S21">
            <v>0.51500000000000001</v>
          </cell>
          <cell r="T21">
            <v>0.42</v>
          </cell>
          <cell r="U21">
            <v>0.48499999999999999</v>
          </cell>
          <cell r="V21">
            <v>0.57999999999999996</v>
          </cell>
          <cell r="W21">
            <v>2717.9</v>
          </cell>
          <cell r="X21">
            <v>2975</v>
          </cell>
          <cell r="Y21">
            <v>0.106</v>
          </cell>
          <cell r="Z21">
            <v>0.105</v>
          </cell>
          <cell r="AA21">
            <v>9.5000000000000001E-2</v>
          </cell>
          <cell r="AB21">
            <v>9.5000000000000001E-2</v>
          </cell>
          <cell r="AC21">
            <v>0.06</v>
          </cell>
        </row>
        <row r="22">
          <cell r="B22" t="str">
            <v>CNP</v>
          </cell>
          <cell r="C22" t="str">
            <v>CenterPoint Energy</v>
          </cell>
          <cell r="E22">
            <v>0.79</v>
          </cell>
          <cell r="F22">
            <v>25</v>
          </cell>
          <cell r="G22">
            <v>15</v>
          </cell>
          <cell r="H22">
            <v>1.2</v>
          </cell>
          <cell r="I22">
            <v>1.2</v>
          </cell>
          <cell r="J22">
            <v>1.35</v>
          </cell>
          <cell r="K22">
            <v>0.79</v>
          </cell>
          <cell r="L22">
            <v>0.8</v>
          </cell>
          <cell r="M22">
            <v>0.9</v>
          </cell>
          <cell r="N22">
            <v>9.9</v>
          </cell>
          <cell r="O22">
            <v>10.35</v>
          </cell>
          <cell r="P22">
            <v>12</v>
          </cell>
          <cell r="Q22">
            <v>424.7</v>
          </cell>
          <cell r="R22">
            <v>430</v>
          </cell>
          <cell r="S22">
            <v>0.73799999999999999</v>
          </cell>
          <cell r="T22">
            <v>0.68500000000000005</v>
          </cell>
          <cell r="U22">
            <v>0.26200000000000001</v>
          </cell>
          <cell r="V22">
            <v>0.315</v>
          </cell>
          <cell r="W22">
            <v>12199</v>
          </cell>
          <cell r="X22">
            <v>16200</v>
          </cell>
          <cell r="Y22">
            <v>0.13800000000000001</v>
          </cell>
          <cell r="Z22">
            <v>0.12</v>
          </cell>
          <cell r="AA22">
            <v>0.12</v>
          </cell>
          <cell r="AB22">
            <v>0.115</v>
          </cell>
          <cell r="AC22">
            <v>0.03</v>
          </cell>
        </row>
        <row r="23">
          <cell r="B23" t="str">
            <v>CV</v>
          </cell>
          <cell r="C23" t="str">
            <v xml:space="preserve">Central Vermont P S </v>
          </cell>
          <cell r="E23">
            <v>0.92</v>
          </cell>
          <cell r="F23">
            <v>35</v>
          </cell>
          <cell r="G23">
            <v>25</v>
          </cell>
          <cell r="H23">
            <v>0.35</v>
          </cell>
          <cell r="I23">
            <v>1.75</v>
          </cell>
          <cell r="J23">
            <v>1.85</v>
          </cell>
          <cell r="K23">
            <v>0.92</v>
          </cell>
          <cell r="L23">
            <v>0.92</v>
          </cell>
          <cell r="M23">
            <v>1</v>
          </cell>
          <cell r="N23">
            <v>21.1</v>
          </cell>
          <cell r="O23">
            <v>22</v>
          </cell>
          <cell r="P23">
            <v>23.5</v>
          </cell>
          <cell r="Q23">
            <v>13.34</v>
          </cell>
          <cell r="R23">
            <v>13.4</v>
          </cell>
          <cell r="S23">
            <v>0.40100000000000002</v>
          </cell>
          <cell r="T23">
            <v>0.37</v>
          </cell>
          <cell r="U23">
            <v>0.58099999999999996</v>
          </cell>
          <cell r="V23">
            <v>0.61</v>
          </cell>
          <cell r="W23">
            <v>469.1</v>
          </cell>
          <cell r="X23">
            <v>515</v>
          </cell>
          <cell r="Y23">
            <v>7.4999999999999997E-2</v>
          </cell>
          <cell r="Z23" t="str">
            <v>NMF</v>
          </cell>
          <cell r="AA23">
            <v>0.08</v>
          </cell>
          <cell r="AB23">
            <v>0.08</v>
          </cell>
          <cell r="AC23">
            <v>0.02</v>
          </cell>
        </row>
        <row r="24">
          <cell r="B24" t="str">
            <v>D</v>
          </cell>
          <cell r="C24" t="str">
            <v>Dominion Resources</v>
          </cell>
          <cell r="E24">
            <v>1.97</v>
          </cell>
          <cell r="F24">
            <v>60</v>
          </cell>
          <cell r="G24">
            <v>45</v>
          </cell>
          <cell r="H24">
            <v>2.8</v>
          </cell>
          <cell r="I24">
            <v>3.25</v>
          </cell>
          <cell r="J24">
            <v>3.75</v>
          </cell>
          <cell r="K24">
            <v>1.97</v>
          </cell>
          <cell r="L24">
            <v>2.11</v>
          </cell>
          <cell r="M24">
            <v>2.4500000000000002</v>
          </cell>
          <cell r="N24">
            <v>20.9</v>
          </cell>
          <cell r="O24">
            <v>22.05</v>
          </cell>
          <cell r="P24">
            <v>26.5</v>
          </cell>
          <cell r="Q24">
            <v>581</v>
          </cell>
          <cell r="R24">
            <v>585</v>
          </cell>
          <cell r="S24">
            <v>0.56299999999999994</v>
          </cell>
          <cell r="T24">
            <v>0.57499999999999996</v>
          </cell>
          <cell r="U24">
            <v>0.42799999999999999</v>
          </cell>
          <cell r="V24">
            <v>0.42</v>
          </cell>
          <cell r="W24">
            <v>28012</v>
          </cell>
          <cell r="X24">
            <v>37200</v>
          </cell>
          <cell r="Y24">
            <v>0.14199999999999999</v>
          </cell>
          <cell r="Z24">
            <v>0.13500000000000001</v>
          </cell>
          <cell r="AA24">
            <v>0.15</v>
          </cell>
          <cell r="AB24">
            <v>0.14000000000000001</v>
          </cell>
          <cell r="AC24">
            <v>4.4999999999999998E-2</v>
          </cell>
        </row>
        <row r="25">
          <cell r="B25" t="str">
            <v>DTE</v>
          </cell>
          <cell r="C25" t="str">
            <v>DTE Energy Co.</v>
          </cell>
          <cell r="E25">
            <v>2.3199999999999998</v>
          </cell>
          <cell r="F25">
            <v>70</v>
          </cell>
          <cell r="G25">
            <v>45</v>
          </cell>
          <cell r="H25">
            <v>3.6</v>
          </cell>
          <cell r="I25">
            <v>3.75</v>
          </cell>
          <cell r="J25">
            <v>4.25</v>
          </cell>
          <cell r="K25">
            <v>2.3199999999999998</v>
          </cell>
          <cell r="L25">
            <v>2.42</v>
          </cell>
          <cell r="M25">
            <v>2.7</v>
          </cell>
          <cell r="N25">
            <v>40.950000000000003</v>
          </cell>
          <cell r="O25">
            <v>42.4</v>
          </cell>
          <cell r="P25">
            <v>46.75</v>
          </cell>
          <cell r="Q25">
            <v>169.43</v>
          </cell>
          <cell r="R25">
            <v>176</v>
          </cell>
          <cell r="S25">
            <v>0.51300000000000001</v>
          </cell>
          <cell r="T25">
            <v>0.52</v>
          </cell>
          <cell r="U25">
            <v>0.48699999999999999</v>
          </cell>
          <cell r="V25">
            <v>0.48</v>
          </cell>
          <cell r="W25">
            <v>13811</v>
          </cell>
          <cell r="X25">
            <v>17100</v>
          </cell>
          <cell r="Y25">
            <v>9.4E-2</v>
          </cell>
          <cell r="Z25">
            <v>9.5000000000000001E-2</v>
          </cell>
          <cell r="AA25">
            <v>0.09</v>
          </cell>
          <cell r="AB25">
            <v>0.09</v>
          </cell>
          <cell r="AC25">
            <v>4.4999999999999998E-2</v>
          </cell>
        </row>
        <row r="26">
          <cell r="B26" t="str">
            <v>DUK</v>
          </cell>
          <cell r="C26" t="str">
            <v>Duke Energy Corp.</v>
          </cell>
          <cell r="E26">
            <v>0.99</v>
          </cell>
          <cell r="F26">
            <v>25</v>
          </cell>
          <cell r="G26">
            <v>17</v>
          </cell>
          <cell r="H26">
            <v>1.4</v>
          </cell>
          <cell r="I26">
            <v>1.45</v>
          </cell>
          <cell r="J26">
            <v>1.65</v>
          </cell>
          <cell r="K26">
            <v>0.99</v>
          </cell>
          <cell r="L26">
            <v>1.01</v>
          </cell>
          <cell r="M26">
            <v>1.07</v>
          </cell>
          <cell r="N26">
            <v>17.25</v>
          </cell>
          <cell r="O26">
            <v>17.7</v>
          </cell>
          <cell r="P26">
            <v>19.25</v>
          </cell>
          <cell r="Q26">
            <v>1329</v>
          </cell>
          <cell r="R26">
            <v>1339</v>
          </cell>
          <cell r="S26">
            <v>0.443</v>
          </cell>
          <cell r="T26">
            <v>0.505</v>
          </cell>
          <cell r="U26">
            <v>0.55700000000000005</v>
          </cell>
          <cell r="V26">
            <v>0.495</v>
          </cell>
          <cell r="W26">
            <v>40457</v>
          </cell>
          <cell r="X26">
            <v>52100</v>
          </cell>
          <cell r="Y26">
            <v>7.8E-2</v>
          </cell>
          <cell r="Z26">
            <v>0.08</v>
          </cell>
          <cell r="AA26">
            <v>8.5000000000000006E-2</v>
          </cell>
          <cell r="AB26">
            <v>8.5000000000000006E-2</v>
          </cell>
          <cell r="AC26">
            <v>0.06</v>
          </cell>
        </row>
        <row r="27">
          <cell r="B27" t="str">
            <v>ED</v>
          </cell>
          <cell r="C27" t="str">
            <v>Consolidated Edison</v>
          </cell>
          <cell r="E27">
            <v>2.4</v>
          </cell>
          <cell r="F27">
            <v>60</v>
          </cell>
          <cell r="G27">
            <v>50</v>
          </cell>
          <cell r="H27">
            <v>3.55</v>
          </cell>
          <cell r="I27">
            <v>3.65</v>
          </cell>
          <cell r="J27">
            <v>3.95</v>
          </cell>
          <cell r="K27">
            <v>2.4</v>
          </cell>
          <cell r="L27">
            <v>2.42</v>
          </cell>
          <cell r="M27">
            <v>2.48</v>
          </cell>
          <cell r="N27">
            <v>38.450000000000003</v>
          </cell>
          <cell r="O27">
            <v>40.950000000000003</v>
          </cell>
          <cell r="P27">
            <v>42.6</v>
          </cell>
          <cell r="Q27">
            <v>291.62</v>
          </cell>
          <cell r="R27">
            <v>310</v>
          </cell>
          <cell r="S27">
            <v>0.49099999999999999</v>
          </cell>
          <cell r="T27">
            <v>0.495</v>
          </cell>
          <cell r="U27">
            <v>0.50900000000000001</v>
          </cell>
          <cell r="V27">
            <v>0.505</v>
          </cell>
          <cell r="W27">
            <v>21732</v>
          </cell>
          <cell r="X27">
            <v>26200</v>
          </cell>
          <cell r="Y27">
            <v>0.09</v>
          </cell>
          <cell r="Z27">
            <v>9.5000000000000001E-2</v>
          </cell>
          <cell r="AA27">
            <v>0.09</v>
          </cell>
          <cell r="AB27">
            <v>9.5000000000000001E-2</v>
          </cell>
          <cell r="AC27">
            <v>0.03</v>
          </cell>
        </row>
        <row r="28">
          <cell r="B28" t="str">
            <v>EDE</v>
          </cell>
          <cell r="C28" t="str">
            <v>Empire District Elec</v>
          </cell>
          <cell r="E28">
            <v>0.64</v>
          </cell>
          <cell r="F28">
            <v>25</v>
          </cell>
          <cell r="G28">
            <v>17</v>
          </cell>
          <cell r="H28">
            <v>1.3</v>
          </cell>
          <cell r="I28">
            <v>1.25</v>
          </cell>
          <cell r="J28">
            <v>1.75</v>
          </cell>
          <cell r="K28">
            <v>0.64</v>
          </cell>
          <cell r="L28">
            <v>1</v>
          </cell>
          <cell r="M28">
            <v>1.2</v>
          </cell>
          <cell r="N28">
            <v>16.45</v>
          </cell>
          <cell r="O28">
            <v>16.7</v>
          </cell>
          <cell r="P28">
            <v>18.25</v>
          </cell>
          <cell r="Q28">
            <v>41.58</v>
          </cell>
          <cell r="R28">
            <v>43</v>
          </cell>
          <cell r="S28">
            <v>0.51300000000000001</v>
          </cell>
          <cell r="T28">
            <v>0.46500000000000002</v>
          </cell>
          <cell r="U28">
            <v>0.48699999999999999</v>
          </cell>
          <cell r="V28">
            <v>0.53500000000000003</v>
          </cell>
          <cell r="W28">
            <v>1350.7</v>
          </cell>
          <cell r="X28">
            <v>1475</v>
          </cell>
          <cell r="Y28">
            <v>7.1999999999999995E-2</v>
          </cell>
          <cell r="Z28">
            <v>0.08</v>
          </cell>
          <cell r="AA28">
            <v>7.4999999999999997E-2</v>
          </cell>
          <cell r="AB28">
            <v>0.1</v>
          </cell>
          <cell r="AC28">
            <v>7.0000000000000007E-2</v>
          </cell>
        </row>
        <row r="29">
          <cell r="B29" t="str">
            <v>EE</v>
          </cell>
          <cell r="C29" t="str">
            <v>El Paso Electric</v>
          </cell>
          <cell r="E29">
            <v>0.66</v>
          </cell>
          <cell r="F29">
            <v>40</v>
          </cell>
          <cell r="G29">
            <v>30</v>
          </cell>
          <cell r="H29">
            <v>2.5</v>
          </cell>
          <cell r="I29">
            <v>2.4</v>
          </cell>
          <cell r="J29">
            <v>2.75</v>
          </cell>
          <cell r="K29">
            <v>0.66</v>
          </cell>
          <cell r="L29">
            <v>0.96</v>
          </cell>
          <cell r="M29">
            <v>1.2</v>
          </cell>
          <cell r="N29">
            <v>20.45</v>
          </cell>
          <cell r="O29">
            <v>21.65</v>
          </cell>
          <cell r="P29">
            <v>25.5</v>
          </cell>
          <cell r="Q29">
            <v>42.57</v>
          </cell>
          <cell r="R29">
            <v>39</v>
          </cell>
          <cell r="S29">
            <v>0.51200000000000001</v>
          </cell>
          <cell r="T29">
            <v>0.52</v>
          </cell>
          <cell r="U29">
            <v>0.48799999999999999</v>
          </cell>
          <cell r="V29">
            <v>0.48</v>
          </cell>
          <cell r="W29">
            <v>1660.1</v>
          </cell>
          <cell r="X29">
            <v>2050</v>
          </cell>
          <cell r="Y29">
            <v>0.111</v>
          </cell>
          <cell r="Z29">
            <v>0.125</v>
          </cell>
          <cell r="AA29">
            <v>0.115</v>
          </cell>
          <cell r="AB29">
            <v>0.115</v>
          </cell>
          <cell r="AC29">
            <v>7.4999999999999997E-2</v>
          </cell>
        </row>
        <row r="30">
          <cell r="B30" t="str">
            <v>EIX</v>
          </cell>
          <cell r="C30" t="str">
            <v>Edison International</v>
          </cell>
          <cell r="E30">
            <v>1.29</v>
          </cell>
          <cell r="F30">
            <v>50</v>
          </cell>
          <cell r="G30">
            <v>30</v>
          </cell>
          <cell r="H30">
            <v>2.75</v>
          </cell>
          <cell r="I30">
            <v>2.8</v>
          </cell>
          <cell r="J30">
            <v>3.25</v>
          </cell>
          <cell r="K30">
            <v>1.29</v>
          </cell>
          <cell r="L30">
            <v>1.31</v>
          </cell>
          <cell r="M30">
            <v>1.4</v>
          </cell>
          <cell r="N30">
            <v>33.85</v>
          </cell>
          <cell r="O30">
            <v>35.299999999999997</v>
          </cell>
          <cell r="P30">
            <v>40.25</v>
          </cell>
          <cell r="Q30">
            <v>325.81</v>
          </cell>
          <cell r="R30">
            <v>325.81</v>
          </cell>
          <cell r="S30">
            <v>0.51800000000000002</v>
          </cell>
          <cell r="T30">
            <v>0.53500000000000003</v>
          </cell>
          <cell r="U30">
            <v>0.443</v>
          </cell>
          <cell r="V30">
            <v>0.43</v>
          </cell>
          <cell r="W30">
            <v>23861</v>
          </cell>
          <cell r="X30">
            <v>30400</v>
          </cell>
          <cell r="Y30">
            <v>0.104</v>
          </cell>
          <cell r="Z30">
            <v>0.08</v>
          </cell>
          <cell r="AA30">
            <v>8.5000000000000006E-2</v>
          </cell>
          <cell r="AB30">
            <v>0.08</v>
          </cell>
          <cell r="AC30">
            <v>-0.01</v>
          </cell>
        </row>
        <row r="31">
          <cell r="B31" t="str">
            <v>ETR</v>
          </cell>
          <cell r="C31" t="str">
            <v>Entergy Corp.</v>
          </cell>
          <cell r="E31">
            <v>3.32</v>
          </cell>
          <cell r="F31">
            <v>95</v>
          </cell>
          <cell r="G31">
            <v>70</v>
          </cell>
          <cell r="H31">
            <v>7.4</v>
          </cell>
          <cell r="I31">
            <v>6</v>
          </cell>
          <cell r="J31">
            <v>6.5</v>
          </cell>
          <cell r="K31">
            <v>3.32</v>
          </cell>
          <cell r="L31">
            <v>3.32</v>
          </cell>
          <cell r="M31">
            <v>3.5</v>
          </cell>
          <cell r="N31">
            <v>51.05</v>
          </cell>
          <cell r="O31">
            <v>53.75</v>
          </cell>
          <cell r="P31">
            <v>62</v>
          </cell>
          <cell r="Q31">
            <v>178.75</v>
          </cell>
          <cell r="R31">
            <v>171</v>
          </cell>
          <cell r="S31">
            <v>0.56000000000000005</v>
          </cell>
          <cell r="T31">
            <v>0.56000000000000005</v>
          </cell>
          <cell r="U31">
            <v>0.42099999999999999</v>
          </cell>
          <cell r="V31">
            <v>0.41</v>
          </cell>
          <cell r="W31">
            <v>20166</v>
          </cell>
          <cell r="X31">
            <v>25800</v>
          </cell>
          <cell r="Y31">
            <v>0.14699999999999999</v>
          </cell>
          <cell r="Z31">
            <v>0.14499999999999999</v>
          </cell>
          <cell r="AA31">
            <v>0.11</v>
          </cell>
          <cell r="AB31">
            <v>0.105</v>
          </cell>
          <cell r="AC31">
            <v>0.5</v>
          </cell>
        </row>
        <row r="32">
          <cell r="B32" t="str">
            <v>EXC</v>
          </cell>
          <cell r="C32" t="str">
            <v>Exelon Corp.</v>
          </cell>
          <cell r="E32">
            <v>2.1</v>
          </cell>
          <cell r="F32">
            <v>60</v>
          </cell>
          <cell r="G32">
            <v>45</v>
          </cell>
          <cell r="H32">
            <v>3.5</v>
          </cell>
          <cell r="I32">
            <v>2.9</v>
          </cell>
          <cell r="J32">
            <v>3.75</v>
          </cell>
          <cell r="K32">
            <v>2.1</v>
          </cell>
          <cell r="L32">
            <v>2.1</v>
          </cell>
          <cell r="M32">
            <v>2.1</v>
          </cell>
          <cell r="N32">
            <v>22.1</v>
          </cell>
          <cell r="O32">
            <v>22.9</v>
          </cell>
          <cell r="P32">
            <v>25.75</v>
          </cell>
          <cell r="Q32">
            <v>662</v>
          </cell>
          <cell r="R32">
            <v>630</v>
          </cell>
          <cell r="S32">
            <v>0.46800000000000003</v>
          </cell>
          <cell r="T32">
            <v>0.47499999999999998</v>
          </cell>
          <cell r="U32">
            <v>0.52900000000000003</v>
          </cell>
          <cell r="V32">
            <v>0.52</v>
          </cell>
          <cell r="W32">
            <v>25651</v>
          </cell>
          <cell r="X32">
            <v>31100</v>
          </cell>
          <cell r="Y32">
            <v>0.189</v>
          </cell>
          <cell r="Z32">
            <v>0.16500000000000001</v>
          </cell>
          <cell r="AA32">
            <v>0.125</v>
          </cell>
          <cell r="AB32">
            <v>0.15</v>
          </cell>
          <cell r="AC32">
            <v>-1.4999999999999999E-2</v>
          </cell>
        </row>
        <row r="33">
          <cell r="B33" t="str">
            <v>FE</v>
          </cell>
          <cell r="C33" t="str">
            <v>FirstEnergy Corp.</v>
          </cell>
          <cell r="E33">
            <v>2.2000000000000002</v>
          </cell>
          <cell r="F33">
            <v>55</v>
          </cell>
          <cell r="G33">
            <v>40</v>
          </cell>
          <cell r="H33">
            <v>2.5</v>
          </cell>
          <cell r="I33">
            <v>3.4</v>
          </cell>
          <cell r="J33">
            <v>3.75</v>
          </cell>
          <cell r="K33">
            <v>2.2000000000000002</v>
          </cell>
          <cell r="L33">
            <v>2.2000000000000002</v>
          </cell>
          <cell r="M33">
            <v>2.2999999999999998</v>
          </cell>
          <cell r="N33">
            <v>32.049999999999997</v>
          </cell>
          <cell r="O33">
            <v>33.299999999999997</v>
          </cell>
          <cell r="P33">
            <v>37.25</v>
          </cell>
          <cell r="Q33">
            <v>304.83999999999997</v>
          </cell>
          <cell r="R33">
            <v>418.22</v>
          </cell>
          <cell r="S33">
            <v>0.59499999999999997</v>
          </cell>
          <cell r="T33">
            <v>0.53500000000000003</v>
          </cell>
          <cell r="U33">
            <v>0.40500000000000003</v>
          </cell>
          <cell r="V33">
            <v>0.46500000000000002</v>
          </cell>
          <cell r="W33">
            <v>21124</v>
          </cell>
          <cell r="X33">
            <v>33600</v>
          </cell>
          <cell r="Y33">
            <v>0.11600000000000001</v>
          </cell>
          <cell r="Z33">
            <v>7.4999999999999997E-2</v>
          </cell>
          <cell r="AA33">
            <v>0.105</v>
          </cell>
          <cell r="AB33">
            <v>0.1</v>
          </cell>
          <cell r="AC33">
            <v>5.0000000000000001E-3</v>
          </cell>
        </row>
        <row r="34">
          <cell r="B34" t="str">
            <v>GXP</v>
          </cell>
          <cell r="C34" t="str">
            <v>Great Plains Energy</v>
          </cell>
          <cell r="E34">
            <v>0.83</v>
          </cell>
          <cell r="F34">
            <v>25</v>
          </cell>
          <cell r="G34">
            <v>16</v>
          </cell>
          <cell r="H34">
            <v>1.3</v>
          </cell>
          <cell r="I34">
            <v>1.45</v>
          </cell>
          <cell r="J34">
            <v>1.75</v>
          </cell>
          <cell r="K34">
            <v>8.4</v>
          </cell>
          <cell r="L34">
            <v>8.6</v>
          </cell>
          <cell r="M34">
            <v>1.1000000000000001</v>
          </cell>
          <cell r="N34">
            <v>21.75</v>
          </cell>
          <cell r="O34">
            <v>21.6</v>
          </cell>
          <cell r="P34">
            <v>23.75</v>
          </cell>
          <cell r="Q34">
            <v>135.71</v>
          </cell>
          <cell r="R34">
            <v>155</v>
          </cell>
          <cell r="S34">
            <v>0.502</v>
          </cell>
          <cell r="T34">
            <v>0.505</v>
          </cell>
          <cell r="U34">
            <v>0.49199999999999999</v>
          </cell>
          <cell r="V34">
            <v>0.48499999999999999</v>
          </cell>
          <cell r="W34">
            <v>5867.6</v>
          </cell>
          <cell r="X34">
            <v>7525</v>
          </cell>
          <cell r="Y34">
            <v>7.2999999999999995E-2</v>
          </cell>
          <cell r="Z34">
            <v>0.06</v>
          </cell>
          <cell r="AA34">
            <v>6.5000000000000002E-2</v>
          </cell>
          <cell r="AB34">
            <v>0.08</v>
          </cell>
          <cell r="AC34">
            <v>0.06</v>
          </cell>
        </row>
        <row r="35">
          <cell r="B35" t="str">
            <v>HE</v>
          </cell>
          <cell r="C35" t="str">
            <v>Hawaiian Elec.</v>
          </cell>
          <cell r="E35">
            <v>1.24</v>
          </cell>
          <cell r="F35">
            <v>30</v>
          </cell>
          <cell r="G35">
            <v>19</v>
          </cell>
          <cell r="H35">
            <v>1.3</v>
          </cell>
          <cell r="I35">
            <v>1.45</v>
          </cell>
          <cell r="J35">
            <v>2</v>
          </cell>
          <cell r="K35">
            <v>1.24</v>
          </cell>
          <cell r="L35">
            <v>1.24</v>
          </cell>
          <cell r="M35">
            <v>1.3</v>
          </cell>
          <cell r="N35">
            <v>16</v>
          </cell>
          <cell r="O35">
            <v>16.05</v>
          </cell>
          <cell r="P35">
            <v>18</v>
          </cell>
          <cell r="Q35">
            <v>94.69</v>
          </cell>
          <cell r="R35">
            <v>108</v>
          </cell>
          <cell r="S35">
            <v>0.44500000000000001</v>
          </cell>
          <cell r="T35">
            <v>0.46</v>
          </cell>
          <cell r="U35">
            <v>0.54300000000000004</v>
          </cell>
          <cell r="V35">
            <v>0.53</v>
          </cell>
          <cell r="W35">
            <v>2732.9</v>
          </cell>
          <cell r="X35">
            <v>3700</v>
          </cell>
          <cell r="Y35">
            <v>7.6999999999999999E-2</v>
          </cell>
          <cell r="Z35">
            <v>0.08</v>
          </cell>
          <cell r="AA35">
            <v>0.09</v>
          </cell>
          <cell r="AB35">
            <v>0.105</v>
          </cell>
          <cell r="AC35">
            <v>0.11</v>
          </cell>
        </row>
        <row r="36">
          <cell r="B36" t="str">
            <v>IDA</v>
          </cell>
          <cell r="C36" t="str">
            <v>IDACORP, Inc.</v>
          </cell>
          <cell r="E36">
            <v>1.2</v>
          </cell>
          <cell r="F36">
            <v>50</v>
          </cell>
          <cell r="G36">
            <v>35</v>
          </cell>
          <cell r="H36">
            <v>3.1</v>
          </cell>
          <cell r="I36">
            <v>3.05</v>
          </cell>
          <cell r="J36">
            <v>3.3</v>
          </cell>
          <cell r="K36">
            <v>1.2</v>
          </cell>
          <cell r="L36">
            <v>1.2</v>
          </cell>
          <cell r="M36">
            <v>1.5</v>
          </cell>
          <cell r="N36">
            <v>32.5</v>
          </cell>
          <cell r="O36">
            <v>33.65</v>
          </cell>
          <cell r="P36">
            <v>39.200000000000003</v>
          </cell>
          <cell r="Q36">
            <v>49.41</v>
          </cell>
          <cell r="R36">
            <v>51</v>
          </cell>
          <cell r="S36">
            <v>0.49299999999999999</v>
          </cell>
          <cell r="T36">
            <v>0.49</v>
          </cell>
          <cell r="U36">
            <v>0.50700000000000001</v>
          </cell>
          <cell r="V36">
            <v>0.51</v>
          </cell>
          <cell r="W36">
            <v>3020.4</v>
          </cell>
          <cell r="X36">
            <v>3900</v>
          </cell>
          <cell r="Y36">
            <v>9.2999999999999999E-2</v>
          </cell>
          <cell r="Z36">
            <v>9.5000000000000001E-2</v>
          </cell>
          <cell r="AA36">
            <v>0.09</v>
          </cell>
          <cell r="AB36">
            <v>8.5000000000000006E-2</v>
          </cell>
          <cell r="AC36">
            <v>0.04</v>
          </cell>
        </row>
        <row r="37">
          <cell r="B37" t="str">
            <v>ITC</v>
          </cell>
          <cell r="C37" t="str">
            <v>ITC Holdings Corp.</v>
          </cell>
          <cell r="E37">
            <v>1.38</v>
          </cell>
          <cell r="F37">
            <v>110</v>
          </cell>
          <cell r="G37">
            <v>80</v>
          </cell>
          <cell r="H37">
            <v>3.3</v>
          </cell>
          <cell r="I37">
            <v>3.9</v>
          </cell>
          <cell r="J37">
            <v>5.75</v>
          </cell>
          <cell r="K37">
            <v>1.38</v>
          </cell>
          <cell r="L37">
            <v>1.45</v>
          </cell>
          <cell r="M37">
            <v>1.7</v>
          </cell>
          <cell r="N37">
            <v>24.25</v>
          </cell>
          <cell r="O37">
            <v>26.7</v>
          </cell>
          <cell r="P37">
            <v>37.25</v>
          </cell>
          <cell r="Q37">
            <v>50.72</v>
          </cell>
          <cell r="R37">
            <v>54.5</v>
          </cell>
          <cell r="S37">
            <v>0.69099999999999995</v>
          </cell>
          <cell r="T37">
            <v>0.64</v>
          </cell>
          <cell r="U37">
            <v>0.309</v>
          </cell>
          <cell r="V37">
            <v>0.36</v>
          </cell>
          <cell r="W37">
            <v>3614.3</v>
          </cell>
          <cell r="X37">
            <v>5650</v>
          </cell>
          <cell r="Y37">
            <v>0.13</v>
          </cell>
          <cell r="Z37">
            <v>0.14000000000000001</v>
          </cell>
          <cell r="AA37">
            <v>0.14499999999999999</v>
          </cell>
          <cell r="AB37">
            <v>0.155</v>
          </cell>
          <cell r="AC37">
            <v>0.14000000000000001</v>
          </cell>
        </row>
        <row r="38">
          <cell r="B38" t="str">
            <v>LNT</v>
          </cell>
          <cell r="C38" t="str">
            <v>Alliant Energy</v>
          </cell>
          <cell r="E38">
            <v>1.7</v>
          </cell>
          <cell r="F38">
            <v>55</v>
          </cell>
          <cell r="G38">
            <v>40</v>
          </cell>
          <cell r="H38">
            <v>2.9</v>
          </cell>
          <cell r="I38">
            <v>3</v>
          </cell>
          <cell r="J38">
            <v>3.6</v>
          </cell>
          <cell r="K38">
            <v>1.7</v>
          </cell>
          <cell r="L38">
            <v>1.8</v>
          </cell>
          <cell r="M38">
            <v>2.1</v>
          </cell>
          <cell r="N38">
            <v>26.45</v>
          </cell>
          <cell r="O38">
            <v>27</v>
          </cell>
          <cell r="P38">
            <v>30.15</v>
          </cell>
          <cell r="Q38">
            <v>110.89</v>
          </cell>
          <cell r="R38">
            <v>116</v>
          </cell>
          <cell r="S38">
            <v>0.46300000000000002</v>
          </cell>
          <cell r="T38">
            <v>0.45500000000000002</v>
          </cell>
          <cell r="U38">
            <v>0.495</v>
          </cell>
          <cell r="V38">
            <v>0.51500000000000001</v>
          </cell>
          <cell r="W38">
            <v>5841</v>
          </cell>
          <cell r="X38">
            <v>6805</v>
          </cell>
          <cell r="Y38">
            <v>0.105</v>
          </cell>
          <cell r="Z38">
            <v>0.11</v>
          </cell>
          <cell r="AA38">
            <v>0.11</v>
          </cell>
          <cell r="AB38">
            <v>0.12</v>
          </cell>
          <cell r="AC38">
            <v>7.0000000000000007E-2</v>
          </cell>
        </row>
        <row r="39">
          <cell r="B39" t="str">
            <v>MGEE</v>
          </cell>
          <cell r="C39" t="str">
            <v>MGE Energy</v>
          </cell>
          <cell r="E39">
            <v>1.52</v>
          </cell>
          <cell r="F39">
            <v>50</v>
          </cell>
          <cell r="G39">
            <v>40</v>
          </cell>
          <cell r="H39">
            <v>2.8</v>
          </cell>
          <cell r="I39">
            <v>2.65</v>
          </cell>
          <cell r="J39">
            <v>3</v>
          </cell>
          <cell r="K39">
            <v>1.52</v>
          </cell>
          <cell r="L39">
            <v>1.55</v>
          </cell>
          <cell r="M39">
            <v>1.64</v>
          </cell>
          <cell r="N39">
            <v>25.1</v>
          </cell>
          <cell r="O39">
            <v>27.65</v>
          </cell>
          <cell r="P39">
            <v>26.3</v>
          </cell>
          <cell r="Q39">
            <v>23.11</v>
          </cell>
          <cell r="R39">
            <v>23.5</v>
          </cell>
          <cell r="S39">
            <v>0.38900000000000001</v>
          </cell>
          <cell r="T39">
            <v>0.38</v>
          </cell>
          <cell r="U39">
            <v>0.61099999999999999</v>
          </cell>
          <cell r="V39">
            <v>0.62</v>
          </cell>
          <cell r="W39">
            <v>859.4</v>
          </cell>
          <cell r="X39">
            <v>950</v>
          </cell>
          <cell r="Y39">
            <v>0.11</v>
          </cell>
          <cell r="Z39">
            <v>0.105</v>
          </cell>
          <cell r="AA39">
            <v>9.5000000000000001E-2</v>
          </cell>
          <cell r="AB39">
            <v>0.12</v>
          </cell>
          <cell r="AC39">
            <v>0.04</v>
          </cell>
        </row>
        <row r="40">
          <cell r="B40" t="str">
            <v>NEE</v>
          </cell>
          <cell r="C40" t="str">
            <v>NextEra Energy, Inc.</v>
          </cell>
          <cell r="E40">
            <v>2.2000000000000002</v>
          </cell>
          <cell r="F40">
            <v>85</v>
          </cell>
          <cell r="G40">
            <v>65</v>
          </cell>
          <cell r="H40">
            <v>4.1500000000000004</v>
          </cell>
          <cell r="I40">
            <v>4.5</v>
          </cell>
          <cell r="J40">
            <v>5.5</v>
          </cell>
          <cell r="K40">
            <v>2.2000000000000002</v>
          </cell>
          <cell r="L40">
            <v>2.2999999999999998</v>
          </cell>
          <cell r="M40">
            <v>2.6</v>
          </cell>
          <cell r="N40">
            <v>36.299999999999997</v>
          </cell>
          <cell r="O40">
            <v>38.450000000000003</v>
          </cell>
          <cell r="P40">
            <v>46.25</v>
          </cell>
          <cell r="Q40">
            <v>420.86</v>
          </cell>
          <cell r="R40">
            <v>420</v>
          </cell>
          <cell r="S40">
            <v>0.55500000000000005</v>
          </cell>
          <cell r="T40">
            <v>0.54500000000000004</v>
          </cell>
          <cell r="U40">
            <v>0.44500000000000001</v>
          </cell>
          <cell r="V40">
            <v>0.45500000000000002</v>
          </cell>
          <cell r="W40">
            <v>32474</v>
          </cell>
          <cell r="X40">
            <v>42700</v>
          </cell>
          <cell r="Y40">
            <v>0.13500000000000001</v>
          </cell>
          <cell r="Z40">
            <v>0.115</v>
          </cell>
          <cell r="AA40">
            <v>0.12</v>
          </cell>
          <cell r="AB40">
            <v>0.12</v>
          </cell>
          <cell r="AC40">
            <v>4.4999999999999998E-2</v>
          </cell>
        </row>
        <row r="41">
          <cell r="B41" t="str">
            <v>NST</v>
          </cell>
          <cell r="C41" t="str">
            <v>NSTAR</v>
          </cell>
          <cell r="E41">
            <v>1.73</v>
          </cell>
          <cell r="F41">
            <v>50</v>
          </cell>
          <cell r="G41">
            <v>45</v>
          </cell>
          <cell r="H41">
            <v>2.5499999999999998</v>
          </cell>
          <cell r="I41">
            <v>2.75</v>
          </cell>
          <cell r="J41">
            <v>3.5</v>
          </cell>
          <cell r="K41">
            <v>1.73</v>
          </cell>
          <cell r="L41">
            <v>1.83</v>
          </cell>
          <cell r="M41">
            <v>2.15</v>
          </cell>
          <cell r="N41">
            <v>19.5</v>
          </cell>
          <cell r="O41">
            <v>20.2</v>
          </cell>
          <cell r="P41">
            <v>24.25</v>
          </cell>
          <cell r="Q41">
            <v>103.59</v>
          </cell>
          <cell r="R41">
            <v>101</v>
          </cell>
          <cell r="S41">
            <v>0.53800000000000003</v>
          </cell>
          <cell r="T41">
            <v>0.48</v>
          </cell>
          <cell r="U41">
            <v>0.45200000000000001</v>
          </cell>
          <cell r="V41">
            <v>0.51500000000000001</v>
          </cell>
          <cell r="W41">
            <v>4278.8</v>
          </cell>
          <cell r="X41">
            <v>4750</v>
          </cell>
          <cell r="Y41">
            <v>0.13300000000000001</v>
          </cell>
          <cell r="Z41">
            <v>0.13</v>
          </cell>
          <cell r="AA41">
            <v>0.14000000000000001</v>
          </cell>
          <cell r="AB41">
            <v>0.15</v>
          </cell>
          <cell r="AC41">
            <v>7.0000000000000007E-2</v>
          </cell>
        </row>
        <row r="42">
          <cell r="B42" t="str">
            <v>NU</v>
          </cell>
          <cell r="C42" t="str">
            <v>Northeast Utilities</v>
          </cell>
          <cell r="E42">
            <v>1.1000000000000001</v>
          </cell>
          <cell r="F42">
            <v>45</v>
          </cell>
          <cell r="G42">
            <v>30</v>
          </cell>
          <cell r="H42">
            <v>2.15</v>
          </cell>
          <cell r="I42">
            <v>2.5</v>
          </cell>
          <cell r="J42">
            <v>3</v>
          </cell>
          <cell r="K42">
            <v>1.1000000000000001</v>
          </cell>
          <cell r="L42">
            <v>1.18</v>
          </cell>
          <cell r="M42">
            <v>1.4</v>
          </cell>
          <cell r="N42">
            <v>22.65</v>
          </cell>
          <cell r="O42">
            <v>23.95</v>
          </cell>
          <cell r="P42">
            <v>28.75</v>
          </cell>
          <cell r="Q42">
            <v>176.45</v>
          </cell>
          <cell r="R42">
            <v>183</v>
          </cell>
          <cell r="S42">
            <v>0.55100000000000005</v>
          </cell>
          <cell r="T42">
            <v>0.54500000000000004</v>
          </cell>
          <cell r="U42">
            <v>0.436</v>
          </cell>
          <cell r="V42">
            <v>0.44500000000000001</v>
          </cell>
          <cell r="W42">
            <v>8741.7999999999993</v>
          </cell>
          <cell r="X42">
            <v>11825</v>
          </cell>
          <cell r="Y42">
            <v>9.8000000000000004E-2</v>
          </cell>
          <cell r="Z42">
            <v>9.5000000000000001E-2</v>
          </cell>
          <cell r="AA42">
            <v>0.105</v>
          </cell>
          <cell r="AB42">
            <v>0.105</v>
          </cell>
          <cell r="AC42">
            <v>7.4999999999999997E-2</v>
          </cell>
        </row>
        <row r="43">
          <cell r="B43" t="str">
            <v>NVE</v>
          </cell>
          <cell r="C43" t="str">
            <v>NV Energy, Inc.</v>
          </cell>
          <cell r="E43">
            <v>0.48</v>
          </cell>
          <cell r="F43">
            <v>20</v>
          </cell>
          <cell r="G43">
            <v>14</v>
          </cell>
          <cell r="H43">
            <v>0.75</v>
          </cell>
          <cell r="I43">
            <v>1.1000000000000001</v>
          </cell>
          <cell r="J43">
            <v>1.5</v>
          </cell>
          <cell r="K43">
            <v>0.48</v>
          </cell>
          <cell r="L43">
            <v>0.54</v>
          </cell>
          <cell r="M43">
            <v>0.75</v>
          </cell>
          <cell r="N43">
            <v>14.5</v>
          </cell>
          <cell r="O43">
            <v>15.1</v>
          </cell>
          <cell r="P43">
            <v>17.25</v>
          </cell>
          <cell r="Q43">
            <v>235.32</v>
          </cell>
          <cell r="R43">
            <v>250</v>
          </cell>
          <cell r="S43">
            <v>0.59499999999999997</v>
          </cell>
          <cell r="T43">
            <v>0.54</v>
          </cell>
          <cell r="U43">
            <v>0.40500000000000003</v>
          </cell>
          <cell r="V43">
            <v>0.46</v>
          </cell>
          <cell r="W43">
            <v>8274.9</v>
          </cell>
          <cell r="X43">
            <v>9375</v>
          </cell>
          <cell r="Y43">
            <v>6.8000000000000005E-2</v>
          </cell>
          <cell r="Z43">
            <v>5.5E-2</v>
          </cell>
          <cell r="AA43">
            <v>7.0000000000000007E-2</v>
          </cell>
          <cell r="AB43">
            <v>0.09</v>
          </cell>
          <cell r="AC43">
            <v>9.5000000000000001E-2</v>
          </cell>
        </row>
        <row r="44">
          <cell r="B44" t="str">
            <v>OGE</v>
          </cell>
          <cell r="C44" t="str">
            <v>OGE Energy Corp.</v>
          </cell>
          <cell r="E44">
            <v>1.52</v>
          </cell>
          <cell r="F44">
            <v>60</v>
          </cell>
          <cell r="G44">
            <v>45</v>
          </cell>
          <cell r="H44">
            <v>3.4</v>
          </cell>
          <cell r="I44">
            <v>3.45</v>
          </cell>
          <cell r="J44">
            <v>4</v>
          </cell>
          <cell r="K44">
            <v>1.52</v>
          </cell>
          <cell r="L44">
            <v>1.59</v>
          </cell>
          <cell r="M44">
            <v>1.8</v>
          </cell>
          <cell r="N44">
            <v>25.45</v>
          </cell>
          <cell r="O44">
            <v>27.35</v>
          </cell>
          <cell r="P44">
            <v>33.75</v>
          </cell>
          <cell r="Q44">
            <v>97.6</v>
          </cell>
          <cell r="R44">
            <v>100</v>
          </cell>
          <cell r="S44">
            <v>0.50800000000000001</v>
          </cell>
          <cell r="T44">
            <v>0.505</v>
          </cell>
          <cell r="U44">
            <v>0.49199999999999999</v>
          </cell>
          <cell r="V44">
            <v>0.495</v>
          </cell>
          <cell r="W44">
            <v>4652.5</v>
          </cell>
          <cell r="X44">
            <v>6775</v>
          </cell>
          <cell r="Y44">
            <v>0.129</v>
          </cell>
          <cell r="Z44">
            <v>0.13500000000000001</v>
          </cell>
          <cell r="AA44">
            <v>0.13</v>
          </cell>
          <cell r="AB44">
            <v>0.12</v>
          </cell>
          <cell r="AC44">
            <v>6.5000000000000002E-2</v>
          </cell>
        </row>
        <row r="45">
          <cell r="B45" t="str">
            <v>OTTR</v>
          </cell>
          <cell r="C45" t="str">
            <v>Otter Tail Corp.</v>
          </cell>
          <cell r="E45">
            <v>1.19</v>
          </cell>
          <cell r="F45">
            <v>25</v>
          </cell>
          <cell r="G45">
            <v>18</v>
          </cell>
          <cell r="H45">
            <v>0.68</v>
          </cell>
          <cell r="I45">
            <v>1</v>
          </cell>
          <cell r="J45">
            <v>1.5</v>
          </cell>
          <cell r="K45">
            <v>1.19</v>
          </cell>
          <cell r="L45">
            <v>1.19</v>
          </cell>
          <cell r="M45">
            <v>1.3</v>
          </cell>
          <cell r="N45">
            <v>17.55</v>
          </cell>
          <cell r="O45">
            <v>18.149999999999999</v>
          </cell>
          <cell r="P45">
            <v>20.25</v>
          </cell>
          <cell r="Q45">
            <v>36</v>
          </cell>
          <cell r="R45">
            <v>42</v>
          </cell>
          <cell r="S45">
            <v>0.40799999999999997</v>
          </cell>
          <cell r="T45">
            <v>0.4</v>
          </cell>
          <cell r="U45">
            <v>0.59199999999999997</v>
          </cell>
          <cell r="V45">
            <v>0.59</v>
          </cell>
          <cell r="W45">
            <v>1067.3</v>
          </cell>
          <cell r="X45">
            <v>1440</v>
          </cell>
          <cell r="Y45">
            <v>2.1999999999999999E-2</v>
          </cell>
          <cell r="Z45">
            <v>0.04</v>
          </cell>
          <cell r="AA45">
            <v>0.05</v>
          </cell>
          <cell r="AB45">
            <v>7.0000000000000007E-2</v>
          </cell>
          <cell r="AC45">
            <v>0.13</v>
          </cell>
        </row>
        <row r="46">
          <cell r="B46" t="str">
            <v>PCG</v>
          </cell>
          <cell r="C46" t="str">
            <v>PG&amp;E Corp.</v>
          </cell>
          <cell r="E46">
            <v>1.82</v>
          </cell>
          <cell r="F46">
            <v>55</v>
          </cell>
          <cell r="G46">
            <v>40</v>
          </cell>
          <cell r="H46">
            <v>2.75</v>
          </cell>
          <cell r="I46">
            <v>3.55</v>
          </cell>
          <cell r="J46">
            <v>4.25</v>
          </cell>
          <cell r="K46">
            <v>1.82</v>
          </cell>
          <cell r="L46">
            <v>1.82</v>
          </cell>
          <cell r="M46">
            <v>2.2000000000000002</v>
          </cell>
          <cell r="N46">
            <v>29.8</v>
          </cell>
          <cell r="O46">
            <v>32</v>
          </cell>
          <cell r="P46">
            <v>38</v>
          </cell>
          <cell r="Q46">
            <v>395.23</v>
          </cell>
          <cell r="R46">
            <v>425</v>
          </cell>
          <cell r="S46">
            <v>0.496</v>
          </cell>
          <cell r="T46">
            <v>0.45500000000000002</v>
          </cell>
          <cell r="U46">
            <v>0.49299999999999999</v>
          </cell>
          <cell r="V46">
            <v>0.53500000000000003</v>
          </cell>
          <cell r="W46">
            <v>22863</v>
          </cell>
          <cell r="X46">
            <v>30200</v>
          </cell>
          <cell r="Y46">
            <v>9.7000000000000003E-2</v>
          </cell>
          <cell r="Z46">
            <v>0.09</v>
          </cell>
          <cell r="AA46">
            <v>0.11</v>
          </cell>
          <cell r="AB46">
            <v>0.115</v>
          </cell>
          <cell r="AC46">
            <v>0.06</v>
          </cell>
        </row>
        <row r="47">
          <cell r="B47" t="str">
            <v>PEG</v>
          </cell>
          <cell r="C47" t="str">
            <v>Pub Sv Enterprise Grp</v>
          </cell>
          <cell r="E47">
            <v>1.37</v>
          </cell>
          <cell r="F47">
            <v>45</v>
          </cell>
          <cell r="G47">
            <v>35</v>
          </cell>
          <cell r="H47">
            <v>2.75</v>
          </cell>
          <cell r="I47">
            <v>2.5499999999999998</v>
          </cell>
          <cell r="J47">
            <v>3.25</v>
          </cell>
          <cell r="K47">
            <v>1.37</v>
          </cell>
          <cell r="L47">
            <v>1.37</v>
          </cell>
          <cell r="M47">
            <v>1.45</v>
          </cell>
          <cell r="N47">
            <v>20.25</v>
          </cell>
          <cell r="O47">
            <v>21.45</v>
          </cell>
          <cell r="P47">
            <v>26</v>
          </cell>
          <cell r="Q47">
            <v>505.97</v>
          </cell>
          <cell r="R47">
            <v>505.9</v>
          </cell>
          <cell r="S47">
            <v>0.44800000000000001</v>
          </cell>
          <cell r="T47">
            <v>0.45</v>
          </cell>
          <cell r="U47">
            <v>0.55200000000000005</v>
          </cell>
          <cell r="V47">
            <v>0.55000000000000004</v>
          </cell>
          <cell r="W47">
            <v>17452</v>
          </cell>
          <cell r="X47">
            <v>24000</v>
          </cell>
          <cell r="Y47">
            <v>0.16200000000000001</v>
          </cell>
          <cell r="Z47">
            <v>0.13500000000000001</v>
          </cell>
          <cell r="AA47">
            <v>0.12</v>
          </cell>
          <cell r="AB47">
            <v>0.125</v>
          </cell>
          <cell r="AC47">
            <v>0.01</v>
          </cell>
        </row>
        <row r="48">
          <cell r="B48" t="str">
            <v>PGN</v>
          </cell>
          <cell r="C48" t="str">
            <v>Progress Energy</v>
          </cell>
          <cell r="E48">
            <v>2.48</v>
          </cell>
          <cell r="F48">
            <v>50</v>
          </cell>
          <cell r="G48">
            <v>35</v>
          </cell>
          <cell r="H48">
            <v>3.1</v>
          </cell>
          <cell r="I48">
            <v>3.15</v>
          </cell>
          <cell r="J48">
            <v>3.6</v>
          </cell>
          <cell r="K48">
            <v>2.48</v>
          </cell>
          <cell r="L48">
            <v>2.52</v>
          </cell>
          <cell r="M48">
            <v>2.6</v>
          </cell>
          <cell r="N48">
            <v>36.15</v>
          </cell>
          <cell r="O48">
            <v>36.9</v>
          </cell>
          <cell r="P48">
            <v>40.5</v>
          </cell>
          <cell r="Q48">
            <v>293</v>
          </cell>
          <cell r="R48">
            <v>300</v>
          </cell>
          <cell r="S48">
            <v>0.55000000000000004</v>
          </cell>
          <cell r="T48">
            <v>0.53</v>
          </cell>
          <cell r="U48">
            <v>0.44600000000000001</v>
          </cell>
          <cell r="V48">
            <v>0.47</v>
          </cell>
          <cell r="W48">
            <v>22253</v>
          </cell>
          <cell r="X48">
            <v>26000</v>
          </cell>
          <cell r="Y48">
            <v>8.5999999999999993E-2</v>
          </cell>
          <cell r="Z48">
            <v>8.5000000000000006E-2</v>
          </cell>
          <cell r="AA48">
            <v>8.5000000000000006E-2</v>
          </cell>
          <cell r="AB48">
            <v>0.09</v>
          </cell>
          <cell r="AC48">
            <v>3.5000000000000003E-2</v>
          </cell>
        </row>
        <row r="49">
          <cell r="B49" t="str">
            <v>PNM</v>
          </cell>
          <cell r="C49" t="str">
            <v>PNM Resources</v>
          </cell>
          <cell r="E49">
            <v>0.5</v>
          </cell>
          <cell r="F49">
            <v>20</v>
          </cell>
          <cell r="G49">
            <v>14</v>
          </cell>
          <cell r="H49">
            <v>1</v>
          </cell>
          <cell r="I49">
            <v>1.2</v>
          </cell>
          <cell r="J49">
            <v>1.5</v>
          </cell>
          <cell r="K49">
            <v>0.5</v>
          </cell>
          <cell r="L49">
            <v>0.6</v>
          </cell>
          <cell r="M49">
            <v>0.8</v>
          </cell>
          <cell r="N49">
            <v>17.8</v>
          </cell>
          <cell r="O49">
            <v>18.7</v>
          </cell>
          <cell r="P49">
            <v>22.3</v>
          </cell>
          <cell r="Q49">
            <v>86.67</v>
          </cell>
          <cell r="R49">
            <v>87</v>
          </cell>
          <cell r="S49">
            <v>0.504</v>
          </cell>
          <cell r="T49">
            <v>0.47499999999999998</v>
          </cell>
          <cell r="U49">
            <v>0.49199999999999999</v>
          </cell>
          <cell r="V49">
            <v>0.52500000000000002</v>
          </cell>
          <cell r="W49">
            <v>3100.3</v>
          </cell>
          <cell r="X49">
            <v>3700</v>
          </cell>
          <cell r="Y49">
            <v>4.2999999999999997E-2</v>
          </cell>
          <cell r="Z49">
            <v>5.5E-2</v>
          </cell>
          <cell r="AA49">
            <v>6.5000000000000002E-2</v>
          </cell>
          <cell r="AB49">
            <v>6.5000000000000002E-2</v>
          </cell>
          <cell r="AC49">
            <v>0.19500000000000001</v>
          </cell>
        </row>
        <row r="50">
          <cell r="B50" t="str">
            <v>PNW</v>
          </cell>
          <cell r="C50" t="str">
            <v>Pinnacle West Capital</v>
          </cell>
          <cell r="E50">
            <v>2.1</v>
          </cell>
          <cell r="F50">
            <v>50</v>
          </cell>
          <cell r="G50">
            <v>35</v>
          </cell>
          <cell r="H50">
            <v>2.75</v>
          </cell>
          <cell r="I50">
            <v>3.25</v>
          </cell>
          <cell r="J50">
            <v>3.5</v>
          </cell>
          <cell r="K50">
            <v>2.1</v>
          </cell>
          <cell r="L50">
            <v>2.1</v>
          </cell>
          <cell r="M50">
            <v>2.2999999999999998</v>
          </cell>
          <cell r="N50">
            <v>34.5</v>
          </cell>
          <cell r="O50">
            <v>35.6</v>
          </cell>
          <cell r="P50">
            <v>39.25</v>
          </cell>
          <cell r="Q50">
            <v>108.77</v>
          </cell>
          <cell r="R50">
            <v>123</v>
          </cell>
          <cell r="S50">
            <v>0.45300000000000001</v>
          </cell>
          <cell r="T50">
            <v>0.46</v>
          </cell>
          <cell r="U50">
            <v>0.54700000000000004</v>
          </cell>
          <cell r="V50">
            <v>0.54</v>
          </cell>
          <cell r="W50">
            <v>6729.1</v>
          </cell>
          <cell r="X50">
            <v>8950</v>
          </cell>
          <cell r="Y50">
            <v>0.09</v>
          </cell>
          <cell r="Z50">
            <v>0.08</v>
          </cell>
          <cell r="AA50">
            <v>0.09</v>
          </cell>
          <cell r="AB50">
            <v>0.09</v>
          </cell>
          <cell r="AC50">
            <v>0.06</v>
          </cell>
        </row>
        <row r="51">
          <cell r="B51" t="str">
            <v>POM</v>
          </cell>
          <cell r="C51" t="str">
            <v>Pepco Holdings</v>
          </cell>
          <cell r="E51">
            <v>1.08</v>
          </cell>
          <cell r="F51">
            <v>30</v>
          </cell>
          <cell r="G51">
            <v>18</v>
          </cell>
          <cell r="H51">
            <v>1.25</v>
          </cell>
          <cell r="I51">
            <v>1.2</v>
          </cell>
          <cell r="J51">
            <v>1.65</v>
          </cell>
          <cell r="K51">
            <v>1.08</v>
          </cell>
          <cell r="L51">
            <v>1.08</v>
          </cell>
          <cell r="M51">
            <v>1.1599999999999999</v>
          </cell>
          <cell r="N51">
            <v>19</v>
          </cell>
          <cell r="O51">
            <v>20</v>
          </cell>
          <cell r="P51">
            <v>21.2</v>
          </cell>
          <cell r="Q51">
            <v>225.08</v>
          </cell>
          <cell r="R51">
            <v>250</v>
          </cell>
          <cell r="S51">
            <v>0.49</v>
          </cell>
          <cell r="T51">
            <v>0.48</v>
          </cell>
          <cell r="U51">
            <v>0.51</v>
          </cell>
          <cell r="V51">
            <v>0.52</v>
          </cell>
          <cell r="W51">
            <v>8292</v>
          </cell>
          <cell r="X51">
            <v>10200</v>
          </cell>
          <cell r="Y51">
            <v>6.5000000000000002E-2</v>
          </cell>
          <cell r="Z51">
            <v>6.5000000000000002E-2</v>
          </cell>
          <cell r="AA51">
            <v>0.06</v>
          </cell>
          <cell r="AB51">
            <v>7.4999999999999997E-2</v>
          </cell>
          <cell r="AC51">
            <v>2.5000000000000001E-2</v>
          </cell>
        </row>
        <row r="52">
          <cell r="B52" t="str">
            <v>POR</v>
          </cell>
          <cell r="C52" t="str">
            <v>Portland General Elec.</v>
          </cell>
          <cell r="E52">
            <v>1.06</v>
          </cell>
          <cell r="F52">
            <v>30</v>
          </cell>
          <cell r="G52">
            <v>20</v>
          </cell>
          <cell r="H52">
            <v>2</v>
          </cell>
          <cell r="I52">
            <v>2.0499999999999998</v>
          </cell>
          <cell r="J52">
            <v>2.25</v>
          </cell>
          <cell r="K52">
            <v>1.06</v>
          </cell>
          <cell r="L52">
            <v>1.08</v>
          </cell>
          <cell r="M52">
            <v>1.2</v>
          </cell>
          <cell r="N52">
            <v>22.05</v>
          </cell>
          <cell r="O52">
            <v>22.95</v>
          </cell>
          <cell r="P52">
            <v>25.75</v>
          </cell>
          <cell r="Q52">
            <v>75.319999999999993</v>
          </cell>
          <cell r="R52">
            <v>76.5</v>
          </cell>
          <cell r="S52">
            <v>0.53</v>
          </cell>
          <cell r="T52">
            <v>0.52</v>
          </cell>
          <cell r="U52">
            <v>0.47</v>
          </cell>
          <cell r="V52">
            <v>0.48</v>
          </cell>
          <cell r="W52">
            <v>3390</v>
          </cell>
          <cell r="X52">
            <v>4100</v>
          </cell>
          <cell r="Y52">
            <v>7.9000000000000001E-2</v>
          </cell>
          <cell r="Z52">
            <v>0.09</v>
          </cell>
          <cell r="AA52">
            <v>0.09</v>
          </cell>
          <cell r="AB52">
            <v>0.09</v>
          </cell>
          <cell r="AC52">
            <v>7.4999999999999997E-2</v>
          </cell>
        </row>
        <row r="53">
          <cell r="B53" t="str">
            <v>PPL</v>
          </cell>
          <cell r="C53" t="str">
            <v>PPL Corp.</v>
          </cell>
          <cell r="E53">
            <v>1.4</v>
          </cell>
          <cell r="F53">
            <v>45</v>
          </cell>
          <cell r="G53">
            <v>30</v>
          </cell>
          <cell r="H53">
            <v>2.5499999999999998</v>
          </cell>
          <cell r="I53">
            <v>2.7</v>
          </cell>
          <cell r="J53">
            <v>3</v>
          </cell>
          <cell r="K53">
            <v>1.4</v>
          </cell>
          <cell r="L53">
            <v>1.4</v>
          </cell>
          <cell r="M53">
            <v>1.7</v>
          </cell>
          <cell r="N53">
            <v>19.350000000000001</v>
          </cell>
          <cell r="O53">
            <v>20.7</v>
          </cell>
          <cell r="P53">
            <v>26</v>
          </cell>
          <cell r="Q53">
            <v>483.39</v>
          </cell>
          <cell r="R53">
            <v>680</v>
          </cell>
          <cell r="S53">
            <v>0.59</v>
          </cell>
          <cell r="T53">
            <v>0.5</v>
          </cell>
          <cell r="U53">
            <v>0.39800000000000002</v>
          </cell>
          <cell r="V53">
            <v>0.495</v>
          </cell>
          <cell r="W53">
            <v>20621</v>
          </cell>
          <cell r="X53">
            <v>36000</v>
          </cell>
          <cell r="Y53">
            <v>0.12</v>
          </cell>
          <cell r="Z53">
            <v>0.125</v>
          </cell>
          <cell r="AA53">
            <v>0.13</v>
          </cell>
          <cell r="AB53">
            <v>0.12</v>
          </cell>
          <cell r="AC53">
            <v>7.0000000000000007E-2</v>
          </cell>
        </row>
        <row r="54">
          <cell r="B54" t="str">
            <v>SCG</v>
          </cell>
          <cell r="C54" t="str">
            <v>SCANA Corp.</v>
          </cell>
          <cell r="E54">
            <v>1.94</v>
          </cell>
          <cell r="F54">
            <v>55</v>
          </cell>
          <cell r="G54">
            <v>40</v>
          </cell>
          <cell r="H54">
            <v>3.05</v>
          </cell>
          <cell r="I54">
            <v>3.15</v>
          </cell>
          <cell r="J54">
            <v>3.5</v>
          </cell>
          <cell r="K54">
            <v>1.94</v>
          </cell>
          <cell r="L54">
            <v>1.98</v>
          </cell>
          <cell r="M54">
            <v>2.1</v>
          </cell>
          <cell r="N54">
            <v>30.4</v>
          </cell>
          <cell r="O54">
            <v>32.049999999999997</v>
          </cell>
          <cell r="P54">
            <v>37.25</v>
          </cell>
          <cell r="Q54">
            <v>127</v>
          </cell>
          <cell r="R54">
            <v>155</v>
          </cell>
          <cell r="S54">
            <v>0.52900000000000003</v>
          </cell>
          <cell r="T54">
            <v>0.505</v>
          </cell>
          <cell r="U54">
            <v>0.47099999999999997</v>
          </cell>
          <cell r="V54">
            <v>0.495</v>
          </cell>
          <cell r="W54">
            <v>7854</v>
          </cell>
          <cell r="X54">
            <v>11650</v>
          </cell>
          <cell r="Y54">
            <v>0.10199999999999999</v>
          </cell>
          <cell r="Z54">
            <v>0.1</v>
          </cell>
          <cell r="AA54">
            <v>9.5000000000000001E-2</v>
          </cell>
          <cell r="AB54">
            <v>0.09</v>
          </cell>
          <cell r="AC54">
            <v>0.03</v>
          </cell>
        </row>
        <row r="55">
          <cell r="B55" t="str">
            <v>SO</v>
          </cell>
          <cell r="C55" t="str">
            <v>Southern Company</v>
          </cell>
          <cell r="E55">
            <v>1.87</v>
          </cell>
          <cell r="F55">
            <v>50</v>
          </cell>
          <cell r="G55">
            <v>40</v>
          </cell>
          <cell r="H55">
            <v>2.5499999999999998</v>
          </cell>
          <cell r="I55">
            <v>2.7</v>
          </cell>
          <cell r="J55">
            <v>3.25</v>
          </cell>
          <cell r="K55">
            <v>1.87</v>
          </cell>
          <cell r="L55">
            <v>1.94</v>
          </cell>
          <cell r="M55">
            <v>2.2000000000000002</v>
          </cell>
          <cell r="N55">
            <v>20.149999999999999</v>
          </cell>
          <cell r="O55">
            <v>21.25</v>
          </cell>
          <cell r="P55">
            <v>25</v>
          </cell>
          <cell r="Q55">
            <v>843.34</v>
          </cell>
          <cell r="R55">
            <v>910</v>
          </cell>
          <cell r="S55">
            <v>0.51200000000000001</v>
          </cell>
          <cell r="T55">
            <v>0.52500000000000002</v>
          </cell>
          <cell r="U55">
            <v>0.45700000000000002</v>
          </cell>
          <cell r="V55">
            <v>0.45500000000000002</v>
          </cell>
          <cell r="W55">
            <v>35438</v>
          </cell>
          <cell r="X55">
            <v>49800</v>
          </cell>
          <cell r="Y55">
            <v>0.122</v>
          </cell>
          <cell r="Z55">
            <v>0.125</v>
          </cell>
          <cell r="AA55">
            <v>0.125</v>
          </cell>
          <cell r="AB55">
            <v>0.13</v>
          </cell>
          <cell r="AC55">
            <v>0.06</v>
          </cell>
        </row>
        <row r="56">
          <cell r="B56" t="str">
            <v>SRE</v>
          </cell>
          <cell r="C56" t="str">
            <v>Sempra Energy</v>
          </cell>
          <cell r="E56">
            <v>1.92</v>
          </cell>
          <cell r="F56">
            <v>80</v>
          </cell>
          <cell r="G56">
            <v>60</v>
          </cell>
          <cell r="H56">
            <v>4.2</v>
          </cell>
          <cell r="I56">
            <v>4.5</v>
          </cell>
          <cell r="J56">
            <v>5.5</v>
          </cell>
          <cell r="K56">
            <v>1.92</v>
          </cell>
          <cell r="L56">
            <v>2.08</v>
          </cell>
          <cell r="M56">
            <v>2.5</v>
          </cell>
          <cell r="N56">
            <v>41.05</v>
          </cell>
          <cell r="O56">
            <v>43.5</v>
          </cell>
          <cell r="P56">
            <v>52.25</v>
          </cell>
          <cell r="Q56">
            <v>240.45</v>
          </cell>
          <cell r="R56">
            <v>246</v>
          </cell>
          <cell r="S56">
            <v>0.49399999999999999</v>
          </cell>
          <cell r="T56">
            <v>0.49</v>
          </cell>
          <cell r="U56">
            <v>0.496</v>
          </cell>
          <cell r="V56">
            <v>0.51</v>
          </cell>
          <cell r="W56">
            <v>18186</v>
          </cell>
          <cell r="X56">
            <v>25200</v>
          </cell>
          <cell r="Y56">
            <v>0.111</v>
          </cell>
          <cell r="Z56">
            <v>0.105</v>
          </cell>
          <cell r="AA56">
            <v>0.105</v>
          </cell>
          <cell r="AB56">
            <v>0.105</v>
          </cell>
          <cell r="AC56">
            <v>3.5000000000000003E-2</v>
          </cell>
        </row>
        <row r="57">
          <cell r="B57" t="str">
            <v>TE</v>
          </cell>
          <cell r="C57" t="str">
            <v>TECO Energy</v>
          </cell>
          <cell r="E57">
            <v>0.85</v>
          </cell>
          <cell r="F57">
            <v>25</v>
          </cell>
          <cell r="G57">
            <v>18</v>
          </cell>
          <cell r="H57">
            <v>1.3</v>
          </cell>
          <cell r="I57">
            <v>1.45</v>
          </cell>
          <cell r="J57">
            <v>1.75</v>
          </cell>
          <cell r="K57">
            <v>0.85</v>
          </cell>
          <cell r="L57">
            <v>0.89</v>
          </cell>
          <cell r="M57">
            <v>1.05</v>
          </cell>
          <cell r="N57">
            <v>10.55</v>
          </cell>
          <cell r="O57">
            <v>11.1</v>
          </cell>
          <cell r="P57">
            <v>13.25</v>
          </cell>
          <cell r="Q57">
            <v>214.9</v>
          </cell>
          <cell r="R57">
            <v>220</v>
          </cell>
          <cell r="S57">
            <v>0.59199999999999997</v>
          </cell>
          <cell r="T57">
            <v>0.52500000000000002</v>
          </cell>
          <cell r="U57">
            <v>0.40799999999999997</v>
          </cell>
          <cell r="V57">
            <v>0.47499999999999998</v>
          </cell>
          <cell r="W57">
            <v>5317.8</v>
          </cell>
          <cell r="X57">
            <v>6125</v>
          </cell>
          <cell r="Y57">
            <v>0.112</v>
          </cell>
          <cell r="Z57">
            <v>0.125</v>
          </cell>
          <cell r="AA57">
            <v>0.13</v>
          </cell>
          <cell r="AB57">
            <v>0.14000000000000001</v>
          </cell>
          <cell r="AC57">
            <v>0.105</v>
          </cell>
        </row>
        <row r="58">
          <cell r="B58" t="str">
            <v>TEG</v>
          </cell>
          <cell r="C58" t="str">
            <v>Integrys Energy Group</v>
          </cell>
          <cell r="E58">
            <v>2.72</v>
          </cell>
          <cell r="F58">
            <v>55</v>
          </cell>
          <cell r="G58">
            <v>40</v>
          </cell>
          <cell r="H58">
            <v>3.3</v>
          </cell>
          <cell r="I58">
            <v>3.5</v>
          </cell>
          <cell r="J58">
            <v>4</v>
          </cell>
          <cell r="K58">
            <v>2.72</v>
          </cell>
          <cell r="L58">
            <v>2.72</v>
          </cell>
          <cell r="M58">
            <v>2.72</v>
          </cell>
          <cell r="N58">
            <v>37.799999999999997</v>
          </cell>
          <cell r="O58">
            <v>38.65</v>
          </cell>
          <cell r="P58">
            <v>41.75</v>
          </cell>
          <cell r="Q58">
            <v>77.349999999999994</v>
          </cell>
          <cell r="R58">
            <v>78.3</v>
          </cell>
          <cell r="S58">
            <v>0.42199999999999999</v>
          </cell>
          <cell r="T58">
            <v>0.45</v>
          </cell>
          <cell r="U58">
            <v>0.56799999999999995</v>
          </cell>
          <cell r="V58">
            <v>0.54500000000000004</v>
          </cell>
          <cell r="W58">
            <v>5118.5</v>
          </cell>
          <cell r="X58">
            <v>6025</v>
          </cell>
          <cell r="Y58">
            <v>8.6999999999999994E-2</v>
          </cell>
          <cell r="Z58">
            <v>0.09</v>
          </cell>
          <cell r="AA58">
            <v>0.09</v>
          </cell>
          <cell r="AB58">
            <v>9.5000000000000001E-2</v>
          </cell>
          <cell r="AC58">
            <v>0.09</v>
          </cell>
        </row>
        <row r="59">
          <cell r="B59" t="str">
            <v>UIL</v>
          </cell>
          <cell r="C59" t="str">
            <v>UIL Holdings</v>
          </cell>
          <cell r="E59">
            <v>1.73</v>
          </cell>
          <cell r="F59">
            <v>45</v>
          </cell>
          <cell r="G59">
            <v>30</v>
          </cell>
          <cell r="H59">
            <v>1.95</v>
          </cell>
          <cell r="I59">
            <v>2.2000000000000002</v>
          </cell>
          <cell r="J59">
            <v>2.35</v>
          </cell>
          <cell r="K59">
            <v>1.73</v>
          </cell>
          <cell r="L59">
            <v>1.73</v>
          </cell>
          <cell r="M59">
            <v>1.73</v>
          </cell>
          <cell r="N59">
            <v>24</v>
          </cell>
          <cell r="O59">
            <v>24.6</v>
          </cell>
          <cell r="P59">
            <v>27</v>
          </cell>
          <cell r="Q59">
            <v>50.51</v>
          </cell>
          <cell r="R59">
            <v>50</v>
          </cell>
          <cell r="S59">
            <v>0.58399999999999996</v>
          </cell>
          <cell r="T59">
            <v>0.58499999999999996</v>
          </cell>
          <cell r="U59">
            <v>0.41599999999999998</v>
          </cell>
          <cell r="V59">
            <v>0.41499999999999998</v>
          </cell>
          <cell r="W59">
            <v>2587.9</v>
          </cell>
          <cell r="X59">
            <v>3250</v>
          </cell>
          <cell r="Y59">
            <v>6.5000000000000002E-2</v>
          </cell>
          <cell r="Z59">
            <v>8.5000000000000006E-2</v>
          </cell>
          <cell r="AA59">
            <v>0.09</v>
          </cell>
          <cell r="AB59">
            <v>0.09</v>
          </cell>
          <cell r="AC59">
            <v>0.03</v>
          </cell>
        </row>
        <row r="60">
          <cell r="B60" t="str">
            <v>UNS</v>
          </cell>
          <cell r="C60" t="str">
            <v>Unisource Energy</v>
          </cell>
          <cell r="E60">
            <v>1.68</v>
          </cell>
          <cell r="F60">
            <v>75</v>
          </cell>
          <cell r="G60">
            <v>50</v>
          </cell>
          <cell r="H60">
            <v>2.75</v>
          </cell>
          <cell r="I60">
            <v>2.7</v>
          </cell>
          <cell r="J60">
            <v>3.4</v>
          </cell>
          <cell r="K60">
            <v>1.68</v>
          </cell>
          <cell r="L60">
            <v>1.76</v>
          </cell>
          <cell r="M60">
            <v>2.08</v>
          </cell>
          <cell r="N60">
            <v>23.25</v>
          </cell>
          <cell r="O60">
            <v>24.45</v>
          </cell>
          <cell r="P60">
            <v>27.65</v>
          </cell>
          <cell r="Q60">
            <v>36.54</v>
          </cell>
          <cell r="R60">
            <v>38</v>
          </cell>
          <cell r="S60">
            <v>0.68500000000000005</v>
          </cell>
          <cell r="T60">
            <v>0.62</v>
          </cell>
          <cell r="U60">
            <v>0.315</v>
          </cell>
          <cell r="V60">
            <v>0.38</v>
          </cell>
          <cell r="W60">
            <v>2602.8000000000002</v>
          </cell>
          <cell r="X60">
            <v>2750</v>
          </cell>
          <cell r="Y60">
            <v>0.13600000000000001</v>
          </cell>
          <cell r="Z60">
            <v>0.115</v>
          </cell>
          <cell r="AA60">
            <v>0.115</v>
          </cell>
          <cell r="AB60">
            <v>0.125</v>
          </cell>
          <cell r="AC60">
            <v>9.5000000000000001E-2</v>
          </cell>
        </row>
        <row r="61">
          <cell r="B61" t="str">
            <v>VVC</v>
          </cell>
          <cell r="C61" t="str">
            <v>Vectren Corp.</v>
          </cell>
          <cell r="E61">
            <v>1.39</v>
          </cell>
          <cell r="F61">
            <v>40</v>
          </cell>
          <cell r="G61">
            <v>30</v>
          </cell>
          <cell r="H61">
            <v>1.8</v>
          </cell>
          <cell r="I61">
            <v>1.9</v>
          </cell>
          <cell r="J61">
            <v>2.2999999999999998</v>
          </cell>
          <cell r="K61">
            <v>1.39</v>
          </cell>
          <cell r="L61">
            <v>1.41</v>
          </cell>
          <cell r="M61">
            <v>1.6</v>
          </cell>
          <cell r="N61">
            <v>18</v>
          </cell>
          <cell r="O61">
            <v>18.649999999999999</v>
          </cell>
          <cell r="P61">
            <v>21.2</v>
          </cell>
          <cell r="Q61">
            <v>81.7</v>
          </cell>
          <cell r="R61">
            <v>85</v>
          </cell>
          <cell r="S61">
            <v>0.499</v>
          </cell>
          <cell r="T61">
            <v>0.5</v>
          </cell>
          <cell r="U61">
            <v>0.501</v>
          </cell>
          <cell r="V61">
            <v>0.5</v>
          </cell>
          <cell r="W61">
            <v>2874</v>
          </cell>
          <cell r="X61">
            <v>3600</v>
          </cell>
          <cell r="Y61">
            <v>9.2999999999999999E-2</v>
          </cell>
          <cell r="Z61">
            <v>0.1</v>
          </cell>
          <cell r="AA61">
            <v>0.105</v>
          </cell>
          <cell r="AB61">
            <v>0.11</v>
          </cell>
          <cell r="AC61">
            <v>5.5E-2</v>
          </cell>
        </row>
        <row r="62">
          <cell r="B62" t="str">
            <v>WEC</v>
          </cell>
          <cell r="C62" t="str">
            <v>Wisconsin Energy</v>
          </cell>
          <cell r="E62">
            <v>1.04</v>
          </cell>
          <cell r="F62">
            <v>45</v>
          </cell>
          <cell r="G62">
            <v>35</v>
          </cell>
          <cell r="H62">
            <v>2.15</v>
          </cell>
          <cell r="I62">
            <v>2.25</v>
          </cell>
          <cell r="J62">
            <v>2.75</v>
          </cell>
          <cell r="K62">
            <v>1.04</v>
          </cell>
          <cell r="L62">
            <v>1.2</v>
          </cell>
          <cell r="M62">
            <v>1.65</v>
          </cell>
          <cell r="N62">
            <v>17.149999999999999</v>
          </cell>
          <cell r="O62">
            <v>17.649999999999999</v>
          </cell>
          <cell r="P62">
            <v>19.5</v>
          </cell>
          <cell r="Q62">
            <v>233.77</v>
          </cell>
          <cell r="R62">
            <v>223</v>
          </cell>
          <cell r="S62">
            <v>0.50600000000000001</v>
          </cell>
          <cell r="T62">
            <v>0.53500000000000003</v>
          </cell>
          <cell r="U62">
            <v>0.49</v>
          </cell>
          <cell r="V62">
            <v>0.46</v>
          </cell>
          <cell r="W62">
            <v>7764.5</v>
          </cell>
          <cell r="X62">
            <v>9450</v>
          </cell>
          <cell r="Y62">
            <v>0.12</v>
          </cell>
          <cell r="Z62">
            <v>0.13</v>
          </cell>
          <cell r="AA62">
            <v>0.13</v>
          </cell>
          <cell r="AB62">
            <v>0.14000000000000001</v>
          </cell>
          <cell r="AC62">
            <v>8.5000000000000006E-2</v>
          </cell>
        </row>
        <row r="63">
          <cell r="B63" t="str">
            <v>WR</v>
          </cell>
          <cell r="C63" t="str">
            <v>Westar Energy</v>
          </cell>
          <cell r="E63">
            <v>1.28</v>
          </cell>
          <cell r="F63">
            <v>35</v>
          </cell>
          <cell r="G63">
            <v>25</v>
          </cell>
          <cell r="H63">
            <v>1.75</v>
          </cell>
          <cell r="I63">
            <v>1.9</v>
          </cell>
          <cell r="J63">
            <v>2.4</v>
          </cell>
          <cell r="K63">
            <v>1.28</v>
          </cell>
          <cell r="L63">
            <v>1.32</v>
          </cell>
          <cell r="M63">
            <v>1.44</v>
          </cell>
          <cell r="N63">
            <v>22.2</v>
          </cell>
          <cell r="O63">
            <v>22.9</v>
          </cell>
          <cell r="P63">
            <v>24.2</v>
          </cell>
          <cell r="Q63">
            <v>112.13</v>
          </cell>
          <cell r="R63">
            <v>128</v>
          </cell>
          <cell r="S63">
            <v>0.53600000000000003</v>
          </cell>
          <cell r="T63">
            <v>0.53</v>
          </cell>
          <cell r="U63">
            <v>0.46400000000000002</v>
          </cell>
          <cell r="V63">
            <v>0.47</v>
          </cell>
          <cell r="W63">
            <v>5180.8</v>
          </cell>
          <cell r="X63">
            <v>6600</v>
          </cell>
          <cell r="Y63">
            <v>8.2000000000000003E-2</v>
          </cell>
          <cell r="Z63">
            <v>0.08</v>
          </cell>
          <cell r="AA63">
            <v>0.08</v>
          </cell>
          <cell r="AB63">
            <v>0.1</v>
          </cell>
          <cell r="AC63">
            <v>8.5000000000000006E-2</v>
          </cell>
        </row>
        <row r="64">
          <cell r="B64" t="str">
            <v>XEL</v>
          </cell>
          <cell r="C64" t="str">
            <v>Xcel Energy, Inc.</v>
          </cell>
          <cell r="E64">
            <v>1.03</v>
          </cell>
          <cell r="F64">
            <v>30</v>
          </cell>
          <cell r="G64">
            <v>20</v>
          </cell>
          <cell r="H64">
            <v>1.75</v>
          </cell>
          <cell r="I64">
            <v>1.85</v>
          </cell>
          <cell r="J64">
            <v>2</v>
          </cell>
          <cell r="K64">
            <v>1.03</v>
          </cell>
          <cell r="L64">
            <v>1.06</v>
          </cell>
          <cell r="M64">
            <v>1.1499999999999999</v>
          </cell>
          <cell r="N64">
            <v>17.5</v>
          </cell>
          <cell r="O64">
            <v>18.3</v>
          </cell>
          <cell r="P64">
            <v>21</v>
          </cell>
          <cell r="Q64">
            <v>482.33</v>
          </cell>
          <cell r="R64">
            <v>498</v>
          </cell>
          <cell r="S64">
            <v>0.53100000000000003</v>
          </cell>
          <cell r="T64">
            <v>0.51500000000000001</v>
          </cell>
          <cell r="U64">
            <v>0.46300000000000002</v>
          </cell>
          <cell r="V64">
            <v>0.48499999999999999</v>
          </cell>
          <cell r="W64">
            <v>17452</v>
          </cell>
          <cell r="X64">
            <v>21500</v>
          </cell>
          <cell r="Y64">
            <v>8.8999999999999996E-2</v>
          </cell>
          <cell r="Z64">
            <v>0.1</v>
          </cell>
          <cell r="AA64">
            <v>0.1</v>
          </cell>
          <cell r="AB64">
            <v>0.1</v>
          </cell>
          <cell r="AC64">
            <v>0.05</v>
          </cell>
        </row>
      </sheetData>
      <sheetData sheetId="31" refreshError="1"/>
      <sheetData sheetId="32">
        <row r="16">
          <cell r="B16" t="str">
            <v>AEE</v>
          </cell>
          <cell r="C16" t="str">
            <v>Ameren Corp.</v>
          </cell>
          <cell r="D16">
            <v>269</v>
          </cell>
          <cell r="E16">
            <v>155</v>
          </cell>
          <cell r="F16">
            <v>6853</v>
          </cell>
          <cell r="G16">
            <v>0</v>
          </cell>
          <cell r="H16">
            <v>154</v>
          </cell>
          <cell r="I16">
            <v>7730</v>
          </cell>
          <cell r="J16">
            <v>15161</v>
          </cell>
        </row>
        <row r="17">
          <cell r="B17" t="str">
            <v>AEP</v>
          </cell>
          <cell r="C17" t="str">
            <v>American Elec Pwr</v>
          </cell>
          <cell r="D17">
            <v>1346</v>
          </cell>
          <cell r="E17">
            <v>1309</v>
          </cell>
          <cell r="F17">
            <v>15502</v>
          </cell>
          <cell r="G17">
            <v>60</v>
          </cell>
          <cell r="H17">
            <v>0</v>
          </cell>
          <cell r="I17">
            <v>13622</v>
          </cell>
          <cell r="J17">
            <v>31839</v>
          </cell>
        </row>
        <row r="18">
          <cell r="B18" t="str">
            <v>ALE</v>
          </cell>
          <cell r="C18" t="str">
            <v>ALLETE</v>
          </cell>
          <cell r="D18">
            <v>1</v>
          </cell>
          <cell r="E18">
            <v>13.4</v>
          </cell>
          <cell r="F18">
            <v>771.6</v>
          </cell>
          <cell r="G18">
            <v>0</v>
          </cell>
          <cell r="H18">
            <v>9</v>
          </cell>
          <cell r="I18">
            <v>976</v>
          </cell>
          <cell r="J18">
            <v>1771</v>
          </cell>
        </row>
        <row r="19">
          <cell r="B19" t="str">
            <v>AVA</v>
          </cell>
          <cell r="C19" t="str">
            <v>Avista Corp.</v>
          </cell>
          <cell r="D19">
            <v>110</v>
          </cell>
          <cell r="E19">
            <v>0.35799999999999998</v>
          </cell>
          <cell r="F19">
            <v>1101.499</v>
          </cell>
          <cell r="G19">
            <v>51.546999999999997</v>
          </cell>
          <cell r="H19">
            <v>46.122</v>
          </cell>
          <cell r="I19">
            <v>1125.7840000000001</v>
          </cell>
          <cell r="J19">
            <v>2435.3100000000004</v>
          </cell>
        </row>
        <row r="20">
          <cell r="B20" t="str">
            <v>AYE</v>
          </cell>
          <cell r="C20" t="str">
            <v>Allegheny Energy</v>
          </cell>
          <cell r="J20">
            <v>0</v>
          </cell>
        </row>
        <row r="21">
          <cell r="B21" t="str">
            <v>BKH</v>
          </cell>
          <cell r="C21" t="str">
            <v>Black Hills Corp.</v>
          </cell>
          <cell r="D21">
            <v>249</v>
          </cell>
          <cell r="E21">
            <v>5.181</v>
          </cell>
          <cell r="F21">
            <v>1186.05</v>
          </cell>
          <cell r="G21">
            <v>0</v>
          </cell>
          <cell r="H21">
            <v>0</v>
          </cell>
          <cell r="I21">
            <v>1100.27</v>
          </cell>
          <cell r="J21">
            <v>2540.5010000000002</v>
          </cell>
        </row>
        <row r="22">
          <cell r="B22" t="str">
            <v>CEG</v>
          </cell>
          <cell r="C22" t="str">
            <v>Constellation Energy</v>
          </cell>
          <cell r="D22">
            <v>32.4</v>
          </cell>
          <cell r="E22">
            <v>245.6</v>
          </cell>
          <cell r="F22">
            <v>4054.2</v>
          </cell>
          <cell r="G22">
            <v>190</v>
          </cell>
          <cell r="H22">
            <v>88.8</v>
          </cell>
          <cell r="I22">
            <v>7829.2</v>
          </cell>
          <cell r="J22">
            <v>12440.2</v>
          </cell>
        </row>
        <row r="23">
          <cell r="B23" t="str">
            <v>CHG</v>
          </cell>
          <cell r="C23" t="str">
            <v>CH Energy Group</v>
          </cell>
          <cell r="J23">
            <v>0</v>
          </cell>
        </row>
        <row r="24">
          <cell r="B24" t="str">
            <v>CMS</v>
          </cell>
          <cell r="C24" t="str">
            <v>CMS Energy</v>
          </cell>
          <cell r="D24">
            <v>0</v>
          </cell>
          <cell r="E24">
            <v>750</v>
          </cell>
          <cell r="F24">
            <v>6448</v>
          </cell>
          <cell r="G24">
            <v>0</v>
          </cell>
          <cell r="H24">
            <v>44</v>
          </cell>
          <cell r="I24">
            <v>2793</v>
          </cell>
          <cell r="J24">
            <v>10035</v>
          </cell>
        </row>
        <row r="25">
          <cell r="B25" t="str">
            <v>CNL</v>
          </cell>
          <cell r="C25" t="str">
            <v>Cleco Corp.</v>
          </cell>
          <cell r="D25">
            <v>150</v>
          </cell>
          <cell r="E25">
            <v>12.269</v>
          </cell>
          <cell r="F25">
            <v>1399.7090000000001</v>
          </cell>
          <cell r="G25">
            <v>1.0289999999999999</v>
          </cell>
          <cell r="H25">
            <v>0</v>
          </cell>
          <cell r="I25">
            <v>1317.1780000000001</v>
          </cell>
          <cell r="J25">
            <v>2880.1850000000004</v>
          </cell>
        </row>
        <row r="26">
          <cell r="B26" t="str">
            <v>CNP</v>
          </cell>
          <cell r="C26" t="str">
            <v>CenterPoint Energy</v>
          </cell>
          <cell r="D26">
            <v>53</v>
          </cell>
          <cell r="E26">
            <v>428</v>
          </cell>
          <cell r="F26">
            <v>9001</v>
          </cell>
          <cell r="G26">
            <v>0</v>
          </cell>
          <cell r="H26">
            <v>0</v>
          </cell>
          <cell r="I26">
            <v>3198</v>
          </cell>
          <cell r="J26">
            <v>12680</v>
          </cell>
        </row>
        <row r="27">
          <cell r="B27" t="str">
            <v>CV</v>
          </cell>
          <cell r="C27" t="str">
            <v xml:space="preserve">Central Vermont P S </v>
          </cell>
          <cell r="J27">
            <v>0</v>
          </cell>
        </row>
        <row r="28">
          <cell r="B28" t="str">
            <v>D</v>
          </cell>
          <cell r="C28" t="str">
            <v>Dominion Resources</v>
          </cell>
          <cell r="D28">
            <v>1386</v>
          </cell>
          <cell r="E28">
            <v>497</v>
          </cell>
          <cell r="F28">
            <v>15758</v>
          </cell>
          <cell r="G28">
            <v>257</v>
          </cell>
          <cell r="H28">
            <v>0</v>
          </cell>
          <cell r="I28">
            <v>11997</v>
          </cell>
          <cell r="J28">
            <v>29895</v>
          </cell>
        </row>
        <row r="29">
          <cell r="B29" t="str">
            <v>DPL</v>
          </cell>
          <cell r="C29" t="str">
            <v>DPL, Inc.</v>
          </cell>
          <cell r="D29">
            <v>0</v>
          </cell>
          <cell r="E29">
            <v>297.5</v>
          </cell>
          <cell r="F29">
            <v>1026.5999999999999</v>
          </cell>
          <cell r="G29">
            <v>22.9</v>
          </cell>
          <cell r="H29">
            <v>0</v>
          </cell>
          <cell r="I29">
            <v>1218.5</v>
          </cell>
          <cell r="J29">
            <v>2565.5</v>
          </cell>
        </row>
        <row r="30">
          <cell r="B30" t="str">
            <v>DTE</v>
          </cell>
          <cell r="C30" t="str">
            <v>DTE Energy Co.</v>
          </cell>
          <cell r="D30">
            <v>150</v>
          </cell>
          <cell r="E30">
            <v>925</v>
          </cell>
          <cell r="F30">
            <v>6114</v>
          </cell>
          <cell r="G30">
            <v>289</v>
          </cell>
          <cell r="H30">
            <v>45</v>
          </cell>
          <cell r="I30">
            <v>6722</v>
          </cell>
          <cell r="J30">
            <v>14245</v>
          </cell>
        </row>
        <row r="31">
          <cell r="B31" t="str">
            <v>DUK</v>
          </cell>
          <cell r="C31" t="str">
            <v>Duke Energy Corp.</v>
          </cell>
          <cell r="J31">
            <v>0</v>
          </cell>
        </row>
        <row r="32">
          <cell r="B32" t="str">
            <v>ED</v>
          </cell>
          <cell r="C32" t="str">
            <v>Consolidated Edison</v>
          </cell>
          <cell r="D32">
            <v>0</v>
          </cell>
          <cell r="E32">
            <v>5</v>
          </cell>
          <cell r="F32">
            <v>10671</v>
          </cell>
          <cell r="G32">
            <v>213</v>
          </cell>
          <cell r="H32">
            <v>0</v>
          </cell>
          <cell r="I32">
            <v>11061</v>
          </cell>
          <cell r="J32">
            <v>21950</v>
          </cell>
        </row>
        <row r="33">
          <cell r="B33" t="str">
            <v>EDE</v>
          </cell>
          <cell r="C33" t="str">
            <v>Empire District Elec</v>
          </cell>
          <cell r="D33">
            <v>24</v>
          </cell>
          <cell r="E33">
            <v>0.88100000000000001</v>
          </cell>
          <cell r="F33">
            <v>693.072</v>
          </cell>
          <cell r="G33">
            <v>0</v>
          </cell>
          <cell r="H33">
            <v>0</v>
          </cell>
          <cell r="I33">
            <v>657.62400000000002</v>
          </cell>
          <cell r="J33">
            <v>1375.577</v>
          </cell>
        </row>
        <row r="34">
          <cell r="B34" t="str">
            <v>EE</v>
          </cell>
          <cell r="C34" t="str">
            <v>El Paso Electric</v>
          </cell>
          <cell r="J34">
            <v>0</v>
          </cell>
        </row>
        <row r="35">
          <cell r="B35" t="str">
            <v>EIX</v>
          </cell>
          <cell r="C35" t="str">
            <v>Edison International</v>
          </cell>
          <cell r="D35">
            <v>115</v>
          </cell>
          <cell r="E35">
            <v>48</v>
          </cell>
          <cell r="F35">
            <v>12371</v>
          </cell>
          <cell r="G35">
            <v>907</v>
          </cell>
          <cell r="H35">
            <v>4</v>
          </cell>
          <cell r="I35">
            <v>10583</v>
          </cell>
          <cell r="J35">
            <v>24028</v>
          </cell>
        </row>
        <row r="36">
          <cell r="B36" t="str">
            <v>ETR</v>
          </cell>
          <cell r="C36" t="str">
            <v>Entergy Corp.</v>
          </cell>
          <cell r="D36">
            <v>154.13499999999999</v>
          </cell>
          <cell r="E36">
            <v>299.548</v>
          </cell>
          <cell r="F36">
            <v>10386.026</v>
          </cell>
          <cell r="G36">
            <v>310.738</v>
          </cell>
          <cell r="H36">
            <v>0</v>
          </cell>
          <cell r="I36">
            <v>8496.4</v>
          </cell>
          <cell r="J36">
            <v>19646.846999999998</v>
          </cell>
        </row>
        <row r="37">
          <cell r="B37" t="str">
            <v>EXC</v>
          </cell>
          <cell r="C37" t="str">
            <v>Exelon Corp.</v>
          </cell>
          <cell r="D37">
            <v>225</v>
          </cell>
          <cell r="E37">
            <v>599</v>
          </cell>
          <cell r="F37">
            <v>11614</v>
          </cell>
          <cell r="G37">
            <v>87</v>
          </cell>
          <cell r="H37">
            <v>3</v>
          </cell>
          <cell r="I37">
            <v>13560</v>
          </cell>
          <cell r="J37">
            <v>26088</v>
          </cell>
        </row>
        <row r="38">
          <cell r="B38" t="str">
            <v>FE</v>
          </cell>
          <cell r="C38" t="str">
            <v>FirstEnergy Corp.</v>
          </cell>
          <cell r="D38">
            <v>700</v>
          </cell>
          <cell r="E38">
            <v>1486</v>
          </cell>
          <cell r="F38">
            <v>12579</v>
          </cell>
          <cell r="G38">
            <v>0</v>
          </cell>
          <cell r="H38">
            <v>-32</v>
          </cell>
          <cell r="I38">
            <v>8545</v>
          </cell>
          <cell r="J38">
            <v>23278</v>
          </cell>
        </row>
        <row r="39">
          <cell r="B39" t="str">
            <v>GXP</v>
          </cell>
          <cell r="C39" t="str">
            <v>Great Plains Energy</v>
          </cell>
          <cell r="D39">
            <v>368</v>
          </cell>
          <cell r="E39">
            <v>485.7</v>
          </cell>
          <cell r="F39">
            <v>2942.7</v>
          </cell>
          <cell r="G39">
            <v>39</v>
          </cell>
          <cell r="H39">
            <v>1.2</v>
          </cell>
          <cell r="I39">
            <v>2885.9</v>
          </cell>
          <cell r="J39">
            <v>6722.5</v>
          </cell>
        </row>
        <row r="40">
          <cell r="B40" t="str">
            <v>HE</v>
          </cell>
          <cell r="C40" t="str">
            <v>Hawaiian Elec.</v>
          </cell>
          <cell r="D40">
            <v>24.922999999999998</v>
          </cell>
          <cell r="E40">
            <v>0</v>
          </cell>
          <cell r="F40">
            <v>1364.942</v>
          </cell>
          <cell r="G40">
            <v>34.292999999999999</v>
          </cell>
          <cell r="H40">
            <v>0</v>
          </cell>
          <cell r="I40">
            <v>1483.6369999999999</v>
          </cell>
          <cell r="J40">
            <v>2907.7950000000001</v>
          </cell>
        </row>
        <row r="41">
          <cell r="B41" t="str">
            <v>IDA</v>
          </cell>
          <cell r="C41" t="str">
            <v>IDACORP, Inc.</v>
          </cell>
          <cell r="D41">
            <v>66.900000000000006</v>
          </cell>
          <cell r="E41">
            <v>122.572</v>
          </cell>
          <cell r="F41">
            <v>1488.287</v>
          </cell>
          <cell r="G41">
            <v>0</v>
          </cell>
          <cell r="H41">
            <v>3.871</v>
          </cell>
          <cell r="I41">
            <v>1532.1130000000001</v>
          </cell>
          <cell r="J41">
            <v>3213.7430000000004</v>
          </cell>
        </row>
        <row r="42">
          <cell r="B42" t="str">
            <v>ITC</v>
          </cell>
          <cell r="C42" t="str">
            <v>ITC Holdings Corp.</v>
          </cell>
          <cell r="D42">
            <v>0</v>
          </cell>
          <cell r="E42">
            <v>0</v>
          </cell>
          <cell r="F42">
            <v>2496.8960000000002</v>
          </cell>
          <cell r="G42">
            <v>0</v>
          </cell>
          <cell r="H42">
            <v>0</v>
          </cell>
          <cell r="I42">
            <v>1117.433</v>
          </cell>
          <cell r="J42">
            <v>3614.3290000000002</v>
          </cell>
        </row>
        <row r="43">
          <cell r="B43" t="str">
            <v>LNT</v>
          </cell>
          <cell r="C43" t="str">
            <v>Alliant Energy</v>
          </cell>
          <cell r="D43">
            <v>47.4</v>
          </cell>
          <cell r="E43">
            <v>1.3</v>
          </cell>
          <cell r="F43">
            <v>2703.4</v>
          </cell>
          <cell r="G43">
            <v>243.8</v>
          </cell>
          <cell r="H43">
            <v>2</v>
          </cell>
          <cell r="I43">
            <v>2893.6</v>
          </cell>
          <cell r="J43">
            <v>5891.5</v>
          </cell>
        </row>
        <row r="44">
          <cell r="B44" t="str">
            <v>MGEE</v>
          </cell>
          <cell r="C44" t="str">
            <v>MGE Energy</v>
          </cell>
          <cell r="J44">
            <v>0</v>
          </cell>
        </row>
        <row r="45">
          <cell r="B45" t="str">
            <v>NEE</v>
          </cell>
          <cell r="C45" t="str">
            <v>NextEra Energy</v>
          </cell>
          <cell r="D45">
            <v>889</v>
          </cell>
          <cell r="E45">
            <v>1920</v>
          </cell>
          <cell r="F45">
            <v>18013</v>
          </cell>
          <cell r="G45">
            <v>0</v>
          </cell>
          <cell r="H45">
            <v>0</v>
          </cell>
          <cell r="I45">
            <v>14461</v>
          </cell>
          <cell r="J45">
            <v>35283</v>
          </cell>
        </row>
        <row r="46">
          <cell r="B46" t="str">
            <v>NST</v>
          </cell>
          <cell r="C46" t="str">
            <v>NSTAR</v>
          </cell>
          <cell r="J46">
            <v>0</v>
          </cell>
        </row>
        <row r="47">
          <cell r="B47" t="str">
            <v>NU</v>
          </cell>
          <cell r="C47" t="str">
            <v>Northeast Utilities</v>
          </cell>
          <cell r="J47">
            <v>0</v>
          </cell>
        </row>
        <row r="48">
          <cell r="B48" t="str">
            <v>NVE</v>
          </cell>
          <cell r="C48" t="str">
            <v>NV Energy, Inc.</v>
          </cell>
          <cell r="J48">
            <v>0</v>
          </cell>
        </row>
        <row r="49">
          <cell r="B49" t="str">
            <v>OGE</v>
          </cell>
          <cell r="C49" t="str">
            <v>OGE Energy Corp.</v>
          </cell>
          <cell r="D49">
            <v>145</v>
          </cell>
          <cell r="E49">
            <v>0</v>
          </cell>
          <cell r="F49">
            <v>2362.9</v>
          </cell>
          <cell r="G49">
            <v>0</v>
          </cell>
          <cell r="H49">
            <v>110.4</v>
          </cell>
          <cell r="I49">
            <v>2289.6</v>
          </cell>
          <cell r="J49">
            <v>4907.8999999999996</v>
          </cell>
        </row>
        <row r="50">
          <cell r="B50" t="str">
            <v>OTTR</v>
          </cell>
          <cell r="C50" t="str">
            <v>Otter Tail Corp.</v>
          </cell>
          <cell r="D50">
            <v>79.489999999999995</v>
          </cell>
          <cell r="E50">
            <v>0.60399999999999998</v>
          </cell>
          <cell r="F50">
            <v>435.44600000000003</v>
          </cell>
          <cell r="G50">
            <v>15.5</v>
          </cell>
          <cell r="H50">
            <v>0</v>
          </cell>
          <cell r="I50">
            <v>631.86300000000006</v>
          </cell>
          <cell r="J50">
            <v>1162.903</v>
          </cell>
        </row>
        <row r="51">
          <cell r="B51" t="str">
            <v>PCG</v>
          </cell>
          <cell r="C51" t="str">
            <v>PG&amp;E Corp.</v>
          </cell>
          <cell r="D51">
            <v>853</v>
          </cell>
          <cell r="E51">
            <v>809</v>
          </cell>
          <cell r="F51">
            <v>10906</v>
          </cell>
          <cell r="G51">
            <v>252</v>
          </cell>
          <cell r="H51">
            <v>0</v>
          </cell>
          <cell r="I51">
            <v>11282</v>
          </cell>
          <cell r="J51">
            <v>24102</v>
          </cell>
        </row>
        <row r="52">
          <cell r="B52" t="str">
            <v>PEG</v>
          </cell>
          <cell r="C52" t="str">
            <v>P S Enterprise Group</v>
          </cell>
          <cell r="D52">
            <v>64</v>
          </cell>
          <cell r="E52">
            <v>1121</v>
          </cell>
          <cell r="F52">
            <v>7819</v>
          </cell>
          <cell r="G52">
            <v>0</v>
          </cell>
          <cell r="H52">
            <v>8</v>
          </cell>
          <cell r="I52">
            <v>9633</v>
          </cell>
          <cell r="J52">
            <v>18645</v>
          </cell>
        </row>
        <row r="53">
          <cell r="B53" t="str">
            <v>PGN</v>
          </cell>
          <cell r="C53" t="str">
            <v>Progress Energy</v>
          </cell>
          <cell r="J53">
            <v>0</v>
          </cell>
        </row>
        <row r="54">
          <cell r="B54" t="str">
            <v>PNM</v>
          </cell>
          <cell r="C54" t="str">
            <v>PNM Resources</v>
          </cell>
          <cell r="D54">
            <v>222</v>
          </cell>
          <cell r="E54">
            <v>2.2519999999999998</v>
          </cell>
          <cell r="F54">
            <v>1563.595</v>
          </cell>
          <cell r="G54">
            <v>11.529</v>
          </cell>
          <cell r="H54">
            <v>85.177000000000007</v>
          </cell>
          <cell r="I54">
            <v>1536.742</v>
          </cell>
          <cell r="J54">
            <v>3421.2950000000001</v>
          </cell>
        </row>
        <row r="55">
          <cell r="B55" t="str">
            <v>PNW</v>
          </cell>
          <cell r="C55" t="str">
            <v>Pinnacle West Capital</v>
          </cell>
          <cell r="D55">
            <v>16.600000000000001</v>
          </cell>
          <cell r="E55">
            <v>631.87900000000002</v>
          </cell>
          <cell r="F55">
            <v>3045.7939999999999</v>
          </cell>
          <cell r="G55">
            <v>0</v>
          </cell>
          <cell r="H55">
            <v>91.899000000000001</v>
          </cell>
          <cell r="I55">
            <v>3683.3270000000002</v>
          </cell>
          <cell r="J55">
            <v>7469.4989999999998</v>
          </cell>
        </row>
        <row r="56">
          <cell r="B56" t="str">
            <v>POM</v>
          </cell>
          <cell r="C56" t="str">
            <v>Pepco Holdings</v>
          </cell>
          <cell r="D56">
            <v>534</v>
          </cell>
          <cell r="E56">
            <v>75</v>
          </cell>
          <cell r="F56">
            <v>3629</v>
          </cell>
          <cell r="G56">
            <v>0</v>
          </cell>
          <cell r="H56">
            <v>6</v>
          </cell>
          <cell r="I56">
            <v>4230</v>
          </cell>
          <cell r="J56">
            <v>8474</v>
          </cell>
        </row>
        <row r="57">
          <cell r="B57" t="str">
            <v>POR</v>
          </cell>
          <cell r="C57" t="str">
            <v>Portland General Elec.</v>
          </cell>
          <cell r="D57">
            <v>19</v>
          </cell>
          <cell r="E57">
            <v>10</v>
          </cell>
          <cell r="F57">
            <v>1798</v>
          </cell>
          <cell r="G57">
            <v>0</v>
          </cell>
          <cell r="H57">
            <v>7</v>
          </cell>
          <cell r="I57">
            <v>1592</v>
          </cell>
          <cell r="J57">
            <v>3426</v>
          </cell>
        </row>
        <row r="58">
          <cell r="B58" t="str">
            <v>PPL</v>
          </cell>
          <cell r="C58" t="str">
            <v>PPL Corp.</v>
          </cell>
          <cell r="D58">
            <v>694</v>
          </cell>
          <cell r="E58">
            <v>502</v>
          </cell>
          <cell r="F58">
            <v>12161</v>
          </cell>
          <cell r="G58">
            <v>0</v>
          </cell>
          <cell r="H58">
            <v>268</v>
          </cell>
          <cell r="I58">
            <v>8210</v>
          </cell>
          <cell r="J58">
            <v>21835</v>
          </cell>
        </row>
        <row r="59">
          <cell r="B59" t="str">
            <v>SCG</v>
          </cell>
          <cell r="C59" t="str">
            <v>SCANA Corp.</v>
          </cell>
          <cell r="D59">
            <v>420</v>
          </cell>
          <cell r="E59">
            <v>337</v>
          </cell>
          <cell r="F59">
            <v>4152</v>
          </cell>
          <cell r="G59">
            <v>0</v>
          </cell>
          <cell r="H59">
            <v>0</v>
          </cell>
          <cell r="I59">
            <v>3702</v>
          </cell>
          <cell r="J59">
            <v>8611</v>
          </cell>
        </row>
        <row r="60">
          <cell r="B60" t="str">
            <v>SO</v>
          </cell>
          <cell r="C60" t="str">
            <v>Southern Company</v>
          </cell>
          <cell r="D60">
            <v>1297</v>
          </cell>
          <cell r="E60">
            <v>1301</v>
          </cell>
          <cell r="F60">
            <v>18154</v>
          </cell>
          <cell r="G60">
            <v>1082</v>
          </cell>
          <cell r="H60">
            <v>0</v>
          </cell>
          <cell r="I60">
            <v>16202</v>
          </cell>
          <cell r="J60">
            <v>38036</v>
          </cell>
        </row>
        <row r="61">
          <cell r="B61" t="str">
            <v>SRE</v>
          </cell>
          <cell r="C61" t="str">
            <v>Sempra Energy</v>
          </cell>
          <cell r="D61">
            <v>158</v>
          </cell>
          <cell r="E61">
            <v>349</v>
          </cell>
          <cell r="F61">
            <v>8980</v>
          </cell>
          <cell r="G61">
            <v>100</v>
          </cell>
          <cell r="H61">
            <v>111</v>
          </cell>
          <cell r="I61">
            <v>9027</v>
          </cell>
          <cell r="J61">
            <v>18725</v>
          </cell>
        </row>
        <row r="62">
          <cell r="B62" t="str">
            <v>TE</v>
          </cell>
          <cell r="C62" t="str">
            <v>TECO Energy</v>
          </cell>
          <cell r="D62">
            <v>12</v>
          </cell>
          <cell r="E62">
            <v>67.099999999999994</v>
          </cell>
          <cell r="F62">
            <v>3114.6</v>
          </cell>
          <cell r="G62">
            <v>0</v>
          </cell>
          <cell r="H62">
            <v>0.9</v>
          </cell>
          <cell r="I62">
            <v>2169.6999999999998</v>
          </cell>
          <cell r="J62">
            <v>5364.2999999999993</v>
          </cell>
        </row>
        <row r="63">
          <cell r="B63" t="str">
            <v>TEG</v>
          </cell>
          <cell r="C63" t="str">
            <v>Integrys Energy Group</v>
          </cell>
          <cell r="D63">
            <v>10</v>
          </cell>
          <cell r="E63">
            <v>476.9</v>
          </cell>
          <cell r="F63">
            <v>2161.6</v>
          </cell>
          <cell r="G63">
            <v>0</v>
          </cell>
          <cell r="H63">
            <v>0</v>
          </cell>
          <cell r="I63">
            <v>2905.8</v>
          </cell>
          <cell r="J63">
            <v>5554.3</v>
          </cell>
        </row>
        <row r="64">
          <cell r="B64" t="str">
            <v>UIL</v>
          </cell>
          <cell r="C64" t="str">
            <v>UIL Holdings</v>
          </cell>
          <cell r="D64">
            <v>7</v>
          </cell>
          <cell r="E64">
            <v>154.114</v>
          </cell>
          <cell r="F64">
            <v>1511.768</v>
          </cell>
          <cell r="G64">
            <v>0.82799999999999996</v>
          </cell>
          <cell r="H64">
            <v>0</v>
          </cell>
          <cell r="I64">
            <v>1076.1420000000001</v>
          </cell>
          <cell r="J64">
            <v>2749.8519999999999</v>
          </cell>
        </row>
        <row r="65">
          <cell r="B65" t="str">
            <v>UNS</v>
          </cell>
          <cell r="C65" t="str">
            <v>Unisource Energy</v>
          </cell>
          <cell r="J65">
            <v>0</v>
          </cell>
        </row>
        <row r="66">
          <cell r="B66" t="str">
            <v>VVC</v>
          </cell>
          <cell r="C66" t="str">
            <v>Vectren Corp.</v>
          </cell>
          <cell r="D66">
            <v>118.3</v>
          </cell>
          <cell r="E66">
            <v>250.7</v>
          </cell>
          <cell r="F66">
            <v>1435.2</v>
          </cell>
          <cell r="G66">
            <v>0</v>
          </cell>
          <cell r="H66">
            <v>0</v>
          </cell>
          <cell r="I66">
            <v>1438.9</v>
          </cell>
          <cell r="J66">
            <v>3243.1000000000004</v>
          </cell>
        </row>
        <row r="67">
          <cell r="B67" t="str">
            <v>WEC</v>
          </cell>
          <cell r="C67" t="str">
            <v>Wisconsin Energy</v>
          </cell>
          <cell r="D67">
            <v>657.9</v>
          </cell>
          <cell r="E67">
            <v>473.4</v>
          </cell>
          <cell r="F67">
            <v>3932</v>
          </cell>
          <cell r="G67">
            <v>30.4</v>
          </cell>
          <cell r="H67">
            <v>0</v>
          </cell>
          <cell r="I67">
            <v>3802.1</v>
          </cell>
          <cell r="J67">
            <v>8895.7999999999993</v>
          </cell>
        </row>
        <row r="68">
          <cell r="B68" t="str">
            <v>WR</v>
          </cell>
          <cell r="C68" t="str">
            <v>Westar Energy</v>
          </cell>
          <cell r="D68">
            <v>226.7</v>
          </cell>
          <cell r="E68">
            <v>91.155000000000001</v>
          </cell>
          <cell r="F68">
            <v>2769.0329999999999</v>
          </cell>
          <cell r="G68">
            <v>21.436</v>
          </cell>
          <cell r="H68">
            <v>6.07</v>
          </cell>
          <cell r="I68">
            <v>2382.8669999999997</v>
          </cell>
          <cell r="J68">
            <v>5497.2610000000004</v>
          </cell>
        </row>
        <row r="69">
          <cell r="B69" t="str">
            <v>XEL</v>
          </cell>
          <cell r="C69" t="str">
            <v>Xcel Energy, Inc.</v>
          </cell>
          <cell r="D69">
            <v>466.4</v>
          </cell>
          <cell r="E69">
            <v>55.414999999999999</v>
          </cell>
          <cell r="F69">
            <v>9263.1440000000002</v>
          </cell>
          <cell r="G69">
            <v>104.98</v>
          </cell>
          <cell r="H69">
            <v>0</v>
          </cell>
          <cell r="I69">
            <v>8083.5190000000002</v>
          </cell>
          <cell r="J69">
            <v>17973.457999999999</v>
          </cell>
        </row>
      </sheetData>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 Info."/>
      <sheetName val="Gen. Info."/>
      <sheetName val="Mngrs &amp; Offcrs"/>
      <sheetName val="Directors"/>
      <sheetName val="Long Term Debt"/>
      <sheetName val="Dividends"/>
      <sheetName val="Plant in Ser"/>
      <sheetName val="Depr."/>
      <sheetName val="Inc Stmnt"/>
      <sheetName val="Taxes Other"/>
      <sheetName val="Balance Sheet"/>
      <sheetName val="Liability Ins"/>
      <sheetName val="Miles of Line"/>
      <sheetName val="Gas Purchased &amp; Sold"/>
      <sheetName val="Dedication Res."/>
      <sheetName val="Emer. Curt. &amp; IRP"/>
      <sheetName val="Imprt Chngs"/>
      <sheetName val="Plnt Add-Ret-17a"/>
      <sheetName val="Fin Chngs (pg 17b)"/>
      <sheetName val="O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1.1R Recommended Capital Str."/>
      <sheetName val="1.2R Summary of CE Models"/>
      <sheetName val="1.3R DCF Summary"/>
      <sheetName val="1.18R RP Summary"/>
      <sheetName val="1.19R Ind. PRPM Results"/>
      <sheetName val="1.20R Risk Premium Summary"/>
      <sheetName val="1.21R Moody's Bond Yields"/>
      <sheetName val="1.22R Bond Ratings"/>
      <sheetName val="1.23R MOODY_S&amp;P numbericl"/>
      <sheetName val="1.24R ERP Determination"/>
      <sheetName val="1.25-1.26R Beta Adjusted ERP"/>
      <sheetName val="1.29R S&amp;P RPM Study Returns"/>
      <sheetName val="1.30R Past Rate Cases Elec"/>
      <sheetName val="1.31R CAPM"/>
      <sheetName val="1.32R CAPM Notes"/>
      <sheetName val="1.34R Comp Earnings Criteria"/>
      <sheetName val="1.35-1.36R Proxy Group Equiv."/>
      <sheetName val="1.37 CEM Summary"/>
      <sheetName val="1.38-1.39 CEM DCF"/>
      <sheetName val="1.40R CEM RPM Summary"/>
      <sheetName val="1.41-1.42R CEM RPM Bond Ratings"/>
      <sheetName val="1.43R CEM Beta Adjusted RP"/>
      <sheetName val="1.44-1.45R CEM CAPM Backup"/>
      <sheetName val="1.46R Risk Adjustment"/>
      <sheetName val="1.47R Market Cap"/>
      <sheetName val="2R Annualized Volatility Proxy"/>
      <sheetName val="3.1-2R, 5.1-2R Freq Dists"/>
      <sheetName val="4.1-2R Corrected CAPM (DCP)"/>
      <sheetName val="4R.3 MRP Regression (DCP)"/>
      <sheetName val="6R MB Schedule"/>
      <sheetName val="7.1-2R DCP CEM Selection"/>
      <sheetName val="7.3-4R DCP CEM DCF"/>
      <sheetName val="7.5-6R DCP CEM CAPM"/>
      <sheetName val="8.1R Reg Mechanisms"/>
      <sheetName val="8.2R Reg Mechanisms"/>
      <sheetName val="9.1R Parcell Proxy Risk Adjust"/>
      <sheetName val="9.2R Parcell Proxy Market Cap"/>
      <sheetName val="9.3R D&amp;P Size Study - APC"/>
      <sheetName val="9.4R D&amp;P Size Study - GLH"/>
      <sheetName val="9.5R D&amp;P Size Study - BBL"/>
      <sheetName val="Chart 1 TIPS Spreads"/>
      <sheetName val="WP DCF Prices HighLow"/>
      <sheetName val="WP MKTRP PRPM 04-2021"/>
      <sheetName val="WP1 MB"/>
      <sheetName val="WP2 MB"/>
      <sheetName val="WP3 MB"/>
      <sheetName val="WP1 CPI, ROE, Gvt Bond Cor"/>
      <sheetName val="WP2 CPI, ROE, Gvt Bond Cor"/>
      <sheetName val="WP3 CPI, ROE, Gvt Bond Cor"/>
      <sheetName val="Input"/>
      <sheetName val="Market Data"/>
      <sheetName val="Proxy Data Lookup"/>
      <sheetName val="Proxy Price Data"/>
      <sheetName val="Proxy Prices"/>
      <sheetName val="CEM Data Lookup"/>
      <sheetName val="CEM Price Data"/>
      <sheetName val="CEM PricesDivs"/>
      <sheetName val="MRP WP1"/>
      <sheetName val="MRP WP2"/>
      <sheetName val="MRP WP3"/>
      <sheetName val="ERP WP1"/>
      <sheetName val="ERP WP 2"/>
      <sheetName val="MRP ERP WP"/>
      <sheetName val="PRPM WP1"/>
      <sheetName val="3. LNT"/>
      <sheetName val="3. AEE"/>
      <sheetName val="3. DUK"/>
      <sheetName val="3. EIX"/>
      <sheetName val="3. ETR"/>
      <sheetName val="3. EVRG"/>
      <sheetName val="3. ES"/>
      <sheetName val="3. IDA"/>
      <sheetName val="3. NWE"/>
      <sheetName val="3. OGE"/>
      <sheetName val="3. OTTR"/>
      <sheetName val="3. PNW"/>
      <sheetName val="3. POR"/>
      <sheetName val="3. X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Groups"/>
      <sheetName val="Company Data Inputs"/>
      <sheetName val="Schedule 2"/>
      <sheetName val=" Schedule 2"/>
      <sheetName val="  Schedule 2"/>
      <sheetName val="Schedule 3"/>
      <sheetName val="Schedule 4"/>
      <sheetName val="Schedule 5"/>
      <sheetName val=" Schedule 5"/>
      <sheetName val="  Schedule 5"/>
      <sheetName val="Schedule 6"/>
      <sheetName val="Schedule 7"/>
      <sheetName val="Schedule 8"/>
      <sheetName val=" Schedule 8"/>
      <sheetName val="  Schedule 8"/>
      <sheetName val="   Schedule 8"/>
      <sheetName val="Schedule 9"/>
      <sheetName val="Schedule 10"/>
      <sheetName val="Schedule 11"/>
      <sheetName val=" Schedule 11"/>
      <sheetName val="Schedule 12"/>
      <sheetName val="Schedule 13"/>
      <sheetName val="Schedule 14"/>
      <sheetName val="Schedule 15"/>
      <sheetName val="Schedule 16"/>
      <sheetName val="W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ower_NaturalGas_Coal_cos"/>
    </sheetNames>
    <sheetDataSet>
      <sheetData sheetId="0"/>
      <sheetData sheetId="1">
        <row r="8">
          <cell r="C8" t="str">
            <v>Access Midstream Partners, L.P.</v>
          </cell>
        </row>
        <row r="9">
          <cell r="C9" t="str">
            <v>Adams Resources &amp; Energy, Inc.</v>
          </cell>
        </row>
        <row r="10">
          <cell r="C10" t="str">
            <v>AEP Generating Company</v>
          </cell>
        </row>
        <row r="11">
          <cell r="C11" t="str">
            <v>AEP Texas Central Company</v>
          </cell>
        </row>
        <row r="12">
          <cell r="C12" t="str">
            <v>AEP Texas North Company</v>
          </cell>
        </row>
        <row r="13">
          <cell r="C13" t="str">
            <v>AES Corporation</v>
          </cell>
        </row>
        <row r="14">
          <cell r="C14" t="str">
            <v>AGL Resources Inc.</v>
          </cell>
        </row>
        <row r="15">
          <cell r="C15" t="str">
            <v>Alabama Gas Corporation</v>
          </cell>
        </row>
        <row r="16">
          <cell r="C16" t="str">
            <v>Alabama Power Company</v>
          </cell>
        </row>
        <row r="17">
          <cell r="C17" t="str">
            <v>Algonquin Power &amp; Utilities Corp.</v>
          </cell>
        </row>
        <row r="18">
          <cell r="C18" t="str">
            <v>Allegheny Energy Supply Company, LLC</v>
          </cell>
        </row>
        <row r="19">
          <cell r="C19" t="str">
            <v>Allegheny Generating Company</v>
          </cell>
        </row>
        <row r="20">
          <cell r="C20" t="str">
            <v>ALLETE, Inc.</v>
          </cell>
        </row>
        <row r="21">
          <cell r="C21" t="str">
            <v>Alliance Holdings GP, L.P.</v>
          </cell>
        </row>
        <row r="22">
          <cell r="C22" t="str">
            <v>Alliance Pipeline Limited Partnership</v>
          </cell>
        </row>
        <row r="23">
          <cell r="C23" t="str">
            <v>Alliance Resource Partners, L.P.</v>
          </cell>
        </row>
        <row r="24">
          <cell r="C24" t="str">
            <v>Alliant Energy Corporation</v>
          </cell>
        </row>
        <row r="25">
          <cell r="C25" t="str">
            <v>Alpha Natural Resources, Inc.</v>
          </cell>
        </row>
        <row r="26">
          <cell r="C26" t="str">
            <v>AltaGas Ltd.</v>
          </cell>
        </row>
        <row r="27">
          <cell r="C27" t="str">
            <v>AltaLink, L.P.</v>
          </cell>
        </row>
        <row r="28">
          <cell r="C28" t="str">
            <v>Ameren Corporation</v>
          </cell>
        </row>
        <row r="29">
          <cell r="C29" t="str">
            <v>Ameren Energy Generating Company</v>
          </cell>
        </row>
        <row r="30">
          <cell r="C30" t="str">
            <v>Ameren Illinois Company</v>
          </cell>
        </row>
        <row r="31">
          <cell r="C31" t="str">
            <v>American Electric Power Company, Inc.</v>
          </cell>
        </row>
        <row r="32">
          <cell r="C32" t="str">
            <v>American Midstream Partners, LP</v>
          </cell>
        </row>
        <row r="33">
          <cell r="C33" t="str">
            <v>American Transmission Systems, Incorporated</v>
          </cell>
        </row>
        <row r="34">
          <cell r="C34" t="str">
            <v>AmeriGas Partners, L.P.</v>
          </cell>
        </row>
        <row r="35">
          <cell r="C35" t="str">
            <v>Appalachian Power Company</v>
          </cell>
        </row>
        <row r="36">
          <cell r="C36" t="str">
            <v>Arch Coal, Inc.</v>
          </cell>
        </row>
        <row r="37">
          <cell r="C37" t="str">
            <v>Arch Western Resources, LLC</v>
          </cell>
        </row>
        <row r="38">
          <cell r="C38" t="str">
            <v>Arizona Public Service Company</v>
          </cell>
        </row>
        <row r="39">
          <cell r="C39" t="str">
            <v>ATCO Limited</v>
          </cell>
        </row>
        <row r="40">
          <cell r="C40" t="str">
            <v>Atlantic City Electric Company</v>
          </cell>
        </row>
        <row r="41">
          <cell r="C41" t="str">
            <v>Atlantic Power Corporation</v>
          </cell>
        </row>
        <row r="42">
          <cell r="C42" t="str">
            <v>Atlas Energy, L.P.</v>
          </cell>
        </row>
        <row r="43">
          <cell r="C43" t="str">
            <v>Atlas Pipeline Partners, L.P.</v>
          </cell>
        </row>
        <row r="44">
          <cell r="C44" t="str">
            <v>Atmos Energy Corporation</v>
          </cell>
        </row>
        <row r="45">
          <cell r="C45" t="str">
            <v>Avista Corporation</v>
          </cell>
        </row>
        <row r="46">
          <cell r="C46" t="str">
            <v>Baltimore Gas and Electric Company</v>
          </cell>
        </row>
        <row r="47">
          <cell r="C47" t="str">
            <v>BC Hydro and Power Authority</v>
          </cell>
        </row>
        <row r="48">
          <cell r="C48" t="str">
            <v>Berkshire Gas Company</v>
          </cell>
        </row>
        <row r="49">
          <cell r="C49" t="str">
            <v>Black Hills Corporation</v>
          </cell>
        </row>
        <row r="50">
          <cell r="C50" t="str">
            <v>Black Hills Power, Inc.</v>
          </cell>
        </row>
        <row r="51">
          <cell r="C51" t="str">
            <v>Blueknight Energy Partners, L.P.</v>
          </cell>
        </row>
        <row r="52">
          <cell r="C52" t="str">
            <v>Boardwalk Pipeline Partners, LP</v>
          </cell>
        </row>
        <row r="53">
          <cell r="C53" t="str">
            <v>Bonneville Power Administration</v>
          </cell>
        </row>
        <row r="54">
          <cell r="C54" t="str">
            <v>Boralex Inc.</v>
          </cell>
        </row>
        <row r="55">
          <cell r="C55" t="str">
            <v>BreitBurn Energy Partners L.P.</v>
          </cell>
        </row>
        <row r="56">
          <cell r="C56" t="str">
            <v>Brookfield Renewable Energy Partners L.P.</v>
          </cell>
        </row>
        <row r="57">
          <cell r="C57" t="str">
            <v>Brookfield Renewable Power Inc.</v>
          </cell>
        </row>
        <row r="58">
          <cell r="C58" t="str">
            <v>Buckeye Partners, L.P.</v>
          </cell>
        </row>
        <row r="59">
          <cell r="C59" t="str">
            <v>Calpine Corporation</v>
          </cell>
        </row>
        <row r="60">
          <cell r="C60" t="str">
            <v>Calumet Specialty Products Partners, L.P.</v>
          </cell>
        </row>
        <row r="61">
          <cell r="C61" t="str">
            <v>Canadian Utilities Limited</v>
          </cell>
        </row>
        <row r="62">
          <cell r="C62" t="str">
            <v>Capital Power Corporation</v>
          </cell>
        </row>
        <row r="63">
          <cell r="C63" t="str">
            <v>Capital Power L.P.</v>
          </cell>
        </row>
        <row r="64">
          <cell r="C64" t="str">
            <v>Capstone Infrastructure Corporation</v>
          </cell>
        </row>
        <row r="65">
          <cell r="C65" t="str">
            <v>Caribbean Utilities Company, Ltd.</v>
          </cell>
        </row>
        <row r="66">
          <cell r="C66" t="str">
            <v>Carolina Power &amp; Light Company</v>
          </cell>
        </row>
        <row r="67">
          <cell r="C67" t="str">
            <v>CE Generation, LLC</v>
          </cell>
        </row>
        <row r="68">
          <cell r="C68" t="str">
            <v>CenterPoint Energy Houston Electric, LLC</v>
          </cell>
        </row>
        <row r="69">
          <cell r="C69" t="str">
            <v>CenterPoint Energy Resources Corp.</v>
          </cell>
        </row>
        <row r="70">
          <cell r="C70" t="str">
            <v>CenterPoint Energy, Inc.</v>
          </cell>
        </row>
        <row r="71">
          <cell r="C71" t="str">
            <v>Central Energy Partners LP</v>
          </cell>
        </row>
        <row r="72">
          <cell r="C72" t="str">
            <v>Central Hudson Gas &amp; Electric Corporation</v>
          </cell>
        </row>
        <row r="73">
          <cell r="C73" t="str">
            <v>Central Maine Power Company</v>
          </cell>
        </row>
        <row r="74">
          <cell r="C74" t="str">
            <v>CH Energy Group, Inc.</v>
          </cell>
        </row>
        <row r="75">
          <cell r="C75" t="str">
            <v>Chelan County Public Utility District No. 1</v>
          </cell>
        </row>
        <row r="76">
          <cell r="C76" t="str">
            <v>Cheniere Energy Partners, L.P.</v>
          </cell>
        </row>
        <row r="77">
          <cell r="C77" t="str">
            <v>Cheniere Energy, Inc.</v>
          </cell>
        </row>
        <row r="78">
          <cell r="C78" t="str">
            <v>Chesapeake Utilities Corporation</v>
          </cell>
        </row>
        <row r="79">
          <cell r="C79" t="str">
            <v>Chugach Electric Association, Inc.</v>
          </cell>
        </row>
        <row r="80">
          <cell r="C80" t="str">
            <v>Clark Public Utilities</v>
          </cell>
        </row>
        <row r="81">
          <cell r="C81" t="str">
            <v>Cleco Corporation</v>
          </cell>
        </row>
        <row r="82">
          <cell r="C82" t="str">
            <v>Cleco Power LLC</v>
          </cell>
        </row>
        <row r="83">
          <cell r="C83" t="str">
            <v>Cleveland Electric Illuminating Company</v>
          </cell>
        </row>
        <row r="84">
          <cell r="C84" t="str">
            <v>Cloud Peak Energy Inc.</v>
          </cell>
        </row>
        <row r="85">
          <cell r="C85" t="str">
            <v>CMS Energy Corporation</v>
          </cell>
        </row>
        <row r="86">
          <cell r="C86" t="str">
            <v>Colorado Interstate Gas Company, L.L.C.</v>
          </cell>
        </row>
        <row r="87">
          <cell r="C87" t="str">
            <v>Colorado Springs Utilities</v>
          </cell>
        </row>
        <row r="88">
          <cell r="C88" t="str">
            <v>Commonwealth Edison Company</v>
          </cell>
        </row>
        <row r="89">
          <cell r="C89" t="str">
            <v>Connecticut Light and Power Company</v>
          </cell>
        </row>
        <row r="90">
          <cell r="C90" t="str">
            <v>Connecticut Natural Gas Corporation</v>
          </cell>
        </row>
        <row r="91">
          <cell r="C91" t="str">
            <v>CONSOL Energy Inc.</v>
          </cell>
        </row>
        <row r="92">
          <cell r="C92" t="str">
            <v>Consolidated Edison Company of New York, Inc.</v>
          </cell>
        </row>
        <row r="93">
          <cell r="C93" t="str">
            <v>Consolidated Edison, Inc.</v>
          </cell>
        </row>
        <row r="94">
          <cell r="C94" t="str">
            <v>Constellation Energy Partners LLC</v>
          </cell>
        </row>
        <row r="95">
          <cell r="C95" t="str">
            <v>Consumers Energy Company</v>
          </cell>
        </row>
        <row r="96">
          <cell r="C96" t="str">
            <v>Copano Energy, L.L.C.</v>
          </cell>
        </row>
        <row r="97">
          <cell r="C97" t="str">
            <v>Corning Natural Gas Corporation</v>
          </cell>
        </row>
        <row r="98">
          <cell r="C98" t="str">
            <v>Covanta Holding Corporation</v>
          </cell>
        </row>
        <row r="99">
          <cell r="C99" t="str">
            <v>CPS Energy</v>
          </cell>
        </row>
        <row r="100">
          <cell r="C100" t="str">
            <v>Crestwood Midstream Partners LP</v>
          </cell>
        </row>
        <row r="101">
          <cell r="C101" t="str">
            <v>Crosstex Energy, Inc.</v>
          </cell>
        </row>
        <row r="102">
          <cell r="C102" t="str">
            <v>Crosstex Energy, L.P.</v>
          </cell>
        </row>
        <row r="103">
          <cell r="C103" t="str">
            <v>Dayton Power and Light Company</v>
          </cell>
        </row>
        <row r="104">
          <cell r="C104" t="str">
            <v>DCP Midstream Partners, LP</v>
          </cell>
        </row>
        <row r="105">
          <cell r="C105" t="str">
            <v>Delmarva Power &amp; Light Company</v>
          </cell>
        </row>
        <row r="106">
          <cell r="C106" t="str">
            <v>Delta Natural Gas Company, Inc.</v>
          </cell>
        </row>
        <row r="107">
          <cell r="C107" t="str">
            <v>Dominion Resources, Inc.</v>
          </cell>
        </row>
        <row r="108">
          <cell r="C108" t="str">
            <v>Dorchester Minerals, L.P.</v>
          </cell>
        </row>
        <row r="109">
          <cell r="C109" t="str">
            <v>DPL Inc.</v>
          </cell>
        </row>
        <row r="110">
          <cell r="C110" t="str">
            <v>DTE Electric Company</v>
          </cell>
        </row>
        <row r="111">
          <cell r="C111" t="str">
            <v>DTE Energy Company</v>
          </cell>
        </row>
        <row r="112">
          <cell r="C112" t="str">
            <v>DTE Gas Company</v>
          </cell>
        </row>
        <row r="113">
          <cell r="C113" t="str">
            <v>Duke Energy Carolinas, LLC</v>
          </cell>
        </row>
        <row r="114">
          <cell r="C114" t="str">
            <v>Duke Energy Corporation</v>
          </cell>
        </row>
        <row r="115">
          <cell r="C115" t="str">
            <v>Duke Energy Indiana, Inc.</v>
          </cell>
        </row>
        <row r="116">
          <cell r="C116" t="str">
            <v>Duke Energy Kentucky, Inc.</v>
          </cell>
        </row>
        <row r="117">
          <cell r="C117" t="str">
            <v>Duke Energy Ohio, Inc.</v>
          </cell>
        </row>
        <row r="118">
          <cell r="C118" t="str">
            <v>Dynegy Inc.</v>
          </cell>
        </row>
        <row r="119">
          <cell r="C119" t="str">
            <v>Eagle Rock Energy Partners, L.P.</v>
          </cell>
        </row>
        <row r="120">
          <cell r="C120" t="str">
            <v>Edison International</v>
          </cell>
        </row>
        <row r="121">
          <cell r="C121" t="str">
            <v>Edison Mission Energy</v>
          </cell>
        </row>
        <row r="122">
          <cell r="C122" t="str">
            <v>El Paso Electric Company</v>
          </cell>
        </row>
        <row r="123">
          <cell r="C123" t="str">
            <v>El Paso Natural Gas Company, L.L.C.</v>
          </cell>
        </row>
        <row r="124">
          <cell r="C124" t="str">
            <v>El Paso Pipeline Partners, L.P.</v>
          </cell>
        </row>
        <row r="125">
          <cell r="C125" t="str">
            <v>EME Homer City Generation L.P.</v>
          </cell>
        </row>
        <row r="126">
          <cell r="C126" t="str">
            <v>Emera Incorporated</v>
          </cell>
        </row>
        <row r="127">
          <cell r="C127" t="str">
            <v>Empire District Electric Company</v>
          </cell>
        </row>
        <row r="128">
          <cell r="C128" t="str">
            <v>Enbridge Energy Management, L.L.C.</v>
          </cell>
        </row>
        <row r="129">
          <cell r="C129" t="str">
            <v>Enbridge Energy Partners, L.P.</v>
          </cell>
        </row>
        <row r="130">
          <cell r="C130" t="str">
            <v>Enbridge Gas Distribution Inc.</v>
          </cell>
        </row>
        <row r="131">
          <cell r="C131" t="str">
            <v>Enbridge Inc.</v>
          </cell>
        </row>
        <row r="132">
          <cell r="C132" t="str">
            <v>Enbridge Income Fund</v>
          </cell>
        </row>
        <row r="133">
          <cell r="C133" t="str">
            <v>Enbridge Income Fund Holdings Inc.</v>
          </cell>
        </row>
        <row r="134">
          <cell r="C134" t="str">
            <v>Enbridge Pipelines Inc.</v>
          </cell>
        </row>
        <row r="135">
          <cell r="C135" t="str">
            <v>Energen Corporation</v>
          </cell>
        </row>
        <row r="136">
          <cell r="C136" t="str">
            <v>Energy Future Competitive Holdings Company</v>
          </cell>
        </row>
        <row r="137">
          <cell r="C137" t="str">
            <v>Energy Future Holdings Corp.</v>
          </cell>
        </row>
        <row r="138">
          <cell r="C138" t="str">
            <v>Energy Transfer Equity, L.P.</v>
          </cell>
        </row>
        <row r="139">
          <cell r="C139" t="str">
            <v>Energy Transfer Partners, L.P.</v>
          </cell>
        </row>
        <row r="140">
          <cell r="C140" t="str">
            <v>Enersource Corporation</v>
          </cell>
        </row>
        <row r="141">
          <cell r="C141" t="str">
            <v>ENMAX Corporation</v>
          </cell>
        </row>
        <row r="142">
          <cell r="C142" t="str">
            <v>Entergy Arkansas, Inc.</v>
          </cell>
        </row>
        <row r="143">
          <cell r="C143" t="str">
            <v>Entergy Corporation</v>
          </cell>
        </row>
        <row r="144">
          <cell r="C144" t="str">
            <v>Entergy Gulf States Louisiana, L.L.C.</v>
          </cell>
        </row>
        <row r="145">
          <cell r="C145" t="str">
            <v>Entergy Louisiana, LLC</v>
          </cell>
        </row>
        <row r="146">
          <cell r="C146" t="str">
            <v>Entergy Mississippi, Inc.</v>
          </cell>
        </row>
        <row r="147">
          <cell r="C147" t="str">
            <v>Entergy New Orleans, Inc.</v>
          </cell>
        </row>
        <row r="148">
          <cell r="C148" t="str">
            <v>Entergy Texas, Inc.</v>
          </cell>
        </row>
        <row r="149">
          <cell r="C149" t="str">
            <v>Enterprise Products Partners L.P.</v>
          </cell>
        </row>
        <row r="150">
          <cell r="C150" t="str">
            <v>EPCOR Utilities Inc.</v>
          </cell>
        </row>
        <row r="151">
          <cell r="C151" t="str">
            <v>EQT Corporation</v>
          </cell>
        </row>
        <row r="152">
          <cell r="C152" t="str">
            <v>EQT Midstream Partners, LP</v>
          </cell>
        </row>
        <row r="153">
          <cell r="C153" t="str">
            <v>EV Energy Partners, L.P.</v>
          </cell>
        </row>
        <row r="154">
          <cell r="C154" t="str">
            <v>Exelon Corporation</v>
          </cell>
        </row>
        <row r="155">
          <cell r="C155" t="str">
            <v>Exelon Generation Company, LLC</v>
          </cell>
        </row>
        <row r="156">
          <cell r="C156" t="str">
            <v>Exterran Holdings, Inc.</v>
          </cell>
        </row>
        <row r="157">
          <cell r="C157" t="str">
            <v>Exterran Partners, L.P.</v>
          </cell>
        </row>
        <row r="158">
          <cell r="C158" t="str">
            <v>Ferrellgas Partners, L.P.</v>
          </cell>
        </row>
        <row r="159">
          <cell r="C159" t="str">
            <v>Ferrellgas, L.P.</v>
          </cell>
        </row>
        <row r="160">
          <cell r="C160" t="str">
            <v>FirstEnergy Corp.</v>
          </cell>
        </row>
        <row r="161">
          <cell r="C161" t="str">
            <v>FirstEnergy Solutions Corporation</v>
          </cell>
        </row>
        <row r="162">
          <cell r="C162" t="str">
            <v>FirstEnergy Transmission, LLC</v>
          </cell>
        </row>
        <row r="163">
          <cell r="C163" t="str">
            <v>Florida Power &amp; Light Company</v>
          </cell>
        </row>
        <row r="164">
          <cell r="C164" t="str">
            <v>Florida Power Corporation</v>
          </cell>
        </row>
        <row r="165">
          <cell r="C165" t="str">
            <v>Foresight Energy Partners LP</v>
          </cell>
        </row>
        <row r="166">
          <cell r="C166" t="str">
            <v>Fortis Inc.</v>
          </cell>
        </row>
        <row r="167">
          <cell r="C167" t="str">
            <v>FortisAlberta Inc.</v>
          </cell>
        </row>
        <row r="168">
          <cell r="C168" t="str">
            <v>FortisBC Energy Inc.</v>
          </cell>
        </row>
        <row r="169">
          <cell r="C169" t="str">
            <v>FortisBC Inc.</v>
          </cell>
        </row>
        <row r="170">
          <cell r="C170" t="str">
            <v>Gas Natural Inc.</v>
          </cell>
        </row>
        <row r="171">
          <cell r="C171" t="str">
            <v>Gateway Energy Corporation</v>
          </cell>
        </row>
        <row r="172">
          <cell r="C172" t="str">
            <v>Gaz Métro Limited Partnership</v>
          </cell>
        </row>
        <row r="173">
          <cell r="C173" t="str">
            <v>Genesis Energy, L.P.</v>
          </cell>
        </row>
        <row r="174">
          <cell r="C174" t="str">
            <v>GenOn Americas Generation, LLC</v>
          </cell>
        </row>
        <row r="175">
          <cell r="C175" t="str">
            <v>GenOn Energy, Inc.</v>
          </cell>
        </row>
        <row r="176">
          <cell r="C176" t="str">
            <v>GenOn Mid-Atlantic, LLC</v>
          </cell>
        </row>
        <row r="177">
          <cell r="C177" t="str">
            <v>GenOn REMA, LLC</v>
          </cell>
        </row>
        <row r="178">
          <cell r="C178" t="str">
            <v>Georgia Power Company</v>
          </cell>
        </row>
        <row r="179">
          <cell r="C179" t="str">
            <v>Global Partners LP</v>
          </cell>
        </row>
        <row r="180">
          <cell r="C180" t="str">
            <v>Grande Cache Coal Corporation</v>
          </cell>
        </row>
        <row r="181">
          <cell r="C181" t="str">
            <v>Great Plains Energy Inc.</v>
          </cell>
        </row>
        <row r="182">
          <cell r="C182" t="str">
            <v>Gulf Power Company</v>
          </cell>
        </row>
        <row r="183">
          <cell r="C183" t="str">
            <v>Hallador Energy Company</v>
          </cell>
        </row>
        <row r="184">
          <cell r="C184" t="str">
            <v>Hamilton Utilities Corporation</v>
          </cell>
        </row>
        <row r="185">
          <cell r="C185" t="str">
            <v>Hawaiian Electric Company, Inc.</v>
          </cell>
        </row>
        <row r="186">
          <cell r="C186" t="str">
            <v>Hawaiian Electric Industries, Inc.</v>
          </cell>
        </row>
        <row r="187">
          <cell r="C187" t="str">
            <v>Holly Energy Partners, L.P.</v>
          </cell>
        </row>
        <row r="188">
          <cell r="C188" t="str">
            <v>Hydro One Inc.</v>
          </cell>
        </row>
        <row r="189">
          <cell r="C189" t="str">
            <v>Hydro Ottawa Holding Inc.</v>
          </cell>
        </row>
        <row r="190">
          <cell r="C190" t="str">
            <v>Hydro-Québec</v>
          </cell>
        </row>
        <row r="191">
          <cell r="C191" t="str">
            <v>Iberdrola USA, Inc.</v>
          </cell>
        </row>
        <row r="192">
          <cell r="C192" t="str">
            <v>IDACORP, Inc.</v>
          </cell>
        </row>
        <row r="193">
          <cell r="C193" t="str">
            <v>Idaho Power Co.</v>
          </cell>
        </row>
        <row r="194">
          <cell r="C194" t="str">
            <v>Indiana Gas Company, Inc.</v>
          </cell>
        </row>
        <row r="195">
          <cell r="C195" t="str">
            <v>Indiana Michigan Power Company</v>
          </cell>
        </row>
        <row r="196">
          <cell r="C196" t="str">
            <v>Indianapolis Power &amp; Light Company</v>
          </cell>
        </row>
        <row r="197">
          <cell r="C197" t="str">
            <v>Inergy Midstream, L.P.</v>
          </cell>
        </row>
        <row r="198">
          <cell r="C198" t="str">
            <v>Inergy, L.P.</v>
          </cell>
        </row>
        <row r="199">
          <cell r="C199" t="str">
            <v>Innergex Renewable Energy Inc.</v>
          </cell>
        </row>
        <row r="200">
          <cell r="C200" t="str">
            <v>Integrys Energy Group, Inc.</v>
          </cell>
        </row>
        <row r="201">
          <cell r="C201" t="str">
            <v>Inter Pipeline Fund</v>
          </cell>
        </row>
        <row r="202">
          <cell r="C202" t="str">
            <v>Interstate Power and Light Company</v>
          </cell>
        </row>
        <row r="203">
          <cell r="C203" t="str">
            <v>IPALCO Enterprises, Inc.</v>
          </cell>
        </row>
        <row r="204">
          <cell r="C204" t="str">
            <v>ITC Holdings Corp.</v>
          </cell>
        </row>
        <row r="205">
          <cell r="C205" t="str">
            <v>James River Coal Company</v>
          </cell>
        </row>
        <row r="206">
          <cell r="C206" t="str">
            <v>JEA</v>
          </cell>
        </row>
        <row r="207">
          <cell r="C207" t="str">
            <v>Jersey Central Power &amp; Light Company</v>
          </cell>
        </row>
        <row r="208">
          <cell r="C208" t="str">
            <v>Kansas City Power &amp; Light Company</v>
          </cell>
        </row>
        <row r="209">
          <cell r="C209" t="str">
            <v>Kentucky Power Company</v>
          </cell>
        </row>
        <row r="210">
          <cell r="C210" t="str">
            <v>Kentucky Utilities Company</v>
          </cell>
        </row>
        <row r="211">
          <cell r="C211" t="str">
            <v>Keyera Corp.</v>
          </cell>
        </row>
        <row r="212">
          <cell r="C212" t="str">
            <v>Kinder Morgan Energy Partners, L.P.</v>
          </cell>
        </row>
        <row r="213">
          <cell r="C213" t="str">
            <v>Kinder Morgan Inc.</v>
          </cell>
        </row>
        <row r="214">
          <cell r="C214" t="str">
            <v>Kinder Morgan Management, LLC</v>
          </cell>
        </row>
        <row r="215">
          <cell r="C215" t="str">
            <v>Laclede Gas Company</v>
          </cell>
        </row>
        <row r="216">
          <cell r="C216" t="str">
            <v>Laclede Group, Inc. (The)</v>
          </cell>
        </row>
        <row r="217">
          <cell r="C217" t="str">
            <v>Legacy Reserves LP</v>
          </cell>
        </row>
        <row r="218">
          <cell r="C218" t="str">
            <v>LG&amp;E and KU Energy LLC</v>
          </cell>
        </row>
        <row r="219">
          <cell r="C219" t="str">
            <v>Linn Energy, LLC</v>
          </cell>
        </row>
        <row r="220">
          <cell r="C220" t="str">
            <v>Long Island Power Authority</v>
          </cell>
        </row>
        <row r="221">
          <cell r="C221" t="str">
            <v>Los Angeles Department of Water and Power</v>
          </cell>
        </row>
        <row r="222">
          <cell r="C222" t="str">
            <v>Louisville Gas and Electric Company</v>
          </cell>
        </row>
        <row r="223">
          <cell r="C223" t="str">
            <v>Lower Colorado River Authority</v>
          </cell>
        </row>
        <row r="224">
          <cell r="C224" t="str">
            <v>Madison Gas and Electric Company</v>
          </cell>
        </row>
        <row r="225">
          <cell r="C225" t="str">
            <v>Magellan Midstream Partners, L.P.</v>
          </cell>
        </row>
        <row r="226">
          <cell r="C226" t="str">
            <v>Manitoba Hydro</v>
          </cell>
        </row>
        <row r="227">
          <cell r="C227" t="str">
            <v>MarkWest Energy Partners, L.P.</v>
          </cell>
        </row>
        <row r="228">
          <cell r="C228" t="str">
            <v>Martin Midstream Partners L.P.</v>
          </cell>
        </row>
        <row r="229">
          <cell r="C229" t="str">
            <v>Maxim Power Corporation</v>
          </cell>
        </row>
        <row r="230">
          <cell r="C230" t="str">
            <v>MDU Resources Group, Inc.</v>
          </cell>
        </row>
        <row r="231">
          <cell r="C231" t="str">
            <v>Memphis Light, Gas and Water Division</v>
          </cell>
        </row>
        <row r="232">
          <cell r="C232" t="str">
            <v>Metropolitan Edison Company</v>
          </cell>
        </row>
        <row r="233">
          <cell r="C233" t="str">
            <v>MGE Energy, Inc.</v>
          </cell>
        </row>
        <row r="234">
          <cell r="C234" t="str">
            <v>MidAmerican Energy Company</v>
          </cell>
        </row>
        <row r="235">
          <cell r="C235" t="str">
            <v>MidAmerican Energy Holdings Company</v>
          </cell>
        </row>
        <row r="236">
          <cell r="C236" t="str">
            <v>MidAmerican Funding, LLC</v>
          </cell>
        </row>
        <row r="237">
          <cell r="C237" t="str">
            <v>Midwest Generation, LLC</v>
          </cell>
        </row>
        <row r="238">
          <cell r="C238" t="str">
            <v>Mississippi Power Company</v>
          </cell>
        </row>
        <row r="239">
          <cell r="C239" t="str">
            <v>Monongahela Power Company</v>
          </cell>
        </row>
        <row r="240">
          <cell r="C240" t="str">
            <v>MPLX LP</v>
          </cell>
        </row>
        <row r="241">
          <cell r="C241" t="str">
            <v>Municipal Electric Authority of Georgia</v>
          </cell>
        </row>
        <row r="242">
          <cell r="C242" t="str">
            <v>National Fuel Gas Company</v>
          </cell>
        </row>
        <row r="243">
          <cell r="C243" t="str">
            <v>Natural Resource Partners L.P.</v>
          </cell>
        </row>
        <row r="244">
          <cell r="C244" t="str">
            <v>Nebraska Public Power District</v>
          </cell>
        </row>
        <row r="245">
          <cell r="C245" t="str">
            <v>Nevada Power Company</v>
          </cell>
        </row>
        <row r="246">
          <cell r="C246" t="str">
            <v>New Brunswick Power Holding Corporation</v>
          </cell>
        </row>
        <row r="247">
          <cell r="C247" t="str">
            <v>New Jersey Natural Gas Company</v>
          </cell>
        </row>
        <row r="248">
          <cell r="C248" t="str">
            <v>New Jersey Resources Corporation</v>
          </cell>
        </row>
        <row r="249">
          <cell r="C249" t="str">
            <v>New Source Energy Partners L.P.</v>
          </cell>
        </row>
        <row r="250">
          <cell r="C250" t="str">
            <v>New York Power Authority</v>
          </cell>
        </row>
        <row r="251">
          <cell r="C251" t="str">
            <v>New York State Electric &amp; Gas Corporation</v>
          </cell>
        </row>
        <row r="252">
          <cell r="C252" t="str">
            <v>Newfoundland and Labrador Hydro</v>
          </cell>
        </row>
        <row r="253">
          <cell r="C253" t="str">
            <v>Newfoundland Power Inc.</v>
          </cell>
        </row>
        <row r="254">
          <cell r="C254" t="str">
            <v>NextEra Energy Resources LLC</v>
          </cell>
        </row>
        <row r="255">
          <cell r="C255" t="str">
            <v>NextEra Energy, Inc.</v>
          </cell>
        </row>
        <row r="256">
          <cell r="C256" t="str">
            <v>NGL Energy Partners LP</v>
          </cell>
        </row>
        <row r="257">
          <cell r="C257" t="str">
            <v>Niska Gas Storage Partners LLC</v>
          </cell>
        </row>
        <row r="258">
          <cell r="C258" t="str">
            <v>NiSource Inc.</v>
          </cell>
        </row>
        <row r="259">
          <cell r="C259" t="str">
            <v>North Shore Gas Company</v>
          </cell>
        </row>
        <row r="260">
          <cell r="C260" t="str">
            <v>Northeast Utilities</v>
          </cell>
        </row>
        <row r="261">
          <cell r="C261" t="str">
            <v>Northern Border Pipeline Company</v>
          </cell>
        </row>
        <row r="262">
          <cell r="C262" t="str">
            <v>Northern Illinois Gas Company</v>
          </cell>
        </row>
        <row r="263">
          <cell r="C263" t="str">
            <v>Northern States Power Company - MN</v>
          </cell>
        </row>
        <row r="264">
          <cell r="C264" t="str">
            <v>Northern States Power Company - WI</v>
          </cell>
        </row>
        <row r="265">
          <cell r="C265" t="str">
            <v>Northwest Natural Gas Company</v>
          </cell>
        </row>
        <row r="266">
          <cell r="C266" t="str">
            <v>Northwest Pipeline GP</v>
          </cell>
        </row>
        <row r="267">
          <cell r="C267" t="str">
            <v>Northwest Territories Power Corporation</v>
          </cell>
        </row>
        <row r="268">
          <cell r="C268" t="str">
            <v>NorthWestern Corporation</v>
          </cell>
        </row>
        <row r="269">
          <cell r="C269" t="str">
            <v>NOVA Gas Transmission Ltd.</v>
          </cell>
        </row>
        <row r="270">
          <cell r="C270" t="str">
            <v>Nova Scotia Power Incorporated</v>
          </cell>
        </row>
        <row r="271">
          <cell r="C271" t="str">
            <v>NRG Energy, Inc.</v>
          </cell>
        </row>
        <row r="272">
          <cell r="C272" t="str">
            <v>NSTAR Electric Company</v>
          </cell>
        </row>
        <row r="273">
          <cell r="C273" t="str">
            <v>NuStar Energy L.P.</v>
          </cell>
        </row>
        <row r="274">
          <cell r="C274" t="str">
            <v>NuStar GP Holdings, LLC</v>
          </cell>
        </row>
        <row r="275">
          <cell r="C275" t="str">
            <v>NV Energy, Inc.</v>
          </cell>
        </row>
        <row r="276">
          <cell r="C276" t="str">
            <v>Oakville Hydro Corporation</v>
          </cell>
        </row>
        <row r="277">
          <cell r="C277" t="str">
            <v>OGE Energy Corp.</v>
          </cell>
        </row>
        <row r="278">
          <cell r="C278" t="str">
            <v>Oglethorpe Power Corporation</v>
          </cell>
        </row>
        <row r="279">
          <cell r="C279" t="str">
            <v>Ohio Edison Company</v>
          </cell>
        </row>
        <row r="280">
          <cell r="C280" t="str">
            <v>Ohio Power Company</v>
          </cell>
        </row>
        <row r="281">
          <cell r="C281" t="str">
            <v>Oiltanking Partners, L.P.</v>
          </cell>
        </row>
        <row r="282">
          <cell r="C282" t="str">
            <v>Oklahoma Gas and Electric Company</v>
          </cell>
        </row>
        <row r="283">
          <cell r="C283" t="str">
            <v>Old Dominion Electric Cooperative</v>
          </cell>
        </row>
        <row r="284">
          <cell r="C284" t="str">
            <v>Omaha Public Power District</v>
          </cell>
        </row>
        <row r="285">
          <cell r="C285" t="str">
            <v>Oncor Electric Delivery Company LLC</v>
          </cell>
        </row>
        <row r="286">
          <cell r="C286" t="str">
            <v>ONEOK Partners, L.P.</v>
          </cell>
        </row>
        <row r="287">
          <cell r="C287" t="str">
            <v>ONEOK, Inc.</v>
          </cell>
        </row>
        <row r="288">
          <cell r="C288" t="str">
            <v>Ontario Power Generation, Inc.</v>
          </cell>
        </row>
        <row r="289">
          <cell r="C289" t="str">
            <v>Orange and Rockland Utilities, Inc.</v>
          </cell>
        </row>
        <row r="290">
          <cell r="C290" t="str">
            <v>Orlando Utilities Commission</v>
          </cell>
        </row>
        <row r="291">
          <cell r="C291" t="str">
            <v>Ormat Technologies, Inc.</v>
          </cell>
        </row>
        <row r="292">
          <cell r="C292" t="str">
            <v>Otter Tail Corporation</v>
          </cell>
        </row>
        <row r="293">
          <cell r="C293" t="str">
            <v>Oxford Resource Partners, LP</v>
          </cell>
        </row>
        <row r="294">
          <cell r="C294" t="str">
            <v>PAA Natural Gas Storage, L.P.</v>
          </cell>
        </row>
        <row r="295">
          <cell r="C295" t="str">
            <v>Pacific Gas and Electric Company</v>
          </cell>
        </row>
        <row r="296">
          <cell r="C296" t="str">
            <v>Pacific Northern Gas Ltd.</v>
          </cell>
        </row>
        <row r="297">
          <cell r="C297" t="str">
            <v>PacifiCorp</v>
          </cell>
        </row>
        <row r="298">
          <cell r="C298" t="str">
            <v>Panhandle Eastern Pipe Line Company, LP</v>
          </cell>
        </row>
        <row r="299">
          <cell r="C299" t="str">
            <v>Patriot Coal Corporation</v>
          </cell>
        </row>
        <row r="300">
          <cell r="C300" t="str">
            <v>Peabody Energy Corporation</v>
          </cell>
        </row>
        <row r="301">
          <cell r="C301" t="str">
            <v>PECO Energy Company</v>
          </cell>
        </row>
        <row r="302">
          <cell r="C302" t="str">
            <v>Pembina Pipeline Corporation</v>
          </cell>
        </row>
        <row r="303">
          <cell r="C303" t="str">
            <v>Pennsylvania Electric Company</v>
          </cell>
        </row>
        <row r="304">
          <cell r="C304" t="str">
            <v>Pennsylvania Power Company</v>
          </cell>
        </row>
        <row r="305">
          <cell r="C305" t="str">
            <v>Pepco Holdings, Inc.</v>
          </cell>
        </row>
        <row r="306">
          <cell r="C306" t="str">
            <v>PG&amp;E Corporation</v>
          </cell>
        </row>
        <row r="307">
          <cell r="C307" t="str">
            <v>Piedmont Natural Gas Company, Inc.</v>
          </cell>
        </row>
        <row r="308">
          <cell r="C308" t="str">
            <v>Pinnacle West Capital Corporation</v>
          </cell>
        </row>
        <row r="309">
          <cell r="C309" t="str">
            <v>Plains All American Pipeline, L.P.</v>
          </cell>
        </row>
        <row r="310">
          <cell r="C310" t="str">
            <v>Platte River Power Authority</v>
          </cell>
        </row>
        <row r="311">
          <cell r="C311" t="str">
            <v>PNM Resources, Inc.</v>
          </cell>
        </row>
        <row r="312">
          <cell r="C312" t="str">
            <v>Portland General Electric Company</v>
          </cell>
        </row>
        <row r="313">
          <cell r="C313" t="str">
            <v>PostRock Energy Corporation</v>
          </cell>
        </row>
        <row r="314">
          <cell r="C314" t="str">
            <v>Potomac Edison Company</v>
          </cell>
        </row>
        <row r="315">
          <cell r="C315" t="str">
            <v>Potomac Electric Power Company</v>
          </cell>
        </row>
        <row r="316">
          <cell r="C316" t="str">
            <v>PPL Corporation</v>
          </cell>
        </row>
        <row r="317">
          <cell r="C317" t="str">
            <v>PPL Electric Utilities Corporation</v>
          </cell>
        </row>
        <row r="318">
          <cell r="C318" t="str">
            <v>PPL Energy Supply, LLC</v>
          </cell>
        </row>
        <row r="319">
          <cell r="C319" t="str">
            <v>Progress Energy, Inc.</v>
          </cell>
        </row>
        <row r="320">
          <cell r="C320" t="str">
            <v>PSEG Power LLC</v>
          </cell>
        </row>
        <row r="321">
          <cell r="C321" t="str">
            <v>Public Service Company of Colorado</v>
          </cell>
        </row>
        <row r="322">
          <cell r="C322" t="str">
            <v>Public Service Company of New Hampshire</v>
          </cell>
        </row>
        <row r="323">
          <cell r="C323" t="str">
            <v>Public Service Company of New Mexico</v>
          </cell>
        </row>
        <row r="324">
          <cell r="C324" t="str">
            <v>Public Service Company of North Carolina, Incorporated</v>
          </cell>
        </row>
        <row r="325">
          <cell r="C325" t="str">
            <v>Public Service Company of Oklahoma</v>
          </cell>
        </row>
        <row r="326">
          <cell r="C326" t="str">
            <v>Public Service Electric and Gas Company</v>
          </cell>
        </row>
        <row r="327">
          <cell r="C327" t="str">
            <v>Public Service Enterprise Group Incorporated</v>
          </cell>
        </row>
        <row r="328">
          <cell r="C328" t="str">
            <v>Puget Energy, Inc.</v>
          </cell>
        </row>
        <row r="329">
          <cell r="C329" t="str">
            <v>Puget Sound Energy, Inc.</v>
          </cell>
        </row>
        <row r="330">
          <cell r="C330" t="str">
            <v>PVR Partners, L.P.</v>
          </cell>
        </row>
        <row r="331">
          <cell r="C331" t="str">
            <v>QEP Resources, Inc.</v>
          </cell>
        </row>
        <row r="332">
          <cell r="C332" t="str">
            <v>QR Energy, LP</v>
          </cell>
        </row>
        <row r="333">
          <cell r="C333" t="str">
            <v>Questar Corporation</v>
          </cell>
        </row>
        <row r="334">
          <cell r="C334" t="str">
            <v>Questar Gas Company</v>
          </cell>
        </row>
        <row r="335">
          <cell r="C335" t="str">
            <v>Questar Pipeline Company</v>
          </cell>
        </row>
        <row r="336">
          <cell r="C336" t="str">
            <v>Regency Energy Partners LP</v>
          </cell>
        </row>
        <row r="337">
          <cell r="C337" t="str">
            <v>RGC Resources, Inc.</v>
          </cell>
        </row>
        <row r="338">
          <cell r="C338" t="str">
            <v>Rhino Resource Partners LP</v>
          </cell>
        </row>
        <row r="339">
          <cell r="C339" t="str">
            <v>Rochester Gas and Electric Corporation</v>
          </cell>
        </row>
        <row r="340">
          <cell r="C340" t="str">
            <v>Rose Rock Midstream, L.P.</v>
          </cell>
        </row>
        <row r="341">
          <cell r="C341" t="str">
            <v>Sacramento Municipal Utility District</v>
          </cell>
        </row>
        <row r="342">
          <cell r="C342" t="str">
            <v>Salt River Project</v>
          </cell>
        </row>
        <row r="343">
          <cell r="C343" t="str">
            <v>San Diego Gas &amp; Electric Co.</v>
          </cell>
        </row>
        <row r="344">
          <cell r="C344" t="str">
            <v>Saskatchewan Power Corporation</v>
          </cell>
        </row>
        <row r="345">
          <cell r="C345" t="str">
            <v>SCANA Corporation</v>
          </cell>
        </row>
        <row r="346">
          <cell r="C346" t="str">
            <v>Seattle City Light</v>
          </cell>
        </row>
        <row r="347">
          <cell r="C347" t="str">
            <v>SemGroup Corporation</v>
          </cell>
        </row>
        <row r="348">
          <cell r="C348" t="str">
            <v>Sempra Energy</v>
          </cell>
        </row>
        <row r="349">
          <cell r="C349" t="str">
            <v>Sherritt International Corp.</v>
          </cell>
        </row>
        <row r="350">
          <cell r="C350" t="str">
            <v>Sierra Pacific Power Company</v>
          </cell>
        </row>
        <row r="351">
          <cell r="C351" t="str">
            <v>Snohomish County Public Utility District No. 1</v>
          </cell>
        </row>
        <row r="352">
          <cell r="C352" t="str">
            <v>South Carolina Electric &amp; Gas Co.</v>
          </cell>
        </row>
        <row r="353">
          <cell r="C353" t="str">
            <v>South Carolina Public Service Authority</v>
          </cell>
        </row>
        <row r="354">
          <cell r="C354" t="str">
            <v>South Jersey Gas Company</v>
          </cell>
        </row>
        <row r="355">
          <cell r="C355" t="str">
            <v>South Jersey Industries, Inc.</v>
          </cell>
        </row>
        <row r="356">
          <cell r="C356" t="str">
            <v>Southcross Energy Partners, L.P.</v>
          </cell>
        </row>
        <row r="357">
          <cell r="C357" t="str">
            <v>Southern California Edison Co.</v>
          </cell>
        </row>
        <row r="358">
          <cell r="C358" t="str">
            <v>Southern California Gas Company</v>
          </cell>
        </row>
        <row r="359">
          <cell r="C359" t="str">
            <v>Southern Company</v>
          </cell>
        </row>
        <row r="360">
          <cell r="C360" t="str">
            <v>Southern Connecticut Gas Company</v>
          </cell>
        </row>
        <row r="361">
          <cell r="C361" t="str">
            <v>Southern Indiana Gas and Electric Company, Inc.</v>
          </cell>
        </row>
        <row r="362">
          <cell r="C362" t="str">
            <v>Southern Natural Gas Company, L.L.C.</v>
          </cell>
        </row>
        <row r="363">
          <cell r="C363" t="str">
            <v>Southern Power Company</v>
          </cell>
        </row>
        <row r="364">
          <cell r="C364" t="str">
            <v>Southern Star Central Corp.</v>
          </cell>
        </row>
        <row r="365">
          <cell r="C365" t="str">
            <v>Southern Union Company</v>
          </cell>
        </row>
        <row r="366">
          <cell r="C366" t="str">
            <v>Southwest Gas Corporation</v>
          </cell>
        </row>
        <row r="367">
          <cell r="C367" t="str">
            <v>Southwestern Electric Power Company</v>
          </cell>
        </row>
        <row r="368">
          <cell r="C368" t="str">
            <v>Southwestern Energy Company</v>
          </cell>
        </row>
        <row r="369">
          <cell r="C369" t="str">
            <v>Southwestern Public Service Company</v>
          </cell>
        </row>
        <row r="370">
          <cell r="C370" t="str">
            <v>Spectra Energy Corp</v>
          </cell>
        </row>
        <row r="371">
          <cell r="C371" t="str">
            <v>Spectra Energy Partners, LP</v>
          </cell>
        </row>
        <row r="372">
          <cell r="C372" t="str">
            <v>Star Gas Partners, L.P.</v>
          </cell>
        </row>
        <row r="373">
          <cell r="C373" t="str">
            <v>Suburban Propane Partners, L.P.</v>
          </cell>
        </row>
        <row r="374">
          <cell r="C374" t="str">
            <v>Summit Midstream Partners, LP</v>
          </cell>
        </row>
        <row r="375">
          <cell r="C375" t="str">
            <v>Sunoco Logistics Partners L.P.</v>
          </cell>
        </row>
        <row r="376">
          <cell r="C376" t="str">
            <v>System Energy Resources, Inc.</v>
          </cell>
        </row>
        <row r="377">
          <cell r="C377" t="str">
            <v>Tacoma Public Utilities</v>
          </cell>
        </row>
        <row r="378">
          <cell r="C378" t="str">
            <v>Tampa Electric Company</v>
          </cell>
        </row>
        <row r="379">
          <cell r="C379" t="str">
            <v>Targa Resources Corp.</v>
          </cell>
        </row>
        <row r="380">
          <cell r="C380" t="str">
            <v>Targa Resources Partners LP</v>
          </cell>
        </row>
        <row r="381">
          <cell r="C381" t="str">
            <v>TC Pipelines, LP</v>
          </cell>
        </row>
        <row r="382">
          <cell r="C382" t="str">
            <v>Teck Resources Limited</v>
          </cell>
        </row>
        <row r="383">
          <cell r="C383" t="str">
            <v>TECO Energy, Inc.</v>
          </cell>
        </row>
        <row r="384">
          <cell r="C384" t="str">
            <v>Tennessee Gas Pipeline Company, L.L.C.</v>
          </cell>
        </row>
        <row r="385">
          <cell r="C385" t="str">
            <v>Tennessee Valley Authority</v>
          </cell>
        </row>
        <row r="386">
          <cell r="C386" t="str">
            <v>Tesoro Logistics, L.P.</v>
          </cell>
        </row>
        <row r="387">
          <cell r="C387" t="str">
            <v>Texas Competitive Electric Holdings Company LLC</v>
          </cell>
        </row>
        <row r="388">
          <cell r="C388" t="str">
            <v>Texas Eastern Transmission, LP</v>
          </cell>
        </row>
        <row r="389">
          <cell r="C389" t="str">
            <v>Texas-New Mexico Power Company</v>
          </cell>
        </row>
        <row r="390">
          <cell r="C390" t="str">
            <v>Toledo Edison Company</v>
          </cell>
        </row>
        <row r="391">
          <cell r="C391" t="str">
            <v>Toronto Hydro Corporation</v>
          </cell>
        </row>
        <row r="392">
          <cell r="C392" t="str">
            <v>Trans Québec &amp; Maritimes Pipeline Inc.</v>
          </cell>
        </row>
        <row r="393">
          <cell r="C393" t="str">
            <v>Trans-Allegheny Interstate Line Company</v>
          </cell>
        </row>
        <row r="394">
          <cell r="C394" t="str">
            <v>TransAlta Corporation</v>
          </cell>
        </row>
        <row r="395">
          <cell r="C395" t="str">
            <v>TransCanada Corporation</v>
          </cell>
        </row>
        <row r="396">
          <cell r="C396" t="str">
            <v>TransCanada PipeLines Limited</v>
          </cell>
        </row>
        <row r="397">
          <cell r="C397" t="str">
            <v>Transcontinental Gas Pipe Line Company, LLC</v>
          </cell>
        </row>
        <row r="398">
          <cell r="C398" t="str">
            <v>TransMontaigne Partners L.P.</v>
          </cell>
        </row>
        <row r="399">
          <cell r="C399" t="str">
            <v>TRI Resources, Inc.</v>
          </cell>
        </row>
        <row r="400">
          <cell r="C400" t="str">
            <v>Tucson Electric Power Company</v>
          </cell>
        </row>
        <row r="401">
          <cell r="C401" t="str">
            <v>UGI Corporation</v>
          </cell>
        </row>
        <row r="402">
          <cell r="C402" t="str">
            <v>UGI Utilities, Inc.</v>
          </cell>
        </row>
        <row r="403">
          <cell r="C403" t="str">
            <v>UIL Holdings Corporation</v>
          </cell>
        </row>
        <row r="404">
          <cell r="C404" t="str">
            <v>Union Electric Company</v>
          </cell>
        </row>
        <row r="405">
          <cell r="C405" t="str">
            <v>Union Gas Limited</v>
          </cell>
        </row>
        <row r="406">
          <cell r="C406" t="str">
            <v>United Illuminating Company</v>
          </cell>
        </row>
        <row r="407">
          <cell r="C407" t="str">
            <v>Unitil Corporation</v>
          </cell>
        </row>
        <row r="408">
          <cell r="C408" t="str">
            <v>UNS Energy Corporation</v>
          </cell>
        </row>
        <row r="409">
          <cell r="C409" t="str">
            <v>Valener Inc.</v>
          </cell>
        </row>
        <row r="410">
          <cell r="C410" t="str">
            <v>Vanguard Natural Resources, LLC</v>
          </cell>
        </row>
        <row r="411">
          <cell r="C411" t="str">
            <v>Vectren Corporation</v>
          </cell>
        </row>
        <row r="412">
          <cell r="C412" t="str">
            <v>Vectren Utility Holdings, Inc.</v>
          </cell>
        </row>
        <row r="413">
          <cell r="C413" t="str">
            <v>Veresen Inc.</v>
          </cell>
        </row>
        <row r="414">
          <cell r="C414" t="str">
            <v>Virginia Electric and Power Company</v>
          </cell>
        </row>
        <row r="415">
          <cell r="C415" t="str">
            <v>Walter Energy, Inc.</v>
          </cell>
        </row>
        <row r="416">
          <cell r="C416" t="str">
            <v>Washington Gas Light Company</v>
          </cell>
        </row>
        <row r="417">
          <cell r="C417" t="str">
            <v>West Penn Power Company</v>
          </cell>
        </row>
        <row r="418">
          <cell r="C418" t="str">
            <v>Westar Energy, Inc.</v>
          </cell>
        </row>
        <row r="419">
          <cell r="C419" t="str">
            <v>Westcoast Energy Inc.</v>
          </cell>
        </row>
        <row r="420">
          <cell r="C420" t="str">
            <v>Western Gas Equity Partners, LP</v>
          </cell>
        </row>
        <row r="421">
          <cell r="C421" t="str">
            <v>Western Gas Partners, LP</v>
          </cell>
        </row>
        <row r="422">
          <cell r="C422" t="str">
            <v>Western Massachusetts Electric Company</v>
          </cell>
        </row>
        <row r="423">
          <cell r="C423" t="str">
            <v>Westmoreland Coal Company</v>
          </cell>
        </row>
        <row r="424">
          <cell r="C424" t="str">
            <v>WGL Holdings, Inc.</v>
          </cell>
        </row>
        <row r="425">
          <cell r="C425" t="str">
            <v>Williams Companies, Inc.</v>
          </cell>
        </row>
        <row r="426">
          <cell r="C426" t="str">
            <v>Williams Partners L.P.</v>
          </cell>
        </row>
        <row r="427">
          <cell r="C427" t="str">
            <v>Wisconsin Electric Power Company</v>
          </cell>
        </row>
        <row r="428">
          <cell r="C428" t="str">
            <v>Wisconsin Energy Corporation</v>
          </cell>
        </row>
        <row r="429">
          <cell r="C429" t="str">
            <v>Wisconsin Power and Light Company</v>
          </cell>
        </row>
        <row r="430">
          <cell r="C430" t="str">
            <v>Wisconsin Public Service Corporation</v>
          </cell>
        </row>
        <row r="431">
          <cell r="C431" t="str">
            <v>WPPI Energy</v>
          </cell>
        </row>
        <row r="432">
          <cell r="C432" t="str">
            <v>Xcel Energy Inc.</v>
          </cell>
        </row>
        <row r="433">
          <cell r="C433" t="str">
            <v>Yukon Energy Corporation</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YTD"/>
      <sheetName val="CHY97ACC"/>
      <sheetName val="MN Jur Bal"/>
      <sheetName val="Budget"/>
      <sheetName val="Summary"/>
      <sheetName val="Summary YOY"/>
      <sheetName val="Weather "/>
      <sheetName val="Sales Growth "/>
      <sheetName val="Sales Mix BVA "/>
      <sheetName val="GRSA Summary"/>
      <sheetName val="GRSA-Billed &amp; Unbilled"/>
      <sheetName val="Rate Increase"/>
      <sheetName val="Demand"/>
      <sheetName val="Rider Detail"/>
      <sheetName val="Rider Unbilled"/>
      <sheetName val="DSM in Base"/>
      <sheetName val="Whls &amp; Trans margin"/>
      <sheetName val="Gen &amp; Prop Trading"/>
      <sheetName val="Fuel Timing"/>
      <sheetName val="Other"/>
      <sheetName val="Elec Detail"/>
      <sheetName val="Data"/>
      <sheetName val="SM-LG Weather Rates Budget"/>
      <sheetName val="SM-LG Weather Rates Fcst"/>
      <sheetName val="SM-LG Weather Rates Fcst Oct."/>
      <sheetName val="Ratcheting"/>
      <sheetName val="Demand wo RatchetDSM"/>
      <sheetName val="DSM in Demand"/>
      <sheetName val="Quarterly Adj"/>
      <sheetName val="APRIL"/>
      <sheetName val="2012"/>
      <sheetName val="Sensitivities "/>
      <sheetName val="allocIndv"/>
      <sheetName val="Sheet1"/>
    </sheetNames>
    <definedNames>
      <definedName name="Cosum"/>
      <definedName name="Module1.Deferred"/>
      <definedName name="Module1.Print_Income1"/>
      <definedName name="YTDREPORT"/>
    </definedNames>
    <sheetDataSet>
      <sheetData sheetId="0" refreshError="1"/>
      <sheetData sheetId="1" refreshError="1">
        <row r="15">
          <cell r="H15">
            <v>-48600</v>
          </cell>
          <cell r="I15">
            <v>-48300</v>
          </cell>
          <cell r="J15">
            <v>-48300</v>
          </cell>
          <cell r="K15">
            <v>-48300</v>
          </cell>
          <cell r="L15">
            <v>-48300</v>
          </cell>
          <cell r="M15">
            <v>-48300</v>
          </cell>
          <cell r="N15">
            <v>-48300</v>
          </cell>
          <cell r="O15">
            <v>-48300</v>
          </cell>
          <cell r="P15">
            <v>-48300</v>
          </cell>
          <cell r="R15">
            <v>-19674</v>
          </cell>
          <cell r="V15">
            <v>-48000</v>
          </cell>
          <cell r="W15">
            <v>-48000</v>
          </cell>
          <cell r="X15">
            <v>-48000</v>
          </cell>
          <cell r="Y15">
            <v>-48000</v>
          </cell>
          <cell r="Z15">
            <v>-48000</v>
          </cell>
          <cell r="AA15">
            <v>-48000</v>
          </cell>
          <cell r="AB15">
            <v>-48000</v>
          </cell>
          <cell r="AC15">
            <v>-48000</v>
          </cell>
          <cell r="AD15">
            <v>-48000</v>
          </cell>
          <cell r="AF15">
            <v>13451</v>
          </cell>
          <cell r="AJ15">
            <v>0</v>
          </cell>
          <cell r="AK15">
            <v>0</v>
          </cell>
          <cell r="AL15">
            <v>0</v>
          </cell>
          <cell r="AM15">
            <v>0</v>
          </cell>
          <cell r="AN15">
            <v>0</v>
          </cell>
          <cell r="AO15">
            <v>0</v>
          </cell>
          <cell r="AQ15">
            <v>0</v>
          </cell>
          <cell r="AR15">
            <v>0</v>
          </cell>
          <cell r="AT15">
            <v>0</v>
          </cell>
          <cell r="AX15">
            <v>-96600</v>
          </cell>
          <cell r="AY15">
            <v>-96300</v>
          </cell>
          <cell r="AZ15">
            <v>-96300</v>
          </cell>
          <cell r="BA15">
            <v>-96300</v>
          </cell>
          <cell r="BB15">
            <v>-96300</v>
          </cell>
          <cell r="BC15">
            <v>-96300</v>
          </cell>
          <cell r="BD15">
            <v>-96300</v>
          </cell>
          <cell r="BE15">
            <v>-96300</v>
          </cell>
          <cell r="BF15">
            <v>-96300</v>
          </cell>
          <cell r="BH15">
            <v>-6223</v>
          </cell>
        </row>
        <row r="16">
          <cell r="H16">
            <v>-225000</v>
          </cell>
          <cell r="I16">
            <v>-136500</v>
          </cell>
          <cell r="J16">
            <v>-136500</v>
          </cell>
          <cell r="K16">
            <v>-136500</v>
          </cell>
          <cell r="L16">
            <v>-136500</v>
          </cell>
          <cell r="M16">
            <v>-136500</v>
          </cell>
          <cell r="N16">
            <v>-136500</v>
          </cell>
          <cell r="O16">
            <v>-136500</v>
          </cell>
          <cell r="P16">
            <v>-136500</v>
          </cell>
          <cell r="R16">
            <v>-148213</v>
          </cell>
          <cell r="V16">
            <v>-62600</v>
          </cell>
          <cell r="W16">
            <v>-62600</v>
          </cell>
          <cell r="X16">
            <v>-62600</v>
          </cell>
          <cell r="Y16">
            <v>-62600</v>
          </cell>
          <cell r="Z16">
            <v>-62600</v>
          </cell>
          <cell r="AA16">
            <v>-62600</v>
          </cell>
          <cell r="AB16">
            <v>-62600</v>
          </cell>
          <cell r="AC16">
            <v>-62600</v>
          </cell>
          <cell r="AD16">
            <v>-62600</v>
          </cell>
          <cell r="AF16">
            <v>-42064</v>
          </cell>
          <cell r="AJ16">
            <v>0</v>
          </cell>
          <cell r="AK16">
            <v>0</v>
          </cell>
          <cell r="AL16">
            <v>0</v>
          </cell>
          <cell r="AM16">
            <v>0</v>
          </cell>
          <cell r="AN16">
            <v>0</v>
          </cell>
          <cell r="AO16">
            <v>0</v>
          </cell>
          <cell r="AQ16">
            <v>0</v>
          </cell>
          <cell r="AR16">
            <v>0</v>
          </cell>
          <cell r="AT16">
            <v>0</v>
          </cell>
          <cell r="AX16">
            <v>-287600</v>
          </cell>
          <cell r="AY16">
            <v>-199100</v>
          </cell>
          <cell r="AZ16">
            <v>-199100</v>
          </cell>
          <cell r="BA16">
            <v>-199100</v>
          </cell>
          <cell r="BB16">
            <v>-199100</v>
          </cell>
          <cell r="BC16">
            <v>-199100</v>
          </cell>
          <cell r="BD16">
            <v>-199100</v>
          </cell>
          <cell r="BE16">
            <v>-199100</v>
          </cell>
          <cell r="BF16">
            <v>-199100</v>
          </cell>
          <cell r="BH16">
            <v>-190277</v>
          </cell>
        </row>
        <row r="17">
          <cell r="H17">
            <v>137000</v>
          </cell>
          <cell r="I17">
            <v>137000</v>
          </cell>
          <cell r="J17">
            <v>137000</v>
          </cell>
          <cell r="K17">
            <v>137000</v>
          </cell>
          <cell r="L17">
            <v>137000</v>
          </cell>
          <cell r="M17">
            <v>137000</v>
          </cell>
          <cell r="N17">
            <v>137000</v>
          </cell>
          <cell r="O17">
            <v>137000</v>
          </cell>
          <cell r="P17">
            <v>137000</v>
          </cell>
          <cell r="R17">
            <v>146642</v>
          </cell>
          <cell r="V17">
            <v>64200</v>
          </cell>
          <cell r="W17">
            <v>64200</v>
          </cell>
          <cell r="X17">
            <v>64200</v>
          </cell>
          <cell r="Y17">
            <v>64200</v>
          </cell>
          <cell r="Z17">
            <v>64200</v>
          </cell>
          <cell r="AA17">
            <v>64200</v>
          </cell>
          <cell r="AB17">
            <v>64200</v>
          </cell>
          <cell r="AC17">
            <v>64200</v>
          </cell>
          <cell r="AD17">
            <v>64200</v>
          </cell>
          <cell r="AF17">
            <v>52094</v>
          </cell>
          <cell r="AJ17">
            <v>0</v>
          </cell>
          <cell r="AK17">
            <v>0</v>
          </cell>
          <cell r="AL17">
            <v>0</v>
          </cell>
          <cell r="AM17">
            <v>0</v>
          </cell>
          <cell r="AN17">
            <v>0</v>
          </cell>
          <cell r="AO17">
            <v>0</v>
          </cell>
          <cell r="AQ17">
            <v>0</v>
          </cell>
          <cell r="AR17">
            <v>0</v>
          </cell>
          <cell r="AT17">
            <v>0</v>
          </cell>
          <cell r="AX17">
            <v>201200</v>
          </cell>
          <cell r="AY17">
            <v>201200</v>
          </cell>
          <cell r="AZ17">
            <v>201200</v>
          </cell>
          <cell r="BA17">
            <v>201200</v>
          </cell>
          <cell r="BB17">
            <v>201200</v>
          </cell>
          <cell r="BC17">
            <v>201200</v>
          </cell>
          <cell r="BD17">
            <v>201200</v>
          </cell>
          <cell r="BE17">
            <v>201200</v>
          </cell>
          <cell r="BF17">
            <v>201200</v>
          </cell>
          <cell r="BH17">
            <v>198736</v>
          </cell>
        </row>
        <row r="18">
          <cell r="H18">
            <v>0</v>
          </cell>
          <cell r="I18">
            <v>0</v>
          </cell>
          <cell r="J18">
            <v>0</v>
          </cell>
          <cell r="K18">
            <v>0</v>
          </cell>
          <cell r="L18">
            <v>0</v>
          </cell>
          <cell r="M18">
            <v>0</v>
          </cell>
          <cell r="N18">
            <v>0</v>
          </cell>
          <cell r="O18">
            <v>0</v>
          </cell>
          <cell r="P18">
            <v>0</v>
          </cell>
          <cell r="R18">
            <v>0</v>
          </cell>
          <cell r="V18">
            <v>0</v>
          </cell>
          <cell r="W18">
            <v>0</v>
          </cell>
          <cell r="X18">
            <v>0</v>
          </cell>
          <cell r="Y18">
            <v>0</v>
          </cell>
          <cell r="Z18">
            <v>0</v>
          </cell>
          <cell r="AA18">
            <v>0</v>
          </cell>
          <cell r="AC18">
            <v>0</v>
          </cell>
          <cell r="AD18">
            <v>0</v>
          </cell>
          <cell r="AF18">
            <v>0</v>
          </cell>
          <cell r="AJ18">
            <v>0</v>
          </cell>
          <cell r="AK18">
            <v>0</v>
          </cell>
          <cell r="AL18">
            <v>0</v>
          </cell>
          <cell r="AM18">
            <v>0</v>
          </cell>
          <cell r="AN18">
            <v>0</v>
          </cell>
          <cell r="AO18">
            <v>0</v>
          </cell>
          <cell r="AQ18">
            <v>0</v>
          </cell>
          <cell r="AR18">
            <v>0</v>
          </cell>
          <cell r="AT18">
            <v>0</v>
          </cell>
          <cell r="AX18">
            <v>0</v>
          </cell>
          <cell r="AY18">
            <v>0</v>
          </cell>
          <cell r="AZ18">
            <v>0</v>
          </cell>
          <cell r="BA18">
            <v>0</v>
          </cell>
          <cell r="BB18">
            <v>0</v>
          </cell>
          <cell r="BC18">
            <v>0</v>
          </cell>
          <cell r="BD18">
            <v>0</v>
          </cell>
          <cell r="BE18">
            <v>0</v>
          </cell>
          <cell r="BF18">
            <v>0</v>
          </cell>
          <cell r="BH18">
            <v>0</v>
          </cell>
        </row>
        <row r="19">
          <cell r="H19">
            <v>4449</v>
          </cell>
          <cell r="I19">
            <v>4473</v>
          </cell>
          <cell r="J19">
            <v>4457</v>
          </cell>
          <cell r="K19">
            <v>4431</v>
          </cell>
          <cell r="L19">
            <v>4318</v>
          </cell>
          <cell r="M19">
            <v>4380</v>
          </cell>
          <cell r="N19">
            <v>4356</v>
          </cell>
          <cell r="O19">
            <v>4220</v>
          </cell>
          <cell r="P19">
            <v>4229</v>
          </cell>
          <cell r="R19">
            <v>188</v>
          </cell>
          <cell r="V19">
            <v>4004</v>
          </cell>
          <cell r="W19">
            <v>4024</v>
          </cell>
          <cell r="X19">
            <v>4023</v>
          </cell>
          <cell r="Y19">
            <v>3967</v>
          </cell>
          <cell r="Z19">
            <v>3849</v>
          </cell>
          <cell r="AA19">
            <v>3921</v>
          </cell>
          <cell r="AB19">
            <v>3900</v>
          </cell>
          <cell r="AC19">
            <v>3755</v>
          </cell>
          <cell r="AD19">
            <v>3770</v>
          </cell>
          <cell r="AF19">
            <v>-552</v>
          </cell>
          <cell r="AJ19">
            <v>0</v>
          </cell>
          <cell r="AK19">
            <v>0</v>
          </cell>
          <cell r="AL19">
            <v>0</v>
          </cell>
          <cell r="AM19">
            <v>0</v>
          </cell>
          <cell r="AN19">
            <v>0</v>
          </cell>
          <cell r="AO19">
            <v>0</v>
          </cell>
          <cell r="AQ19">
            <v>0</v>
          </cell>
          <cell r="AR19">
            <v>0</v>
          </cell>
          <cell r="AT19">
            <v>0</v>
          </cell>
          <cell r="AX19">
            <v>8453</v>
          </cell>
          <cell r="AY19">
            <v>8497</v>
          </cell>
          <cell r="AZ19">
            <v>8480</v>
          </cell>
          <cell r="BA19">
            <v>8398</v>
          </cell>
          <cell r="BB19">
            <v>8167</v>
          </cell>
          <cell r="BC19">
            <v>8301</v>
          </cell>
          <cell r="BD19">
            <v>8256</v>
          </cell>
          <cell r="BE19">
            <v>7975</v>
          </cell>
          <cell r="BF19">
            <v>7999</v>
          </cell>
          <cell r="BH19">
            <v>-364</v>
          </cell>
        </row>
        <row r="20">
          <cell r="H20">
            <v>0</v>
          </cell>
          <cell r="I20">
            <v>0</v>
          </cell>
          <cell r="J20">
            <v>0</v>
          </cell>
          <cell r="K20">
            <v>0</v>
          </cell>
          <cell r="L20">
            <v>0</v>
          </cell>
          <cell r="M20">
            <v>0</v>
          </cell>
          <cell r="N20">
            <v>0</v>
          </cell>
          <cell r="O20">
            <v>0</v>
          </cell>
          <cell r="P20">
            <v>0</v>
          </cell>
          <cell r="R20">
            <v>0</v>
          </cell>
          <cell r="V20">
            <v>0</v>
          </cell>
          <cell r="W20">
            <v>0</v>
          </cell>
          <cell r="X20">
            <v>0</v>
          </cell>
          <cell r="Y20">
            <v>0</v>
          </cell>
          <cell r="Z20">
            <v>0</v>
          </cell>
          <cell r="AA20">
            <v>0</v>
          </cell>
          <cell r="AC20">
            <v>0</v>
          </cell>
          <cell r="AD20">
            <v>0</v>
          </cell>
          <cell r="AF20">
            <v>0</v>
          </cell>
          <cell r="AJ20">
            <v>0</v>
          </cell>
          <cell r="AK20">
            <v>0</v>
          </cell>
          <cell r="AL20">
            <v>0</v>
          </cell>
          <cell r="AM20">
            <v>0</v>
          </cell>
          <cell r="AN20">
            <v>0</v>
          </cell>
          <cell r="AO20">
            <v>0</v>
          </cell>
          <cell r="AQ20">
            <v>0</v>
          </cell>
          <cell r="AR20">
            <v>0</v>
          </cell>
          <cell r="AT20">
            <v>0</v>
          </cell>
          <cell r="AX20">
            <v>0</v>
          </cell>
          <cell r="AY20">
            <v>0</v>
          </cell>
          <cell r="AZ20">
            <v>0</v>
          </cell>
          <cell r="BA20">
            <v>0</v>
          </cell>
          <cell r="BB20">
            <v>0</v>
          </cell>
          <cell r="BC20">
            <v>0</v>
          </cell>
          <cell r="BD20">
            <v>0</v>
          </cell>
          <cell r="BE20">
            <v>0</v>
          </cell>
          <cell r="BF20">
            <v>0</v>
          </cell>
          <cell r="BH20">
            <v>0</v>
          </cell>
        </row>
        <row r="21">
          <cell r="H21">
            <v>-4788</v>
          </cell>
          <cell r="I21">
            <v>-2381</v>
          </cell>
          <cell r="J21">
            <v>-24842</v>
          </cell>
          <cell r="K21">
            <v>-19345.64</v>
          </cell>
          <cell r="L21">
            <v>-13604.68</v>
          </cell>
          <cell r="M21">
            <v>-12225.18</v>
          </cell>
          <cell r="N21">
            <v>-18512.12</v>
          </cell>
          <cell r="O21">
            <v>-18788.73</v>
          </cell>
          <cell r="P21">
            <v>-23695.19</v>
          </cell>
          <cell r="R21">
            <v>-8687.14</v>
          </cell>
          <cell r="V21">
            <v>-2623</v>
          </cell>
          <cell r="W21">
            <v>-4007</v>
          </cell>
          <cell r="X21">
            <v>-7363</v>
          </cell>
          <cell r="Y21">
            <v>-2707.11</v>
          </cell>
          <cell r="Z21">
            <v>-6082.13</v>
          </cell>
          <cell r="AA21">
            <v>-18169.580000000002</v>
          </cell>
          <cell r="AB21">
            <v>-2164.7199999999998</v>
          </cell>
          <cell r="AC21">
            <v>-1887.8</v>
          </cell>
          <cell r="AD21">
            <v>-4149.93</v>
          </cell>
          <cell r="AF21">
            <v>-2998.7</v>
          </cell>
          <cell r="AJ21">
            <v>0</v>
          </cell>
          <cell r="AK21">
            <v>0</v>
          </cell>
          <cell r="AL21">
            <v>0</v>
          </cell>
          <cell r="AM21">
            <v>0</v>
          </cell>
          <cell r="AN21">
            <v>0</v>
          </cell>
          <cell r="AO21">
            <v>0</v>
          </cell>
          <cell r="AQ21">
            <v>0</v>
          </cell>
          <cell r="AR21">
            <v>0</v>
          </cell>
          <cell r="AT21">
            <v>0</v>
          </cell>
          <cell r="AX21">
            <v>-7411</v>
          </cell>
          <cell r="AY21">
            <v>-6388</v>
          </cell>
          <cell r="AZ21">
            <v>-32205</v>
          </cell>
          <cell r="BA21">
            <v>-22052.75</v>
          </cell>
          <cell r="BB21">
            <v>-19686.810000000001</v>
          </cell>
          <cell r="BC21">
            <v>-30394.760000000002</v>
          </cell>
          <cell r="BD21">
            <v>-20676.84</v>
          </cell>
          <cell r="BE21">
            <v>-20676.53</v>
          </cell>
          <cell r="BF21">
            <v>-27845.119999999999</v>
          </cell>
          <cell r="BH21">
            <v>-11685.84</v>
          </cell>
        </row>
        <row r="22">
          <cell r="H22">
            <v>-12089</v>
          </cell>
          <cell r="I22">
            <v>954</v>
          </cell>
          <cell r="J22">
            <v>150118</v>
          </cell>
          <cell r="K22">
            <v>26306.3</v>
          </cell>
          <cell r="L22">
            <v>3996.1</v>
          </cell>
          <cell r="M22">
            <v>-3342</v>
          </cell>
          <cell r="N22">
            <v>2128</v>
          </cell>
          <cell r="O22">
            <v>-397</v>
          </cell>
          <cell r="P22">
            <v>-54847</v>
          </cell>
          <cell r="R22">
            <v>-7344.2</v>
          </cell>
          <cell r="V22">
            <v>-2575</v>
          </cell>
          <cell r="W22">
            <v>0</v>
          </cell>
          <cell r="X22">
            <v>2844</v>
          </cell>
          <cell r="Y22">
            <v>285.60000000000002</v>
          </cell>
          <cell r="Z22">
            <v>-955</v>
          </cell>
          <cell r="AA22">
            <v>-6406</v>
          </cell>
          <cell r="AB22">
            <v>23898</v>
          </cell>
          <cell r="AC22">
            <v>1170.8</v>
          </cell>
          <cell r="AD22">
            <v>-556</v>
          </cell>
          <cell r="AF22">
            <v>-2470.4299999999998</v>
          </cell>
          <cell r="AJ22">
            <v>0</v>
          </cell>
          <cell r="AK22">
            <v>0</v>
          </cell>
          <cell r="AL22">
            <v>0</v>
          </cell>
          <cell r="AM22">
            <v>0</v>
          </cell>
          <cell r="AN22">
            <v>0</v>
          </cell>
          <cell r="AO22">
            <v>0</v>
          </cell>
          <cell r="AQ22">
            <v>0</v>
          </cell>
          <cell r="AR22">
            <v>0</v>
          </cell>
          <cell r="AT22">
            <v>0</v>
          </cell>
          <cell r="AX22">
            <v>-14664</v>
          </cell>
          <cell r="AY22">
            <v>954</v>
          </cell>
          <cell r="AZ22">
            <v>152962</v>
          </cell>
          <cell r="BA22">
            <v>26591.899999999998</v>
          </cell>
          <cell r="BB22">
            <v>3041.1</v>
          </cell>
          <cell r="BC22">
            <v>-9748</v>
          </cell>
          <cell r="BD22">
            <v>26026</v>
          </cell>
          <cell r="BE22">
            <v>773.8</v>
          </cell>
          <cell r="BF22">
            <v>-55403</v>
          </cell>
          <cell r="BH22">
            <v>-9814.6299999999992</v>
          </cell>
        </row>
        <row r="23">
          <cell r="H23">
            <v>1205</v>
          </cell>
          <cell r="I23">
            <v>986</v>
          </cell>
          <cell r="J23">
            <v>1206</v>
          </cell>
          <cell r="K23">
            <v>1844.12</v>
          </cell>
          <cell r="L23">
            <v>935.59999999999991</v>
          </cell>
          <cell r="M23">
            <v>1901.4499999999998</v>
          </cell>
          <cell r="N23">
            <v>1460.3</v>
          </cell>
          <cell r="O23">
            <v>1147.6299999999999</v>
          </cell>
          <cell r="P23">
            <v>1182.4000000000001</v>
          </cell>
          <cell r="R23">
            <v>1182</v>
          </cell>
          <cell r="V23">
            <v>262</v>
          </cell>
          <cell r="W23">
            <v>288</v>
          </cell>
          <cell r="X23">
            <v>245</v>
          </cell>
          <cell r="Y23">
            <v>377.75</v>
          </cell>
          <cell r="Z23">
            <v>1019.19</v>
          </cell>
          <cell r="AA23">
            <v>639.46</v>
          </cell>
          <cell r="AB23">
            <v>680.51</v>
          </cell>
          <cell r="AC23">
            <v>484.44</v>
          </cell>
          <cell r="AD23">
            <v>958.4</v>
          </cell>
          <cell r="AF23">
            <v>958</v>
          </cell>
          <cell r="AJ23">
            <v>0</v>
          </cell>
          <cell r="AK23">
            <v>0</v>
          </cell>
          <cell r="AL23">
            <v>0</v>
          </cell>
          <cell r="AM23">
            <v>1.88</v>
          </cell>
          <cell r="AN23">
            <v>-2</v>
          </cell>
          <cell r="AO23">
            <v>0</v>
          </cell>
          <cell r="AP23">
            <v>0</v>
          </cell>
          <cell r="AQ23">
            <v>0</v>
          </cell>
          <cell r="AR23">
            <v>0</v>
          </cell>
          <cell r="AT23">
            <v>0</v>
          </cell>
          <cell r="AX23">
            <v>1467</v>
          </cell>
          <cell r="AY23">
            <v>1274</v>
          </cell>
          <cell r="AZ23">
            <v>1451</v>
          </cell>
          <cell r="BA23">
            <v>2223.75</v>
          </cell>
          <cell r="BB23">
            <v>1952.79</v>
          </cell>
          <cell r="BC23">
            <v>2540.91</v>
          </cell>
          <cell r="BD23">
            <v>2140.81</v>
          </cell>
          <cell r="BE23">
            <v>1632.07</v>
          </cell>
          <cell r="BF23">
            <v>2140.8000000000002</v>
          </cell>
          <cell r="BH23">
            <v>2140</v>
          </cell>
        </row>
        <row r="24">
          <cell r="H24">
            <v>7328</v>
          </cell>
          <cell r="I24">
            <v>3797</v>
          </cell>
          <cell r="J24">
            <v>4393</v>
          </cell>
          <cell r="K24">
            <v>11059.35</v>
          </cell>
          <cell r="L24">
            <v>5157.6900000000005</v>
          </cell>
          <cell r="M24">
            <v>9286.9699999999993</v>
          </cell>
          <cell r="N24">
            <v>8830.8000000000011</v>
          </cell>
          <cell r="O24">
            <v>3967.8900000000003</v>
          </cell>
          <cell r="P24">
            <v>8637.27</v>
          </cell>
          <cell r="R24">
            <v>8637</v>
          </cell>
          <cell r="V24">
            <v>1632</v>
          </cell>
          <cell r="W24">
            <v>1290</v>
          </cell>
          <cell r="X24">
            <v>1376</v>
          </cell>
          <cell r="Y24">
            <v>2623.81</v>
          </cell>
          <cell r="Z24">
            <v>7487.1</v>
          </cell>
          <cell r="AA24">
            <v>2470.37</v>
          </cell>
          <cell r="AB24">
            <v>2693.63</v>
          </cell>
          <cell r="AC24">
            <v>2258.67</v>
          </cell>
          <cell r="AD24">
            <v>4854.04</v>
          </cell>
          <cell r="AF24">
            <v>4854</v>
          </cell>
          <cell r="AJ24">
            <v>0</v>
          </cell>
          <cell r="AK24">
            <v>0</v>
          </cell>
          <cell r="AL24">
            <v>0</v>
          </cell>
          <cell r="AM24">
            <v>13.59</v>
          </cell>
          <cell r="AN24">
            <v>-14</v>
          </cell>
          <cell r="AO24">
            <v>0</v>
          </cell>
          <cell r="AP24">
            <v>0</v>
          </cell>
          <cell r="AQ24">
            <v>0</v>
          </cell>
          <cell r="AR24">
            <v>0</v>
          </cell>
          <cell r="AT24">
            <v>0</v>
          </cell>
          <cell r="AX24">
            <v>8960</v>
          </cell>
          <cell r="AY24">
            <v>5087</v>
          </cell>
          <cell r="AZ24">
            <v>5769</v>
          </cell>
          <cell r="BA24">
            <v>13696.75</v>
          </cell>
          <cell r="BB24">
            <v>12630.79</v>
          </cell>
          <cell r="BC24">
            <v>11757.34</v>
          </cell>
          <cell r="BD24">
            <v>11524.43</v>
          </cell>
          <cell r="BE24">
            <v>6226.56</v>
          </cell>
          <cell r="BF24">
            <v>13491.310000000001</v>
          </cell>
          <cell r="BH24">
            <v>13491</v>
          </cell>
        </row>
        <row r="25">
          <cell r="H25">
            <v>-26910</v>
          </cell>
          <cell r="I25">
            <v>-18885</v>
          </cell>
          <cell r="J25">
            <v>-24865</v>
          </cell>
          <cell r="K25">
            <v>-26078.799999999999</v>
          </cell>
          <cell r="L25">
            <v>-26881.360000000001</v>
          </cell>
          <cell r="M25">
            <v>-28275</v>
          </cell>
          <cell r="N25">
            <v>-29377.37</v>
          </cell>
          <cell r="O25">
            <v>-28869.98</v>
          </cell>
          <cell r="P25">
            <v>-27409.09</v>
          </cell>
          <cell r="R25">
            <v>-13340.18</v>
          </cell>
          <cell r="V25">
            <v>-22923</v>
          </cell>
          <cell r="W25">
            <v>-16087</v>
          </cell>
          <cell r="X25">
            <v>-21181</v>
          </cell>
          <cell r="Y25">
            <v>-22215.279999999999</v>
          </cell>
          <cell r="Z25">
            <v>-22898.94</v>
          </cell>
          <cell r="AA25">
            <v>-24086</v>
          </cell>
          <cell r="AB25">
            <v>-25025.17</v>
          </cell>
          <cell r="AC25">
            <v>-24592.95</v>
          </cell>
          <cell r="AD25">
            <v>-23348.48</v>
          </cell>
          <cell r="AF25">
            <v>-11363.85</v>
          </cell>
          <cell r="AJ25">
            <v>0</v>
          </cell>
          <cell r="AK25">
            <v>0</v>
          </cell>
          <cell r="AL25">
            <v>0</v>
          </cell>
          <cell r="AM25">
            <v>0</v>
          </cell>
          <cell r="AN25">
            <v>0</v>
          </cell>
          <cell r="AO25">
            <v>0</v>
          </cell>
          <cell r="AQ25">
            <v>0</v>
          </cell>
          <cell r="AR25">
            <v>0</v>
          </cell>
          <cell r="AT25">
            <v>0</v>
          </cell>
          <cell r="AX25">
            <v>-49833</v>
          </cell>
          <cell r="AY25">
            <v>-34972</v>
          </cell>
          <cell r="AZ25">
            <v>-46046</v>
          </cell>
          <cell r="BA25">
            <v>-48294.080000000002</v>
          </cell>
          <cell r="BB25">
            <v>-49780.3</v>
          </cell>
          <cell r="BC25">
            <v>-52361</v>
          </cell>
          <cell r="BD25">
            <v>-54402.539999999994</v>
          </cell>
          <cell r="BE25">
            <v>-53462.93</v>
          </cell>
          <cell r="BF25">
            <v>-50757.57</v>
          </cell>
          <cell r="BH25">
            <v>-24704.03</v>
          </cell>
        </row>
        <row r="26">
          <cell r="H26">
            <v>3530</v>
          </cell>
          <cell r="I26">
            <v>1708</v>
          </cell>
          <cell r="J26">
            <v>2505</v>
          </cell>
          <cell r="K26">
            <v>2826.59</v>
          </cell>
          <cell r="L26">
            <v>2191.41</v>
          </cell>
          <cell r="M26">
            <v>4058.55</v>
          </cell>
          <cell r="N26">
            <v>3689.37</v>
          </cell>
          <cell r="O26">
            <v>3728.6499999999996</v>
          </cell>
          <cell r="P26">
            <v>2752</v>
          </cell>
          <cell r="R26">
            <v>3188.982</v>
          </cell>
          <cell r="V26">
            <v>4049</v>
          </cell>
          <cell r="W26">
            <v>731</v>
          </cell>
          <cell r="X26">
            <v>705</v>
          </cell>
          <cell r="Y26">
            <v>762.97</v>
          </cell>
          <cell r="Z26">
            <v>854.95</v>
          </cell>
          <cell r="AA26">
            <v>892.29</v>
          </cell>
          <cell r="AB26">
            <v>1222.05</v>
          </cell>
          <cell r="AC26">
            <v>971.18</v>
          </cell>
          <cell r="AD26">
            <v>1903</v>
          </cell>
          <cell r="AF26">
            <v>1489.9880000000001</v>
          </cell>
          <cell r="AJ26">
            <v>0</v>
          </cell>
          <cell r="AK26">
            <v>0</v>
          </cell>
          <cell r="AL26">
            <v>0</v>
          </cell>
          <cell r="AM26">
            <v>2.64</v>
          </cell>
          <cell r="AN26">
            <v>-3</v>
          </cell>
          <cell r="AO26">
            <v>0</v>
          </cell>
          <cell r="AQ26">
            <v>0</v>
          </cell>
          <cell r="AR26">
            <v>0</v>
          </cell>
          <cell r="AT26">
            <v>0</v>
          </cell>
          <cell r="AX26">
            <v>7579</v>
          </cell>
          <cell r="AY26">
            <v>2439</v>
          </cell>
          <cell r="AZ26">
            <v>3210</v>
          </cell>
          <cell r="BA26">
            <v>3592.2000000000003</v>
          </cell>
          <cell r="BB26">
            <v>3043.3599999999997</v>
          </cell>
          <cell r="BC26">
            <v>4950.84</v>
          </cell>
          <cell r="BD26">
            <v>4911.42</v>
          </cell>
          <cell r="BE26">
            <v>4699.83</v>
          </cell>
          <cell r="BF26">
            <v>4655</v>
          </cell>
          <cell r="BH26">
            <v>4678.97</v>
          </cell>
        </row>
        <row r="27">
          <cell r="H27">
            <v>37868</v>
          </cell>
          <cell r="I27">
            <v>34610</v>
          </cell>
          <cell r="J27">
            <v>50075</v>
          </cell>
          <cell r="K27">
            <v>39752.639999999999</v>
          </cell>
          <cell r="L27">
            <v>33065.480000000003</v>
          </cell>
          <cell r="M27">
            <v>46235.8</v>
          </cell>
          <cell r="N27">
            <v>30373.489999999998</v>
          </cell>
          <cell r="O27">
            <v>36284.299999999996</v>
          </cell>
          <cell r="P27">
            <v>36331.800000000003</v>
          </cell>
          <cell r="R27">
            <v>32407.5</v>
          </cell>
          <cell r="V27">
            <v>27635</v>
          </cell>
          <cell r="W27">
            <v>29326</v>
          </cell>
          <cell r="X27">
            <v>34121</v>
          </cell>
          <cell r="Y27">
            <v>26178.729999999996</v>
          </cell>
          <cell r="Z27">
            <v>29755.96</v>
          </cell>
          <cell r="AA27">
            <v>33110.76</v>
          </cell>
          <cell r="AB27">
            <v>36622.729999999996</v>
          </cell>
          <cell r="AC27">
            <v>31891.69</v>
          </cell>
          <cell r="AD27">
            <v>31543.59</v>
          </cell>
          <cell r="AF27">
            <v>32613.170000000002</v>
          </cell>
          <cell r="AJ27">
            <v>0</v>
          </cell>
          <cell r="AK27">
            <v>0</v>
          </cell>
          <cell r="AL27">
            <v>0</v>
          </cell>
          <cell r="AM27">
            <v>0</v>
          </cell>
          <cell r="AN27">
            <v>0</v>
          </cell>
          <cell r="AO27">
            <v>0</v>
          </cell>
          <cell r="AQ27">
            <v>0</v>
          </cell>
          <cell r="AR27">
            <v>0</v>
          </cell>
          <cell r="AT27">
            <v>0</v>
          </cell>
          <cell r="AX27">
            <v>65503</v>
          </cell>
          <cell r="AY27">
            <v>63936</v>
          </cell>
          <cell r="AZ27">
            <v>84196</v>
          </cell>
          <cell r="BA27">
            <v>65931.37</v>
          </cell>
          <cell r="BB27">
            <v>62821.440000000002</v>
          </cell>
          <cell r="BC27">
            <v>79346.559999999998</v>
          </cell>
          <cell r="BD27">
            <v>66996.22</v>
          </cell>
          <cell r="BE27">
            <v>68175.989999999991</v>
          </cell>
          <cell r="BF27">
            <v>67875.39</v>
          </cell>
          <cell r="BH27">
            <v>65020.67</v>
          </cell>
        </row>
        <row r="28">
          <cell r="H28">
            <v>0</v>
          </cell>
          <cell r="I28">
            <v>0</v>
          </cell>
          <cell r="J28">
            <v>0</v>
          </cell>
          <cell r="K28">
            <v>0</v>
          </cell>
          <cell r="L28">
            <v>0</v>
          </cell>
          <cell r="M28">
            <v>0</v>
          </cell>
          <cell r="N28">
            <v>0</v>
          </cell>
          <cell r="O28">
            <v>0</v>
          </cell>
          <cell r="P28">
            <v>0</v>
          </cell>
          <cell r="R28">
            <v>0</v>
          </cell>
          <cell r="V28">
            <v>0</v>
          </cell>
          <cell r="W28">
            <v>0</v>
          </cell>
          <cell r="X28">
            <v>0</v>
          </cell>
          <cell r="Y28">
            <v>0</v>
          </cell>
          <cell r="Z28">
            <v>0</v>
          </cell>
          <cell r="AA28">
            <v>0</v>
          </cell>
          <cell r="AB28">
            <v>0</v>
          </cell>
          <cell r="AC28">
            <v>0</v>
          </cell>
          <cell r="AD28">
            <v>0</v>
          </cell>
          <cell r="AF28">
            <v>0</v>
          </cell>
          <cell r="AJ28">
            <v>0</v>
          </cell>
          <cell r="AK28">
            <v>0</v>
          </cell>
          <cell r="AL28">
            <v>0</v>
          </cell>
          <cell r="AM28">
            <v>0</v>
          </cell>
          <cell r="AN28">
            <v>0</v>
          </cell>
          <cell r="AO28">
            <v>0</v>
          </cell>
          <cell r="AQ28">
            <v>0</v>
          </cell>
          <cell r="AR28">
            <v>0</v>
          </cell>
          <cell r="AT28">
            <v>0</v>
          </cell>
          <cell r="AX28">
            <v>0</v>
          </cell>
          <cell r="AY28">
            <v>0</v>
          </cell>
          <cell r="AZ28">
            <v>0</v>
          </cell>
          <cell r="BA28">
            <v>0</v>
          </cell>
          <cell r="BB28">
            <v>0</v>
          </cell>
          <cell r="BC28">
            <v>0</v>
          </cell>
          <cell r="BD28">
            <v>0</v>
          </cell>
          <cell r="BE28">
            <v>0</v>
          </cell>
          <cell r="BF28">
            <v>0</v>
          </cell>
          <cell r="BH28">
            <v>0</v>
          </cell>
        </row>
        <row r="29">
          <cell r="H29">
            <v>0</v>
          </cell>
          <cell r="I29">
            <v>0</v>
          </cell>
          <cell r="J29">
            <v>0</v>
          </cell>
          <cell r="K29">
            <v>0</v>
          </cell>
          <cell r="L29">
            <v>0</v>
          </cell>
          <cell r="M29">
            <v>0</v>
          </cell>
          <cell r="N29">
            <v>0</v>
          </cell>
          <cell r="O29">
            <v>0</v>
          </cell>
          <cell r="P29">
            <v>0</v>
          </cell>
          <cell r="R29">
            <v>0</v>
          </cell>
          <cell r="V29">
            <v>0</v>
          </cell>
          <cell r="W29">
            <v>0</v>
          </cell>
          <cell r="X29">
            <v>0</v>
          </cell>
          <cell r="Y29">
            <v>0</v>
          </cell>
          <cell r="Z29">
            <v>0</v>
          </cell>
          <cell r="AA29">
            <v>0</v>
          </cell>
          <cell r="AB29">
            <v>0</v>
          </cell>
          <cell r="AC29">
            <v>0</v>
          </cell>
          <cell r="AD29">
            <v>0</v>
          </cell>
          <cell r="AF29">
            <v>0</v>
          </cell>
          <cell r="AJ29">
            <v>-6234</v>
          </cell>
          <cell r="AK29">
            <v>-2013</v>
          </cell>
          <cell r="AL29">
            <v>-3102</v>
          </cell>
          <cell r="AM29">
            <v>-3407.79</v>
          </cell>
          <cell r="AN29">
            <v>-2916.55</v>
          </cell>
          <cell r="AO29">
            <v>-4711.71</v>
          </cell>
          <cell r="AP29">
            <v>-4669.79</v>
          </cell>
          <cell r="AQ29">
            <v>4469</v>
          </cell>
          <cell r="AR29">
            <v>4304.49</v>
          </cell>
          <cell r="AT29">
            <v>4351</v>
          </cell>
          <cell r="AX29">
            <v>-6234</v>
          </cell>
          <cell r="AY29">
            <v>-2013</v>
          </cell>
          <cell r="AZ29">
            <v>-3102</v>
          </cell>
          <cell r="BA29">
            <v>-3407.79</v>
          </cell>
          <cell r="BB29">
            <v>-2916.55</v>
          </cell>
          <cell r="BC29">
            <v>-4711.71</v>
          </cell>
          <cell r="BD29">
            <v>-4669.79</v>
          </cell>
          <cell r="BE29">
            <v>4469</v>
          </cell>
          <cell r="BF29">
            <v>4304.49</v>
          </cell>
          <cell r="BH29">
            <v>4351</v>
          </cell>
        </row>
        <row r="31">
          <cell r="H31">
            <v>0</v>
          </cell>
          <cell r="I31">
            <v>0</v>
          </cell>
          <cell r="J31">
            <v>0</v>
          </cell>
          <cell r="K31">
            <v>0</v>
          </cell>
          <cell r="L31">
            <v>0</v>
          </cell>
          <cell r="M31">
            <v>0</v>
          </cell>
          <cell r="N31">
            <v>0</v>
          </cell>
          <cell r="O31">
            <v>0</v>
          </cell>
          <cell r="P31">
            <v>0</v>
          </cell>
          <cell r="R31">
            <v>0</v>
          </cell>
          <cell r="V31">
            <v>0</v>
          </cell>
          <cell r="W31">
            <v>0</v>
          </cell>
          <cell r="X31">
            <v>0</v>
          </cell>
          <cell r="Y31">
            <v>0</v>
          </cell>
          <cell r="Z31">
            <v>0</v>
          </cell>
          <cell r="AA31">
            <v>0</v>
          </cell>
          <cell r="AB31">
            <v>0</v>
          </cell>
          <cell r="AC31">
            <v>0</v>
          </cell>
          <cell r="AE31">
            <v>0</v>
          </cell>
          <cell r="AF31">
            <v>0</v>
          </cell>
          <cell r="AJ31">
            <v>0</v>
          </cell>
          <cell r="AK31">
            <v>0</v>
          </cell>
          <cell r="AL31">
            <v>0</v>
          </cell>
          <cell r="AM31">
            <v>0</v>
          </cell>
          <cell r="AN31">
            <v>0</v>
          </cell>
          <cell r="AO31">
            <v>0</v>
          </cell>
          <cell r="AQ31">
            <v>0</v>
          </cell>
          <cell r="AR31">
            <v>0</v>
          </cell>
          <cell r="AT31">
            <v>0</v>
          </cell>
          <cell r="AX31">
            <v>0</v>
          </cell>
          <cell r="AY31">
            <v>0</v>
          </cell>
          <cell r="AZ31">
            <v>0</v>
          </cell>
          <cell r="BA31">
            <v>0</v>
          </cell>
          <cell r="BB31">
            <v>0</v>
          </cell>
          <cell r="BC31">
            <v>0</v>
          </cell>
          <cell r="BD31">
            <v>0</v>
          </cell>
          <cell r="BE31">
            <v>0</v>
          </cell>
          <cell r="BF31">
            <v>0</v>
          </cell>
          <cell r="BH31">
            <v>0</v>
          </cell>
        </row>
        <row r="32">
          <cell r="H32">
            <v>-191493</v>
          </cell>
          <cell r="I32">
            <v>-46212</v>
          </cell>
          <cell r="J32">
            <v>42215</v>
          </cell>
          <cell r="K32">
            <v>78543</v>
          </cell>
          <cell r="L32">
            <v>-175221</v>
          </cell>
          <cell r="M32">
            <v>116635</v>
          </cell>
          <cell r="N32">
            <v>53960</v>
          </cell>
          <cell r="O32">
            <v>-37977</v>
          </cell>
          <cell r="P32">
            <v>-44790</v>
          </cell>
          <cell r="R32">
            <v>49277</v>
          </cell>
          <cell r="V32">
            <v>357162</v>
          </cell>
          <cell r="W32">
            <v>-180253</v>
          </cell>
          <cell r="X32">
            <v>100457</v>
          </cell>
          <cell r="Y32">
            <v>-317144</v>
          </cell>
          <cell r="Z32">
            <v>-277961</v>
          </cell>
          <cell r="AA32">
            <v>32317</v>
          </cell>
          <cell r="AB32">
            <v>-77078</v>
          </cell>
          <cell r="AC32">
            <v>-20407</v>
          </cell>
          <cell r="AE32">
            <v>100969</v>
          </cell>
          <cell r="AF32">
            <v>609317</v>
          </cell>
          <cell r="AJ32">
            <v>0</v>
          </cell>
          <cell r="AK32">
            <v>0</v>
          </cell>
          <cell r="AL32">
            <v>0</v>
          </cell>
          <cell r="AM32">
            <v>0</v>
          </cell>
          <cell r="AN32">
            <v>0</v>
          </cell>
          <cell r="AO32">
            <v>0</v>
          </cell>
          <cell r="AQ32">
            <v>0</v>
          </cell>
          <cell r="AR32">
            <v>0</v>
          </cell>
          <cell r="AT32">
            <v>0</v>
          </cell>
          <cell r="AX32">
            <v>165669</v>
          </cell>
          <cell r="AY32">
            <v>-226465</v>
          </cell>
          <cell r="AZ32">
            <v>142672</v>
          </cell>
          <cell r="BA32">
            <v>-238601</v>
          </cell>
          <cell r="BB32">
            <v>-453182</v>
          </cell>
          <cell r="BC32">
            <v>148952</v>
          </cell>
          <cell r="BD32">
            <v>-23118</v>
          </cell>
          <cell r="BE32">
            <v>-58384</v>
          </cell>
          <cell r="BF32">
            <v>423751</v>
          </cell>
          <cell r="BH32">
            <v>658594</v>
          </cell>
        </row>
        <row r="33">
          <cell r="H33">
            <v>-739</v>
          </cell>
          <cell r="I33">
            <v>-783</v>
          </cell>
          <cell r="J33">
            <v>-798</v>
          </cell>
          <cell r="K33">
            <v>-857</v>
          </cell>
          <cell r="L33">
            <v>-821</v>
          </cell>
          <cell r="M33">
            <v>-834</v>
          </cell>
          <cell r="N33">
            <v>-815</v>
          </cell>
          <cell r="O33">
            <v>-780</v>
          </cell>
          <cell r="P33">
            <v>-792</v>
          </cell>
          <cell r="R33">
            <v>-771</v>
          </cell>
          <cell r="V33">
            <v>690</v>
          </cell>
          <cell r="W33">
            <v>-731</v>
          </cell>
          <cell r="X33">
            <v>-745</v>
          </cell>
          <cell r="Y33">
            <v>-800</v>
          </cell>
          <cell r="Z33">
            <v>-766</v>
          </cell>
          <cell r="AA33">
            <v>-778</v>
          </cell>
          <cell r="AB33">
            <v>-761</v>
          </cell>
          <cell r="AC33">
            <v>-727</v>
          </cell>
          <cell r="AE33">
            <v>-702</v>
          </cell>
          <cell r="AF33">
            <v>-719</v>
          </cell>
          <cell r="AJ33">
            <v>0</v>
          </cell>
          <cell r="AK33">
            <v>0</v>
          </cell>
          <cell r="AL33">
            <v>0</v>
          </cell>
          <cell r="AM33">
            <v>0</v>
          </cell>
          <cell r="AN33">
            <v>0</v>
          </cell>
          <cell r="AO33">
            <v>0</v>
          </cell>
          <cell r="AQ33">
            <v>0</v>
          </cell>
          <cell r="AR33">
            <v>0</v>
          </cell>
          <cell r="AT33">
            <v>0</v>
          </cell>
          <cell r="AX33">
            <v>-49</v>
          </cell>
          <cell r="AY33">
            <v>-1514</v>
          </cell>
          <cell r="AZ33">
            <v>-1543</v>
          </cell>
          <cell r="BA33">
            <v>-1657</v>
          </cell>
          <cell r="BB33">
            <v>-1587</v>
          </cell>
          <cell r="BC33">
            <v>-1612</v>
          </cell>
          <cell r="BD33">
            <v>-1576</v>
          </cell>
          <cell r="BE33">
            <v>-1507</v>
          </cell>
          <cell r="BF33">
            <v>-1530</v>
          </cell>
          <cell r="BH33">
            <v>-1490</v>
          </cell>
        </row>
        <row r="34">
          <cell r="H34">
            <v>1350</v>
          </cell>
          <cell r="I34">
            <v>1350</v>
          </cell>
          <cell r="J34">
            <v>1350</v>
          </cell>
          <cell r="K34">
            <v>1350</v>
          </cell>
          <cell r="L34">
            <v>1350</v>
          </cell>
          <cell r="M34">
            <v>1350</v>
          </cell>
          <cell r="N34">
            <v>1350</v>
          </cell>
          <cell r="O34">
            <v>1350</v>
          </cell>
          <cell r="P34">
            <v>1350</v>
          </cell>
          <cell r="R34">
            <v>1350</v>
          </cell>
          <cell r="V34">
            <v>284</v>
          </cell>
          <cell r="W34">
            <v>284</v>
          </cell>
          <cell r="X34">
            <v>284</v>
          </cell>
          <cell r="Y34">
            <v>284</v>
          </cell>
          <cell r="Z34">
            <v>284</v>
          </cell>
          <cell r="AA34">
            <v>284</v>
          </cell>
          <cell r="AB34">
            <v>284</v>
          </cell>
          <cell r="AC34">
            <v>284</v>
          </cell>
          <cell r="AE34">
            <v>284</v>
          </cell>
          <cell r="AF34">
            <v>284</v>
          </cell>
          <cell r="AJ34">
            <v>0</v>
          </cell>
          <cell r="AK34">
            <v>0</v>
          </cell>
          <cell r="AL34">
            <v>0</v>
          </cell>
          <cell r="AM34">
            <v>0</v>
          </cell>
          <cell r="AN34">
            <v>0</v>
          </cell>
          <cell r="AO34">
            <v>0</v>
          </cell>
          <cell r="AQ34">
            <v>0</v>
          </cell>
          <cell r="AR34">
            <v>0</v>
          </cell>
          <cell r="AT34">
            <v>0</v>
          </cell>
          <cell r="AX34">
            <v>1634</v>
          </cell>
          <cell r="AY34">
            <v>1634</v>
          </cell>
          <cell r="AZ34">
            <v>1634</v>
          </cell>
          <cell r="BA34">
            <v>1634</v>
          </cell>
          <cell r="BB34">
            <v>1634</v>
          </cell>
          <cell r="BC34">
            <v>1634</v>
          </cell>
          <cell r="BD34">
            <v>1634</v>
          </cell>
          <cell r="BE34">
            <v>1634</v>
          </cell>
          <cell r="BF34">
            <v>1634</v>
          </cell>
          <cell r="BH34">
            <v>1634</v>
          </cell>
        </row>
        <row r="35">
          <cell r="H35">
            <v>131404</v>
          </cell>
          <cell r="I35">
            <v>13973</v>
          </cell>
          <cell r="J35">
            <v>27376</v>
          </cell>
          <cell r="K35">
            <v>-31533.08</v>
          </cell>
          <cell r="L35">
            <v>176737.44</v>
          </cell>
          <cell r="M35">
            <v>-170763</v>
          </cell>
          <cell r="N35">
            <v>40150.65</v>
          </cell>
          <cell r="O35">
            <v>74645.13</v>
          </cell>
          <cell r="P35">
            <v>-18469.240000000002</v>
          </cell>
          <cell r="R35">
            <v>-48951.01</v>
          </cell>
          <cell r="V35">
            <v>-1127705</v>
          </cell>
          <cell r="W35">
            <v>-1052237</v>
          </cell>
          <cell r="X35">
            <v>-956518</v>
          </cell>
          <cell r="Y35">
            <v>397619.9</v>
          </cell>
          <cell r="Z35">
            <v>87117.13</v>
          </cell>
          <cell r="AA35">
            <v>-169212</v>
          </cell>
          <cell r="AB35">
            <v>-171682.2</v>
          </cell>
          <cell r="AC35">
            <v>-292318.7</v>
          </cell>
          <cell r="AE35">
            <v>-117353.57</v>
          </cell>
          <cell r="AF35">
            <v>511900.71</v>
          </cell>
          <cell r="AJ35">
            <v>0</v>
          </cell>
          <cell r="AK35">
            <v>0</v>
          </cell>
          <cell r="AL35">
            <v>0</v>
          </cell>
          <cell r="AM35">
            <v>0</v>
          </cell>
          <cell r="AN35">
            <v>0</v>
          </cell>
          <cell r="AO35">
            <v>0</v>
          </cell>
          <cell r="AQ35">
            <v>0</v>
          </cell>
          <cell r="AR35">
            <v>0</v>
          </cell>
          <cell r="AT35">
            <v>0</v>
          </cell>
          <cell r="AX35">
            <v>-996301</v>
          </cell>
          <cell r="AY35">
            <v>-1038264</v>
          </cell>
          <cell r="AZ35">
            <v>-929142</v>
          </cell>
          <cell r="BA35">
            <v>366086.82</v>
          </cell>
          <cell r="BB35">
            <v>263854.57</v>
          </cell>
          <cell r="BC35">
            <v>-339975</v>
          </cell>
          <cell r="BD35">
            <v>-131531.55000000002</v>
          </cell>
          <cell r="BE35">
            <v>-217673.57</v>
          </cell>
          <cell r="BF35">
            <v>-756678.3</v>
          </cell>
          <cell r="BH35">
            <v>462949.7</v>
          </cell>
        </row>
        <row r="36">
          <cell r="H36">
            <v>-11000</v>
          </cell>
          <cell r="I36">
            <v>-11000</v>
          </cell>
          <cell r="J36">
            <v>-11000</v>
          </cell>
          <cell r="K36">
            <v>-11000</v>
          </cell>
          <cell r="L36">
            <v>-11000</v>
          </cell>
          <cell r="M36">
            <v>-11000</v>
          </cell>
          <cell r="N36">
            <v>77000</v>
          </cell>
          <cell r="O36">
            <v>0</v>
          </cell>
          <cell r="P36">
            <v>0</v>
          </cell>
          <cell r="R36">
            <v>0</v>
          </cell>
          <cell r="V36">
            <v>-9000</v>
          </cell>
          <cell r="W36">
            <v>-9000</v>
          </cell>
          <cell r="X36">
            <v>-9000</v>
          </cell>
          <cell r="Y36">
            <v>-9000</v>
          </cell>
          <cell r="Z36">
            <v>-9000</v>
          </cell>
          <cell r="AA36">
            <v>-9000</v>
          </cell>
          <cell r="AB36">
            <v>63000</v>
          </cell>
          <cell r="AC36">
            <v>0</v>
          </cell>
          <cell r="AE36">
            <v>0</v>
          </cell>
          <cell r="AF36">
            <v>0</v>
          </cell>
          <cell r="AJ36">
            <v>0</v>
          </cell>
          <cell r="AK36">
            <v>0</v>
          </cell>
          <cell r="AL36">
            <v>0</v>
          </cell>
          <cell r="AM36">
            <v>0</v>
          </cell>
          <cell r="AN36">
            <v>0</v>
          </cell>
          <cell r="AO36">
            <v>0</v>
          </cell>
          <cell r="AQ36">
            <v>0</v>
          </cell>
          <cell r="AR36">
            <v>0</v>
          </cell>
          <cell r="AT36">
            <v>0</v>
          </cell>
          <cell r="AX36">
            <v>-20000</v>
          </cell>
          <cell r="AY36">
            <v>-20000</v>
          </cell>
          <cell r="AZ36">
            <v>-20000</v>
          </cell>
          <cell r="BA36">
            <v>-20000</v>
          </cell>
          <cell r="BB36">
            <v>-20000</v>
          </cell>
          <cell r="BC36">
            <v>-20000</v>
          </cell>
          <cell r="BD36">
            <v>140000</v>
          </cell>
          <cell r="BE36">
            <v>0</v>
          </cell>
          <cell r="BF36">
            <v>0</v>
          </cell>
          <cell r="BH36">
            <v>0</v>
          </cell>
        </row>
        <row r="37">
          <cell r="H37">
            <v>2264</v>
          </cell>
          <cell r="I37">
            <v>2264</v>
          </cell>
          <cell r="J37">
            <v>2264</v>
          </cell>
          <cell r="K37">
            <v>2263.89</v>
          </cell>
          <cell r="L37">
            <v>2263.89</v>
          </cell>
          <cell r="M37">
            <v>2263.89</v>
          </cell>
          <cell r="N37">
            <v>2263.89</v>
          </cell>
          <cell r="O37">
            <v>2263.89</v>
          </cell>
          <cell r="P37">
            <v>2263.89</v>
          </cell>
          <cell r="R37">
            <v>2263.89</v>
          </cell>
          <cell r="V37">
            <v>2175</v>
          </cell>
          <cell r="W37">
            <v>2175</v>
          </cell>
          <cell r="X37">
            <v>2175</v>
          </cell>
          <cell r="Y37">
            <v>2175</v>
          </cell>
          <cell r="Z37">
            <v>2175.11</v>
          </cell>
          <cell r="AA37">
            <v>2175.11</v>
          </cell>
          <cell r="AB37">
            <v>2175.11</v>
          </cell>
          <cell r="AC37">
            <v>2175.11</v>
          </cell>
          <cell r="AE37">
            <v>2175.11</v>
          </cell>
          <cell r="AF37">
            <v>2175.11</v>
          </cell>
          <cell r="AJ37">
            <v>0</v>
          </cell>
          <cell r="AK37">
            <v>0</v>
          </cell>
          <cell r="AL37">
            <v>0</v>
          </cell>
          <cell r="AM37">
            <v>0</v>
          </cell>
          <cell r="AN37">
            <v>0</v>
          </cell>
          <cell r="AO37">
            <v>0</v>
          </cell>
          <cell r="AQ37">
            <v>0</v>
          </cell>
          <cell r="AR37">
            <v>0</v>
          </cell>
          <cell r="AT37">
            <v>0</v>
          </cell>
          <cell r="AX37">
            <v>4439</v>
          </cell>
          <cell r="AY37">
            <v>4439</v>
          </cell>
          <cell r="AZ37">
            <v>4439</v>
          </cell>
          <cell r="BA37">
            <v>4438.8899999999994</v>
          </cell>
          <cell r="BB37">
            <v>4439</v>
          </cell>
          <cell r="BC37">
            <v>4439</v>
          </cell>
          <cell r="BD37">
            <v>4439</v>
          </cell>
          <cell r="BE37">
            <v>4439</v>
          </cell>
          <cell r="BF37">
            <v>4439</v>
          </cell>
          <cell r="BH37">
            <v>4439</v>
          </cell>
        </row>
        <row r="38">
          <cell r="H38">
            <v>201</v>
          </cell>
          <cell r="I38">
            <v>201</v>
          </cell>
          <cell r="J38">
            <v>201</v>
          </cell>
          <cell r="K38">
            <v>201</v>
          </cell>
          <cell r="L38">
            <v>201</v>
          </cell>
          <cell r="M38">
            <v>201</v>
          </cell>
          <cell r="N38">
            <v>201</v>
          </cell>
          <cell r="O38">
            <v>201</v>
          </cell>
          <cell r="P38">
            <v>201</v>
          </cell>
          <cell r="R38">
            <v>201</v>
          </cell>
          <cell r="V38">
            <v>111</v>
          </cell>
          <cell r="W38">
            <v>111</v>
          </cell>
          <cell r="X38">
            <v>111</v>
          </cell>
          <cell r="Y38">
            <v>111</v>
          </cell>
          <cell r="Z38">
            <v>111</v>
          </cell>
          <cell r="AA38">
            <v>111</v>
          </cell>
          <cell r="AB38">
            <v>111</v>
          </cell>
          <cell r="AC38">
            <v>111</v>
          </cell>
          <cell r="AE38">
            <v>111</v>
          </cell>
          <cell r="AF38">
            <v>111</v>
          </cell>
          <cell r="AJ38">
            <v>0</v>
          </cell>
          <cell r="AK38">
            <v>0</v>
          </cell>
          <cell r="AL38">
            <v>0</v>
          </cell>
          <cell r="AM38">
            <v>0</v>
          </cell>
          <cell r="AN38">
            <v>0</v>
          </cell>
          <cell r="AO38">
            <v>0</v>
          </cell>
          <cell r="AQ38">
            <v>0</v>
          </cell>
          <cell r="AR38">
            <v>0</v>
          </cell>
          <cell r="AT38">
            <v>0</v>
          </cell>
          <cell r="AX38">
            <v>312</v>
          </cell>
          <cell r="AY38">
            <v>312</v>
          </cell>
          <cell r="AZ38">
            <v>312</v>
          </cell>
          <cell r="BA38">
            <v>312</v>
          </cell>
          <cell r="BB38">
            <v>312</v>
          </cell>
          <cell r="BC38">
            <v>312</v>
          </cell>
          <cell r="BD38">
            <v>312</v>
          </cell>
          <cell r="BE38">
            <v>312</v>
          </cell>
          <cell r="BF38">
            <v>312</v>
          </cell>
          <cell r="BH38">
            <v>312</v>
          </cell>
        </row>
        <row r="39">
          <cell r="H39">
            <v>-12</v>
          </cell>
          <cell r="I39">
            <v>-12</v>
          </cell>
          <cell r="J39">
            <v>-12</v>
          </cell>
          <cell r="K39">
            <v>-12</v>
          </cell>
          <cell r="L39">
            <v>-12</v>
          </cell>
          <cell r="M39">
            <v>-12</v>
          </cell>
          <cell r="N39">
            <v>-12</v>
          </cell>
          <cell r="O39">
            <v>-12</v>
          </cell>
          <cell r="P39">
            <v>-12</v>
          </cell>
          <cell r="R39">
            <v>-12</v>
          </cell>
          <cell r="V39">
            <v>-7</v>
          </cell>
          <cell r="W39">
            <v>-7</v>
          </cell>
          <cell r="X39">
            <v>-7</v>
          </cell>
          <cell r="Y39">
            <v>-7</v>
          </cell>
          <cell r="Z39">
            <v>-7</v>
          </cell>
          <cell r="AA39">
            <v>-7</v>
          </cell>
          <cell r="AB39">
            <v>-7</v>
          </cell>
          <cell r="AC39">
            <v>-7</v>
          </cell>
          <cell r="AE39">
            <v>-7</v>
          </cell>
          <cell r="AF39">
            <v>-7</v>
          </cell>
          <cell r="AJ39">
            <v>0</v>
          </cell>
          <cell r="AK39">
            <v>0</v>
          </cell>
          <cell r="AL39">
            <v>0</v>
          </cell>
          <cell r="AM39">
            <v>0</v>
          </cell>
          <cell r="AN39">
            <v>0</v>
          </cell>
          <cell r="AO39">
            <v>0</v>
          </cell>
          <cell r="AQ39">
            <v>0</v>
          </cell>
          <cell r="AR39">
            <v>0</v>
          </cell>
          <cell r="AT39">
            <v>0</v>
          </cell>
          <cell r="AX39">
            <v>-19</v>
          </cell>
          <cell r="AY39">
            <v>-19</v>
          </cell>
          <cell r="AZ39">
            <v>-19</v>
          </cell>
          <cell r="BA39">
            <v>-19</v>
          </cell>
          <cell r="BB39">
            <v>-19</v>
          </cell>
          <cell r="BC39">
            <v>-19</v>
          </cell>
          <cell r="BD39">
            <v>-19</v>
          </cell>
          <cell r="BE39">
            <v>-19</v>
          </cell>
          <cell r="BF39">
            <v>-19</v>
          </cell>
          <cell r="BH39">
            <v>-19</v>
          </cell>
        </row>
        <row r="40">
          <cell r="H40">
            <v>338</v>
          </cell>
          <cell r="I40">
            <v>63</v>
          </cell>
          <cell r="J40">
            <v>154</v>
          </cell>
          <cell r="K40">
            <v>226.87000000000003</v>
          </cell>
          <cell r="L40">
            <v>124.29100000000001</v>
          </cell>
          <cell r="M40">
            <v>155.25850000000003</v>
          </cell>
          <cell r="N40">
            <v>91.987500000000011</v>
          </cell>
          <cell r="O40">
            <v>87.928500000000014</v>
          </cell>
          <cell r="P40">
            <v>127</v>
          </cell>
          <cell r="R40">
            <v>60.605250000000005</v>
          </cell>
          <cell r="V40">
            <v>121</v>
          </cell>
          <cell r="W40">
            <v>51</v>
          </cell>
          <cell r="X40">
            <v>106</v>
          </cell>
          <cell r="Y40">
            <v>149.44499999999996</v>
          </cell>
          <cell r="Z40">
            <v>25.298999999999992</v>
          </cell>
          <cell r="AA40">
            <v>127.54149999999998</v>
          </cell>
          <cell r="AB40">
            <v>75.262499999999989</v>
          </cell>
          <cell r="AC40">
            <v>71.941499999999991</v>
          </cell>
          <cell r="AE40">
            <v>244.37425000000002</v>
          </cell>
          <cell r="AF40">
            <v>55.279750000000007</v>
          </cell>
          <cell r="AJ40">
            <v>0</v>
          </cell>
          <cell r="AK40">
            <v>0</v>
          </cell>
          <cell r="AL40">
            <v>0</v>
          </cell>
          <cell r="AM40">
            <v>0</v>
          </cell>
          <cell r="AN40">
            <v>0</v>
          </cell>
          <cell r="AO40">
            <v>0</v>
          </cell>
          <cell r="AQ40">
            <v>0</v>
          </cell>
          <cell r="AR40">
            <v>0</v>
          </cell>
          <cell r="AT40">
            <v>0</v>
          </cell>
          <cell r="AX40">
            <v>459</v>
          </cell>
          <cell r="AY40">
            <v>114</v>
          </cell>
          <cell r="AZ40">
            <v>260</v>
          </cell>
          <cell r="BA40">
            <v>376.315</v>
          </cell>
          <cell r="BB40">
            <v>149.59</v>
          </cell>
          <cell r="BC40">
            <v>282.8</v>
          </cell>
          <cell r="BD40">
            <v>167.25</v>
          </cell>
          <cell r="BE40">
            <v>159.87</v>
          </cell>
          <cell r="BF40">
            <v>208</v>
          </cell>
          <cell r="BH40">
            <v>115.88500000000002</v>
          </cell>
        </row>
        <row r="51">
          <cell r="H51">
            <v>0</v>
          </cell>
          <cell r="I51">
            <v>0</v>
          </cell>
          <cell r="J51">
            <v>-4401</v>
          </cell>
          <cell r="K51">
            <v>0</v>
          </cell>
          <cell r="L51">
            <v>-4401</v>
          </cell>
          <cell r="M51">
            <v>0</v>
          </cell>
          <cell r="N51">
            <v>-715</v>
          </cell>
          <cell r="O51">
            <v>-4401</v>
          </cell>
          <cell r="P51">
            <v>0</v>
          </cell>
          <cell r="R51">
            <v>-4035</v>
          </cell>
          <cell r="V51">
            <v>0</v>
          </cell>
          <cell r="W51">
            <v>0</v>
          </cell>
          <cell r="X51">
            <v>-2349</v>
          </cell>
          <cell r="Y51">
            <v>0</v>
          </cell>
          <cell r="Z51">
            <v>-2349</v>
          </cell>
          <cell r="AA51">
            <v>0</v>
          </cell>
          <cell r="AB51">
            <v>-381</v>
          </cell>
          <cell r="AC51">
            <v>-2349</v>
          </cell>
          <cell r="AD51">
            <v>0</v>
          </cell>
          <cell r="AF51">
            <v>-2153</v>
          </cell>
          <cell r="AJ51">
            <v>0</v>
          </cell>
          <cell r="AK51">
            <v>0</v>
          </cell>
          <cell r="AL51">
            <v>0</v>
          </cell>
          <cell r="AM51">
            <v>0</v>
          </cell>
          <cell r="AN51">
            <v>0</v>
          </cell>
          <cell r="AO51">
            <v>0</v>
          </cell>
          <cell r="AP51">
            <v>0</v>
          </cell>
          <cell r="AQ51">
            <v>0</v>
          </cell>
          <cell r="AR51">
            <v>0</v>
          </cell>
          <cell r="AT51">
            <v>0</v>
          </cell>
          <cell r="AX51">
            <v>0</v>
          </cell>
          <cell r="AY51">
            <v>0</v>
          </cell>
          <cell r="AZ51">
            <v>-6750</v>
          </cell>
          <cell r="BA51">
            <v>0</v>
          </cell>
          <cell r="BB51">
            <v>-6750</v>
          </cell>
          <cell r="BC51">
            <v>0</v>
          </cell>
          <cell r="BD51">
            <v>-1096</v>
          </cell>
          <cell r="BE51">
            <v>-6750</v>
          </cell>
          <cell r="BF51">
            <v>0</v>
          </cell>
          <cell r="BH51">
            <v>-6188</v>
          </cell>
        </row>
        <row r="52">
          <cell r="H52">
            <v>0</v>
          </cell>
          <cell r="I52">
            <v>0</v>
          </cell>
          <cell r="J52">
            <v>0</v>
          </cell>
          <cell r="K52">
            <v>0</v>
          </cell>
          <cell r="L52">
            <v>0</v>
          </cell>
          <cell r="M52">
            <v>0</v>
          </cell>
          <cell r="N52">
            <v>0</v>
          </cell>
          <cell r="O52">
            <v>0</v>
          </cell>
          <cell r="P52">
            <v>0</v>
          </cell>
          <cell r="R52">
            <v>0</v>
          </cell>
          <cell r="V52">
            <v>0</v>
          </cell>
          <cell r="W52">
            <v>0</v>
          </cell>
          <cell r="X52">
            <v>0</v>
          </cell>
          <cell r="Y52">
            <v>0</v>
          </cell>
          <cell r="Z52">
            <v>0</v>
          </cell>
          <cell r="AA52">
            <v>0</v>
          </cell>
          <cell r="AC52">
            <v>0</v>
          </cell>
          <cell r="AD52">
            <v>0</v>
          </cell>
          <cell r="AF52">
            <v>0</v>
          </cell>
          <cell r="AJ52">
            <v>0</v>
          </cell>
          <cell r="AK52">
            <v>0</v>
          </cell>
          <cell r="AL52">
            <v>0</v>
          </cell>
          <cell r="AM52">
            <v>0</v>
          </cell>
          <cell r="AN52">
            <v>0</v>
          </cell>
          <cell r="AO52">
            <v>0</v>
          </cell>
          <cell r="AQ52">
            <v>0</v>
          </cell>
          <cell r="AR52">
            <v>0</v>
          </cell>
          <cell r="AT52">
            <v>0</v>
          </cell>
        </row>
        <row r="56">
          <cell r="H56">
            <v>0</v>
          </cell>
          <cell r="I56">
            <v>0</v>
          </cell>
          <cell r="J56">
            <v>0</v>
          </cell>
          <cell r="K56">
            <v>0</v>
          </cell>
          <cell r="L56">
            <v>0</v>
          </cell>
          <cell r="M56">
            <v>0</v>
          </cell>
          <cell r="N56">
            <v>0</v>
          </cell>
          <cell r="O56">
            <v>0</v>
          </cell>
          <cell r="P56">
            <v>0</v>
          </cell>
          <cell r="R56">
            <v>-48890</v>
          </cell>
          <cell r="V56">
            <v>0</v>
          </cell>
          <cell r="W56">
            <v>0</v>
          </cell>
          <cell r="X56">
            <v>0</v>
          </cell>
          <cell r="Y56">
            <v>0</v>
          </cell>
          <cell r="Z56">
            <v>0</v>
          </cell>
          <cell r="AA56">
            <v>0</v>
          </cell>
          <cell r="AC56">
            <v>0</v>
          </cell>
          <cell r="AE56">
            <v>0</v>
          </cell>
          <cell r="AF56">
            <v>-24606</v>
          </cell>
          <cell r="AJ56">
            <v>0</v>
          </cell>
          <cell r="AK56">
            <v>0</v>
          </cell>
          <cell r="AL56">
            <v>0</v>
          </cell>
          <cell r="AM56">
            <v>0</v>
          </cell>
          <cell r="AN56">
            <v>0</v>
          </cell>
          <cell r="AO56">
            <v>0</v>
          </cell>
          <cell r="AQ56">
            <v>0</v>
          </cell>
          <cell r="AR56">
            <v>0</v>
          </cell>
          <cell r="AT56">
            <v>0</v>
          </cell>
          <cell r="AX56">
            <v>0</v>
          </cell>
          <cell r="AY56">
            <v>0</v>
          </cell>
          <cell r="AZ56">
            <v>0</v>
          </cell>
          <cell r="BA56">
            <v>0</v>
          </cell>
          <cell r="BB56">
            <v>0</v>
          </cell>
          <cell r="BC56">
            <v>0</v>
          </cell>
          <cell r="BD56">
            <v>0</v>
          </cell>
          <cell r="BE56">
            <v>0</v>
          </cell>
          <cell r="BF56">
            <v>0</v>
          </cell>
          <cell r="BH56">
            <v>-73496</v>
          </cell>
        </row>
        <row r="70">
          <cell r="G70">
            <v>25100</v>
          </cell>
          <cell r="H70">
            <v>25100</v>
          </cell>
          <cell r="I70">
            <v>25100</v>
          </cell>
          <cell r="J70">
            <v>25100</v>
          </cell>
          <cell r="K70">
            <v>25100</v>
          </cell>
          <cell r="L70">
            <v>25100</v>
          </cell>
          <cell r="M70">
            <v>25100</v>
          </cell>
          <cell r="N70">
            <v>25100</v>
          </cell>
          <cell r="O70">
            <v>25100</v>
          </cell>
          <cell r="P70">
            <v>25100</v>
          </cell>
          <cell r="R70">
            <v>20206</v>
          </cell>
          <cell r="U70">
            <v>19100</v>
          </cell>
          <cell r="V70">
            <v>19100</v>
          </cell>
          <cell r="W70">
            <v>19100</v>
          </cell>
          <cell r="X70">
            <v>19100</v>
          </cell>
          <cell r="Y70">
            <v>19100</v>
          </cell>
          <cell r="Z70">
            <v>19100</v>
          </cell>
          <cell r="AA70">
            <v>19100</v>
          </cell>
          <cell r="AB70">
            <v>19100</v>
          </cell>
          <cell r="AC70">
            <v>19100</v>
          </cell>
          <cell r="AD70">
            <v>19100</v>
          </cell>
          <cell r="AF70">
            <v>-8132</v>
          </cell>
          <cell r="AI70">
            <v>0</v>
          </cell>
          <cell r="AJ70">
            <v>0</v>
          </cell>
          <cell r="AK70">
            <v>0</v>
          </cell>
          <cell r="AL70">
            <v>0</v>
          </cell>
          <cell r="AM70">
            <v>0</v>
          </cell>
          <cell r="AO70">
            <v>0</v>
          </cell>
          <cell r="AQ70">
            <v>0</v>
          </cell>
          <cell r="AR70">
            <v>0</v>
          </cell>
          <cell r="AS70">
            <v>0</v>
          </cell>
          <cell r="AT70">
            <v>0</v>
          </cell>
          <cell r="AW70">
            <v>44200</v>
          </cell>
          <cell r="AX70">
            <v>44200</v>
          </cell>
          <cell r="AY70">
            <v>44200</v>
          </cell>
          <cell r="AZ70">
            <v>44200</v>
          </cell>
          <cell r="BA70">
            <v>44200</v>
          </cell>
          <cell r="BB70">
            <v>44200</v>
          </cell>
          <cell r="BC70">
            <v>44200</v>
          </cell>
          <cell r="BD70">
            <v>44200</v>
          </cell>
          <cell r="BE70">
            <v>44200</v>
          </cell>
          <cell r="BF70">
            <v>44200</v>
          </cell>
          <cell r="BH70">
            <v>12074</v>
          </cell>
        </row>
        <row r="71">
          <cell r="G71">
            <v>-11100</v>
          </cell>
          <cell r="H71">
            <v>-11100</v>
          </cell>
          <cell r="I71">
            <v>-11100</v>
          </cell>
          <cell r="J71">
            <v>-11100</v>
          </cell>
          <cell r="K71">
            <v>-11100</v>
          </cell>
          <cell r="L71">
            <v>-11100</v>
          </cell>
          <cell r="M71">
            <v>-11100</v>
          </cell>
          <cell r="N71">
            <v>-11100</v>
          </cell>
          <cell r="O71">
            <v>-11100</v>
          </cell>
          <cell r="P71">
            <v>-11100</v>
          </cell>
          <cell r="R71">
            <v>-16199</v>
          </cell>
          <cell r="U71">
            <v>-3700</v>
          </cell>
          <cell r="V71">
            <v>-3700</v>
          </cell>
          <cell r="W71">
            <v>-3700</v>
          </cell>
          <cell r="X71">
            <v>-3700</v>
          </cell>
          <cell r="Y71">
            <v>-3700</v>
          </cell>
          <cell r="Z71">
            <v>-3700</v>
          </cell>
          <cell r="AA71">
            <v>-3700</v>
          </cell>
          <cell r="AB71">
            <v>-3700</v>
          </cell>
          <cell r="AC71">
            <v>-3700</v>
          </cell>
          <cell r="AD71">
            <v>-3700</v>
          </cell>
          <cell r="AF71">
            <v>2290</v>
          </cell>
          <cell r="AJ71">
            <v>0</v>
          </cell>
          <cell r="AK71">
            <v>0</v>
          </cell>
          <cell r="AL71">
            <v>0</v>
          </cell>
          <cell r="AM71">
            <v>0</v>
          </cell>
          <cell r="AO71">
            <v>0</v>
          </cell>
          <cell r="AQ71">
            <v>0</v>
          </cell>
          <cell r="AR71">
            <v>0</v>
          </cell>
          <cell r="AS71">
            <v>0</v>
          </cell>
          <cell r="AT71">
            <v>0</v>
          </cell>
          <cell r="AW71">
            <v>-14800</v>
          </cell>
          <cell r="AX71">
            <v>-14800</v>
          </cell>
          <cell r="AY71">
            <v>-14800</v>
          </cell>
          <cell r="AZ71">
            <v>-14800</v>
          </cell>
          <cell r="BA71">
            <v>-14800</v>
          </cell>
          <cell r="BB71">
            <v>-14800</v>
          </cell>
          <cell r="BC71">
            <v>-14800</v>
          </cell>
          <cell r="BD71">
            <v>-14800</v>
          </cell>
          <cell r="BE71">
            <v>-14800</v>
          </cell>
          <cell r="BF71">
            <v>-14800</v>
          </cell>
          <cell r="BH71">
            <v>-13909</v>
          </cell>
        </row>
        <row r="72">
          <cell r="G72">
            <v>2500</v>
          </cell>
          <cell r="H72">
            <v>2500</v>
          </cell>
          <cell r="I72">
            <v>2500</v>
          </cell>
          <cell r="J72">
            <v>2500</v>
          </cell>
          <cell r="K72">
            <v>2500</v>
          </cell>
          <cell r="L72">
            <v>2500</v>
          </cell>
          <cell r="M72">
            <v>2500</v>
          </cell>
          <cell r="N72">
            <v>2500</v>
          </cell>
          <cell r="O72">
            <v>2500</v>
          </cell>
          <cell r="P72">
            <v>2500</v>
          </cell>
          <cell r="R72">
            <v>3499</v>
          </cell>
          <cell r="U72">
            <v>1200</v>
          </cell>
          <cell r="V72">
            <v>1200</v>
          </cell>
          <cell r="W72">
            <v>1200</v>
          </cell>
          <cell r="X72">
            <v>1200</v>
          </cell>
          <cell r="Y72">
            <v>1200</v>
          </cell>
          <cell r="Z72">
            <v>1200</v>
          </cell>
          <cell r="AA72">
            <v>1200</v>
          </cell>
          <cell r="AB72">
            <v>1200</v>
          </cell>
          <cell r="AC72">
            <v>1200</v>
          </cell>
          <cell r="AD72">
            <v>1200</v>
          </cell>
          <cell r="AF72">
            <v>1357</v>
          </cell>
          <cell r="AJ72">
            <v>0</v>
          </cell>
          <cell r="AK72">
            <v>0</v>
          </cell>
          <cell r="AL72">
            <v>0</v>
          </cell>
          <cell r="AM72">
            <v>0</v>
          </cell>
          <cell r="AO72">
            <v>0</v>
          </cell>
          <cell r="AQ72">
            <v>0</v>
          </cell>
          <cell r="AR72">
            <v>0</v>
          </cell>
          <cell r="AS72">
            <v>0</v>
          </cell>
          <cell r="AT72">
            <v>0</v>
          </cell>
          <cell r="AW72">
            <v>3700</v>
          </cell>
          <cell r="AX72">
            <v>3700</v>
          </cell>
          <cell r="AY72">
            <v>3700</v>
          </cell>
          <cell r="AZ72">
            <v>3700</v>
          </cell>
          <cell r="BA72">
            <v>3700</v>
          </cell>
          <cell r="BB72">
            <v>3700</v>
          </cell>
          <cell r="BC72">
            <v>3700</v>
          </cell>
          <cell r="BD72">
            <v>3700</v>
          </cell>
          <cell r="BE72">
            <v>3700</v>
          </cell>
          <cell r="BF72">
            <v>3700</v>
          </cell>
          <cell r="BH72">
            <v>4856</v>
          </cell>
        </row>
        <row r="73">
          <cell r="G73">
            <v>0</v>
          </cell>
          <cell r="H73">
            <v>0</v>
          </cell>
          <cell r="I73">
            <v>0</v>
          </cell>
          <cell r="J73">
            <v>0</v>
          </cell>
          <cell r="K73">
            <v>0</v>
          </cell>
          <cell r="L73">
            <v>0</v>
          </cell>
          <cell r="M73">
            <v>0</v>
          </cell>
          <cell r="N73">
            <v>0</v>
          </cell>
          <cell r="O73">
            <v>0</v>
          </cell>
          <cell r="P73">
            <v>0</v>
          </cell>
          <cell r="R73">
            <v>0</v>
          </cell>
          <cell r="V73">
            <v>0</v>
          </cell>
          <cell r="W73">
            <v>0</v>
          </cell>
          <cell r="X73">
            <v>0</v>
          </cell>
          <cell r="Y73">
            <v>0</v>
          </cell>
          <cell r="Z73">
            <v>0</v>
          </cell>
          <cell r="AA73">
            <v>0</v>
          </cell>
          <cell r="AC73">
            <v>0</v>
          </cell>
          <cell r="AD73">
            <v>0</v>
          </cell>
          <cell r="AF73">
            <v>0</v>
          </cell>
          <cell r="AJ73">
            <v>0</v>
          </cell>
          <cell r="AK73">
            <v>0</v>
          </cell>
          <cell r="AL73">
            <v>0</v>
          </cell>
          <cell r="AM73">
            <v>0</v>
          </cell>
          <cell r="AO73">
            <v>0</v>
          </cell>
          <cell r="AQ73">
            <v>0</v>
          </cell>
          <cell r="AR73">
            <v>0</v>
          </cell>
          <cell r="AS73">
            <v>0</v>
          </cell>
          <cell r="AT73">
            <v>0</v>
          </cell>
          <cell r="AX73">
            <v>0</v>
          </cell>
          <cell r="AY73">
            <v>0</v>
          </cell>
          <cell r="AZ73">
            <v>0</v>
          </cell>
          <cell r="BA73">
            <v>0</v>
          </cell>
          <cell r="BB73">
            <v>0</v>
          </cell>
          <cell r="BC73">
            <v>0</v>
          </cell>
          <cell r="BD73">
            <v>0</v>
          </cell>
          <cell r="BE73">
            <v>0</v>
          </cell>
          <cell r="BF73">
            <v>0</v>
          </cell>
          <cell r="BH73">
            <v>0</v>
          </cell>
        </row>
        <row r="74">
          <cell r="G74">
            <v>16800</v>
          </cell>
          <cell r="H74">
            <v>78750</v>
          </cell>
          <cell r="I74">
            <v>47775</v>
          </cell>
          <cell r="J74">
            <v>47775</v>
          </cell>
          <cell r="K74">
            <v>47775</v>
          </cell>
          <cell r="L74">
            <v>47775</v>
          </cell>
          <cell r="M74">
            <v>47775</v>
          </cell>
          <cell r="N74">
            <v>47775</v>
          </cell>
          <cell r="O74">
            <v>47775</v>
          </cell>
          <cell r="P74">
            <v>47775</v>
          </cell>
          <cell r="R74">
            <v>51875</v>
          </cell>
          <cell r="U74">
            <v>21910</v>
          </cell>
          <cell r="V74">
            <v>21910</v>
          </cell>
          <cell r="W74">
            <v>21910</v>
          </cell>
          <cell r="X74">
            <v>21910</v>
          </cell>
          <cell r="Y74">
            <v>21910</v>
          </cell>
          <cell r="Z74">
            <v>21910</v>
          </cell>
          <cell r="AA74">
            <v>21910</v>
          </cell>
          <cell r="AB74">
            <v>21910</v>
          </cell>
          <cell r="AC74">
            <v>21910</v>
          </cell>
          <cell r="AD74">
            <v>21910</v>
          </cell>
          <cell r="AF74">
            <v>14722</v>
          </cell>
          <cell r="AI74">
            <v>0</v>
          </cell>
          <cell r="AJ74">
            <v>0</v>
          </cell>
          <cell r="AK74">
            <v>0</v>
          </cell>
          <cell r="AL74">
            <v>0</v>
          </cell>
          <cell r="AM74">
            <v>0</v>
          </cell>
          <cell r="AO74">
            <v>0</v>
          </cell>
          <cell r="AQ74">
            <v>0</v>
          </cell>
          <cell r="AR74">
            <v>0</v>
          </cell>
          <cell r="AS74">
            <v>0</v>
          </cell>
          <cell r="AT74">
            <v>0</v>
          </cell>
          <cell r="AW74">
            <v>38710</v>
          </cell>
          <cell r="AX74">
            <v>100660</v>
          </cell>
          <cell r="AY74">
            <v>69685</v>
          </cell>
          <cell r="AZ74">
            <v>69685</v>
          </cell>
          <cell r="BA74">
            <v>69685</v>
          </cell>
          <cell r="BB74">
            <v>69685</v>
          </cell>
          <cell r="BC74">
            <v>69685</v>
          </cell>
          <cell r="BD74">
            <v>69685</v>
          </cell>
          <cell r="BE74">
            <v>69685</v>
          </cell>
          <cell r="BF74">
            <v>69685</v>
          </cell>
          <cell r="BH74">
            <v>66597</v>
          </cell>
        </row>
        <row r="75">
          <cell r="G75">
            <v>-47527</v>
          </cell>
          <cell r="H75">
            <v>-47527</v>
          </cell>
          <cell r="I75">
            <v>-47527</v>
          </cell>
          <cell r="J75">
            <v>-47527</v>
          </cell>
          <cell r="K75">
            <v>-47527</v>
          </cell>
          <cell r="L75">
            <v>-47527</v>
          </cell>
          <cell r="M75">
            <v>-47527</v>
          </cell>
          <cell r="N75">
            <v>-47527</v>
          </cell>
          <cell r="O75">
            <v>-47527</v>
          </cell>
          <cell r="P75">
            <v>-47527</v>
          </cell>
          <cell r="R75">
            <v>-50618</v>
          </cell>
          <cell r="U75">
            <v>-22271</v>
          </cell>
          <cell r="V75">
            <v>-22271</v>
          </cell>
          <cell r="W75">
            <v>-22271</v>
          </cell>
          <cell r="X75">
            <v>-22271</v>
          </cell>
          <cell r="Y75">
            <v>-22271</v>
          </cell>
          <cell r="Z75">
            <v>-22271</v>
          </cell>
          <cell r="AA75">
            <v>-22271</v>
          </cell>
          <cell r="AB75">
            <v>-22271</v>
          </cell>
          <cell r="AC75">
            <v>-22271</v>
          </cell>
          <cell r="AD75">
            <v>-22271</v>
          </cell>
          <cell r="AF75">
            <v>-18269</v>
          </cell>
          <cell r="AI75">
            <v>0</v>
          </cell>
          <cell r="AJ75">
            <v>0</v>
          </cell>
          <cell r="AK75">
            <v>0</v>
          </cell>
          <cell r="AL75">
            <v>0</v>
          </cell>
          <cell r="AM75">
            <v>0</v>
          </cell>
          <cell r="AO75">
            <v>0</v>
          </cell>
          <cell r="AQ75">
            <v>0</v>
          </cell>
          <cell r="AR75">
            <v>0</v>
          </cell>
          <cell r="AS75">
            <v>0</v>
          </cell>
          <cell r="AT75">
            <v>0</v>
          </cell>
          <cell r="AW75">
            <v>-69798</v>
          </cell>
          <cell r="AX75">
            <v>-69798</v>
          </cell>
          <cell r="AY75">
            <v>-69798</v>
          </cell>
          <cell r="AZ75">
            <v>-69798</v>
          </cell>
          <cell r="BA75">
            <v>-69798</v>
          </cell>
          <cell r="BB75">
            <v>-69798</v>
          </cell>
          <cell r="BC75">
            <v>-69798</v>
          </cell>
          <cell r="BD75">
            <v>-69798</v>
          </cell>
          <cell r="BE75">
            <v>-69798</v>
          </cell>
          <cell r="BF75">
            <v>-69798</v>
          </cell>
          <cell r="BH75">
            <v>-68887</v>
          </cell>
        </row>
        <row r="76">
          <cell r="G76">
            <v>0</v>
          </cell>
          <cell r="H76">
            <v>0</v>
          </cell>
          <cell r="I76">
            <v>0</v>
          </cell>
          <cell r="J76">
            <v>0</v>
          </cell>
          <cell r="K76">
            <v>0</v>
          </cell>
          <cell r="L76">
            <v>0</v>
          </cell>
          <cell r="M76">
            <v>0</v>
          </cell>
          <cell r="N76">
            <v>0</v>
          </cell>
          <cell r="O76">
            <v>0</v>
          </cell>
          <cell r="P76">
            <v>0</v>
          </cell>
          <cell r="R76">
            <v>0</v>
          </cell>
          <cell r="U76">
            <v>0</v>
          </cell>
          <cell r="V76">
            <v>0</v>
          </cell>
          <cell r="W76">
            <v>0</v>
          </cell>
          <cell r="X76">
            <v>0</v>
          </cell>
          <cell r="Y76">
            <v>0</v>
          </cell>
          <cell r="Z76">
            <v>0</v>
          </cell>
          <cell r="AA76">
            <v>0</v>
          </cell>
          <cell r="AC76">
            <v>0</v>
          </cell>
          <cell r="AD76">
            <v>0</v>
          </cell>
          <cell r="AF76">
            <v>0</v>
          </cell>
          <cell r="AI76">
            <v>0</v>
          </cell>
          <cell r="AJ76">
            <v>0</v>
          </cell>
          <cell r="AK76">
            <v>0</v>
          </cell>
          <cell r="AL76">
            <v>0</v>
          </cell>
          <cell r="AM76">
            <v>0</v>
          </cell>
          <cell r="AO76">
            <v>0</v>
          </cell>
          <cell r="AQ76">
            <v>0</v>
          </cell>
          <cell r="AR76">
            <v>0</v>
          </cell>
          <cell r="AS76">
            <v>0</v>
          </cell>
          <cell r="AT76">
            <v>0</v>
          </cell>
          <cell r="AW76">
            <v>0</v>
          </cell>
          <cell r="AX76">
            <v>0</v>
          </cell>
          <cell r="AY76">
            <v>0</v>
          </cell>
          <cell r="AZ76">
            <v>0</v>
          </cell>
          <cell r="BA76">
            <v>0</v>
          </cell>
          <cell r="BB76">
            <v>0</v>
          </cell>
          <cell r="BC76">
            <v>0</v>
          </cell>
          <cell r="BD76">
            <v>0</v>
          </cell>
          <cell r="BE76">
            <v>0</v>
          </cell>
          <cell r="BF76">
            <v>0</v>
          </cell>
          <cell r="BH76">
            <v>0</v>
          </cell>
        </row>
        <row r="77">
          <cell r="G77">
            <v>-1550</v>
          </cell>
          <cell r="H77">
            <v>-1557</v>
          </cell>
          <cell r="I77">
            <v>-1566</v>
          </cell>
          <cell r="J77">
            <v>-1560</v>
          </cell>
          <cell r="K77">
            <v>-1551</v>
          </cell>
          <cell r="L77">
            <v>-1511</v>
          </cell>
          <cell r="M77">
            <v>-1533</v>
          </cell>
          <cell r="N77">
            <v>-1525</v>
          </cell>
          <cell r="O77">
            <v>-1477</v>
          </cell>
          <cell r="P77">
            <v>-1480</v>
          </cell>
          <cell r="R77">
            <v>-66</v>
          </cell>
          <cell r="U77">
            <v>-1397</v>
          </cell>
          <cell r="V77">
            <v>-1401</v>
          </cell>
          <cell r="W77">
            <v>-1408</v>
          </cell>
          <cell r="X77">
            <v>-1408</v>
          </cell>
          <cell r="Y77">
            <v>-1388</v>
          </cell>
          <cell r="Z77">
            <v>-1347</v>
          </cell>
          <cell r="AA77">
            <v>-1372</v>
          </cell>
          <cell r="AB77">
            <v>-1365</v>
          </cell>
          <cell r="AC77">
            <v>-1314</v>
          </cell>
          <cell r="AD77">
            <v>-1320</v>
          </cell>
          <cell r="AF77">
            <v>193</v>
          </cell>
          <cell r="AI77">
            <v>0</v>
          </cell>
          <cell r="AJ77">
            <v>0</v>
          </cell>
          <cell r="AK77">
            <v>0</v>
          </cell>
          <cell r="AL77">
            <v>0</v>
          </cell>
          <cell r="AM77">
            <v>0</v>
          </cell>
          <cell r="AO77">
            <v>0</v>
          </cell>
          <cell r="AQ77">
            <v>0</v>
          </cell>
          <cell r="AR77">
            <v>0</v>
          </cell>
          <cell r="AS77">
            <v>0</v>
          </cell>
          <cell r="AT77">
            <v>0</v>
          </cell>
          <cell r="AW77">
            <v>-2947</v>
          </cell>
          <cell r="AX77">
            <v>-2958</v>
          </cell>
          <cell r="AY77">
            <v>-2974</v>
          </cell>
          <cell r="AZ77">
            <v>-2968</v>
          </cell>
          <cell r="BA77">
            <v>-2939</v>
          </cell>
          <cell r="BB77">
            <v>-2858</v>
          </cell>
          <cell r="BC77">
            <v>-2905</v>
          </cell>
          <cell r="BD77">
            <v>-2890</v>
          </cell>
          <cell r="BE77">
            <v>-2791</v>
          </cell>
          <cell r="BF77">
            <v>-2800</v>
          </cell>
          <cell r="BH77">
            <v>127</v>
          </cell>
        </row>
        <row r="78">
          <cell r="G78">
            <v>0</v>
          </cell>
          <cell r="H78">
            <v>0</v>
          </cell>
          <cell r="I78">
            <v>0</v>
          </cell>
          <cell r="J78">
            <v>0</v>
          </cell>
          <cell r="K78">
            <v>0</v>
          </cell>
          <cell r="L78">
            <v>0</v>
          </cell>
          <cell r="M78">
            <v>0</v>
          </cell>
          <cell r="N78">
            <v>0</v>
          </cell>
          <cell r="O78">
            <v>0</v>
          </cell>
          <cell r="P78">
            <v>0</v>
          </cell>
          <cell r="R78">
            <v>0</v>
          </cell>
          <cell r="U78">
            <v>0</v>
          </cell>
          <cell r="V78">
            <v>0</v>
          </cell>
          <cell r="W78">
            <v>0</v>
          </cell>
          <cell r="X78">
            <v>0</v>
          </cell>
          <cell r="Y78">
            <v>0</v>
          </cell>
          <cell r="Z78">
            <v>0</v>
          </cell>
          <cell r="AA78">
            <v>0</v>
          </cell>
          <cell r="AC78">
            <v>0</v>
          </cell>
          <cell r="AD78">
            <v>0</v>
          </cell>
          <cell r="AF78">
            <v>0</v>
          </cell>
          <cell r="AI78">
            <v>0</v>
          </cell>
          <cell r="AJ78">
            <v>0</v>
          </cell>
          <cell r="AK78">
            <v>0</v>
          </cell>
          <cell r="AL78">
            <v>0</v>
          </cell>
          <cell r="AM78">
            <v>0</v>
          </cell>
          <cell r="AO78">
            <v>0</v>
          </cell>
          <cell r="AQ78">
            <v>0</v>
          </cell>
          <cell r="AR78">
            <v>0</v>
          </cell>
          <cell r="AS78">
            <v>0</v>
          </cell>
          <cell r="AT78">
            <v>0</v>
          </cell>
          <cell r="AW78">
            <v>0</v>
          </cell>
          <cell r="AX78">
            <v>0</v>
          </cell>
          <cell r="AY78">
            <v>0</v>
          </cell>
          <cell r="AZ78">
            <v>0</v>
          </cell>
          <cell r="BA78">
            <v>0</v>
          </cell>
          <cell r="BB78">
            <v>0</v>
          </cell>
          <cell r="BC78">
            <v>0</v>
          </cell>
          <cell r="BD78">
            <v>0</v>
          </cell>
          <cell r="BE78">
            <v>0</v>
          </cell>
          <cell r="BF78">
            <v>0</v>
          </cell>
          <cell r="BH78">
            <v>0</v>
          </cell>
        </row>
        <row r="79">
          <cell r="G79">
            <v>1765</v>
          </cell>
          <cell r="H79">
            <v>1676</v>
          </cell>
          <cell r="I79">
            <v>833</v>
          </cell>
          <cell r="J79">
            <v>8695</v>
          </cell>
          <cell r="K79">
            <v>6771</v>
          </cell>
          <cell r="L79">
            <v>4762</v>
          </cell>
          <cell r="M79">
            <v>4279</v>
          </cell>
          <cell r="N79">
            <v>6479</v>
          </cell>
          <cell r="O79">
            <v>6576</v>
          </cell>
          <cell r="P79">
            <v>8293</v>
          </cell>
          <cell r="R79">
            <v>3040</v>
          </cell>
          <cell r="U79">
            <v>503</v>
          </cell>
          <cell r="V79">
            <v>918</v>
          </cell>
          <cell r="W79">
            <v>1402</v>
          </cell>
          <cell r="X79">
            <v>2577</v>
          </cell>
          <cell r="Y79">
            <v>947</v>
          </cell>
          <cell r="Z79">
            <v>2129</v>
          </cell>
          <cell r="AA79">
            <v>6359</v>
          </cell>
          <cell r="AB79">
            <v>758</v>
          </cell>
          <cell r="AC79">
            <v>661</v>
          </cell>
          <cell r="AD79">
            <v>1452</v>
          </cell>
          <cell r="AF79">
            <v>1050</v>
          </cell>
          <cell r="AI79">
            <v>0</v>
          </cell>
          <cell r="AJ79">
            <v>0</v>
          </cell>
          <cell r="AK79">
            <v>0</v>
          </cell>
          <cell r="AL79">
            <v>0</v>
          </cell>
          <cell r="AM79">
            <v>0</v>
          </cell>
          <cell r="AO79">
            <v>0</v>
          </cell>
          <cell r="AQ79">
            <v>0</v>
          </cell>
          <cell r="AR79">
            <v>0</v>
          </cell>
          <cell r="AS79">
            <v>0</v>
          </cell>
          <cell r="AT79">
            <v>0</v>
          </cell>
          <cell r="AW79">
            <v>2268</v>
          </cell>
          <cell r="AX79">
            <v>2594</v>
          </cell>
          <cell r="AY79">
            <v>2235</v>
          </cell>
          <cell r="AZ79">
            <v>11272</v>
          </cell>
          <cell r="BA79">
            <v>7718</v>
          </cell>
          <cell r="BB79">
            <v>6891</v>
          </cell>
          <cell r="BC79">
            <v>10638</v>
          </cell>
          <cell r="BD79">
            <v>7237</v>
          </cell>
          <cell r="BE79">
            <v>7237</v>
          </cell>
          <cell r="BF79">
            <v>9745</v>
          </cell>
          <cell r="BH79">
            <v>4090</v>
          </cell>
        </row>
        <row r="80">
          <cell r="G80">
            <v>1964</v>
          </cell>
          <cell r="H80">
            <v>4231</v>
          </cell>
          <cell r="I80">
            <v>-334</v>
          </cell>
          <cell r="J80">
            <v>-52541</v>
          </cell>
          <cell r="K80">
            <v>-9207</v>
          </cell>
          <cell r="L80">
            <v>-1399</v>
          </cell>
          <cell r="M80">
            <v>1170</v>
          </cell>
          <cell r="N80">
            <v>-745</v>
          </cell>
          <cell r="O80">
            <v>139</v>
          </cell>
          <cell r="P80">
            <v>19196</v>
          </cell>
          <cell r="R80">
            <v>2570</v>
          </cell>
          <cell r="U80">
            <v>-875</v>
          </cell>
          <cell r="V80">
            <v>901</v>
          </cell>
          <cell r="W80">
            <v>0</v>
          </cell>
          <cell r="X80">
            <v>-995</v>
          </cell>
          <cell r="Y80">
            <v>-100</v>
          </cell>
          <cell r="Z80">
            <v>334</v>
          </cell>
          <cell r="AA80">
            <v>2242</v>
          </cell>
          <cell r="AB80">
            <v>-8364</v>
          </cell>
          <cell r="AC80">
            <v>-410</v>
          </cell>
          <cell r="AD80">
            <v>195</v>
          </cell>
          <cell r="AF80">
            <v>865</v>
          </cell>
          <cell r="AI80">
            <v>0</v>
          </cell>
          <cell r="AJ80">
            <v>0</v>
          </cell>
          <cell r="AK80">
            <v>0</v>
          </cell>
          <cell r="AL80">
            <v>0</v>
          </cell>
          <cell r="AM80">
            <v>0</v>
          </cell>
          <cell r="AO80">
            <v>0</v>
          </cell>
          <cell r="AQ80">
            <v>0</v>
          </cell>
          <cell r="AR80">
            <v>0</v>
          </cell>
          <cell r="AS80">
            <v>0</v>
          </cell>
          <cell r="AT80">
            <v>0</v>
          </cell>
          <cell r="AW80">
            <v>1089</v>
          </cell>
          <cell r="AX80">
            <v>5132</v>
          </cell>
          <cell r="AY80">
            <v>-334</v>
          </cell>
          <cell r="AZ80">
            <v>-53536</v>
          </cell>
          <cell r="BA80">
            <v>-9307</v>
          </cell>
          <cell r="BB80">
            <v>-1065</v>
          </cell>
          <cell r="BC80">
            <v>3412</v>
          </cell>
          <cell r="BD80">
            <v>-9109</v>
          </cell>
          <cell r="BE80">
            <v>-271</v>
          </cell>
          <cell r="BF80">
            <v>19391</v>
          </cell>
          <cell r="BH80">
            <v>3435</v>
          </cell>
        </row>
        <row r="81">
          <cell r="G81">
            <v>-333</v>
          </cell>
          <cell r="H81">
            <v>-422</v>
          </cell>
          <cell r="I81">
            <v>-345</v>
          </cell>
          <cell r="J81">
            <v>-422</v>
          </cell>
          <cell r="K81">
            <v>-645</v>
          </cell>
          <cell r="L81">
            <v>-327</v>
          </cell>
          <cell r="M81">
            <v>-666</v>
          </cell>
          <cell r="N81">
            <v>-511</v>
          </cell>
          <cell r="O81">
            <v>-402</v>
          </cell>
          <cell r="P81">
            <v>-414</v>
          </cell>
          <cell r="R81">
            <v>-414</v>
          </cell>
          <cell r="U81">
            <v>-211</v>
          </cell>
          <cell r="V81">
            <v>-92</v>
          </cell>
          <cell r="W81">
            <v>-101</v>
          </cell>
          <cell r="X81">
            <v>-86</v>
          </cell>
          <cell r="Y81">
            <v>-132</v>
          </cell>
          <cell r="Z81">
            <v>-357</v>
          </cell>
          <cell r="AA81">
            <v>-224</v>
          </cell>
          <cell r="AB81">
            <v>-238</v>
          </cell>
          <cell r="AC81">
            <v>-170</v>
          </cell>
          <cell r="AD81">
            <v>-335</v>
          </cell>
          <cell r="AF81">
            <v>-335</v>
          </cell>
          <cell r="AI81">
            <v>0</v>
          </cell>
          <cell r="AJ81">
            <v>0</v>
          </cell>
          <cell r="AK81">
            <v>0</v>
          </cell>
          <cell r="AL81">
            <v>0</v>
          </cell>
          <cell r="AM81">
            <v>-1</v>
          </cell>
          <cell r="AN81">
            <v>1</v>
          </cell>
          <cell r="AO81">
            <v>0</v>
          </cell>
          <cell r="AQ81">
            <v>0</v>
          </cell>
          <cell r="AR81">
            <v>0</v>
          </cell>
          <cell r="AS81">
            <v>0</v>
          </cell>
          <cell r="AT81">
            <v>0</v>
          </cell>
          <cell r="AW81">
            <v>-544</v>
          </cell>
          <cell r="AX81">
            <v>-514</v>
          </cell>
          <cell r="AY81">
            <v>-446</v>
          </cell>
          <cell r="AZ81">
            <v>-508</v>
          </cell>
          <cell r="BA81">
            <v>-778</v>
          </cell>
          <cell r="BB81">
            <v>-683</v>
          </cell>
          <cell r="BC81">
            <v>-890</v>
          </cell>
          <cell r="BD81">
            <v>-749</v>
          </cell>
          <cell r="BE81">
            <v>-572</v>
          </cell>
          <cell r="BF81">
            <v>-749</v>
          </cell>
          <cell r="BH81">
            <v>-749</v>
          </cell>
        </row>
        <row r="82">
          <cell r="G82">
            <v>-2422</v>
          </cell>
          <cell r="H82">
            <v>-2565</v>
          </cell>
          <cell r="I82">
            <v>-1329</v>
          </cell>
          <cell r="J82">
            <v>-1538</v>
          </cell>
          <cell r="K82">
            <v>-3871</v>
          </cell>
          <cell r="L82">
            <v>-1805</v>
          </cell>
          <cell r="M82">
            <v>-3250</v>
          </cell>
          <cell r="N82">
            <v>-3091</v>
          </cell>
          <cell r="O82">
            <v>-1389</v>
          </cell>
          <cell r="P82">
            <v>-3023</v>
          </cell>
          <cell r="R82">
            <v>-3023</v>
          </cell>
          <cell r="U82">
            <v>-774</v>
          </cell>
          <cell r="V82">
            <v>-571</v>
          </cell>
          <cell r="W82">
            <v>-452</v>
          </cell>
          <cell r="X82">
            <v>-482</v>
          </cell>
          <cell r="Y82">
            <v>-918</v>
          </cell>
          <cell r="Z82">
            <v>-2620</v>
          </cell>
          <cell r="AA82">
            <v>-865</v>
          </cell>
          <cell r="AB82">
            <v>-943</v>
          </cell>
          <cell r="AC82">
            <v>-791</v>
          </cell>
          <cell r="AD82">
            <v>-1699</v>
          </cell>
          <cell r="AF82">
            <v>-1699</v>
          </cell>
          <cell r="AI82">
            <v>0</v>
          </cell>
          <cell r="AJ82">
            <v>0</v>
          </cell>
          <cell r="AK82">
            <v>0</v>
          </cell>
          <cell r="AL82">
            <v>0</v>
          </cell>
          <cell r="AM82">
            <v>-5</v>
          </cell>
          <cell r="AN82">
            <v>5</v>
          </cell>
          <cell r="AO82">
            <v>0</v>
          </cell>
          <cell r="AQ82">
            <v>0</v>
          </cell>
          <cell r="AR82">
            <v>0</v>
          </cell>
          <cell r="AS82">
            <v>0</v>
          </cell>
          <cell r="AT82">
            <v>0</v>
          </cell>
          <cell r="AW82">
            <v>-3196</v>
          </cell>
          <cell r="AX82">
            <v>-3136</v>
          </cell>
          <cell r="AY82">
            <v>-1781</v>
          </cell>
          <cell r="AZ82">
            <v>-2020</v>
          </cell>
          <cell r="BA82">
            <v>-4794</v>
          </cell>
          <cell r="BB82">
            <v>-4420</v>
          </cell>
          <cell r="BC82">
            <v>-4115</v>
          </cell>
          <cell r="BD82">
            <v>-4034</v>
          </cell>
          <cell r="BE82">
            <v>-2180</v>
          </cell>
          <cell r="BF82">
            <v>-4722</v>
          </cell>
          <cell r="BH82">
            <v>-4722</v>
          </cell>
        </row>
        <row r="83">
          <cell r="G83">
            <v>8026</v>
          </cell>
          <cell r="H83">
            <v>9419</v>
          </cell>
          <cell r="I83">
            <v>6610</v>
          </cell>
          <cell r="J83">
            <v>8703</v>
          </cell>
          <cell r="K83">
            <v>9128</v>
          </cell>
          <cell r="L83">
            <v>9408</v>
          </cell>
          <cell r="M83">
            <v>9896</v>
          </cell>
          <cell r="N83">
            <v>10282</v>
          </cell>
          <cell r="O83">
            <v>10104</v>
          </cell>
          <cell r="P83">
            <v>9593</v>
          </cell>
          <cell r="R83">
            <v>4669</v>
          </cell>
          <cell r="U83">
            <v>6837</v>
          </cell>
          <cell r="V83">
            <v>8023</v>
          </cell>
          <cell r="W83">
            <v>5630</v>
          </cell>
          <cell r="X83">
            <v>7413</v>
          </cell>
          <cell r="Y83">
            <v>7775</v>
          </cell>
          <cell r="Z83">
            <v>8015</v>
          </cell>
          <cell r="AA83">
            <v>8430</v>
          </cell>
          <cell r="AB83">
            <v>8759</v>
          </cell>
          <cell r="AC83">
            <v>8608</v>
          </cell>
          <cell r="AD83">
            <v>8172</v>
          </cell>
          <cell r="AF83">
            <v>3977</v>
          </cell>
          <cell r="AI83">
            <v>0</v>
          </cell>
          <cell r="AJ83">
            <v>0</v>
          </cell>
          <cell r="AK83">
            <v>0</v>
          </cell>
          <cell r="AL83">
            <v>0</v>
          </cell>
          <cell r="AM83">
            <v>0</v>
          </cell>
          <cell r="AN83">
            <v>0</v>
          </cell>
          <cell r="AO83">
            <v>0</v>
          </cell>
          <cell r="AQ83">
            <v>0</v>
          </cell>
          <cell r="AR83">
            <v>0</v>
          </cell>
          <cell r="AS83">
            <v>0</v>
          </cell>
          <cell r="AT83">
            <v>0</v>
          </cell>
          <cell r="AW83">
            <v>14863</v>
          </cell>
          <cell r="AX83">
            <v>17442</v>
          </cell>
          <cell r="AY83">
            <v>12240</v>
          </cell>
          <cell r="AZ83">
            <v>16116</v>
          </cell>
          <cell r="BA83">
            <v>16903</v>
          </cell>
          <cell r="BB83">
            <v>17423</v>
          </cell>
          <cell r="BC83">
            <v>18326</v>
          </cell>
          <cell r="BD83">
            <v>19041</v>
          </cell>
          <cell r="BE83">
            <v>18712</v>
          </cell>
          <cell r="BF83">
            <v>17765</v>
          </cell>
          <cell r="BH83">
            <v>8646</v>
          </cell>
        </row>
        <row r="84">
          <cell r="G84">
            <v>-2010</v>
          </cell>
          <cell r="H84">
            <v>-1236</v>
          </cell>
          <cell r="I84">
            <v>-598</v>
          </cell>
          <cell r="J84">
            <v>-877</v>
          </cell>
          <cell r="K84">
            <v>-989</v>
          </cell>
          <cell r="L84">
            <v>-767</v>
          </cell>
          <cell r="M84">
            <v>-1420</v>
          </cell>
          <cell r="N84">
            <v>-1291</v>
          </cell>
          <cell r="O84">
            <v>-1305</v>
          </cell>
          <cell r="P84">
            <v>-963</v>
          </cell>
          <cell r="R84">
            <v>-1116</v>
          </cell>
          <cell r="U84">
            <v>-1664</v>
          </cell>
          <cell r="V84">
            <v>-1417</v>
          </cell>
          <cell r="W84">
            <v>-256</v>
          </cell>
          <cell r="X84">
            <v>-247</v>
          </cell>
          <cell r="Y84">
            <v>-267</v>
          </cell>
          <cell r="Z84">
            <v>-299</v>
          </cell>
          <cell r="AA84">
            <v>-312</v>
          </cell>
          <cell r="AB84">
            <v>-428</v>
          </cell>
          <cell r="AC84">
            <v>-340</v>
          </cell>
          <cell r="AD84">
            <v>-666</v>
          </cell>
          <cell r="AF84">
            <v>-521</v>
          </cell>
          <cell r="AI84">
            <v>0</v>
          </cell>
          <cell r="AJ84">
            <v>0</v>
          </cell>
          <cell r="AK84">
            <v>0</v>
          </cell>
          <cell r="AL84">
            <v>0</v>
          </cell>
          <cell r="AM84">
            <v>-1</v>
          </cell>
          <cell r="AN84">
            <v>1</v>
          </cell>
          <cell r="AO84">
            <v>0</v>
          </cell>
          <cell r="AQ84">
            <v>0</v>
          </cell>
          <cell r="AR84">
            <v>0</v>
          </cell>
          <cell r="AS84">
            <v>-7</v>
          </cell>
          <cell r="AT84">
            <v>0</v>
          </cell>
          <cell r="AW84">
            <v>-3674</v>
          </cell>
          <cell r="AX84">
            <v>-2653</v>
          </cell>
          <cell r="AY84">
            <v>-854</v>
          </cell>
          <cell r="AZ84">
            <v>-1124</v>
          </cell>
          <cell r="BA84">
            <v>-1257</v>
          </cell>
          <cell r="BB84">
            <v>-1065</v>
          </cell>
          <cell r="BC84">
            <v>-1732</v>
          </cell>
          <cell r="BD84">
            <v>-1719</v>
          </cell>
          <cell r="BE84">
            <v>-1645</v>
          </cell>
          <cell r="BF84">
            <v>-1636</v>
          </cell>
          <cell r="BH84">
            <v>-1637</v>
          </cell>
        </row>
        <row r="85">
          <cell r="G85">
            <v>-13103</v>
          </cell>
          <cell r="H85">
            <v>-13254</v>
          </cell>
          <cell r="I85">
            <v>-12114</v>
          </cell>
          <cell r="J85">
            <v>-17526</v>
          </cell>
          <cell r="K85">
            <v>-13913</v>
          </cell>
          <cell r="L85">
            <v>-11573</v>
          </cell>
          <cell r="M85">
            <v>-16183</v>
          </cell>
          <cell r="N85">
            <v>-10631</v>
          </cell>
          <cell r="O85">
            <v>-12700</v>
          </cell>
          <cell r="P85">
            <v>-12716</v>
          </cell>
          <cell r="R85">
            <v>-11343</v>
          </cell>
          <cell r="U85">
            <v>-12214</v>
          </cell>
          <cell r="V85">
            <v>-9672</v>
          </cell>
          <cell r="W85">
            <v>-10264</v>
          </cell>
          <cell r="X85">
            <v>-11942</v>
          </cell>
          <cell r="Y85">
            <v>-9163</v>
          </cell>
          <cell r="Z85">
            <v>-10415</v>
          </cell>
          <cell r="AA85">
            <v>-11589</v>
          </cell>
          <cell r="AB85">
            <v>-12818</v>
          </cell>
          <cell r="AC85">
            <v>-11162</v>
          </cell>
          <cell r="AD85">
            <v>-11040</v>
          </cell>
          <cell r="AF85">
            <v>-11415</v>
          </cell>
          <cell r="AI85">
            <v>0</v>
          </cell>
          <cell r="AJ85">
            <v>0</v>
          </cell>
          <cell r="AK85">
            <v>0</v>
          </cell>
          <cell r="AL85">
            <v>0</v>
          </cell>
          <cell r="AM85">
            <v>0</v>
          </cell>
          <cell r="AN85">
            <v>0</v>
          </cell>
          <cell r="AO85">
            <v>0</v>
          </cell>
          <cell r="AQ85">
            <v>0</v>
          </cell>
          <cell r="AR85">
            <v>0</v>
          </cell>
          <cell r="AS85">
            <v>0</v>
          </cell>
          <cell r="AT85">
            <v>0</v>
          </cell>
          <cell r="AW85">
            <v>-25317</v>
          </cell>
          <cell r="AX85">
            <v>-22926</v>
          </cell>
          <cell r="AY85">
            <v>-22378</v>
          </cell>
          <cell r="AZ85">
            <v>-29468</v>
          </cell>
          <cell r="BA85">
            <v>-23076</v>
          </cell>
          <cell r="BB85">
            <v>-21988</v>
          </cell>
          <cell r="BC85">
            <v>-27772</v>
          </cell>
          <cell r="BD85">
            <v>-23449</v>
          </cell>
          <cell r="BE85">
            <v>-23862</v>
          </cell>
          <cell r="BF85">
            <v>-23756</v>
          </cell>
          <cell r="BH85">
            <v>-22758</v>
          </cell>
        </row>
        <row r="86">
          <cell r="G86">
            <v>0</v>
          </cell>
          <cell r="H86">
            <v>0</v>
          </cell>
          <cell r="I86">
            <v>0</v>
          </cell>
          <cell r="J86">
            <v>0</v>
          </cell>
          <cell r="K86">
            <v>0</v>
          </cell>
          <cell r="L86">
            <v>0</v>
          </cell>
          <cell r="M86">
            <v>0</v>
          </cell>
          <cell r="N86">
            <v>0</v>
          </cell>
          <cell r="O86">
            <v>0</v>
          </cell>
          <cell r="P86">
            <v>0</v>
          </cell>
          <cell r="R86">
            <v>0</v>
          </cell>
          <cell r="U86">
            <v>0</v>
          </cell>
          <cell r="V86">
            <v>0</v>
          </cell>
          <cell r="W86">
            <v>0</v>
          </cell>
          <cell r="X86">
            <v>0</v>
          </cell>
          <cell r="Y86">
            <v>0</v>
          </cell>
          <cell r="Z86">
            <v>0</v>
          </cell>
          <cell r="AA86">
            <v>0</v>
          </cell>
          <cell r="AC86">
            <v>0</v>
          </cell>
          <cell r="AD86">
            <v>0</v>
          </cell>
          <cell r="AF86">
            <v>0</v>
          </cell>
          <cell r="AI86">
            <v>0</v>
          </cell>
          <cell r="AJ86">
            <v>0</v>
          </cell>
          <cell r="AK86">
            <v>0</v>
          </cell>
          <cell r="AL86">
            <v>0</v>
          </cell>
          <cell r="AM86">
            <v>0</v>
          </cell>
          <cell r="AN86">
            <v>0</v>
          </cell>
          <cell r="AO86">
            <v>0</v>
          </cell>
          <cell r="AQ86">
            <v>0</v>
          </cell>
          <cell r="AR86">
            <v>0</v>
          </cell>
          <cell r="AS86">
            <v>0</v>
          </cell>
          <cell r="AT86">
            <v>0</v>
          </cell>
          <cell r="AW86">
            <v>0</v>
          </cell>
          <cell r="AX86">
            <v>0</v>
          </cell>
          <cell r="AY86">
            <v>0</v>
          </cell>
          <cell r="AZ86">
            <v>0</v>
          </cell>
          <cell r="BA86">
            <v>0</v>
          </cell>
          <cell r="BB86">
            <v>0</v>
          </cell>
          <cell r="BC86">
            <v>0</v>
          </cell>
          <cell r="BD86">
            <v>0</v>
          </cell>
          <cell r="BE86">
            <v>0</v>
          </cell>
          <cell r="BF86">
            <v>0</v>
          </cell>
          <cell r="BH86">
            <v>0</v>
          </cell>
        </row>
        <row r="87">
          <cell r="G87">
            <v>0</v>
          </cell>
          <cell r="H87">
            <v>0</v>
          </cell>
          <cell r="I87">
            <v>0</v>
          </cell>
          <cell r="J87">
            <v>0</v>
          </cell>
          <cell r="K87">
            <v>0</v>
          </cell>
          <cell r="L87">
            <v>0</v>
          </cell>
          <cell r="M87">
            <v>0</v>
          </cell>
          <cell r="N87">
            <v>0</v>
          </cell>
          <cell r="O87">
            <v>0</v>
          </cell>
          <cell r="P87">
            <v>0</v>
          </cell>
          <cell r="R87">
            <v>0</v>
          </cell>
          <cell r="U87">
            <v>0</v>
          </cell>
          <cell r="V87">
            <v>0</v>
          </cell>
          <cell r="W87">
            <v>0</v>
          </cell>
          <cell r="X87">
            <v>0</v>
          </cell>
          <cell r="Y87">
            <v>0</v>
          </cell>
          <cell r="Z87">
            <v>0</v>
          </cell>
          <cell r="AA87">
            <v>0</v>
          </cell>
          <cell r="AC87">
            <v>0</v>
          </cell>
          <cell r="AD87">
            <v>0</v>
          </cell>
          <cell r="AF87">
            <v>0</v>
          </cell>
          <cell r="AI87">
            <v>3022</v>
          </cell>
          <cell r="AJ87">
            <v>2182</v>
          </cell>
          <cell r="AK87">
            <v>705</v>
          </cell>
          <cell r="AL87">
            <v>1086</v>
          </cell>
          <cell r="AM87">
            <v>1093</v>
          </cell>
          <cell r="AN87">
            <v>1021</v>
          </cell>
          <cell r="AO87">
            <v>1649</v>
          </cell>
          <cell r="AP87">
            <v>1634</v>
          </cell>
          <cell r="AS87">
            <v>-1342</v>
          </cell>
          <cell r="AT87">
            <v>-1523</v>
          </cell>
          <cell r="AW87">
            <v>3022</v>
          </cell>
          <cell r="AX87">
            <v>2182</v>
          </cell>
          <cell r="AY87">
            <v>705</v>
          </cell>
          <cell r="AZ87">
            <v>1086</v>
          </cell>
          <cell r="BA87">
            <v>1093</v>
          </cell>
          <cell r="BB87">
            <v>1021</v>
          </cell>
          <cell r="BC87">
            <v>1649</v>
          </cell>
          <cell r="BD87">
            <v>1634</v>
          </cell>
          <cell r="BE87">
            <v>-1564</v>
          </cell>
          <cell r="BF87">
            <v>-1507</v>
          </cell>
          <cell r="BH87">
            <v>-1523</v>
          </cell>
        </row>
        <row r="89">
          <cell r="G89">
            <v>0</v>
          </cell>
          <cell r="H89">
            <v>0</v>
          </cell>
          <cell r="I89">
            <v>0</v>
          </cell>
          <cell r="J89">
            <v>0</v>
          </cell>
          <cell r="K89">
            <v>0</v>
          </cell>
          <cell r="L89">
            <v>0</v>
          </cell>
          <cell r="M89">
            <v>0</v>
          </cell>
          <cell r="N89">
            <v>0</v>
          </cell>
          <cell r="O89">
            <v>0</v>
          </cell>
          <cell r="P89">
            <v>0</v>
          </cell>
          <cell r="R89">
            <v>0</v>
          </cell>
          <cell r="U89">
            <v>0</v>
          </cell>
          <cell r="V89">
            <v>0</v>
          </cell>
          <cell r="W89">
            <v>0</v>
          </cell>
          <cell r="X89">
            <v>0</v>
          </cell>
          <cell r="Y89">
            <v>0</v>
          </cell>
          <cell r="Z89">
            <v>0</v>
          </cell>
          <cell r="AA89">
            <v>0</v>
          </cell>
          <cell r="AC89">
            <v>0</v>
          </cell>
          <cell r="AD89">
            <v>0</v>
          </cell>
          <cell r="AF89">
            <v>0</v>
          </cell>
          <cell r="AI89">
            <v>0</v>
          </cell>
          <cell r="AJ89">
            <v>0</v>
          </cell>
          <cell r="AK89">
            <v>0</v>
          </cell>
          <cell r="AL89">
            <v>0</v>
          </cell>
          <cell r="AM89">
            <v>0</v>
          </cell>
          <cell r="AN89">
            <v>0</v>
          </cell>
          <cell r="AO89">
            <v>0</v>
          </cell>
          <cell r="AQ89">
            <v>0</v>
          </cell>
          <cell r="AR89">
            <v>0</v>
          </cell>
          <cell r="AT89">
            <v>0</v>
          </cell>
          <cell r="AW89">
            <v>0</v>
          </cell>
          <cell r="AX89">
            <v>0</v>
          </cell>
          <cell r="AY89">
            <v>0</v>
          </cell>
          <cell r="AZ89">
            <v>0</v>
          </cell>
          <cell r="BA89">
            <v>0</v>
          </cell>
          <cell r="BB89">
            <v>0</v>
          </cell>
          <cell r="BC89">
            <v>0</v>
          </cell>
          <cell r="BD89">
            <v>0</v>
          </cell>
          <cell r="BE89">
            <v>0</v>
          </cell>
          <cell r="BF89">
            <v>0</v>
          </cell>
          <cell r="BH89">
            <v>0</v>
          </cell>
        </row>
        <row r="90">
          <cell r="G90">
            <v>-6176</v>
          </cell>
          <cell r="H90">
            <v>67023</v>
          </cell>
          <cell r="I90">
            <v>16174</v>
          </cell>
          <cell r="J90">
            <v>-14775</v>
          </cell>
          <cell r="K90">
            <v>-27490</v>
          </cell>
          <cell r="L90">
            <v>61327</v>
          </cell>
          <cell r="M90">
            <v>-40822</v>
          </cell>
          <cell r="N90">
            <v>-18886</v>
          </cell>
          <cell r="O90">
            <v>13292</v>
          </cell>
          <cell r="P90">
            <v>15677</v>
          </cell>
          <cell r="R90">
            <v>-17247</v>
          </cell>
          <cell r="U90">
            <v>43751</v>
          </cell>
          <cell r="V90">
            <v>-125007</v>
          </cell>
          <cell r="W90">
            <v>63089</v>
          </cell>
          <cell r="X90">
            <v>-35160</v>
          </cell>
          <cell r="Y90">
            <v>111000</v>
          </cell>
          <cell r="Z90">
            <v>97286</v>
          </cell>
          <cell r="AA90">
            <v>-11311</v>
          </cell>
          <cell r="AB90">
            <v>26977</v>
          </cell>
          <cell r="AC90">
            <v>7142</v>
          </cell>
          <cell r="AD90">
            <v>-163989</v>
          </cell>
          <cell r="AF90">
            <v>-213261</v>
          </cell>
          <cell r="AI90">
            <v>0</v>
          </cell>
          <cell r="AJ90">
            <v>0</v>
          </cell>
          <cell r="AK90">
            <v>0</v>
          </cell>
          <cell r="AL90">
            <v>0</v>
          </cell>
          <cell r="AM90">
            <v>0</v>
          </cell>
          <cell r="AN90">
            <v>0</v>
          </cell>
          <cell r="AO90">
            <v>0</v>
          </cell>
          <cell r="AQ90">
            <v>0</v>
          </cell>
          <cell r="AR90">
            <v>0</v>
          </cell>
          <cell r="AT90">
            <v>0</v>
          </cell>
          <cell r="AW90">
            <v>37575</v>
          </cell>
          <cell r="AX90">
            <v>-57984</v>
          </cell>
          <cell r="AY90">
            <v>79263</v>
          </cell>
          <cell r="AZ90">
            <v>-49935</v>
          </cell>
          <cell r="BA90">
            <v>83510</v>
          </cell>
          <cell r="BB90">
            <v>158613</v>
          </cell>
          <cell r="BC90">
            <v>-52133</v>
          </cell>
          <cell r="BD90">
            <v>8091</v>
          </cell>
          <cell r="BE90">
            <v>20434</v>
          </cell>
          <cell r="BF90">
            <v>-148312</v>
          </cell>
          <cell r="BH90">
            <v>-230508</v>
          </cell>
        </row>
        <row r="91">
          <cell r="G91">
            <v>286</v>
          </cell>
          <cell r="H91">
            <v>259</v>
          </cell>
          <cell r="I91">
            <v>274</v>
          </cell>
          <cell r="J91">
            <v>279</v>
          </cell>
          <cell r="K91">
            <v>300</v>
          </cell>
          <cell r="L91">
            <v>287</v>
          </cell>
          <cell r="M91">
            <v>292</v>
          </cell>
          <cell r="N91">
            <v>285</v>
          </cell>
          <cell r="O91">
            <v>273</v>
          </cell>
          <cell r="P91">
            <v>277</v>
          </cell>
          <cell r="R91">
            <v>270</v>
          </cell>
          <cell r="U91">
            <v>266</v>
          </cell>
          <cell r="V91">
            <v>-242</v>
          </cell>
          <cell r="W91">
            <v>256</v>
          </cell>
          <cell r="X91">
            <v>261</v>
          </cell>
          <cell r="Y91">
            <v>280</v>
          </cell>
          <cell r="Z91">
            <v>268</v>
          </cell>
          <cell r="AA91">
            <v>272</v>
          </cell>
          <cell r="AB91">
            <v>266</v>
          </cell>
          <cell r="AC91">
            <v>254</v>
          </cell>
          <cell r="AD91">
            <v>258</v>
          </cell>
          <cell r="AF91">
            <v>252</v>
          </cell>
          <cell r="AI91">
            <v>0</v>
          </cell>
          <cell r="AJ91">
            <v>0</v>
          </cell>
          <cell r="AK91">
            <v>0</v>
          </cell>
          <cell r="AL91">
            <v>0</v>
          </cell>
          <cell r="AM91">
            <v>0</v>
          </cell>
          <cell r="AN91">
            <v>0</v>
          </cell>
          <cell r="AO91">
            <v>0</v>
          </cell>
          <cell r="AQ91">
            <v>0</v>
          </cell>
          <cell r="AR91">
            <v>0</v>
          </cell>
          <cell r="AT91">
            <v>0</v>
          </cell>
          <cell r="AW91">
            <v>552</v>
          </cell>
          <cell r="AX91">
            <v>17</v>
          </cell>
          <cell r="AY91">
            <v>530</v>
          </cell>
          <cell r="AZ91">
            <v>540</v>
          </cell>
          <cell r="BA91">
            <v>580</v>
          </cell>
          <cell r="BB91">
            <v>555</v>
          </cell>
          <cell r="BC91">
            <v>564</v>
          </cell>
          <cell r="BD91">
            <v>551</v>
          </cell>
          <cell r="BE91">
            <v>527</v>
          </cell>
          <cell r="BF91">
            <v>535</v>
          </cell>
          <cell r="BH91">
            <v>522</v>
          </cell>
        </row>
        <row r="92">
          <cell r="G92">
            <v>0</v>
          </cell>
          <cell r="H92">
            <v>0</v>
          </cell>
          <cell r="I92">
            <v>0</v>
          </cell>
          <cell r="J92">
            <v>0</v>
          </cell>
          <cell r="K92">
            <v>0</v>
          </cell>
          <cell r="L92">
            <v>0</v>
          </cell>
          <cell r="M92">
            <v>0</v>
          </cell>
          <cell r="N92">
            <v>0</v>
          </cell>
          <cell r="O92">
            <v>0</v>
          </cell>
          <cell r="P92">
            <v>0</v>
          </cell>
          <cell r="R92">
            <v>0</v>
          </cell>
          <cell r="U92">
            <v>0</v>
          </cell>
          <cell r="V92">
            <v>0</v>
          </cell>
          <cell r="W92">
            <v>0</v>
          </cell>
          <cell r="X92">
            <v>0</v>
          </cell>
          <cell r="Y92">
            <v>0</v>
          </cell>
          <cell r="Z92">
            <v>0</v>
          </cell>
          <cell r="AA92">
            <v>0</v>
          </cell>
          <cell r="AC92">
            <v>0</v>
          </cell>
          <cell r="AD92">
            <v>0</v>
          </cell>
          <cell r="AF92">
            <v>0</v>
          </cell>
          <cell r="AI92">
            <v>0</v>
          </cell>
          <cell r="AJ92">
            <v>0</v>
          </cell>
          <cell r="AK92">
            <v>0</v>
          </cell>
          <cell r="AL92">
            <v>0</v>
          </cell>
          <cell r="AM92">
            <v>0</v>
          </cell>
          <cell r="AN92">
            <v>0</v>
          </cell>
          <cell r="AO92">
            <v>0</v>
          </cell>
          <cell r="AQ92">
            <v>0</v>
          </cell>
          <cell r="AR92">
            <v>0</v>
          </cell>
          <cell r="AT92">
            <v>0</v>
          </cell>
          <cell r="AW92">
            <v>0</v>
          </cell>
          <cell r="AX92">
            <v>0</v>
          </cell>
          <cell r="AY92">
            <v>0</v>
          </cell>
          <cell r="AZ92">
            <v>0</v>
          </cell>
          <cell r="BA92">
            <v>0</v>
          </cell>
          <cell r="BB92">
            <v>0</v>
          </cell>
          <cell r="BC92">
            <v>0</v>
          </cell>
          <cell r="BD92">
            <v>0</v>
          </cell>
          <cell r="BE92">
            <v>0</v>
          </cell>
          <cell r="BF92">
            <v>0</v>
          </cell>
          <cell r="BH92">
            <v>0</v>
          </cell>
        </row>
        <row r="93">
          <cell r="G93">
            <v>-59875</v>
          </cell>
          <cell r="H93">
            <v>-45991</v>
          </cell>
          <cell r="I93">
            <v>-4891</v>
          </cell>
          <cell r="J93">
            <v>-9582</v>
          </cell>
          <cell r="K93">
            <v>11037</v>
          </cell>
          <cell r="L93">
            <v>-61858</v>
          </cell>
          <cell r="M93">
            <v>59767</v>
          </cell>
          <cell r="N93">
            <v>-14053</v>
          </cell>
          <cell r="O93">
            <v>-26126</v>
          </cell>
          <cell r="P93">
            <v>6464</v>
          </cell>
          <cell r="R93">
            <v>17133</v>
          </cell>
          <cell r="U93">
            <v>178560</v>
          </cell>
          <cell r="V93">
            <v>394697</v>
          </cell>
          <cell r="W93">
            <v>368283</v>
          </cell>
          <cell r="X93">
            <v>334781</v>
          </cell>
          <cell r="Y93">
            <v>-139167</v>
          </cell>
          <cell r="Z93">
            <v>-30491</v>
          </cell>
          <cell r="AA93">
            <v>59224</v>
          </cell>
          <cell r="AB93">
            <v>60089</v>
          </cell>
          <cell r="AC93">
            <v>102312</v>
          </cell>
          <cell r="AD93">
            <v>258373</v>
          </cell>
          <cell r="AF93">
            <v>-179165</v>
          </cell>
          <cell r="AI93">
            <v>0</v>
          </cell>
          <cell r="AJ93">
            <v>0</v>
          </cell>
          <cell r="AK93">
            <v>0</v>
          </cell>
          <cell r="AL93">
            <v>0</v>
          </cell>
          <cell r="AM93">
            <v>0</v>
          </cell>
          <cell r="AN93">
            <v>0</v>
          </cell>
          <cell r="AO93">
            <v>0</v>
          </cell>
          <cell r="AQ93">
            <v>0</v>
          </cell>
          <cell r="AR93">
            <v>0</v>
          </cell>
          <cell r="AT93">
            <v>0</v>
          </cell>
          <cell r="AW93">
            <v>118685</v>
          </cell>
          <cell r="AX93">
            <v>348706</v>
          </cell>
          <cell r="AY93">
            <v>363392</v>
          </cell>
          <cell r="AZ93">
            <v>325199</v>
          </cell>
          <cell r="BA93">
            <v>-128130</v>
          </cell>
          <cell r="BB93">
            <v>-92349</v>
          </cell>
          <cell r="BC93">
            <v>118991</v>
          </cell>
          <cell r="BD93">
            <v>46036</v>
          </cell>
          <cell r="BE93">
            <v>76186</v>
          </cell>
          <cell r="BF93">
            <v>264837</v>
          </cell>
          <cell r="BH93">
            <v>-162032</v>
          </cell>
        </row>
        <row r="94">
          <cell r="G94">
            <v>3850</v>
          </cell>
          <cell r="H94">
            <v>3850</v>
          </cell>
          <cell r="I94">
            <v>3850</v>
          </cell>
          <cell r="J94">
            <v>3850</v>
          </cell>
          <cell r="K94">
            <v>3850</v>
          </cell>
          <cell r="L94">
            <v>3850</v>
          </cell>
          <cell r="M94">
            <v>3850</v>
          </cell>
          <cell r="N94">
            <v>-26950</v>
          </cell>
          <cell r="O94">
            <v>0</v>
          </cell>
          <cell r="P94">
            <v>0</v>
          </cell>
          <cell r="R94">
            <v>0</v>
          </cell>
          <cell r="U94">
            <v>3150</v>
          </cell>
          <cell r="V94">
            <v>3150</v>
          </cell>
          <cell r="W94">
            <v>3150</v>
          </cell>
          <cell r="X94">
            <v>3150</v>
          </cell>
          <cell r="Y94">
            <v>3150</v>
          </cell>
          <cell r="Z94">
            <v>3150</v>
          </cell>
          <cell r="AA94">
            <v>3150</v>
          </cell>
          <cell r="AB94">
            <v>-22050</v>
          </cell>
          <cell r="AC94">
            <v>0</v>
          </cell>
          <cell r="AD94">
            <v>0</v>
          </cell>
          <cell r="AF94">
            <v>0</v>
          </cell>
          <cell r="AI94">
            <v>0</v>
          </cell>
          <cell r="AJ94">
            <v>0</v>
          </cell>
          <cell r="AK94">
            <v>0</v>
          </cell>
          <cell r="AL94">
            <v>0</v>
          </cell>
          <cell r="AM94">
            <v>0</v>
          </cell>
          <cell r="AN94">
            <v>0</v>
          </cell>
          <cell r="AO94">
            <v>0</v>
          </cell>
          <cell r="AQ94">
            <v>0</v>
          </cell>
          <cell r="AR94">
            <v>0</v>
          </cell>
          <cell r="AT94">
            <v>0</v>
          </cell>
          <cell r="AW94">
            <v>7000</v>
          </cell>
          <cell r="AX94">
            <v>7000</v>
          </cell>
          <cell r="AY94">
            <v>7000</v>
          </cell>
          <cell r="AZ94">
            <v>7000</v>
          </cell>
          <cell r="BA94">
            <v>7000</v>
          </cell>
          <cell r="BB94">
            <v>7000</v>
          </cell>
          <cell r="BC94">
            <v>7000</v>
          </cell>
          <cell r="BD94">
            <v>-49000</v>
          </cell>
          <cell r="BE94">
            <v>0</v>
          </cell>
          <cell r="BF94">
            <v>0</v>
          </cell>
          <cell r="BH94">
            <v>0</v>
          </cell>
        </row>
        <row r="95">
          <cell r="G95">
            <v>-792</v>
          </cell>
          <cell r="H95">
            <v>-792</v>
          </cell>
          <cell r="I95">
            <v>-792</v>
          </cell>
          <cell r="J95">
            <v>-792</v>
          </cell>
          <cell r="K95">
            <v>-792</v>
          </cell>
          <cell r="L95">
            <v>-792</v>
          </cell>
          <cell r="M95">
            <v>-792</v>
          </cell>
          <cell r="N95">
            <v>-792</v>
          </cell>
          <cell r="O95">
            <v>-792</v>
          </cell>
          <cell r="P95">
            <v>-792</v>
          </cell>
          <cell r="R95">
            <v>-792</v>
          </cell>
          <cell r="U95">
            <v>-761</v>
          </cell>
          <cell r="V95">
            <v>-761</v>
          </cell>
          <cell r="W95">
            <v>-761</v>
          </cell>
          <cell r="X95">
            <v>-761</v>
          </cell>
          <cell r="Y95">
            <v>-761</v>
          </cell>
          <cell r="Z95">
            <v>-761</v>
          </cell>
          <cell r="AA95">
            <v>-761</v>
          </cell>
          <cell r="AB95">
            <v>-761</v>
          </cell>
          <cell r="AC95">
            <v>-761</v>
          </cell>
          <cell r="AD95">
            <v>-761</v>
          </cell>
          <cell r="AF95">
            <v>-761</v>
          </cell>
          <cell r="AI95">
            <v>0</v>
          </cell>
          <cell r="AJ95">
            <v>0</v>
          </cell>
          <cell r="AK95">
            <v>0</v>
          </cell>
          <cell r="AL95">
            <v>0</v>
          </cell>
          <cell r="AM95">
            <v>0</v>
          </cell>
          <cell r="AN95">
            <v>0</v>
          </cell>
          <cell r="AO95">
            <v>0</v>
          </cell>
          <cell r="AQ95">
            <v>0</v>
          </cell>
          <cell r="AR95">
            <v>0</v>
          </cell>
          <cell r="AT95">
            <v>0</v>
          </cell>
          <cell r="AW95">
            <v>-1553</v>
          </cell>
          <cell r="AX95">
            <v>-1553</v>
          </cell>
          <cell r="AY95">
            <v>-1553</v>
          </cell>
          <cell r="AZ95">
            <v>-1553</v>
          </cell>
          <cell r="BA95">
            <v>-1553</v>
          </cell>
          <cell r="BB95">
            <v>-1553</v>
          </cell>
          <cell r="BC95">
            <v>-1553</v>
          </cell>
          <cell r="BD95">
            <v>-1553</v>
          </cell>
          <cell r="BE95">
            <v>-1553</v>
          </cell>
          <cell r="BF95">
            <v>-1553</v>
          </cell>
          <cell r="BH95">
            <v>-1553</v>
          </cell>
        </row>
        <row r="96">
          <cell r="G96">
            <v>-70</v>
          </cell>
          <cell r="H96">
            <v>-70</v>
          </cell>
          <cell r="I96">
            <v>-70</v>
          </cell>
          <cell r="J96">
            <v>-70</v>
          </cell>
          <cell r="K96">
            <v>-70</v>
          </cell>
          <cell r="L96">
            <v>-70</v>
          </cell>
          <cell r="M96">
            <v>-70</v>
          </cell>
          <cell r="N96">
            <v>-70</v>
          </cell>
          <cell r="O96">
            <v>-70</v>
          </cell>
          <cell r="P96">
            <v>-70</v>
          </cell>
          <cell r="R96">
            <v>-70</v>
          </cell>
          <cell r="U96">
            <v>-39</v>
          </cell>
          <cell r="V96">
            <v>-39</v>
          </cell>
          <cell r="W96">
            <v>-39</v>
          </cell>
          <cell r="X96">
            <v>-39</v>
          </cell>
          <cell r="Y96">
            <v>-39</v>
          </cell>
          <cell r="Z96">
            <v>-39</v>
          </cell>
          <cell r="AA96">
            <v>-39</v>
          </cell>
          <cell r="AB96">
            <v>-39</v>
          </cell>
          <cell r="AC96">
            <v>-39</v>
          </cell>
          <cell r="AD96">
            <v>-39</v>
          </cell>
          <cell r="AF96">
            <v>-39</v>
          </cell>
          <cell r="AI96">
            <v>0</v>
          </cell>
          <cell r="AJ96">
            <v>0</v>
          </cell>
          <cell r="AK96">
            <v>0</v>
          </cell>
          <cell r="AL96">
            <v>0</v>
          </cell>
          <cell r="AM96">
            <v>0</v>
          </cell>
          <cell r="AN96">
            <v>0</v>
          </cell>
          <cell r="AO96">
            <v>0</v>
          </cell>
          <cell r="AQ96">
            <v>0</v>
          </cell>
          <cell r="AR96">
            <v>0</v>
          </cell>
          <cell r="AT96">
            <v>0</v>
          </cell>
          <cell r="AW96">
            <v>-109</v>
          </cell>
          <cell r="AX96">
            <v>-109</v>
          </cell>
          <cell r="AY96">
            <v>-109</v>
          </cell>
          <cell r="AZ96">
            <v>-109</v>
          </cell>
          <cell r="BA96">
            <v>-109</v>
          </cell>
          <cell r="BB96">
            <v>-109</v>
          </cell>
          <cell r="BC96">
            <v>-109</v>
          </cell>
          <cell r="BD96">
            <v>-109</v>
          </cell>
          <cell r="BE96">
            <v>-109</v>
          </cell>
          <cell r="BF96">
            <v>-109</v>
          </cell>
          <cell r="BH96">
            <v>-109</v>
          </cell>
        </row>
        <row r="97">
          <cell r="G97">
            <v>4</v>
          </cell>
          <cell r="H97">
            <v>4</v>
          </cell>
          <cell r="I97">
            <v>4</v>
          </cell>
          <cell r="J97">
            <v>4</v>
          </cell>
          <cell r="K97">
            <v>4</v>
          </cell>
          <cell r="L97">
            <v>4</v>
          </cell>
          <cell r="M97">
            <v>4</v>
          </cell>
          <cell r="N97">
            <v>4</v>
          </cell>
          <cell r="O97">
            <v>4</v>
          </cell>
          <cell r="P97">
            <v>4</v>
          </cell>
          <cell r="R97">
            <v>4</v>
          </cell>
          <cell r="U97">
            <v>2</v>
          </cell>
          <cell r="V97">
            <v>2</v>
          </cell>
          <cell r="W97">
            <v>2</v>
          </cell>
          <cell r="X97">
            <v>2</v>
          </cell>
          <cell r="Y97">
            <v>2</v>
          </cell>
          <cell r="Z97">
            <v>2</v>
          </cell>
          <cell r="AA97">
            <v>2</v>
          </cell>
          <cell r="AB97">
            <v>2</v>
          </cell>
          <cell r="AC97">
            <v>2</v>
          </cell>
          <cell r="AD97">
            <v>2</v>
          </cell>
          <cell r="AF97">
            <v>2</v>
          </cell>
          <cell r="AI97">
            <v>0</v>
          </cell>
          <cell r="AJ97">
            <v>0</v>
          </cell>
          <cell r="AK97">
            <v>0</v>
          </cell>
          <cell r="AL97">
            <v>0</v>
          </cell>
          <cell r="AM97">
            <v>0</v>
          </cell>
          <cell r="AN97">
            <v>0</v>
          </cell>
          <cell r="AO97">
            <v>0</v>
          </cell>
          <cell r="AQ97">
            <v>0</v>
          </cell>
          <cell r="AR97">
            <v>0</v>
          </cell>
          <cell r="AT97">
            <v>0</v>
          </cell>
          <cell r="AW97">
            <v>6</v>
          </cell>
          <cell r="AX97">
            <v>6</v>
          </cell>
          <cell r="AY97">
            <v>6</v>
          </cell>
          <cell r="AZ97">
            <v>6</v>
          </cell>
          <cell r="BA97">
            <v>6</v>
          </cell>
          <cell r="BB97">
            <v>6</v>
          </cell>
          <cell r="BC97">
            <v>6</v>
          </cell>
          <cell r="BD97">
            <v>6</v>
          </cell>
          <cell r="BE97">
            <v>6</v>
          </cell>
          <cell r="BF97">
            <v>6</v>
          </cell>
          <cell r="BH97">
            <v>6</v>
          </cell>
        </row>
        <row r="98">
          <cell r="G98">
            <v>0</v>
          </cell>
          <cell r="H98">
            <v>0</v>
          </cell>
          <cell r="I98">
            <v>0</v>
          </cell>
          <cell r="J98">
            <v>0</v>
          </cell>
          <cell r="K98">
            <v>0</v>
          </cell>
          <cell r="L98">
            <v>0</v>
          </cell>
          <cell r="M98">
            <v>0</v>
          </cell>
          <cell r="N98">
            <v>0</v>
          </cell>
          <cell r="O98">
            <v>0</v>
          </cell>
          <cell r="P98">
            <v>0</v>
          </cell>
          <cell r="R98">
            <v>0</v>
          </cell>
          <cell r="U98">
            <v>0</v>
          </cell>
          <cell r="V98">
            <v>0</v>
          </cell>
          <cell r="W98">
            <v>0</v>
          </cell>
          <cell r="X98">
            <v>0</v>
          </cell>
          <cell r="Y98">
            <v>0</v>
          </cell>
          <cell r="Z98">
            <v>0</v>
          </cell>
          <cell r="AA98">
            <v>0</v>
          </cell>
          <cell r="AC98">
            <v>0</v>
          </cell>
          <cell r="AD98">
            <v>0</v>
          </cell>
          <cell r="AF98">
            <v>0</v>
          </cell>
          <cell r="AI98">
            <v>0</v>
          </cell>
          <cell r="AJ98">
            <v>0</v>
          </cell>
          <cell r="AK98">
            <v>0</v>
          </cell>
          <cell r="AL98">
            <v>0</v>
          </cell>
          <cell r="AM98">
            <v>0</v>
          </cell>
          <cell r="AN98">
            <v>0</v>
          </cell>
          <cell r="AO98">
            <v>0</v>
          </cell>
          <cell r="AQ98">
            <v>0</v>
          </cell>
          <cell r="AR98">
            <v>0</v>
          </cell>
          <cell r="AT98">
            <v>0</v>
          </cell>
          <cell r="AW98">
            <v>0</v>
          </cell>
          <cell r="AX98">
            <v>0</v>
          </cell>
          <cell r="AY98">
            <v>0</v>
          </cell>
          <cell r="AZ98">
            <v>0</v>
          </cell>
          <cell r="BA98">
            <v>0</v>
          </cell>
          <cell r="BB98">
            <v>0</v>
          </cell>
          <cell r="BC98">
            <v>0</v>
          </cell>
          <cell r="BD98">
            <v>0</v>
          </cell>
          <cell r="BE98">
            <v>0</v>
          </cell>
          <cell r="BF98">
            <v>0</v>
          </cell>
          <cell r="BH98">
            <v>0</v>
          </cell>
        </row>
        <row r="99">
          <cell r="G99">
            <v>-1700</v>
          </cell>
          <cell r="H99">
            <v>-1700</v>
          </cell>
          <cell r="I99">
            <v>-1700</v>
          </cell>
          <cell r="J99">
            <v>-1700</v>
          </cell>
          <cell r="K99">
            <v>-1700</v>
          </cell>
          <cell r="L99">
            <v>-1700</v>
          </cell>
          <cell r="M99">
            <v>-1700</v>
          </cell>
          <cell r="N99">
            <v>-1700</v>
          </cell>
          <cell r="O99">
            <v>-1700</v>
          </cell>
          <cell r="P99">
            <v>-1700</v>
          </cell>
          <cell r="R99">
            <v>-1700</v>
          </cell>
          <cell r="U99">
            <v>-800</v>
          </cell>
          <cell r="V99">
            <v>-800</v>
          </cell>
          <cell r="W99">
            <v>-800</v>
          </cell>
          <cell r="X99">
            <v>-800</v>
          </cell>
          <cell r="Y99">
            <v>-800</v>
          </cell>
          <cell r="Z99">
            <v>-800</v>
          </cell>
          <cell r="AA99">
            <v>-800</v>
          </cell>
          <cell r="AB99">
            <v>-800</v>
          </cell>
          <cell r="AC99">
            <v>-800</v>
          </cell>
          <cell r="AD99">
            <v>-800</v>
          </cell>
          <cell r="AF99">
            <v>-800</v>
          </cell>
          <cell r="AI99">
            <v>0</v>
          </cell>
          <cell r="AJ99">
            <v>0</v>
          </cell>
          <cell r="AK99">
            <v>0</v>
          </cell>
          <cell r="AL99">
            <v>0</v>
          </cell>
          <cell r="AM99">
            <v>0</v>
          </cell>
          <cell r="AN99">
            <v>0</v>
          </cell>
          <cell r="AO99">
            <v>0</v>
          </cell>
          <cell r="AQ99">
            <v>0</v>
          </cell>
          <cell r="AR99">
            <v>0</v>
          </cell>
          <cell r="AT99">
            <v>0</v>
          </cell>
          <cell r="AW99">
            <v>-2500</v>
          </cell>
          <cell r="AX99">
            <v>-2500</v>
          </cell>
          <cell r="AY99">
            <v>-2500</v>
          </cell>
          <cell r="AZ99">
            <v>-2500</v>
          </cell>
          <cell r="BA99">
            <v>-2500</v>
          </cell>
          <cell r="BB99">
            <v>-2500</v>
          </cell>
          <cell r="BC99">
            <v>-2500</v>
          </cell>
          <cell r="BD99">
            <v>-2500</v>
          </cell>
          <cell r="BE99">
            <v>-2500</v>
          </cell>
          <cell r="BF99">
            <v>-2500</v>
          </cell>
          <cell r="BH99">
            <v>-2500</v>
          </cell>
        </row>
        <row r="100">
          <cell r="G100">
            <v>5409</v>
          </cell>
          <cell r="H100">
            <v>5409</v>
          </cell>
          <cell r="I100">
            <v>5409</v>
          </cell>
          <cell r="J100">
            <v>5409</v>
          </cell>
          <cell r="K100">
            <v>5409</v>
          </cell>
          <cell r="L100">
            <v>5409</v>
          </cell>
          <cell r="M100">
            <v>5409</v>
          </cell>
          <cell r="N100">
            <v>5409</v>
          </cell>
          <cell r="O100">
            <v>5409</v>
          </cell>
          <cell r="P100">
            <v>5409</v>
          </cell>
          <cell r="R100">
            <v>5409</v>
          </cell>
          <cell r="U100">
            <v>-448</v>
          </cell>
          <cell r="V100">
            <v>-448</v>
          </cell>
          <cell r="W100">
            <v>-448</v>
          </cell>
          <cell r="X100">
            <v>-448</v>
          </cell>
          <cell r="Y100">
            <v>-448</v>
          </cell>
          <cell r="Z100">
            <v>-448</v>
          </cell>
          <cell r="AA100">
            <v>-448</v>
          </cell>
          <cell r="AB100">
            <v>-448</v>
          </cell>
          <cell r="AC100">
            <v>-448</v>
          </cell>
          <cell r="AD100">
            <v>-448</v>
          </cell>
          <cell r="AF100">
            <v>-448</v>
          </cell>
          <cell r="AI100">
            <v>0</v>
          </cell>
          <cell r="AJ100">
            <v>0</v>
          </cell>
          <cell r="AK100">
            <v>0</v>
          </cell>
          <cell r="AL100">
            <v>0</v>
          </cell>
          <cell r="AM100">
            <v>0</v>
          </cell>
          <cell r="AN100">
            <v>0</v>
          </cell>
          <cell r="AO100">
            <v>0</v>
          </cell>
          <cell r="AQ100">
            <v>0</v>
          </cell>
          <cell r="AR100">
            <v>0</v>
          </cell>
          <cell r="AT100">
            <v>0</v>
          </cell>
          <cell r="AW100">
            <v>4961</v>
          </cell>
          <cell r="AX100">
            <v>4961</v>
          </cell>
          <cell r="AY100">
            <v>4961</v>
          </cell>
          <cell r="AZ100">
            <v>4961</v>
          </cell>
          <cell r="BA100">
            <v>4961</v>
          </cell>
          <cell r="BB100">
            <v>4961</v>
          </cell>
          <cell r="BC100">
            <v>4961</v>
          </cell>
          <cell r="BD100">
            <v>4961</v>
          </cell>
          <cell r="BE100">
            <v>4961</v>
          </cell>
          <cell r="BF100">
            <v>4961</v>
          </cell>
          <cell r="BH100">
            <v>4961</v>
          </cell>
        </row>
        <row r="101">
          <cell r="G101">
            <v>154</v>
          </cell>
          <cell r="H101">
            <v>154</v>
          </cell>
          <cell r="I101">
            <v>154</v>
          </cell>
          <cell r="J101">
            <v>154</v>
          </cell>
          <cell r="K101">
            <v>154</v>
          </cell>
          <cell r="L101">
            <v>154</v>
          </cell>
          <cell r="M101">
            <v>154</v>
          </cell>
          <cell r="N101">
            <v>154</v>
          </cell>
          <cell r="O101">
            <v>154</v>
          </cell>
          <cell r="P101">
            <v>154</v>
          </cell>
          <cell r="R101">
            <v>154</v>
          </cell>
          <cell r="U101">
            <v>140</v>
          </cell>
          <cell r="V101">
            <v>140</v>
          </cell>
          <cell r="W101">
            <v>140</v>
          </cell>
          <cell r="X101">
            <v>140</v>
          </cell>
          <cell r="Y101">
            <v>140</v>
          </cell>
          <cell r="Z101">
            <v>140</v>
          </cell>
          <cell r="AA101">
            <v>140</v>
          </cell>
          <cell r="AB101">
            <v>140</v>
          </cell>
          <cell r="AC101">
            <v>140</v>
          </cell>
          <cell r="AD101">
            <v>140</v>
          </cell>
          <cell r="AF101">
            <v>140</v>
          </cell>
          <cell r="AI101">
            <v>0</v>
          </cell>
          <cell r="AJ101">
            <v>0</v>
          </cell>
          <cell r="AK101">
            <v>0</v>
          </cell>
          <cell r="AL101">
            <v>0</v>
          </cell>
          <cell r="AM101">
            <v>0</v>
          </cell>
          <cell r="AN101">
            <v>0</v>
          </cell>
          <cell r="AO101">
            <v>0</v>
          </cell>
          <cell r="AQ101">
            <v>0</v>
          </cell>
          <cell r="AR101">
            <v>0</v>
          </cell>
          <cell r="AT101">
            <v>0</v>
          </cell>
          <cell r="AW101">
            <v>294</v>
          </cell>
          <cell r="AX101">
            <v>294</v>
          </cell>
          <cell r="AY101">
            <v>294</v>
          </cell>
          <cell r="AZ101">
            <v>294</v>
          </cell>
          <cell r="BA101">
            <v>294</v>
          </cell>
          <cell r="BB101">
            <v>294</v>
          </cell>
          <cell r="BC101">
            <v>294</v>
          </cell>
          <cell r="BD101">
            <v>294</v>
          </cell>
          <cell r="BE101">
            <v>294</v>
          </cell>
          <cell r="BF101">
            <v>294</v>
          </cell>
          <cell r="BH101">
            <v>294</v>
          </cell>
        </row>
        <row r="105">
          <cell r="G105">
            <v>0</v>
          </cell>
          <cell r="H105">
            <v>0</v>
          </cell>
          <cell r="I105">
            <v>0</v>
          </cell>
          <cell r="J105">
            <v>0</v>
          </cell>
          <cell r="K105">
            <v>0</v>
          </cell>
          <cell r="L105">
            <v>0</v>
          </cell>
          <cell r="M105">
            <v>0</v>
          </cell>
          <cell r="N105">
            <v>0</v>
          </cell>
          <cell r="O105">
            <v>0</v>
          </cell>
          <cell r="P105">
            <v>0</v>
          </cell>
          <cell r="R105">
            <v>48549</v>
          </cell>
          <cell r="U105">
            <v>0</v>
          </cell>
          <cell r="V105">
            <v>0</v>
          </cell>
          <cell r="W105">
            <v>0</v>
          </cell>
          <cell r="X105">
            <v>0</v>
          </cell>
          <cell r="Y105">
            <v>0</v>
          </cell>
          <cell r="Z105">
            <v>0</v>
          </cell>
          <cell r="AA105">
            <v>0</v>
          </cell>
          <cell r="AC105">
            <v>0</v>
          </cell>
          <cell r="AD105">
            <v>0</v>
          </cell>
          <cell r="AF105">
            <v>25072</v>
          </cell>
          <cell r="AJ105">
            <v>0</v>
          </cell>
          <cell r="AK105">
            <v>0</v>
          </cell>
          <cell r="AL105">
            <v>0</v>
          </cell>
          <cell r="AM105">
            <v>0</v>
          </cell>
          <cell r="AO105">
            <v>0</v>
          </cell>
          <cell r="AQ105">
            <v>0</v>
          </cell>
          <cell r="AR105">
            <v>0</v>
          </cell>
          <cell r="AT105">
            <v>0</v>
          </cell>
          <cell r="AW105">
            <v>0</v>
          </cell>
          <cell r="AX105">
            <v>0</v>
          </cell>
          <cell r="AY105">
            <v>0</v>
          </cell>
          <cell r="AZ105">
            <v>0</v>
          </cell>
          <cell r="BA105">
            <v>0</v>
          </cell>
          <cell r="BB105">
            <v>0</v>
          </cell>
          <cell r="BC105">
            <v>0</v>
          </cell>
          <cell r="BD105">
            <v>0</v>
          </cell>
          <cell r="BE105">
            <v>0</v>
          </cell>
          <cell r="BF105">
            <v>0</v>
          </cell>
          <cell r="BH105">
            <v>73621</v>
          </cell>
        </row>
        <row r="106">
          <cell r="G106">
            <v>0</v>
          </cell>
          <cell r="H106">
            <v>0</v>
          </cell>
          <cell r="I106">
            <v>0</v>
          </cell>
          <cell r="J106">
            <v>4401</v>
          </cell>
          <cell r="K106">
            <v>0</v>
          </cell>
          <cell r="L106">
            <v>4401</v>
          </cell>
          <cell r="M106">
            <v>0</v>
          </cell>
          <cell r="N106">
            <v>715</v>
          </cell>
          <cell r="O106">
            <v>4401</v>
          </cell>
          <cell r="P106">
            <v>0</v>
          </cell>
          <cell r="R106">
            <v>4035</v>
          </cell>
          <cell r="V106">
            <v>0</v>
          </cell>
          <cell r="W106">
            <v>0</v>
          </cell>
          <cell r="X106">
            <v>2349</v>
          </cell>
          <cell r="Y106">
            <v>0</v>
          </cell>
          <cell r="Z106">
            <v>2349</v>
          </cell>
          <cell r="AA106">
            <v>0</v>
          </cell>
          <cell r="AB106">
            <v>381</v>
          </cell>
          <cell r="AC106">
            <v>2349</v>
          </cell>
          <cell r="AD106">
            <v>0</v>
          </cell>
          <cell r="AF106">
            <v>2153</v>
          </cell>
          <cell r="AI106">
            <v>0</v>
          </cell>
          <cell r="AJ106">
            <v>0</v>
          </cell>
          <cell r="AK106">
            <v>0</v>
          </cell>
          <cell r="AL106">
            <v>0</v>
          </cell>
          <cell r="AM106">
            <v>0</v>
          </cell>
          <cell r="AO106">
            <v>0</v>
          </cell>
          <cell r="AQ106">
            <v>0</v>
          </cell>
          <cell r="AR106">
            <v>0</v>
          </cell>
          <cell r="AT106">
            <v>0</v>
          </cell>
          <cell r="AW106">
            <v>0</v>
          </cell>
          <cell r="AX106">
            <v>0</v>
          </cell>
          <cell r="AY106">
            <v>0</v>
          </cell>
          <cell r="AZ106">
            <v>6750</v>
          </cell>
          <cell r="BA106">
            <v>0</v>
          </cell>
          <cell r="BB106">
            <v>6750</v>
          </cell>
          <cell r="BC106">
            <v>0</v>
          </cell>
          <cell r="BD106">
            <v>1096</v>
          </cell>
          <cell r="BE106">
            <v>6750</v>
          </cell>
          <cell r="BF106">
            <v>0</v>
          </cell>
          <cell r="BH106">
            <v>6188</v>
          </cell>
        </row>
        <row r="110">
          <cell r="G110">
            <v>-4400</v>
          </cell>
          <cell r="H110">
            <v>-4400</v>
          </cell>
          <cell r="I110">
            <v>-4400</v>
          </cell>
          <cell r="J110">
            <v>-4400</v>
          </cell>
          <cell r="K110">
            <v>-4400</v>
          </cell>
          <cell r="L110">
            <v>-4400</v>
          </cell>
          <cell r="M110">
            <v>-4400</v>
          </cell>
          <cell r="N110">
            <v>-4400</v>
          </cell>
          <cell r="O110">
            <v>-4400</v>
          </cell>
          <cell r="P110">
            <v>-4400</v>
          </cell>
          <cell r="R110">
            <v>-4706</v>
          </cell>
          <cell r="U110">
            <v>-1900</v>
          </cell>
          <cell r="V110">
            <v>-1900</v>
          </cell>
          <cell r="W110">
            <v>-1900</v>
          </cell>
          <cell r="X110">
            <v>-1900</v>
          </cell>
          <cell r="Y110">
            <v>-1900</v>
          </cell>
          <cell r="Z110">
            <v>-1900</v>
          </cell>
          <cell r="AA110">
            <v>-1900</v>
          </cell>
          <cell r="AB110">
            <v>-1900</v>
          </cell>
          <cell r="AC110">
            <v>-1900</v>
          </cell>
          <cell r="AD110">
            <v>-1900</v>
          </cell>
          <cell r="AF110">
            <v>-1345</v>
          </cell>
          <cell r="AI110">
            <v>0</v>
          </cell>
          <cell r="AJ110">
            <v>0</v>
          </cell>
          <cell r="AK110">
            <v>0</v>
          </cell>
          <cell r="AL110">
            <v>0</v>
          </cell>
          <cell r="AM110">
            <v>0</v>
          </cell>
          <cell r="AO110">
            <v>0</v>
          </cell>
          <cell r="AQ110">
            <v>0</v>
          </cell>
          <cell r="AR110">
            <v>0</v>
          </cell>
          <cell r="AT110">
            <v>-528</v>
          </cell>
          <cell r="AW110">
            <v>-6300</v>
          </cell>
          <cell r="AX110">
            <v>-6300</v>
          </cell>
          <cell r="AY110">
            <v>-6300</v>
          </cell>
          <cell r="AZ110">
            <v>-6300</v>
          </cell>
          <cell r="BA110">
            <v>-6300</v>
          </cell>
          <cell r="BB110">
            <v>-6300</v>
          </cell>
          <cell r="BC110">
            <v>-6300</v>
          </cell>
          <cell r="BD110">
            <v>-6300</v>
          </cell>
          <cell r="BE110">
            <v>-6300</v>
          </cell>
          <cell r="BF110">
            <v>-6300</v>
          </cell>
          <cell r="BH110">
            <v>-6579</v>
          </cell>
        </row>
      </sheetData>
      <sheetData sheetId="2" refreshError="1"/>
      <sheetData sheetId="3"/>
      <sheetData sheetId="4">
        <row r="90">
          <cell r="G90">
            <v>0</v>
          </cell>
        </row>
      </sheetData>
      <sheetData sheetId="5">
        <row r="15">
          <cell r="H1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refreshError="1"/>
      <sheetData sheetId="3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NL Data"/>
      <sheetName val="Proxy Companies"/>
    </sheetNames>
    <sheetDataSet>
      <sheetData sheetId="0"/>
      <sheetData sheetId="1">
        <row r="6">
          <cell r="A6" t="str">
            <v>AEP Texas Central Company</v>
          </cell>
          <cell r="C6">
            <v>1098114</v>
          </cell>
          <cell r="D6">
            <v>635601</v>
          </cell>
          <cell r="E6">
            <v>629948</v>
          </cell>
          <cell r="F6">
            <v>626743</v>
          </cell>
          <cell r="G6">
            <v>624527</v>
          </cell>
          <cell r="H6">
            <v>600814</v>
          </cell>
          <cell r="I6">
            <v>603202</v>
          </cell>
          <cell r="J6">
            <v>600749</v>
          </cell>
          <cell r="K6">
            <v>5346</v>
          </cell>
          <cell r="L6">
            <v>5346</v>
          </cell>
          <cell r="M6">
            <v>5349</v>
          </cell>
          <cell r="N6">
            <v>5704</v>
          </cell>
          <cell r="O6">
            <v>5705</v>
          </cell>
          <cell r="P6">
            <v>5905</v>
          </cell>
          <cell r="Q6">
            <v>5905</v>
          </cell>
          <cell r="R6">
            <v>5905</v>
          </cell>
          <cell r="S6">
            <v>703431</v>
          </cell>
          <cell r="T6">
            <v>703418</v>
          </cell>
          <cell r="U6">
            <v>763670</v>
          </cell>
          <cell r="V6">
            <v>763656</v>
          </cell>
          <cell r="W6">
            <v>763643</v>
          </cell>
          <cell r="X6">
            <v>763629</v>
          </cell>
          <cell r="Y6">
            <v>763616</v>
          </cell>
          <cell r="Z6">
            <v>763602</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61</v>
          </cell>
          <cell r="AR6">
            <v>61</v>
          </cell>
          <cell r="AS6">
            <v>61</v>
          </cell>
          <cell r="AT6">
            <v>61</v>
          </cell>
          <cell r="AU6">
            <v>61</v>
          </cell>
          <cell r="AV6">
            <v>0</v>
          </cell>
          <cell r="AW6">
            <v>0</v>
          </cell>
          <cell r="AX6">
            <v>755</v>
          </cell>
          <cell r="AY6">
            <v>0</v>
          </cell>
          <cell r="AZ6">
            <v>0</v>
          </cell>
          <cell r="BA6">
            <v>0</v>
          </cell>
          <cell r="BB6">
            <v>0</v>
          </cell>
          <cell r="BC6">
            <v>0</v>
          </cell>
          <cell r="BD6">
            <v>0</v>
          </cell>
          <cell r="BE6">
            <v>0</v>
          </cell>
          <cell r="BF6">
            <v>0</v>
          </cell>
          <cell r="BH6">
            <v>1801545</v>
          </cell>
          <cell r="BI6">
            <v>1339019</v>
          </cell>
          <cell r="BJ6">
            <v>1393618</v>
          </cell>
          <cell r="BK6">
            <v>1390399</v>
          </cell>
          <cell r="BL6">
            <v>1388170</v>
          </cell>
          <cell r="BM6">
            <v>1364443</v>
          </cell>
          <cell r="BN6">
            <v>1366818</v>
          </cell>
          <cell r="BO6">
            <v>1364351</v>
          </cell>
        </row>
        <row r="7">
          <cell r="C7">
            <v>322126</v>
          </cell>
          <cell r="D7">
            <v>318766</v>
          </cell>
          <cell r="E7">
            <v>316119</v>
          </cell>
          <cell r="F7">
            <v>311656</v>
          </cell>
          <cell r="G7">
            <v>307412</v>
          </cell>
          <cell r="H7">
            <v>306224</v>
          </cell>
          <cell r="I7">
            <v>314247</v>
          </cell>
          <cell r="J7">
            <v>312260</v>
          </cell>
          <cell r="K7">
            <v>2348</v>
          </cell>
          <cell r="L7">
            <v>2348</v>
          </cell>
          <cell r="M7">
            <v>2348</v>
          </cell>
          <cell r="N7">
            <v>2348</v>
          </cell>
          <cell r="O7">
            <v>2349</v>
          </cell>
          <cell r="P7">
            <v>2349</v>
          </cell>
          <cell r="Q7">
            <v>2349</v>
          </cell>
          <cell r="R7">
            <v>2349</v>
          </cell>
          <cell r="S7">
            <v>370208</v>
          </cell>
          <cell r="T7">
            <v>370187</v>
          </cell>
          <cell r="U7">
            <v>370166</v>
          </cell>
          <cell r="V7">
            <v>370145</v>
          </cell>
          <cell r="W7">
            <v>370124</v>
          </cell>
          <cell r="X7">
            <v>370103</v>
          </cell>
          <cell r="Y7">
            <v>370082</v>
          </cell>
          <cell r="Z7">
            <v>370061</v>
          </cell>
          <cell r="AA7">
            <v>0</v>
          </cell>
          <cell r="AB7">
            <v>0</v>
          </cell>
          <cell r="AC7">
            <v>0</v>
          </cell>
          <cell r="AD7">
            <v>0</v>
          </cell>
          <cell r="AE7">
            <v>0</v>
          </cell>
          <cell r="AF7">
            <v>0</v>
          </cell>
          <cell r="AG7">
            <v>0</v>
          </cell>
          <cell r="AH7">
            <v>0</v>
          </cell>
          <cell r="AI7">
            <v>16487</v>
          </cell>
          <cell r="AJ7">
            <v>36847</v>
          </cell>
          <cell r="AK7">
            <v>40937</v>
          </cell>
          <cell r="AL7">
            <v>0</v>
          </cell>
          <cell r="AM7">
            <v>41339</v>
          </cell>
          <cell r="AN7">
            <v>38398</v>
          </cell>
          <cell r="AO7">
            <v>28500</v>
          </cell>
          <cell r="AP7">
            <v>87996</v>
          </cell>
          <cell r="AQ7">
            <v>10</v>
          </cell>
          <cell r="AR7">
            <v>10</v>
          </cell>
          <cell r="AS7">
            <v>10</v>
          </cell>
          <cell r="AT7">
            <v>10</v>
          </cell>
          <cell r="AU7">
            <v>10</v>
          </cell>
          <cell r="AV7">
            <v>0</v>
          </cell>
          <cell r="AW7">
            <v>0</v>
          </cell>
          <cell r="AX7">
            <v>1020</v>
          </cell>
          <cell r="AY7">
            <v>0</v>
          </cell>
          <cell r="AZ7">
            <v>0</v>
          </cell>
          <cell r="BA7">
            <v>0</v>
          </cell>
          <cell r="BB7">
            <v>0</v>
          </cell>
          <cell r="BC7">
            <v>0</v>
          </cell>
          <cell r="BD7">
            <v>0</v>
          </cell>
          <cell r="BE7">
            <v>0</v>
          </cell>
          <cell r="BF7">
            <v>0</v>
          </cell>
          <cell r="BH7">
            <v>708821</v>
          </cell>
          <cell r="BI7">
            <v>725800</v>
          </cell>
          <cell r="BJ7">
            <v>727222</v>
          </cell>
          <cell r="BK7">
            <v>681801</v>
          </cell>
          <cell r="BL7">
            <v>718875</v>
          </cell>
          <cell r="BM7">
            <v>714725</v>
          </cell>
          <cell r="BN7">
            <v>712829</v>
          </cell>
          <cell r="BO7">
            <v>770317</v>
          </cell>
        </row>
        <row r="8">
          <cell r="C8">
            <v>6283355</v>
          </cell>
          <cell r="D8">
            <v>6158232</v>
          </cell>
          <cell r="E8">
            <v>6104565</v>
          </cell>
          <cell r="F8">
            <v>6078542</v>
          </cell>
          <cell r="G8">
            <v>6193674</v>
          </cell>
          <cell r="H8">
            <v>6059572</v>
          </cell>
          <cell r="I8">
            <v>5999048</v>
          </cell>
          <cell r="J8">
            <v>5921511</v>
          </cell>
          <cell r="K8">
            <v>697512</v>
          </cell>
          <cell r="L8">
            <v>697512</v>
          </cell>
          <cell r="M8">
            <v>697512</v>
          </cell>
          <cell r="N8">
            <v>697512</v>
          </cell>
          <cell r="O8">
            <v>697512</v>
          </cell>
          <cell r="P8">
            <v>697512</v>
          </cell>
          <cell r="Q8">
            <v>697512</v>
          </cell>
          <cell r="R8">
            <v>697512</v>
          </cell>
          <cell r="S8">
            <v>6225422</v>
          </cell>
          <cell r="T8">
            <v>6229501</v>
          </cell>
          <cell r="U8">
            <v>6230349</v>
          </cell>
          <cell r="V8">
            <v>6182208</v>
          </cell>
          <cell r="W8">
            <v>6182575</v>
          </cell>
          <cell r="X8">
            <v>6182547</v>
          </cell>
          <cell r="Y8">
            <v>6182518</v>
          </cell>
          <cell r="Z8">
            <v>6182489</v>
          </cell>
          <cell r="AA8">
            <v>0</v>
          </cell>
          <cell r="AB8">
            <v>0</v>
          </cell>
          <cell r="AC8">
            <v>0</v>
          </cell>
          <cell r="AD8">
            <v>0</v>
          </cell>
          <cell r="AE8">
            <v>0</v>
          </cell>
          <cell r="AF8">
            <v>59997</v>
          </cell>
          <cell r="AG8">
            <v>0</v>
          </cell>
          <cell r="AH8">
            <v>0</v>
          </cell>
          <cell r="AI8">
            <v>0</v>
          </cell>
          <cell r="AJ8">
            <v>0</v>
          </cell>
          <cell r="AK8">
            <v>0</v>
          </cell>
          <cell r="AL8">
            <v>0</v>
          </cell>
          <cell r="AM8">
            <v>0</v>
          </cell>
          <cell r="AN8">
            <v>0</v>
          </cell>
          <cell r="AO8">
            <v>0</v>
          </cell>
          <cell r="AP8">
            <v>0</v>
          </cell>
          <cell r="AQ8">
            <v>84849</v>
          </cell>
          <cell r="AR8">
            <v>85611</v>
          </cell>
          <cell r="AS8">
            <v>85746</v>
          </cell>
          <cell r="AT8">
            <v>85620</v>
          </cell>
          <cell r="AU8">
            <v>85849</v>
          </cell>
          <cell r="AV8">
            <v>86716</v>
          </cell>
          <cell r="AW8">
            <v>87263</v>
          </cell>
          <cell r="AX8">
            <v>86975</v>
          </cell>
          <cell r="AY8">
            <v>0</v>
          </cell>
          <cell r="AZ8">
            <v>0</v>
          </cell>
          <cell r="BA8">
            <v>0</v>
          </cell>
          <cell r="BB8">
            <v>0</v>
          </cell>
          <cell r="BC8">
            <v>0</v>
          </cell>
          <cell r="BD8">
            <v>0</v>
          </cell>
          <cell r="BE8">
            <v>0</v>
          </cell>
          <cell r="BF8">
            <v>0</v>
          </cell>
          <cell r="BH8">
            <v>12508777</v>
          </cell>
          <cell r="BI8">
            <v>12387733</v>
          </cell>
          <cell r="BJ8">
            <v>12334914</v>
          </cell>
          <cell r="BK8">
            <v>12260750</v>
          </cell>
          <cell r="BL8">
            <v>12376249</v>
          </cell>
          <cell r="BM8">
            <v>12302116</v>
          </cell>
          <cell r="BN8">
            <v>12181566</v>
          </cell>
          <cell r="BO8">
            <v>12104000</v>
          </cell>
        </row>
        <row r="9">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H9">
            <v>0</v>
          </cell>
          <cell r="BI9">
            <v>0</v>
          </cell>
          <cell r="BJ9">
            <v>0</v>
          </cell>
          <cell r="BK9">
            <v>0</v>
          </cell>
          <cell r="BL9">
            <v>0</v>
          </cell>
          <cell r="BM9">
            <v>0</v>
          </cell>
          <cell r="BN9">
            <v>0</v>
          </cell>
          <cell r="BO9">
            <v>0</v>
          </cell>
        </row>
        <row r="10">
          <cell r="C10">
            <v>1052454</v>
          </cell>
          <cell r="D10">
            <v>1029935</v>
          </cell>
          <cell r="E10">
            <v>1004184</v>
          </cell>
          <cell r="F10">
            <v>977087</v>
          </cell>
          <cell r="G10">
            <v>975943</v>
          </cell>
          <cell r="H10">
            <v>963406</v>
          </cell>
          <cell r="I10">
            <v>948962</v>
          </cell>
          <cell r="J10">
            <v>930676</v>
          </cell>
          <cell r="K10">
            <v>0</v>
          </cell>
          <cell r="L10">
            <v>0</v>
          </cell>
          <cell r="M10">
            <v>0</v>
          </cell>
          <cell r="N10">
            <v>0</v>
          </cell>
          <cell r="O10">
            <v>0</v>
          </cell>
          <cell r="P10">
            <v>0</v>
          </cell>
          <cell r="Q10">
            <v>0</v>
          </cell>
          <cell r="R10">
            <v>0</v>
          </cell>
          <cell r="S10">
            <v>817621</v>
          </cell>
          <cell r="T10">
            <v>742621</v>
          </cell>
          <cell r="U10">
            <v>742620</v>
          </cell>
          <cell r="V10">
            <v>742620</v>
          </cell>
          <cell r="W10">
            <v>742620</v>
          </cell>
          <cell r="X10">
            <v>667620</v>
          </cell>
          <cell r="Y10">
            <v>667619</v>
          </cell>
          <cell r="Z10">
            <v>656219</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281</v>
          </cell>
          <cell r="AR10">
            <v>289</v>
          </cell>
          <cell r="AS10">
            <v>284</v>
          </cell>
          <cell r="AT10">
            <v>287</v>
          </cell>
          <cell r="AU10">
            <v>293</v>
          </cell>
          <cell r="AV10">
            <v>296</v>
          </cell>
          <cell r="AW10">
            <v>299</v>
          </cell>
          <cell r="AX10">
            <v>290</v>
          </cell>
          <cell r="AY10">
            <v>0</v>
          </cell>
          <cell r="AZ10">
            <v>0</v>
          </cell>
          <cell r="BA10">
            <v>0</v>
          </cell>
          <cell r="BB10">
            <v>0</v>
          </cell>
          <cell r="BC10">
            <v>0</v>
          </cell>
          <cell r="BD10">
            <v>0</v>
          </cell>
          <cell r="BE10">
            <v>0</v>
          </cell>
          <cell r="BF10">
            <v>0</v>
          </cell>
          <cell r="BH10">
            <v>1870075</v>
          </cell>
          <cell r="BI10">
            <v>1772556</v>
          </cell>
          <cell r="BJ10">
            <v>1746804</v>
          </cell>
          <cell r="BK10">
            <v>1719707</v>
          </cell>
          <cell r="BL10">
            <v>1718563</v>
          </cell>
          <cell r="BM10">
            <v>1631026</v>
          </cell>
          <cell r="BN10">
            <v>1616581</v>
          </cell>
          <cell r="BO10">
            <v>1586895</v>
          </cell>
        </row>
        <row r="11">
          <cell r="C11">
            <v>2502574</v>
          </cell>
          <cell r="D11">
            <v>2493529</v>
          </cell>
          <cell r="E11">
            <v>2544398</v>
          </cell>
          <cell r="F11">
            <v>2575069</v>
          </cell>
          <cell r="G11" t="str">
            <v>NA</v>
          </cell>
          <cell r="H11" t="str">
            <v>NA</v>
          </cell>
          <cell r="I11" t="str">
            <v>NA</v>
          </cell>
          <cell r="J11" t="str">
            <v>NA</v>
          </cell>
          <cell r="K11">
            <v>61632</v>
          </cell>
          <cell r="L11">
            <v>61632</v>
          </cell>
          <cell r="M11">
            <v>61632</v>
          </cell>
          <cell r="N11">
            <v>61632</v>
          </cell>
          <cell r="O11" t="str">
            <v>NA</v>
          </cell>
          <cell r="P11" t="str">
            <v>NA</v>
          </cell>
          <cell r="Q11" t="str">
            <v>NA</v>
          </cell>
          <cell r="R11" t="str">
            <v>NA</v>
          </cell>
          <cell r="S11">
            <v>1640454</v>
          </cell>
          <cell r="T11">
            <v>1640295</v>
          </cell>
          <cell r="U11">
            <v>1790104</v>
          </cell>
          <cell r="V11">
            <v>1789913</v>
          </cell>
          <cell r="W11" t="str">
            <v>NA</v>
          </cell>
          <cell r="X11" t="str">
            <v>NA</v>
          </cell>
          <cell r="Y11" t="str">
            <v>NA</v>
          </cell>
          <cell r="Z11" t="str">
            <v>NA</v>
          </cell>
          <cell r="AA11">
            <v>0</v>
          </cell>
          <cell r="AB11">
            <v>0</v>
          </cell>
          <cell r="AC11">
            <v>0</v>
          </cell>
          <cell r="AD11">
            <v>0</v>
          </cell>
          <cell r="AE11" t="str">
            <v>NA</v>
          </cell>
          <cell r="AF11" t="str">
            <v>NA</v>
          </cell>
          <cell r="AG11" t="str">
            <v>NA</v>
          </cell>
          <cell r="AH11" t="str">
            <v>NA</v>
          </cell>
          <cell r="AI11">
            <v>0</v>
          </cell>
          <cell r="AJ11">
            <v>0</v>
          </cell>
          <cell r="AK11">
            <v>0</v>
          </cell>
          <cell r="AL11">
            <v>0</v>
          </cell>
          <cell r="AM11" t="str">
            <v>NA</v>
          </cell>
          <cell r="AN11" t="str">
            <v>NA</v>
          </cell>
          <cell r="AO11" t="str">
            <v>NA</v>
          </cell>
          <cell r="AP11" t="str">
            <v>NA</v>
          </cell>
          <cell r="AQ11">
            <v>40919</v>
          </cell>
          <cell r="AR11">
            <v>41050</v>
          </cell>
          <cell r="AS11">
            <v>42825</v>
          </cell>
          <cell r="AT11">
            <v>41571</v>
          </cell>
          <cell r="AU11" t="str">
            <v>NA</v>
          </cell>
          <cell r="AV11" t="str">
            <v>NA</v>
          </cell>
          <cell r="AW11" t="str">
            <v>NA</v>
          </cell>
          <cell r="AX11" t="str">
            <v>NA</v>
          </cell>
          <cell r="AY11">
            <v>0</v>
          </cell>
          <cell r="AZ11">
            <v>0</v>
          </cell>
          <cell r="BA11">
            <v>0</v>
          </cell>
          <cell r="BB11">
            <v>0</v>
          </cell>
          <cell r="BC11" t="str">
            <v>NA</v>
          </cell>
          <cell r="BD11" t="str">
            <v>NA</v>
          </cell>
          <cell r="BE11" t="str">
            <v>NA</v>
          </cell>
          <cell r="BF11" t="str">
            <v>NA</v>
          </cell>
          <cell r="BH11">
            <v>4143028</v>
          </cell>
          <cell r="BI11">
            <v>4133824</v>
          </cell>
          <cell r="BJ11">
            <v>4334502</v>
          </cell>
          <cell r="BK11">
            <v>4364982</v>
          </cell>
          <cell r="BL11">
            <v>0</v>
          </cell>
          <cell r="BM11">
            <v>0</v>
          </cell>
          <cell r="BN11">
            <v>0</v>
          </cell>
          <cell r="BO11">
            <v>0</v>
          </cell>
        </row>
        <row r="12">
          <cell r="C12">
            <v>2967829</v>
          </cell>
          <cell r="D12">
            <v>2844891</v>
          </cell>
          <cell r="E12">
            <v>2841987</v>
          </cell>
          <cell r="F12">
            <v>2839426</v>
          </cell>
          <cell r="G12">
            <v>2800963</v>
          </cell>
          <cell r="H12">
            <v>2761133</v>
          </cell>
          <cell r="I12">
            <v>2814705</v>
          </cell>
          <cell r="J12">
            <v>2789329</v>
          </cell>
          <cell r="K12">
            <v>17736</v>
          </cell>
          <cell r="L12">
            <v>17736</v>
          </cell>
          <cell r="M12">
            <v>17736</v>
          </cell>
          <cell r="N12">
            <v>17747</v>
          </cell>
          <cell r="O12">
            <v>17747</v>
          </cell>
          <cell r="P12">
            <v>17747</v>
          </cell>
          <cell r="Q12">
            <v>17747</v>
          </cell>
          <cell r="R12">
            <v>17752</v>
          </cell>
          <cell r="S12">
            <v>3726069</v>
          </cell>
          <cell r="T12">
            <v>3725887</v>
          </cell>
          <cell r="U12">
            <v>3975704</v>
          </cell>
          <cell r="V12">
            <v>3561141</v>
          </cell>
          <cell r="W12">
            <v>3560959</v>
          </cell>
          <cell r="X12">
            <v>3560776</v>
          </cell>
          <cell r="Y12">
            <v>3411244</v>
          </cell>
          <cell r="Z12">
            <v>3477307</v>
          </cell>
          <cell r="AA12">
            <v>0</v>
          </cell>
          <cell r="AB12">
            <v>0</v>
          </cell>
          <cell r="AC12">
            <v>0</v>
          </cell>
          <cell r="AD12">
            <v>0</v>
          </cell>
          <cell r="AE12">
            <v>0</v>
          </cell>
          <cell r="AF12">
            <v>0</v>
          </cell>
          <cell r="AG12">
            <v>0</v>
          </cell>
          <cell r="AH12">
            <v>0</v>
          </cell>
          <cell r="AI12">
            <v>0</v>
          </cell>
          <cell r="AJ12">
            <v>0</v>
          </cell>
          <cell r="AK12">
            <v>0</v>
          </cell>
          <cell r="AL12">
            <v>149942</v>
          </cell>
          <cell r="AM12">
            <v>76919</v>
          </cell>
          <cell r="AN12">
            <v>268488</v>
          </cell>
          <cell r="AO12">
            <v>368992</v>
          </cell>
          <cell r="AP12">
            <v>250732</v>
          </cell>
          <cell r="AQ12">
            <v>60092</v>
          </cell>
          <cell r="AR12">
            <v>60488</v>
          </cell>
          <cell r="AS12">
            <v>59385</v>
          </cell>
          <cell r="AT12">
            <v>58451</v>
          </cell>
          <cell r="AU12">
            <v>57460</v>
          </cell>
          <cell r="AV12">
            <v>58144</v>
          </cell>
          <cell r="AW12">
            <v>59202</v>
          </cell>
          <cell r="AX12">
            <v>57578</v>
          </cell>
          <cell r="AY12">
            <v>0</v>
          </cell>
          <cell r="AZ12">
            <v>0</v>
          </cell>
          <cell r="BA12">
            <v>0</v>
          </cell>
          <cell r="BB12">
            <v>0</v>
          </cell>
          <cell r="BC12">
            <v>0</v>
          </cell>
          <cell r="BD12">
            <v>0</v>
          </cell>
          <cell r="BE12">
            <v>0</v>
          </cell>
          <cell r="BF12">
            <v>0</v>
          </cell>
          <cell r="BH12">
            <v>6693898</v>
          </cell>
          <cell r="BI12">
            <v>6570778</v>
          </cell>
          <cell r="BJ12">
            <v>6817691</v>
          </cell>
          <cell r="BK12">
            <v>6550509</v>
          </cell>
          <cell r="BL12">
            <v>6438841</v>
          </cell>
          <cell r="BM12">
            <v>6590397</v>
          </cell>
          <cell r="BN12">
            <v>6594941</v>
          </cell>
          <cell r="BO12">
            <v>6517368</v>
          </cell>
        </row>
        <row r="13">
          <cell r="C13">
            <v>4013442</v>
          </cell>
          <cell r="D13">
            <v>3746068</v>
          </cell>
          <cell r="E13">
            <v>3766132</v>
          </cell>
          <cell r="F13">
            <v>3824954</v>
          </cell>
          <cell r="G13">
            <v>3827775</v>
          </cell>
          <cell r="H13">
            <v>3605292</v>
          </cell>
          <cell r="I13">
            <v>3366986</v>
          </cell>
          <cell r="J13">
            <v>3445356</v>
          </cell>
          <cell r="K13">
            <v>0</v>
          </cell>
          <cell r="L13">
            <v>0</v>
          </cell>
          <cell r="M13">
            <v>0</v>
          </cell>
          <cell r="N13">
            <v>0</v>
          </cell>
          <cell r="O13">
            <v>0</v>
          </cell>
          <cell r="P13">
            <v>0</v>
          </cell>
          <cell r="Q13">
            <v>0</v>
          </cell>
          <cell r="R13">
            <v>0</v>
          </cell>
          <cell r="S13">
            <v>3696370</v>
          </cell>
          <cell r="T13">
            <v>3398136</v>
          </cell>
          <cell r="U13">
            <v>3398000</v>
          </cell>
          <cell r="V13">
            <v>3396236</v>
          </cell>
          <cell r="W13">
            <v>3396695</v>
          </cell>
          <cell r="X13">
            <v>3396493</v>
          </cell>
          <cell r="Y13">
            <v>3396307</v>
          </cell>
          <cell r="Z13">
            <v>3395359</v>
          </cell>
          <cell r="AA13">
            <v>0</v>
          </cell>
          <cell r="AB13">
            <v>0</v>
          </cell>
          <cell r="AC13">
            <v>0</v>
          </cell>
          <cell r="AD13">
            <v>0</v>
          </cell>
          <cell r="AE13">
            <v>0</v>
          </cell>
          <cell r="AF13">
            <v>0</v>
          </cell>
          <cell r="AG13">
            <v>195000</v>
          </cell>
          <cell r="AH13">
            <v>0</v>
          </cell>
          <cell r="AI13">
            <v>0</v>
          </cell>
          <cell r="AJ13">
            <v>0</v>
          </cell>
          <cell r="AK13">
            <v>0</v>
          </cell>
          <cell r="AL13">
            <v>0</v>
          </cell>
          <cell r="AM13">
            <v>0</v>
          </cell>
          <cell r="AN13">
            <v>0</v>
          </cell>
          <cell r="AO13">
            <v>0</v>
          </cell>
          <cell r="AP13">
            <v>0</v>
          </cell>
          <cell r="AQ13">
            <v>71772</v>
          </cell>
          <cell r="AR13">
            <v>70182</v>
          </cell>
          <cell r="AS13">
            <v>68809</v>
          </cell>
          <cell r="AT13">
            <v>68312</v>
          </cell>
          <cell r="AU13">
            <v>68206</v>
          </cell>
          <cell r="AV13">
            <v>69088</v>
          </cell>
          <cell r="AW13">
            <v>70302</v>
          </cell>
          <cell r="AX13">
            <v>70780</v>
          </cell>
          <cell r="AY13">
            <v>0</v>
          </cell>
          <cell r="AZ13">
            <v>0</v>
          </cell>
          <cell r="BA13">
            <v>0</v>
          </cell>
          <cell r="BB13">
            <v>0</v>
          </cell>
          <cell r="BC13">
            <v>0</v>
          </cell>
          <cell r="BD13">
            <v>0</v>
          </cell>
          <cell r="BE13">
            <v>0</v>
          </cell>
          <cell r="BF13">
            <v>0</v>
          </cell>
          <cell r="BH13">
            <v>7709812</v>
          </cell>
          <cell r="BI13">
            <v>7144204</v>
          </cell>
          <cell r="BJ13">
            <v>7164132</v>
          </cell>
          <cell r="BK13">
            <v>7221190</v>
          </cell>
          <cell r="BL13">
            <v>7224470</v>
          </cell>
          <cell r="BM13">
            <v>7001785</v>
          </cell>
          <cell r="BN13">
            <v>6958293</v>
          </cell>
          <cell r="BO13">
            <v>6840715</v>
          </cell>
        </row>
        <row r="14">
          <cell r="C14">
            <v>805716</v>
          </cell>
          <cell r="D14">
            <v>728527</v>
          </cell>
          <cell r="E14">
            <v>711037</v>
          </cell>
          <cell r="F14">
            <v>710941</v>
          </cell>
          <cell r="G14">
            <v>746459</v>
          </cell>
          <cell r="H14">
            <v>696544</v>
          </cell>
          <cell r="I14">
            <v>647669</v>
          </cell>
          <cell r="J14">
            <v>649381</v>
          </cell>
          <cell r="K14">
            <v>0</v>
          </cell>
          <cell r="L14">
            <v>0</v>
          </cell>
          <cell r="M14">
            <v>0</v>
          </cell>
          <cell r="N14">
            <v>6215</v>
          </cell>
          <cell r="O14">
            <v>6215</v>
          </cell>
          <cell r="P14">
            <v>6215</v>
          </cell>
          <cell r="Q14">
            <v>6215</v>
          </cell>
          <cell r="R14">
            <v>6215</v>
          </cell>
          <cell r="S14">
            <v>1126085</v>
          </cell>
          <cell r="T14">
            <v>1141134</v>
          </cell>
          <cell r="U14">
            <v>1000067</v>
          </cell>
          <cell r="V14">
            <v>1010797</v>
          </cell>
          <cell r="W14">
            <v>1020744</v>
          </cell>
          <cell r="X14">
            <v>1033855</v>
          </cell>
          <cell r="Y14">
            <v>1040102</v>
          </cell>
          <cell r="Z14">
            <v>1024088</v>
          </cell>
          <cell r="AA14">
            <v>0</v>
          </cell>
          <cell r="AB14">
            <v>24999</v>
          </cell>
          <cell r="AC14">
            <v>164925</v>
          </cell>
          <cell r="AD14">
            <v>158193</v>
          </cell>
          <cell r="AE14">
            <v>123243</v>
          </cell>
          <cell r="AF14">
            <v>170488</v>
          </cell>
          <cell r="AG14">
            <v>90997</v>
          </cell>
          <cell r="AH14">
            <v>59997</v>
          </cell>
          <cell r="AI14">
            <v>49815</v>
          </cell>
          <cell r="AJ14">
            <v>49649</v>
          </cell>
          <cell r="AK14">
            <v>0</v>
          </cell>
          <cell r="AL14">
            <v>0</v>
          </cell>
          <cell r="AM14">
            <v>0</v>
          </cell>
          <cell r="AN14">
            <v>0</v>
          </cell>
          <cell r="AO14">
            <v>0</v>
          </cell>
          <cell r="AP14">
            <v>0</v>
          </cell>
          <cell r="AQ14">
            <v>24348</v>
          </cell>
          <cell r="AR14">
            <v>23970</v>
          </cell>
          <cell r="AS14">
            <v>23922</v>
          </cell>
          <cell r="AT14">
            <v>22811</v>
          </cell>
          <cell r="AU14">
            <v>22412</v>
          </cell>
          <cell r="AV14">
            <v>21635</v>
          </cell>
          <cell r="AW14">
            <v>21013</v>
          </cell>
          <cell r="AX14">
            <v>20569</v>
          </cell>
          <cell r="AY14">
            <v>0</v>
          </cell>
          <cell r="AZ14">
            <v>0</v>
          </cell>
          <cell r="BA14">
            <v>0</v>
          </cell>
          <cell r="BB14">
            <v>0</v>
          </cell>
          <cell r="BC14">
            <v>0</v>
          </cell>
          <cell r="BD14">
            <v>0</v>
          </cell>
          <cell r="BE14">
            <v>0</v>
          </cell>
          <cell r="BF14">
            <v>0</v>
          </cell>
          <cell r="BH14">
            <v>1981616</v>
          </cell>
          <cell r="BI14">
            <v>1944309</v>
          </cell>
          <cell r="BJ14">
            <v>1876029</v>
          </cell>
          <cell r="BK14">
            <v>1879931</v>
          </cell>
          <cell r="BL14">
            <v>1890446</v>
          </cell>
          <cell r="BM14">
            <v>1900887</v>
          </cell>
          <cell r="BN14">
            <v>1778768</v>
          </cell>
          <cell r="BO14">
            <v>1733466</v>
          </cell>
        </row>
        <row r="15">
          <cell r="C15">
            <v>1170919</v>
          </cell>
          <cell r="D15">
            <v>1168135</v>
          </cell>
          <cell r="E15">
            <v>1160379</v>
          </cell>
          <cell r="F15">
            <v>1125784</v>
          </cell>
          <cell r="G15">
            <v>1106490</v>
          </cell>
          <cell r="H15">
            <v>1085867</v>
          </cell>
          <cell r="I15">
            <v>1063452</v>
          </cell>
          <cell r="J15">
            <v>1051287</v>
          </cell>
          <cell r="K15">
            <v>0</v>
          </cell>
          <cell r="L15">
            <v>0</v>
          </cell>
          <cell r="M15">
            <v>0</v>
          </cell>
          <cell r="N15">
            <v>0</v>
          </cell>
          <cell r="O15">
            <v>0</v>
          </cell>
          <cell r="P15">
            <v>0</v>
          </cell>
          <cell r="Q15">
            <v>0</v>
          </cell>
          <cell r="R15">
            <v>0</v>
          </cell>
          <cell r="S15">
            <v>1138131</v>
          </cell>
          <cell r="T15">
            <v>1148427</v>
          </cell>
          <cell r="U15">
            <v>1148166</v>
          </cell>
          <cell r="V15">
            <v>1147904</v>
          </cell>
          <cell r="W15">
            <v>1110580</v>
          </cell>
          <cell r="X15">
            <v>1120313</v>
          </cell>
          <cell r="Y15">
            <v>1120146</v>
          </cell>
          <cell r="Z15">
            <v>1119867</v>
          </cell>
          <cell r="AA15">
            <v>96500</v>
          </cell>
          <cell r="AB15">
            <v>75000</v>
          </cell>
          <cell r="AC15">
            <v>65000</v>
          </cell>
          <cell r="AD15">
            <v>110000</v>
          </cell>
          <cell r="AE15">
            <v>75000</v>
          </cell>
          <cell r="AF15">
            <v>85000</v>
          </cell>
          <cell r="AG15">
            <v>70000</v>
          </cell>
          <cell r="AH15">
            <v>87000</v>
          </cell>
          <cell r="AI15">
            <v>1061</v>
          </cell>
          <cell r="AJ15">
            <v>1356</v>
          </cell>
          <cell r="AK15">
            <v>1102</v>
          </cell>
          <cell r="AL15">
            <v>7374</v>
          </cell>
          <cell r="AM15">
            <v>7613</v>
          </cell>
          <cell r="AN15">
            <v>8042</v>
          </cell>
          <cell r="AO15">
            <v>7813</v>
          </cell>
          <cell r="AP15">
            <v>6882</v>
          </cell>
          <cell r="AQ15">
            <v>8876</v>
          </cell>
          <cell r="AR15">
            <v>8470</v>
          </cell>
          <cell r="AS15">
            <v>8051</v>
          </cell>
          <cell r="AT15">
            <v>7959</v>
          </cell>
          <cell r="AU15">
            <v>7918</v>
          </cell>
          <cell r="AV15">
            <v>8160</v>
          </cell>
          <cell r="AW15">
            <v>8204</v>
          </cell>
          <cell r="AX15">
            <v>8141</v>
          </cell>
          <cell r="AY15">
            <v>0</v>
          </cell>
          <cell r="AZ15">
            <v>0</v>
          </cell>
          <cell r="BA15">
            <v>0</v>
          </cell>
          <cell r="BB15">
            <v>0</v>
          </cell>
          <cell r="BC15">
            <v>0</v>
          </cell>
          <cell r="BD15">
            <v>0</v>
          </cell>
          <cell r="BE15">
            <v>0</v>
          </cell>
          <cell r="BF15">
            <v>0</v>
          </cell>
          <cell r="BH15">
            <v>2406611</v>
          </cell>
          <cell r="BI15">
            <v>2392918</v>
          </cell>
          <cell r="BJ15">
            <v>2374647</v>
          </cell>
          <cell r="BK15">
            <v>2391062</v>
          </cell>
          <cell r="BL15">
            <v>2299683</v>
          </cell>
          <cell r="BM15">
            <v>2299222</v>
          </cell>
          <cell r="BN15">
            <v>2261411</v>
          </cell>
          <cell r="BO15">
            <v>2265036</v>
          </cell>
        </row>
        <row r="16">
          <cell r="C16">
            <v>2267636</v>
          </cell>
          <cell r="D16">
            <v>2269322</v>
          </cell>
          <cell r="E16">
            <v>2256047</v>
          </cell>
          <cell r="F16">
            <v>2263248</v>
          </cell>
          <cell r="G16">
            <v>2232178</v>
          </cell>
          <cell r="H16">
            <v>2203605</v>
          </cell>
          <cell r="I16">
            <v>2189926</v>
          </cell>
          <cell r="J16">
            <v>2128866</v>
          </cell>
          <cell r="K16">
            <v>190000</v>
          </cell>
          <cell r="L16">
            <v>190000</v>
          </cell>
          <cell r="M16">
            <v>190000</v>
          </cell>
          <cell r="N16">
            <v>190000</v>
          </cell>
          <cell r="O16">
            <v>190000</v>
          </cell>
          <cell r="P16">
            <v>190000</v>
          </cell>
          <cell r="Q16">
            <v>190000</v>
          </cell>
          <cell r="R16">
            <v>190000</v>
          </cell>
          <cell r="S16">
            <v>2072444</v>
          </cell>
          <cell r="T16">
            <v>2092895</v>
          </cell>
          <cell r="U16">
            <v>2102512</v>
          </cell>
          <cell r="V16">
            <v>2118589</v>
          </cell>
          <cell r="W16">
            <v>2133385</v>
          </cell>
          <cell r="X16">
            <v>2153218</v>
          </cell>
          <cell r="Y16">
            <v>2164398</v>
          </cell>
          <cell r="Z16">
            <v>2180876</v>
          </cell>
          <cell r="AA16">
            <v>140000</v>
          </cell>
          <cell r="AB16">
            <v>0</v>
          </cell>
          <cell r="AC16">
            <v>0</v>
          </cell>
          <cell r="AD16">
            <v>0</v>
          </cell>
          <cell r="AE16">
            <v>0</v>
          </cell>
          <cell r="AF16">
            <v>0</v>
          </cell>
          <cell r="AG16">
            <v>0</v>
          </cell>
          <cell r="AH16">
            <v>46002</v>
          </cell>
          <cell r="AI16">
            <v>0</v>
          </cell>
          <cell r="AJ16">
            <v>0</v>
          </cell>
          <cell r="AK16">
            <v>0</v>
          </cell>
          <cell r="AL16">
            <v>0</v>
          </cell>
          <cell r="AM16">
            <v>0</v>
          </cell>
          <cell r="AN16">
            <v>0</v>
          </cell>
          <cell r="AO16">
            <v>0</v>
          </cell>
          <cell r="AP16">
            <v>0</v>
          </cell>
          <cell r="AQ16">
            <v>83267</v>
          </cell>
          <cell r="AR16">
            <v>79705</v>
          </cell>
          <cell r="AS16">
            <v>77424</v>
          </cell>
          <cell r="AT16">
            <v>78708</v>
          </cell>
          <cell r="AU16">
            <v>78825</v>
          </cell>
          <cell r="AV16">
            <v>78482</v>
          </cell>
          <cell r="AW16">
            <v>76871</v>
          </cell>
          <cell r="AX16">
            <v>76013</v>
          </cell>
          <cell r="AY16">
            <v>0</v>
          </cell>
          <cell r="AZ16">
            <v>0</v>
          </cell>
          <cell r="BA16">
            <v>0</v>
          </cell>
          <cell r="BB16">
            <v>0</v>
          </cell>
          <cell r="BC16">
            <v>0</v>
          </cell>
          <cell r="BD16">
            <v>0</v>
          </cell>
          <cell r="BE16">
            <v>0</v>
          </cell>
          <cell r="BF16">
            <v>0</v>
          </cell>
          <cell r="BH16">
            <v>4480080</v>
          </cell>
          <cell r="BI16">
            <v>4362217</v>
          </cell>
          <cell r="BJ16">
            <v>4358559</v>
          </cell>
          <cell r="BK16">
            <v>4381837</v>
          </cell>
          <cell r="BL16">
            <v>4365563</v>
          </cell>
          <cell r="BM16">
            <v>4356823</v>
          </cell>
          <cell r="BN16">
            <v>4354324</v>
          </cell>
          <cell r="BO16">
            <v>4355744</v>
          </cell>
        </row>
        <row r="17">
          <cell r="C17">
            <v>340087</v>
          </cell>
          <cell r="D17">
            <v>329936</v>
          </cell>
          <cell r="E17">
            <v>324942</v>
          </cell>
          <cell r="F17">
            <v>317023</v>
          </cell>
          <cell r="G17">
            <v>316952</v>
          </cell>
          <cell r="H17">
            <v>305572</v>
          </cell>
          <cell r="I17">
            <v>303677</v>
          </cell>
          <cell r="J17">
            <v>297966</v>
          </cell>
          <cell r="K17">
            <v>399</v>
          </cell>
          <cell r="L17">
            <v>399</v>
          </cell>
          <cell r="M17">
            <v>399</v>
          </cell>
          <cell r="N17">
            <v>399</v>
          </cell>
          <cell r="O17">
            <v>399</v>
          </cell>
          <cell r="P17">
            <v>399</v>
          </cell>
          <cell r="Q17">
            <v>421</v>
          </cell>
          <cell r="R17">
            <v>422</v>
          </cell>
          <cell r="S17">
            <v>151818</v>
          </cell>
          <cell r="T17">
            <v>156364</v>
          </cell>
          <cell r="U17">
            <v>156364</v>
          </cell>
          <cell r="V17">
            <v>156364</v>
          </cell>
          <cell r="W17">
            <v>156364</v>
          </cell>
          <cell r="X17">
            <v>160909</v>
          </cell>
          <cell r="Y17">
            <v>160909</v>
          </cell>
          <cell r="Z17">
            <v>160909</v>
          </cell>
          <cell r="AA17">
            <v>52672</v>
          </cell>
          <cell r="AB17">
            <v>38202</v>
          </cell>
          <cell r="AC17">
            <v>38256</v>
          </cell>
          <cell r="AD17">
            <v>38802</v>
          </cell>
          <cell r="AE17">
            <v>40272</v>
          </cell>
          <cell r="AF17">
            <v>46892</v>
          </cell>
          <cell r="AG17">
            <v>46900</v>
          </cell>
          <cell r="AH17">
            <v>47200</v>
          </cell>
          <cell r="AI17">
            <v>0</v>
          </cell>
          <cell r="AJ17">
            <v>0</v>
          </cell>
          <cell r="AK17">
            <v>0</v>
          </cell>
          <cell r="AL17">
            <v>0</v>
          </cell>
          <cell r="AM17">
            <v>0</v>
          </cell>
          <cell r="AN17">
            <v>0</v>
          </cell>
          <cell r="AO17">
            <v>0</v>
          </cell>
          <cell r="AP17">
            <v>0</v>
          </cell>
          <cell r="AQ17">
            <v>2821</v>
          </cell>
          <cell r="AR17">
            <v>2820</v>
          </cell>
          <cell r="AS17">
            <v>2514</v>
          </cell>
          <cell r="AT17">
            <v>2851</v>
          </cell>
          <cell r="AU17">
            <v>2853</v>
          </cell>
          <cell r="AV17">
            <v>2802</v>
          </cell>
          <cell r="AW17">
            <v>2709</v>
          </cell>
          <cell r="AX17">
            <v>2742</v>
          </cell>
          <cell r="AY17">
            <v>0</v>
          </cell>
          <cell r="AZ17">
            <v>0</v>
          </cell>
          <cell r="BA17">
            <v>0</v>
          </cell>
          <cell r="BB17">
            <v>0</v>
          </cell>
          <cell r="BC17">
            <v>0</v>
          </cell>
          <cell r="BD17">
            <v>0</v>
          </cell>
          <cell r="BE17">
            <v>0</v>
          </cell>
          <cell r="BF17">
            <v>0</v>
          </cell>
          <cell r="BH17">
            <v>544577</v>
          </cell>
          <cell r="BI17">
            <v>524502</v>
          </cell>
          <cell r="BJ17">
            <v>519562</v>
          </cell>
          <cell r="BK17">
            <v>512189</v>
          </cell>
          <cell r="BL17">
            <v>513588</v>
          </cell>
          <cell r="BM17">
            <v>513373</v>
          </cell>
          <cell r="BN17">
            <v>511486</v>
          </cell>
          <cell r="BO17">
            <v>506075</v>
          </cell>
        </row>
        <row r="18">
          <cell r="C18">
            <v>277826</v>
          </cell>
          <cell r="D18">
            <v>276281</v>
          </cell>
          <cell r="E18">
            <v>274947</v>
          </cell>
          <cell r="F18">
            <v>274027</v>
          </cell>
          <cell r="G18">
            <v>273944</v>
          </cell>
          <cell r="H18">
            <v>273085</v>
          </cell>
          <cell r="I18">
            <v>273578</v>
          </cell>
          <cell r="J18">
            <v>274110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403987</v>
          </cell>
          <cell r="AJ18">
            <v>383914</v>
          </cell>
          <cell r="AK18">
            <v>365487</v>
          </cell>
          <cell r="AL18">
            <v>327915</v>
          </cell>
          <cell r="AM18">
            <v>304641</v>
          </cell>
          <cell r="AN18">
            <v>263475</v>
          </cell>
          <cell r="AO18">
            <v>234430</v>
          </cell>
          <cell r="AP18">
            <v>214942</v>
          </cell>
          <cell r="AQ18">
            <v>3316</v>
          </cell>
          <cell r="AR18">
            <v>3611</v>
          </cell>
          <cell r="AS18">
            <v>3452</v>
          </cell>
          <cell r="AT18">
            <v>3236</v>
          </cell>
          <cell r="AU18">
            <v>3204</v>
          </cell>
          <cell r="AV18">
            <v>3187</v>
          </cell>
          <cell r="AW18">
            <v>3186</v>
          </cell>
          <cell r="AX18">
            <v>3128</v>
          </cell>
          <cell r="AY18">
            <v>0</v>
          </cell>
          <cell r="AZ18">
            <v>0</v>
          </cell>
          <cell r="BA18">
            <v>0</v>
          </cell>
          <cell r="BB18">
            <v>0</v>
          </cell>
          <cell r="BC18">
            <v>0</v>
          </cell>
          <cell r="BD18">
            <v>0</v>
          </cell>
          <cell r="BE18">
            <v>0</v>
          </cell>
          <cell r="BF18">
            <v>0</v>
          </cell>
          <cell r="BH18">
            <v>681813</v>
          </cell>
          <cell r="BI18">
            <v>660195</v>
          </cell>
          <cell r="BJ18">
            <v>640434</v>
          </cell>
          <cell r="BK18">
            <v>601942</v>
          </cell>
          <cell r="BL18">
            <v>578585</v>
          </cell>
          <cell r="BM18">
            <v>536560</v>
          </cell>
          <cell r="BN18">
            <v>508008</v>
          </cell>
          <cell r="BO18">
            <v>489052</v>
          </cell>
        </row>
        <row r="19">
          <cell r="C19">
            <v>329581</v>
          </cell>
          <cell r="D19">
            <v>319061</v>
          </cell>
          <cell r="E19">
            <v>315309</v>
          </cell>
          <cell r="F19">
            <v>309418</v>
          </cell>
          <cell r="G19">
            <v>302578</v>
          </cell>
          <cell r="H19">
            <v>288461</v>
          </cell>
          <cell r="I19">
            <v>284356</v>
          </cell>
          <cell r="J19">
            <v>278198</v>
          </cell>
          <cell r="K19">
            <v>0</v>
          </cell>
          <cell r="L19">
            <v>0</v>
          </cell>
          <cell r="M19">
            <v>0</v>
          </cell>
          <cell r="N19">
            <v>0</v>
          </cell>
          <cell r="O19">
            <v>0</v>
          </cell>
          <cell r="P19">
            <v>0</v>
          </cell>
          <cell r="Q19">
            <v>0</v>
          </cell>
          <cell r="R19">
            <v>0</v>
          </cell>
          <cell r="S19">
            <v>276447</v>
          </cell>
          <cell r="T19">
            <v>276466</v>
          </cell>
          <cell r="U19">
            <v>276485</v>
          </cell>
          <cell r="V19">
            <v>276503</v>
          </cell>
          <cell r="W19">
            <v>276526</v>
          </cell>
          <cell r="X19">
            <v>276537</v>
          </cell>
          <cell r="Y19">
            <v>296533</v>
          </cell>
          <cell r="Z19">
            <v>329069</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13080</v>
          </cell>
          <cell r="AO19">
            <v>0</v>
          </cell>
          <cell r="AP19">
            <v>0</v>
          </cell>
          <cell r="AQ19">
            <v>985</v>
          </cell>
          <cell r="AR19">
            <v>993</v>
          </cell>
          <cell r="AS19">
            <v>1013</v>
          </cell>
          <cell r="AT19">
            <v>978</v>
          </cell>
          <cell r="AU19">
            <v>851</v>
          </cell>
          <cell r="AV19">
            <v>749</v>
          </cell>
          <cell r="AW19">
            <v>704</v>
          </cell>
          <cell r="AX19">
            <v>670</v>
          </cell>
          <cell r="AY19">
            <v>0</v>
          </cell>
          <cell r="AZ19">
            <v>0</v>
          </cell>
          <cell r="BA19">
            <v>0</v>
          </cell>
          <cell r="BB19">
            <v>0</v>
          </cell>
          <cell r="BC19">
            <v>0</v>
          </cell>
          <cell r="BD19">
            <v>0</v>
          </cell>
          <cell r="BE19">
            <v>0</v>
          </cell>
          <cell r="BF19">
            <v>0</v>
          </cell>
          <cell r="BH19">
            <v>606028</v>
          </cell>
          <cell r="BI19">
            <v>595527</v>
          </cell>
          <cell r="BJ19">
            <v>591794</v>
          </cell>
          <cell r="BK19">
            <v>585921</v>
          </cell>
          <cell r="BL19">
            <v>579104</v>
          </cell>
          <cell r="BM19">
            <v>578078</v>
          </cell>
          <cell r="BN19">
            <v>580889</v>
          </cell>
          <cell r="BO19">
            <v>607267</v>
          </cell>
        </row>
        <row r="20">
          <cell r="C20">
            <v>5201551</v>
          </cell>
          <cell r="D20">
            <v>5209290</v>
          </cell>
          <cell r="E20">
            <v>5278995</v>
          </cell>
          <cell r="F20">
            <v>5239322</v>
          </cell>
          <cell r="G20">
            <v>5127882</v>
          </cell>
          <cell r="H20">
            <v>4927874</v>
          </cell>
          <cell r="I20">
            <v>4874285</v>
          </cell>
          <cell r="J20">
            <v>4728468</v>
          </cell>
          <cell r="K20">
            <v>59334</v>
          </cell>
          <cell r="L20">
            <v>59334</v>
          </cell>
          <cell r="M20">
            <v>59334</v>
          </cell>
          <cell r="N20">
            <v>59334</v>
          </cell>
          <cell r="O20">
            <v>59334</v>
          </cell>
          <cell r="P20">
            <v>59334</v>
          </cell>
          <cell r="Q20">
            <v>59334</v>
          </cell>
          <cell r="R20">
            <v>59334</v>
          </cell>
          <cell r="S20">
            <v>4187769</v>
          </cell>
          <cell r="T20">
            <v>3688439</v>
          </cell>
          <cell r="U20">
            <v>3688252</v>
          </cell>
          <cell r="V20">
            <v>3688066</v>
          </cell>
          <cell r="W20">
            <v>3687879</v>
          </cell>
          <cell r="X20">
            <v>3687692</v>
          </cell>
          <cell r="Y20">
            <v>3687505</v>
          </cell>
          <cell r="Z20">
            <v>3687319</v>
          </cell>
          <cell r="AA20">
            <v>0</v>
          </cell>
          <cell r="AB20">
            <v>198100</v>
          </cell>
          <cell r="AC20">
            <v>0</v>
          </cell>
          <cell r="AD20">
            <v>0</v>
          </cell>
          <cell r="AE20">
            <v>0</v>
          </cell>
          <cell r="AF20">
            <v>0</v>
          </cell>
          <cell r="AG20">
            <v>0</v>
          </cell>
          <cell r="AH20">
            <v>0</v>
          </cell>
          <cell r="AI20">
            <v>0</v>
          </cell>
          <cell r="AJ20">
            <v>2565</v>
          </cell>
          <cell r="AK20">
            <v>0</v>
          </cell>
          <cell r="AL20">
            <v>0</v>
          </cell>
          <cell r="AM20">
            <v>0</v>
          </cell>
          <cell r="AN20">
            <v>0</v>
          </cell>
          <cell r="AO20">
            <v>6325</v>
          </cell>
          <cell r="AP20">
            <v>0</v>
          </cell>
          <cell r="AQ20">
            <v>114112</v>
          </cell>
          <cell r="AR20">
            <v>113778</v>
          </cell>
          <cell r="AS20">
            <v>112415</v>
          </cell>
          <cell r="AT20">
            <v>106013</v>
          </cell>
          <cell r="AU20">
            <v>103742</v>
          </cell>
          <cell r="AV20">
            <v>100770</v>
          </cell>
          <cell r="AW20">
            <v>98282</v>
          </cell>
          <cell r="AX20">
            <v>95235</v>
          </cell>
          <cell r="AY20">
            <v>0</v>
          </cell>
          <cell r="AZ20">
            <v>0</v>
          </cell>
          <cell r="BA20">
            <v>0</v>
          </cell>
          <cell r="BB20">
            <v>0</v>
          </cell>
          <cell r="BC20">
            <v>0</v>
          </cell>
          <cell r="BD20">
            <v>0</v>
          </cell>
          <cell r="BE20">
            <v>0</v>
          </cell>
          <cell r="BF20">
            <v>0</v>
          </cell>
          <cell r="BH20">
            <v>9389320</v>
          </cell>
          <cell r="BI20">
            <v>9098394</v>
          </cell>
          <cell r="BJ20">
            <v>8967247</v>
          </cell>
          <cell r="BK20">
            <v>8927388</v>
          </cell>
          <cell r="BL20">
            <v>8815761</v>
          </cell>
          <cell r="BM20">
            <v>8615566</v>
          </cell>
          <cell r="BN20">
            <v>8568115</v>
          </cell>
          <cell r="BO20">
            <v>8415787</v>
          </cell>
        </row>
        <row r="21">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H21">
            <v>0</v>
          </cell>
          <cell r="BI21">
            <v>0</v>
          </cell>
          <cell r="BJ21">
            <v>0</v>
          </cell>
          <cell r="BK21">
            <v>0</v>
          </cell>
          <cell r="BL21">
            <v>0</v>
          </cell>
          <cell r="BM21">
            <v>0</v>
          </cell>
          <cell r="BN21">
            <v>0</v>
          </cell>
          <cell r="BO21">
            <v>0</v>
          </cell>
        </row>
        <row r="22">
          <cell r="C22">
            <v>463203</v>
          </cell>
          <cell r="D22">
            <v>463139</v>
          </cell>
          <cell r="E22">
            <v>467162</v>
          </cell>
          <cell r="F22">
            <v>465255</v>
          </cell>
          <cell r="G22">
            <v>460754</v>
          </cell>
          <cell r="H22">
            <v>477256</v>
          </cell>
          <cell r="I22">
            <v>467510</v>
          </cell>
          <cell r="J22">
            <v>451107</v>
          </cell>
          <cell r="K22">
            <v>21027</v>
          </cell>
          <cell r="L22">
            <v>21027</v>
          </cell>
          <cell r="M22">
            <v>21027</v>
          </cell>
          <cell r="N22">
            <v>21027</v>
          </cell>
          <cell r="O22">
            <v>21027</v>
          </cell>
          <cell r="P22">
            <v>21027</v>
          </cell>
          <cell r="Q22">
            <v>21027</v>
          </cell>
          <cell r="R22">
            <v>21027</v>
          </cell>
          <cell r="S22">
            <v>487303</v>
          </cell>
          <cell r="T22">
            <v>453902</v>
          </cell>
          <cell r="U22">
            <v>453901</v>
          </cell>
          <cell r="V22">
            <v>453900</v>
          </cell>
          <cell r="W22">
            <v>453900</v>
          </cell>
          <cell r="X22">
            <v>437899</v>
          </cell>
          <cell r="Y22">
            <v>437898</v>
          </cell>
          <cell r="Z22">
            <v>437897</v>
          </cell>
          <cell r="AA22">
            <v>0</v>
          </cell>
          <cell r="AB22">
            <v>0</v>
          </cell>
          <cell r="AC22">
            <v>0</v>
          </cell>
          <cell r="AD22">
            <v>0</v>
          </cell>
          <cell r="AE22">
            <v>0</v>
          </cell>
          <cell r="AF22">
            <v>3000</v>
          </cell>
          <cell r="AG22">
            <v>30000</v>
          </cell>
          <cell r="AH22">
            <v>0</v>
          </cell>
          <cell r="AI22">
            <v>0</v>
          </cell>
          <cell r="AJ22">
            <v>0</v>
          </cell>
          <cell r="AK22">
            <v>0</v>
          </cell>
          <cell r="AL22">
            <v>0</v>
          </cell>
          <cell r="AM22">
            <v>0</v>
          </cell>
          <cell r="AN22">
            <v>0</v>
          </cell>
          <cell r="AO22">
            <v>0</v>
          </cell>
          <cell r="AP22">
            <v>0</v>
          </cell>
          <cell r="AQ22">
            <v>6587</v>
          </cell>
          <cell r="AR22">
            <v>6859</v>
          </cell>
          <cell r="AS22">
            <v>7514</v>
          </cell>
          <cell r="AT22">
            <v>7654</v>
          </cell>
          <cell r="AU22">
            <v>7922</v>
          </cell>
          <cell r="AV22">
            <v>8445</v>
          </cell>
          <cell r="AW22">
            <v>8451</v>
          </cell>
          <cell r="AX22">
            <v>8504</v>
          </cell>
          <cell r="AY22">
            <v>0</v>
          </cell>
          <cell r="AZ22">
            <v>0</v>
          </cell>
          <cell r="BA22">
            <v>0</v>
          </cell>
          <cell r="BB22">
            <v>0</v>
          </cell>
          <cell r="BC22">
            <v>0</v>
          </cell>
          <cell r="BD22">
            <v>0</v>
          </cell>
          <cell r="BE22">
            <v>0</v>
          </cell>
          <cell r="BF22">
            <v>0</v>
          </cell>
          <cell r="BH22">
            <v>950506</v>
          </cell>
          <cell r="BI22">
            <v>917041</v>
          </cell>
          <cell r="BJ22">
            <v>921063</v>
          </cell>
          <cell r="BK22">
            <v>919155</v>
          </cell>
          <cell r="BL22">
            <v>914654</v>
          </cell>
          <cell r="BM22">
            <v>918155</v>
          </cell>
          <cell r="BN22">
            <v>935408</v>
          </cell>
          <cell r="BO22">
            <v>889004</v>
          </cell>
        </row>
        <row r="23">
          <cell r="C23">
            <v>1046780</v>
          </cell>
          <cell r="D23">
            <v>1006386</v>
          </cell>
          <cell r="E23">
            <v>990168</v>
          </cell>
          <cell r="F23" t="str">
            <v>NA</v>
          </cell>
          <cell r="G23">
            <v>905773</v>
          </cell>
          <cell r="H23">
            <v>879571</v>
          </cell>
          <cell r="I23">
            <v>871344</v>
          </cell>
          <cell r="J23">
            <v>857630</v>
          </cell>
          <cell r="K23">
            <v>2661</v>
          </cell>
          <cell r="L23">
            <v>2661</v>
          </cell>
          <cell r="M23">
            <v>2661</v>
          </cell>
          <cell r="N23" t="str">
            <v>NA</v>
          </cell>
          <cell r="O23">
            <v>13571</v>
          </cell>
          <cell r="P23">
            <v>13571</v>
          </cell>
          <cell r="Q23">
            <v>13571</v>
          </cell>
          <cell r="R23">
            <v>13571</v>
          </cell>
          <cell r="S23">
            <v>587571</v>
          </cell>
          <cell r="T23">
            <v>452562</v>
          </cell>
          <cell r="U23">
            <v>462553</v>
          </cell>
          <cell r="V23" t="str">
            <v>NA</v>
          </cell>
          <cell r="W23">
            <v>462536</v>
          </cell>
          <cell r="X23">
            <v>462527</v>
          </cell>
          <cell r="Y23">
            <v>462518</v>
          </cell>
          <cell r="Z23">
            <v>462509</v>
          </cell>
          <cell r="AA23">
            <v>1700</v>
          </cell>
          <cell r="AB23">
            <v>81075</v>
          </cell>
          <cell r="AC23">
            <v>50000</v>
          </cell>
          <cell r="AD23" t="str">
            <v>NA</v>
          </cell>
          <cell r="AE23">
            <v>17000</v>
          </cell>
          <cell r="AF23">
            <v>33200</v>
          </cell>
          <cell r="AG23">
            <v>0</v>
          </cell>
          <cell r="AH23">
            <v>5250</v>
          </cell>
          <cell r="AI23">
            <v>0</v>
          </cell>
          <cell r="AJ23">
            <v>0</v>
          </cell>
          <cell r="AK23">
            <v>0</v>
          </cell>
          <cell r="AL23" t="str">
            <v>NA</v>
          </cell>
          <cell r="AM23">
            <v>0</v>
          </cell>
          <cell r="AN23">
            <v>0</v>
          </cell>
          <cell r="AO23">
            <v>0</v>
          </cell>
          <cell r="AP23">
            <v>0</v>
          </cell>
          <cell r="AQ23">
            <v>11691</v>
          </cell>
          <cell r="AR23">
            <v>11469</v>
          </cell>
          <cell r="AS23">
            <v>11278</v>
          </cell>
          <cell r="AT23" t="str">
            <v>NA</v>
          </cell>
          <cell r="AU23">
            <v>11276</v>
          </cell>
          <cell r="AV23">
            <v>11094</v>
          </cell>
          <cell r="AW23">
            <v>12027</v>
          </cell>
          <cell r="AX23">
            <v>12185</v>
          </cell>
          <cell r="AY23">
            <v>0</v>
          </cell>
          <cell r="AZ23">
            <v>0</v>
          </cell>
          <cell r="BA23">
            <v>0</v>
          </cell>
          <cell r="BB23" t="str">
            <v>NA</v>
          </cell>
          <cell r="BC23">
            <v>0</v>
          </cell>
          <cell r="BD23">
            <v>0</v>
          </cell>
          <cell r="BE23">
            <v>0</v>
          </cell>
          <cell r="BF23">
            <v>0</v>
          </cell>
          <cell r="BH23">
            <v>1636051</v>
          </cell>
          <cell r="BI23">
            <v>1540023</v>
          </cell>
          <cell r="BJ23">
            <v>1502721</v>
          </cell>
          <cell r="BK23">
            <v>0</v>
          </cell>
          <cell r="BL23">
            <v>1385309</v>
          </cell>
          <cell r="BM23">
            <v>1375298</v>
          </cell>
          <cell r="BN23">
            <v>1333862</v>
          </cell>
          <cell r="BO23">
            <v>1325389</v>
          </cell>
        </row>
        <row r="24">
          <cell r="C24">
            <v>270463</v>
          </cell>
          <cell r="D24">
            <v>281953</v>
          </cell>
          <cell r="E24">
            <v>283303</v>
          </cell>
          <cell r="F24">
            <v>280783</v>
          </cell>
          <cell r="G24">
            <v>262021</v>
          </cell>
          <cell r="H24">
            <v>249393</v>
          </cell>
          <cell r="I24">
            <v>238567</v>
          </cell>
          <cell r="J24">
            <v>240477</v>
          </cell>
          <cell r="K24">
            <v>8054</v>
          </cell>
          <cell r="L24">
            <v>8054</v>
          </cell>
          <cell r="M24">
            <v>8054</v>
          </cell>
          <cell r="N24">
            <v>8054</v>
          </cell>
          <cell r="O24">
            <v>8054</v>
          </cell>
          <cell r="P24">
            <v>8054</v>
          </cell>
          <cell r="Q24">
            <v>8054</v>
          </cell>
          <cell r="R24">
            <v>9054</v>
          </cell>
          <cell r="S24">
            <v>232281</v>
          </cell>
          <cell r="T24">
            <v>228300</v>
          </cell>
          <cell r="U24">
            <v>208300</v>
          </cell>
          <cell r="V24">
            <v>208300</v>
          </cell>
          <cell r="W24">
            <v>178300</v>
          </cell>
          <cell r="X24">
            <v>180869</v>
          </cell>
          <cell r="Y24">
            <v>188233</v>
          </cell>
          <cell r="Z24">
            <v>201611</v>
          </cell>
          <cell r="AA24">
            <v>0</v>
          </cell>
          <cell r="AB24">
            <v>0</v>
          </cell>
          <cell r="AC24">
            <v>0</v>
          </cell>
          <cell r="AD24">
            <v>13695</v>
          </cell>
          <cell r="AE24">
            <v>0</v>
          </cell>
          <cell r="AF24">
            <v>0</v>
          </cell>
          <cell r="AG24">
            <v>0</v>
          </cell>
          <cell r="AH24">
            <v>0</v>
          </cell>
          <cell r="AI24">
            <v>0</v>
          </cell>
          <cell r="AJ24">
            <v>0</v>
          </cell>
          <cell r="AK24">
            <v>0</v>
          </cell>
          <cell r="AL24">
            <v>0</v>
          </cell>
          <cell r="AM24">
            <v>0</v>
          </cell>
          <cell r="AN24">
            <v>0</v>
          </cell>
          <cell r="AO24">
            <v>0</v>
          </cell>
          <cell r="AP24">
            <v>0</v>
          </cell>
          <cell r="AQ24">
            <v>1208</v>
          </cell>
          <cell r="AR24">
            <v>1253</v>
          </cell>
          <cell r="AS24">
            <v>961</v>
          </cell>
          <cell r="AT24">
            <v>913</v>
          </cell>
          <cell r="AU24">
            <v>929</v>
          </cell>
          <cell r="AV24">
            <v>827</v>
          </cell>
          <cell r="AW24">
            <v>930</v>
          </cell>
          <cell r="AX24">
            <v>826</v>
          </cell>
          <cell r="AY24">
            <v>0</v>
          </cell>
          <cell r="AZ24">
            <v>0</v>
          </cell>
          <cell r="BA24">
            <v>0</v>
          </cell>
          <cell r="BB24">
            <v>0</v>
          </cell>
          <cell r="BC24">
            <v>0</v>
          </cell>
          <cell r="BD24">
            <v>0</v>
          </cell>
          <cell r="BE24">
            <v>0</v>
          </cell>
          <cell r="BF24">
            <v>0</v>
          </cell>
          <cell r="BH24">
            <v>502744</v>
          </cell>
          <cell r="BI24">
            <v>510253</v>
          </cell>
          <cell r="BJ24">
            <v>491603</v>
          </cell>
          <cell r="BK24">
            <v>502778</v>
          </cell>
          <cell r="BL24">
            <v>440321</v>
          </cell>
          <cell r="BM24">
            <v>430262</v>
          </cell>
          <cell r="BN24">
            <v>426800</v>
          </cell>
          <cell r="BO24">
            <v>442088</v>
          </cell>
        </row>
        <row r="25">
          <cell r="C25" t="str">
            <v>NA</v>
          </cell>
          <cell r="D25" t="str">
            <v>NA</v>
          </cell>
          <cell r="E25" t="str">
            <v>NA</v>
          </cell>
          <cell r="F25">
            <v>86641</v>
          </cell>
          <cell r="G25" t="str">
            <v>NA</v>
          </cell>
          <cell r="H25" t="str">
            <v>NA</v>
          </cell>
          <cell r="I25" t="str">
            <v>NA</v>
          </cell>
          <cell r="J25" t="str">
            <v>NA</v>
          </cell>
          <cell r="K25" t="str">
            <v>NA</v>
          </cell>
          <cell r="L25" t="str">
            <v>NA</v>
          </cell>
          <cell r="M25" t="str">
            <v>NA</v>
          </cell>
          <cell r="N25">
            <v>0</v>
          </cell>
          <cell r="O25" t="str">
            <v>NA</v>
          </cell>
          <cell r="P25" t="str">
            <v>NA</v>
          </cell>
          <cell r="Q25" t="str">
            <v>NA</v>
          </cell>
          <cell r="R25" t="str">
            <v>NA</v>
          </cell>
          <cell r="S25" t="str">
            <v>NA</v>
          </cell>
          <cell r="T25" t="str">
            <v>NA</v>
          </cell>
          <cell r="U25" t="str">
            <v>NA</v>
          </cell>
          <cell r="V25">
            <v>17864</v>
          </cell>
          <cell r="W25" t="str">
            <v>NA</v>
          </cell>
          <cell r="X25" t="str">
            <v>NA</v>
          </cell>
          <cell r="Y25" t="str">
            <v>NA</v>
          </cell>
          <cell r="Z25" t="str">
            <v>NA</v>
          </cell>
          <cell r="AA25" t="str">
            <v>NA</v>
          </cell>
          <cell r="AB25" t="str">
            <v>NA</v>
          </cell>
          <cell r="AC25" t="str">
            <v>NA</v>
          </cell>
          <cell r="AD25">
            <v>0</v>
          </cell>
          <cell r="AE25" t="str">
            <v>NA</v>
          </cell>
          <cell r="AF25" t="str">
            <v>NA</v>
          </cell>
          <cell r="AG25" t="str">
            <v>NA</v>
          </cell>
          <cell r="AH25" t="str">
            <v>NA</v>
          </cell>
          <cell r="AI25" t="str">
            <v>NA</v>
          </cell>
          <cell r="AJ25" t="str">
            <v>NA</v>
          </cell>
          <cell r="AK25" t="str">
            <v>NA</v>
          </cell>
          <cell r="AL25">
            <v>0</v>
          </cell>
          <cell r="AM25" t="str">
            <v>NA</v>
          </cell>
          <cell r="AN25" t="str">
            <v>NA</v>
          </cell>
          <cell r="AO25" t="str">
            <v>NA</v>
          </cell>
          <cell r="AP25" t="str">
            <v>NA</v>
          </cell>
          <cell r="AQ25" t="str">
            <v>NA</v>
          </cell>
          <cell r="AR25" t="str">
            <v>NA</v>
          </cell>
          <cell r="AS25" t="str">
            <v>NA</v>
          </cell>
          <cell r="AT25">
            <v>11542</v>
          </cell>
          <cell r="AU25" t="str">
            <v>NA</v>
          </cell>
          <cell r="AV25" t="str">
            <v>NA</v>
          </cell>
          <cell r="AW25" t="str">
            <v>NA</v>
          </cell>
          <cell r="AX25" t="str">
            <v>NA</v>
          </cell>
          <cell r="AY25" t="str">
            <v>NA</v>
          </cell>
          <cell r="AZ25" t="str">
            <v>NA</v>
          </cell>
          <cell r="BA25" t="str">
            <v>NA</v>
          </cell>
          <cell r="BB25">
            <v>1409</v>
          </cell>
          <cell r="BC25" t="str">
            <v>NA</v>
          </cell>
          <cell r="BD25" t="str">
            <v>NA</v>
          </cell>
          <cell r="BE25" t="str">
            <v>NA</v>
          </cell>
          <cell r="BF25" t="str">
            <v>NA</v>
          </cell>
          <cell r="BH25">
            <v>0</v>
          </cell>
          <cell r="BI25">
            <v>0</v>
          </cell>
          <cell r="BJ25">
            <v>0</v>
          </cell>
          <cell r="BK25">
            <v>105914</v>
          </cell>
          <cell r="BL25">
            <v>0</v>
          </cell>
          <cell r="BM25">
            <v>0</v>
          </cell>
          <cell r="BN25">
            <v>0</v>
          </cell>
          <cell r="BO25">
            <v>0</v>
          </cell>
        </row>
        <row r="26">
          <cell r="C26">
            <v>172290</v>
          </cell>
          <cell r="D26">
            <v>168555</v>
          </cell>
          <cell r="E26">
            <v>165016</v>
          </cell>
          <cell r="F26">
            <v>175803</v>
          </cell>
          <cell r="G26">
            <v>171438</v>
          </cell>
          <cell r="H26">
            <v>167518</v>
          </cell>
          <cell r="I26">
            <v>163903</v>
          </cell>
          <cell r="J26">
            <v>159426</v>
          </cell>
          <cell r="K26">
            <v>0</v>
          </cell>
          <cell r="L26">
            <v>0</v>
          </cell>
          <cell r="M26">
            <v>0</v>
          </cell>
          <cell r="N26">
            <v>0</v>
          </cell>
          <cell r="O26">
            <v>0</v>
          </cell>
          <cell r="P26">
            <v>0</v>
          </cell>
          <cell r="Q26">
            <v>0</v>
          </cell>
          <cell r="R26">
            <v>0</v>
          </cell>
          <cell r="S26">
            <v>127000</v>
          </cell>
          <cell r="T26">
            <v>127000</v>
          </cell>
          <cell r="U26">
            <v>127000</v>
          </cell>
          <cell r="V26">
            <v>127000</v>
          </cell>
          <cell r="W26">
            <v>127000</v>
          </cell>
          <cell r="X26">
            <v>127000</v>
          </cell>
          <cell r="Y26">
            <v>127000</v>
          </cell>
          <cell r="Z26">
            <v>127000</v>
          </cell>
          <cell r="AA26">
            <v>0</v>
          </cell>
          <cell r="AB26">
            <v>0</v>
          </cell>
          <cell r="AC26">
            <v>0</v>
          </cell>
          <cell r="AD26">
            <v>0</v>
          </cell>
          <cell r="AE26">
            <v>0</v>
          </cell>
          <cell r="AF26">
            <v>0</v>
          </cell>
          <cell r="AG26">
            <v>0</v>
          </cell>
          <cell r="AH26">
            <v>0</v>
          </cell>
          <cell r="AI26">
            <v>7</v>
          </cell>
          <cell r="AJ26">
            <v>7</v>
          </cell>
          <cell r="AK26">
            <v>7</v>
          </cell>
          <cell r="AL26">
            <v>7</v>
          </cell>
          <cell r="AM26">
            <v>7</v>
          </cell>
          <cell r="AN26">
            <v>6</v>
          </cell>
          <cell r="AO26">
            <v>2</v>
          </cell>
          <cell r="AP26">
            <v>5</v>
          </cell>
          <cell r="AQ26">
            <v>1493</v>
          </cell>
          <cell r="AR26">
            <v>1362</v>
          </cell>
          <cell r="AS26">
            <v>1332</v>
          </cell>
          <cell r="AT26">
            <v>1340</v>
          </cell>
          <cell r="AU26">
            <v>1329</v>
          </cell>
          <cell r="AV26">
            <v>1316</v>
          </cell>
          <cell r="AW26">
            <v>1313</v>
          </cell>
          <cell r="AX26">
            <v>1256</v>
          </cell>
          <cell r="AY26">
            <v>0</v>
          </cell>
          <cell r="AZ26">
            <v>0</v>
          </cell>
          <cell r="BA26">
            <v>0</v>
          </cell>
          <cell r="BB26">
            <v>0</v>
          </cell>
          <cell r="BC26">
            <v>0</v>
          </cell>
          <cell r="BD26">
            <v>0</v>
          </cell>
          <cell r="BE26">
            <v>0</v>
          </cell>
          <cell r="BF26">
            <v>0</v>
          </cell>
          <cell r="BH26">
            <v>299297</v>
          </cell>
          <cell r="BI26">
            <v>295562</v>
          </cell>
          <cell r="BJ26">
            <v>292023</v>
          </cell>
          <cell r="BK26">
            <v>302810</v>
          </cell>
          <cell r="BL26">
            <v>298445</v>
          </cell>
          <cell r="BM26">
            <v>294524</v>
          </cell>
          <cell r="BN26">
            <v>290905</v>
          </cell>
          <cell r="BO26">
            <v>286431</v>
          </cell>
        </row>
        <row r="27">
          <cell r="C27">
            <v>1235401</v>
          </cell>
          <cell r="D27">
            <v>1249910</v>
          </cell>
          <cell r="E27">
            <v>1214083</v>
          </cell>
          <cell r="F27">
            <v>1233922</v>
          </cell>
          <cell r="G27">
            <v>1233737</v>
          </cell>
          <cell r="H27">
            <v>1231630</v>
          </cell>
          <cell r="I27">
            <v>1242574</v>
          </cell>
          <cell r="J27">
            <v>1009849</v>
          </cell>
          <cell r="K27">
            <v>0</v>
          </cell>
          <cell r="L27">
            <v>0</v>
          </cell>
          <cell r="M27">
            <v>0</v>
          </cell>
          <cell r="N27">
            <v>0</v>
          </cell>
          <cell r="O27">
            <v>0</v>
          </cell>
          <cell r="P27">
            <v>0</v>
          </cell>
          <cell r="Q27">
            <v>0</v>
          </cell>
          <cell r="R27">
            <v>0</v>
          </cell>
          <cell r="S27">
            <v>1364239</v>
          </cell>
          <cell r="T27">
            <v>1367657</v>
          </cell>
          <cell r="U27">
            <v>1370320</v>
          </cell>
          <cell r="V27">
            <v>1373196</v>
          </cell>
          <cell r="W27">
            <v>1178874</v>
          </cell>
          <cell r="X27">
            <v>1206286</v>
          </cell>
          <cell r="Y27">
            <v>1208860</v>
          </cell>
          <cell r="Z27">
            <v>1211918</v>
          </cell>
          <cell r="AA27">
            <v>0</v>
          </cell>
          <cell r="AB27">
            <v>0</v>
          </cell>
          <cell r="AC27">
            <v>0</v>
          </cell>
          <cell r="AD27">
            <v>0</v>
          </cell>
          <cell r="AE27">
            <v>24171</v>
          </cell>
          <cell r="AF27">
            <v>0</v>
          </cell>
          <cell r="AG27">
            <v>0</v>
          </cell>
          <cell r="AH27">
            <v>0</v>
          </cell>
          <cell r="AI27">
            <v>0</v>
          </cell>
          <cell r="AJ27">
            <v>0</v>
          </cell>
          <cell r="AK27">
            <v>0</v>
          </cell>
          <cell r="AL27">
            <v>0</v>
          </cell>
          <cell r="AM27">
            <v>0</v>
          </cell>
          <cell r="AN27">
            <v>0</v>
          </cell>
          <cell r="AO27">
            <v>0</v>
          </cell>
          <cell r="AP27">
            <v>0</v>
          </cell>
          <cell r="AQ27">
            <v>42181</v>
          </cell>
          <cell r="AR27">
            <v>41303</v>
          </cell>
          <cell r="AS27">
            <v>40256</v>
          </cell>
          <cell r="AT27">
            <v>38934</v>
          </cell>
          <cell r="AU27">
            <v>38019</v>
          </cell>
          <cell r="AV27">
            <v>37013</v>
          </cell>
          <cell r="AW27">
            <v>35446</v>
          </cell>
          <cell r="AX27">
            <v>34195</v>
          </cell>
          <cell r="AY27">
            <v>0</v>
          </cell>
          <cell r="AZ27">
            <v>0</v>
          </cell>
          <cell r="BA27">
            <v>0</v>
          </cell>
          <cell r="BB27">
            <v>0</v>
          </cell>
          <cell r="BC27">
            <v>0</v>
          </cell>
          <cell r="BD27">
            <v>0</v>
          </cell>
          <cell r="BE27">
            <v>0</v>
          </cell>
          <cell r="BF27">
            <v>0</v>
          </cell>
          <cell r="BH27">
            <v>2599640</v>
          </cell>
          <cell r="BI27">
            <v>2617567</v>
          </cell>
          <cell r="BJ27">
            <v>2584403</v>
          </cell>
          <cell r="BK27">
            <v>2607118</v>
          </cell>
          <cell r="BL27">
            <v>2436782</v>
          </cell>
          <cell r="BM27">
            <v>2437916</v>
          </cell>
          <cell r="BN27">
            <v>2451434</v>
          </cell>
          <cell r="BO27">
            <v>2221767</v>
          </cell>
        </row>
        <row r="28">
          <cell r="C28">
            <v>1309267</v>
          </cell>
          <cell r="D28">
            <v>1278690</v>
          </cell>
          <cell r="E28">
            <v>1268978</v>
          </cell>
          <cell r="F28">
            <v>1302807</v>
          </cell>
          <cell r="G28">
            <v>1295928</v>
          </cell>
          <cell r="H28">
            <v>1267044</v>
          </cell>
          <cell r="I28">
            <v>1243139</v>
          </cell>
          <cell r="J28">
            <v>1343987</v>
          </cell>
          <cell r="K28">
            <v>0</v>
          </cell>
          <cell r="L28">
            <v>0</v>
          </cell>
          <cell r="M28">
            <v>0</v>
          </cell>
          <cell r="N28">
            <v>0</v>
          </cell>
          <cell r="O28">
            <v>0</v>
          </cell>
          <cell r="P28">
            <v>0</v>
          </cell>
          <cell r="Q28">
            <v>0</v>
          </cell>
          <cell r="R28">
            <v>0</v>
          </cell>
          <cell r="S28">
            <v>1747147</v>
          </cell>
          <cell r="T28">
            <v>1747083</v>
          </cell>
          <cell r="U28">
            <v>1747019</v>
          </cell>
          <cell r="V28">
            <v>1746955</v>
          </cell>
          <cell r="W28">
            <v>1746890</v>
          </cell>
          <cell r="X28">
            <v>1746826</v>
          </cell>
          <cell r="Y28">
            <v>1746762</v>
          </cell>
          <cell r="Z28">
            <v>1746698</v>
          </cell>
          <cell r="AA28">
            <v>0</v>
          </cell>
          <cell r="AB28">
            <v>0</v>
          </cell>
          <cell r="AC28">
            <v>0</v>
          </cell>
          <cell r="AD28">
            <v>0</v>
          </cell>
          <cell r="AE28">
            <v>0</v>
          </cell>
          <cell r="AF28">
            <v>0</v>
          </cell>
          <cell r="AG28">
            <v>0</v>
          </cell>
          <cell r="AH28">
            <v>0</v>
          </cell>
          <cell r="AI28">
            <v>1768</v>
          </cell>
          <cell r="AJ28">
            <v>1768</v>
          </cell>
          <cell r="AK28">
            <v>1768</v>
          </cell>
          <cell r="AL28">
            <v>32300</v>
          </cell>
          <cell r="AM28">
            <v>58237</v>
          </cell>
          <cell r="AN28">
            <v>150578</v>
          </cell>
          <cell r="AO28">
            <v>159892</v>
          </cell>
          <cell r="AP28">
            <v>259666</v>
          </cell>
          <cell r="AQ28">
            <v>8562</v>
          </cell>
          <cell r="AR28">
            <v>9264</v>
          </cell>
          <cell r="AS28">
            <v>9351</v>
          </cell>
          <cell r="AT28">
            <v>0</v>
          </cell>
          <cell r="AU28">
            <v>0</v>
          </cell>
          <cell r="AV28">
            <v>0</v>
          </cell>
          <cell r="AW28">
            <v>0</v>
          </cell>
          <cell r="AX28">
            <v>0</v>
          </cell>
          <cell r="AY28">
            <v>0</v>
          </cell>
          <cell r="AZ28">
            <v>0</v>
          </cell>
          <cell r="BA28">
            <v>0</v>
          </cell>
          <cell r="BB28">
            <v>0</v>
          </cell>
          <cell r="BC28">
            <v>0</v>
          </cell>
          <cell r="BD28">
            <v>0</v>
          </cell>
          <cell r="BE28">
            <v>0</v>
          </cell>
          <cell r="BF28">
            <v>0</v>
          </cell>
          <cell r="BH28">
            <v>3058182</v>
          </cell>
          <cell r="BI28">
            <v>3027541</v>
          </cell>
          <cell r="BJ28">
            <v>3017765</v>
          </cell>
          <cell r="BK28">
            <v>3082062</v>
          </cell>
          <cell r="BL28">
            <v>3101055</v>
          </cell>
          <cell r="BM28">
            <v>3164448</v>
          </cell>
          <cell r="BN28">
            <v>3149793</v>
          </cell>
          <cell r="BO28">
            <v>3350351</v>
          </cell>
        </row>
        <row r="29">
          <cell r="C29">
            <v>1514657</v>
          </cell>
          <cell r="D29">
            <v>1495072</v>
          </cell>
          <cell r="E29">
            <v>1490125</v>
          </cell>
          <cell r="F29">
            <v>1486215</v>
          </cell>
          <cell r="G29">
            <v>1494158</v>
          </cell>
          <cell r="H29">
            <v>1411908</v>
          </cell>
          <cell r="I29">
            <v>1379823</v>
          </cell>
          <cell r="J29">
            <v>1359835</v>
          </cell>
          <cell r="K29">
            <v>0</v>
          </cell>
          <cell r="L29">
            <v>0</v>
          </cell>
          <cell r="M29">
            <v>0</v>
          </cell>
          <cell r="N29">
            <v>0</v>
          </cell>
          <cell r="O29">
            <v>0</v>
          </cell>
          <cell r="P29">
            <v>0</v>
          </cell>
          <cell r="Q29">
            <v>0</v>
          </cell>
          <cell r="R29">
            <v>0</v>
          </cell>
          <cell r="S29">
            <v>1439039</v>
          </cell>
          <cell r="T29">
            <v>1438969</v>
          </cell>
          <cell r="U29">
            <v>1438900</v>
          </cell>
          <cell r="V29">
            <v>1438830</v>
          </cell>
          <cell r="W29">
            <v>1588753</v>
          </cell>
          <cell r="X29">
            <v>1588673</v>
          </cell>
          <cell r="Y29">
            <v>1588592</v>
          </cell>
          <cell r="Z29">
            <v>1536393</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28793</v>
          </cell>
          <cell r="AQ29">
            <v>29975</v>
          </cell>
          <cell r="AR29">
            <v>30652</v>
          </cell>
          <cell r="AS29">
            <v>30222</v>
          </cell>
          <cell r="AT29">
            <v>29441</v>
          </cell>
          <cell r="AU29">
            <v>28741</v>
          </cell>
          <cell r="AV29">
            <v>28964</v>
          </cell>
          <cell r="AW29">
            <v>29021</v>
          </cell>
          <cell r="AX29">
            <v>27911</v>
          </cell>
          <cell r="AY29">
            <v>0</v>
          </cell>
          <cell r="AZ29">
            <v>0</v>
          </cell>
          <cell r="BA29">
            <v>0</v>
          </cell>
          <cell r="BB29">
            <v>0</v>
          </cell>
          <cell r="BC29">
            <v>0</v>
          </cell>
          <cell r="BD29">
            <v>0</v>
          </cell>
          <cell r="BE29">
            <v>0</v>
          </cell>
          <cell r="BF29">
            <v>0</v>
          </cell>
          <cell r="BH29">
            <v>2953696</v>
          </cell>
          <cell r="BI29">
            <v>2934041</v>
          </cell>
          <cell r="BJ29">
            <v>2929025</v>
          </cell>
          <cell r="BK29">
            <v>2925045</v>
          </cell>
          <cell r="BL29">
            <v>3082911</v>
          </cell>
          <cell r="BM29">
            <v>3000581</v>
          </cell>
          <cell r="BN29">
            <v>2968415</v>
          </cell>
          <cell r="BO29">
            <v>2925021</v>
          </cell>
        </row>
        <row r="30">
          <cell r="C30">
            <v>6979105</v>
          </cell>
          <cell r="D30">
            <v>6941709</v>
          </cell>
          <cell r="E30">
            <v>6902322</v>
          </cell>
          <cell r="F30">
            <v>6909266</v>
          </cell>
          <cell r="G30">
            <v>6904689</v>
          </cell>
          <cell r="H30">
            <v>6852869</v>
          </cell>
          <cell r="I30">
            <v>6922912</v>
          </cell>
          <cell r="J30">
            <v>6881469</v>
          </cell>
          <cell r="K30">
            <v>0</v>
          </cell>
          <cell r="L30">
            <v>0</v>
          </cell>
          <cell r="M30">
            <v>0</v>
          </cell>
          <cell r="N30">
            <v>0</v>
          </cell>
          <cell r="O30">
            <v>0</v>
          </cell>
          <cell r="P30">
            <v>0</v>
          </cell>
          <cell r="Q30">
            <v>0</v>
          </cell>
          <cell r="R30">
            <v>0</v>
          </cell>
          <cell r="S30">
            <v>6407543</v>
          </cell>
          <cell r="T30">
            <v>5806933</v>
          </cell>
          <cell r="U30">
            <v>5807016</v>
          </cell>
          <cell r="V30">
            <v>5207190</v>
          </cell>
          <cell r="W30">
            <v>5206539</v>
          </cell>
          <cell r="X30">
            <v>4918008</v>
          </cell>
          <cell r="Y30">
            <v>4918167</v>
          </cell>
          <cell r="Z30">
            <v>4917531</v>
          </cell>
          <cell r="AA30">
            <v>0</v>
          </cell>
          <cell r="AB30">
            <v>0</v>
          </cell>
          <cell r="AC30">
            <v>49996</v>
          </cell>
          <cell r="AD30">
            <v>0</v>
          </cell>
          <cell r="AE30">
            <v>64745</v>
          </cell>
          <cell r="AF30">
            <v>289303</v>
          </cell>
          <cell r="AG30">
            <v>255671</v>
          </cell>
          <cell r="AH30">
            <v>155000</v>
          </cell>
          <cell r="AI30">
            <v>0</v>
          </cell>
          <cell r="AJ30">
            <v>0</v>
          </cell>
          <cell r="AK30">
            <v>0</v>
          </cell>
          <cell r="AL30">
            <v>0</v>
          </cell>
          <cell r="AM30">
            <v>0</v>
          </cell>
          <cell r="AN30">
            <v>0</v>
          </cell>
          <cell r="AO30">
            <v>0</v>
          </cell>
          <cell r="AP30">
            <v>0</v>
          </cell>
          <cell r="AQ30">
            <v>134506</v>
          </cell>
          <cell r="AR30">
            <v>133370</v>
          </cell>
          <cell r="AS30">
            <v>132935</v>
          </cell>
          <cell r="AT30">
            <v>129936</v>
          </cell>
          <cell r="AU30">
            <v>128360</v>
          </cell>
          <cell r="AV30">
            <v>130816</v>
          </cell>
          <cell r="AW30">
            <v>133400</v>
          </cell>
          <cell r="AX30">
            <v>130510</v>
          </cell>
          <cell r="AY30">
            <v>0</v>
          </cell>
          <cell r="AZ30">
            <v>0</v>
          </cell>
          <cell r="BA30">
            <v>0</v>
          </cell>
          <cell r="BB30">
            <v>0</v>
          </cell>
          <cell r="BC30">
            <v>0</v>
          </cell>
          <cell r="BD30">
            <v>0</v>
          </cell>
          <cell r="BE30">
            <v>0</v>
          </cell>
          <cell r="BF30">
            <v>0</v>
          </cell>
          <cell r="BH30">
            <v>13386648</v>
          </cell>
          <cell r="BI30">
            <v>12748642</v>
          </cell>
          <cell r="BJ30">
            <v>12759334</v>
          </cell>
          <cell r="BK30">
            <v>12116456</v>
          </cell>
          <cell r="BL30">
            <v>12175973</v>
          </cell>
          <cell r="BM30">
            <v>12060180</v>
          </cell>
          <cell r="BN30">
            <v>12096750</v>
          </cell>
          <cell r="BO30">
            <v>11954000</v>
          </cell>
        </row>
        <row r="31">
          <cell r="C31">
            <v>2488456</v>
          </cell>
          <cell r="D31">
            <v>2460091</v>
          </cell>
          <cell r="E31">
            <v>2445556</v>
          </cell>
          <cell r="F31">
            <v>2513674</v>
          </cell>
          <cell r="G31">
            <v>2465895</v>
          </cell>
          <cell r="H31">
            <v>2433676</v>
          </cell>
          <cell r="I31">
            <v>2500761</v>
          </cell>
          <cell r="J31">
            <v>2489382</v>
          </cell>
          <cell r="K31">
            <v>116200</v>
          </cell>
          <cell r="L31">
            <v>116200</v>
          </cell>
          <cell r="M31">
            <v>116200</v>
          </cell>
          <cell r="N31">
            <v>116200</v>
          </cell>
          <cell r="O31">
            <v>116200</v>
          </cell>
          <cell r="P31">
            <v>116200</v>
          </cell>
          <cell r="Q31">
            <v>116200</v>
          </cell>
          <cell r="R31">
            <v>116200</v>
          </cell>
          <cell r="S31">
            <v>2274869</v>
          </cell>
          <cell r="T31">
            <v>2274761</v>
          </cell>
          <cell r="U31">
            <v>2274653</v>
          </cell>
          <cell r="V31">
            <v>2274544</v>
          </cell>
          <cell r="W31">
            <v>2274435</v>
          </cell>
          <cell r="X31">
            <v>2274326</v>
          </cell>
          <cell r="Y31">
            <v>2274217</v>
          </cell>
          <cell r="Z31">
            <v>2274109</v>
          </cell>
          <cell r="AA31">
            <v>62000</v>
          </cell>
          <cell r="AB31">
            <v>62000</v>
          </cell>
          <cell r="AC31">
            <v>72000</v>
          </cell>
          <cell r="AD31">
            <v>62000</v>
          </cell>
          <cell r="AE31">
            <v>62000</v>
          </cell>
          <cell r="AF31">
            <v>62000</v>
          </cell>
          <cell r="AG31">
            <v>62000</v>
          </cell>
          <cell r="AH31">
            <v>62000</v>
          </cell>
          <cell r="AI31">
            <v>0</v>
          </cell>
          <cell r="AJ31">
            <v>0</v>
          </cell>
          <cell r="AK31">
            <v>0</v>
          </cell>
          <cell r="AL31">
            <v>0</v>
          </cell>
          <cell r="AM31">
            <v>48054</v>
          </cell>
          <cell r="AN31">
            <v>99320</v>
          </cell>
          <cell r="AO31">
            <v>144901</v>
          </cell>
          <cell r="AP31">
            <v>195587</v>
          </cell>
          <cell r="AQ31">
            <v>12632</v>
          </cell>
          <cell r="AR31">
            <v>13110</v>
          </cell>
          <cell r="AS31">
            <v>13077</v>
          </cell>
          <cell r="AT31">
            <v>13245</v>
          </cell>
          <cell r="AU31">
            <v>13153</v>
          </cell>
          <cell r="AV31">
            <v>13267</v>
          </cell>
          <cell r="AW31">
            <v>13678</v>
          </cell>
          <cell r="AX31">
            <v>13384</v>
          </cell>
          <cell r="AY31">
            <v>0</v>
          </cell>
          <cell r="AZ31">
            <v>0</v>
          </cell>
          <cell r="BA31">
            <v>0</v>
          </cell>
          <cell r="BB31">
            <v>0</v>
          </cell>
          <cell r="BC31">
            <v>0</v>
          </cell>
          <cell r="BD31">
            <v>0</v>
          </cell>
          <cell r="BE31">
            <v>0</v>
          </cell>
          <cell r="BF31">
            <v>0</v>
          </cell>
          <cell r="BH31">
            <v>4825325</v>
          </cell>
          <cell r="BI31">
            <v>4796852</v>
          </cell>
          <cell r="BJ31">
            <v>4792209</v>
          </cell>
          <cell r="BK31">
            <v>4850218</v>
          </cell>
          <cell r="BL31">
            <v>4850384</v>
          </cell>
          <cell r="BM31">
            <v>4869322</v>
          </cell>
          <cell r="BN31">
            <v>4981879</v>
          </cell>
          <cell r="BO31">
            <v>5021078</v>
          </cell>
        </row>
        <row r="32">
          <cell r="C32">
            <v>10404556</v>
          </cell>
          <cell r="D32">
            <v>10221149</v>
          </cell>
          <cell r="E32">
            <v>10234102</v>
          </cell>
          <cell r="F32">
            <v>10135721</v>
          </cell>
          <cell r="G32">
            <v>9803219</v>
          </cell>
          <cell r="H32">
            <v>9626877</v>
          </cell>
          <cell r="I32">
            <v>9647393</v>
          </cell>
          <cell r="J32">
            <v>9559828</v>
          </cell>
          <cell r="K32">
            <v>212563</v>
          </cell>
          <cell r="L32">
            <v>212563</v>
          </cell>
          <cell r="M32">
            <v>212563</v>
          </cell>
          <cell r="N32">
            <v>212563</v>
          </cell>
          <cell r="O32">
            <v>212563</v>
          </cell>
          <cell r="P32">
            <v>212563</v>
          </cell>
          <cell r="Q32">
            <v>212563</v>
          </cell>
          <cell r="R32">
            <v>212563</v>
          </cell>
          <cell r="S32">
            <v>9744080</v>
          </cell>
          <cell r="T32">
            <v>9743705</v>
          </cell>
          <cell r="U32">
            <v>9743334</v>
          </cell>
          <cell r="V32">
            <v>9742959</v>
          </cell>
          <cell r="W32">
            <v>9736761</v>
          </cell>
          <cell r="X32">
            <v>10036252</v>
          </cell>
          <cell r="Y32">
            <v>9663207</v>
          </cell>
          <cell r="Z32">
            <v>9662706</v>
          </cell>
          <cell r="AA32">
            <v>0</v>
          </cell>
          <cell r="AB32">
            <v>1</v>
          </cell>
          <cell r="AC32">
            <v>464000</v>
          </cell>
          <cell r="AD32">
            <v>0</v>
          </cell>
          <cell r="AE32">
            <v>832257</v>
          </cell>
          <cell r="AF32">
            <v>66000</v>
          </cell>
          <cell r="AG32">
            <v>475450</v>
          </cell>
          <cell r="AH32">
            <v>0</v>
          </cell>
          <cell r="AI32">
            <v>0</v>
          </cell>
          <cell r="AJ32">
            <v>0</v>
          </cell>
          <cell r="AK32">
            <v>0</v>
          </cell>
          <cell r="AL32">
            <v>0</v>
          </cell>
          <cell r="AM32">
            <v>0</v>
          </cell>
          <cell r="AN32">
            <v>0</v>
          </cell>
          <cell r="AO32">
            <v>0</v>
          </cell>
          <cell r="AP32">
            <v>0</v>
          </cell>
          <cell r="AQ32">
            <v>289460</v>
          </cell>
          <cell r="AR32">
            <v>285330</v>
          </cell>
          <cell r="AS32">
            <v>282776</v>
          </cell>
          <cell r="AT32">
            <v>275523</v>
          </cell>
          <cell r="AU32">
            <v>269602</v>
          </cell>
          <cell r="AV32">
            <v>265039</v>
          </cell>
          <cell r="AW32">
            <v>261756</v>
          </cell>
          <cell r="AX32">
            <v>259157</v>
          </cell>
          <cell r="AY32">
            <v>0</v>
          </cell>
          <cell r="AZ32">
            <v>0</v>
          </cell>
          <cell r="BA32">
            <v>0</v>
          </cell>
          <cell r="BB32">
            <v>0</v>
          </cell>
          <cell r="BC32">
            <v>0</v>
          </cell>
          <cell r="BD32">
            <v>0</v>
          </cell>
          <cell r="BE32">
            <v>0</v>
          </cell>
          <cell r="BF32">
            <v>0</v>
          </cell>
          <cell r="BH32">
            <v>20148636</v>
          </cell>
          <cell r="BI32">
            <v>19964855</v>
          </cell>
          <cell r="BJ32">
            <v>20441436</v>
          </cell>
          <cell r="BK32">
            <v>19878680</v>
          </cell>
          <cell r="BL32">
            <v>20372237</v>
          </cell>
          <cell r="BM32">
            <v>19729129</v>
          </cell>
          <cell r="BN32">
            <v>19786050</v>
          </cell>
          <cell r="BO32">
            <v>19222534</v>
          </cell>
        </row>
        <row r="33">
          <cell r="C33">
            <v>48603</v>
          </cell>
          <cell r="D33">
            <v>48983</v>
          </cell>
          <cell r="E33">
            <v>49106</v>
          </cell>
          <cell r="F33">
            <v>48878</v>
          </cell>
          <cell r="G33">
            <v>48850</v>
          </cell>
          <cell r="H33">
            <v>48744</v>
          </cell>
          <cell r="I33">
            <v>48405</v>
          </cell>
          <cell r="J33">
            <v>48161</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H33">
            <v>48603</v>
          </cell>
          <cell r="BI33">
            <v>48983</v>
          </cell>
          <cell r="BJ33">
            <v>49106</v>
          </cell>
          <cell r="BK33">
            <v>48878</v>
          </cell>
          <cell r="BL33">
            <v>48850</v>
          </cell>
          <cell r="BM33">
            <v>48744</v>
          </cell>
          <cell r="BN33">
            <v>48405</v>
          </cell>
          <cell r="BO33">
            <v>48161</v>
          </cell>
        </row>
        <row r="34">
          <cell r="C34">
            <v>4410862</v>
          </cell>
          <cell r="D34">
            <v>4352867</v>
          </cell>
          <cell r="E34">
            <v>4353721</v>
          </cell>
          <cell r="F34">
            <v>4180335</v>
          </cell>
          <cell r="G34">
            <v>4206431</v>
          </cell>
          <cell r="H34">
            <v>4131370</v>
          </cell>
          <cell r="I34">
            <v>4050004</v>
          </cell>
          <cell r="J34">
            <v>3857701</v>
          </cell>
          <cell r="K34">
            <v>44160</v>
          </cell>
          <cell r="L34">
            <v>44160</v>
          </cell>
          <cell r="M34">
            <v>44160</v>
          </cell>
          <cell r="N34">
            <v>44160</v>
          </cell>
          <cell r="O34">
            <v>44160</v>
          </cell>
          <cell r="P34">
            <v>44160</v>
          </cell>
          <cell r="Q34">
            <v>44160</v>
          </cell>
          <cell r="R34">
            <v>44160</v>
          </cell>
          <cell r="S34">
            <v>4297500</v>
          </cell>
          <cell r="T34">
            <v>4424989</v>
          </cell>
          <cell r="U34">
            <v>4432422</v>
          </cell>
          <cell r="V34">
            <v>4440038</v>
          </cell>
          <cell r="W34">
            <v>4284901</v>
          </cell>
          <cell r="X34">
            <v>3994678</v>
          </cell>
          <cell r="Y34">
            <v>4311082</v>
          </cell>
          <cell r="Z34">
            <v>4320844</v>
          </cell>
          <cell r="AA34">
            <v>0</v>
          </cell>
          <cell r="AB34">
            <v>0</v>
          </cell>
          <cell r="AC34">
            <v>0</v>
          </cell>
          <cell r="AD34">
            <v>0</v>
          </cell>
          <cell r="AE34">
            <v>0</v>
          </cell>
          <cell r="AF34">
            <v>0</v>
          </cell>
          <cell r="AG34">
            <v>0</v>
          </cell>
          <cell r="AH34">
            <v>0</v>
          </cell>
          <cell r="AI34">
            <v>27395</v>
          </cell>
          <cell r="AJ34">
            <v>27395</v>
          </cell>
          <cell r="AK34">
            <v>27395</v>
          </cell>
          <cell r="AL34">
            <v>27395</v>
          </cell>
          <cell r="AM34">
            <v>27395</v>
          </cell>
          <cell r="AN34">
            <v>27395</v>
          </cell>
          <cell r="AO34">
            <v>27395</v>
          </cell>
          <cell r="AP34">
            <v>27395</v>
          </cell>
          <cell r="AQ34">
            <v>37136</v>
          </cell>
          <cell r="AR34">
            <v>34358</v>
          </cell>
          <cell r="AS34">
            <v>31886</v>
          </cell>
          <cell r="AT34">
            <v>33301</v>
          </cell>
          <cell r="AU34">
            <v>32882</v>
          </cell>
          <cell r="AV34">
            <v>32971</v>
          </cell>
          <cell r="AW34">
            <v>30838</v>
          </cell>
          <cell r="AX34">
            <v>31564</v>
          </cell>
          <cell r="AY34">
            <v>0</v>
          </cell>
          <cell r="AZ34">
            <v>0</v>
          </cell>
          <cell r="BA34">
            <v>0</v>
          </cell>
          <cell r="BB34">
            <v>0</v>
          </cell>
          <cell r="BC34">
            <v>0</v>
          </cell>
          <cell r="BD34">
            <v>0</v>
          </cell>
          <cell r="BE34">
            <v>0</v>
          </cell>
          <cell r="BF34">
            <v>0</v>
          </cell>
          <cell r="BH34">
            <v>8735757</v>
          </cell>
          <cell r="BI34">
            <v>8805251</v>
          </cell>
          <cell r="BJ34">
            <v>8813538</v>
          </cell>
          <cell r="BK34">
            <v>8647768</v>
          </cell>
          <cell r="BL34">
            <v>8518727</v>
          </cell>
          <cell r="BM34">
            <v>8153443</v>
          </cell>
          <cell r="BN34">
            <v>8388481</v>
          </cell>
          <cell r="BO34">
            <v>8205940</v>
          </cell>
        </row>
        <row r="35">
          <cell r="C35">
            <v>1374560</v>
          </cell>
          <cell r="D35">
            <v>1373848</v>
          </cell>
          <cell r="E35">
            <v>1386409</v>
          </cell>
          <cell r="F35">
            <v>1402334</v>
          </cell>
          <cell r="G35">
            <v>1492347</v>
          </cell>
          <cell r="H35">
            <v>1406881</v>
          </cell>
          <cell r="I35">
            <v>1413273</v>
          </cell>
          <cell r="J35">
            <v>1425462</v>
          </cell>
          <cell r="K35">
            <v>22851</v>
          </cell>
          <cell r="L35">
            <v>22851</v>
          </cell>
          <cell r="M35">
            <v>22851</v>
          </cell>
          <cell r="N35">
            <v>22851</v>
          </cell>
          <cell r="O35">
            <v>22851</v>
          </cell>
          <cell r="P35">
            <v>22851</v>
          </cell>
          <cell r="Q35">
            <v>22851</v>
          </cell>
          <cell r="R35">
            <v>22851</v>
          </cell>
          <cell r="S35">
            <v>902637</v>
          </cell>
          <cell r="T35">
            <v>902620</v>
          </cell>
          <cell r="U35">
            <v>902602</v>
          </cell>
          <cell r="V35">
            <v>883875</v>
          </cell>
          <cell r="W35">
            <v>883829</v>
          </cell>
          <cell r="X35">
            <v>883784</v>
          </cell>
          <cell r="Y35">
            <v>883738</v>
          </cell>
          <cell r="Z35">
            <v>883693</v>
          </cell>
          <cell r="AA35">
            <v>0</v>
          </cell>
          <cell r="AB35">
            <v>0</v>
          </cell>
          <cell r="AC35">
            <v>30000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16874</v>
          </cell>
          <cell r="AR35">
            <v>17817</v>
          </cell>
          <cell r="AS35">
            <v>18485</v>
          </cell>
          <cell r="AT35">
            <v>18670</v>
          </cell>
          <cell r="AU35">
            <v>18282</v>
          </cell>
          <cell r="AV35">
            <v>18681</v>
          </cell>
          <cell r="AW35">
            <v>18953</v>
          </cell>
          <cell r="AX35">
            <v>19367</v>
          </cell>
          <cell r="AY35">
            <v>0</v>
          </cell>
          <cell r="AZ35">
            <v>0</v>
          </cell>
          <cell r="BA35">
            <v>0</v>
          </cell>
          <cell r="BB35">
            <v>0</v>
          </cell>
          <cell r="BC35">
            <v>0</v>
          </cell>
          <cell r="BD35">
            <v>0</v>
          </cell>
          <cell r="BE35">
            <v>0</v>
          </cell>
          <cell r="BF35">
            <v>0</v>
          </cell>
          <cell r="BH35">
            <v>2277197</v>
          </cell>
          <cell r="BI35">
            <v>2276468</v>
          </cell>
          <cell r="BJ35">
            <v>2319011</v>
          </cell>
          <cell r="BK35">
            <v>2286209</v>
          </cell>
          <cell r="BL35">
            <v>2376176</v>
          </cell>
          <cell r="BM35">
            <v>2290665</v>
          </cell>
          <cell r="BN35">
            <v>2297011</v>
          </cell>
          <cell r="BO35">
            <v>2309155</v>
          </cell>
        </row>
        <row r="36">
          <cell r="C36">
            <v>827693</v>
          </cell>
          <cell r="D36">
            <v>865992</v>
          </cell>
          <cell r="E36">
            <v>844207</v>
          </cell>
          <cell r="F36">
            <v>820841</v>
          </cell>
          <cell r="G36">
            <v>794036</v>
          </cell>
          <cell r="H36">
            <v>785153</v>
          </cell>
          <cell r="I36">
            <v>801695</v>
          </cell>
          <cell r="J36">
            <v>787378</v>
          </cell>
          <cell r="K36">
            <v>0</v>
          </cell>
          <cell r="L36">
            <v>0</v>
          </cell>
          <cell r="M36">
            <v>0</v>
          </cell>
          <cell r="N36">
            <v>0</v>
          </cell>
          <cell r="O36">
            <v>0</v>
          </cell>
          <cell r="P36">
            <v>0</v>
          </cell>
          <cell r="Q36">
            <v>0</v>
          </cell>
          <cell r="R36">
            <v>0</v>
          </cell>
          <cell r="S36">
            <v>869684</v>
          </cell>
          <cell r="T36">
            <v>869687</v>
          </cell>
          <cell r="U36">
            <v>869690</v>
          </cell>
          <cell r="V36">
            <v>869694</v>
          </cell>
          <cell r="W36">
            <v>838476</v>
          </cell>
          <cell r="X36">
            <v>869702</v>
          </cell>
          <cell r="Y36">
            <v>790621</v>
          </cell>
          <cell r="Z36">
            <v>790572</v>
          </cell>
          <cell r="AA36">
            <v>0</v>
          </cell>
          <cell r="AB36">
            <v>0</v>
          </cell>
          <cell r="AC36">
            <v>0</v>
          </cell>
          <cell r="AD36">
            <v>0</v>
          </cell>
          <cell r="AE36">
            <v>2925</v>
          </cell>
          <cell r="AF36">
            <v>0</v>
          </cell>
          <cell r="AG36">
            <v>0</v>
          </cell>
          <cell r="AH36">
            <v>0</v>
          </cell>
          <cell r="AI36">
            <v>0</v>
          </cell>
          <cell r="AJ36">
            <v>0</v>
          </cell>
          <cell r="AK36">
            <v>0</v>
          </cell>
          <cell r="AL36">
            <v>0</v>
          </cell>
          <cell r="AM36">
            <v>0</v>
          </cell>
          <cell r="AN36">
            <v>0</v>
          </cell>
          <cell r="AO36">
            <v>0</v>
          </cell>
          <cell r="AP36">
            <v>0</v>
          </cell>
          <cell r="AQ36">
            <v>29412</v>
          </cell>
          <cell r="AR36">
            <v>29261</v>
          </cell>
          <cell r="AS36">
            <v>30298</v>
          </cell>
          <cell r="AT36">
            <v>30248</v>
          </cell>
          <cell r="AU36">
            <v>30462</v>
          </cell>
          <cell r="AV36">
            <v>29583</v>
          </cell>
          <cell r="AW36">
            <v>28244</v>
          </cell>
          <cell r="AX36">
            <v>26052</v>
          </cell>
          <cell r="AY36">
            <v>0</v>
          </cell>
          <cell r="AZ36">
            <v>0</v>
          </cell>
          <cell r="BA36">
            <v>0</v>
          </cell>
          <cell r="BB36">
            <v>0</v>
          </cell>
          <cell r="BC36">
            <v>0</v>
          </cell>
          <cell r="BD36">
            <v>0</v>
          </cell>
          <cell r="BE36">
            <v>0</v>
          </cell>
          <cell r="BF36">
            <v>0</v>
          </cell>
          <cell r="BH36">
            <v>1697377</v>
          </cell>
          <cell r="BI36">
            <v>1735679</v>
          </cell>
          <cell r="BJ36">
            <v>1713897</v>
          </cell>
          <cell r="BK36">
            <v>1690535</v>
          </cell>
          <cell r="BL36">
            <v>1635437</v>
          </cell>
          <cell r="BM36">
            <v>1654855</v>
          </cell>
          <cell r="BN36">
            <v>1592316</v>
          </cell>
          <cell r="BO36">
            <v>1577950</v>
          </cell>
        </row>
        <row r="37">
          <cell r="C37">
            <v>4128409</v>
          </cell>
          <cell r="D37">
            <v>4045474</v>
          </cell>
          <cell r="E37">
            <v>4017718</v>
          </cell>
          <cell r="F37">
            <v>4008075</v>
          </cell>
          <cell r="G37">
            <v>3986080</v>
          </cell>
          <cell r="H37">
            <v>3897588</v>
          </cell>
          <cell r="I37">
            <v>3887571</v>
          </cell>
          <cell r="J37">
            <v>3872290</v>
          </cell>
          <cell r="K37">
            <v>0</v>
          </cell>
          <cell r="L37">
            <v>0</v>
          </cell>
          <cell r="M37">
            <v>0</v>
          </cell>
          <cell r="N37">
            <v>0</v>
          </cell>
          <cell r="O37">
            <v>0</v>
          </cell>
          <cell r="P37">
            <v>0</v>
          </cell>
          <cell r="Q37">
            <v>0</v>
          </cell>
          <cell r="R37">
            <v>0</v>
          </cell>
          <cell r="S37">
            <v>4370206</v>
          </cell>
          <cell r="T37">
            <v>4371158</v>
          </cell>
          <cell r="U37">
            <v>4147581</v>
          </cell>
          <cell r="V37">
            <v>4160374</v>
          </cell>
          <cell r="W37">
            <v>4140377</v>
          </cell>
          <cell r="X37">
            <v>4041454</v>
          </cell>
          <cell r="Y37">
            <v>4041339</v>
          </cell>
          <cell r="Z37">
            <v>4054159</v>
          </cell>
          <cell r="AA37">
            <v>49499</v>
          </cell>
          <cell r="AB37">
            <v>106510</v>
          </cell>
          <cell r="AC37">
            <v>0</v>
          </cell>
          <cell r="AD37">
            <v>0</v>
          </cell>
          <cell r="AE37">
            <v>0</v>
          </cell>
          <cell r="AF37">
            <v>0</v>
          </cell>
          <cell r="AG37">
            <v>0</v>
          </cell>
          <cell r="AH37">
            <v>0</v>
          </cell>
          <cell r="AI37">
            <v>16112</v>
          </cell>
          <cell r="AJ37">
            <v>11617</v>
          </cell>
          <cell r="AK37">
            <v>117958</v>
          </cell>
          <cell r="AL37">
            <v>17426</v>
          </cell>
          <cell r="AM37">
            <v>20330</v>
          </cell>
          <cell r="AN37">
            <v>88816</v>
          </cell>
          <cell r="AO37">
            <v>29043</v>
          </cell>
          <cell r="AP37">
            <v>29043</v>
          </cell>
          <cell r="AQ37">
            <v>26309</v>
          </cell>
          <cell r="AR37">
            <v>25850</v>
          </cell>
          <cell r="AS37">
            <v>25587</v>
          </cell>
          <cell r="AT37">
            <v>25570</v>
          </cell>
          <cell r="AU37">
            <v>26445</v>
          </cell>
          <cell r="AV37">
            <v>25984</v>
          </cell>
          <cell r="AW37">
            <v>24797</v>
          </cell>
          <cell r="AX37">
            <v>24049</v>
          </cell>
          <cell r="AY37">
            <v>0</v>
          </cell>
          <cell r="AZ37">
            <v>0</v>
          </cell>
          <cell r="BA37">
            <v>0</v>
          </cell>
          <cell r="BB37">
            <v>0</v>
          </cell>
          <cell r="BC37">
            <v>0</v>
          </cell>
          <cell r="BD37">
            <v>0</v>
          </cell>
          <cell r="BE37">
            <v>0</v>
          </cell>
          <cell r="BF37">
            <v>0</v>
          </cell>
          <cell r="BH37">
            <v>8564226</v>
          </cell>
          <cell r="BI37">
            <v>8534759</v>
          </cell>
          <cell r="BJ37">
            <v>8283257</v>
          </cell>
          <cell r="BK37">
            <v>8185875</v>
          </cell>
          <cell r="BL37">
            <v>8146787</v>
          </cell>
          <cell r="BM37">
            <v>8027858</v>
          </cell>
          <cell r="BN37">
            <v>7957953</v>
          </cell>
          <cell r="BO37">
            <v>7955492</v>
          </cell>
        </row>
        <row r="38">
          <cell r="C38">
            <v>9627761</v>
          </cell>
          <cell r="D38">
            <v>9315125</v>
          </cell>
          <cell r="E38">
            <v>9121304</v>
          </cell>
          <cell r="F38">
            <v>8915950</v>
          </cell>
          <cell r="G38">
            <v>8633538</v>
          </cell>
          <cell r="H38">
            <v>8317388</v>
          </cell>
          <cell r="I38">
            <v>8263322</v>
          </cell>
          <cell r="J38">
            <v>8270590</v>
          </cell>
          <cell r="K38">
            <v>0</v>
          </cell>
          <cell r="L38">
            <v>0</v>
          </cell>
          <cell r="M38">
            <v>0</v>
          </cell>
          <cell r="N38">
            <v>0</v>
          </cell>
          <cell r="O38">
            <v>0</v>
          </cell>
          <cell r="P38">
            <v>0</v>
          </cell>
          <cell r="Q38">
            <v>0</v>
          </cell>
          <cell r="R38">
            <v>0</v>
          </cell>
          <cell r="S38">
            <v>8245759</v>
          </cell>
          <cell r="T38">
            <v>8246745</v>
          </cell>
          <cell r="U38">
            <v>7747760</v>
          </cell>
          <cell r="V38">
            <v>7749028</v>
          </cell>
          <cell r="W38">
            <v>7753570</v>
          </cell>
          <cell r="X38">
            <v>7611012</v>
          </cell>
          <cell r="Y38">
            <v>7362364</v>
          </cell>
          <cell r="Z38">
            <v>7663236</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91906</v>
          </cell>
          <cell r="AR38">
            <v>89770</v>
          </cell>
          <cell r="AS38">
            <v>88330</v>
          </cell>
          <cell r="AT38">
            <v>86477</v>
          </cell>
          <cell r="AU38">
            <v>85581</v>
          </cell>
          <cell r="AV38">
            <v>84292</v>
          </cell>
          <cell r="AW38">
            <v>81721</v>
          </cell>
          <cell r="AX38">
            <v>78855</v>
          </cell>
          <cell r="AY38">
            <v>0</v>
          </cell>
          <cell r="AZ38">
            <v>0</v>
          </cell>
          <cell r="BA38">
            <v>0</v>
          </cell>
          <cell r="BB38">
            <v>0</v>
          </cell>
          <cell r="BC38">
            <v>0</v>
          </cell>
          <cell r="BD38">
            <v>0</v>
          </cell>
          <cell r="BE38">
            <v>0</v>
          </cell>
          <cell r="BF38">
            <v>0</v>
          </cell>
          <cell r="BH38">
            <v>17873520</v>
          </cell>
          <cell r="BI38">
            <v>17561870</v>
          </cell>
          <cell r="BJ38">
            <v>16869064</v>
          </cell>
          <cell r="BK38">
            <v>16664978</v>
          </cell>
          <cell r="BL38">
            <v>16387108</v>
          </cell>
          <cell r="BM38">
            <v>15928400</v>
          </cell>
          <cell r="BN38">
            <v>15625686</v>
          </cell>
          <cell r="BO38">
            <v>15933826</v>
          </cell>
        </row>
        <row r="39">
          <cell r="C39">
            <v>3678991</v>
          </cell>
          <cell r="D39">
            <v>3710403</v>
          </cell>
          <cell r="E39">
            <v>3642845</v>
          </cell>
          <cell r="F39">
            <v>3567072</v>
          </cell>
          <cell r="G39">
            <v>3501269</v>
          </cell>
          <cell r="H39">
            <v>3410366</v>
          </cell>
          <cell r="I39">
            <v>3228211</v>
          </cell>
          <cell r="J39">
            <v>2933741</v>
          </cell>
          <cell r="K39">
            <v>0</v>
          </cell>
          <cell r="L39">
            <v>0</v>
          </cell>
          <cell r="M39">
            <v>0</v>
          </cell>
          <cell r="N39">
            <v>0</v>
          </cell>
          <cell r="O39">
            <v>0</v>
          </cell>
          <cell r="P39">
            <v>0</v>
          </cell>
          <cell r="Q39">
            <v>0</v>
          </cell>
          <cell r="R39">
            <v>0</v>
          </cell>
          <cell r="S39">
            <v>3440788</v>
          </cell>
          <cell r="T39">
            <v>3441074</v>
          </cell>
          <cell r="U39">
            <v>3440885</v>
          </cell>
          <cell r="V39">
            <v>3440916</v>
          </cell>
          <cell r="W39">
            <v>3442288</v>
          </cell>
          <cell r="X39">
            <v>3065454</v>
          </cell>
          <cell r="Y39">
            <v>3065274</v>
          </cell>
          <cell r="Z39">
            <v>3065490</v>
          </cell>
          <cell r="AA39">
            <v>0</v>
          </cell>
          <cell r="AB39">
            <v>0</v>
          </cell>
          <cell r="AC39">
            <v>0</v>
          </cell>
          <cell r="AD39">
            <v>0</v>
          </cell>
          <cell r="AE39">
            <v>0</v>
          </cell>
          <cell r="AF39">
            <v>0</v>
          </cell>
          <cell r="AG39">
            <v>0</v>
          </cell>
          <cell r="AH39">
            <v>0</v>
          </cell>
          <cell r="AI39">
            <v>13662</v>
          </cell>
          <cell r="AJ39">
            <v>0</v>
          </cell>
          <cell r="AK39">
            <v>0</v>
          </cell>
          <cell r="AL39">
            <v>0</v>
          </cell>
          <cell r="AM39">
            <v>0</v>
          </cell>
          <cell r="AN39">
            <v>0</v>
          </cell>
          <cell r="AO39">
            <v>4</v>
          </cell>
          <cell r="AP39">
            <v>1</v>
          </cell>
          <cell r="AQ39">
            <v>37554</v>
          </cell>
          <cell r="AR39">
            <v>37364</v>
          </cell>
          <cell r="AS39">
            <v>37731</v>
          </cell>
          <cell r="AT39">
            <v>37508</v>
          </cell>
          <cell r="AU39">
            <v>36275</v>
          </cell>
          <cell r="AV39">
            <v>36262</v>
          </cell>
          <cell r="AW39">
            <v>36618</v>
          </cell>
          <cell r="AX39">
            <v>35170</v>
          </cell>
          <cell r="AY39">
            <v>0</v>
          </cell>
          <cell r="AZ39">
            <v>0</v>
          </cell>
          <cell r="BA39">
            <v>0</v>
          </cell>
          <cell r="BB39">
            <v>0</v>
          </cell>
          <cell r="BC39">
            <v>0</v>
          </cell>
          <cell r="BD39">
            <v>0</v>
          </cell>
          <cell r="BE39">
            <v>0</v>
          </cell>
          <cell r="BF39">
            <v>0</v>
          </cell>
          <cell r="BH39">
            <v>7133441</v>
          </cell>
          <cell r="BI39">
            <v>7151477</v>
          </cell>
          <cell r="BJ39">
            <v>7083730</v>
          </cell>
          <cell r="BK39">
            <v>7007988</v>
          </cell>
          <cell r="BL39">
            <v>6943557</v>
          </cell>
          <cell r="BM39">
            <v>6475820</v>
          </cell>
          <cell r="BN39">
            <v>6293489</v>
          </cell>
          <cell r="BO39">
            <v>5999232</v>
          </cell>
        </row>
        <row r="40">
          <cell r="C40">
            <v>361287</v>
          </cell>
          <cell r="D40">
            <v>487593</v>
          </cell>
          <cell r="E40">
            <v>481943</v>
          </cell>
          <cell r="F40">
            <v>465354</v>
          </cell>
          <cell r="G40">
            <v>454682</v>
          </cell>
          <cell r="H40">
            <v>442613</v>
          </cell>
          <cell r="I40">
            <v>438673</v>
          </cell>
          <cell r="J40">
            <v>422093</v>
          </cell>
          <cell r="K40">
            <v>0</v>
          </cell>
          <cell r="L40">
            <v>0</v>
          </cell>
          <cell r="M40">
            <v>0</v>
          </cell>
          <cell r="N40">
            <v>0</v>
          </cell>
          <cell r="O40">
            <v>0</v>
          </cell>
          <cell r="P40">
            <v>0</v>
          </cell>
          <cell r="Q40">
            <v>0</v>
          </cell>
          <cell r="R40">
            <v>0</v>
          </cell>
          <cell r="S40">
            <v>331839</v>
          </cell>
          <cell r="T40">
            <v>331816</v>
          </cell>
          <cell r="U40">
            <v>331793</v>
          </cell>
          <cell r="V40">
            <v>331771</v>
          </cell>
          <cell r="W40">
            <v>331748</v>
          </cell>
          <cell r="X40">
            <v>331726</v>
          </cell>
          <cell r="Y40">
            <v>331703</v>
          </cell>
          <cell r="Z40">
            <v>331680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8241</v>
          </cell>
          <cell r="AR40">
            <v>8194</v>
          </cell>
          <cell r="AS40">
            <v>8247</v>
          </cell>
          <cell r="AT40">
            <v>8127</v>
          </cell>
          <cell r="AU40">
            <v>7936</v>
          </cell>
          <cell r="AV40">
            <v>7837</v>
          </cell>
          <cell r="AW40">
            <v>7743</v>
          </cell>
          <cell r="AX40">
            <v>7600</v>
          </cell>
          <cell r="AY40">
            <v>0</v>
          </cell>
          <cell r="AZ40">
            <v>0</v>
          </cell>
          <cell r="BA40">
            <v>0</v>
          </cell>
          <cell r="BB40">
            <v>0</v>
          </cell>
          <cell r="BC40">
            <v>0</v>
          </cell>
          <cell r="BD40">
            <v>0</v>
          </cell>
          <cell r="BE40">
            <v>0</v>
          </cell>
          <cell r="BF40">
            <v>0</v>
          </cell>
          <cell r="BH40">
            <v>693126</v>
          </cell>
          <cell r="BI40">
            <v>819409</v>
          </cell>
          <cell r="BJ40">
            <v>813736</v>
          </cell>
          <cell r="BK40">
            <v>797125</v>
          </cell>
          <cell r="BL40">
            <v>786430</v>
          </cell>
          <cell r="BM40">
            <v>774339</v>
          </cell>
          <cell r="BN40">
            <v>770376</v>
          </cell>
          <cell r="BO40">
            <v>753773</v>
          </cell>
        </row>
        <row r="41">
          <cell r="C41">
            <v>5136280</v>
          </cell>
          <cell r="D41">
            <v>5285593</v>
          </cell>
          <cell r="E41">
            <v>5252444</v>
          </cell>
          <cell r="F41">
            <v>5463939</v>
          </cell>
          <cell r="G41">
            <v>5445435</v>
          </cell>
          <cell r="H41">
            <v>5270025</v>
          </cell>
          <cell r="I41">
            <v>6027170</v>
          </cell>
          <cell r="J41">
            <v>5897697</v>
          </cell>
          <cell r="K41">
            <v>0</v>
          </cell>
          <cell r="L41">
            <v>0</v>
          </cell>
          <cell r="M41">
            <v>0</v>
          </cell>
          <cell r="N41">
            <v>0</v>
          </cell>
          <cell r="O41">
            <v>0</v>
          </cell>
          <cell r="P41">
            <v>0</v>
          </cell>
          <cell r="Q41">
            <v>0</v>
          </cell>
          <cell r="R41">
            <v>0</v>
          </cell>
          <cell r="S41">
            <v>2180469</v>
          </cell>
          <cell r="T41">
            <v>2180534</v>
          </cell>
          <cell r="U41">
            <v>2178783</v>
          </cell>
          <cell r="V41">
            <v>2179169</v>
          </cell>
          <cell r="W41">
            <v>2180378</v>
          </cell>
          <cell r="X41">
            <v>2175407</v>
          </cell>
          <cell r="Y41">
            <v>2172135</v>
          </cell>
          <cell r="Z41">
            <v>2179196</v>
          </cell>
          <cell r="AA41">
            <v>0</v>
          </cell>
          <cell r="AB41">
            <v>0</v>
          </cell>
          <cell r="AC41">
            <v>0</v>
          </cell>
          <cell r="AD41">
            <v>0</v>
          </cell>
          <cell r="AE41">
            <v>0</v>
          </cell>
          <cell r="AF41">
            <v>12100</v>
          </cell>
          <cell r="AG41">
            <v>12100</v>
          </cell>
          <cell r="AH41">
            <v>0</v>
          </cell>
          <cell r="AI41">
            <v>0</v>
          </cell>
          <cell r="AJ41">
            <v>0</v>
          </cell>
          <cell r="AK41">
            <v>0</v>
          </cell>
          <cell r="AL41">
            <v>0</v>
          </cell>
          <cell r="AM41">
            <v>0</v>
          </cell>
          <cell r="AN41">
            <v>0</v>
          </cell>
          <cell r="AO41">
            <v>0</v>
          </cell>
          <cell r="AP41">
            <v>0</v>
          </cell>
          <cell r="AQ41">
            <v>25299</v>
          </cell>
          <cell r="AR41">
            <v>25134</v>
          </cell>
          <cell r="AS41">
            <v>26054</v>
          </cell>
          <cell r="AT41">
            <v>26001</v>
          </cell>
          <cell r="AU41">
            <v>27243</v>
          </cell>
          <cell r="AV41">
            <v>26986</v>
          </cell>
          <cell r="AW41">
            <v>26461</v>
          </cell>
          <cell r="AX41">
            <v>25616</v>
          </cell>
          <cell r="AY41">
            <v>0</v>
          </cell>
          <cell r="AZ41">
            <v>0</v>
          </cell>
          <cell r="BA41">
            <v>0</v>
          </cell>
          <cell r="BB41">
            <v>0</v>
          </cell>
          <cell r="BC41">
            <v>0</v>
          </cell>
          <cell r="BD41">
            <v>0</v>
          </cell>
          <cell r="BE41">
            <v>0</v>
          </cell>
          <cell r="BF41">
            <v>0</v>
          </cell>
          <cell r="BH41">
            <v>7316749</v>
          </cell>
          <cell r="BI41">
            <v>7466127</v>
          </cell>
          <cell r="BJ41">
            <v>7431227</v>
          </cell>
          <cell r="BK41">
            <v>7643108</v>
          </cell>
          <cell r="BL41">
            <v>7625813</v>
          </cell>
          <cell r="BM41">
            <v>7457532</v>
          </cell>
          <cell r="BN41">
            <v>8211405</v>
          </cell>
          <cell r="BO41">
            <v>8076893</v>
          </cell>
        </row>
        <row r="42">
          <cell r="C42">
            <v>1162489</v>
          </cell>
          <cell r="D42">
            <v>1158048</v>
          </cell>
          <cell r="E42">
            <v>1155042</v>
          </cell>
          <cell r="F42">
            <v>1151062</v>
          </cell>
          <cell r="G42">
            <v>1130869</v>
          </cell>
          <cell r="H42">
            <v>1163948</v>
          </cell>
          <cell r="I42">
            <v>1176547</v>
          </cell>
          <cell r="J42">
            <v>1180183</v>
          </cell>
          <cell r="K42">
            <v>107936</v>
          </cell>
          <cell r="L42">
            <v>107936</v>
          </cell>
          <cell r="M42">
            <v>107936</v>
          </cell>
          <cell r="N42">
            <v>107936</v>
          </cell>
          <cell r="O42">
            <v>107936</v>
          </cell>
          <cell r="P42">
            <v>107936</v>
          </cell>
          <cell r="Q42">
            <v>107936</v>
          </cell>
          <cell r="R42">
            <v>107936</v>
          </cell>
          <cell r="S42">
            <v>759894</v>
          </cell>
          <cell r="T42">
            <v>807813</v>
          </cell>
          <cell r="U42">
            <v>657808</v>
          </cell>
          <cell r="V42">
            <v>592148</v>
          </cell>
          <cell r="W42">
            <v>592143</v>
          </cell>
          <cell r="X42">
            <v>442137</v>
          </cell>
          <cell r="Y42">
            <v>442132</v>
          </cell>
          <cell r="Z42">
            <v>442127</v>
          </cell>
          <cell r="AA42">
            <v>20000</v>
          </cell>
          <cell r="AB42">
            <v>0</v>
          </cell>
          <cell r="AC42">
            <v>25000</v>
          </cell>
          <cell r="AD42">
            <v>0</v>
          </cell>
          <cell r="AE42">
            <v>0</v>
          </cell>
          <cell r="AF42">
            <v>0</v>
          </cell>
          <cell r="AG42">
            <v>10000</v>
          </cell>
          <cell r="AH42">
            <v>0</v>
          </cell>
          <cell r="AI42">
            <v>0</v>
          </cell>
          <cell r="AJ42">
            <v>35000</v>
          </cell>
          <cell r="AK42">
            <v>125000</v>
          </cell>
          <cell r="AL42">
            <v>75000</v>
          </cell>
          <cell r="AM42">
            <v>55000</v>
          </cell>
          <cell r="AN42">
            <v>145000</v>
          </cell>
          <cell r="AO42">
            <v>100000</v>
          </cell>
          <cell r="AP42">
            <v>45000</v>
          </cell>
          <cell r="AQ42">
            <v>7720</v>
          </cell>
          <cell r="AR42">
            <v>7497</v>
          </cell>
          <cell r="AS42">
            <v>7485</v>
          </cell>
          <cell r="AT42">
            <v>7364</v>
          </cell>
          <cell r="AU42">
            <v>7328</v>
          </cell>
          <cell r="AV42">
            <v>7260</v>
          </cell>
          <cell r="AW42">
            <v>7124</v>
          </cell>
          <cell r="AX42">
            <v>6989</v>
          </cell>
          <cell r="AY42">
            <v>0</v>
          </cell>
          <cell r="AZ42">
            <v>0</v>
          </cell>
          <cell r="BA42">
            <v>0</v>
          </cell>
          <cell r="BB42">
            <v>0</v>
          </cell>
          <cell r="BC42">
            <v>0</v>
          </cell>
          <cell r="BD42">
            <v>0</v>
          </cell>
          <cell r="BE42">
            <v>0</v>
          </cell>
          <cell r="BF42">
            <v>0</v>
          </cell>
          <cell r="BH42">
            <v>1942383</v>
          </cell>
          <cell r="BI42">
            <v>2000861</v>
          </cell>
          <cell r="BJ42">
            <v>1962850</v>
          </cell>
          <cell r="BK42">
            <v>1818210</v>
          </cell>
          <cell r="BL42">
            <v>1778012</v>
          </cell>
          <cell r="BM42">
            <v>1751085</v>
          </cell>
          <cell r="BN42">
            <v>1728679</v>
          </cell>
          <cell r="BO42">
            <v>1667310</v>
          </cell>
        </row>
        <row r="43">
          <cell r="C43">
            <v>813055</v>
          </cell>
          <cell r="D43">
            <v>818101</v>
          </cell>
          <cell r="E43">
            <v>802017</v>
          </cell>
          <cell r="F43">
            <v>808894</v>
          </cell>
          <cell r="G43">
            <v>787758</v>
          </cell>
          <cell r="H43">
            <v>750725</v>
          </cell>
          <cell r="I43">
            <v>738569</v>
          </cell>
          <cell r="J43">
            <v>727957</v>
          </cell>
          <cell r="K43">
            <v>0</v>
          </cell>
          <cell r="L43">
            <v>0</v>
          </cell>
          <cell r="M43">
            <v>0</v>
          </cell>
          <cell r="N43">
            <v>0</v>
          </cell>
          <cell r="O43">
            <v>0</v>
          </cell>
          <cell r="P43">
            <v>0</v>
          </cell>
          <cell r="Q43">
            <v>0</v>
          </cell>
          <cell r="R43">
            <v>0</v>
          </cell>
          <cell r="S43">
            <v>739784</v>
          </cell>
          <cell r="T43">
            <v>739771</v>
          </cell>
          <cell r="U43">
            <v>739758</v>
          </cell>
          <cell r="V43">
            <v>739745</v>
          </cell>
          <cell r="W43">
            <v>739733</v>
          </cell>
          <cell r="X43">
            <v>741579</v>
          </cell>
          <cell r="Y43">
            <v>741691</v>
          </cell>
          <cell r="Z43">
            <v>741816</v>
          </cell>
          <cell r="AA43">
            <v>0</v>
          </cell>
          <cell r="AB43">
            <v>26000</v>
          </cell>
          <cell r="AC43">
            <v>0</v>
          </cell>
          <cell r="AD43">
            <v>0</v>
          </cell>
          <cell r="AE43">
            <v>0</v>
          </cell>
          <cell r="AF43">
            <v>2627</v>
          </cell>
          <cell r="AG43">
            <v>0</v>
          </cell>
          <cell r="AH43">
            <v>0</v>
          </cell>
          <cell r="AI43">
            <v>0</v>
          </cell>
          <cell r="AJ43">
            <v>0</v>
          </cell>
          <cell r="AK43">
            <v>0</v>
          </cell>
          <cell r="AL43">
            <v>0</v>
          </cell>
          <cell r="AM43">
            <v>0</v>
          </cell>
          <cell r="AN43">
            <v>0</v>
          </cell>
          <cell r="AO43">
            <v>0</v>
          </cell>
          <cell r="AP43">
            <v>0</v>
          </cell>
          <cell r="AQ43">
            <v>5210</v>
          </cell>
          <cell r="AR43">
            <v>5063</v>
          </cell>
          <cell r="AS43">
            <v>4973</v>
          </cell>
          <cell r="AT43">
            <v>4945</v>
          </cell>
          <cell r="AU43">
            <v>4689</v>
          </cell>
          <cell r="AV43">
            <v>4712</v>
          </cell>
          <cell r="AW43">
            <v>5206</v>
          </cell>
          <cell r="AX43">
            <v>5130</v>
          </cell>
          <cell r="AY43">
            <v>0</v>
          </cell>
          <cell r="AZ43">
            <v>0</v>
          </cell>
          <cell r="BA43">
            <v>0</v>
          </cell>
          <cell r="BB43">
            <v>0</v>
          </cell>
          <cell r="BC43">
            <v>0</v>
          </cell>
          <cell r="BD43">
            <v>0</v>
          </cell>
          <cell r="BE43">
            <v>0</v>
          </cell>
          <cell r="BF43">
            <v>0</v>
          </cell>
          <cell r="BH43">
            <v>1552839</v>
          </cell>
          <cell r="BI43">
            <v>1583872</v>
          </cell>
          <cell r="BJ43">
            <v>1541775</v>
          </cell>
          <cell r="BK43">
            <v>1548639</v>
          </cell>
          <cell r="BL43">
            <v>1527491</v>
          </cell>
          <cell r="BM43">
            <v>1494931</v>
          </cell>
          <cell r="BN43">
            <v>1480260</v>
          </cell>
          <cell r="BO43">
            <v>1469773</v>
          </cell>
        </row>
        <row r="44">
          <cell r="C44">
            <v>684566</v>
          </cell>
          <cell r="D44">
            <v>658298</v>
          </cell>
          <cell r="E44">
            <v>660157</v>
          </cell>
          <cell r="F44">
            <v>657623</v>
          </cell>
          <cell r="G44">
            <v>659379</v>
          </cell>
          <cell r="H44">
            <v>645413</v>
          </cell>
          <cell r="I44">
            <v>678495</v>
          </cell>
          <cell r="J44">
            <v>652047</v>
          </cell>
          <cell r="K44">
            <v>0</v>
          </cell>
          <cell r="L44">
            <v>0</v>
          </cell>
          <cell r="M44">
            <v>0</v>
          </cell>
          <cell r="N44">
            <v>0</v>
          </cell>
          <cell r="O44">
            <v>0</v>
          </cell>
          <cell r="P44">
            <v>0</v>
          </cell>
          <cell r="Q44">
            <v>50000</v>
          </cell>
          <cell r="R44">
            <v>50000</v>
          </cell>
          <cell r="S44">
            <v>633290</v>
          </cell>
          <cell r="T44">
            <v>633442</v>
          </cell>
          <cell r="U44">
            <v>633567</v>
          </cell>
          <cell r="V44">
            <v>633690</v>
          </cell>
          <cell r="W44">
            <v>633812</v>
          </cell>
          <cell r="X44">
            <v>632511</v>
          </cell>
          <cell r="Y44">
            <v>582927</v>
          </cell>
          <cell r="Z44">
            <v>583180</v>
          </cell>
          <cell r="AA44">
            <v>4000</v>
          </cell>
          <cell r="AB44">
            <v>18500</v>
          </cell>
          <cell r="AC44">
            <v>11000</v>
          </cell>
          <cell r="AD44">
            <v>24000</v>
          </cell>
          <cell r="AE44">
            <v>19000</v>
          </cell>
          <cell r="AF44">
            <v>40000</v>
          </cell>
          <cell r="AG44">
            <v>29622</v>
          </cell>
          <cell r="AH44">
            <v>52212</v>
          </cell>
          <cell r="AI44">
            <v>0</v>
          </cell>
          <cell r="AJ44">
            <v>0</v>
          </cell>
          <cell r="AK44">
            <v>0</v>
          </cell>
          <cell r="AL44">
            <v>0</v>
          </cell>
          <cell r="AM44">
            <v>0</v>
          </cell>
          <cell r="AN44">
            <v>0</v>
          </cell>
          <cell r="AO44">
            <v>0</v>
          </cell>
          <cell r="AP44">
            <v>0</v>
          </cell>
          <cell r="AQ44">
            <v>9896</v>
          </cell>
          <cell r="AR44">
            <v>9675</v>
          </cell>
          <cell r="AS44">
            <v>9795</v>
          </cell>
          <cell r="AT44">
            <v>9641</v>
          </cell>
          <cell r="AU44">
            <v>9511</v>
          </cell>
          <cell r="AV44">
            <v>9342</v>
          </cell>
          <cell r="AW44">
            <v>9217</v>
          </cell>
          <cell r="AX44">
            <v>9102</v>
          </cell>
          <cell r="AY44">
            <v>0</v>
          </cell>
          <cell r="AZ44">
            <v>0</v>
          </cell>
          <cell r="BA44">
            <v>0</v>
          </cell>
          <cell r="BB44">
            <v>0</v>
          </cell>
          <cell r="BC44">
            <v>0</v>
          </cell>
          <cell r="BD44">
            <v>0</v>
          </cell>
          <cell r="BE44">
            <v>0</v>
          </cell>
          <cell r="BF44">
            <v>0</v>
          </cell>
          <cell r="BH44">
            <v>1321856</v>
          </cell>
          <cell r="BI44">
            <v>1310240</v>
          </cell>
          <cell r="BJ44">
            <v>1304724</v>
          </cell>
          <cell r="BK44">
            <v>1315313</v>
          </cell>
          <cell r="BL44">
            <v>1312191</v>
          </cell>
          <cell r="BM44">
            <v>1317924</v>
          </cell>
          <cell r="BN44">
            <v>1291044</v>
          </cell>
          <cell r="BO44">
            <v>1287439</v>
          </cell>
        </row>
        <row r="45">
          <cell r="C45">
            <v>1554852</v>
          </cell>
          <cell r="D45">
            <v>1563725</v>
          </cell>
          <cell r="E45">
            <v>1531046</v>
          </cell>
          <cell r="F45">
            <v>1520256</v>
          </cell>
          <cell r="G45">
            <v>1513300</v>
          </cell>
          <cell r="H45">
            <v>1541728</v>
          </cell>
          <cell r="I45">
            <v>1528046</v>
          </cell>
          <cell r="J45">
            <v>1527911</v>
          </cell>
          <cell r="K45">
            <v>116350</v>
          </cell>
          <cell r="L45">
            <v>116350</v>
          </cell>
          <cell r="M45">
            <v>116350</v>
          </cell>
          <cell r="N45">
            <v>116350</v>
          </cell>
          <cell r="O45">
            <v>116350</v>
          </cell>
          <cell r="P45">
            <v>116350</v>
          </cell>
          <cell r="Q45">
            <v>116350</v>
          </cell>
          <cell r="R45">
            <v>116350</v>
          </cell>
          <cell r="S45">
            <v>1607131</v>
          </cell>
          <cell r="T45">
            <v>1604971</v>
          </cell>
          <cell r="U45">
            <v>1604929</v>
          </cell>
          <cell r="V45">
            <v>1604841</v>
          </cell>
          <cell r="W45">
            <v>1518848</v>
          </cell>
          <cell r="X45">
            <v>1518743</v>
          </cell>
          <cell r="Y45">
            <v>1618642</v>
          </cell>
          <cell r="Z45">
            <v>1618569</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79530</v>
          </cell>
          <cell r="AR45">
            <v>78209</v>
          </cell>
          <cell r="AS45">
            <v>76025</v>
          </cell>
          <cell r="AT45">
            <v>72535</v>
          </cell>
          <cell r="AU45">
            <v>70987</v>
          </cell>
          <cell r="AV45">
            <v>69532</v>
          </cell>
          <cell r="AW45">
            <v>68463</v>
          </cell>
          <cell r="AX45">
            <v>67480</v>
          </cell>
          <cell r="AY45">
            <v>0</v>
          </cell>
          <cell r="AZ45">
            <v>0</v>
          </cell>
          <cell r="BA45">
            <v>0</v>
          </cell>
          <cell r="BB45">
            <v>0</v>
          </cell>
          <cell r="BC45">
            <v>0</v>
          </cell>
          <cell r="BD45">
            <v>0</v>
          </cell>
          <cell r="BE45">
            <v>0</v>
          </cell>
          <cell r="BF45">
            <v>0</v>
          </cell>
          <cell r="BH45">
            <v>3161983</v>
          </cell>
          <cell r="BI45">
            <v>3168696</v>
          </cell>
          <cell r="BJ45">
            <v>3135975</v>
          </cell>
          <cell r="BK45">
            <v>3125097</v>
          </cell>
          <cell r="BL45">
            <v>3032148</v>
          </cell>
          <cell r="BM45">
            <v>3060471</v>
          </cell>
          <cell r="BN45">
            <v>3146688</v>
          </cell>
          <cell r="BO45">
            <v>3146480</v>
          </cell>
        </row>
        <row r="46">
          <cell r="C46">
            <v>1374468</v>
          </cell>
          <cell r="D46">
            <v>1481943</v>
          </cell>
          <cell r="E46">
            <v>1476203</v>
          </cell>
          <cell r="F46">
            <v>1508395</v>
          </cell>
          <cell r="G46">
            <v>1464780</v>
          </cell>
          <cell r="H46">
            <v>1447534</v>
          </cell>
          <cell r="I46">
            <v>1438371</v>
          </cell>
          <cell r="J46">
            <v>1440915</v>
          </cell>
          <cell r="K46">
            <v>10000</v>
          </cell>
          <cell r="L46">
            <v>10000</v>
          </cell>
          <cell r="M46">
            <v>10000</v>
          </cell>
          <cell r="N46">
            <v>10000</v>
          </cell>
          <cell r="O46">
            <v>10000</v>
          </cell>
          <cell r="P46">
            <v>10000</v>
          </cell>
          <cell r="Q46">
            <v>10000</v>
          </cell>
          <cell r="R46">
            <v>10000</v>
          </cell>
          <cell r="S46">
            <v>1427431</v>
          </cell>
          <cell r="T46">
            <v>1427371</v>
          </cell>
          <cell r="U46">
            <v>1427312</v>
          </cell>
          <cell r="V46">
            <v>1427252</v>
          </cell>
          <cell r="W46">
            <v>1445390</v>
          </cell>
          <cell r="X46">
            <v>1457306</v>
          </cell>
          <cell r="Y46">
            <v>1617242</v>
          </cell>
          <cell r="Z46">
            <v>1626341</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49332</v>
          </cell>
          <cell r="AR46">
            <v>49462</v>
          </cell>
          <cell r="AS46">
            <v>49327</v>
          </cell>
          <cell r="AT46">
            <v>48631</v>
          </cell>
          <cell r="AU46">
            <v>47888</v>
          </cell>
          <cell r="AV46">
            <v>45777</v>
          </cell>
          <cell r="AW46">
            <v>45436</v>
          </cell>
          <cell r="AX46">
            <v>45645</v>
          </cell>
          <cell r="AY46">
            <v>0</v>
          </cell>
          <cell r="AZ46">
            <v>0</v>
          </cell>
          <cell r="BA46">
            <v>0</v>
          </cell>
          <cell r="BB46">
            <v>0</v>
          </cell>
          <cell r="BC46">
            <v>0</v>
          </cell>
          <cell r="BD46">
            <v>0</v>
          </cell>
          <cell r="BE46">
            <v>0</v>
          </cell>
          <cell r="BF46">
            <v>0</v>
          </cell>
          <cell r="BH46">
            <v>2801899</v>
          </cell>
          <cell r="BI46">
            <v>2909314</v>
          </cell>
          <cell r="BJ46">
            <v>2903515</v>
          </cell>
          <cell r="BK46">
            <v>2935647</v>
          </cell>
          <cell r="BL46">
            <v>2910170</v>
          </cell>
          <cell r="BM46">
            <v>2904840</v>
          </cell>
          <cell r="BN46">
            <v>3055613</v>
          </cell>
          <cell r="BO46">
            <v>3067256</v>
          </cell>
        </row>
        <row r="47">
          <cell r="C47">
            <v>2888881</v>
          </cell>
          <cell r="D47">
            <v>2218697</v>
          </cell>
          <cell r="E47">
            <v>2163765</v>
          </cell>
          <cell r="F47">
            <v>2136871</v>
          </cell>
          <cell r="G47">
            <v>2100342</v>
          </cell>
          <cell r="H47">
            <v>2007316</v>
          </cell>
          <cell r="I47">
            <v>1947349</v>
          </cell>
          <cell r="J47">
            <v>1911809</v>
          </cell>
          <cell r="K47">
            <v>100000</v>
          </cell>
          <cell r="L47">
            <v>100000</v>
          </cell>
          <cell r="M47">
            <v>100000</v>
          </cell>
          <cell r="N47">
            <v>100000</v>
          </cell>
          <cell r="O47">
            <v>100000</v>
          </cell>
          <cell r="P47">
            <v>100000</v>
          </cell>
          <cell r="Q47">
            <v>100000</v>
          </cell>
          <cell r="R47">
            <v>100000</v>
          </cell>
          <cell r="S47">
            <v>1923457</v>
          </cell>
          <cell r="T47">
            <v>2028679</v>
          </cell>
          <cell r="U47">
            <v>1928638</v>
          </cell>
          <cell r="V47">
            <v>1759235</v>
          </cell>
          <cell r="W47">
            <v>1957059</v>
          </cell>
          <cell r="X47">
            <v>1707288</v>
          </cell>
          <cell r="Y47">
            <v>1912258</v>
          </cell>
          <cell r="Z47">
            <v>1779552</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85495</v>
          </cell>
          <cell r="AR47">
            <v>85989</v>
          </cell>
          <cell r="AS47">
            <v>85185</v>
          </cell>
          <cell r="AT47">
            <v>84437</v>
          </cell>
          <cell r="AU47">
            <v>83656</v>
          </cell>
          <cell r="AV47">
            <v>83874</v>
          </cell>
          <cell r="AW47">
            <v>83516</v>
          </cell>
          <cell r="AX47">
            <v>82864</v>
          </cell>
          <cell r="AY47">
            <v>0</v>
          </cell>
          <cell r="AZ47">
            <v>0</v>
          </cell>
          <cell r="BA47">
            <v>0</v>
          </cell>
          <cell r="BB47">
            <v>0</v>
          </cell>
          <cell r="BC47">
            <v>0</v>
          </cell>
          <cell r="BD47">
            <v>0</v>
          </cell>
          <cell r="BE47">
            <v>0</v>
          </cell>
          <cell r="BF47">
            <v>0</v>
          </cell>
          <cell r="BH47">
            <v>4812338</v>
          </cell>
          <cell r="BI47">
            <v>4247376</v>
          </cell>
          <cell r="BJ47">
            <v>4092403</v>
          </cell>
          <cell r="BK47">
            <v>3896106</v>
          </cell>
          <cell r="BL47">
            <v>4057401</v>
          </cell>
          <cell r="BM47">
            <v>3714604</v>
          </cell>
          <cell r="BN47">
            <v>3859607</v>
          </cell>
          <cell r="BO47">
            <v>3691361</v>
          </cell>
        </row>
        <row r="48">
          <cell r="C48">
            <v>845395</v>
          </cell>
          <cell r="D48">
            <v>813034</v>
          </cell>
          <cell r="E48">
            <v>789868</v>
          </cell>
          <cell r="F48">
            <v>776605</v>
          </cell>
          <cell r="G48">
            <v>773101</v>
          </cell>
          <cell r="H48">
            <v>762994</v>
          </cell>
          <cell r="I48">
            <v>739832</v>
          </cell>
          <cell r="J48">
            <v>739146</v>
          </cell>
          <cell r="K48">
            <v>50381</v>
          </cell>
          <cell r="L48">
            <v>50381</v>
          </cell>
          <cell r="M48">
            <v>50381</v>
          </cell>
          <cell r="N48">
            <v>50381</v>
          </cell>
          <cell r="O48">
            <v>50381</v>
          </cell>
          <cell r="P48">
            <v>50381</v>
          </cell>
          <cell r="Q48">
            <v>50381</v>
          </cell>
          <cell r="R48">
            <v>50381</v>
          </cell>
          <cell r="S48">
            <v>925056</v>
          </cell>
          <cell r="T48">
            <v>925041</v>
          </cell>
          <cell r="U48">
            <v>830028</v>
          </cell>
          <cell r="V48">
            <v>830009</v>
          </cell>
          <cell r="W48">
            <v>825359</v>
          </cell>
          <cell r="X48">
            <v>825341</v>
          </cell>
          <cell r="Y48">
            <v>845322</v>
          </cell>
          <cell r="Z48">
            <v>845304</v>
          </cell>
          <cell r="AA48">
            <v>28</v>
          </cell>
          <cell r="AB48">
            <v>28</v>
          </cell>
          <cell r="AC48">
            <v>28</v>
          </cell>
          <cell r="AD48">
            <v>28</v>
          </cell>
          <cell r="AE48">
            <v>28</v>
          </cell>
          <cell r="AF48">
            <v>31</v>
          </cell>
          <cell r="AG48">
            <v>31</v>
          </cell>
          <cell r="AH48">
            <v>31</v>
          </cell>
          <cell r="AI48">
            <v>0</v>
          </cell>
          <cell r="AJ48">
            <v>0</v>
          </cell>
          <cell r="AK48">
            <v>0</v>
          </cell>
          <cell r="AL48">
            <v>0</v>
          </cell>
          <cell r="AM48">
            <v>0</v>
          </cell>
          <cell r="AN48">
            <v>0</v>
          </cell>
          <cell r="AO48">
            <v>0</v>
          </cell>
          <cell r="AP48">
            <v>0</v>
          </cell>
          <cell r="AQ48">
            <v>67763</v>
          </cell>
          <cell r="AR48">
            <v>67031</v>
          </cell>
          <cell r="AS48">
            <v>66423</v>
          </cell>
          <cell r="AT48">
            <v>65873</v>
          </cell>
          <cell r="AU48">
            <v>64911</v>
          </cell>
          <cell r="AV48">
            <v>64495</v>
          </cell>
          <cell r="AW48">
            <v>63342</v>
          </cell>
          <cell r="AX48">
            <v>62316</v>
          </cell>
          <cell r="AY48">
            <v>0</v>
          </cell>
          <cell r="AZ48">
            <v>0</v>
          </cell>
          <cell r="BA48">
            <v>0</v>
          </cell>
          <cell r="BB48">
            <v>0</v>
          </cell>
          <cell r="BC48">
            <v>0</v>
          </cell>
          <cell r="BD48">
            <v>0</v>
          </cell>
          <cell r="BE48">
            <v>0</v>
          </cell>
          <cell r="BF48">
            <v>0</v>
          </cell>
          <cell r="BH48">
            <v>1770479</v>
          </cell>
          <cell r="BI48">
            <v>1738103</v>
          </cell>
          <cell r="BJ48">
            <v>1619924</v>
          </cell>
          <cell r="BK48">
            <v>1606642</v>
          </cell>
          <cell r="BL48">
            <v>1598488</v>
          </cell>
          <cell r="BM48">
            <v>1588366</v>
          </cell>
          <cell r="BN48">
            <v>1585185</v>
          </cell>
          <cell r="BO48">
            <v>1584481</v>
          </cell>
        </row>
        <row r="49">
          <cell r="C49">
            <v>218993</v>
          </cell>
          <cell r="D49">
            <v>215417</v>
          </cell>
          <cell r="E49">
            <v>214447</v>
          </cell>
          <cell r="F49">
            <v>211405</v>
          </cell>
          <cell r="G49">
            <v>228950</v>
          </cell>
          <cell r="H49">
            <v>230012</v>
          </cell>
          <cell r="I49">
            <v>224786</v>
          </cell>
          <cell r="J49">
            <v>228366</v>
          </cell>
          <cell r="K49">
            <v>19780</v>
          </cell>
          <cell r="L49">
            <v>19780</v>
          </cell>
          <cell r="M49">
            <v>19780</v>
          </cell>
          <cell r="N49">
            <v>19780</v>
          </cell>
          <cell r="O49">
            <v>19780</v>
          </cell>
          <cell r="P49">
            <v>19780</v>
          </cell>
          <cell r="Q49">
            <v>19780</v>
          </cell>
          <cell r="R49">
            <v>19780</v>
          </cell>
          <cell r="S49">
            <v>166599</v>
          </cell>
          <cell r="T49">
            <v>166714</v>
          </cell>
          <cell r="U49">
            <v>167218</v>
          </cell>
          <cell r="V49">
            <v>167215</v>
          </cell>
          <cell r="W49">
            <v>167266</v>
          </cell>
          <cell r="X49">
            <v>197264</v>
          </cell>
          <cell r="Y49">
            <v>198025</v>
          </cell>
          <cell r="Z49">
            <v>198023</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74230</v>
          </cell>
          <cell r="AP49">
            <v>74230</v>
          </cell>
          <cell r="AQ49">
            <v>21591</v>
          </cell>
          <cell r="AR49">
            <v>21524</v>
          </cell>
          <cell r="AS49">
            <v>21358</v>
          </cell>
          <cell r="AT49">
            <v>21206</v>
          </cell>
          <cell r="AU49">
            <v>20970</v>
          </cell>
          <cell r="AV49">
            <v>20740</v>
          </cell>
          <cell r="AW49">
            <v>20639</v>
          </cell>
          <cell r="AX49">
            <v>20505</v>
          </cell>
          <cell r="AY49">
            <v>0</v>
          </cell>
          <cell r="AZ49">
            <v>0</v>
          </cell>
          <cell r="BA49">
            <v>0</v>
          </cell>
          <cell r="BB49">
            <v>0</v>
          </cell>
          <cell r="BC49">
            <v>0</v>
          </cell>
          <cell r="BD49">
            <v>0</v>
          </cell>
          <cell r="BE49">
            <v>0</v>
          </cell>
          <cell r="BF49">
            <v>0</v>
          </cell>
          <cell r="BH49">
            <v>385592</v>
          </cell>
          <cell r="BI49">
            <v>382131</v>
          </cell>
          <cell r="BJ49">
            <v>381665</v>
          </cell>
          <cell r="BK49">
            <v>378620</v>
          </cell>
          <cell r="BL49">
            <v>396216</v>
          </cell>
          <cell r="BM49">
            <v>427276</v>
          </cell>
          <cell r="BN49">
            <v>497041</v>
          </cell>
          <cell r="BO49">
            <v>500619</v>
          </cell>
        </row>
        <row r="50">
          <cell r="C50">
            <v>898209</v>
          </cell>
          <cell r="D50">
            <v>863114</v>
          </cell>
          <cell r="E50">
            <v>840017</v>
          </cell>
          <cell r="F50">
            <v>824291</v>
          </cell>
          <cell r="G50">
            <v>823973</v>
          </cell>
          <cell r="H50">
            <v>815342</v>
          </cell>
          <cell r="I50">
            <v>843009</v>
          </cell>
          <cell r="J50">
            <v>844490</v>
          </cell>
          <cell r="K50">
            <v>0</v>
          </cell>
          <cell r="L50">
            <v>0</v>
          </cell>
          <cell r="M50">
            <v>0</v>
          </cell>
          <cell r="N50">
            <v>0</v>
          </cell>
          <cell r="O50">
            <v>0</v>
          </cell>
          <cell r="P50">
            <v>0</v>
          </cell>
          <cell r="Q50">
            <v>0</v>
          </cell>
          <cell r="R50">
            <v>0</v>
          </cell>
          <cell r="S50">
            <v>927350</v>
          </cell>
          <cell r="T50">
            <v>852368</v>
          </cell>
          <cell r="U50">
            <v>852266</v>
          </cell>
          <cell r="V50">
            <v>852164</v>
          </cell>
          <cell r="W50">
            <v>852062</v>
          </cell>
          <cell r="X50">
            <v>851960</v>
          </cell>
          <cell r="Y50">
            <v>810613</v>
          </cell>
          <cell r="Z50">
            <v>819676</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37750</v>
          </cell>
          <cell r="AR50">
            <v>37486</v>
          </cell>
          <cell r="AS50">
            <v>37958</v>
          </cell>
          <cell r="AT50">
            <v>38376</v>
          </cell>
          <cell r="AU50">
            <v>37883</v>
          </cell>
          <cell r="AV50">
            <v>39240</v>
          </cell>
          <cell r="AW50">
            <v>39845</v>
          </cell>
          <cell r="AX50">
            <v>39665</v>
          </cell>
          <cell r="AY50">
            <v>0</v>
          </cell>
          <cell r="AZ50">
            <v>0</v>
          </cell>
          <cell r="BA50">
            <v>0</v>
          </cell>
          <cell r="BB50">
            <v>0</v>
          </cell>
          <cell r="BC50">
            <v>0</v>
          </cell>
          <cell r="BD50">
            <v>0</v>
          </cell>
          <cell r="BE50">
            <v>0</v>
          </cell>
          <cell r="BF50">
            <v>0</v>
          </cell>
          <cell r="BH50">
            <v>1825559</v>
          </cell>
          <cell r="BI50">
            <v>1715482</v>
          </cell>
          <cell r="BJ50">
            <v>1692283</v>
          </cell>
          <cell r="BK50">
            <v>1676455</v>
          </cell>
          <cell r="BL50">
            <v>1676035</v>
          </cell>
          <cell r="BM50">
            <v>1667302</v>
          </cell>
          <cell r="BN50">
            <v>1653622</v>
          </cell>
          <cell r="BO50">
            <v>1664166</v>
          </cell>
        </row>
        <row r="51">
          <cell r="C51">
            <v>51022</v>
          </cell>
          <cell r="D51">
            <v>53317</v>
          </cell>
          <cell r="E51">
            <v>55359</v>
          </cell>
          <cell r="F51">
            <v>53720</v>
          </cell>
          <cell r="G51">
            <v>54204</v>
          </cell>
          <cell r="H51">
            <v>55490</v>
          </cell>
          <cell r="I51">
            <v>56802</v>
          </cell>
          <cell r="J51">
            <v>55680</v>
          </cell>
          <cell r="K51">
            <v>1756</v>
          </cell>
          <cell r="L51">
            <v>1756</v>
          </cell>
          <cell r="M51">
            <v>1764</v>
          </cell>
          <cell r="N51">
            <v>1764</v>
          </cell>
          <cell r="O51">
            <v>1764</v>
          </cell>
          <cell r="P51">
            <v>1764</v>
          </cell>
          <cell r="Q51">
            <v>1789</v>
          </cell>
          <cell r="R51">
            <v>1789</v>
          </cell>
          <cell r="S51">
            <v>70000</v>
          </cell>
          <cell r="T51">
            <v>70000</v>
          </cell>
          <cell r="U51">
            <v>70000</v>
          </cell>
          <cell r="V51">
            <v>70000</v>
          </cell>
          <cell r="W51">
            <v>70000</v>
          </cell>
          <cell r="X51">
            <v>70000</v>
          </cell>
          <cell r="Y51">
            <v>70000</v>
          </cell>
          <cell r="Z51">
            <v>70000</v>
          </cell>
          <cell r="AA51">
            <v>0</v>
          </cell>
          <cell r="AB51">
            <v>0</v>
          </cell>
          <cell r="AC51">
            <v>0</v>
          </cell>
          <cell r="AD51">
            <v>0</v>
          </cell>
          <cell r="AE51">
            <v>0</v>
          </cell>
          <cell r="AF51">
            <v>0</v>
          </cell>
          <cell r="AG51">
            <v>0</v>
          </cell>
          <cell r="AH51">
            <v>0</v>
          </cell>
          <cell r="AI51">
            <v>21884</v>
          </cell>
          <cell r="AJ51">
            <v>21483</v>
          </cell>
          <cell r="AK51">
            <v>18380</v>
          </cell>
          <cell r="AL51">
            <v>31958</v>
          </cell>
          <cell r="AM51">
            <v>28749</v>
          </cell>
          <cell r="AN51">
            <v>26730</v>
          </cell>
          <cell r="AO51">
            <v>27959</v>
          </cell>
          <cell r="AP51">
            <v>30691</v>
          </cell>
          <cell r="AQ51">
            <v>345</v>
          </cell>
          <cell r="AR51">
            <v>346</v>
          </cell>
          <cell r="AS51">
            <v>358</v>
          </cell>
          <cell r="AT51">
            <v>352</v>
          </cell>
          <cell r="AU51">
            <v>353</v>
          </cell>
          <cell r="AV51">
            <v>375</v>
          </cell>
          <cell r="AW51">
            <v>386</v>
          </cell>
          <cell r="AX51">
            <v>399</v>
          </cell>
          <cell r="AY51">
            <v>0</v>
          </cell>
          <cell r="AZ51">
            <v>0</v>
          </cell>
          <cell r="BA51">
            <v>0</v>
          </cell>
          <cell r="BB51">
            <v>0</v>
          </cell>
          <cell r="BC51">
            <v>0</v>
          </cell>
          <cell r="BD51">
            <v>0</v>
          </cell>
          <cell r="BE51">
            <v>0</v>
          </cell>
          <cell r="BF51">
            <v>0</v>
          </cell>
          <cell r="BH51">
            <v>142906</v>
          </cell>
          <cell r="BI51">
            <v>144800</v>
          </cell>
          <cell r="BJ51">
            <v>143739</v>
          </cell>
          <cell r="BK51">
            <v>155678</v>
          </cell>
          <cell r="BL51">
            <v>152953</v>
          </cell>
          <cell r="BM51">
            <v>152220</v>
          </cell>
          <cell r="BN51">
            <v>154761</v>
          </cell>
          <cell r="BO51">
            <v>156371</v>
          </cell>
        </row>
        <row r="52">
          <cell r="C52">
            <v>10534066</v>
          </cell>
          <cell r="D52">
            <v>9877440</v>
          </cell>
          <cell r="E52">
            <v>9576319</v>
          </cell>
          <cell r="F52">
            <v>9790435</v>
          </cell>
          <cell r="G52">
            <v>9609689</v>
          </cell>
          <cell r="H52">
            <v>9026610</v>
          </cell>
          <cell r="I52">
            <v>8626892</v>
          </cell>
          <cell r="J52">
            <v>8435841</v>
          </cell>
          <cell r="K52">
            <v>0</v>
          </cell>
          <cell r="L52">
            <v>0</v>
          </cell>
          <cell r="M52">
            <v>0</v>
          </cell>
          <cell r="N52">
            <v>0</v>
          </cell>
          <cell r="O52">
            <v>0</v>
          </cell>
          <cell r="P52">
            <v>0</v>
          </cell>
          <cell r="Q52">
            <v>0</v>
          </cell>
          <cell r="R52">
            <v>0</v>
          </cell>
          <cell r="S52">
            <v>6876205</v>
          </cell>
          <cell r="T52">
            <v>6897053</v>
          </cell>
          <cell r="U52">
            <v>6646870</v>
          </cell>
          <cell r="V52">
            <v>6670206</v>
          </cell>
          <cell r="W52">
            <v>6270795</v>
          </cell>
          <cell r="X52">
            <v>6290048</v>
          </cell>
          <cell r="Y52">
            <v>6289648</v>
          </cell>
          <cell r="Z52">
            <v>5812052</v>
          </cell>
          <cell r="AA52">
            <v>407700</v>
          </cell>
          <cell r="AB52">
            <v>654900</v>
          </cell>
          <cell r="AC52">
            <v>431300</v>
          </cell>
          <cell r="AD52">
            <v>101000</v>
          </cell>
          <cell r="AE52">
            <v>240000</v>
          </cell>
          <cell r="AF52">
            <v>888789</v>
          </cell>
          <cell r="AG52">
            <v>1244087</v>
          </cell>
          <cell r="AH52">
            <v>393000</v>
          </cell>
          <cell r="AI52">
            <v>0</v>
          </cell>
          <cell r="AJ52">
            <v>0</v>
          </cell>
          <cell r="AK52">
            <v>0</v>
          </cell>
          <cell r="AL52">
            <v>0</v>
          </cell>
          <cell r="AM52">
            <v>0</v>
          </cell>
          <cell r="AN52">
            <v>0</v>
          </cell>
          <cell r="AO52">
            <v>36111</v>
          </cell>
          <cell r="AP52">
            <v>34885</v>
          </cell>
          <cell r="AQ52">
            <v>632688</v>
          </cell>
          <cell r="AR52">
            <v>631721</v>
          </cell>
          <cell r="AS52">
            <v>630824</v>
          </cell>
          <cell r="AT52">
            <v>628506</v>
          </cell>
          <cell r="AU52">
            <v>625447</v>
          </cell>
          <cell r="AV52">
            <v>629390</v>
          </cell>
          <cell r="AW52">
            <v>620907</v>
          </cell>
          <cell r="AX52">
            <v>611560</v>
          </cell>
          <cell r="AY52">
            <v>0</v>
          </cell>
          <cell r="AZ52">
            <v>0</v>
          </cell>
          <cell r="BA52">
            <v>0</v>
          </cell>
          <cell r="BB52">
            <v>0</v>
          </cell>
          <cell r="BC52">
            <v>0</v>
          </cell>
          <cell r="BD52">
            <v>0</v>
          </cell>
          <cell r="BE52">
            <v>0</v>
          </cell>
          <cell r="BF52">
            <v>0</v>
          </cell>
          <cell r="BH52">
            <v>17817971</v>
          </cell>
          <cell r="BI52">
            <v>17429393</v>
          </cell>
          <cell r="BJ52">
            <v>16654489</v>
          </cell>
          <cell r="BK52">
            <v>16561641</v>
          </cell>
          <cell r="BL52">
            <v>16120484</v>
          </cell>
          <cell r="BM52">
            <v>16205447</v>
          </cell>
          <cell r="BN52">
            <v>16196738</v>
          </cell>
          <cell r="BO52">
            <v>14675778</v>
          </cell>
        </row>
        <row r="53">
          <cell r="C53">
            <v>4847064</v>
          </cell>
          <cell r="D53">
            <v>4736095</v>
          </cell>
          <cell r="E53">
            <v>4701658</v>
          </cell>
          <cell r="F53">
            <v>4923726</v>
          </cell>
          <cell r="G53">
            <v>4859399</v>
          </cell>
          <cell r="H53">
            <v>4685701</v>
          </cell>
          <cell r="I53">
            <v>4623972</v>
          </cell>
          <cell r="J53">
            <v>4524026</v>
          </cell>
          <cell r="K53">
            <v>33497</v>
          </cell>
          <cell r="L53">
            <v>33497</v>
          </cell>
          <cell r="M53">
            <v>33497</v>
          </cell>
          <cell r="N53">
            <v>33497</v>
          </cell>
          <cell r="O53">
            <v>33497</v>
          </cell>
          <cell r="P53">
            <v>33497</v>
          </cell>
          <cell r="Q53">
            <v>33497</v>
          </cell>
          <cell r="R53">
            <v>33497</v>
          </cell>
          <cell r="S53">
            <v>4481755</v>
          </cell>
          <cell r="T53">
            <v>4482180</v>
          </cell>
          <cell r="U53">
            <v>4481993</v>
          </cell>
          <cell r="V53">
            <v>4481805</v>
          </cell>
          <cell r="W53">
            <v>4481617</v>
          </cell>
          <cell r="X53">
            <v>4481430</v>
          </cell>
          <cell r="Y53">
            <v>4781232</v>
          </cell>
          <cell r="Z53">
            <v>4182644</v>
          </cell>
          <cell r="AA53">
            <v>0</v>
          </cell>
          <cell r="AB53">
            <v>66800</v>
          </cell>
          <cell r="AC53">
            <v>0</v>
          </cell>
          <cell r="AD53">
            <v>0</v>
          </cell>
          <cell r="AE53">
            <v>0</v>
          </cell>
          <cell r="AF53">
            <v>0</v>
          </cell>
          <cell r="AG53">
            <v>0</v>
          </cell>
          <cell r="AH53">
            <v>0</v>
          </cell>
          <cell r="AI53">
            <v>68590</v>
          </cell>
          <cell r="AJ53">
            <v>5862</v>
          </cell>
          <cell r="AK53">
            <v>7418</v>
          </cell>
          <cell r="AL53">
            <v>8565</v>
          </cell>
          <cell r="AM53">
            <v>7906</v>
          </cell>
          <cell r="AN53">
            <v>7431</v>
          </cell>
          <cell r="AO53">
            <v>6760</v>
          </cell>
          <cell r="AP53">
            <v>221025</v>
          </cell>
          <cell r="AQ53">
            <v>224549</v>
          </cell>
          <cell r="AR53">
            <v>223490</v>
          </cell>
          <cell r="AS53">
            <v>222597</v>
          </cell>
          <cell r="AT53">
            <v>218472</v>
          </cell>
          <cell r="AU53">
            <v>216529</v>
          </cell>
          <cell r="AV53">
            <v>214833</v>
          </cell>
          <cell r="AW53">
            <v>210548</v>
          </cell>
          <cell r="AX53">
            <v>204610</v>
          </cell>
          <cell r="AY53">
            <v>0</v>
          </cell>
          <cell r="AZ53">
            <v>0</v>
          </cell>
          <cell r="BA53">
            <v>0</v>
          </cell>
          <cell r="BB53">
            <v>0</v>
          </cell>
          <cell r="BC53">
            <v>0</v>
          </cell>
          <cell r="BD53">
            <v>0</v>
          </cell>
          <cell r="BE53">
            <v>0</v>
          </cell>
          <cell r="BF53">
            <v>0</v>
          </cell>
          <cell r="BH53">
            <v>9397409</v>
          </cell>
          <cell r="BI53">
            <v>9290937</v>
          </cell>
          <cell r="BJ53">
            <v>9191069</v>
          </cell>
          <cell r="BK53">
            <v>9414096</v>
          </cell>
          <cell r="BL53">
            <v>9348922</v>
          </cell>
          <cell r="BM53">
            <v>9174562</v>
          </cell>
          <cell r="BN53">
            <v>9411964</v>
          </cell>
          <cell r="BO53">
            <v>8927695</v>
          </cell>
        </row>
        <row r="54">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H54">
            <v>0</v>
          </cell>
          <cell r="BI54">
            <v>0</v>
          </cell>
          <cell r="BJ54">
            <v>0</v>
          </cell>
          <cell r="BK54">
            <v>0</v>
          </cell>
          <cell r="BL54">
            <v>0</v>
          </cell>
          <cell r="BM54">
            <v>0</v>
          </cell>
          <cell r="BN54">
            <v>0</v>
          </cell>
          <cell r="BO54">
            <v>0</v>
          </cell>
        </row>
        <row r="55">
          <cell r="C55">
            <v>9584813</v>
          </cell>
          <cell r="D55">
            <v>9269495</v>
          </cell>
          <cell r="E55">
            <v>9166363</v>
          </cell>
          <cell r="F55">
            <v>9007106</v>
          </cell>
          <cell r="G55">
            <v>9147497</v>
          </cell>
          <cell r="H55">
            <v>8816140</v>
          </cell>
          <cell r="I55">
            <v>8669081</v>
          </cell>
          <cell r="J55">
            <v>8168882</v>
          </cell>
          <cell r="K55">
            <v>270000</v>
          </cell>
          <cell r="L55">
            <v>270000</v>
          </cell>
          <cell r="M55">
            <v>270000</v>
          </cell>
          <cell r="N55">
            <v>270000</v>
          </cell>
          <cell r="O55">
            <v>270000</v>
          </cell>
          <cell r="P55">
            <v>270000</v>
          </cell>
          <cell r="Q55">
            <v>270000</v>
          </cell>
          <cell r="R55">
            <v>270000</v>
          </cell>
          <cell r="S55">
            <v>8620445</v>
          </cell>
          <cell r="T55">
            <v>8739683</v>
          </cell>
          <cell r="U55">
            <v>8489937</v>
          </cell>
          <cell r="V55">
            <v>8287199</v>
          </cell>
          <cell r="W55">
            <v>8800195</v>
          </cell>
          <cell r="X55">
            <v>8314776</v>
          </cell>
          <cell r="Y55">
            <v>8071992</v>
          </cell>
          <cell r="Z55">
            <v>7973416</v>
          </cell>
          <cell r="AA55">
            <v>1176</v>
          </cell>
          <cell r="AB55">
            <v>1823</v>
          </cell>
          <cell r="AC55">
            <v>1288</v>
          </cell>
          <cell r="AD55">
            <v>910</v>
          </cell>
          <cell r="AE55">
            <v>3410</v>
          </cell>
          <cell r="AF55">
            <v>3050</v>
          </cell>
          <cell r="AG55">
            <v>0</v>
          </cell>
          <cell r="AH55">
            <v>0</v>
          </cell>
          <cell r="AI55">
            <v>0</v>
          </cell>
          <cell r="AJ55">
            <v>320945</v>
          </cell>
          <cell r="AK55">
            <v>512868</v>
          </cell>
          <cell r="AL55">
            <v>574837</v>
          </cell>
          <cell r="AM55">
            <v>0</v>
          </cell>
          <cell r="AN55">
            <v>312875</v>
          </cell>
          <cell r="AO55">
            <v>243079</v>
          </cell>
          <cell r="AP55">
            <v>323958</v>
          </cell>
          <cell r="AQ55">
            <v>205833</v>
          </cell>
          <cell r="AR55">
            <v>202184</v>
          </cell>
          <cell r="AS55">
            <v>198251</v>
          </cell>
          <cell r="AT55">
            <v>197794</v>
          </cell>
          <cell r="AU55">
            <v>200189</v>
          </cell>
          <cell r="AV55">
            <v>202327</v>
          </cell>
          <cell r="AW55">
            <v>204640</v>
          </cell>
          <cell r="AX55">
            <v>200103</v>
          </cell>
          <cell r="AY55">
            <v>0</v>
          </cell>
          <cell r="AZ55">
            <v>0</v>
          </cell>
          <cell r="BA55">
            <v>0</v>
          </cell>
          <cell r="BB55">
            <v>0</v>
          </cell>
          <cell r="BC55">
            <v>0</v>
          </cell>
          <cell r="BD55">
            <v>0</v>
          </cell>
          <cell r="BE55">
            <v>0</v>
          </cell>
          <cell r="BF55">
            <v>0</v>
          </cell>
          <cell r="BH55">
            <v>18206434</v>
          </cell>
          <cell r="BI55">
            <v>18331946</v>
          </cell>
          <cell r="BJ55">
            <v>18170456</v>
          </cell>
          <cell r="BK55">
            <v>17870052</v>
          </cell>
          <cell r="BL55">
            <v>17951102</v>
          </cell>
          <cell r="BM55">
            <v>17446841</v>
          </cell>
          <cell r="BN55">
            <v>16984152</v>
          </cell>
          <cell r="BO55">
            <v>16466256</v>
          </cell>
        </row>
        <row r="56">
          <cell r="C56">
            <v>373434</v>
          </cell>
          <cell r="D56">
            <v>364958</v>
          </cell>
          <cell r="E56">
            <v>359304</v>
          </cell>
          <cell r="F56">
            <v>357773</v>
          </cell>
          <cell r="G56">
            <v>353612</v>
          </cell>
          <cell r="H56">
            <v>354223</v>
          </cell>
          <cell r="I56">
            <v>330297</v>
          </cell>
          <cell r="J56">
            <v>331397</v>
          </cell>
          <cell r="K56">
            <v>0</v>
          </cell>
          <cell r="L56">
            <v>208491</v>
          </cell>
          <cell r="M56">
            <v>208491</v>
          </cell>
          <cell r="N56">
            <v>0</v>
          </cell>
          <cell r="O56">
            <v>0</v>
          </cell>
          <cell r="P56">
            <v>0</v>
          </cell>
          <cell r="Q56">
            <v>0</v>
          </cell>
          <cell r="R56">
            <v>0</v>
          </cell>
          <cell r="S56">
            <v>340684</v>
          </cell>
          <cell r="T56">
            <v>340697</v>
          </cell>
          <cell r="U56">
            <v>300055</v>
          </cell>
          <cell r="V56">
            <v>300116</v>
          </cell>
          <cell r="W56">
            <v>300175</v>
          </cell>
          <cell r="X56">
            <v>300193</v>
          </cell>
          <cell r="Y56">
            <v>300408</v>
          </cell>
          <cell r="Z56">
            <v>300464</v>
          </cell>
          <cell r="AA56">
            <v>0</v>
          </cell>
          <cell r="AB56">
            <v>0</v>
          </cell>
          <cell r="AC56">
            <v>0</v>
          </cell>
          <cell r="AD56">
            <v>0</v>
          </cell>
          <cell r="AE56">
            <v>0</v>
          </cell>
          <cell r="AF56">
            <v>0</v>
          </cell>
          <cell r="AG56">
            <v>0</v>
          </cell>
          <cell r="AH56">
            <v>0</v>
          </cell>
          <cell r="AI56">
            <v>9000</v>
          </cell>
          <cell r="AJ56">
            <v>4800</v>
          </cell>
          <cell r="AK56">
            <v>32000</v>
          </cell>
          <cell r="AL56">
            <v>33000</v>
          </cell>
          <cell r="AM56">
            <v>30000</v>
          </cell>
          <cell r="AN56">
            <v>13000</v>
          </cell>
          <cell r="AO56">
            <v>12300</v>
          </cell>
          <cell r="AP56">
            <v>7600</v>
          </cell>
          <cell r="AQ56">
            <v>1418</v>
          </cell>
          <cell r="AR56">
            <v>1451</v>
          </cell>
          <cell r="AS56">
            <v>1472</v>
          </cell>
          <cell r="AT56">
            <v>1579</v>
          </cell>
          <cell r="AU56">
            <v>1495</v>
          </cell>
          <cell r="AV56">
            <v>1478</v>
          </cell>
          <cell r="AW56">
            <v>1511</v>
          </cell>
          <cell r="AX56">
            <v>1529</v>
          </cell>
          <cell r="AY56">
            <v>0</v>
          </cell>
          <cell r="AZ56">
            <v>0</v>
          </cell>
          <cell r="BA56">
            <v>0</v>
          </cell>
          <cell r="BB56">
            <v>0</v>
          </cell>
          <cell r="BC56">
            <v>0</v>
          </cell>
          <cell r="BD56">
            <v>0</v>
          </cell>
          <cell r="BE56">
            <v>0</v>
          </cell>
          <cell r="BF56">
            <v>0</v>
          </cell>
          <cell r="BH56">
            <v>723118</v>
          </cell>
          <cell r="BI56">
            <v>710455</v>
          </cell>
          <cell r="BJ56">
            <v>691359</v>
          </cell>
          <cell r="BK56">
            <v>690889</v>
          </cell>
          <cell r="BL56">
            <v>683787</v>
          </cell>
          <cell r="BM56">
            <v>667416</v>
          </cell>
          <cell r="BN56">
            <v>643005</v>
          </cell>
          <cell r="BO56">
            <v>639461</v>
          </cell>
        </row>
        <row r="57">
          <cell r="C57">
            <v>73853</v>
          </cell>
          <cell r="D57">
            <v>72861</v>
          </cell>
          <cell r="E57">
            <v>72394</v>
          </cell>
          <cell r="F57">
            <v>72326</v>
          </cell>
          <cell r="G57">
            <v>72552</v>
          </cell>
          <cell r="H57">
            <v>70398</v>
          </cell>
          <cell r="I57">
            <v>70048</v>
          </cell>
          <cell r="J57">
            <v>70680</v>
          </cell>
          <cell r="K57">
            <v>0</v>
          </cell>
          <cell r="L57">
            <v>0</v>
          </cell>
          <cell r="M57">
            <v>0</v>
          </cell>
          <cell r="N57">
            <v>0</v>
          </cell>
          <cell r="O57">
            <v>0</v>
          </cell>
          <cell r="P57">
            <v>0</v>
          </cell>
          <cell r="Q57">
            <v>0</v>
          </cell>
          <cell r="R57">
            <v>0</v>
          </cell>
          <cell r="S57">
            <v>15000</v>
          </cell>
          <cell r="T57">
            <v>15000</v>
          </cell>
          <cell r="U57">
            <v>15000</v>
          </cell>
          <cell r="V57">
            <v>15000</v>
          </cell>
          <cell r="W57">
            <v>15000</v>
          </cell>
          <cell r="X57">
            <v>15000</v>
          </cell>
          <cell r="Y57">
            <v>15000</v>
          </cell>
          <cell r="Z57">
            <v>15000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1575</v>
          </cell>
          <cell r="AP57">
            <v>1275</v>
          </cell>
          <cell r="AQ57">
            <v>649</v>
          </cell>
          <cell r="AR57">
            <v>645</v>
          </cell>
          <cell r="AS57">
            <v>545</v>
          </cell>
          <cell r="AT57">
            <v>326</v>
          </cell>
          <cell r="AU57">
            <v>336</v>
          </cell>
          <cell r="AV57">
            <v>371</v>
          </cell>
          <cell r="AW57">
            <v>349</v>
          </cell>
          <cell r="AX57">
            <v>348</v>
          </cell>
          <cell r="AY57">
            <v>0</v>
          </cell>
          <cell r="AZ57">
            <v>0</v>
          </cell>
          <cell r="BA57">
            <v>0</v>
          </cell>
          <cell r="BB57">
            <v>0</v>
          </cell>
          <cell r="BC57">
            <v>0</v>
          </cell>
          <cell r="BD57">
            <v>0</v>
          </cell>
          <cell r="BE57">
            <v>0</v>
          </cell>
          <cell r="BF57">
            <v>0</v>
          </cell>
          <cell r="BH57">
            <v>88853</v>
          </cell>
          <cell r="BI57">
            <v>87861</v>
          </cell>
          <cell r="BJ57">
            <v>87394</v>
          </cell>
          <cell r="BK57">
            <v>87326</v>
          </cell>
          <cell r="BL57">
            <v>87552</v>
          </cell>
          <cell r="BM57">
            <v>85398</v>
          </cell>
          <cell r="BN57">
            <v>86623</v>
          </cell>
          <cell r="BO57">
            <v>86955</v>
          </cell>
        </row>
        <row r="58">
          <cell r="C58">
            <v>207615</v>
          </cell>
          <cell r="D58">
            <v>205427</v>
          </cell>
          <cell r="E58">
            <v>204422</v>
          </cell>
          <cell r="F58">
            <v>201480</v>
          </cell>
          <cell r="G58">
            <v>179150</v>
          </cell>
          <cell r="H58">
            <v>174893</v>
          </cell>
          <cell r="I58">
            <v>174413</v>
          </cell>
          <cell r="J58">
            <v>172169</v>
          </cell>
          <cell r="K58">
            <v>0</v>
          </cell>
          <cell r="L58">
            <v>0</v>
          </cell>
          <cell r="M58">
            <v>0</v>
          </cell>
          <cell r="N58">
            <v>0</v>
          </cell>
          <cell r="O58">
            <v>0</v>
          </cell>
          <cell r="P58">
            <v>0</v>
          </cell>
          <cell r="Q58">
            <v>0</v>
          </cell>
          <cell r="R58">
            <v>0</v>
          </cell>
          <cell r="S58">
            <v>169145</v>
          </cell>
          <cell r="T58">
            <v>169145</v>
          </cell>
          <cell r="U58">
            <v>169145</v>
          </cell>
          <cell r="V58">
            <v>169765</v>
          </cell>
          <cell r="W58">
            <v>169765</v>
          </cell>
          <cell r="X58">
            <v>169765</v>
          </cell>
          <cell r="Y58">
            <v>169765</v>
          </cell>
          <cell r="Z58">
            <v>140000</v>
          </cell>
          <cell r="AA58">
            <v>34000</v>
          </cell>
          <cell r="AB58">
            <v>16000</v>
          </cell>
          <cell r="AC58">
            <v>13919</v>
          </cell>
          <cell r="AD58">
            <v>8100</v>
          </cell>
          <cell r="AE58">
            <v>17300</v>
          </cell>
          <cell r="AF58">
            <v>23700</v>
          </cell>
          <cell r="AG58">
            <v>23900</v>
          </cell>
          <cell r="AH58">
            <v>25000</v>
          </cell>
          <cell r="AI58">
            <v>0</v>
          </cell>
          <cell r="AJ58">
            <v>0</v>
          </cell>
          <cell r="AK58">
            <v>0</v>
          </cell>
          <cell r="AL58">
            <v>0</v>
          </cell>
          <cell r="AM58">
            <v>0</v>
          </cell>
          <cell r="AN58">
            <v>0</v>
          </cell>
          <cell r="AO58">
            <v>0</v>
          </cell>
          <cell r="AP58">
            <v>0</v>
          </cell>
          <cell r="AQ58">
            <v>831</v>
          </cell>
          <cell r="AR58">
            <v>843</v>
          </cell>
          <cell r="AS58">
            <v>896</v>
          </cell>
          <cell r="AT58">
            <v>896</v>
          </cell>
          <cell r="AU58">
            <v>818</v>
          </cell>
          <cell r="AV58">
            <v>763</v>
          </cell>
          <cell r="AW58">
            <v>835</v>
          </cell>
          <cell r="AX58">
            <v>857</v>
          </cell>
          <cell r="AY58">
            <v>0</v>
          </cell>
          <cell r="AZ58">
            <v>0</v>
          </cell>
          <cell r="BA58">
            <v>0</v>
          </cell>
          <cell r="BB58">
            <v>0</v>
          </cell>
          <cell r="BC58">
            <v>0</v>
          </cell>
          <cell r="BD58">
            <v>0</v>
          </cell>
          <cell r="BE58">
            <v>0</v>
          </cell>
          <cell r="BF58">
            <v>0</v>
          </cell>
          <cell r="BH58">
            <v>410760</v>
          </cell>
          <cell r="BI58">
            <v>390572</v>
          </cell>
          <cell r="BJ58">
            <v>387486</v>
          </cell>
          <cell r="BK58">
            <v>379345</v>
          </cell>
          <cell r="BL58">
            <v>366215</v>
          </cell>
          <cell r="BM58">
            <v>368358</v>
          </cell>
          <cell r="BN58">
            <v>368078</v>
          </cell>
          <cell r="BO58">
            <v>337169</v>
          </cell>
        </row>
        <row r="59">
          <cell r="C59">
            <v>1230556</v>
          </cell>
          <cell r="D59">
            <v>1215709</v>
          </cell>
          <cell r="E59">
            <v>1208860</v>
          </cell>
          <cell r="F59">
            <v>1173034</v>
          </cell>
          <cell r="G59">
            <v>1179069</v>
          </cell>
          <cell r="H59">
            <v>1160341</v>
          </cell>
          <cell r="I59">
            <v>1152078</v>
          </cell>
          <cell r="J59">
            <v>1102290</v>
          </cell>
          <cell r="K59">
            <v>100000</v>
          </cell>
          <cell r="L59">
            <v>100000</v>
          </cell>
          <cell r="M59">
            <v>100000</v>
          </cell>
          <cell r="N59">
            <v>100000</v>
          </cell>
          <cell r="O59">
            <v>100000</v>
          </cell>
          <cell r="P59">
            <v>100000</v>
          </cell>
          <cell r="Q59">
            <v>100000</v>
          </cell>
          <cell r="R59">
            <v>100000</v>
          </cell>
          <cell r="S59">
            <v>1235344</v>
          </cell>
          <cell r="T59">
            <v>1235388</v>
          </cell>
          <cell r="U59">
            <v>1224406</v>
          </cell>
          <cell r="V59">
            <v>1224398</v>
          </cell>
          <cell r="W59">
            <v>1297478</v>
          </cell>
          <cell r="X59">
            <v>1173618</v>
          </cell>
          <cell r="Y59">
            <v>1118939</v>
          </cell>
          <cell r="Z59">
            <v>1118914</v>
          </cell>
          <cell r="AA59">
            <v>3580</v>
          </cell>
          <cell r="AB59">
            <v>33580</v>
          </cell>
          <cell r="AC59">
            <v>3580</v>
          </cell>
          <cell r="AD59">
            <v>1206</v>
          </cell>
          <cell r="AE59">
            <v>0</v>
          </cell>
          <cell r="AF59">
            <v>0</v>
          </cell>
          <cell r="AG59">
            <v>82289</v>
          </cell>
          <cell r="AH59">
            <v>90331</v>
          </cell>
          <cell r="AI59">
            <v>32996</v>
          </cell>
          <cell r="AJ59">
            <v>60995</v>
          </cell>
          <cell r="AK59">
            <v>82983</v>
          </cell>
          <cell r="AL59">
            <v>91978</v>
          </cell>
          <cell r="AM59">
            <v>0</v>
          </cell>
          <cell r="AN59">
            <v>86041</v>
          </cell>
          <cell r="AO59">
            <v>0</v>
          </cell>
          <cell r="AP59">
            <v>0</v>
          </cell>
          <cell r="AQ59">
            <v>35859</v>
          </cell>
          <cell r="AR59">
            <v>36105</v>
          </cell>
          <cell r="AS59">
            <v>35914</v>
          </cell>
          <cell r="AT59">
            <v>35600</v>
          </cell>
          <cell r="AU59">
            <v>35695</v>
          </cell>
          <cell r="AV59">
            <v>34730</v>
          </cell>
          <cell r="AW59">
            <v>33539</v>
          </cell>
          <cell r="AX59">
            <v>32361</v>
          </cell>
          <cell r="AY59">
            <v>0</v>
          </cell>
          <cell r="AZ59">
            <v>0</v>
          </cell>
          <cell r="BA59">
            <v>0</v>
          </cell>
          <cell r="BB59">
            <v>0</v>
          </cell>
          <cell r="BC59">
            <v>0</v>
          </cell>
          <cell r="BD59">
            <v>0</v>
          </cell>
          <cell r="BE59">
            <v>0</v>
          </cell>
          <cell r="BF59">
            <v>0</v>
          </cell>
          <cell r="BH59">
            <v>2502476</v>
          </cell>
          <cell r="BI59">
            <v>2545672</v>
          </cell>
          <cell r="BJ59">
            <v>2519829</v>
          </cell>
          <cell r="BK59">
            <v>2490616</v>
          </cell>
          <cell r="BL59">
            <v>2476547</v>
          </cell>
          <cell r="BM59">
            <v>2420000</v>
          </cell>
          <cell r="BN59">
            <v>2353306</v>
          </cell>
          <cell r="BO59">
            <v>2311535</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H60">
            <v>0</v>
          </cell>
          <cell r="BI60">
            <v>0</v>
          </cell>
          <cell r="BJ60">
            <v>0</v>
          </cell>
          <cell r="BK60">
            <v>0</v>
          </cell>
          <cell r="BL60">
            <v>0</v>
          </cell>
          <cell r="BM60">
            <v>0</v>
          </cell>
          <cell r="BN60">
            <v>0</v>
          </cell>
          <cell r="BO60">
            <v>0</v>
          </cell>
        </row>
        <row r="61">
          <cell r="C61">
            <v>1515181</v>
          </cell>
          <cell r="D61">
            <v>1426958</v>
          </cell>
          <cell r="E61">
            <v>1420910</v>
          </cell>
          <cell r="F61">
            <v>1405229</v>
          </cell>
          <cell r="G61">
            <v>1383085</v>
          </cell>
          <cell r="H61">
            <v>1311735</v>
          </cell>
          <cell r="I61">
            <v>1278403</v>
          </cell>
          <cell r="J61">
            <v>1273966</v>
          </cell>
          <cell r="K61">
            <v>0</v>
          </cell>
          <cell r="L61">
            <v>0</v>
          </cell>
          <cell r="M61">
            <v>0</v>
          </cell>
          <cell r="N61">
            <v>0</v>
          </cell>
          <cell r="O61">
            <v>0</v>
          </cell>
          <cell r="P61">
            <v>0</v>
          </cell>
          <cell r="Q61">
            <v>0</v>
          </cell>
          <cell r="R61">
            <v>0</v>
          </cell>
          <cell r="S61">
            <v>1488532</v>
          </cell>
          <cell r="T61">
            <v>1488450</v>
          </cell>
          <cell r="U61">
            <v>1488369</v>
          </cell>
          <cell r="V61">
            <v>1609351</v>
          </cell>
          <cell r="W61">
            <v>1609269</v>
          </cell>
          <cell r="X61">
            <v>1409866</v>
          </cell>
          <cell r="Y61">
            <v>1409798</v>
          </cell>
          <cell r="Z61">
            <v>1410793</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6778</v>
          </cell>
          <cell r="AR61">
            <v>9529</v>
          </cell>
          <cell r="AS61">
            <v>9030</v>
          </cell>
          <cell r="AT61">
            <v>1367</v>
          </cell>
          <cell r="AU61">
            <v>2128</v>
          </cell>
          <cell r="AV61">
            <v>3772</v>
          </cell>
          <cell r="AW61">
            <v>2323</v>
          </cell>
          <cell r="AX61">
            <v>464</v>
          </cell>
          <cell r="AY61">
            <v>0</v>
          </cell>
          <cell r="AZ61">
            <v>0</v>
          </cell>
          <cell r="BA61">
            <v>0</v>
          </cell>
          <cell r="BB61">
            <v>0</v>
          </cell>
          <cell r="BC61">
            <v>0</v>
          </cell>
          <cell r="BD61">
            <v>0</v>
          </cell>
          <cell r="BE61">
            <v>0</v>
          </cell>
          <cell r="BF61">
            <v>0</v>
          </cell>
          <cell r="BH61">
            <v>3003713</v>
          </cell>
          <cell r="BI61">
            <v>2915408</v>
          </cell>
          <cell r="BJ61">
            <v>2909279</v>
          </cell>
          <cell r="BK61">
            <v>3014580</v>
          </cell>
          <cell r="BL61">
            <v>2992354</v>
          </cell>
          <cell r="BM61">
            <v>2721601</v>
          </cell>
          <cell r="BN61">
            <v>2688201</v>
          </cell>
          <cell r="BO61">
            <v>2684759</v>
          </cell>
        </row>
        <row r="62">
          <cell r="C62">
            <v>1771310</v>
          </cell>
          <cell r="D62">
            <v>1743096</v>
          </cell>
          <cell r="E62">
            <v>1729780</v>
          </cell>
          <cell r="F62">
            <v>1702420</v>
          </cell>
          <cell r="G62">
            <v>1724825</v>
          </cell>
          <cell r="H62">
            <v>1689359</v>
          </cell>
          <cell r="I62">
            <v>1699517</v>
          </cell>
          <cell r="J62">
            <v>1680860</v>
          </cell>
          <cell r="K62">
            <v>8072</v>
          </cell>
          <cell r="L62">
            <v>8072</v>
          </cell>
          <cell r="M62">
            <v>8072</v>
          </cell>
          <cell r="N62">
            <v>8072</v>
          </cell>
          <cell r="O62">
            <v>8076</v>
          </cell>
          <cell r="P62">
            <v>8077</v>
          </cell>
          <cell r="Q62">
            <v>8077</v>
          </cell>
          <cell r="R62">
            <v>8077</v>
          </cell>
          <cell r="S62">
            <v>1828101</v>
          </cell>
          <cell r="T62">
            <v>1801867</v>
          </cell>
          <cell r="U62">
            <v>1801703</v>
          </cell>
          <cell r="V62">
            <v>1801473</v>
          </cell>
          <cell r="W62">
            <v>1951255</v>
          </cell>
          <cell r="X62">
            <v>1951018</v>
          </cell>
          <cell r="Y62">
            <v>1950790</v>
          </cell>
          <cell r="Z62">
            <v>1975606</v>
          </cell>
          <cell r="AA62">
            <v>0</v>
          </cell>
          <cell r="AB62">
            <v>0</v>
          </cell>
          <cell r="AC62">
            <v>0</v>
          </cell>
          <cell r="AD62">
            <v>0</v>
          </cell>
          <cell r="AE62">
            <v>0</v>
          </cell>
          <cell r="AF62">
            <v>0</v>
          </cell>
          <cell r="AG62">
            <v>0</v>
          </cell>
          <cell r="AH62">
            <v>0</v>
          </cell>
          <cell r="AI62">
            <v>0</v>
          </cell>
          <cell r="AJ62">
            <v>29819</v>
          </cell>
          <cell r="AK62">
            <v>0</v>
          </cell>
          <cell r="AL62">
            <v>48105</v>
          </cell>
          <cell r="AM62">
            <v>0</v>
          </cell>
          <cell r="AN62">
            <v>0</v>
          </cell>
          <cell r="AO62">
            <v>0</v>
          </cell>
          <cell r="AP62">
            <v>0</v>
          </cell>
          <cell r="AQ62">
            <v>29362</v>
          </cell>
          <cell r="AR62">
            <v>29791</v>
          </cell>
          <cell r="AS62">
            <v>29240</v>
          </cell>
          <cell r="AT62">
            <v>29264</v>
          </cell>
          <cell r="AU62">
            <v>28615</v>
          </cell>
          <cell r="AV62">
            <v>28748</v>
          </cell>
          <cell r="AW62">
            <v>28927</v>
          </cell>
          <cell r="AX62">
            <v>27711</v>
          </cell>
          <cell r="AY62">
            <v>0</v>
          </cell>
          <cell r="AZ62">
            <v>0</v>
          </cell>
          <cell r="BA62">
            <v>0</v>
          </cell>
          <cell r="BB62">
            <v>0</v>
          </cell>
          <cell r="BC62">
            <v>0</v>
          </cell>
          <cell r="BD62">
            <v>0</v>
          </cell>
          <cell r="BE62">
            <v>0</v>
          </cell>
          <cell r="BF62">
            <v>0</v>
          </cell>
          <cell r="BH62">
            <v>3599411</v>
          </cell>
          <cell r="BI62">
            <v>3574782</v>
          </cell>
          <cell r="BJ62">
            <v>3531483</v>
          </cell>
          <cell r="BK62">
            <v>3551998</v>
          </cell>
          <cell r="BL62">
            <v>3676080</v>
          </cell>
          <cell r="BM62">
            <v>3640377</v>
          </cell>
          <cell r="BN62">
            <v>3650307</v>
          </cell>
          <cell r="BO62">
            <v>3656466</v>
          </cell>
        </row>
        <row r="63">
          <cell r="C63">
            <v>825924</v>
          </cell>
          <cell r="D63">
            <v>797715</v>
          </cell>
          <cell r="E63">
            <v>807729</v>
          </cell>
          <cell r="F63">
            <v>819065</v>
          </cell>
          <cell r="G63">
            <v>807866</v>
          </cell>
          <cell r="H63">
            <v>801239</v>
          </cell>
          <cell r="I63">
            <v>769248</v>
          </cell>
          <cell r="J63">
            <v>812832</v>
          </cell>
          <cell r="K63">
            <v>59135</v>
          </cell>
          <cell r="L63">
            <v>59135</v>
          </cell>
          <cell r="M63">
            <v>59135</v>
          </cell>
          <cell r="N63">
            <v>59135</v>
          </cell>
          <cell r="O63">
            <v>59135</v>
          </cell>
          <cell r="P63">
            <v>59135</v>
          </cell>
          <cell r="Q63">
            <v>59135</v>
          </cell>
          <cell r="R63">
            <v>59135</v>
          </cell>
          <cell r="S63">
            <v>991646</v>
          </cell>
          <cell r="T63">
            <v>936639</v>
          </cell>
          <cell r="U63">
            <v>936633</v>
          </cell>
          <cell r="V63">
            <v>936626</v>
          </cell>
          <cell r="W63">
            <v>936620</v>
          </cell>
          <cell r="X63">
            <v>936614</v>
          </cell>
          <cell r="Y63">
            <v>936608</v>
          </cell>
          <cell r="Z63">
            <v>936602</v>
          </cell>
          <cell r="AA63">
            <v>0</v>
          </cell>
          <cell r="AB63">
            <v>55000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22385</v>
          </cell>
          <cell r="AR63">
            <v>21726</v>
          </cell>
          <cell r="AS63">
            <v>21435</v>
          </cell>
          <cell r="AT63">
            <v>20772</v>
          </cell>
          <cell r="AU63">
            <v>20208</v>
          </cell>
          <cell r="AV63">
            <v>19820</v>
          </cell>
          <cell r="AW63">
            <v>19598</v>
          </cell>
          <cell r="AX63">
            <v>18816</v>
          </cell>
          <cell r="AY63">
            <v>0</v>
          </cell>
          <cell r="AZ63">
            <v>0</v>
          </cell>
          <cell r="BA63">
            <v>0</v>
          </cell>
          <cell r="BB63">
            <v>0</v>
          </cell>
          <cell r="BC63">
            <v>0</v>
          </cell>
          <cell r="BD63">
            <v>0</v>
          </cell>
          <cell r="BE63">
            <v>0</v>
          </cell>
          <cell r="BF63">
            <v>0</v>
          </cell>
          <cell r="BH63">
            <v>1817570</v>
          </cell>
          <cell r="BI63">
            <v>1789354</v>
          </cell>
          <cell r="BJ63">
            <v>1744362</v>
          </cell>
          <cell r="BK63">
            <v>1755691</v>
          </cell>
          <cell r="BL63">
            <v>1744486</v>
          </cell>
          <cell r="BM63">
            <v>1737853</v>
          </cell>
          <cell r="BN63">
            <v>1705856</v>
          </cell>
          <cell r="BO63">
            <v>1749434</v>
          </cell>
        </row>
        <row r="64">
          <cell r="C64">
            <v>1508654</v>
          </cell>
          <cell r="D64">
            <v>1439970</v>
          </cell>
          <cell r="E64">
            <v>1567067</v>
          </cell>
          <cell r="F64">
            <v>1573624</v>
          </cell>
          <cell r="G64">
            <v>1595392</v>
          </cell>
          <cell r="H64">
            <v>1528209</v>
          </cell>
          <cell r="I64">
            <v>1540557</v>
          </cell>
          <cell r="J64">
            <v>1513750</v>
          </cell>
          <cell r="K64">
            <v>150000</v>
          </cell>
          <cell r="L64">
            <v>150000</v>
          </cell>
          <cell r="M64">
            <v>190000</v>
          </cell>
          <cell r="N64">
            <v>190000</v>
          </cell>
          <cell r="O64">
            <v>190000</v>
          </cell>
          <cell r="P64">
            <v>190000</v>
          </cell>
          <cell r="Q64">
            <v>190000</v>
          </cell>
          <cell r="R64">
            <v>190000</v>
          </cell>
          <cell r="S64">
            <v>1342177</v>
          </cell>
          <cell r="T64">
            <v>1344235</v>
          </cell>
          <cell r="U64">
            <v>1348053</v>
          </cell>
          <cell r="V64">
            <v>1350030</v>
          </cell>
          <cell r="W64">
            <v>1351578</v>
          </cell>
          <cell r="X64">
            <v>1360732</v>
          </cell>
          <cell r="Y64">
            <v>1210706</v>
          </cell>
          <cell r="Z64">
            <v>1205670</v>
          </cell>
          <cell r="AA64">
            <v>0</v>
          </cell>
          <cell r="AB64">
            <v>0</v>
          </cell>
          <cell r="AC64">
            <v>0</v>
          </cell>
          <cell r="AD64">
            <v>0</v>
          </cell>
          <cell r="AE64">
            <v>0</v>
          </cell>
          <cell r="AF64">
            <v>0</v>
          </cell>
          <cell r="AG64">
            <v>208900</v>
          </cell>
          <cell r="AH64">
            <v>190000</v>
          </cell>
          <cell r="AI64">
            <v>0</v>
          </cell>
          <cell r="AJ64">
            <v>0</v>
          </cell>
          <cell r="AK64">
            <v>0</v>
          </cell>
          <cell r="AL64">
            <v>0</v>
          </cell>
          <cell r="AM64">
            <v>0</v>
          </cell>
          <cell r="AN64">
            <v>0</v>
          </cell>
          <cell r="AO64">
            <v>0</v>
          </cell>
          <cell r="AP64">
            <v>0</v>
          </cell>
          <cell r="AQ64">
            <v>5819</v>
          </cell>
          <cell r="AR64">
            <v>5743</v>
          </cell>
          <cell r="AS64">
            <v>5460</v>
          </cell>
          <cell r="AT64">
            <v>5458</v>
          </cell>
          <cell r="AU64">
            <v>5311</v>
          </cell>
          <cell r="AV64">
            <v>5595</v>
          </cell>
          <cell r="AW64">
            <v>7344</v>
          </cell>
          <cell r="AX64">
            <v>7187</v>
          </cell>
          <cell r="AY64">
            <v>0</v>
          </cell>
          <cell r="AZ64">
            <v>0</v>
          </cell>
          <cell r="BA64">
            <v>0</v>
          </cell>
          <cell r="BB64">
            <v>0</v>
          </cell>
          <cell r="BC64">
            <v>0</v>
          </cell>
          <cell r="BD64">
            <v>0</v>
          </cell>
          <cell r="BE64">
            <v>0</v>
          </cell>
          <cell r="BF64">
            <v>0</v>
          </cell>
          <cell r="BH64">
            <v>2850831</v>
          </cell>
          <cell r="BI64">
            <v>2784205</v>
          </cell>
          <cell r="BJ64">
            <v>2915120</v>
          </cell>
          <cell r="BK64">
            <v>2923654</v>
          </cell>
          <cell r="BL64">
            <v>2946970</v>
          </cell>
          <cell r="BM64">
            <v>2888941</v>
          </cell>
          <cell r="BN64">
            <v>2960163</v>
          </cell>
          <cell r="BO64">
            <v>2909420</v>
          </cell>
        </row>
        <row r="65">
          <cell r="C65">
            <v>2273241</v>
          </cell>
          <cell r="D65">
            <v>2185520</v>
          </cell>
          <cell r="E65">
            <v>2640919</v>
          </cell>
          <cell r="F65">
            <v>2618786</v>
          </cell>
          <cell r="G65">
            <v>2614133</v>
          </cell>
          <cell r="H65">
            <v>2601671</v>
          </cell>
          <cell r="I65">
            <v>2548876</v>
          </cell>
          <cell r="J65">
            <v>2600396</v>
          </cell>
          <cell r="K65">
            <v>0</v>
          </cell>
          <cell r="L65">
            <v>0</v>
          </cell>
          <cell r="M65">
            <v>0</v>
          </cell>
          <cell r="N65">
            <v>0</v>
          </cell>
          <cell r="O65">
            <v>0</v>
          </cell>
          <cell r="P65">
            <v>0</v>
          </cell>
          <cell r="Q65">
            <v>0</v>
          </cell>
          <cell r="R65">
            <v>0</v>
          </cell>
          <cell r="S65">
            <v>1493031</v>
          </cell>
          <cell r="T65">
            <v>1492866</v>
          </cell>
          <cell r="U65">
            <v>1492700</v>
          </cell>
          <cell r="V65">
            <v>1492535</v>
          </cell>
          <cell r="W65">
            <v>1492369</v>
          </cell>
          <cell r="X65">
            <v>1492204</v>
          </cell>
          <cell r="Y65">
            <v>1492038</v>
          </cell>
          <cell r="Z65">
            <v>1491873</v>
          </cell>
          <cell r="AA65">
            <v>0</v>
          </cell>
          <cell r="AB65">
            <v>50000</v>
          </cell>
          <cell r="AC65">
            <v>0</v>
          </cell>
          <cell r="AD65">
            <v>0</v>
          </cell>
          <cell r="AE65">
            <v>0</v>
          </cell>
          <cell r="AF65">
            <v>0</v>
          </cell>
          <cell r="AG65">
            <v>0</v>
          </cell>
          <cell r="AH65">
            <v>0</v>
          </cell>
          <cell r="AI65">
            <v>311666</v>
          </cell>
          <cell r="AJ65">
            <v>360917</v>
          </cell>
          <cell r="AK65">
            <v>0</v>
          </cell>
          <cell r="AL65">
            <v>0</v>
          </cell>
          <cell r="AM65">
            <v>0</v>
          </cell>
          <cell r="AN65">
            <v>57850</v>
          </cell>
          <cell r="AO65">
            <v>0</v>
          </cell>
          <cell r="AP65">
            <v>0</v>
          </cell>
          <cell r="AQ65">
            <v>23513</v>
          </cell>
          <cell r="AR65">
            <v>23684</v>
          </cell>
          <cell r="AS65">
            <v>23494</v>
          </cell>
          <cell r="AT65">
            <v>23385</v>
          </cell>
          <cell r="AU65">
            <v>23451</v>
          </cell>
          <cell r="AV65">
            <v>23564</v>
          </cell>
          <cell r="AW65">
            <v>23496</v>
          </cell>
          <cell r="AX65">
            <v>23636</v>
          </cell>
          <cell r="AY65">
            <v>0</v>
          </cell>
          <cell r="AZ65">
            <v>0</v>
          </cell>
          <cell r="BA65">
            <v>0</v>
          </cell>
          <cell r="BB65">
            <v>0</v>
          </cell>
          <cell r="BC65">
            <v>0</v>
          </cell>
          <cell r="BD65">
            <v>0</v>
          </cell>
          <cell r="BE65">
            <v>0</v>
          </cell>
          <cell r="BF65">
            <v>0</v>
          </cell>
          <cell r="BH65">
            <v>4077938</v>
          </cell>
          <cell r="BI65">
            <v>4089303</v>
          </cell>
          <cell r="BJ65">
            <v>4133619</v>
          </cell>
          <cell r="BK65">
            <v>4111321</v>
          </cell>
          <cell r="BL65">
            <v>4106502</v>
          </cell>
          <cell r="BM65">
            <v>4151725</v>
          </cell>
          <cell r="BN65">
            <v>4040914</v>
          </cell>
          <cell r="BO65">
            <v>4092269</v>
          </cell>
        </row>
        <row r="66">
          <cell r="C66">
            <v>2051355</v>
          </cell>
          <cell r="D66">
            <v>1989686</v>
          </cell>
          <cell r="E66">
            <v>1979972</v>
          </cell>
          <cell r="F66">
            <v>1999633</v>
          </cell>
          <cell r="G66">
            <v>2020007</v>
          </cell>
          <cell r="H66">
            <v>1951031</v>
          </cell>
          <cell r="I66">
            <v>1926586</v>
          </cell>
          <cell r="J66">
            <v>1926273</v>
          </cell>
          <cell r="K66">
            <v>0</v>
          </cell>
          <cell r="L66">
            <v>0</v>
          </cell>
          <cell r="M66">
            <v>0</v>
          </cell>
          <cell r="N66">
            <v>0</v>
          </cell>
          <cell r="O66">
            <v>0</v>
          </cell>
          <cell r="P66">
            <v>0</v>
          </cell>
          <cell r="Q66">
            <v>0</v>
          </cell>
          <cell r="R66">
            <v>0</v>
          </cell>
          <cell r="S66">
            <v>2064519</v>
          </cell>
          <cell r="T66">
            <v>1667388</v>
          </cell>
          <cell r="U66">
            <v>1780079</v>
          </cell>
          <cell r="V66">
            <v>1780047</v>
          </cell>
          <cell r="W66">
            <v>1780007</v>
          </cell>
          <cell r="X66">
            <v>1780188</v>
          </cell>
          <cell r="Y66">
            <v>1780148</v>
          </cell>
          <cell r="Z66">
            <v>1780109</v>
          </cell>
          <cell r="AA66">
            <v>10500</v>
          </cell>
          <cell r="AB66">
            <v>476650</v>
          </cell>
          <cell r="AC66">
            <v>288762</v>
          </cell>
          <cell r="AD66">
            <v>263500</v>
          </cell>
          <cell r="AE66">
            <v>209503</v>
          </cell>
          <cell r="AF66">
            <v>297000</v>
          </cell>
          <cell r="AG66">
            <v>204000</v>
          </cell>
          <cell r="AH66">
            <v>186577</v>
          </cell>
          <cell r="AI66">
            <v>395</v>
          </cell>
          <cell r="AJ66">
            <v>4455</v>
          </cell>
          <cell r="AK66">
            <v>22777</v>
          </cell>
          <cell r="AL66">
            <v>1960</v>
          </cell>
          <cell r="AM66">
            <v>35639</v>
          </cell>
          <cell r="AN66">
            <v>12646</v>
          </cell>
          <cell r="AO66">
            <v>11992</v>
          </cell>
          <cell r="AP66">
            <v>4306</v>
          </cell>
          <cell r="AQ66">
            <v>5919</v>
          </cell>
          <cell r="AR66">
            <v>6027</v>
          </cell>
          <cell r="AS66">
            <v>6104</v>
          </cell>
          <cell r="AT66">
            <v>6283</v>
          </cell>
          <cell r="AU66">
            <v>6538</v>
          </cell>
          <cell r="AV66">
            <v>6814</v>
          </cell>
          <cell r="AW66">
            <v>7098</v>
          </cell>
          <cell r="AX66">
            <v>7359</v>
          </cell>
          <cell r="AY66">
            <v>0</v>
          </cell>
          <cell r="AZ66">
            <v>0</v>
          </cell>
          <cell r="BA66">
            <v>0</v>
          </cell>
          <cell r="BB66">
            <v>0</v>
          </cell>
          <cell r="BC66">
            <v>0</v>
          </cell>
          <cell r="BD66">
            <v>0</v>
          </cell>
          <cell r="BE66">
            <v>0</v>
          </cell>
          <cell r="BF66">
            <v>0</v>
          </cell>
          <cell r="BH66">
            <v>4126769</v>
          </cell>
          <cell r="BI66">
            <v>4138179</v>
          </cell>
          <cell r="BJ66">
            <v>4071590</v>
          </cell>
          <cell r="BK66">
            <v>4045140</v>
          </cell>
          <cell r="BL66">
            <v>4045156</v>
          </cell>
          <cell r="BM66">
            <v>4040865</v>
          </cell>
          <cell r="BN66">
            <v>3922726</v>
          </cell>
          <cell r="BO66">
            <v>3897265</v>
          </cell>
        </row>
        <row r="67">
          <cell r="C67">
            <v>1380038</v>
          </cell>
          <cell r="D67">
            <v>1328835</v>
          </cell>
          <cell r="E67">
            <v>1315508</v>
          </cell>
          <cell r="F67">
            <v>1341361</v>
          </cell>
          <cell r="G67">
            <v>1354196</v>
          </cell>
          <cell r="H67">
            <v>1313824</v>
          </cell>
          <cell r="I67">
            <v>1300309</v>
          </cell>
          <cell r="J67">
            <v>1349704</v>
          </cell>
          <cell r="K67">
            <v>0</v>
          </cell>
          <cell r="L67">
            <v>0</v>
          </cell>
          <cell r="M67">
            <v>0</v>
          </cell>
          <cell r="N67">
            <v>0</v>
          </cell>
          <cell r="O67">
            <v>0</v>
          </cell>
          <cell r="P67">
            <v>0</v>
          </cell>
          <cell r="Q67">
            <v>0</v>
          </cell>
          <cell r="R67">
            <v>0</v>
          </cell>
          <cell r="S67">
            <v>1011840</v>
          </cell>
          <cell r="T67">
            <v>1011826</v>
          </cell>
          <cell r="U67">
            <v>1011812</v>
          </cell>
          <cell r="V67">
            <v>1011824</v>
          </cell>
          <cell r="W67">
            <v>1011810</v>
          </cell>
          <cell r="X67">
            <v>1011797</v>
          </cell>
          <cell r="Y67">
            <v>1011783</v>
          </cell>
          <cell r="Z67">
            <v>1011890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11389</v>
          </cell>
          <cell r="AR67">
            <v>11092</v>
          </cell>
          <cell r="AS67">
            <v>11128</v>
          </cell>
          <cell r="AT67">
            <v>10961</v>
          </cell>
          <cell r="AU67">
            <v>10870</v>
          </cell>
          <cell r="AV67">
            <v>10687</v>
          </cell>
          <cell r="AW67">
            <v>10755</v>
          </cell>
          <cell r="AX67">
            <v>10716</v>
          </cell>
          <cell r="AY67">
            <v>0</v>
          </cell>
          <cell r="AZ67">
            <v>0</v>
          </cell>
          <cell r="BA67">
            <v>0</v>
          </cell>
          <cell r="BB67">
            <v>0</v>
          </cell>
          <cell r="BC67">
            <v>0</v>
          </cell>
          <cell r="BD67">
            <v>0</v>
          </cell>
          <cell r="BE67">
            <v>0</v>
          </cell>
          <cell r="BF67">
            <v>0</v>
          </cell>
          <cell r="BH67">
            <v>2391878</v>
          </cell>
          <cell r="BI67">
            <v>2340661</v>
          </cell>
          <cell r="BJ67">
            <v>2327320</v>
          </cell>
          <cell r="BK67">
            <v>2353185</v>
          </cell>
          <cell r="BL67">
            <v>2366006</v>
          </cell>
          <cell r="BM67">
            <v>2325621</v>
          </cell>
          <cell r="BN67">
            <v>2312092</v>
          </cell>
          <cell r="BO67">
            <v>2361594</v>
          </cell>
        </row>
        <row r="68">
          <cell r="C68">
            <v>1373067</v>
          </cell>
          <cell r="D68">
            <v>1336731</v>
          </cell>
          <cell r="E68">
            <v>1334059</v>
          </cell>
          <cell r="F68">
            <v>1340509</v>
          </cell>
          <cell r="G68">
            <v>1348422</v>
          </cell>
          <cell r="H68">
            <v>1314000</v>
          </cell>
          <cell r="I68">
            <v>1302422</v>
          </cell>
          <cell r="J68">
            <v>1302133</v>
          </cell>
          <cell r="K68">
            <v>0</v>
          </cell>
          <cell r="L68">
            <v>0</v>
          </cell>
          <cell r="M68">
            <v>0</v>
          </cell>
          <cell r="N68">
            <v>0</v>
          </cell>
          <cell r="O68">
            <v>0</v>
          </cell>
          <cell r="P68">
            <v>0</v>
          </cell>
          <cell r="Q68">
            <v>0</v>
          </cell>
          <cell r="R68">
            <v>0</v>
          </cell>
          <cell r="S68">
            <v>1246304</v>
          </cell>
          <cell r="T68">
            <v>1254169</v>
          </cell>
          <cell r="U68">
            <v>1112666</v>
          </cell>
          <cell r="V68">
            <v>1260092</v>
          </cell>
          <cell r="W68">
            <v>1268808</v>
          </cell>
          <cell r="X68">
            <v>1028742</v>
          </cell>
          <cell r="Y68">
            <v>1037418</v>
          </cell>
          <cell r="Z68">
            <v>1047097</v>
          </cell>
          <cell r="AA68">
            <v>0</v>
          </cell>
          <cell r="AB68">
            <v>65000</v>
          </cell>
          <cell r="AC68">
            <v>205000</v>
          </cell>
          <cell r="AD68">
            <v>0</v>
          </cell>
          <cell r="AE68">
            <v>0</v>
          </cell>
          <cell r="AF68">
            <v>267000</v>
          </cell>
          <cell r="AG68">
            <v>283000</v>
          </cell>
          <cell r="AH68">
            <v>232000</v>
          </cell>
          <cell r="AI68">
            <v>32891</v>
          </cell>
          <cell r="AJ68">
            <v>2361</v>
          </cell>
          <cell r="AK68">
            <v>2011</v>
          </cell>
          <cell r="AL68">
            <v>14086</v>
          </cell>
          <cell r="AM68">
            <v>2011</v>
          </cell>
          <cell r="AN68">
            <v>3696</v>
          </cell>
          <cell r="AO68">
            <v>647063</v>
          </cell>
          <cell r="AP68">
            <v>647063</v>
          </cell>
          <cell r="AQ68">
            <v>6307</v>
          </cell>
          <cell r="AR68">
            <v>6446</v>
          </cell>
          <cell r="AS68">
            <v>6505</v>
          </cell>
          <cell r="AT68">
            <v>6556</v>
          </cell>
          <cell r="AU68">
            <v>6749</v>
          </cell>
          <cell r="AV68">
            <v>6903</v>
          </cell>
          <cell r="AW68">
            <v>7018</v>
          </cell>
          <cell r="AX68">
            <v>7021</v>
          </cell>
          <cell r="AY68">
            <v>0</v>
          </cell>
          <cell r="AZ68">
            <v>0</v>
          </cell>
          <cell r="BA68">
            <v>0</v>
          </cell>
          <cell r="BB68">
            <v>0</v>
          </cell>
          <cell r="BC68">
            <v>0</v>
          </cell>
          <cell r="BD68">
            <v>0</v>
          </cell>
          <cell r="BE68">
            <v>0</v>
          </cell>
          <cell r="BF68">
            <v>0</v>
          </cell>
          <cell r="BH68">
            <v>2652262</v>
          </cell>
          <cell r="BI68">
            <v>2658261</v>
          </cell>
          <cell r="BJ68">
            <v>2653736</v>
          </cell>
          <cell r="BK68">
            <v>2614687</v>
          </cell>
          <cell r="BL68">
            <v>2619241</v>
          </cell>
          <cell r="BM68">
            <v>2613438</v>
          </cell>
          <cell r="BN68">
            <v>3269903</v>
          </cell>
          <cell r="BO68">
            <v>3228293</v>
          </cell>
        </row>
        <row r="69">
          <cell r="C69">
            <v>460486</v>
          </cell>
          <cell r="D69">
            <v>456789</v>
          </cell>
          <cell r="E69">
            <v>458221</v>
          </cell>
          <cell r="F69">
            <v>446215</v>
          </cell>
          <cell r="G69">
            <v>434919</v>
          </cell>
          <cell r="H69">
            <v>424097</v>
          </cell>
          <cell r="I69">
            <v>435923</v>
          </cell>
          <cell r="J69">
            <v>431784</v>
          </cell>
          <cell r="K69">
            <v>0</v>
          </cell>
          <cell r="L69">
            <v>0</v>
          </cell>
          <cell r="M69">
            <v>0</v>
          </cell>
          <cell r="N69">
            <v>0</v>
          </cell>
          <cell r="O69">
            <v>0</v>
          </cell>
          <cell r="P69">
            <v>0</v>
          </cell>
          <cell r="Q69">
            <v>0</v>
          </cell>
          <cell r="R69">
            <v>0</v>
          </cell>
          <cell r="S69">
            <v>549014</v>
          </cell>
          <cell r="T69">
            <v>548972</v>
          </cell>
          <cell r="U69">
            <v>548930</v>
          </cell>
          <cell r="V69">
            <v>548889</v>
          </cell>
          <cell r="W69">
            <v>548847</v>
          </cell>
          <cell r="X69">
            <v>548805</v>
          </cell>
          <cell r="Y69">
            <v>548763</v>
          </cell>
          <cell r="Z69">
            <v>548722</v>
          </cell>
          <cell r="AA69">
            <v>0</v>
          </cell>
          <cell r="AB69">
            <v>0</v>
          </cell>
          <cell r="AC69">
            <v>0</v>
          </cell>
          <cell r="AD69">
            <v>0</v>
          </cell>
          <cell r="AE69">
            <v>0</v>
          </cell>
          <cell r="AF69">
            <v>0</v>
          </cell>
          <cell r="AG69">
            <v>0</v>
          </cell>
          <cell r="AH69">
            <v>0</v>
          </cell>
          <cell r="AI69">
            <v>0</v>
          </cell>
          <cell r="AJ69">
            <v>0</v>
          </cell>
          <cell r="AK69">
            <v>0</v>
          </cell>
          <cell r="AL69">
            <v>0</v>
          </cell>
          <cell r="AM69">
            <v>0</v>
          </cell>
          <cell r="AN69">
            <v>4268</v>
          </cell>
          <cell r="AO69">
            <v>0</v>
          </cell>
          <cell r="AP69">
            <v>485</v>
          </cell>
          <cell r="AQ69">
            <v>21160</v>
          </cell>
          <cell r="AR69">
            <v>20964</v>
          </cell>
          <cell r="AS69">
            <v>20042</v>
          </cell>
          <cell r="AT69">
            <v>19693</v>
          </cell>
          <cell r="AU69">
            <v>19138</v>
          </cell>
          <cell r="AV69">
            <v>19096</v>
          </cell>
          <cell r="AW69">
            <v>18883</v>
          </cell>
          <cell r="AX69">
            <v>18258</v>
          </cell>
          <cell r="AY69">
            <v>0</v>
          </cell>
          <cell r="AZ69">
            <v>0</v>
          </cell>
          <cell r="BA69">
            <v>0</v>
          </cell>
          <cell r="BB69">
            <v>0</v>
          </cell>
          <cell r="BC69">
            <v>0</v>
          </cell>
          <cell r="BD69">
            <v>0</v>
          </cell>
          <cell r="BE69">
            <v>0</v>
          </cell>
          <cell r="BF69">
            <v>0</v>
          </cell>
          <cell r="BH69">
            <v>1009500</v>
          </cell>
          <cell r="BI69">
            <v>1005761</v>
          </cell>
          <cell r="BJ69">
            <v>1007151</v>
          </cell>
          <cell r="BK69">
            <v>995104</v>
          </cell>
          <cell r="BL69">
            <v>983766</v>
          </cell>
          <cell r="BM69">
            <v>977170</v>
          </cell>
          <cell r="BN69">
            <v>984686</v>
          </cell>
          <cell r="BO69">
            <v>980991</v>
          </cell>
        </row>
        <row r="70">
          <cell r="C70">
            <v>2746422</v>
          </cell>
          <cell r="D70">
            <v>2710285</v>
          </cell>
          <cell r="E70">
            <v>2717688</v>
          </cell>
          <cell r="F70">
            <v>2691658</v>
          </cell>
          <cell r="G70">
            <v>2028995</v>
          </cell>
          <cell r="H70">
            <v>2026325</v>
          </cell>
          <cell r="I70">
            <v>1995713</v>
          </cell>
          <cell r="J70">
            <v>1951966</v>
          </cell>
          <cell r="K70">
            <v>0</v>
          </cell>
          <cell r="L70">
            <v>0</v>
          </cell>
          <cell r="M70">
            <v>0</v>
          </cell>
          <cell r="N70">
            <v>0</v>
          </cell>
          <cell r="O70">
            <v>0</v>
          </cell>
          <cell r="P70">
            <v>0</v>
          </cell>
          <cell r="Q70">
            <v>0</v>
          </cell>
          <cell r="R70">
            <v>0</v>
          </cell>
          <cell r="S70">
            <v>1841533</v>
          </cell>
          <cell r="T70">
            <v>1841391</v>
          </cell>
          <cell r="U70">
            <v>1841249</v>
          </cell>
          <cell r="V70">
            <v>1841107</v>
          </cell>
          <cell r="W70">
            <v>1648779</v>
          </cell>
          <cell r="X70">
            <v>1648779</v>
          </cell>
          <cell r="Y70">
            <v>1648779</v>
          </cell>
          <cell r="Z70">
            <v>1648779</v>
          </cell>
          <cell r="AA70">
            <v>0</v>
          </cell>
          <cell r="AB70">
            <v>0</v>
          </cell>
          <cell r="AC70">
            <v>0</v>
          </cell>
          <cell r="AD70">
            <v>0</v>
          </cell>
          <cell r="AE70">
            <v>0</v>
          </cell>
          <cell r="AF70">
            <v>0</v>
          </cell>
          <cell r="AG70">
            <v>0</v>
          </cell>
          <cell r="AH70">
            <v>0</v>
          </cell>
          <cell r="AI70">
            <v>0</v>
          </cell>
          <cell r="AJ70">
            <v>0</v>
          </cell>
          <cell r="AK70">
            <v>0</v>
          </cell>
          <cell r="AL70">
            <v>10434</v>
          </cell>
          <cell r="AM70">
            <v>94184</v>
          </cell>
          <cell r="AN70">
            <v>117054</v>
          </cell>
          <cell r="AO70">
            <v>61144</v>
          </cell>
          <cell r="AP70">
            <v>77975</v>
          </cell>
          <cell r="AQ70">
            <v>23180</v>
          </cell>
          <cell r="AR70">
            <v>23300</v>
          </cell>
          <cell r="AS70">
            <v>22823</v>
          </cell>
          <cell r="AT70">
            <v>22839</v>
          </cell>
          <cell r="AU70">
            <v>22549</v>
          </cell>
          <cell r="AV70">
            <v>22433</v>
          </cell>
          <cell r="AW70">
            <v>22494</v>
          </cell>
          <cell r="AX70">
            <v>21975</v>
          </cell>
          <cell r="AY70">
            <v>0</v>
          </cell>
          <cell r="AZ70">
            <v>0</v>
          </cell>
          <cell r="BA70">
            <v>0</v>
          </cell>
          <cell r="BB70">
            <v>0</v>
          </cell>
          <cell r="BC70">
            <v>0</v>
          </cell>
          <cell r="BD70">
            <v>0</v>
          </cell>
          <cell r="BE70">
            <v>0</v>
          </cell>
          <cell r="BF70">
            <v>0</v>
          </cell>
          <cell r="BH70">
            <v>4587955</v>
          </cell>
          <cell r="BI70">
            <v>4551676</v>
          </cell>
          <cell r="BJ70">
            <v>4558937</v>
          </cell>
          <cell r="BK70">
            <v>4543199</v>
          </cell>
          <cell r="BL70">
            <v>3771958</v>
          </cell>
          <cell r="BM70">
            <v>3792158</v>
          </cell>
          <cell r="BN70">
            <v>3705636</v>
          </cell>
          <cell r="BO70">
            <v>3678720</v>
          </cell>
        </row>
        <row r="71">
          <cell r="C71">
            <v>28387</v>
          </cell>
          <cell r="D71">
            <v>28782</v>
          </cell>
          <cell r="E71">
            <v>28929</v>
          </cell>
          <cell r="F71">
            <v>27572</v>
          </cell>
          <cell r="G71">
            <v>26501</v>
          </cell>
          <cell r="H71">
            <v>24580</v>
          </cell>
          <cell r="I71">
            <v>24301</v>
          </cell>
          <cell r="J71">
            <v>21335</v>
          </cell>
          <cell r="K71">
            <v>0</v>
          </cell>
          <cell r="L71">
            <v>0</v>
          </cell>
          <cell r="M71">
            <v>0</v>
          </cell>
          <cell r="N71">
            <v>0</v>
          </cell>
          <cell r="O71">
            <v>0</v>
          </cell>
          <cell r="P71">
            <v>0</v>
          </cell>
          <cell r="Q71">
            <v>0</v>
          </cell>
          <cell r="R71">
            <v>0</v>
          </cell>
          <cell r="S71">
            <v>20000</v>
          </cell>
          <cell r="T71">
            <v>20000</v>
          </cell>
          <cell r="U71">
            <v>20000</v>
          </cell>
          <cell r="V71">
            <v>20000</v>
          </cell>
          <cell r="W71">
            <v>0</v>
          </cell>
          <cell r="X71">
            <v>0</v>
          </cell>
          <cell r="Y71">
            <v>0</v>
          </cell>
          <cell r="Z71">
            <v>20000</v>
          </cell>
          <cell r="AA71">
            <v>0</v>
          </cell>
          <cell r="AB71">
            <v>0</v>
          </cell>
          <cell r="AC71">
            <v>0</v>
          </cell>
          <cell r="AD71">
            <v>0</v>
          </cell>
          <cell r="AE71">
            <v>0</v>
          </cell>
          <cell r="AF71">
            <v>0</v>
          </cell>
          <cell r="AG71">
            <v>0</v>
          </cell>
          <cell r="AH71">
            <v>0</v>
          </cell>
          <cell r="AI71">
            <v>11678</v>
          </cell>
          <cell r="AJ71">
            <v>7802</v>
          </cell>
          <cell r="AK71">
            <v>12146</v>
          </cell>
          <cell r="AL71">
            <v>11454</v>
          </cell>
          <cell r="AM71">
            <v>35735</v>
          </cell>
          <cell r="AN71">
            <v>33117</v>
          </cell>
          <cell r="AO71">
            <v>33370</v>
          </cell>
          <cell r="AP71">
            <v>11969</v>
          </cell>
          <cell r="AQ71">
            <v>3286</v>
          </cell>
          <cell r="AR71">
            <v>3270</v>
          </cell>
          <cell r="AS71">
            <v>3216</v>
          </cell>
          <cell r="AT71">
            <v>3153</v>
          </cell>
          <cell r="AU71">
            <v>3061</v>
          </cell>
          <cell r="AV71">
            <v>2963</v>
          </cell>
          <cell r="AW71">
            <v>2841</v>
          </cell>
          <cell r="AX71">
            <v>2747</v>
          </cell>
          <cell r="AY71">
            <v>0</v>
          </cell>
          <cell r="AZ71">
            <v>0</v>
          </cell>
          <cell r="BA71">
            <v>0</v>
          </cell>
          <cell r="BB71">
            <v>0</v>
          </cell>
          <cell r="BC71">
            <v>0</v>
          </cell>
          <cell r="BD71">
            <v>0</v>
          </cell>
          <cell r="BE71">
            <v>0</v>
          </cell>
          <cell r="BF71">
            <v>0</v>
          </cell>
          <cell r="BH71">
            <v>60065</v>
          </cell>
          <cell r="BI71">
            <v>56584</v>
          </cell>
          <cell r="BJ71">
            <v>61075</v>
          </cell>
          <cell r="BK71">
            <v>59026</v>
          </cell>
          <cell r="BL71">
            <v>62236</v>
          </cell>
          <cell r="BM71">
            <v>57697</v>
          </cell>
          <cell r="BN71">
            <v>57671</v>
          </cell>
          <cell r="BO71">
            <v>53304</v>
          </cell>
        </row>
        <row r="72">
          <cell r="C72">
            <v>32031</v>
          </cell>
          <cell r="D72">
            <v>31136</v>
          </cell>
          <cell r="E72">
            <v>30648</v>
          </cell>
          <cell r="F72">
            <v>29958</v>
          </cell>
          <cell r="G72">
            <v>29551</v>
          </cell>
          <cell r="H72">
            <v>28444</v>
          </cell>
          <cell r="I72">
            <v>27805</v>
          </cell>
          <cell r="J72">
            <v>26738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186</v>
          </cell>
          <cell r="AR72">
            <v>180</v>
          </cell>
          <cell r="AS72">
            <v>177</v>
          </cell>
          <cell r="AT72">
            <v>162</v>
          </cell>
          <cell r="AU72">
            <v>155</v>
          </cell>
          <cell r="AV72">
            <v>143</v>
          </cell>
          <cell r="AW72">
            <v>141</v>
          </cell>
          <cell r="AX72">
            <v>126</v>
          </cell>
          <cell r="AY72">
            <v>0</v>
          </cell>
          <cell r="AZ72">
            <v>0</v>
          </cell>
          <cell r="BA72">
            <v>0</v>
          </cell>
          <cell r="BB72">
            <v>0</v>
          </cell>
          <cell r="BC72">
            <v>0</v>
          </cell>
          <cell r="BD72">
            <v>0</v>
          </cell>
          <cell r="BE72">
            <v>0</v>
          </cell>
          <cell r="BF72">
            <v>0</v>
          </cell>
          <cell r="BH72">
            <v>32031</v>
          </cell>
          <cell r="BI72">
            <v>31136</v>
          </cell>
          <cell r="BJ72">
            <v>30648</v>
          </cell>
          <cell r="BK72">
            <v>29958</v>
          </cell>
          <cell r="BL72">
            <v>29551</v>
          </cell>
          <cell r="BM72">
            <v>28444</v>
          </cell>
          <cell r="BN72">
            <v>27805</v>
          </cell>
          <cell r="BO72">
            <v>26738</v>
          </cell>
        </row>
        <row r="73">
          <cell r="C73">
            <v>1768149</v>
          </cell>
          <cell r="D73">
            <v>1738010</v>
          </cell>
          <cell r="E73">
            <v>1742970</v>
          </cell>
          <cell r="F73">
            <v>1721096</v>
          </cell>
          <cell r="G73">
            <v>1315076</v>
          </cell>
          <cell r="H73">
            <v>1267166</v>
          </cell>
          <cell r="I73">
            <v>1255085</v>
          </cell>
          <cell r="J73">
            <v>1252740</v>
          </cell>
          <cell r="K73">
            <v>0</v>
          </cell>
          <cell r="L73">
            <v>0</v>
          </cell>
          <cell r="M73">
            <v>0</v>
          </cell>
          <cell r="N73">
            <v>0</v>
          </cell>
          <cell r="O73">
            <v>0</v>
          </cell>
          <cell r="P73">
            <v>0</v>
          </cell>
          <cell r="Q73">
            <v>0</v>
          </cell>
          <cell r="R73">
            <v>0</v>
          </cell>
          <cell r="S73">
            <v>1111867</v>
          </cell>
          <cell r="T73">
            <v>1111872</v>
          </cell>
          <cell r="U73">
            <v>1111877</v>
          </cell>
          <cell r="V73">
            <v>948682</v>
          </cell>
          <cell r="W73">
            <v>896104</v>
          </cell>
          <cell r="X73">
            <v>896104</v>
          </cell>
          <cell r="Y73">
            <v>896104</v>
          </cell>
          <cell r="Z73">
            <v>896104</v>
          </cell>
          <cell r="AA73">
            <v>0</v>
          </cell>
          <cell r="AB73">
            <v>0</v>
          </cell>
          <cell r="AC73">
            <v>0</v>
          </cell>
          <cell r="AD73">
            <v>163000</v>
          </cell>
          <cell r="AE73">
            <v>0</v>
          </cell>
          <cell r="AF73">
            <v>0</v>
          </cell>
          <cell r="AG73">
            <v>0</v>
          </cell>
          <cell r="AH73">
            <v>0</v>
          </cell>
          <cell r="AI73">
            <v>0</v>
          </cell>
          <cell r="AJ73">
            <v>0</v>
          </cell>
          <cell r="AK73">
            <v>0</v>
          </cell>
          <cell r="AL73">
            <v>11876</v>
          </cell>
          <cell r="AM73">
            <v>121885</v>
          </cell>
          <cell r="AN73">
            <v>137358</v>
          </cell>
          <cell r="AO73">
            <v>123592</v>
          </cell>
          <cell r="AP73">
            <v>170400</v>
          </cell>
          <cell r="AQ73">
            <v>22546</v>
          </cell>
          <cell r="AR73">
            <v>22605</v>
          </cell>
          <cell r="AS73">
            <v>23241</v>
          </cell>
          <cell r="AT73">
            <v>23238</v>
          </cell>
          <cell r="AU73">
            <v>24435</v>
          </cell>
          <cell r="AV73">
            <v>24033</v>
          </cell>
          <cell r="AW73">
            <v>23505</v>
          </cell>
          <cell r="AX73">
            <v>22460</v>
          </cell>
          <cell r="AY73">
            <v>0</v>
          </cell>
          <cell r="AZ73">
            <v>0</v>
          </cell>
          <cell r="BA73">
            <v>0</v>
          </cell>
          <cell r="BB73">
            <v>0</v>
          </cell>
          <cell r="BC73">
            <v>0</v>
          </cell>
          <cell r="BD73">
            <v>0</v>
          </cell>
          <cell r="BE73">
            <v>0</v>
          </cell>
          <cell r="BF73">
            <v>0</v>
          </cell>
          <cell r="BH73">
            <v>2880016</v>
          </cell>
          <cell r="BI73">
            <v>2849882</v>
          </cell>
          <cell r="BJ73">
            <v>2854847</v>
          </cell>
          <cell r="BK73">
            <v>2844654</v>
          </cell>
          <cell r="BL73">
            <v>2333065</v>
          </cell>
          <cell r="BM73">
            <v>2300628</v>
          </cell>
          <cell r="BN73">
            <v>2274781</v>
          </cell>
          <cell r="BO73">
            <v>2319244</v>
          </cell>
        </row>
        <row r="74">
          <cell r="C74">
            <v>534092</v>
          </cell>
          <cell r="D74">
            <v>525515</v>
          </cell>
          <cell r="E74">
            <v>523052</v>
          </cell>
          <cell r="F74">
            <v>544391</v>
          </cell>
          <cell r="G74">
            <v>546496</v>
          </cell>
          <cell r="H74">
            <v>536076</v>
          </cell>
          <cell r="I74">
            <v>534491</v>
          </cell>
          <cell r="J74">
            <v>569806</v>
          </cell>
          <cell r="K74">
            <v>0</v>
          </cell>
          <cell r="L74">
            <v>0</v>
          </cell>
          <cell r="M74">
            <v>0</v>
          </cell>
          <cell r="N74">
            <v>0</v>
          </cell>
          <cell r="O74">
            <v>0</v>
          </cell>
          <cell r="P74">
            <v>0</v>
          </cell>
          <cell r="Q74">
            <v>0</v>
          </cell>
          <cell r="R74">
            <v>0</v>
          </cell>
          <cell r="S74">
            <v>364223</v>
          </cell>
          <cell r="T74">
            <v>364877</v>
          </cell>
          <cell r="U74">
            <v>365531</v>
          </cell>
          <cell r="V74">
            <v>336018</v>
          </cell>
          <cell r="W74">
            <v>319739</v>
          </cell>
          <cell r="X74">
            <v>320140</v>
          </cell>
          <cell r="Y74">
            <v>320542</v>
          </cell>
          <cell r="Z74">
            <v>272470</v>
          </cell>
          <cell r="AA74">
            <v>0</v>
          </cell>
          <cell r="AB74">
            <v>0</v>
          </cell>
          <cell r="AC74">
            <v>0</v>
          </cell>
          <cell r="AD74">
            <v>3500</v>
          </cell>
          <cell r="AE74">
            <v>14500</v>
          </cell>
          <cell r="AF74">
            <v>21000</v>
          </cell>
          <cell r="AG74">
            <v>28000</v>
          </cell>
          <cell r="AH74">
            <v>33500</v>
          </cell>
          <cell r="AI74">
            <v>0</v>
          </cell>
          <cell r="AJ74">
            <v>0</v>
          </cell>
          <cell r="AK74">
            <v>0</v>
          </cell>
          <cell r="AL74">
            <v>0</v>
          </cell>
          <cell r="AM74">
            <v>0</v>
          </cell>
          <cell r="AN74">
            <v>0</v>
          </cell>
          <cell r="AO74">
            <v>0</v>
          </cell>
          <cell r="AP74">
            <v>0</v>
          </cell>
          <cell r="AQ74">
            <v>63</v>
          </cell>
          <cell r="AR74">
            <v>60</v>
          </cell>
          <cell r="AS74">
            <v>52</v>
          </cell>
          <cell r="AT74">
            <v>39</v>
          </cell>
          <cell r="AU74">
            <v>70</v>
          </cell>
          <cell r="AV74">
            <v>79</v>
          </cell>
          <cell r="AW74">
            <v>93</v>
          </cell>
          <cell r="AX74">
            <v>104</v>
          </cell>
          <cell r="AY74">
            <v>0</v>
          </cell>
          <cell r="AZ74">
            <v>0</v>
          </cell>
          <cell r="BA74">
            <v>0</v>
          </cell>
          <cell r="BB74">
            <v>0</v>
          </cell>
          <cell r="BC74">
            <v>1667</v>
          </cell>
          <cell r="BD74">
            <v>1667</v>
          </cell>
          <cell r="BE74">
            <v>1667</v>
          </cell>
          <cell r="BF74">
            <v>0</v>
          </cell>
          <cell r="BH74">
            <v>898315</v>
          </cell>
          <cell r="BI74">
            <v>890392</v>
          </cell>
          <cell r="BJ74">
            <v>888583</v>
          </cell>
          <cell r="BK74">
            <v>883909</v>
          </cell>
          <cell r="BL74">
            <v>882402</v>
          </cell>
          <cell r="BM74">
            <v>878883</v>
          </cell>
          <cell r="BN74">
            <v>884700</v>
          </cell>
          <cell r="BO74">
            <v>875776</v>
          </cell>
        </row>
        <row r="75">
          <cell r="C75">
            <v>43883</v>
          </cell>
          <cell r="D75">
            <v>45143</v>
          </cell>
          <cell r="E75">
            <v>46488</v>
          </cell>
          <cell r="F75">
            <v>44407</v>
          </cell>
          <cell r="G75">
            <v>44118</v>
          </cell>
          <cell r="H75">
            <v>44921</v>
          </cell>
          <cell r="I75">
            <v>46297</v>
          </cell>
          <cell r="J75">
            <v>45814</v>
          </cell>
          <cell r="K75">
            <v>0</v>
          </cell>
          <cell r="L75">
            <v>0</v>
          </cell>
          <cell r="M75">
            <v>0</v>
          </cell>
          <cell r="N75">
            <v>0</v>
          </cell>
          <cell r="O75">
            <v>0</v>
          </cell>
          <cell r="P75">
            <v>0</v>
          </cell>
          <cell r="Q75">
            <v>0</v>
          </cell>
          <cell r="R75">
            <v>0</v>
          </cell>
          <cell r="S75">
            <v>22600</v>
          </cell>
          <cell r="T75">
            <v>22600</v>
          </cell>
          <cell r="U75">
            <v>23360</v>
          </cell>
          <cell r="V75">
            <v>23645</v>
          </cell>
          <cell r="W75">
            <v>23930</v>
          </cell>
          <cell r="X75">
            <v>24215</v>
          </cell>
          <cell r="Y75">
            <v>24500</v>
          </cell>
          <cell r="Z75">
            <v>24785</v>
          </cell>
          <cell r="AA75">
            <v>0</v>
          </cell>
          <cell r="AB75">
            <v>0</v>
          </cell>
          <cell r="AC75">
            <v>700</v>
          </cell>
          <cell r="AD75">
            <v>2300</v>
          </cell>
          <cell r="AE75">
            <v>1400</v>
          </cell>
          <cell r="AF75">
            <v>1700</v>
          </cell>
          <cell r="AG75">
            <v>2000</v>
          </cell>
          <cell r="AH75">
            <v>4800</v>
          </cell>
          <cell r="AI75">
            <v>0</v>
          </cell>
          <cell r="AJ75">
            <v>0</v>
          </cell>
          <cell r="AK75">
            <v>0</v>
          </cell>
          <cell r="AL75">
            <v>0</v>
          </cell>
          <cell r="AM75">
            <v>0</v>
          </cell>
          <cell r="AN75">
            <v>0</v>
          </cell>
          <cell r="AO75">
            <v>0</v>
          </cell>
          <cell r="AP75">
            <v>0</v>
          </cell>
          <cell r="AQ75">
            <v>373</v>
          </cell>
          <cell r="AR75">
            <v>379</v>
          </cell>
          <cell r="AS75">
            <v>378</v>
          </cell>
          <cell r="AT75">
            <v>440</v>
          </cell>
          <cell r="AU75">
            <v>410</v>
          </cell>
          <cell r="AV75">
            <v>339</v>
          </cell>
          <cell r="AW75">
            <v>322</v>
          </cell>
          <cell r="AX75">
            <v>310</v>
          </cell>
          <cell r="AY75">
            <v>0</v>
          </cell>
          <cell r="AZ75">
            <v>0</v>
          </cell>
          <cell r="BA75">
            <v>0</v>
          </cell>
          <cell r="BB75">
            <v>0</v>
          </cell>
          <cell r="BC75">
            <v>0</v>
          </cell>
          <cell r="BD75">
            <v>0</v>
          </cell>
          <cell r="BE75">
            <v>0</v>
          </cell>
          <cell r="BF75">
            <v>0</v>
          </cell>
          <cell r="BH75">
            <v>66483</v>
          </cell>
          <cell r="BI75">
            <v>67743</v>
          </cell>
          <cell r="BJ75">
            <v>70548</v>
          </cell>
          <cell r="BK75">
            <v>70352</v>
          </cell>
          <cell r="BL75">
            <v>69448</v>
          </cell>
          <cell r="BM75">
            <v>70836</v>
          </cell>
          <cell r="BN75">
            <v>72797</v>
          </cell>
          <cell r="BO75">
            <v>75399</v>
          </cell>
        </row>
        <row r="76">
          <cell r="C76">
            <v>1966492</v>
          </cell>
          <cell r="D76">
            <v>1931923</v>
          </cell>
          <cell r="E76">
            <v>1922095</v>
          </cell>
          <cell r="F76">
            <v>1911139</v>
          </cell>
          <cell r="G76">
            <v>1901331</v>
          </cell>
          <cell r="H76">
            <v>1873945</v>
          </cell>
          <cell r="I76">
            <v>1861070</v>
          </cell>
          <cell r="J76">
            <v>1637669</v>
          </cell>
          <cell r="K76">
            <v>2259</v>
          </cell>
          <cell r="L76">
            <v>2259</v>
          </cell>
          <cell r="M76">
            <v>2259</v>
          </cell>
          <cell r="N76">
            <v>2259</v>
          </cell>
          <cell r="O76">
            <v>2259</v>
          </cell>
          <cell r="P76">
            <v>2259</v>
          </cell>
          <cell r="Q76">
            <v>2259</v>
          </cell>
          <cell r="R76">
            <v>2259</v>
          </cell>
          <cell r="S76">
            <v>817495</v>
          </cell>
          <cell r="T76">
            <v>817472</v>
          </cell>
          <cell r="U76">
            <v>817450</v>
          </cell>
          <cell r="V76">
            <v>817264</v>
          </cell>
          <cell r="W76">
            <v>817229</v>
          </cell>
          <cell r="X76">
            <v>817194</v>
          </cell>
          <cell r="Y76">
            <v>817159</v>
          </cell>
          <cell r="Z76">
            <v>817116</v>
          </cell>
          <cell r="AA76">
            <v>0</v>
          </cell>
          <cell r="AB76">
            <v>0</v>
          </cell>
          <cell r="AC76">
            <v>0</v>
          </cell>
          <cell r="AD76">
            <v>0</v>
          </cell>
          <cell r="AE76">
            <v>0</v>
          </cell>
          <cell r="AF76">
            <v>0</v>
          </cell>
          <cell r="AG76">
            <v>0</v>
          </cell>
          <cell r="AH76">
            <v>0</v>
          </cell>
          <cell r="AI76">
            <v>14038</v>
          </cell>
          <cell r="AJ76">
            <v>79888</v>
          </cell>
          <cell r="AK76">
            <v>46563</v>
          </cell>
          <cell r="AL76">
            <v>82288</v>
          </cell>
          <cell r="AM76">
            <v>40213</v>
          </cell>
          <cell r="AN76">
            <v>86775</v>
          </cell>
          <cell r="AO76">
            <v>193050</v>
          </cell>
          <cell r="AP76">
            <v>202575</v>
          </cell>
          <cell r="AQ76">
            <v>10373</v>
          </cell>
          <cell r="AR76">
            <v>9960</v>
          </cell>
          <cell r="AS76">
            <v>9582</v>
          </cell>
          <cell r="AT76">
            <v>8805</v>
          </cell>
          <cell r="AU76">
            <v>9135</v>
          </cell>
          <cell r="AV76">
            <v>9174</v>
          </cell>
          <cell r="AW76">
            <v>9010</v>
          </cell>
          <cell r="AX76">
            <v>8452</v>
          </cell>
          <cell r="AY76">
            <v>0</v>
          </cell>
          <cell r="AZ76">
            <v>0</v>
          </cell>
          <cell r="BA76">
            <v>0</v>
          </cell>
          <cell r="BB76">
            <v>0</v>
          </cell>
          <cell r="BC76">
            <v>0</v>
          </cell>
          <cell r="BD76">
            <v>0</v>
          </cell>
          <cell r="BE76">
            <v>0</v>
          </cell>
          <cell r="BF76">
            <v>0</v>
          </cell>
          <cell r="BH76">
            <v>2798025</v>
          </cell>
          <cell r="BI76">
            <v>2829283</v>
          </cell>
          <cell r="BJ76">
            <v>2786108</v>
          </cell>
          <cell r="BK76">
            <v>2810691</v>
          </cell>
          <cell r="BL76">
            <v>2758773</v>
          </cell>
          <cell r="BM76">
            <v>2777914</v>
          </cell>
          <cell r="BN76">
            <v>2871279</v>
          </cell>
          <cell r="BO76">
            <v>2657360</v>
          </cell>
        </row>
        <row r="77">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H77">
            <v>0</v>
          </cell>
          <cell r="BI77">
            <v>0</v>
          </cell>
          <cell r="BJ77">
            <v>0</v>
          </cell>
          <cell r="BK77">
            <v>0</v>
          </cell>
          <cell r="BL77">
            <v>0</v>
          </cell>
          <cell r="BM77">
            <v>0</v>
          </cell>
          <cell r="BN77">
            <v>0</v>
          </cell>
          <cell r="BO77">
            <v>0</v>
          </cell>
        </row>
        <row r="78">
          <cell r="C78">
            <v>2791079</v>
          </cell>
          <cell r="D78">
            <v>2725350</v>
          </cell>
          <cell r="E78">
            <v>2689083</v>
          </cell>
          <cell r="F78">
            <v>2692802</v>
          </cell>
          <cell r="G78">
            <v>2662121</v>
          </cell>
          <cell r="H78">
            <v>2627740</v>
          </cell>
          <cell r="I78">
            <v>2608020</v>
          </cell>
          <cell r="J78">
            <v>2571647</v>
          </cell>
          <cell r="K78">
            <v>15000</v>
          </cell>
          <cell r="L78">
            <v>15000</v>
          </cell>
          <cell r="M78">
            <v>15000</v>
          </cell>
          <cell r="N78">
            <v>15000</v>
          </cell>
          <cell r="O78">
            <v>15000</v>
          </cell>
          <cell r="P78">
            <v>15000</v>
          </cell>
          <cell r="Q78">
            <v>15000</v>
          </cell>
          <cell r="R78">
            <v>15000</v>
          </cell>
          <cell r="S78">
            <v>280991</v>
          </cell>
          <cell r="T78">
            <v>280992</v>
          </cell>
          <cell r="U78">
            <v>280994</v>
          </cell>
          <cell r="V78">
            <v>280996</v>
          </cell>
          <cell r="W78">
            <v>281098</v>
          </cell>
          <cell r="X78">
            <v>281099</v>
          </cell>
          <cell r="Y78">
            <v>281101</v>
          </cell>
          <cell r="Z78">
            <v>281103</v>
          </cell>
          <cell r="AA78">
            <v>0</v>
          </cell>
          <cell r="AB78">
            <v>0</v>
          </cell>
          <cell r="AC78">
            <v>0</v>
          </cell>
          <cell r="AD78">
            <v>20000</v>
          </cell>
          <cell r="AE78">
            <v>4700</v>
          </cell>
          <cell r="AF78">
            <v>0</v>
          </cell>
          <cell r="AG78">
            <v>0</v>
          </cell>
          <cell r="AH78">
            <v>0</v>
          </cell>
          <cell r="AI78">
            <v>0</v>
          </cell>
          <cell r="AJ78">
            <v>0</v>
          </cell>
          <cell r="AK78">
            <v>0</v>
          </cell>
          <cell r="AL78">
            <v>0</v>
          </cell>
          <cell r="AM78">
            <v>0</v>
          </cell>
          <cell r="AN78">
            <v>0</v>
          </cell>
          <cell r="AO78">
            <v>0</v>
          </cell>
          <cell r="AP78">
            <v>0</v>
          </cell>
          <cell r="AQ78">
            <v>1927</v>
          </cell>
          <cell r="AR78">
            <v>1923</v>
          </cell>
          <cell r="AS78">
            <v>1959</v>
          </cell>
          <cell r="AT78">
            <v>2019</v>
          </cell>
          <cell r="AU78">
            <v>2017</v>
          </cell>
          <cell r="AV78">
            <v>2108</v>
          </cell>
          <cell r="AW78">
            <v>2192</v>
          </cell>
          <cell r="AX78">
            <v>2240</v>
          </cell>
          <cell r="AY78">
            <v>0</v>
          </cell>
          <cell r="AZ78">
            <v>0</v>
          </cell>
          <cell r="BA78">
            <v>0</v>
          </cell>
          <cell r="BB78">
            <v>0</v>
          </cell>
          <cell r="BC78">
            <v>0</v>
          </cell>
          <cell r="BD78">
            <v>0</v>
          </cell>
          <cell r="BE78">
            <v>0</v>
          </cell>
          <cell r="BF78">
            <v>0</v>
          </cell>
          <cell r="BH78">
            <v>3072070</v>
          </cell>
          <cell r="BI78">
            <v>3006342</v>
          </cell>
          <cell r="BJ78">
            <v>2970077</v>
          </cell>
          <cell r="BK78">
            <v>2993798</v>
          </cell>
          <cell r="BL78">
            <v>2947919</v>
          </cell>
          <cell r="BM78">
            <v>2908839</v>
          </cell>
          <cell r="BN78">
            <v>2889121</v>
          </cell>
          <cell r="BO78">
            <v>2852750</v>
          </cell>
        </row>
        <row r="79">
          <cell r="C79">
            <v>776349</v>
          </cell>
          <cell r="D79">
            <v>749138</v>
          </cell>
          <cell r="E79">
            <v>935864</v>
          </cell>
          <cell r="F79">
            <v>1087100</v>
          </cell>
          <cell r="G79">
            <v>1110237</v>
          </cell>
          <cell r="H79">
            <v>1094424</v>
          </cell>
          <cell r="I79">
            <v>1075722</v>
          </cell>
          <cell r="J79">
            <v>1057918</v>
          </cell>
          <cell r="K79">
            <v>0</v>
          </cell>
          <cell r="L79">
            <v>0</v>
          </cell>
          <cell r="M79">
            <v>0</v>
          </cell>
          <cell r="N79">
            <v>0</v>
          </cell>
          <cell r="O79">
            <v>0</v>
          </cell>
          <cell r="P79">
            <v>0</v>
          </cell>
          <cell r="Q79">
            <v>0</v>
          </cell>
          <cell r="R79">
            <v>0</v>
          </cell>
          <cell r="S79">
            <v>728247</v>
          </cell>
          <cell r="T79">
            <v>728217</v>
          </cell>
          <cell r="U79">
            <v>742482</v>
          </cell>
          <cell r="V79">
            <v>742461</v>
          </cell>
          <cell r="W79">
            <v>742441</v>
          </cell>
          <cell r="X79">
            <v>742420</v>
          </cell>
          <cell r="Y79">
            <v>742400</v>
          </cell>
          <cell r="Z79">
            <v>842373</v>
          </cell>
          <cell r="AA79">
            <v>0</v>
          </cell>
          <cell r="AB79">
            <v>50000</v>
          </cell>
          <cell r="AC79">
            <v>0</v>
          </cell>
          <cell r="AD79">
            <v>0</v>
          </cell>
          <cell r="AE79">
            <v>0</v>
          </cell>
          <cell r="AF79">
            <v>0</v>
          </cell>
          <cell r="AG79">
            <v>0</v>
          </cell>
          <cell r="AH79">
            <v>0</v>
          </cell>
          <cell r="AI79">
            <v>282199</v>
          </cell>
          <cell r="AJ79">
            <v>238399</v>
          </cell>
          <cell r="AK79">
            <v>109709</v>
          </cell>
          <cell r="AL79">
            <v>124079</v>
          </cell>
          <cell r="AM79">
            <v>6296</v>
          </cell>
          <cell r="AN79">
            <v>17898</v>
          </cell>
          <cell r="AO79">
            <v>48793</v>
          </cell>
          <cell r="AP79">
            <v>0</v>
          </cell>
          <cell r="AQ79">
            <v>11603</v>
          </cell>
          <cell r="AR79">
            <v>11220</v>
          </cell>
          <cell r="AS79">
            <v>10884</v>
          </cell>
          <cell r="AT79">
            <v>0</v>
          </cell>
          <cell r="AU79">
            <v>0</v>
          </cell>
          <cell r="AV79">
            <v>0</v>
          </cell>
          <cell r="AW79">
            <v>0</v>
          </cell>
          <cell r="AX79">
            <v>0</v>
          </cell>
          <cell r="AY79">
            <v>0</v>
          </cell>
          <cell r="AZ79">
            <v>0</v>
          </cell>
          <cell r="BA79">
            <v>0</v>
          </cell>
          <cell r="BB79">
            <v>0</v>
          </cell>
          <cell r="BC79">
            <v>0</v>
          </cell>
          <cell r="BD79">
            <v>0</v>
          </cell>
          <cell r="BE79">
            <v>0</v>
          </cell>
          <cell r="BF79">
            <v>0</v>
          </cell>
          <cell r="BH79">
            <v>1786795</v>
          </cell>
          <cell r="BI79">
            <v>1765754</v>
          </cell>
          <cell r="BJ79">
            <v>1788055</v>
          </cell>
          <cell r="BK79">
            <v>1953640</v>
          </cell>
          <cell r="BL79">
            <v>1858974</v>
          </cell>
          <cell r="BM79">
            <v>1854742</v>
          </cell>
          <cell r="BN79">
            <v>1866915</v>
          </cell>
          <cell r="BO79">
            <v>1900291</v>
          </cell>
        </row>
        <row r="80">
          <cell r="C80">
            <v>3203207</v>
          </cell>
          <cell r="D80">
            <v>3092620</v>
          </cell>
          <cell r="E80">
            <v>3034013</v>
          </cell>
          <cell r="F80">
            <v>2957217</v>
          </cell>
          <cell r="G80">
            <v>2825405</v>
          </cell>
          <cell r="H80">
            <v>2850611</v>
          </cell>
          <cell r="I80">
            <v>2899287</v>
          </cell>
          <cell r="J80">
            <v>2959632</v>
          </cell>
          <cell r="K80">
            <v>26822</v>
          </cell>
          <cell r="L80">
            <v>26822</v>
          </cell>
          <cell r="M80">
            <v>26822</v>
          </cell>
          <cell r="N80">
            <v>26822</v>
          </cell>
          <cell r="O80">
            <v>26822</v>
          </cell>
          <cell r="P80">
            <v>26822</v>
          </cell>
          <cell r="Q80">
            <v>30329</v>
          </cell>
          <cell r="R80">
            <v>30329</v>
          </cell>
          <cell r="S80">
            <v>3240564</v>
          </cell>
          <cell r="T80">
            <v>2957574</v>
          </cell>
          <cell r="U80">
            <v>2863912</v>
          </cell>
          <cell r="V80">
            <v>2863788</v>
          </cell>
          <cell r="W80">
            <v>2863664</v>
          </cell>
          <cell r="X80">
            <v>2863540</v>
          </cell>
          <cell r="Y80">
            <v>2863416</v>
          </cell>
          <cell r="Z80">
            <v>2863293</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3021</v>
          </cell>
          <cell r="AR80">
            <v>2990</v>
          </cell>
          <cell r="AS80">
            <v>3060</v>
          </cell>
          <cell r="AT80">
            <v>3059</v>
          </cell>
          <cell r="AU80">
            <v>3019</v>
          </cell>
          <cell r="AV80">
            <v>3374</v>
          </cell>
          <cell r="AW80">
            <v>3591</v>
          </cell>
          <cell r="AX80">
            <v>3755</v>
          </cell>
          <cell r="AY80">
            <v>0</v>
          </cell>
          <cell r="AZ80">
            <v>0</v>
          </cell>
          <cell r="BA80">
            <v>0</v>
          </cell>
          <cell r="BB80">
            <v>0</v>
          </cell>
          <cell r="BC80">
            <v>0</v>
          </cell>
          <cell r="BD80">
            <v>0</v>
          </cell>
          <cell r="BE80">
            <v>0</v>
          </cell>
          <cell r="BF80">
            <v>0</v>
          </cell>
          <cell r="BH80">
            <v>6443771</v>
          </cell>
          <cell r="BI80">
            <v>6050194</v>
          </cell>
          <cell r="BJ80">
            <v>5897925</v>
          </cell>
          <cell r="BK80">
            <v>5821005</v>
          </cell>
          <cell r="BL80">
            <v>5689069</v>
          </cell>
          <cell r="BM80">
            <v>5714151</v>
          </cell>
          <cell r="BN80">
            <v>5762703</v>
          </cell>
          <cell r="BO80">
            <v>5822925</v>
          </cell>
        </row>
        <row r="81">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H81">
            <v>0</v>
          </cell>
          <cell r="BI81">
            <v>0</v>
          </cell>
          <cell r="BJ81">
            <v>0</v>
          </cell>
          <cell r="BK81">
            <v>0</v>
          </cell>
          <cell r="BL81">
            <v>0</v>
          </cell>
          <cell r="BM81">
            <v>0</v>
          </cell>
          <cell r="BN81">
            <v>0</v>
          </cell>
          <cell r="BO81">
            <v>0</v>
          </cell>
        </row>
        <row r="82">
          <cell r="C82">
            <v>984250</v>
          </cell>
          <cell r="D82">
            <v>874814</v>
          </cell>
          <cell r="E82">
            <v>817442</v>
          </cell>
          <cell r="F82">
            <v>770148</v>
          </cell>
          <cell r="G82">
            <v>709490</v>
          </cell>
          <cell r="H82">
            <v>690313</v>
          </cell>
          <cell r="I82">
            <v>691032</v>
          </cell>
          <cell r="J82">
            <v>691302</v>
          </cell>
          <cell r="K82">
            <v>33421</v>
          </cell>
          <cell r="L82">
            <v>33421</v>
          </cell>
          <cell r="M82">
            <v>33421</v>
          </cell>
          <cell r="N82">
            <v>33421</v>
          </cell>
          <cell r="O82">
            <v>33421</v>
          </cell>
          <cell r="P82">
            <v>33421</v>
          </cell>
          <cell r="Q82">
            <v>33421</v>
          </cell>
          <cell r="R82">
            <v>33421</v>
          </cell>
          <cell r="S82">
            <v>701531</v>
          </cell>
          <cell r="T82">
            <v>661487</v>
          </cell>
          <cell r="U82">
            <v>586440</v>
          </cell>
          <cell r="V82">
            <v>666399</v>
          </cell>
          <cell r="W82">
            <v>616537</v>
          </cell>
          <cell r="X82">
            <v>491494</v>
          </cell>
          <cell r="Y82">
            <v>491452</v>
          </cell>
          <cell r="Z82">
            <v>491410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38993</v>
          </cell>
          <cell r="AO82">
            <v>0</v>
          </cell>
          <cell r="AP82">
            <v>0</v>
          </cell>
          <cell r="AQ82">
            <v>13445</v>
          </cell>
          <cell r="AR82">
            <v>13343</v>
          </cell>
          <cell r="AS82">
            <v>13181</v>
          </cell>
          <cell r="AT82">
            <v>12543</v>
          </cell>
          <cell r="AU82">
            <v>12142</v>
          </cell>
          <cell r="AV82">
            <v>11852</v>
          </cell>
          <cell r="AW82">
            <v>11572</v>
          </cell>
          <cell r="AX82">
            <v>11143</v>
          </cell>
          <cell r="AY82">
            <v>0</v>
          </cell>
          <cell r="AZ82">
            <v>0</v>
          </cell>
          <cell r="BA82">
            <v>0</v>
          </cell>
          <cell r="BB82">
            <v>50000</v>
          </cell>
          <cell r="BC82">
            <v>0</v>
          </cell>
          <cell r="BD82">
            <v>0</v>
          </cell>
          <cell r="BE82">
            <v>0</v>
          </cell>
          <cell r="BF82">
            <v>0</v>
          </cell>
          <cell r="BH82">
            <v>1685781</v>
          </cell>
          <cell r="BI82">
            <v>1536301</v>
          </cell>
          <cell r="BJ82">
            <v>1403882</v>
          </cell>
          <cell r="BK82">
            <v>1486547</v>
          </cell>
          <cell r="BL82">
            <v>1326027</v>
          </cell>
          <cell r="BM82">
            <v>1220800</v>
          </cell>
          <cell r="BN82">
            <v>1182484</v>
          </cell>
          <cell r="BO82">
            <v>1182712</v>
          </cell>
        </row>
        <row r="83">
          <cell r="C83">
            <v>597216</v>
          </cell>
          <cell r="D83">
            <v>548516</v>
          </cell>
          <cell r="E83">
            <v>535444</v>
          </cell>
          <cell r="F83">
            <v>591076</v>
          </cell>
          <cell r="G83">
            <v>606953</v>
          </cell>
          <cell r="H83">
            <v>628008</v>
          </cell>
          <cell r="I83">
            <v>621548</v>
          </cell>
          <cell r="J83">
            <v>613771</v>
          </cell>
          <cell r="K83">
            <v>0</v>
          </cell>
          <cell r="L83">
            <v>0</v>
          </cell>
          <cell r="M83">
            <v>0</v>
          </cell>
          <cell r="N83">
            <v>0</v>
          </cell>
          <cell r="O83">
            <v>0</v>
          </cell>
          <cell r="P83">
            <v>0</v>
          </cell>
          <cell r="Q83">
            <v>0</v>
          </cell>
          <cell r="R83">
            <v>0</v>
          </cell>
          <cell r="S83">
            <v>707809</v>
          </cell>
          <cell r="T83">
            <v>783472</v>
          </cell>
          <cell r="U83">
            <v>789654</v>
          </cell>
          <cell r="V83">
            <v>709366</v>
          </cell>
          <cell r="W83">
            <v>709312</v>
          </cell>
          <cell r="X83">
            <v>709258</v>
          </cell>
          <cell r="Y83">
            <v>709204</v>
          </cell>
          <cell r="Z83">
            <v>819147</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11978</v>
          </cell>
          <cell r="AR83">
            <v>11893</v>
          </cell>
          <cell r="AS83">
            <v>11521</v>
          </cell>
          <cell r="AT83">
            <v>10398</v>
          </cell>
          <cell r="AU83">
            <v>10292</v>
          </cell>
          <cell r="AV83">
            <v>10248</v>
          </cell>
          <cell r="AW83">
            <v>10314</v>
          </cell>
          <cell r="AX83">
            <v>9604</v>
          </cell>
          <cell r="AY83">
            <v>0</v>
          </cell>
          <cell r="AZ83">
            <v>0</v>
          </cell>
          <cell r="BA83">
            <v>0</v>
          </cell>
          <cell r="BB83">
            <v>0</v>
          </cell>
          <cell r="BC83">
            <v>0</v>
          </cell>
          <cell r="BD83">
            <v>0</v>
          </cell>
          <cell r="BE83">
            <v>0</v>
          </cell>
          <cell r="BF83">
            <v>0</v>
          </cell>
          <cell r="BH83">
            <v>1305025</v>
          </cell>
          <cell r="BI83">
            <v>1331988</v>
          </cell>
          <cell r="BJ83">
            <v>1325098</v>
          </cell>
          <cell r="BK83">
            <v>1300442</v>
          </cell>
          <cell r="BL83">
            <v>1316265</v>
          </cell>
          <cell r="BM83">
            <v>1337266</v>
          </cell>
          <cell r="BN83">
            <v>1330752</v>
          </cell>
          <cell r="BO83">
            <v>1432918</v>
          </cell>
        </row>
        <row r="84">
          <cell r="C84">
            <v>6646</v>
          </cell>
          <cell r="D84">
            <v>6389</v>
          </cell>
          <cell r="E84">
            <v>6427</v>
          </cell>
          <cell r="F84">
            <v>6161</v>
          </cell>
          <cell r="G84">
            <v>6983</v>
          </cell>
          <cell r="H84">
            <v>6600</v>
          </cell>
          <cell r="I84">
            <v>6608</v>
          </cell>
          <cell r="J84">
            <v>6179</v>
          </cell>
          <cell r="K84">
            <v>0</v>
          </cell>
          <cell r="L84">
            <v>0</v>
          </cell>
          <cell r="M84">
            <v>0</v>
          </cell>
          <cell r="N84">
            <v>0</v>
          </cell>
          <cell r="O84">
            <v>0</v>
          </cell>
          <cell r="P84">
            <v>0</v>
          </cell>
          <cell r="Q84">
            <v>0</v>
          </cell>
          <cell r="R84">
            <v>0</v>
          </cell>
          <cell r="S84">
            <v>8000</v>
          </cell>
          <cell r="T84">
            <v>8000</v>
          </cell>
          <cell r="U84">
            <v>8000</v>
          </cell>
          <cell r="V84">
            <v>8000</v>
          </cell>
          <cell r="W84">
            <v>8000</v>
          </cell>
          <cell r="X84">
            <v>8000</v>
          </cell>
          <cell r="Y84">
            <v>8000</v>
          </cell>
          <cell r="Z84">
            <v>8000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204</v>
          </cell>
          <cell r="AR84">
            <v>211</v>
          </cell>
          <cell r="AS84">
            <v>213</v>
          </cell>
          <cell r="AT84">
            <v>206</v>
          </cell>
          <cell r="AU84">
            <v>208</v>
          </cell>
          <cell r="AV84">
            <v>203</v>
          </cell>
          <cell r="AW84">
            <v>205</v>
          </cell>
          <cell r="AX84">
            <v>203</v>
          </cell>
          <cell r="AY84">
            <v>0</v>
          </cell>
          <cell r="AZ84">
            <v>0</v>
          </cell>
          <cell r="BA84">
            <v>0</v>
          </cell>
          <cell r="BB84">
            <v>0</v>
          </cell>
          <cell r="BC84">
            <v>0</v>
          </cell>
          <cell r="BD84">
            <v>0</v>
          </cell>
          <cell r="BE84">
            <v>0</v>
          </cell>
          <cell r="BF84">
            <v>0</v>
          </cell>
          <cell r="BH84">
            <v>14646</v>
          </cell>
          <cell r="BI84">
            <v>14389</v>
          </cell>
          <cell r="BJ84">
            <v>14427</v>
          </cell>
          <cell r="BK84">
            <v>14161</v>
          </cell>
          <cell r="BL84">
            <v>14983</v>
          </cell>
          <cell r="BM84">
            <v>14600</v>
          </cell>
          <cell r="BN84">
            <v>14608</v>
          </cell>
          <cell r="BO84">
            <v>14179</v>
          </cell>
        </row>
        <row r="85">
          <cell r="C85">
            <v>34916</v>
          </cell>
          <cell r="D85">
            <v>34429</v>
          </cell>
          <cell r="E85">
            <v>33982</v>
          </cell>
          <cell r="F85">
            <v>33503</v>
          </cell>
          <cell r="G85">
            <v>33037</v>
          </cell>
          <cell r="H85">
            <v>32640</v>
          </cell>
          <cell r="I85">
            <v>32254</v>
          </cell>
          <cell r="J85">
            <v>29856</v>
          </cell>
          <cell r="K85">
            <v>0</v>
          </cell>
          <cell r="L85">
            <v>0</v>
          </cell>
          <cell r="M85">
            <v>0</v>
          </cell>
          <cell r="N85">
            <v>0</v>
          </cell>
          <cell r="O85">
            <v>0</v>
          </cell>
          <cell r="P85">
            <v>0</v>
          </cell>
          <cell r="Q85">
            <v>0</v>
          </cell>
          <cell r="R85">
            <v>0</v>
          </cell>
          <cell r="S85">
            <v>52825</v>
          </cell>
          <cell r="T85">
            <v>52825</v>
          </cell>
          <cell r="U85">
            <v>52825</v>
          </cell>
          <cell r="V85">
            <v>53013</v>
          </cell>
          <cell r="W85">
            <v>53012</v>
          </cell>
          <cell r="X85">
            <v>53010</v>
          </cell>
          <cell r="Y85">
            <v>53009</v>
          </cell>
          <cell r="Z85">
            <v>53217</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475</v>
          </cell>
          <cell r="AQ85">
            <v>78</v>
          </cell>
          <cell r="AR85">
            <v>79</v>
          </cell>
          <cell r="AS85">
            <v>75</v>
          </cell>
          <cell r="AT85">
            <v>56</v>
          </cell>
          <cell r="AU85">
            <v>59</v>
          </cell>
          <cell r="AV85">
            <v>59</v>
          </cell>
          <cell r="AW85">
            <v>53</v>
          </cell>
          <cell r="AX85">
            <v>48</v>
          </cell>
          <cell r="AY85">
            <v>0</v>
          </cell>
          <cell r="AZ85">
            <v>0</v>
          </cell>
          <cell r="BA85">
            <v>0</v>
          </cell>
          <cell r="BB85">
            <v>0</v>
          </cell>
          <cell r="BC85">
            <v>0</v>
          </cell>
          <cell r="BD85">
            <v>0</v>
          </cell>
          <cell r="BE85">
            <v>0</v>
          </cell>
          <cell r="BF85">
            <v>0</v>
          </cell>
          <cell r="BH85">
            <v>87741</v>
          </cell>
          <cell r="BI85">
            <v>87254</v>
          </cell>
          <cell r="BJ85">
            <v>86807</v>
          </cell>
          <cell r="BK85">
            <v>86516</v>
          </cell>
          <cell r="BL85">
            <v>86049</v>
          </cell>
          <cell r="BM85">
            <v>85650</v>
          </cell>
          <cell r="BN85">
            <v>85263</v>
          </cell>
          <cell r="BO85">
            <v>83548</v>
          </cell>
        </row>
        <row r="86">
          <cell r="C86">
            <v>1395547</v>
          </cell>
          <cell r="D86">
            <v>1382185</v>
          </cell>
          <cell r="E86">
            <v>1377967</v>
          </cell>
          <cell r="F86">
            <v>1341248</v>
          </cell>
          <cell r="G86">
            <v>1325850</v>
          </cell>
          <cell r="H86">
            <v>1313401</v>
          </cell>
          <cell r="I86">
            <v>1313896</v>
          </cell>
          <cell r="J86">
            <v>1632319</v>
          </cell>
          <cell r="K86">
            <v>2454</v>
          </cell>
          <cell r="L86">
            <v>2454</v>
          </cell>
          <cell r="M86">
            <v>2454</v>
          </cell>
          <cell r="N86">
            <v>2454</v>
          </cell>
          <cell r="O86">
            <v>2454</v>
          </cell>
          <cell r="P86">
            <v>2454</v>
          </cell>
          <cell r="Q86">
            <v>2454</v>
          </cell>
          <cell r="R86">
            <v>2454</v>
          </cell>
          <cell r="S86">
            <v>605089</v>
          </cell>
          <cell r="T86">
            <v>605714</v>
          </cell>
          <cell r="U86">
            <v>605714</v>
          </cell>
          <cell r="V86">
            <v>605714</v>
          </cell>
          <cell r="W86">
            <v>606464</v>
          </cell>
          <cell r="X86">
            <v>607089</v>
          </cell>
          <cell r="Y86">
            <v>607089</v>
          </cell>
          <cell r="Z86">
            <v>57089</v>
          </cell>
          <cell r="AA86">
            <v>0</v>
          </cell>
          <cell r="AB86">
            <v>0</v>
          </cell>
          <cell r="AC86">
            <v>0</v>
          </cell>
          <cell r="AD86">
            <v>0</v>
          </cell>
          <cell r="AE86">
            <v>0</v>
          </cell>
          <cell r="AF86">
            <v>0</v>
          </cell>
          <cell r="AG86">
            <v>0</v>
          </cell>
          <cell r="AH86">
            <v>0</v>
          </cell>
          <cell r="AI86">
            <v>87225</v>
          </cell>
          <cell r="AJ86">
            <v>45075</v>
          </cell>
          <cell r="AK86">
            <v>24000</v>
          </cell>
          <cell r="AL86">
            <v>21250</v>
          </cell>
          <cell r="AM86">
            <v>3850</v>
          </cell>
          <cell r="AN86">
            <v>0</v>
          </cell>
          <cell r="AO86">
            <v>70975</v>
          </cell>
          <cell r="AP86">
            <v>269950</v>
          </cell>
          <cell r="AQ86">
            <v>10170</v>
          </cell>
          <cell r="AR86">
            <v>10092</v>
          </cell>
          <cell r="AS86">
            <v>8892</v>
          </cell>
          <cell r="AT86">
            <v>7996</v>
          </cell>
          <cell r="AU86">
            <v>7719</v>
          </cell>
          <cell r="AV86">
            <v>7815</v>
          </cell>
          <cell r="AW86">
            <v>7856</v>
          </cell>
          <cell r="AX86">
            <v>7691</v>
          </cell>
          <cell r="AY86">
            <v>0</v>
          </cell>
          <cell r="AZ86">
            <v>0</v>
          </cell>
          <cell r="BA86">
            <v>0</v>
          </cell>
          <cell r="BB86">
            <v>0</v>
          </cell>
          <cell r="BC86">
            <v>0</v>
          </cell>
          <cell r="BD86">
            <v>0</v>
          </cell>
          <cell r="BE86">
            <v>0</v>
          </cell>
          <cell r="BF86">
            <v>0</v>
          </cell>
          <cell r="BH86">
            <v>2087861</v>
          </cell>
          <cell r="BI86">
            <v>2032974</v>
          </cell>
          <cell r="BJ86">
            <v>2007681</v>
          </cell>
          <cell r="BK86">
            <v>1968212</v>
          </cell>
          <cell r="BL86">
            <v>1936164</v>
          </cell>
          <cell r="BM86">
            <v>1920490</v>
          </cell>
          <cell r="BN86">
            <v>1991960</v>
          </cell>
          <cell r="BO86">
            <v>1959358</v>
          </cell>
        </row>
        <row r="87">
          <cell r="C87">
            <v>2913311</v>
          </cell>
          <cell r="D87">
            <v>2798628</v>
          </cell>
          <cell r="E87">
            <v>2807365</v>
          </cell>
          <cell r="F87">
            <v>2761632</v>
          </cell>
          <cell r="G87">
            <v>2769675</v>
          </cell>
          <cell r="H87">
            <v>2614530</v>
          </cell>
          <cell r="I87">
            <v>2610730</v>
          </cell>
          <cell r="J87">
            <v>2650039</v>
          </cell>
          <cell r="K87">
            <v>0</v>
          </cell>
          <cell r="L87">
            <v>0</v>
          </cell>
          <cell r="M87">
            <v>0</v>
          </cell>
          <cell r="N87">
            <v>0</v>
          </cell>
          <cell r="O87">
            <v>0</v>
          </cell>
          <cell r="P87">
            <v>0</v>
          </cell>
          <cell r="Q87">
            <v>0</v>
          </cell>
          <cell r="R87">
            <v>0</v>
          </cell>
          <cell r="S87">
            <v>3437947</v>
          </cell>
          <cell r="T87">
            <v>3547573</v>
          </cell>
          <cell r="U87">
            <v>3522279</v>
          </cell>
          <cell r="V87">
            <v>3522027</v>
          </cell>
          <cell r="W87">
            <v>3847826</v>
          </cell>
          <cell r="X87">
            <v>3773357</v>
          </cell>
          <cell r="Y87">
            <v>3728112</v>
          </cell>
          <cell r="Z87">
            <v>3607866</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46264</v>
          </cell>
          <cell r="AR87">
            <v>51454</v>
          </cell>
          <cell r="AS87">
            <v>52314</v>
          </cell>
          <cell r="AT87">
            <v>54608</v>
          </cell>
          <cell r="AU87">
            <v>53933</v>
          </cell>
          <cell r="AV87">
            <v>54431</v>
          </cell>
          <cell r="AW87">
            <v>54984</v>
          </cell>
          <cell r="AX87">
            <v>52303</v>
          </cell>
          <cell r="AY87">
            <v>0</v>
          </cell>
          <cell r="AZ87">
            <v>0</v>
          </cell>
          <cell r="BA87">
            <v>0</v>
          </cell>
          <cell r="BB87">
            <v>0</v>
          </cell>
          <cell r="BC87">
            <v>0</v>
          </cell>
          <cell r="BD87">
            <v>0</v>
          </cell>
          <cell r="BE87">
            <v>0</v>
          </cell>
          <cell r="BF87">
            <v>0</v>
          </cell>
          <cell r="BH87">
            <v>6351258</v>
          </cell>
          <cell r="BI87">
            <v>6346201</v>
          </cell>
          <cell r="BJ87">
            <v>6329644</v>
          </cell>
          <cell r="BK87">
            <v>6283659</v>
          </cell>
          <cell r="BL87">
            <v>6617501</v>
          </cell>
          <cell r="BM87">
            <v>6387887</v>
          </cell>
          <cell r="BN87">
            <v>6338842</v>
          </cell>
          <cell r="BO87">
            <v>6257905</v>
          </cell>
        </row>
        <row r="88">
          <cell r="C88">
            <v>1031814</v>
          </cell>
          <cell r="D88">
            <v>1015849</v>
          </cell>
          <cell r="E88">
            <v>1002219</v>
          </cell>
          <cell r="F88">
            <v>1077421</v>
          </cell>
          <cell r="G88">
            <v>1119770</v>
          </cell>
          <cell r="H88">
            <v>1082436</v>
          </cell>
          <cell r="I88">
            <v>1084287</v>
          </cell>
          <cell r="J88">
            <v>1051279</v>
          </cell>
          <cell r="K88">
            <v>10159</v>
          </cell>
          <cell r="L88">
            <v>10159</v>
          </cell>
          <cell r="M88">
            <v>10159</v>
          </cell>
          <cell r="N88">
            <v>10159</v>
          </cell>
          <cell r="O88">
            <v>10159</v>
          </cell>
          <cell r="P88">
            <v>10159</v>
          </cell>
          <cell r="Q88">
            <v>10159</v>
          </cell>
          <cell r="R88">
            <v>10159</v>
          </cell>
          <cell r="S88">
            <v>1012841</v>
          </cell>
          <cell r="T88">
            <v>1012760</v>
          </cell>
          <cell r="U88">
            <v>1012679</v>
          </cell>
          <cell r="V88">
            <v>1012773</v>
          </cell>
          <cell r="W88">
            <v>1012692</v>
          </cell>
          <cell r="X88">
            <v>1086611</v>
          </cell>
          <cell r="Y88">
            <v>1086530</v>
          </cell>
          <cell r="Z88">
            <v>1087974</v>
          </cell>
          <cell r="AA88">
            <v>31350</v>
          </cell>
          <cell r="AB88">
            <v>70200</v>
          </cell>
          <cell r="AC88">
            <v>134800</v>
          </cell>
          <cell r="AD88">
            <v>24400</v>
          </cell>
          <cell r="AE88">
            <v>0</v>
          </cell>
          <cell r="AF88">
            <v>0</v>
          </cell>
          <cell r="AG88">
            <v>0</v>
          </cell>
          <cell r="AH88">
            <v>0</v>
          </cell>
          <cell r="AI88">
            <v>0</v>
          </cell>
          <cell r="AJ88">
            <v>0</v>
          </cell>
          <cell r="AK88">
            <v>0</v>
          </cell>
          <cell r="AL88">
            <v>0</v>
          </cell>
          <cell r="AM88">
            <v>0</v>
          </cell>
          <cell r="AN88">
            <v>0</v>
          </cell>
          <cell r="AO88">
            <v>0</v>
          </cell>
          <cell r="AP88">
            <v>0</v>
          </cell>
          <cell r="AQ88">
            <v>14476</v>
          </cell>
          <cell r="AR88">
            <v>14741</v>
          </cell>
          <cell r="AS88">
            <v>14245</v>
          </cell>
          <cell r="AT88">
            <v>14114</v>
          </cell>
          <cell r="AU88">
            <v>14666</v>
          </cell>
          <cell r="AV88">
            <v>15515</v>
          </cell>
          <cell r="AW88">
            <v>14947</v>
          </cell>
          <cell r="AX88">
            <v>15151</v>
          </cell>
          <cell r="AY88">
            <v>0</v>
          </cell>
          <cell r="AZ88">
            <v>0</v>
          </cell>
          <cell r="BA88">
            <v>0</v>
          </cell>
          <cell r="BB88">
            <v>0</v>
          </cell>
          <cell r="BC88">
            <v>0</v>
          </cell>
          <cell r="BD88">
            <v>0</v>
          </cell>
          <cell r="BE88">
            <v>0</v>
          </cell>
          <cell r="BF88">
            <v>0</v>
          </cell>
          <cell r="BH88">
            <v>2076005</v>
          </cell>
          <cell r="BI88">
            <v>2098809</v>
          </cell>
          <cell r="BJ88">
            <v>2149698</v>
          </cell>
          <cell r="BK88">
            <v>2114594</v>
          </cell>
          <cell r="BL88">
            <v>2132462</v>
          </cell>
          <cell r="BM88">
            <v>2169047</v>
          </cell>
          <cell r="BN88">
            <v>2170817</v>
          </cell>
          <cell r="BO88">
            <v>2139253</v>
          </cell>
        </row>
        <row r="89">
          <cell r="C89">
            <v>3804940</v>
          </cell>
          <cell r="D89">
            <v>3760185</v>
          </cell>
          <cell r="E89">
            <v>3765928</v>
          </cell>
          <cell r="F89">
            <v>4010050</v>
          </cell>
          <cell r="G89">
            <v>3989717</v>
          </cell>
          <cell r="H89">
            <v>3944028</v>
          </cell>
          <cell r="I89">
            <v>4135158</v>
          </cell>
          <cell r="J89">
            <v>4069387</v>
          </cell>
          <cell r="K89">
            <v>28985</v>
          </cell>
          <cell r="L89">
            <v>28985</v>
          </cell>
          <cell r="M89">
            <v>28985</v>
          </cell>
          <cell r="N89">
            <v>28985</v>
          </cell>
          <cell r="O89">
            <v>28985</v>
          </cell>
          <cell r="P89">
            <v>28985</v>
          </cell>
          <cell r="Q89">
            <v>28985</v>
          </cell>
          <cell r="R89">
            <v>28985</v>
          </cell>
          <cell r="S89">
            <v>2399696</v>
          </cell>
          <cell r="T89">
            <v>2399681</v>
          </cell>
          <cell r="U89">
            <v>2399665</v>
          </cell>
          <cell r="V89">
            <v>2399650</v>
          </cell>
          <cell r="W89">
            <v>2399634</v>
          </cell>
          <cell r="X89">
            <v>2399619</v>
          </cell>
          <cell r="Y89">
            <v>2749603</v>
          </cell>
          <cell r="Z89">
            <v>2749588</v>
          </cell>
          <cell r="AA89">
            <v>0</v>
          </cell>
          <cell r="AB89">
            <v>0</v>
          </cell>
          <cell r="AC89">
            <v>0</v>
          </cell>
          <cell r="AD89">
            <v>0</v>
          </cell>
          <cell r="AE89">
            <v>0</v>
          </cell>
          <cell r="AF89">
            <v>0</v>
          </cell>
          <cell r="AG89">
            <v>0</v>
          </cell>
          <cell r="AH89">
            <v>0</v>
          </cell>
          <cell r="AI89">
            <v>0</v>
          </cell>
          <cell r="AJ89">
            <v>0</v>
          </cell>
          <cell r="AK89">
            <v>165804</v>
          </cell>
          <cell r="AL89">
            <v>1404</v>
          </cell>
          <cell r="AM89">
            <v>160304</v>
          </cell>
          <cell r="AN89">
            <v>80404</v>
          </cell>
          <cell r="AO89">
            <v>0</v>
          </cell>
          <cell r="AP89">
            <v>0</v>
          </cell>
          <cell r="AQ89">
            <v>37726</v>
          </cell>
          <cell r="AR89">
            <v>36271</v>
          </cell>
          <cell r="AS89">
            <v>36808</v>
          </cell>
          <cell r="AT89">
            <v>35896</v>
          </cell>
          <cell r="AU89">
            <v>35020</v>
          </cell>
          <cell r="AV89">
            <v>35948</v>
          </cell>
          <cell r="AW89">
            <v>36887</v>
          </cell>
          <cell r="AX89">
            <v>35780</v>
          </cell>
          <cell r="AY89">
            <v>0</v>
          </cell>
          <cell r="AZ89">
            <v>0</v>
          </cell>
          <cell r="BA89">
            <v>0</v>
          </cell>
          <cell r="BB89">
            <v>0</v>
          </cell>
          <cell r="BC89">
            <v>0</v>
          </cell>
          <cell r="BD89">
            <v>0</v>
          </cell>
          <cell r="BE89">
            <v>0</v>
          </cell>
          <cell r="BF89">
            <v>0</v>
          </cell>
          <cell r="BH89">
            <v>6204636</v>
          </cell>
          <cell r="BI89">
            <v>6159866</v>
          </cell>
          <cell r="BJ89">
            <v>6331397</v>
          </cell>
          <cell r="BK89">
            <v>6411104</v>
          </cell>
          <cell r="BL89">
            <v>6549655</v>
          </cell>
          <cell r="BM89">
            <v>6424051</v>
          </cell>
          <cell r="BN89">
            <v>6884761</v>
          </cell>
          <cell r="BO89">
            <v>6818975</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NA</v>
          </cell>
          <cell r="AY90" t="str">
            <v>NA</v>
          </cell>
          <cell r="AZ90" t="str">
            <v>NA</v>
          </cell>
          <cell r="BA90" t="str">
            <v>NA</v>
          </cell>
          <cell r="BB90" t="str">
            <v>NA</v>
          </cell>
          <cell r="BC90" t="str">
            <v>NA</v>
          </cell>
          <cell r="BD90" t="str">
            <v>NA</v>
          </cell>
          <cell r="BE90" t="str">
            <v>NA</v>
          </cell>
          <cell r="BF90" t="str">
            <v>NA</v>
          </cell>
          <cell r="BH90">
            <v>0</v>
          </cell>
          <cell r="BI90">
            <v>0</v>
          </cell>
          <cell r="BJ90">
            <v>0</v>
          </cell>
          <cell r="BK90">
            <v>0</v>
          </cell>
          <cell r="BL90">
            <v>0</v>
          </cell>
          <cell r="BM90">
            <v>0</v>
          </cell>
          <cell r="BN90">
            <v>0</v>
          </cell>
          <cell r="BO90">
            <v>0</v>
          </cell>
        </row>
        <row r="91">
          <cell r="C91">
            <v>1631531</v>
          </cell>
          <cell r="D91">
            <v>1546272</v>
          </cell>
          <cell r="E91">
            <v>1551598</v>
          </cell>
          <cell r="F91">
            <v>1523413</v>
          </cell>
          <cell r="G91">
            <v>1499882</v>
          </cell>
          <cell r="H91">
            <v>1470811</v>
          </cell>
          <cell r="I91">
            <v>1485927</v>
          </cell>
          <cell r="J91">
            <v>1462465</v>
          </cell>
          <cell r="K91">
            <v>0</v>
          </cell>
          <cell r="L91">
            <v>0</v>
          </cell>
          <cell r="M91">
            <v>0</v>
          </cell>
          <cell r="N91">
            <v>0</v>
          </cell>
          <cell r="O91">
            <v>0</v>
          </cell>
          <cell r="P91">
            <v>0</v>
          </cell>
          <cell r="Q91">
            <v>0</v>
          </cell>
          <cell r="R91">
            <v>0</v>
          </cell>
          <cell r="S91">
            <v>1021550</v>
          </cell>
          <cell r="T91">
            <v>1040526</v>
          </cell>
          <cell r="U91">
            <v>1040641</v>
          </cell>
          <cell r="V91">
            <v>1040621</v>
          </cell>
          <cell r="W91">
            <v>1041031</v>
          </cell>
          <cell r="X91">
            <v>1051305</v>
          </cell>
          <cell r="Y91">
            <v>1051420</v>
          </cell>
          <cell r="Z91">
            <v>1051399</v>
          </cell>
          <cell r="AA91">
            <v>0</v>
          </cell>
          <cell r="AB91">
            <v>0</v>
          </cell>
          <cell r="AC91">
            <v>0</v>
          </cell>
          <cell r="AD91">
            <v>0</v>
          </cell>
          <cell r="AE91">
            <v>0</v>
          </cell>
          <cell r="AF91">
            <v>0</v>
          </cell>
          <cell r="AG91">
            <v>0</v>
          </cell>
          <cell r="AH91">
            <v>0</v>
          </cell>
          <cell r="AI91">
            <v>0</v>
          </cell>
          <cell r="AJ91">
            <v>0</v>
          </cell>
          <cell r="AK91">
            <v>0</v>
          </cell>
          <cell r="AL91">
            <v>0</v>
          </cell>
          <cell r="AM91">
            <v>21156</v>
          </cell>
          <cell r="AN91">
            <v>0</v>
          </cell>
          <cell r="AO91">
            <v>24614</v>
          </cell>
          <cell r="AP91">
            <v>0</v>
          </cell>
          <cell r="AQ91">
            <v>76256</v>
          </cell>
          <cell r="AR91">
            <v>73289</v>
          </cell>
          <cell r="AS91">
            <v>74633</v>
          </cell>
          <cell r="AT91">
            <v>74061</v>
          </cell>
          <cell r="AU91">
            <v>73923</v>
          </cell>
          <cell r="AV91">
            <v>73319</v>
          </cell>
          <cell r="AW91">
            <v>73065</v>
          </cell>
          <cell r="AX91">
            <v>74316</v>
          </cell>
          <cell r="AY91">
            <v>0</v>
          </cell>
          <cell r="AZ91">
            <v>0</v>
          </cell>
          <cell r="BA91">
            <v>0</v>
          </cell>
          <cell r="BB91">
            <v>0</v>
          </cell>
          <cell r="BC91">
            <v>0</v>
          </cell>
          <cell r="BD91">
            <v>0</v>
          </cell>
          <cell r="BE91">
            <v>0</v>
          </cell>
          <cell r="BF91">
            <v>0</v>
          </cell>
          <cell r="BH91">
            <v>2653081</v>
          </cell>
          <cell r="BI91">
            <v>2586798</v>
          </cell>
          <cell r="BJ91">
            <v>2592239</v>
          </cell>
          <cell r="BK91">
            <v>2564034</v>
          </cell>
          <cell r="BL91">
            <v>2562069</v>
          </cell>
          <cell r="BM91">
            <v>2522116</v>
          </cell>
          <cell r="BN91">
            <v>2561961</v>
          </cell>
          <cell r="BO91">
            <v>2513864</v>
          </cell>
        </row>
        <row r="92">
          <cell r="C92">
            <v>3733439</v>
          </cell>
          <cell r="D92">
            <v>3662835</v>
          </cell>
          <cell r="E92">
            <v>3655892</v>
          </cell>
          <cell r="F92">
            <v>3496169</v>
          </cell>
          <cell r="G92">
            <v>3496587</v>
          </cell>
          <cell r="H92">
            <v>3445044</v>
          </cell>
          <cell r="I92">
            <v>3298019</v>
          </cell>
          <cell r="J92">
            <v>3241209</v>
          </cell>
          <cell r="K92">
            <v>0</v>
          </cell>
          <cell r="L92">
            <v>0</v>
          </cell>
          <cell r="M92">
            <v>0</v>
          </cell>
          <cell r="N92">
            <v>0</v>
          </cell>
          <cell r="O92">
            <v>0</v>
          </cell>
          <cell r="P92">
            <v>0</v>
          </cell>
          <cell r="Q92">
            <v>0</v>
          </cell>
          <cell r="R92">
            <v>0</v>
          </cell>
          <cell r="S92">
            <v>3338648</v>
          </cell>
          <cell r="T92">
            <v>3338394</v>
          </cell>
          <cell r="U92">
            <v>3338142</v>
          </cell>
          <cell r="V92">
            <v>3337912</v>
          </cell>
          <cell r="W92">
            <v>3337662</v>
          </cell>
          <cell r="X92">
            <v>3013624</v>
          </cell>
          <cell r="Y92">
            <v>3013392</v>
          </cell>
          <cell r="Z92">
            <v>3013178</v>
          </cell>
          <cell r="AA92">
            <v>0</v>
          </cell>
          <cell r="AB92">
            <v>5000</v>
          </cell>
          <cell r="AC92">
            <v>8000</v>
          </cell>
          <cell r="AD92">
            <v>0</v>
          </cell>
          <cell r="AE92">
            <v>0</v>
          </cell>
          <cell r="AF92">
            <v>45000</v>
          </cell>
          <cell r="AG92">
            <v>0</v>
          </cell>
          <cell r="AH92">
            <v>0</v>
          </cell>
          <cell r="AI92">
            <v>70740</v>
          </cell>
          <cell r="AJ92">
            <v>1740</v>
          </cell>
          <cell r="AK92">
            <v>1740</v>
          </cell>
          <cell r="AL92">
            <v>1780</v>
          </cell>
          <cell r="AM92">
            <v>1785</v>
          </cell>
          <cell r="AN92">
            <v>61580</v>
          </cell>
          <cell r="AO92">
            <v>1585</v>
          </cell>
          <cell r="AP92">
            <v>2500</v>
          </cell>
          <cell r="AQ92">
            <v>4505</v>
          </cell>
          <cell r="AR92">
            <v>4449</v>
          </cell>
          <cell r="AS92">
            <v>4567</v>
          </cell>
          <cell r="AT92">
            <v>4474</v>
          </cell>
          <cell r="AU92">
            <v>4195</v>
          </cell>
          <cell r="AV92">
            <v>3887</v>
          </cell>
          <cell r="AW92">
            <v>2224</v>
          </cell>
          <cell r="AX92">
            <v>2281</v>
          </cell>
          <cell r="AY92">
            <v>0</v>
          </cell>
          <cell r="AZ92">
            <v>0</v>
          </cell>
          <cell r="BA92">
            <v>0</v>
          </cell>
          <cell r="BB92">
            <v>0</v>
          </cell>
          <cell r="BC92">
            <v>0</v>
          </cell>
          <cell r="BD92">
            <v>0</v>
          </cell>
          <cell r="BE92">
            <v>0</v>
          </cell>
          <cell r="BF92">
            <v>0</v>
          </cell>
          <cell r="BH92">
            <v>7142827</v>
          </cell>
          <cell r="BI92">
            <v>7007969</v>
          </cell>
          <cell r="BJ92">
            <v>7003774</v>
          </cell>
          <cell r="BK92">
            <v>6835861</v>
          </cell>
          <cell r="BL92">
            <v>6836034</v>
          </cell>
          <cell r="BM92">
            <v>6565248</v>
          </cell>
          <cell r="BN92">
            <v>6312996</v>
          </cell>
          <cell r="BO92">
            <v>6256887</v>
          </cell>
        </row>
        <row r="93">
          <cell r="C93">
            <v>521329</v>
          </cell>
          <cell r="D93">
            <v>509437</v>
          </cell>
          <cell r="E93">
            <v>509053</v>
          </cell>
          <cell r="F93">
            <v>502678</v>
          </cell>
          <cell r="G93">
            <v>505664</v>
          </cell>
          <cell r="H93">
            <v>496474</v>
          </cell>
          <cell r="I93">
            <v>457862</v>
          </cell>
          <cell r="J93">
            <v>493074</v>
          </cell>
          <cell r="K93">
            <v>0</v>
          </cell>
          <cell r="L93">
            <v>0</v>
          </cell>
          <cell r="M93">
            <v>0</v>
          </cell>
          <cell r="N93">
            <v>0</v>
          </cell>
          <cell r="O93">
            <v>0</v>
          </cell>
          <cell r="P93">
            <v>0</v>
          </cell>
          <cell r="Q93">
            <v>0</v>
          </cell>
          <cell r="R93">
            <v>0</v>
          </cell>
          <cell r="S93">
            <v>367483</v>
          </cell>
          <cell r="T93">
            <v>367456</v>
          </cell>
          <cell r="U93">
            <v>367429</v>
          </cell>
          <cell r="V93">
            <v>367402</v>
          </cell>
          <cell r="W93">
            <v>367408</v>
          </cell>
          <cell r="X93">
            <v>367381</v>
          </cell>
          <cell r="Y93">
            <v>367354</v>
          </cell>
          <cell r="Z93">
            <v>367327</v>
          </cell>
          <cell r="AA93">
            <v>28000</v>
          </cell>
          <cell r="AB93">
            <v>35000</v>
          </cell>
          <cell r="AC93">
            <v>31000</v>
          </cell>
          <cell r="AD93">
            <v>0</v>
          </cell>
          <cell r="AE93">
            <v>0</v>
          </cell>
          <cell r="AF93">
            <v>0</v>
          </cell>
          <cell r="AG93">
            <v>0</v>
          </cell>
          <cell r="AH93">
            <v>0</v>
          </cell>
          <cell r="AI93">
            <v>0</v>
          </cell>
          <cell r="AJ93">
            <v>0</v>
          </cell>
          <cell r="AK93">
            <v>0</v>
          </cell>
          <cell r="AL93">
            <v>37000</v>
          </cell>
          <cell r="AM93">
            <v>3900</v>
          </cell>
          <cell r="AN93">
            <v>0</v>
          </cell>
          <cell r="AO93">
            <v>17600</v>
          </cell>
          <cell r="AP93">
            <v>15500</v>
          </cell>
          <cell r="AQ93">
            <v>1792</v>
          </cell>
          <cell r="AR93">
            <v>1817</v>
          </cell>
          <cell r="AS93">
            <v>1886</v>
          </cell>
          <cell r="AT93">
            <v>1884</v>
          </cell>
          <cell r="AU93">
            <v>1928</v>
          </cell>
          <cell r="AV93">
            <v>2050</v>
          </cell>
          <cell r="AW93">
            <v>2195</v>
          </cell>
          <cell r="AX93">
            <v>1999</v>
          </cell>
          <cell r="AY93">
            <v>0</v>
          </cell>
          <cell r="AZ93">
            <v>0</v>
          </cell>
          <cell r="BA93">
            <v>0</v>
          </cell>
          <cell r="BB93">
            <v>0</v>
          </cell>
          <cell r="BC93">
            <v>0</v>
          </cell>
          <cell r="BD93">
            <v>0</v>
          </cell>
          <cell r="BE93">
            <v>0</v>
          </cell>
          <cell r="BF93">
            <v>0</v>
          </cell>
          <cell r="BH93">
            <v>916812</v>
          </cell>
          <cell r="BI93">
            <v>911893</v>
          </cell>
          <cell r="BJ93">
            <v>907482</v>
          </cell>
          <cell r="BK93">
            <v>907080</v>
          </cell>
          <cell r="BL93">
            <v>876972</v>
          </cell>
          <cell r="BM93">
            <v>863855</v>
          </cell>
          <cell r="BN93">
            <v>842816</v>
          </cell>
          <cell r="BO93">
            <v>875901</v>
          </cell>
        </row>
        <row r="94">
          <cell r="C94">
            <v>838210</v>
          </cell>
          <cell r="D94">
            <v>839181</v>
          </cell>
          <cell r="E94">
            <v>840833</v>
          </cell>
          <cell r="F94">
            <v>820347</v>
          </cell>
          <cell r="G94">
            <v>810033</v>
          </cell>
          <cell r="H94">
            <v>807888</v>
          </cell>
          <cell r="I94">
            <v>803793</v>
          </cell>
          <cell r="J94">
            <v>787025</v>
          </cell>
          <cell r="K94">
            <v>0</v>
          </cell>
          <cell r="L94">
            <v>0</v>
          </cell>
          <cell r="M94">
            <v>0</v>
          </cell>
          <cell r="N94">
            <v>0</v>
          </cell>
          <cell r="O94">
            <v>0</v>
          </cell>
          <cell r="P94">
            <v>0</v>
          </cell>
          <cell r="Q94">
            <v>0</v>
          </cell>
          <cell r="R94">
            <v>0</v>
          </cell>
          <cell r="S94">
            <v>905043</v>
          </cell>
          <cell r="T94">
            <v>905037</v>
          </cell>
          <cell r="U94">
            <v>905031</v>
          </cell>
          <cell r="V94">
            <v>1058025</v>
          </cell>
          <cell r="W94">
            <v>1014019</v>
          </cell>
          <cell r="X94">
            <v>991013</v>
          </cell>
          <cell r="Y94">
            <v>941007</v>
          </cell>
          <cell r="Z94">
            <v>971001</v>
          </cell>
          <cell r="AA94">
            <v>112993</v>
          </cell>
          <cell r="AB94">
            <v>89988</v>
          </cell>
          <cell r="AC94">
            <v>85989</v>
          </cell>
          <cell r="AD94">
            <v>0</v>
          </cell>
          <cell r="AE94">
            <v>0</v>
          </cell>
          <cell r="AF94">
            <v>0</v>
          </cell>
          <cell r="AG94">
            <v>0</v>
          </cell>
          <cell r="AH94">
            <v>0</v>
          </cell>
          <cell r="AI94">
            <v>0</v>
          </cell>
          <cell r="AJ94">
            <v>0</v>
          </cell>
          <cell r="AK94">
            <v>0</v>
          </cell>
          <cell r="AL94">
            <v>0</v>
          </cell>
          <cell r="AM94">
            <v>0</v>
          </cell>
          <cell r="AN94">
            <v>0</v>
          </cell>
          <cell r="AO94">
            <v>0</v>
          </cell>
          <cell r="AP94">
            <v>0</v>
          </cell>
          <cell r="AQ94">
            <v>9339</v>
          </cell>
          <cell r="AR94">
            <v>8867</v>
          </cell>
          <cell r="AS94">
            <v>8206</v>
          </cell>
          <cell r="AT94">
            <v>9784</v>
          </cell>
          <cell r="AU94">
            <v>8995</v>
          </cell>
          <cell r="AV94">
            <v>9515</v>
          </cell>
          <cell r="AW94">
            <v>9727</v>
          </cell>
          <cell r="AX94">
            <v>8463</v>
          </cell>
          <cell r="AY94">
            <v>0</v>
          </cell>
          <cell r="AZ94">
            <v>0</v>
          </cell>
          <cell r="BA94">
            <v>0</v>
          </cell>
          <cell r="BB94">
            <v>0</v>
          </cell>
          <cell r="BC94">
            <v>0</v>
          </cell>
          <cell r="BD94">
            <v>0</v>
          </cell>
          <cell r="BE94">
            <v>0</v>
          </cell>
          <cell r="BF94">
            <v>0</v>
          </cell>
          <cell r="BH94">
            <v>1856246</v>
          </cell>
          <cell r="BI94">
            <v>1834206</v>
          </cell>
          <cell r="BJ94">
            <v>1831853</v>
          </cell>
          <cell r="BK94">
            <v>1878372</v>
          </cell>
          <cell r="BL94">
            <v>1824052</v>
          </cell>
          <cell r="BM94">
            <v>1798901</v>
          </cell>
          <cell r="BN94">
            <v>1744800</v>
          </cell>
          <cell r="BO94">
            <v>1758026</v>
          </cell>
        </row>
        <row r="95">
          <cell r="C95">
            <v>15250</v>
          </cell>
          <cell r="D95">
            <v>14862</v>
          </cell>
          <cell r="E95">
            <v>14845</v>
          </cell>
          <cell r="F95">
            <v>14590</v>
          </cell>
          <cell r="G95">
            <v>15295</v>
          </cell>
          <cell r="H95">
            <v>14977</v>
          </cell>
          <cell r="I95">
            <v>14852</v>
          </cell>
          <cell r="J95">
            <v>14635</v>
          </cell>
          <cell r="K95">
            <v>0</v>
          </cell>
          <cell r="L95">
            <v>0</v>
          </cell>
          <cell r="M95">
            <v>0</v>
          </cell>
          <cell r="N95">
            <v>0</v>
          </cell>
          <cell r="O95">
            <v>0</v>
          </cell>
          <cell r="P95">
            <v>0</v>
          </cell>
          <cell r="Q95">
            <v>0</v>
          </cell>
          <cell r="R95">
            <v>0</v>
          </cell>
          <cell r="S95">
            <v>14300</v>
          </cell>
          <cell r="T95">
            <v>14300</v>
          </cell>
          <cell r="U95">
            <v>10900</v>
          </cell>
          <cell r="V95">
            <v>10900</v>
          </cell>
          <cell r="W95">
            <v>10900</v>
          </cell>
          <cell r="X95">
            <v>10900</v>
          </cell>
          <cell r="Y95">
            <v>11700</v>
          </cell>
          <cell r="Z95">
            <v>11700</v>
          </cell>
          <cell r="AA95">
            <v>2997</v>
          </cell>
          <cell r="AB95">
            <v>3100</v>
          </cell>
          <cell r="AC95">
            <v>5439</v>
          </cell>
          <cell r="AD95">
            <v>6000</v>
          </cell>
          <cell r="AE95">
            <v>5902</v>
          </cell>
          <cell r="AF95">
            <v>5968</v>
          </cell>
          <cell r="AG95">
            <v>5160</v>
          </cell>
          <cell r="AH95">
            <v>5244</v>
          </cell>
          <cell r="AI95">
            <v>0</v>
          </cell>
          <cell r="AJ95">
            <v>0</v>
          </cell>
          <cell r="AK95">
            <v>0</v>
          </cell>
          <cell r="AL95">
            <v>0</v>
          </cell>
          <cell r="AM95">
            <v>0</v>
          </cell>
          <cell r="AN95">
            <v>0</v>
          </cell>
          <cell r="AO95">
            <v>0</v>
          </cell>
          <cell r="AP95">
            <v>0</v>
          </cell>
          <cell r="AQ95">
            <v>67</v>
          </cell>
          <cell r="AR95">
            <v>72</v>
          </cell>
          <cell r="AS95">
            <v>74</v>
          </cell>
          <cell r="AT95">
            <v>74</v>
          </cell>
          <cell r="AU95">
            <v>73</v>
          </cell>
          <cell r="AV95">
            <v>73</v>
          </cell>
          <cell r="AW95">
            <v>74</v>
          </cell>
          <cell r="AX95">
            <v>79</v>
          </cell>
          <cell r="AY95">
            <v>0</v>
          </cell>
          <cell r="AZ95">
            <v>0</v>
          </cell>
          <cell r="BA95">
            <v>0</v>
          </cell>
          <cell r="BB95">
            <v>0</v>
          </cell>
          <cell r="BC95">
            <v>0</v>
          </cell>
          <cell r="BD95">
            <v>0</v>
          </cell>
          <cell r="BE95">
            <v>0</v>
          </cell>
          <cell r="BF95">
            <v>0</v>
          </cell>
          <cell r="BH95">
            <v>32547</v>
          </cell>
          <cell r="BI95">
            <v>32262</v>
          </cell>
          <cell r="BJ95">
            <v>31184</v>
          </cell>
          <cell r="BK95">
            <v>31490</v>
          </cell>
          <cell r="BL95">
            <v>32097</v>
          </cell>
          <cell r="BM95">
            <v>31845</v>
          </cell>
          <cell r="BN95">
            <v>31712</v>
          </cell>
          <cell r="BO95">
            <v>31579</v>
          </cell>
        </row>
        <row r="96">
          <cell r="C96">
            <v>2254006</v>
          </cell>
          <cell r="D96">
            <v>2182976</v>
          </cell>
          <cell r="E96">
            <v>2186112</v>
          </cell>
          <cell r="F96">
            <v>2193709</v>
          </cell>
          <cell r="G96">
            <v>2181684</v>
          </cell>
          <cell r="H96">
            <v>2108126</v>
          </cell>
          <cell r="I96">
            <v>2074216</v>
          </cell>
          <cell r="J96">
            <v>2135294</v>
          </cell>
          <cell r="K96">
            <v>43000</v>
          </cell>
          <cell r="L96">
            <v>43000</v>
          </cell>
          <cell r="M96">
            <v>43000</v>
          </cell>
          <cell r="N96">
            <v>43000</v>
          </cell>
          <cell r="O96">
            <v>43000</v>
          </cell>
          <cell r="P96">
            <v>43000</v>
          </cell>
          <cell r="Q96">
            <v>43000</v>
          </cell>
          <cell r="R96">
            <v>43000</v>
          </cell>
          <cell r="S96">
            <v>1595256</v>
          </cell>
          <cell r="T96">
            <v>1610167</v>
          </cell>
          <cell r="U96">
            <v>1610079</v>
          </cell>
          <cell r="V96">
            <v>1609990</v>
          </cell>
          <cell r="W96">
            <v>1609902</v>
          </cell>
          <cell r="X96">
            <v>1609813</v>
          </cell>
          <cell r="Y96">
            <v>1734723</v>
          </cell>
          <cell r="Z96">
            <v>1439472</v>
          </cell>
          <cell r="AA96">
            <v>82500</v>
          </cell>
          <cell r="AB96">
            <v>163000</v>
          </cell>
          <cell r="AC96">
            <v>306500</v>
          </cell>
          <cell r="AD96">
            <v>227500</v>
          </cell>
          <cell r="AE96">
            <v>257500</v>
          </cell>
          <cell r="AF96">
            <v>343000</v>
          </cell>
          <cell r="AG96">
            <v>160000</v>
          </cell>
          <cell r="AH96">
            <v>341000</v>
          </cell>
          <cell r="AI96">
            <v>43493</v>
          </cell>
          <cell r="AJ96">
            <v>84312</v>
          </cell>
          <cell r="AK96">
            <v>84312</v>
          </cell>
          <cell r="AL96">
            <v>127860</v>
          </cell>
          <cell r="AM96">
            <v>127860</v>
          </cell>
          <cell r="AN96">
            <v>168625</v>
          </cell>
          <cell r="AO96">
            <v>168625</v>
          </cell>
          <cell r="AP96">
            <v>212206</v>
          </cell>
          <cell r="AQ96">
            <v>5397</v>
          </cell>
          <cell r="AR96">
            <v>5349</v>
          </cell>
          <cell r="AS96">
            <v>5446</v>
          </cell>
          <cell r="AT96">
            <v>5340</v>
          </cell>
          <cell r="AU96">
            <v>5538</v>
          </cell>
          <cell r="AV96">
            <v>5661</v>
          </cell>
          <cell r="AW96">
            <v>5700</v>
          </cell>
          <cell r="AX96">
            <v>5786</v>
          </cell>
          <cell r="AY96">
            <v>0</v>
          </cell>
          <cell r="AZ96">
            <v>0</v>
          </cell>
          <cell r="BA96">
            <v>0</v>
          </cell>
          <cell r="BB96">
            <v>0</v>
          </cell>
          <cell r="BC96">
            <v>0</v>
          </cell>
          <cell r="BD96">
            <v>0</v>
          </cell>
          <cell r="BE96">
            <v>0</v>
          </cell>
          <cell r="BF96">
            <v>0</v>
          </cell>
          <cell r="BH96">
            <v>3975255</v>
          </cell>
          <cell r="BI96">
            <v>4040455</v>
          </cell>
          <cell r="BJ96">
            <v>4187003</v>
          </cell>
          <cell r="BK96">
            <v>4159059</v>
          </cell>
          <cell r="BL96">
            <v>4176946</v>
          </cell>
          <cell r="BM96">
            <v>4229564</v>
          </cell>
          <cell r="BN96">
            <v>4137564</v>
          </cell>
          <cell r="BO96">
            <v>4127972</v>
          </cell>
        </row>
        <row r="97">
          <cell r="C97">
            <v>770155</v>
          </cell>
          <cell r="D97">
            <v>719093</v>
          </cell>
          <cell r="E97">
            <v>846184</v>
          </cell>
          <cell r="F97">
            <v>914411</v>
          </cell>
          <cell r="G97">
            <v>898922</v>
          </cell>
          <cell r="H97">
            <v>848838</v>
          </cell>
          <cell r="I97">
            <v>810692</v>
          </cell>
          <cell r="J97">
            <v>1021111</v>
          </cell>
          <cell r="K97">
            <v>0</v>
          </cell>
          <cell r="L97">
            <v>0</v>
          </cell>
          <cell r="M97">
            <v>0</v>
          </cell>
          <cell r="N97">
            <v>0</v>
          </cell>
          <cell r="O97">
            <v>0</v>
          </cell>
          <cell r="P97">
            <v>0</v>
          </cell>
          <cell r="Q97">
            <v>0</v>
          </cell>
          <cell r="R97">
            <v>0</v>
          </cell>
          <cell r="S97">
            <v>1038604</v>
          </cell>
          <cell r="T97">
            <v>1038452</v>
          </cell>
          <cell r="U97">
            <v>1038301</v>
          </cell>
          <cell r="V97">
            <v>1038150</v>
          </cell>
          <cell r="W97">
            <v>1037999</v>
          </cell>
          <cell r="X97">
            <v>1037848</v>
          </cell>
          <cell r="Y97">
            <v>1037697</v>
          </cell>
          <cell r="Z97">
            <v>1038803</v>
          </cell>
          <cell r="AA97">
            <v>0</v>
          </cell>
          <cell r="AB97">
            <v>0</v>
          </cell>
          <cell r="AC97">
            <v>0</v>
          </cell>
          <cell r="AD97">
            <v>0</v>
          </cell>
          <cell r="AE97">
            <v>0</v>
          </cell>
          <cell r="AF97">
            <v>0</v>
          </cell>
          <cell r="AG97">
            <v>0</v>
          </cell>
          <cell r="AH97">
            <v>0</v>
          </cell>
          <cell r="AI97">
            <v>0</v>
          </cell>
          <cell r="AJ97">
            <v>0</v>
          </cell>
          <cell r="AK97">
            <v>103177</v>
          </cell>
          <cell r="AL97">
            <v>131872</v>
          </cell>
          <cell r="AM97">
            <v>41194</v>
          </cell>
          <cell r="AN97">
            <v>107</v>
          </cell>
          <cell r="AO97">
            <v>260</v>
          </cell>
          <cell r="AP97">
            <v>93124</v>
          </cell>
          <cell r="AQ97">
            <v>11907</v>
          </cell>
          <cell r="AR97">
            <v>13368</v>
          </cell>
          <cell r="AS97">
            <v>13415</v>
          </cell>
          <cell r="AT97">
            <v>0</v>
          </cell>
          <cell r="AU97">
            <v>0</v>
          </cell>
          <cell r="AV97">
            <v>0</v>
          </cell>
          <cell r="AW97">
            <v>0</v>
          </cell>
          <cell r="AX97">
            <v>0</v>
          </cell>
          <cell r="AY97">
            <v>0</v>
          </cell>
          <cell r="AZ97">
            <v>0</v>
          </cell>
          <cell r="BA97">
            <v>0</v>
          </cell>
          <cell r="BB97">
            <v>0</v>
          </cell>
          <cell r="BC97">
            <v>0</v>
          </cell>
          <cell r="BD97">
            <v>0</v>
          </cell>
          <cell r="BE97">
            <v>0</v>
          </cell>
          <cell r="BF97">
            <v>0</v>
          </cell>
          <cell r="BH97">
            <v>1808759</v>
          </cell>
          <cell r="BI97">
            <v>1757545</v>
          </cell>
          <cell r="BJ97">
            <v>1987662</v>
          </cell>
          <cell r="BK97">
            <v>2084433</v>
          </cell>
          <cell r="BL97">
            <v>1978115</v>
          </cell>
          <cell r="BM97">
            <v>1886793</v>
          </cell>
          <cell r="BN97">
            <v>1848649</v>
          </cell>
          <cell r="BO97">
            <v>2153038</v>
          </cell>
        </row>
        <row r="98">
          <cell r="C98">
            <v>3076068</v>
          </cell>
          <cell r="D98">
            <v>3128274</v>
          </cell>
          <cell r="E98">
            <v>3150841</v>
          </cell>
          <cell r="F98">
            <v>3148530</v>
          </cell>
          <cell r="G98">
            <v>3237649</v>
          </cell>
          <cell r="H98">
            <v>3232099</v>
          </cell>
          <cell r="I98">
            <v>3267999</v>
          </cell>
          <cell r="J98">
            <v>3251322</v>
          </cell>
          <cell r="K98">
            <v>16613</v>
          </cell>
          <cell r="L98">
            <v>16614</v>
          </cell>
          <cell r="M98">
            <v>16616</v>
          </cell>
          <cell r="N98">
            <v>16616</v>
          </cell>
          <cell r="O98">
            <v>16626</v>
          </cell>
          <cell r="P98">
            <v>16626</v>
          </cell>
          <cell r="Q98">
            <v>16626</v>
          </cell>
          <cell r="R98">
            <v>16626</v>
          </cell>
          <cell r="S98">
            <v>2614910</v>
          </cell>
          <cell r="T98">
            <v>2614781</v>
          </cell>
          <cell r="U98">
            <v>2614651</v>
          </cell>
          <cell r="V98">
            <v>2729522</v>
          </cell>
          <cell r="W98">
            <v>2929386</v>
          </cell>
          <cell r="X98">
            <v>2929248</v>
          </cell>
          <cell r="Y98">
            <v>3329109</v>
          </cell>
          <cell r="Z98">
            <v>3242505</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23955</v>
          </cell>
          <cell r="AR98">
            <v>24677</v>
          </cell>
          <cell r="AS98">
            <v>23996</v>
          </cell>
          <cell r="AT98">
            <v>28228</v>
          </cell>
          <cell r="AU98">
            <v>28110</v>
          </cell>
          <cell r="AV98">
            <v>26723</v>
          </cell>
          <cell r="AW98">
            <v>23238</v>
          </cell>
          <cell r="AX98">
            <v>22409</v>
          </cell>
          <cell r="AY98">
            <v>0</v>
          </cell>
          <cell r="AZ98">
            <v>0</v>
          </cell>
          <cell r="BA98">
            <v>0</v>
          </cell>
          <cell r="BB98">
            <v>0</v>
          </cell>
          <cell r="BC98">
            <v>0</v>
          </cell>
          <cell r="BD98">
            <v>0</v>
          </cell>
          <cell r="BE98">
            <v>0</v>
          </cell>
          <cell r="BF98">
            <v>0</v>
          </cell>
          <cell r="BH98">
            <v>5690978</v>
          </cell>
          <cell r="BI98">
            <v>5743055</v>
          </cell>
          <cell r="BJ98">
            <v>5765492</v>
          </cell>
          <cell r="BK98">
            <v>5878052</v>
          </cell>
          <cell r="BL98">
            <v>6167035</v>
          </cell>
          <cell r="BM98">
            <v>6161347</v>
          </cell>
          <cell r="BN98">
            <v>6597108</v>
          </cell>
          <cell r="BO98">
            <v>6493827</v>
          </cell>
        </row>
        <row r="99">
          <cell r="C99">
            <v>2474056</v>
          </cell>
          <cell r="D99">
            <v>2314973</v>
          </cell>
          <cell r="E99">
            <v>2185658</v>
          </cell>
          <cell r="F99">
            <v>2178099</v>
          </cell>
          <cell r="G99">
            <v>2165380</v>
          </cell>
          <cell r="H99">
            <v>2054158</v>
          </cell>
          <cell r="I99">
            <v>2024314</v>
          </cell>
          <cell r="J99">
            <v>2024390</v>
          </cell>
          <cell r="K99">
            <v>0</v>
          </cell>
          <cell r="L99">
            <v>0</v>
          </cell>
          <cell r="M99">
            <v>0</v>
          </cell>
          <cell r="N99">
            <v>0</v>
          </cell>
          <cell r="O99">
            <v>0</v>
          </cell>
          <cell r="P99">
            <v>0</v>
          </cell>
          <cell r="Q99">
            <v>0</v>
          </cell>
          <cell r="R99">
            <v>0</v>
          </cell>
          <cell r="S99">
            <v>2039156</v>
          </cell>
          <cell r="T99">
            <v>2039069</v>
          </cell>
          <cell r="U99">
            <v>1790517</v>
          </cell>
          <cell r="V99">
            <v>1790442</v>
          </cell>
          <cell r="W99">
            <v>1790368</v>
          </cell>
          <cell r="X99">
            <v>1790293</v>
          </cell>
          <cell r="Y99">
            <v>1541834</v>
          </cell>
          <cell r="Z99">
            <v>1541773</v>
          </cell>
          <cell r="AA99">
            <v>0</v>
          </cell>
          <cell r="AB99">
            <v>0</v>
          </cell>
          <cell r="AC99">
            <v>0</v>
          </cell>
          <cell r="AD99">
            <v>0</v>
          </cell>
          <cell r="AE99">
            <v>0</v>
          </cell>
          <cell r="AF99">
            <v>0</v>
          </cell>
          <cell r="AG99">
            <v>0</v>
          </cell>
          <cell r="AH99">
            <v>0</v>
          </cell>
          <cell r="AI99">
            <v>0</v>
          </cell>
          <cell r="AJ99">
            <v>0</v>
          </cell>
          <cell r="AK99">
            <v>14746</v>
          </cell>
          <cell r="AL99">
            <v>0</v>
          </cell>
          <cell r="AM99">
            <v>0</v>
          </cell>
          <cell r="AN99">
            <v>0</v>
          </cell>
          <cell r="AO99">
            <v>8317</v>
          </cell>
          <cell r="AP99">
            <v>0</v>
          </cell>
          <cell r="AQ99">
            <v>65207</v>
          </cell>
          <cell r="AR99">
            <v>64157</v>
          </cell>
          <cell r="AS99">
            <v>63960</v>
          </cell>
          <cell r="AT99">
            <v>63199</v>
          </cell>
          <cell r="AU99">
            <v>62795</v>
          </cell>
          <cell r="AV99">
            <v>62251</v>
          </cell>
          <cell r="AW99">
            <v>61163</v>
          </cell>
          <cell r="AX99">
            <v>60090</v>
          </cell>
          <cell r="AY99">
            <v>0</v>
          </cell>
          <cell r="AZ99">
            <v>0</v>
          </cell>
          <cell r="BA99">
            <v>0</v>
          </cell>
          <cell r="BB99">
            <v>0</v>
          </cell>
          <cell r="BC99">
            <v>0</v>
          </cell>
          <cell r="BD99">
            <v>0</v>
          </cell>
          <cell r="BE99">
            <v>0</v>
          </cell>
          <cell r="BF99">
            <v>0</v>
          </cell>
          <cell r="BH99">
            <v>4513212</v>
          </cell>
          <cell r="BI99">
            <v>4354042</v>
          </cell>
          <cell r="BJ99">
            <v>3990921</v>
          </cell>
          <cell r="BK99">
            <v>3968541</v>
          </cell>
          <cell r="BL99">
            <v>3955748</v>
          </cell>
          <cell r="BM99">
            <v>3844451</v>
          </cell>
          <cell r="BN99">
            <v>3574465</v>
          </cell>
          <cell r="BO99">
            <v>3566163</v>
          </cell>
        </row>
        <row r="100">
          <cell r="C100">
            <v>7090617</v>
          </cell>
          <cell r="D100">
            <v>7019163</v>
          </cell>
          <cell r="E100">
            <v>6950858</v>
          </cell>
          <cell r="F100">
            <v>6911152</v>
          </cell>
          <cell r="G100">
            <v>6904039</v>
          </cell>
          <cell r="H100">
            <v>6826573</v>
          </cell>
          <cell r="I100">
            <v>6827028</v>
          </cell>
          <cell r="J100">
            <v>6791119</v>
          </cell>
          <cell r="K100">
            <v>0</v>
          </cell>
          <cell r="L100">
            <v>0</v>
          </cell>
          <cell r="M100">
            <v>0</v>
          </cell>
          <cell r="N100">
            <v>0</v>
          </cell>
          <cell r="O100">
            <v>0</v>
          </cell>
          <cell r="P100">
            <v>0</v>
          </cell>
          <cell r="Q100">
            <v>0</v>
          </cell>
          <cell r="R100">
            <v>0</v>
          </cell>
          <cell r="S100">
            <v>4410716</v>
          </cell>
          <cell r="T100">
            <v>4409443</v>
          </cell>
          <cell r="U100">
            <v>4783764</v>
          </cell>
          <cell r="V100">
            <v>4782491</v>
          </cell>
          <cell r="W100">
            <v>4807492</v>
          </cell>
          <cell r="X100">
            <v>4335658</v>
          </cell>
          <cell r="Y100">
            <v>4335333</v>
          </cell>
          <cell r="Z100">
            <v>4335009</v>
          </cell>
          <cell r="AA100">
            <v>552841</v>
          </cell>
          <cell r="AB100">
            <v>579647</v>
          </cell>
          <cell r="AC100">
            <v>515724</v>
          </cell>
          <cell r="AD100">
            <v>377131</v>
          </cell>
          <cell r="AE100">
            <v>428131</v>
          </cell>
          <cell r="AF100">
            <v>947558</v>
          </cell>
          <cell r="AG100">
            <v>756197</v>
          </cell>
          <cell r="AH100">
            <v>616098</v>
          </cell>
          <cell r="AI100">
            <v>0</v>
          </cell>
          <cell r="AJ100">
            <v>0</v>
          </cell>
          <cell r="AK100">
            <v>0</v>
          </cell>
          <cell r="AL100">
            <v>0</v>
          </cell>
          <cell r="AM100">
            <v>0</v>
          </cell>
          <cell r="AN100">
            <v>0</v>
          </cell>
          <cell r="AO100">
            <v>0</v>
          </cell>
          <cell r="AP100">
            <v>0</v>
          </cell>
          <cell r="AQ100">
            <v>1732</v>
          </cell>
          <cell r="AR100">
            <v>1267</v>
          </cell>
          <cell r="AS100">
            <v>5039</v>
          </cell>
          <cell r="AT100">
            <v>5091</v>
          </cell>
          <cell r="AU100">
            <v>4882</v>
          </cell>
          <cell r="AV100">
            <v>4734</v>
          </cell>
          <cell r="AW100">
            <v>4701</v>
          </cell>
          <cell r="AX100">
            <v>15383</v>
          </cell>
          <cell r="AY100">
            <v>375595</v>
          </cell>
          <cell r="AZ100">
            <v>375595</v>
          </cell>
          <cell r="BA100">
            <v>0</v>
          </cell>
          <cell r="BB100">
            <v>0</v>
          </cell>
          <cell r="BC100">
            <v>0</v>
          </cell>
          <cell r="BD100">
            <v>0</v>
          </cell>
          <cell r="BE100">
            <v>0</v>
          </cell>
          <cell r="BF100">
            <v>0</v>
          </cell>
          <cell r="BH100">
            <v>12429769</v>
          </cell>
          <cell r="BI100">
            <v>12383848</v>
          </cell>
          <cell r="BJ100">
            <v>12250346</v>
          </cell>
          <cell r="BK100">
            <v>12070774</v>
          </cell>
          <cell r="BL100">
            <v>12139662</v>
          </cell>
          <cell r="BM100">
            <v>12109789</v>
          </cell>
          <cell r="BN100">
            <v>11918558</v>
          </cell>
          <cell r="BO100">
            <v>11742226</v>
          </cell>
        </row>
        <row r="101">
          <cell r="C101">
            <v>551887</v>
          </cell>
          <cell r="D101">
            <v>538308</v>
          </cell>
          <cell r="E101">
            <v>540710</v>
          </cell>
          <cell r="F101">
            <v>526890</v>
          </cell>
          <cell r="G101">
            <v>529370</v>
          </cell>
          <cell r="H101">
            <v>511633</v>
          </cell>
          <cell r="I101">
            <v>514356</v>
          </cell>
          <cell r="J101">
            <v>506038</v>
          </cell>
          <cell r="K101">
            <v>0</v>
          </cell>
          <cell r="L101">
            <v>0</v>
          </cell>
          <cell r="M101">
            <v>0</v>
          </cell>
          <cell r="N101">
            <v>0</v>
          </cell>
          <cell r="O101">
            <v>0</v>
          </cell>
          <cell r="P101">
            <v>0</v>
          </cell>
          <cell r="Q101">
            <v>0</v>
          </cell>
          <cell r="R101">
            <v>0</v>
          </cell>
          <cell r="S101">
            <v>578580</v>
          </cell>
          <cell r="T101">
            <v>578567</v>
          </cell>
          <cell r="U101">
            <v>578554</v>
          </cell>
          <cell r="V101">
            <v>578541</v>
          </cell>
          <cell r="W101">
            <v>578529</v>
          </cell>
          <cell r="X101">
            <v>463804</v>
          </cell>
          <cell r="Y101">
            <v>518777</v>
          </cell>
          <cell r="Z101">
            <v>562391</v>
          </cell>
          <cell r="AA101">
            <v>0</v>
          </cell>
          <cell r="AB101">
            <v>0</v>
          </cell>
          <cell r="AC101">
            <v>0</v>
          </cell>
          <cell r="AD101">
            <v>0</v>
          </cell>
          <cell r="AE101">
            <v>14150</v>
          </cell>
          <cell r="AF101">
            <v>87150</v>
          </cell>
          <cell r="AG101">
            <v>0</v>
          </cell>
          <cell r="AH101">
            <v>0</v>
          </cell>
          <cell r="AI101">
            <v>20350</v>
          </cell>
          <cell r="AJ101">
            <v>20350</v>
          </cell>
          <cell r="AK101">
            <v>20350</v>
          </cell>
          <cell r="AL101">
            <v>20350</v>
          </cell>
          <cell r="AM101">
            <v>20350</v>
          </cell>
          <cell r="AN101">
            <v>20350</v>
          </cell>
          <cell r="AO101">
            <v>20350</v>
          </cell>
          <cell r="AP101">
            <v>20350</v>
          </cell>
          <cell r="AQ101">
            <v>10408</v>
          </cell>
          <cell r="AR101">
            <v>10691</v>
          </cell>
          <cell r="AS101">
            <v>10888</v>
          </cell>
          <cell r="AT101">
            <v>11224</v>
          </cell>
          <cell r="AU101">
            <v>10748</v>
          </cell>
          <cell r="AV101">
            <v>11889</v>
          </cell>
          <cell r="AW101">
            <v>12127</v>
          </cell>
          <cell r="AX101">
            <v>11978</v>
          </cell>
          <cell r="AY101">
            <v>0</v>
          </cell>
          <cell r="AZ101">
            <v>0</v>
          </cell>
          <cell r="BA101">
            <v>0</v>
          </cell>
          <cell r="BB101">
            <v>0</v>
          </cell>
          <cell r="BC101">
            <v>0</v>
          </cell>
          <cell r="BD101">
            <v>0</v>
          </cell>
          <cell r="BE101">
            <v>0</v>
          </cell>
          <cell r="BF101">
            <v>0</v>
          </cell>
          <cell r="BH101">
            <v>1150817</v>
          </cell>
          <cell r="BI101">
            <v>1137225</v>
          </cell>
          <cell r="BJ101">
            <v>1139614</v>
          </cell>
          <cell r="BK101">
            <v>1125781</v>
          </cell>
          <cell r="BL101">
            <v>1142399</v>
          </cell>
          <cell r="BM101">
            <v>1082937</v>
          </cell>
          <cell r="BN101">
            <v>1053483</v>
          </cell>
          <cell r="BO101">
            <v>1088779</v>
          </cell>
        </row>
        <row r="102">
          <cell r="C102">
            <v>338718</v>
          </cell>
          <cell r="D102">
            <v>336369</v>
          </cell>
          <cell r="E102">
            <v>337258</v>
          </cell>
          <cell r="F102">
            <v>336246</v>
          </cell>
          <cell r="G102">
            <v>334095</v>
          </cell>
          <cell r="H102">
            <v>325398</v>
          </cell>
          <cell r="I102">
            <v>329184</v>
          </cell>
          <cell r="J102">
            <v>330037</v>
          </cell>
          <cell r="K102">
            <v>0</v>
          </cell>
          <cell r="L102">
            <v>0</v>
          </cell>
          <cell r="M102">
            <v>0</v>
          </cell>
          <cell r="N102">
            <v>0</v>
          </cell>
          <cell r="O102">
            <v>0</v>
          </cell>
          <cell r="P102">
            <v>0</v>
          </cell>
          <cell r="Q102">
            <v>0</v>
          </cell>
          <cell r="R102">
            <v>0</v>
          </cell>
          <cell r="S102">
            <v>296095</v>
          </cell>
          <cell r="T102">
            <v>296205</v>
          </cell>
          <cell r="U102">
            <v>296205</v>
          </cell>
          <cell r="V102">
            <v>296215</v>
          </cell>
          <cell r="W102">
            <v>296215</v>
          </cell>
          <cell r="X102">
            <v>296415</v>
          </cell>
          <cell r="Y102">
            <v>296415</v>
          </cell>
          <cell r="Z102">
            <v>354425</v>
          </cell>
          <cell r="AA102">
            <v>19010</v>
          </cell>
          <cell r="AB102">
            <v>16052</v>
          </cell>
          <cell r="AC102">
            <v>20000</v>
          </cell>
          <cell r="AD102">
            <v>25314</v>
          </cell>
          <cell r="AE102">
            <v>32854</v>
          </cell>
          <cell r="AF102">
            <v>20994</v>
          </cell>
          <cell r="AG102">
            <v>63499</v>
          </cell>
          <cell r="AH102">
            <v>1585</v>
          </cell>
          <cell r="AI102">
            <v>0</v>
          </cell>
          <cell r="AJ102">
            <v>0</v>
          </cell>
          <cell r="AK102">
            <v>0</v>
          </cell>
          <cell r="AL102">
            <v>0</v>
          </cell>
          <cell r="AM102">
            <v>0</v>
          </cell>
          <cell r="AN102">
            <v>0</v>
          </cell>
          <cell r="AO102">
            <v>0</v>
          </cell>
          <cell r="AP102">
            <v>0</v>
          </cell>
          <cell r="AQ102">
            <v>899</v>
          </cell>
          <cell r="AR102">
            <v>916</v>
          </cell>
          <cell r="AS102">
            <v>874</v>
          </cell>
          <cell r="AT102">
            <v>843</v>
          </cell>
          <cell r="AU102">
            <v>831</v>
          </cell>
          <cell r="AV102">
            <v>828</v>
          </cell>
          <cell r="AW102">
            <v>808</v>
          </cell>
          <cell r="AX102">
            <v>792</v>
          </cell>
          <cell r="AY102">
            <v>0</v>
          </cell>
          <cell r="AZ102">
            <v>0</v>
          </cell>
          <cell r="BA102">
            <v>0</v>
          </cell>
          <cell r="BB102">
            <v>0</v>
          </cell>
          <cell r="BC102">
            <v>0</v>
          </cell>
          <cell r="BD102">
            <v>0</v>
          </cell>
          <cell r="BE102">
            <v>0</v>
          </cell>
          <cell r="BF102">
            <v>0</v>
          </cell>
          <cell r="BH102">
            <v>653823</v>
          </cell>
          <cell r="BI102">
            <v>648626</v>
          </cell>
          <cell r="BJ102">
            <v>653463</v>
          </cell>
          <cell r="BK102">
            <v>657775</v>
          </cell>
          <cell r="BL102">
            <v>663164</v>
          </cell>
          <cell r="BM102">
            <v>642807</v>
          </cell>
          <cell r="BN102">
            <v>689098</v>
          </cell>
          <cell r="BO102">
            <v>686047</v>
          </cell>
        </row>
        <row r="103">
          <cell r="C103">
            <v>12306563</v>
          </cell>
          <cell r="D103">
            <v>12189515</v>
          </cell>
          <cell r="E103">
            <v>11815128</v>
          </cell>
          <cell r="F103">
            <v>11721095</v>
          </cell>
          <cell r="G103">
            <v>11615847</v>
          </cell>
          <cell r="H103">
            <v>11483099</v>
          </cell>
          <cell r="I103">
            <v>11208254</v>
          </cell>
          <cell r="J103">
            <v>11185419</v>
          </cell>
          <cell r="K103">
            <v>257995</v>
          </cell>
          <cell r="L103">
            <v>257995</v>
          </cell>
          <cell r="M103">
            <v>257995</v>
          </cell>
          <cell r="N103">
            <v>257995</v>
          </cell>
          <cell r="O103">
            <v>257995</v>
          </cell>
          <cell r="P103">
            <v>257995</v>
          </cell>
          <cell r="Q103">
            <v>257995</v>
          </cell>
          <cell r="R103">
            <v>257995</v>
          </cell>
          <cell r="S103">
            <v>11755295</v>
          </cell>
          <cell r="T103">
            <v>11816808</v>
          </cell>
          <cell r="U103">
            <v>11609063</v>
          </cell>
          <cell r="V103">
            <v>12201402</v>
          </cell>
          <cell r="W103">
            <v>11821243</v>
          </cell>
          <cell r="X103">
            <v>11474016</v>
          </cell>
          <cell r="Y103">
            <v>11270108</v>
          </cell>
          <cell r="Z103">
            <v>11356922</v>
          </cell>
          <cell r="AA103">
            <v>1062048</v>
          </cell>
          <cell r="AB103">
            <v>1135410</v>
          </cell>
          <cell r="AC103">
            <v>1287906</v>
          </cell>
          <cell r="AD103">
            <v>853033</v>
          </cell>
          <cell r="AE103">
            <v>986576</v>
          </cell>
          <cell r="AF103">
            <v>1026767</v>
          </cell>
          <cell r="AG103">
            <v>1251000</v>
          </cell>
          <cell r="AH103">
            <v>833000</v>
          </cell>
          <cell r="AI103">
            <v>0</v>
          </cell>
          <cell r="AJ103">
            <v>0</v>
          </cell>
          <cell r="AK103">
            <v>0</v>
          </cell>
          <cell r="AL103">
            <v>0</v>
          </cell>
          <cell r="AM103">
            <v>0</v>
          </cell>
          <cell r="AN103">
            <v>0</v>
          </cell>
          <cell r="AO103">
            <v>0</v>
          </cell>
          <cell r="AP103">
            <v>0</v>
          </cell>
          <cell r="AQ103">
            <v>224805</v>
          </cell>
          <cell r="AR103">
            <v>220396</v>
          </cell>
          <cell r="AS103">
            <v>210055</v>
          </cell>
          <cell r="AT103">
            <v>208542</v>
          </cell>
          <cell r="AU103">
            <v>223610</v>
          </cell>
          <cell r="AV103">
            <v>258761</v>
          </cell>
          <cell r="AW103">
            <v>242317</v>
          </cell>
          <cell r="AX103">
            <v>232466</v>
          </cell>
          <cell r="AY103">
            <v>0</v>
          </cell>
          <cell r="AZ103">
            <v>0</v>
          </cell>
          <cell r="BA103">
            <v>0</v>
          </cell>
          <cell r="BB103">
            <v>0</v>
          </cell>
          <cell r="BC103">
            <v>0</v>
          </cell>
          <cell r="BD103">
            <v>0</v>
          </cell>
          <cell r="BE103">
            <v>0</v>
          </cell>
          <cell r="BF103">
            <v>0</v>
          </cell>
          <cell r="BH103">
            <v>25123906</v>
          </cell>
          <cell r="BI103">
            <v>25141733</v>
          </cell>
          <cell r="BJ103">
            <v>24712097</v>
          </cell>
          <cell r="BK103">
            <v>24775530</v>
          </cell>
          <cell r="BL103">
            <v>24423666</v>
          </cell>
          <cell r="BM103">
            <v>23983882</v>
          </cell>
          <cell r="BN103">
            <v>23729362</v>
          </cell>
          <cell r="BO103">
            <v>23375341</v>
          </cell>
        </row>
        <row r="104">
          <cell r="C104">
            <v>7185148</v>
          </cell>
          <cell r="D104">
            <v>7016394</v>
          </cell>
          <cell r="E104">
            <v>6887185</v>
          </cell>
          <cell r="F104">
            <v>7311051</v>
          </cell>
          <cell r="G104">
            <v>7194204</v>
          </cell>
          <cell r="H104">
            <v>7037349</v>
          </cell>
          <cell r="I104">
            <v>6789712</v>
          </cell>
          <cell r="J104">
            <v>6648397</v>
          </cell>
          <cell r="K104">
            <v>40733</v>
          </cell>
          <cell r="L104">
            <v>40733</v>
          </cell>
          <cell r="M104">
            <v>40733</v>
          </cell>
          <cell r="N104">
            <v>40733</v>
          </cell>
          <cell r="O104">
            <v>40733</v>
          </cell>
          <cell r="P104">
            <v>40733</v>
          </cell>
          <cell r="Q104">
            <v>41463</v>
          </cell>
          <cell r="R104">
            <v>41463</v>
          </cell>
          <cell r="S104">
            <v>6670452</v>
          </cell>
          <cell r="T104">
            <v>6743176</v>
          </cell>
          <cell r="U104">
            <v>6343650</v>
          </cell>
          <cell r="V104">
            <v>6343393</v>
          </cell>
          <cell r="W104">
            <v>6357737</v>
          </cell>
          <cell r="X104">
            <v>6357480</v>
          </cell>
          <cell r="Y104">
            <v>6357222</v>
          </cell>
          <cell r="Z104">
            <v>6356965</v>
          </cell>
          <cell r="AA104">
            <v>0</v>
          </cell>
          <cell r="AB104">
            <v>0</v>
          </cell>
          <cell r="AC104">
            <v>270000</v>
          </cell>
          <cell r="AD104">
            <v>36000</v>
          </cell>
          <cell r="AE104">
            <v>34000</v>
          </cell>
          <cell r="AF104">
            <v>0</v>
          </cell>
          <cell r="AG104">
            <v>0</v>
          </cell>
          <cell r="AH104">
            <v>0</v>
          </cell>
          <cell r="AI104">
            <v>0</v>
          </cell>
          <cell r="AJ104">
            <v>0</v>
          </cell>
          <cell r="AK104">
            <v>0</v>
          </cell>
          <cell r="AL104">
            <v>0</v>
          </cell>
          <cell r="AM104">
            <v>0</v>
          </cell>
          <cell r="AN104">
            <v>0</v>
          </cell>
          <cell r="AO104">
            <v>0</v>
          </cell>
          <cell r="AP104">
            <v>0</v>
          </cell>
          <cell r="AQ104">
            <v>34066</v>
          </cell>
          <cell r="AR104">
            <v>39825</v>
          </cell>
          <cell r="AS104">
            <v>40150</v>
          </cell>
          <cell r="AT104">
            <v>39611</v>
          </cell>
          <cell r="AU104">
            <v>40145</v>
          </cell>
          <cell r="AV104">
            <v>31542</v>
          </cell>
          <cell r="AW104">
            <v>33585</v>
          </cell>
          <cell r="AX104">
            <v>31896</v>
          </cell>
          <cell r="AY104">
            <v>0</v>
          </cell>
          <cell r="AZ104">
            <v>0</v>
          </cell>
          <cell r="BA104">
            <v>0</v>
          </cell>
          <cell r="BB104">
            <v>0</v>
          </cell>
          <cell r="BC104">
            <v>0</v>
          </cell>
          <cell r="BD104">
            <v>0</v>
          </cell>
          <cell r="BE104">
            <v>0</v>
          </cell>
          <cell r="BF104">
            <v>0</v>
          </cell>
          <cell r="BH104">
            <v>13855600</v>
          </cell>
          <cell r="BI104">
            <v>13759570</v>
          </cell>
          <cell r="BJ104">
            <v>13500835</v>
          </cell>
          <cell r="BK104">
            <v>13690444</v>
          </cell>
          <cell r="BL104">
            <v>13585941</v>
          </cell>
          <cell r="BM104">
            <v>13394829</v>
          </cell>
          <cell r="BN104">
            <v>13146934</v>
          </cell>
          <cell r="BO104">
            <v>13005362</v>
          </cell>
        </row>
        <row r="105">
          <cell r="C105">
            <v>3031839</v>
          </cell>
          <cell r="D105">
            <v>2994424</v>
          </cell>
          <cell r="E105">
            <v>2984805</v>
          </cell>
          <cell r="F105">
            <v>2970581</v>
          </cell>
          <cell r="G105">
            <v>2908763</v>
          </cell>
          <cell r="H105">
            <v>2800247</v>
          </cell>
          <cell r="I105">
            <v>2732862</v>
          </cell>
          <cell r="J105">
            <v>2651799</v>
          </cell>
          <cell r="K105">
            <v>87472</v>
          </cell>
          <cell r="L105">
            <v>87472</v>
          </cell>
          <cell r="M105">
            <v>87472</v>
          </cell>
          <cell r="N105">
            <v>87472</v>
          </cell>
          <cell r="O105">
            <v>87472</v>
          </cell>
          <cell r="P105">
            <v>87472</v>
          </cell>
          <cell r="Q105">
            <v>87472</v>
          </cell>
          <cell r="R105">
            <v>87472</v>
          </cell>
          <cell r="S105">
            <v>2406573</v>
          </cell>
          <cell r="T105">
            <v>2406427</v>
          </cell>
          <cell r="U105">
            <v>2406283</v>
          </cell>
          <cell r="V105">
            <v>2406141</v>
          </cell>
          <cell r="W105">
            <v>2405995</v>
          </cell>
          <cell r="X105">
            <v>2405850</v>
          </cell>
          <cell r="Y105">
            <v>2613745</v>
          </cell>
          <cell r="Z105">
            <v>2820455</v>
          </cell>
          <cell r="AA105">
            <v>225000</v>
          </cell>
          <cell r="AB105">
            <v>225000</v>
          </cell>
          <cell r="AC105">
            <v>225000</v>
          </cell>
          <cell r="AD105">
            <v>225000</v>
          </cell>
          <cell r="AE105">
            <v>225000</v>
          </cell>
          <cell r="AF105">
            <v>225000</v>
          </cell>
          <cell r="AG105">
            <v>225000</v>
          </cell>
          <cell r="AH105">
            <v>0</v>
          </cell>
          <cell r="AI105">
            <v>0</v>
          </cell>
          <cell r="AJ105">
            <v>0</v>
          </cell>
          <cell r="AK105">
            <v>0</v>
          </cell>
          <cell r="AL105">
            <v>0</v>
          </cell>
          <cell r="AM105">
            <v>0</v>
          </cell>
          <cell r="AN105">
            <v>0</v>
          </cell>
          <cell r="AO105">
            <v>0</v>
          </cell>
          <cell r="AP105">
            <v>0</v>
          </cell>
          <cell r="AQ105">
            <v>54084</v>
          </cell>
          <cell r="AR105">
            <v>54280</v>
          </cell>
          <cell r="AS105">
            <v>54513</v>
          </cell>
          <cell r="AT105">
            <v>64739</v>
          </cell>
          <cell r="AU105">
            <v>65375</v>
          </cell>
          <cell r="AV105">
            <v>64898</v>
          </cell>
          <cell r="AW105">
            <v>65382</v>
          </cell>
          <cell r="AX105">
            <v>64677</v>
          </cell>
          <cell r="AY105">
            <v>0</v>
          </cell>
          <cell r="AZ105">
            <v>0</v>
          </cell>
          <cell r="BA105">
            <v>0</v>
          </cell>
          <cell r="BB105">
            <v>0</v>
          </cell>
          <cell r="BC105">
            <v>0</v>
          </cell>
          <cell r="BD105">
            <v>0</v>
          </cell>
          <cell r="BE105">
            <v>0</v>
          </cell>
          <cell r="BF105">
            <v>0</v>
          </cell>
          <cell r="BH105">
            <v>5663412</v>
          </cell>
          <cell r="BI105">
            <v>5625851</v>
          </cell>
          <cell r="BJ105">
            <v>5616088</v>
          </cell>
          <cell r="BK105">
            <v>5601722</v>
          </cell>
          <cell r="BL105">
            <v>5539758</v>
          </cell>
          <cell r="BM105">
            <v>5431097</v>
          </cell>
          <cell r="BN105">
            <v>5571607</v>
          </cell>
          <cell r="BO105">
            <v>5472254</v>
          </cell>
        </row>
        <row r="106">
          <cell r="C106">
            <v>885051</v>
          </cell>
          <cell r="D106">
            <v>863804</v>
          </cell>
          <cell r="E106">
            <v>897810</v>
          </cell>
          <cell r="F106">
            <v>899538</v>
          </cell>
          <cell r="G106">
            <v>989548</v>
          </cell>
          <cell r="H106">
            <v>968323</v>
          </cell>
          <cell r="I106">
            <v>953930</v>
          </cell>
          <cell r="J106">
            <v>931386</v>
          </cell>
          <cell r="K106">
            <v>0</v>
          </cell>
          <cell r="L106">
            <v>0</v>
          </cell>
          <cell r="M106">
            <v>0</v>
          </cell>
          <cell r="N106">
            <v>0</v>
          </cell>
          <cell r="O106">
            <v>0</v>
          </cell>
          <cell r="P106">
            <v>0</v>
          </cell>
          <cell r="Q106">
            <v>0</v>
          </cell>
          <cell r="R106">
            <v>0</v>
          </cell>
          <cell r="S106">
            <v>1117494</v>
          </cell>
          <cell r="T106">
            <v>1117417</v>
          </cell>
          <cell r="U106">
            <v>1117339</v>
          </cell>
          <cell r="V106">
            <v>1117262</v>
          </cell>
          <cell r="W106">
            <v>1141517</v>
          </cell>
          <cell r="X106">
            <v>1141509</v>
          </cell>
          <cell r="Y106">
            <v>1141500</v>
          </cell>
          <cell r="Z106">
            <v>1141491</v>
          </cell>
          <cell r="AA106">
            <v>0</v>
          </cell>
          <cell r="AB106">
            <v>0</v>
          </cell>
          <cell r="AC106">
            <v>0</v>
          </cell>
          <cell r="AD106">
            <v>0</v>
          </cell>
          <cell r="AE106">
            <v>0</v>
          </cell>
          <cell r="AF106">
            <v>0</v>
          </cell>
          <cell r="AG106">
            <v>0</v>
          </cell>
          <cell r="AH106">
            <v>0</v>
          </cell>
          <cell r="AI106">
            <v>112901</v>
          </cell>
          <cell r="AJ106">
            <v>159902</v>
          </cell>
          <cell r="AK106">
            <v>90363</v>
          </cell>
          <cell r="AL106">
            <v>101338</v>
          </cell>
          <cell r="AM106">
            <v>43244</v>
          </cell>
          <cell r="AN106">
            <v>66786</v>
          </cell>
          <cell r="AO106">
            <v>92807</v>
          </cell>
          <cell r="AP106">
            <v>41473</v>
          </cell>
          <cell r="AQ106">
            <v>9945</v>
          </cell>
          <cell r="AR106">
            <v>8905</v>
          </cell>
          <cell r="AS106">
            <v>8517</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H106">
            <v>2115446</v>
          </cell>
          <cell r="BI106">
            <v>2141123</v>
          </cell>
          <cell r="BJ106">
            <v>2105512</v>
          </cell>
          <cell r="BK106">
            <v>2118138</v>
          </cell>
          <cell r="BL106">
            <v>2174309</v>
          </cell>
          <cell r="BM106">
            <v>2176618</v>
          </cell>
          <cell r="BN106">
            <v>2188237</v>
          </cell>
          <cell r="BO106">
            <v>2114350</v>
          </cell>
        </row>
        <row r="107">
          <cell r="C107">
            <v>159453</v>
          </cell>
          <cell r="D107">
            <v>179468</v>
          </cell>
          <cell r="E107">
            <v>174305</v>
          </cell>
          <cell r="F107">
            <v>168380</v>
          </cell>
          <cell r="G107">
            <v>236312</v>
          </cell>
          <cell r="H107">
            <v>229990</v>
          </cell>
          <cell r="I107">
            <v>225616</v>
          </cell>
          <cell r="J107">
            <v>218593</v>
          </cell>
          <cell r="K107">
            <v>0</v>
          </cell>
          <cell r="L107">
            <v>0</v>
          </cell>
          <cell r="M107">
            <v>0</v>
          </cell>
          <cell r="N107">
            <v>0</v>
          </cell>
          <cell r="O107">
            <v>0</v>
          </cell>
          <cell r="P107">
            <v>0</v>
          </cell>
          <cell r="Q107">
            <v>0</v>
          </cell>
          <cell r="R107">
            <v>0</v>
          </cell>
          <cell r="S107">
            <v>108312</v>
          </cell>
          <cell r="T107">
            <v>108312</v>
          </cell>
          <cell r="U107">
            <v>108799</v>
          </cell>
          <cell r="V107">
            <v>108799</v>
          </cell>
          <cell r="W107">
            <v>109286</v>
          </cell>
          <cell r="X107">
            <v>115758</v>
          </cell>
          <cell r="Y107">
            <v>117245</v>
          </cell>
          <cell r="Z107">
            <v>117244</v>
          </cell>
          <cell r="AA107">
            <v>0</v>
          </cell>
          <cell r="AB107">
            <v>0</v>
          </cell>
          <cell r="AC107">
            <v>0</v>
          </cell>
          <cell r="AD107">
            <v>0</v>
          </cell>
          <cell r="AE107">
            <v>0</v>
          </cell>
          <cell r="AF107">
            <v>0</v>
          </cell>
          <cell r="AG107">
            <v>0</v>
          </cell>
          <cell r="AH107">
            <v>0</v>
          </cell>
          <cell r="AI107">
            <v>0</v>
          </cell>
          <cell r="AJ107">
            <v>0</v>
          </cell>
          <cell r="AK107">
            <v>0</v>
          </cell>
          <cell r="AL107">
            <v>10351</v>
          </cell>
          <cell r="AM107">
            <v>6561</v>
          </cell>
          <cell r="AN107">
            <v>0</v>
          </cell>
          <cell r="AO107">
            <v>0</v>
          </cell>
          <cell r="AP107">
            <v>0</v>
          </cell>
          <cell r="AQ107">
            <v>2703</v>
          </cell>
          <cell r="AR107">
            <v>2669</v>
          </cell>
          <cell r="AS107">
            <v>2578</v>
          </cell>
          <cell r="AT107">
            <v>2577</v>
          </cell>
          <cell r="AU107">
            <v>2615</v>
          </cell>
          <cell r="AV107">
            <v>2662</v>
          </cell>
          <cell r="AW107">
            <v>2711</v>
          </cell>
          <cell r="AX107">
            <v>0</v>
          </cell>
          <cell r="AY107">
            <v>0</v>
          </cell>
          <cell r="AZ107">
            <v>0</v>
          </cell>
          <cell r="BA107">
            <v>0</v>
          </cell>
          <cell r="BB107">
            <v>0</v>
          </cell>
          <cell r="BC107">
            <v>0</v>
          </cell>
          <cell r="BD107">
            <v>0</v>
          </cell>
          <cell r="BE107">
            <v>0</v>
          </cell>
          <cell r="BF107">
            <v>0</v>
          </cell>
          <cell r="BH107">
            <v>267765</v>
          </cell>
          <cell r="BI107">
            <v>287780</v>
          </cell>
          <cell r="BJ107">
            <v>283104</v>
          </cell>
          <cell r="BK107">
            <v>287530</v>
          </cell>
          <cell r="BL107">
            <v>352159</v>
          </cell>
          <cell r="BM107">
            <v>345748</v>
          </cell>
          <cell r="BN107">
            <v>342861</v>
          </cell>
          <cell r="BO107">
            <v>335837</v>
          </cell>
        </row>
        <row r="108">
          <cell r="C108">
            <v>5197</v>
          </cell>
          <cell r="D108">
            <v>5203</v>
          </cell>
          <cell r="E108">
            <v>5178</v>
          </cell>
          <cell r="F108">
            <v>5054</v>
          </cell>
          <cell r="G108">
            <v>4928</v>
          </cell>
          <cell r="H108">
            <v>4035</v>
          </cell>
          <cell r="I108">
            <v>4188</v>
          </cell>
          <cell r="J108">
            <v>4243</v>
          </cell>
          <cell r="K108">
            <v>0</v>
          </cell>
          <cell r="L108">
            <v>0</v>
          </cell>
          <cell r="M108">
            <v>0</v>
          </cell>
          <cell r="N108">
            <v>0</v>
          </cell>
          <cell r="O108">
            <v>0</v>
          </cell>
          <cell r="P108">
            <v>0</v>
          </cell>
          <cell r="Q108">
            <v>0</v>
          </cell>
          <cell r="R108">
            <v>0</v>
          </cell>
          <cell r="S108">
            <v>3200</v>
          </cell>
          <cell r="T108">
            <v>3200</v>
          </cell>
          <cell r="U108">
            <v>3200</v>
          </cell>
          <cell r="V108">
            <v>3200</v>
          </cell>
          <cell r="W108">
            <v>3200</v>
          </cell>
          <cell r="X108">
            <v>3200</v>
          </cell>
          <cell r="Y108">
            <v>3200</v>
          </cell>
          <cell r="Z108">
            <v>3200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171</v>
          </cell>
          <cell r="AR108">
            <v>192</v>
          </cell>
          <cell r="AS108">
            <v>174</v>
          </cell>
          <cell r="AT108">
            <v>170</v>
          </cell>
          <cell r="AU108">
            <v>166</v>
          </cell>
          <cell r="AV108">
            <v>188</v>
          </cell>
          <cell r="AW108">
            <v>114</v>
          </cell>
          <cell r="AX108">
            <v>112</v>
          </cell>
          <cell r="AY108">
            <v>0</v>
          </cell>
          <cell r="AZ108">
            <v>0</v>
          </cell>
          <cell r="BA108">
            <v>0</v>
          </cell>
          <cell r="BB108">
            <v>0</v>
          </cell>
          <cell r="BC108">
            <v>0</v>
          </cell>
          <cell r="BD108">
            <v>0</v>
          </cell>
          <cell r="BE108">
            <v>0</v>
          </cell>
          <cell r="BF108">
            <v>0</v>
          </cell>
          <cell r="BH108">
            <v>8397</v>
          </cell>
          <cell r="BI108">
            <v>8403</v>
          </cell>
          <cell r="BJ108">
            <v>8378</v>
          </cell>
          <cell r="BK108">
            <v>8254</v>
          </cell>
          <cell r="BL108">
            <v>8128</v>
          </cell>
          <cell r="BM108">
            <v>7235</v>
          </cell>
          <cell r="BN108">
            <v>7388</v>
          </cell>
          <cell r="BO108">
            <v>7443</v>
          </cell>
        </row>
        <row r="109">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t="str">
            <v>NA</v>
          </cell>
          <cell r="AH109" t="str">
            <v>NA</v>
          </cell>
          <cell r="AI109" t="str">
            <v>NA</v>
          </cell>
          <cell r="AJ109" t="str">
            <v>NA</v>
          </cell>
          <cell r="AK109" t="str">
            <v>NA</v>
          </cell>
          <cell r="AL109" t="str">
            <v>NA</v>
          </cell>
          <cell r="AM109" t="str">
            <v>NA</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t="str">
            <v>NA</v>
          </cell>
          <cell r="AY109" t="str">
            <v>NA</v>
          </cell>
          <cell r="AZ109" t="str">
            <v>NA</v>
          </cell>
          <cell r="BA109" t="str">
            <v>NA</v>
          </cell>
          <cell r="BB109" t="str">
            <v>NA</v>
          </cell>
          <cell r="BC109" t="str">
            <v>NA</v>
          </cell>
          <cell r="BD109" t="str">
            <v>NA</v>
          </cell>
          <cell r="BE109" t="str">
            <v>NA</v>
          </cell>
          <cell r="BF109" t="str">
            <v>NA</v>
          </cell>
          <cell r="BH109">
            <v>0</v>
          </cell>
          <cell r="BI109">
            <v>0</v>
          </cell>
          <cell r="BJ109">
            <v>0</v>
          </cell>
          <cell r="BK109">
            <v>0</v>
          </cell>
          <cell r="BL109">
            <v>0</v>
          </cell>
          <cell r="BM109">
            <v>0</v>
          </cell>
          <cell r="BN109">
            <v>0</v>
          </cell>
          <cell r="BO109">
            <v>0</v>
          </cell>
        </row>
        <row r="110">
          <cell r="C110">
            <v>1653441</v>
          </cell>
          <cell r="D110">
            <v>1645156</v>
          </cell>
          <cell r="E110">
            <v>1642545</v>
          </cell>
          <cell r="F110">
            <v>1592464</v>
          </cell>
          <cell r="G110">
            <v>1585711</v>
          </cell>
          <cell r="H110">
            <v>1555911</v>
          </cell>
          <cell r="I110">
            <v>1550707</v>
          </cell>
          <cell r="J110">
            <v>1543141</v>
          </cell>
          <cell r="K110">
            <v>0</v>
          </cell>
          <cell r="L110">
            <v>0</v>
          </cell>
          <cell r="M110">
            <v>0</v>
          </cell>
          <cell r="N110">
            <v>0</v>
          </cell>
          <cell r="O110">
            <v>0</v>
          </cell>
          <cell r="P110">
            <v>0</v>
          </cell>
          <cell r="Q110">
            <v>0</v>
          </cell>
          <cell r="R110">
            <v>0</v>
          </cell>
          <cell r="S110">
            <v>1798356</v>
          </cell>
          <cell r="T110">
            <v>1798302</v>
          </cell>
          <cell r="U110">
            <v>1798250</v>
          </cell>
          <cell r="V110">
            <v>1807795</v>
          </cell>
          <cell r="W110">
            <v>1807746</v>
          </cell>
          <cell r="X110">
            <v>1807693</v>
          </cell>
          <cell r="Y110">
            <v>1786547</v>
          </cell>
          <cell r="Z110">
            <v>1744325</v>
          </cell>
          <cell r="AA110">
            <v>0</v>
          </cell>
          <cell r="AB110">
            <v>0</v>
          </cell>
          <cell r="AC110">
            <v>0</v>
          </cell>
          <cell r="AD110">
            <v>18999</v>
          </cell>
          <cell r="AE110">
            <v>8500</v>
          </cell>
          <cell r="AF110">
            <v>0</v>
          </cell>
          <cell r="AG110">
            <v>0</v>
          </cell>
          <cell r="AH110">
            <v>0</v>
          </cell>
          <cell r="AI110">
            <v>0</v>
          </cell>
          <cell r="AJ110">
            <v>0</v>
          </cell>
          <cell r="AK110">
            <v>0</v>
          </cell>
          <cell r="AL110">
            <v>0</v>
          </cell>
          <cell r="AM110">
            <v>0</v>
          </cell>
          <cell r="AN110">
            <v>0</v>
          </cell>
          <cell r="AO110">
            <v>0</v>
          </cell>
          <cell r="AP110">
            <v>0</v>
          </cell>
          <cell r="AQ110">
            <v>7798</v>
          </cell>
          <cell r="AR110">
            <v>8616</v>
          </cell>
          <cell r="AS110">
            <v>6514</v>
          </cell>
          <cell r="AT110">
            <v>6401</v>
          </cell>
          <cell r="AU110">
            <v>6377</v>
          </cell>
          <cell r="AV110">
            <v>6475</v>
          </cell>
          <cell r="AW110">
            <v>5841</v>
          </cell>
          <cell r="AX110">
            <v>5536</v>
          </cell>
          <cell r="AY110">
            <v>0</v>
          </cell>
          <cell r="AZ110">
            <v>0</v>
          </cell>
          <cell r="BA110">
            <v>0</v>
          </cell>
          <cell r="BB110">
            <v>0</v>
          </cell>
          <cell r="BC110">
            <v>0</v>
          </cell>
          <cell r="BD110">
            <v>0</v>
          </cell>
          <cell r="BE110">
            <v>0</v>
          </cell>
          <cell r="BF110">
            <v>0</v>
          </cell>
          <cell r="BH110">
            <v>3451797</v>
          </cell>
          <cell r="BI110">
            <v>3443458</v>
          </cell>
          <cell r="BJ110">
            <v>3440795</v>
          </cell>
          <cell r="BK110">
            <v>3419258</v>
          </cell>
          <cell r="BL110">
            <v>3401957</v>
          </cell>
          <cell r="BM110">
            <v>3363604</v>
          </cell>
          <cell r="BN110">
            <v>3337254</v>
          </cell>
          <cell r="BO110">
            <v>3287466</v>
          </cell>
        </row>
        <row r="111">
          <cell r="C111">
            <v>351705</v>
          </cell>
          <cell r="D111">
            <v>334987</v>
          </cell>
          <cell r="E111">
            <v>321658</v>
          </cell>
          <cell r="F111">
            <v>347422</v>
          </cell>
          <cell r="G111">
            <v>341711</v>
          </cell>
          <cell r="H111">
            <v>354684</v>
          </cell>
          <cell r="I111">
            <v>441720</v>
          </cell>
          <cell r="J111">
            <v>423022</v>
          </cell>
          <cell r="K111">
            <v>0</v>
          </cell>
          <cell r="L111">
            <v>0</v>
          </cell>
          <cell r="M111">
            <v>0</v>
          </cell>
          <cell r="N111">
            <v>0</v>
          </cell>
          <cell r="O111">
            <v>0</v>
          </cell>
          <cell r="P111">
            <v>0</v>
          </cell>
          <cell r="Q111">
            <v>0</v>
          </cell>
          <cell r="R111">
            <v>0</v>
          </cell>
          <cell r="S111">
            <v>453300</v>
          </cell>
          <cell r="T111">
            <v>455515</v>
          </cell>
          <cell r="U111">
            <v>492729</v>
          </cell>
          <cell r="V111">
            <v>439175</v>
          </cell>
          <cell r="W111">
            <v>419132</v>
          </cell>
          <cell r="X111">
            <v>419089</v>
          </cell>
          <cell r="Y111">
            <v>419046</v>
          </cell>
          <cell r="Z111">
            <v>419003</v>
          </cell>
          <cell r="AA111">
            <v>0</v>
          </cell>
          <cell r="AB111">
            <v>25000</v>
          </cell>
          <cell r="AC111">
            <v>0</v>
          </cell>
          <cell r="AD111">
            <v>0</v>
          </cell>
          <cell r="AE111">
            <v>0</v>
          </cell>
          <cell r="AF111">
            <v>0</v>
          </cell>
          <cell r="AG111">
            <v>0</v>
          </cell>
          <cell r="AH111">
            <v>0</v>
          </cell>
          <cell r="AI111">
            <v>0</v>
          </cell>
          <cell r="AJ111">
            <v>0</v>
          </cell>
          <cell r="AK111">
            <v>0</v>
          </cell>
          <cell r="AL111">
            <v>0</v>
          </cell>
          <cell r="AM111">
            <v>0</v>
          </cell>
          <cell r="AN111">
            <v>0</v>
          </cell>
          <cell r="AO111">
            <v>93611</v>
          </cell>
          <cell r="AP111">
            <v>58460</v>
          </cell>
          <cell r="AQ111">
            <v>23170</v>
          </cell>
          <cell r="AR111">
            <v>24288</v>
          </cell>
          <cell r="AS111">
            <v>23948</v>
          </cell>
          <cell r="AT111">
            <v>22635</v>
          </cell>
          <cell r="AU111">
            <v>21269</v>
          </cell>
          <cell r="AV111">
            <v>22680</v>
          </cell>
          <cell r="AW111">
            <v>27607</v>
          </cell>
          <cell r="AX111">
            <v>26691</v>
          </cell>
          <cell r="AY111">
            <v>0</v>
          </cell>
          <cell r="AZ111">
            <v>0</v>
          </cell>
          <cell r="BA111">
            <v>0</v>
          </cell>
          <cell r="BB111">
            <v>0</v>
          </cell>
          <cell r="BC111">
            <v>0</v>
          </cell>
          <cell r="BD111">
            <v>0</v>
          </cell>
          <cell r="BE111">
            <v>0</v>
          </cell>
          <cell r="BF111">
            <v>0</v>
          </cell>
          <cell r="BH111">
            <v>805005</v>
          </cell>
          <cell r="BI111">
            <v>815502</v>
          </cell>
          <cell r="BJ111">
            <v>814387</v>
          </cell>
          <cell r="BK111">
            <v>786597</v>
          </cell>
          <cell r="BL111">
            <v>760843</v>
          </cell>
          <cell r="BM111">
            <v>773773</v>
          </cell>
          <cell r="BN111">
            <v>954377</v>
          </cell>
          <cell r="BO111">
            <v>900485</v>
          </cell>
        </row>
        <row r="112">
          <cell r="C112">
            <v>1515686</v>
          </cell>
          <cell r="D112">
            <v>1478195</v>
          </cell>
          <cell r="E112">
            <v>1445984</v>
          </cell>
          <cell r="F112">
            <v>1428161</v>
          </cell>
          <cell r="G112">
            <v>1417570</v>
          </cell>
          <cell r="H112">
            <v>1425440</v>
          </cell>
          <cell r="I112">
            <v>1418361</v>
          </cell>
          <cell r="J112">
            <v>1435612</v>
          </cell>
          <cell r="K112">
            <v>0</v>
          </cell>
          <cell r="L112">
            <v>0</v>
          </cell>
          <cell r="M112">
            <v>0</v>
          </cell>
          <cell r="N112">
            <v>0</v>
          </cell>
          <cell r="O112">
            <v>0</v>
          </cell>
          <cell r="P112">
            <v>0</v>
          </cell>
          <cell r="Q112">
            <v>0</v>
          </cell>
          <cell r="R112">
            <v>0</v>
          </cell>
          <cell r="S112">
            <v>1539469</v>
          </cell>
          <cell r="T112">
            <v>1539482</v>
          </cell>
          <cell r="U112">
            <v>1539496</v>
          </cell>
          <cell r="V112">
            <v>1539510</v>
          </cell>
          <cell r="W112">
            <v>1539549</v>
          </cell>
          <cell r="X112">
            <v>1539539</v>
          </cell>
          <cell r="Y112">
            <v>1538604</v>
          </cell>
          <cell r="Z112">
            <v>1554543</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49422</v>
          </cell>
          <cell r="AR112">
            <v>49083</v>
          </cell>
          <cell r="AS112">
            <v>48848</v>
          </cell>
          <cell r="AT112">
            <v>48630</v>
          </cell>
          <cell r="AU112">
            <v>47789</v>
          </cell>
          <cell r="AV112">
            <v>47263</v>
          </cell>
          <cell r="AW112">
            <v>46018</v>
          </cell>
          <cell r="AX112">
            <v>44746</v>
          </cell>
          <cell r="AY112">
            <v>0</v>
          </cell>
          <cell r="AZ112">
            <v>0</v>
          </cell>
          <cell r="BA112">
            <v>0</v>
          </cell>
          <cell r="BB112">
            <v>0</v>
          </cell>
          <cell r="BC112">
            <v>0</v>
          </cell>
          <cell r="BD112">
            <v>0</v>
          </cell>
          <cell r="BE112">
            <v>0</v>
          </cell>
          <cell r="BF112">
            <v>0</v>
          </cell>
          <cell r="BH112">
            <v>3055155</v>
          </cell>
          <cell r="BI112">
            <v>3017677</v>
          </cell>
          <cell r="BJ112">
            <v>2985480</v>
          </cell>
          <cell r="BK112">
            <v>2967671</v>
          </cell>
          <cell r="BL112">
            <v>2957119</v>
          </cell>
          <cell r="BM112">
            <v>2964979</v>
          </cell>
          <cell r="BN112">
            <v>2956965</v>
          </cell>
          <cell r="BO112">
            <v>2990155</v>
          </cell>
        </row>
        <row r="113">
          <cell r="C113">
            <v>2038331</v>
          </cell>
          <cell r="D113">
            <v>1979140</v>
          </cell>
          <cell r="E113">
            <v>1976606</v>
          </cell>
          <cell r="F113">
            <v>1943000</v>
          </cell>
          <cell r="G113">
            <v>1938808</v>
          </cell>
          <cell r="H113">
            <v>1912199</v>
          </cell>
          <cell r="I113">
            <v>1913947</v>
          </cell>
          <cell r="J113">
            <v>1894686</v>
          </cell>
          <cell r="K113">
            <v>250000</v>
          </cell>
          <cell r="L113">
            <v>250000</v>
          </cell>
          <cell r="M113">
            <v>250000</v>
          </cell>
          <cell r="N113">
            <v>250000</v>
          </cell>
          <cell r="O113">
            <v>250000</v>
          </cell>
          <cell r="P113">
            <v>250000</v>
          </cell>
          <cell r="Q113">
            <v>300519</v>
          </cell>
          <cell r="R113">
            <v>300519</v>
          </cell>
          <cell r="S113">
            <v>1717675</v>
          </cell>
          <cell r="T113">
            <v>1472130</v>
          </cell>
          <cell r="U113">
            <v>1472097</v>
          </cell>
          <cell r="V113">
            <v>1472064</v>
          </cell>
          <cell r="W113">
            <v>1472031</v>
          </cell>
          <cell r="X113">
            <v>1471997</v>
          </cell>
          <cell r="Y113">
            <v>1471964</v>
          </cell>
          <cell r="Z113">
            <v>1471932</v>
          </cell>
          <cell r="AA113">
            <v>0</v>
          </cell>
          <cell r="AB113">
            <v>0</v>
          </cell>
          <cell r="AC113">
            <v>0</v>
          </cell>
          <cell r="AD113">
            <v>0</v>
          </cell>
          <cell r="AE113">
            <v>0</v>
          </cell>
          <cell r="AF113">
            <v>0</v>
          </cell>
          <cell r="AG113">
            <v>0</v>
          </cell>
          <cell r="AH113">
            <v>0</v>
          </cell>
          <cell r="AI113">
            <v>0</v>
          </cell>
          <cell r="AJ113">
            <v>36684</v>
          </cell>
          <cell r="AK113">
            <v>0</v>
          </cell>
          <cell r="AL113">
            <v>0</v>
          </cell>
          <cell r="AM113">
            <v>0</v>
          </cell>
          <cell r="AN113">
            <v>0</v>
          </cell>
          <cell r="AO113">
            <v>0</v>
          </cell>
          <cell r="AP113">
            <v>0</v>
          </cell>
          <cell r="AQ113">
            <v>17856</v>
          </cell>
          <cell r="AR113">
            <v>18318</v>
          </cell>
          <cell r="AS113">
            <v>17717</v>
          </cell>
          <cell r="AT113">
            <v>17558</v>
          </cell>
          <cell r="AU113">
            <v>17354</v>
          </cell>
          <cell r="AV113">
            <v>17468</v>
          </cell>
          <cell r="AW113">
            <v>17800</v>
          </cell>
          <cell r="AX113">
            <v>18299</v>
          </cell>
          <cell r="AY113">
            <v>0</v>
          </cell>
          <cell r="AZ113">
            <v>0</v>
          </cell>
          <cell r="BA113">
            <v>0</v>
          </cell>
          <cell r="BB113">
            <v>0</v>
          </cell>
          <cell r="BC113">
            <v>0</v>
          </cell>
          <cell r="BD113">
            <v>0</v>
          </cell>
          <cell r="BE113">
            <v>0</v>
          </cell>
          <cell r="BF113">
            <v>0</v>
          </cell>
          <cell r="BH113">
            <v>3756006</v>
          </cell>
          <cell r="BI113">
            <v>3487954</v>
          </cell>
          <cell r="BJ113">
            <v>3448703</v>
          </cell>
          <cell r="BK113">
            <v>3415064</v>
          </cell>
          <cell r="BL113">
            <v>3410839</v>
          </cell>
          <cell r="BM113">
            <v>3384196</v>
          </cell>
          <cell r="BN113">
            <v>3385911</v>
          </cell>
          <cell r="BO113">
            <v>3366618</v>
          </cell>
        </row>
        <row r="114">
          <cell r="C114">
            <v>4303989</v>
          </cell>
          <cell r="D114">
            <v>4245591</v>
          </cell>
          <cell r="E114">
            <v>4241346</v>
          </cell>
          <cell r="F114">
            <v>4138194</v>
          </cell>
          <cell r="G114">
            <v>4003137</v>
          </cell>
          <cell r="H114">
            <v>3911760</v>
          </cell>
          <cell r="I114">
            <v>3763301</v>
          </cell>
          <cell r="J114">
            <v>3745814</v>
          </cell>
          <cell r="K114">
            <v>0</v>
          </cell>
          <cell r="L114">
            <v>0</v>
          </cell>
          <cell r="M114">
            <v>0</v>
          </cell>
          <cell r="N114">
            <v>0</v>
          </cell>
          <cell r="O114">
            <v>0</v>
          </cell>
          <cell r="P114">
            <v>0</v>
          </cell>
          <cell r="Q114">
            <v>0</v>
          </cell>
          <cell r="R114">
            <v>0</v>
          </cell>
          <cell r="S114">
            <v>3294680</v>
          </cell>
          <cell r="T114">
            <v>3045418</v>
          </cell>
          <cell r="U114">
            <v>3045208</v>
          </cell>
          <cell r="V114">
            <v>3045000</v>
          </cell>
          <cell r="W114">
            <v>2646435</v>
          </cell>
          <cell r="X114">
            <v>2646264</v>
          </cell>
          <cell r="Y114">
            <v>2646094</v>
          </cell>
          <cell r="Z114">
            <v>2645926</v>
          </cell>
          <cell r="AA114">
            <v>0</v>
          </cell>
          <cell r="AB114">
            <v>149000</v>
          </cell>
          <cell r="AC114">
            <v>42000</v>
          </cell>
          <cell r="AD114">
            <v>269400</v>
          </cell>
          <cell r="AE114">
            <v>0</v>
          </cell>
          <cell r="AF114">
            <v>0</v>
          </cell>
          <cell r="AG114">
            <v>36000</v>
          </cell>
          <cell r="AH114">
            <v>95000</v>
          </cell>
          <cell r="AI114">
            <v>0</v>
          </cell>
          <cell r="AJ114">
            <v>0</v>
          </cell>
          <cell r="AK114">
            <v>0</v>
          </cell>
          <cell r="AL114">
            <v>0</v>
          </cell>
          <cell r="AM114">
            <v>0</v>
          </cell>
          <cell r="AN114">
            <v>0</v>
          </cell>
          <cell r="AO114">
            <v>7000</v>
          </cell>
          <cell r="AP114">
            <v>84000</v>
          </cell>
          <cell r="AQ114">
            <v>38286</v>
          </cell>
          <cell r="AR114">
            <v>38356</v>
          </cell>
          <cell r="AS114">
            <v>38570</v>
          </cell>
          <cell r="AT114">
            <v>38708</v>
          </cell>
          <cell r="AU114">
            <v>38905</v>
          </cell>
          <cell r="AV114">
            <v>38595</v>
          </cell>
          <cell r="AW114">
            <v>38896</v>
          </cell>
          <cell r="AX114">
            <v>39352</v>
          </cell>
          <cell r="AY114">
            <v>0</v>
          </cell>
          <cell r="AZ114">
            <v>0</v>
          </cell>
          <cell r="BA114">
            <v>0</v>
          </cell>
          <cell r="BB114">
            <v>0</v>
          </cell>
          <cell r="BC114">
            <v>0</v>
          </cell>
          <cell r="BD114">
            <v>0</v>
          </cell>
          <cell r="BE114">
            <v>0</v>
          </cell>
          <cell r="BF114">
            <v>0</v>
          </cell>
          <cell r="BH114">
            <v>7598669</v>
          </cell>
          <cell r="BI114">
            <v>7440009</v>
          </cell>
          <cell r="BJ114">
            <v>7328554</v>
          </cell>
          <cell r="BK114">
            <v>7452594</v>
          </cell>
          <cell r="BL114">
            <v>6649572</v>
          </cell>
          <cell r="BM114">
            <v>6558024</v>
          </cell>
          <cell r="BN114">
            <v>6452395</v>
          </cell>
          <cell r="BO114">
            <v>6570740</v>
          </cell>
        </row>
        <row r="115">
          <cell r="C115">
            <v>967060</v>
          </cell>
          <cell r="D115">
            <v>963438</v>
          </cell>
          <cell r="E115">
            <v>960281</v>
          </cell>
          <cell r="F115">
            <v>926447</v>
          </cell>
          <cell r="G115">
            <v>879625</v>
          </cell>
          <cell r="H115">
            <v>855228</v>
          </cell>
          <cell r="I115">
            <v>754135</v>
          </cell>
          <cell r="J115">
            <v>727445</v>
          </cell>
          <cell r="K115">
            <v>0</v>
          </cell>
          <cell r="L115">
            <v>0</v>
          </cell>
          <cell r="M115">
            <v>0</v>
          </cell>
          <cell r="N115">
            <v>0</v>
          </cell>
          <cell r="O115">
            <v>0</v>
          </cell>
          <cell r="P115">
            <v>0</v>
          </cell>
          <cell r="Q115">
            <v>0</v>
          </cell>
          <cell r="R115">
            <v>0</v>
          </cell>
          <cell r="S115">
            <v>997670</v>
          </cell>
          <cell r="T115">
            <v>838304</v>
          </cell>
          <cell r="U115">
            <v>836392</v>
          </cell>
          <cell r="V115">
            <v>836365</v>
          </cell>
          <cell r="W115">
            <v>836337</v>
          </cell>
          <cell r="X115">
            <v>836310</v>
          </cell>
          <cell r="Y115">
            <v>836282</v>
          </cell>
          <cell r="Z115">
            <v>836255</v>
          </cell>
          <cell r="AA115">
            <v>0</v>
          </cell>
          <cell r="AB115">
            <v>22000</v>
          </cell>
          <cell r="AC115">
            <v>20000</v>
          </cell>
          <cell r="AD115">
            <v>30000</v>
          </cell>
          <cell r="AE115">
            <v>0</v>
          </cell>
          <cell r="AF115">
            <v>0</v>
          </cell>
          <cell r="AG115">
            <v>0</v>
          </cell>
          <cell r="AH115">
            <v>0</v>
          </cell>
          <cell r="AI115">
            <v>90034</v>
          </cell>
          <cell r="AJ115">
            <v>103642</v>
          </cell>
          <cell r="AK115">
            <v>116646</v>
          </cell>
          <cell r="AL115">
            <v>129782</v>
          </cell>
          <cell r="AM115">
            <v>142657</v>
          </cell>
          <cell r="AN115">
            <v>155501</v>
          </cell>
          <cell r="AO115">
            <v>167747</v>
          </cell>
          <cell r="AP115">
            <v>180138</v>
          </cell>
          <cell r="AQ115">
            <v>3322</v>
          </cell>
          <cell r="AR115">
            <v>3017</v>
          </cell>
          <cell r="AS115">
            <v>2734</v>
          </cell>
          <cell r="AT115">
            <v>2691</v>
          </cell>
          <cell r="AU115">
            <v>2650</v>
          </cell>
          <cell r="AV115">
            <v>2510</v>
          </cell>
          <cell r="AW115">
            <v>2560</v>
          </cell>
          <cell r="AX115">
            <v>2700</v>
          </cell>
          <cell r="AY115">
            <v>0</v>
          </cell>
          <cell r="AZ115">
            <v>0</v>
          </cell>
          <cell r="BA115">
            <v>0</v>
          </cell>
          <cell r="BB115">
            <v>0</v>
          </cell>
          <cell r="BC115">
            <v>0</v>
          </cell>
          <cell r="BD115">
            <v>0</v>
          </cell>
          <cell r="BE115">
            <v>0</v>
          </cell>
          <cell r="BF115">
            <v>0</v>
          </cell>
          <cell r="BH115">
            <v>2054764</v>
          </cell>
          <cell r="BI115">
            <v>1927384</v>
          </cell>
          <cell r="BJ115">
            <v>1933319</v>
          </cell>
          <cell r="BK115">
            <v>1922594</v>
          </cell>
          <cell r="BL115">
            <v>1858619</v>
          </cell>
          <cell r="BM115">
            <v>1847039</v>
          </cell>
          <cell r="BN115">
            <v>1758164</v>
          </cell>
          <cell r="BO115">
            <v>1743838</v>
          </cell>
        </row>
        <row r="116">
          <cell r="C116">
            <v>1161960</v>
          </cell>
          <cell r="D116">
            <v>1127129</v>
          </cell>
          <cell r="E116">
            <v>1134787</v>
          </cell>
          <cell r="F116">
            <v>1134879</v>
          </cell>
          <cell r="G116">
            <v>1178768</v>
          </cell>
          <cell r="H116">
            <v>1167223</v>
          </cell>
          <cell r="I116">
            <v>1165271</v>
          </cell>
          <cell r="J116">
            <v>1160205</v>
          </cell>
          <cell r="K116">
            <v>11529</v>
          </cell>
          <cell r="L116">
            <v>11529</v>
          </cell>
          <cell r="M116">
            <v>11529</v>
          </cell>
          <cell r="N116">
            <v>11529</v>
          </cell>
          <cell r="O116">
            <v>11529</v>
          </cell>
          <cell r="P116">
            <v>11529</v>
          </cell>
          <cell r="Q116">
            <v>11529</v>
          </cell>
          <cell r="R116">
            <v>11529</v>
          </cell>
          <cell r="S116">
            <v>1055760</v>
          </cell>
          <cell r="T116">
            <v>1055756</v>
          </cell>
          <cell r="U116">
            <v>1055752</v>
          </cell>
          <cell r="V116">
            <v>1055748</v>
          </cell>
          <cell r="W116">
            <v>1055744</v>
          </cell>
          <cell r="X116">
            <v>1055740</v>
          </cell>
          <cell r="Y116">
            <v>1055736</v>
          </cell>
          <cell r="Z116">
            <v>1055732</v>
          </cell>
          <cell r="AA116">
            <v>257000</v>
          </cell>
          <cell r="AB116">
            <v>273000</v>
          </cell>
          <cell r="AC116">
            <v>212000</v>
          </cell>
          <cell r="AD116">
            <v>190000</v>
          </cell>
          <cell r="AE116">
            <v>173000</v>
          </cell>
          <cell r="AF116">
            <v>192000</v>
          </cell>
          <cell r="AG116">
            <v>178000</v>
          </cell>
          <cell r="AH116">
            <v>118000</v>
          </cell>
          <cell r="AI116">
            <v>0</v>
          </cell>
          <cell r="AJ116">
            <v>0</v>
          </cell>
          <cell r="AK116">
            <v>5400</v>
          </cell>
          <cell r="AL116">
            <v>0</v>
          </cell>
          <cell r="AM116">
            <v>0</v>
          </cell>
          <cell r="AN116">
            <v>0</v>
          </cell>
          <cell r="AO116">
            <v>0</v>
          </cell>
          <cell r="AP116">
            <v>0</v>
          </cell>
          <cell r="AQ116">
            <v>15297</v>
          </cell>
          <cell r="AR116">
            <v>14237</v>
          </cell>
          <cell r="AS116">
            <v>14189</v>
          </cell>
          <cell r="AT116">
            <v>14212</v>
          </cell>
          <cell r="AU116">
            <v>14065</v>
          </cell>
          <cell r="AV116">
            <v>13822</v>
          </cell>
          <cell r="AW116">
            <v>13112</v>
          </cell>
          <cell r="AX116">
            <v>12513</v>
          </cell>
          <cell r="AY116">
            <v>0</v>
          </cell>
          <cell r="AZ116">
            <v>0</v>
          </cell>
          <cell r="BA116">
            <v>0</v>
          </cell>
          <cell r="BB116">
            <v>0</v>
          </cell>
          <cell r="BC116">
            <v>0</v>
          </cell>
          <cell r="BD116">
            <v>0</v>
          </cell>
          <cell r="BE116">
            <v>0</v>
          </cell>
          <cell r="BF116">
            <v>0</v>
          </cell>
          <cell r="BH116">
            <v>2474720</v>
          </cell>
          <cell r="BI116">
            <v>2455885</v>
          </cell>
          <cell r="BJ116">
            <v>2407939</v>
          </cell>
          <cell r="BK116">
            <v>2380627</v>
          </cell>
          <cell r="BL116">
            <v>2407512</v>
          </cell>
          <cell r="BM116">
            <v>2414963</v>
          </cell>
          <cell r="BN116">
            <v>2399007</v>
          </cell>
          <cell r="BO116">
            <v>2333937</v>
          </cell>
        </row>
        <row r="117">
          <cell r="C117">
            <v>897816</v>
          </cell>
          <cell r="D117">
            <v>860949</v>
          </cell>
          <cell r="E117">
            <v>846000</v>
          </cell>
          <cell r="F117">
            <v>847354</v>
          </cell>
          <cell r="G117">
            <v>853764</v>
          </cell>
          <cell r="H117">
            <v>810922</v>
          </cell>
          <cell r="I117">
            <v>808515</v>
          </cell>
          <cell r="J117">
            <v>817000</v>
          </cell>
          <cell r="K117">
            <v>4882</v>
          </cell>
          <cell r="L117">
            <v>4882</v>
          </cell>
          <cell r="M117">
            <v>4882</v>
          </cell>
          <cell r="N117">
            <v>4882</v>
          </cell>
          <cell r="O117">
            <v>4882</v>
          </cell>
          <cell r="P117">
            <v>4882</v>
          </cell>
          <cell r="Q117">
            <v>5258</v>
          </cell>
          <cell r="R117">
            <v>5258</v>
          </cell>
          <cell r="S117">
            <v>945735</v>
          </cell>
          <cell r="T117">
            <v>945650</v>
          </cell>
          <cell r="U117">
            <v>1019374</v>
          </cell>
          <cell r="V117">
            <v>971186</v>
          </cell>
          <cell r="W117">
            <v>970643</v>
          </cell>
          <cell r="X117">
            <v>968851</v>
          </cell>
          <cell r="Y117">
            <v>968808</v>
          </cell>
          <cell r="Z117">
            <v>968121</v>
          </cell>
          <cell r="AA117">
            <v>0</v>
          </cell>
          <cell r="AB117">
            <v>0</v>
          </cell>
          <cell r="AC117">
            <v>0</v>
          </cell>
          <cell r="AD117">
            <v>0</v>
          </cell>
          <cell r="AE117">
            <v>0</v>
          </cell>
          <cell r="AF117">
            <v>0</v>
          </cell>
          <cell r="AG117">
            <v>0</v>
          </cell>
          <cell r="AH117">
            <v>0</v>
          </cell>
          <cell r="AI117">
            <v>0</v>
          </cell>
          <cell r="AJ117">
            <v>0</v>
          </cell>
          <cell r="AK117">
            <v>0</v>
          </cell>
          <cell r="AL117">
            <v>91382</v>
          </cell>
          <cell r="AM117">
            <v>23024</v>
          </cell>
          <cell r="AN117">
            <v>66229</v>
          </cell>
          <cell r="AO117">
            <v>68743</v>
          </cell>
          <cell r="AP117">
            <v>0</v>
          </cell>
          <cell r="AQ117">
            <v>46508</v>
          </cell>
          <cell r="AR117">
            <v>44161</v>
          </cell>
          <cell r="AS117">
            <v>42837</v>
          </cell>
          <cell r="AT117">
            <v>41217</v>
          </cell>
          <cell r="AU117">
            <v>40740</v>
          </cell>
          <cell r="AV117">
            <v>41015</v>
          </cell>
          <cell r="AW117">
            <v>41603</v>
          </cell>
          <cell r="AX117">
            <v>42002</v>
          </cell>
          <cell r="AY117">
            <v>0</v>
          </cell>
          <cell r="AZ117">
            <v>0</v>
          </cell>
          <cell r="BA117">
            <v>0</v>
          </cell>
          <cell r="BB117">
            <v>0</v>
          </cell>
          <cell r="BC117">
            <v>0</v>
          </cell>
          <cell r="BD117">
            <v>0</v>
          </cell>
          <cell r="BE117">
            <v>0</v>
          </cell>
          <cell r="BF117">
            <v>0</v>
          </cell>
          <cell r="BH117">
            <v>1843551</v>
          </cell>
          <cell r="BI117">
            <v>1806599</v>
          </cell>
          <cell r="BJ117">
            <v>1865374</v>
          </cell>
          <cell r="BK117">
            <v>1909922</v>
          </cell>
          <cell r="BL117">
            <v>1847431</v>
          </cell>
          <cell r="BM117">
            <v>1846002</v>
          </cell>
          <cell r="BN117">
            <v>1846066</v>
          </cell>
          <cell r="BO117">
            <v>1785121</v>
          </cell>
        </row>
        <row r="118">
          <cell r="C118">
            <v>4847275</v>
          </cell>
          <cell r="D118">
            <v>4693365</v>
          </cell>
          <cell r="E118">
            <v>4587542</v>
          </cell>
          <cell r="F118">
            <v>4424788</v>
          </cell>
          <cell r="G118">
            <v>4342059</v>
          </cell>
          <cell r="H118">
            <v>4342291</v>
          </cell>
          <cell r="I118">
            <v>4339248</v>
          </cell>
          <cell r="J118">
            <v>4302112</v>
          </cell>
          <cell r="K118">
            <v>0</v>
          </cell>
          <cell r="L118">
            <v>0</v>
          </cell>
          <cell r="M118">
            <v>0</v>
          </cell>
          <cell r="N118">
            <v>0</v>
          </cell>
          <cell r="O118">
            <v>0</v>
          </cell>
          <cell r="P118">
            <v>0</v>
          </cell>
          <cell r="Q118">
            <v>0</v>
          </cell>
          <cell r="R118">
            <v>79523</v>
          </cell>
          <cell r="S118">
            <v>4534245</v>
          </cell>
          <cell r="T118">
            <v>4284183</v>
          </cell>
          <cell r="U118">
            <v>4283980</v>
          </cell>
          <cell r="V118">
            <v>4283776</v>
          </cell>
          <cell r="W118">
            <v>4282562</v>
          </cell>
          <cell r="X118">
            <v>3868984</v>
          </cell>
          <cell r="Y118">
            <v>3569333</v>
          </cell>
          <cell r="Z118">
            <v>3570607</v>
          </cell>
          <cell r="AA118">
            <v>0</v>
          </cell>
          <cell r="AB118">
            <v>297979</v>
          </cell>
          <cell r="AC118">
            <v>21300</v>
          </cell>
          <cell r="AD118">
            <v>0</v>
          </cell>
          <cell r="AE118">
            <v>0</v>
          </cell>
          <cell r="AF118">
            <v>223390</v>
          </cell>
          <cell r="AG118">
            <v>0</v>
          </cell>
          <cell r="AH118">
            <v>0</v>
          </cell>
          <cell r="AI118">
            <v>0</v>
          </cell>
          <cell r="AJ118">
            <v>0</v>
          </cell>
          <cell r="AK118">
            <v>0</v>
          </cell>
          <cell r="AL118">
            <v>0</v>
          </cell>
          <cell r="AM118">
            <v>0</v>
          </cell>
          <cell r="AN118">
            <v>0</v>
          </cell>
          <cell r="AO118">
            <v>0</v>
          </cell>
          <cell r="AP118">
            <v>0</v>
          </cell>
          <cell r="AQ118">
            <v>95776</v>
          </cell>
          <cell r="AR118">
            <v>96669</v>
          </cell>
          <cell r="AS118">
            <v>95178</v>
          </cell>
          <cell r="AT118">
            <v>94120</v>
          </cell>
          <cell r="AU118">
            <v>92706</v>
          </cell>
          <cell r="AV118">
            <v>87877</v>
          </cell>
          <cell r="AW118">
            <v>85129</v>
          </cell>
          <cell r="AX118">
            <v>77118</v>
          </cell>
          <cell r="AY118">
            <v>0</v>
          </cell>
          <cell r="AZ118">
            <v>0</v>
          </cell>
          <cell r="BA118">
            <v>0</v>
          </cell>
          <cell r="BB118">
            <v>0</v>
          </cell>
          <cell r="BC118">
            <v>0</v>
          </cell>
          <cell r="BD118">
            <v>0</v>
          </cell>
          <cell r="BE118">
            <v>0</v>
          </cell>
          <cell r="BF118">
            <v>0</v>
          </cell>
          <cell r="BH118">
            <v>9381520</v>
          </cell>
          <cell r="BI118">
            <v>9275527</v>
          </cell>
          <cell r="BJ118">
            <v>8892822</v>
          </cell>
          <cell r="BK118">
            <v>8708564</v>
          </cell>
          <cell r="BL118">
            <v>8624621</v>
          </cell>
          <cell r="BM118">
            <v>8434665</v>
          </cell>
          <cell r="BN118">
            <v>7908581</v>
          </cell>
          <cell r="BO118">
            <v>7872719</v>
          </cell>
        </row>
        <row r="119">
          <cell r="C119">
            <v>3247987</v>
          </cell>
          <cell r="D119">
            <v>3271199</v>
          </cell>
          <cell r="E119">
            <v>3192795</v>
          </cell>
          <cell r="F119">
            <v>2974908</v>
          </cell>
          <cell r="G119">
            <v>2892282</v>
          </cell>
          <cell r="H119">
            <v>2928875</v>
          </cell>
          <cell r="I119">
            <v>2988958</v>
          </cell>
          <cell r="J119">
            <v>3083072</v>
          </cell>
          <cell r="K119">
            <v>0</v>
          </cell>
          <cell r="L119">
            <v>0</v>
          </cell>
          <cell r="M119">
            <v>0</v>
          </cell>
          <cell r="N119">
            <v>0</v>
          </cell>
          <cell r="O119">
            <v>0</v>
          </cell>
          <cell r="P119">
            <v>0</v>
          </cell>
          <cell r="Q119">
            <v>0</v>
          </cell>
          <cell r="R119">
            <v>0</v>
          </cell>
          <cell r="S119">
            <v>3503845</v>
          </cell>
          <cell r="T119">
            <v>3503845</v>
          </cell>
          <cell r="U119">
            <v>3503845</v>
          </cell>
          <cell r="V119">
            <v>3463860</v>
          </cell>
          <cell r="W119">
            <v>3463860</v>
          </cell>
          <cell r="X119">
            <v>3470860</v>
          </cell>
          <cell r="Y119">
            <v>3220860</v>
          </cell>
          <cell r="Z119">
            <v>3120860</v>
          </cell>
          <cell r="AA119">
            <v>119000</v>
          </cell>
          <cell r="AB119">
            <v>0</v>
          </cell>
          <cell r="AC119">
            <v>126600</v>
          </cell>
          <cell r="AD119">
            <v>247000</v>
          </cell>
          <cell r="AE119">
            <v>77000</v>
          </cell>
          <cell r="AF119">
            <v>0</v>
          </cell>
          <cell r="AG119">
            <v>40000</v>
          </cell>
          <cell r="AH119">
            <v>105000</v>
          </cell>
          <cell r="AI119">
            <v>29998</v>
          </cell>
          <cell r="AJ119">
            <v>29998</v>
          </cell>
          <cell r="AK119">
            <v>29998</v>
          </cell>
          <cell r="AL119">
            <v>22598</v>
          </cell>
          <cell r="AM119">
            <v>22898</v>
          </cell>
          <cell r="AN119">
            <v>22898</v>
          </cell>
          <cell r="AO119">
            <v>22898</v>
          </cell>
          <cell r="AP119">
            <v>22898</v>
          </cell>
          <cell r="AQ119">
            <v>31970</v>
          </cell>
          <cell r="AR119">
            <v>30983</v>
          </cell>
          <cell r="AS119">
            <v>30489</v>
          </cell>
          <cell r="AT119">
            <v>30154</v>
          </cell>
          <cell r="AU119">
            <v>29940</v>
          </cell>
          <cell r="AV119">
            <v>29893</v>
          </cell>
          <cell r="AW119">
            <v>27628</v>
          </cell>
          <cell r="AX119">
            <v>27219</v>
          </cell>
          <cell r="AY119">
            <v>0</v>
          </cell>
          <cell r="AZ119">
            <v>0</v>
          </cell>
          <cell r="BA119">
            <v>0</v>
          </cell>
          <cell r="BB119">
            <v>0</v>
          </cell>
          <cell r="BC119">
            <v>0</v>
          </cell>
          <cell r="BD119">
            <v>0</v>
          </cell>
          <cell r="BE119">
            <v>0</v>
          </cell>
          <cell r="BF119">
            <v>0</v>
          </cell>
          <cell r="BH119">
            <v>6900830</v>
          </cell>
          <cell r="BI119">
            <v>6805042</v>
          </cell>
          <cell r="BJ119">
            <v>6853238</v>
          </cell>
          <cell r="BK119">
            <v>6708366</v>
          </cell>
          <cell r="BL119">
            <v>6456040</v>
          </cell>
          <cell r="BM119">
            <v>6422633</v>
          </cell>
          <cell r="BN119">
            <v>6272716</v>
          </cell>
          <cell r="BO119">
            <v>6331830</v>
          </cell>
        </row>
        <row r="120">
          <cell r="C120">
            <v>640293</v>
          </cell>
          <cell r="D120">
            <v>663089</v>
          </cell>
          <cell r="E120">
            <v>708040</v>
          </cell>
          <cell r="F120">
            <v>680988</v>
          </cell>
          <cell r="G120">
            <v>642225</v>
          </cell>
          <cell r="H120">
            <v>624657</v>
          </cell>
          <cell r="I120">
            <v>622727</v>
          </cell>
          <cell r="J120">
            <v>602877</v>
          </cell>
          <cell r="K120">
            <v>0</v>
          </cell>
          <cell r="L120">
            <v>0</v>
          </cell>
          <cell r="M120">
            <v>0</v>
          </cell>
          <cell r="N120">
            <v>0</v>
          </cell>
          <cell r="O120">
            <v>0</v>
          </cell>
          <cell r="P120">
            <v>0</v>
          </cell>
          <cell r="Q120">
            <v>0</v>
          </cell>
          <cell r="R120">
            <v>0</v>
          </cell>
          <cell r="S120">
            <v>782491</v>
          </cell>
          <cell r="T120">
            <v>657478</v>
          </cell>
          <cell r="U120">
            <v>657465</v>
          </cell>
          <cell r="V120">
            <v>718452</v>
          </cell>
          <cell r="W120">
            <v>818438</v>
          </cell>
          <cell r="X120">
            <v>818425</v>
          </cell>
          <cell r="Y120">
            <v>818412</v>
          </cell>
          <cell r="Z120">
            <v>818400</v>
          </cell>
          <cell r="AA120">
            <v>0</v>
          </cell>
          <cell r="AB120">
            <v>5100</v>
          </cell>
          <cell r="AC120">
            <v>4900</v>
          </cell>
          <cell r="AD120">
            <v>0</v>
          </cell>
          <cell r="AE120">
            <v>0</v>
          </cell>
          <cell r="AF120">
            <v>0</v>
          </cell>
          <cell r="AG120">
            <v>0</v>
          </cell>
          <cell r="AH120">
            <v>16000</v>
          </cell>
          <cell r="AI120">
            <v>0</v>
          </cell>
          <cell r="AJ120">
            <v>0</v>
          </cell>
          <cell r="AK120">
            <v>0</v>
          </cell>
          <cell r="AL120">
            <v>0</v>
          </cell>
          <cell r="AM120">
            <v>0</v>
          </cell>
          <cell r="AN120">
            <v>0</v>
          </cell>
          <cell r="AO120">
            <v>0</v>
          </cell>
          <cell r="AP120">
            <v>0</v>
          </cell>
          <cell r="AQ120">
            <v>5843</v>
          </cell>
          <cell r="AR120">
            <v>5850</v>
          </cell>
          <cell r="AS120">
            <v>5886</v>
          </cell>
          <cell r="AT120">
            <v>5993</v>
          </cell>
          <cell r="AU120">
            <v>5994</v>
          </cell>
          <cell r="AV120">
            <v>6062</v>
          </cell>
          <cell r="AW120">
            <v>6062</v>
          </cell>
          <cell r="AX120">
            <v>6034</v>
          </cell>
          <cell r="AY120">
            <v>0</v>
          </cell>
          <cell r="AZ120">
            <v>0</v>
          </cell>
          <cell r="BA120">
            <v>0</v>
          </cell>
          <cell r="BB120">
            <v>0</v>
          </cell>
          <cell r="BC120">
            <v>0</v>
          </cell>
          <cell r="BD120">
            <v>0</v>
          </cell>
          <cell r="BE120">
            <v>0</v>
          </cell>
          <cell r="BF120">
            <v>0</v>
          </cell>
          <cell r="BH120">
            <v>1422784</v>
          </cell>
          <cell r="BI120">
            <v>1325667</v>
          </cell>
          <cell r="BJ120">
            <v>1370405</v>
          </cell>
          <cell r="BK120">
            <v>1399440</v>
          </cell>
          <cell r="BL120">
            <v>1460663</v>
          </cell>
          <cell r="BM120">
            <v>1443082</v>
          </cell>
          <cell r="BN120">
            <v>1441139</v>
          </cell>
          <cell r="BO120">
            <v>1437277</v>
          </cell>
        </row>
        <row r="121">
          <cell r="C121">
            <v>192081</v>
          </cell>
          <cell r="D121">
            <v>186098</v>
          </cell>
          <cell r="E121">
            <v>183237</v>
          </cell>
          <cell r="F121">
            <v>179909</v>
          </cell>
          <cell r="G121">
            <v>178130</v>
          </cell>
          <cell r="H121">
            <v>169821</v>
          </cell>
          <cell r="I121">
            <v>167497</v>
          </cell>
          <cell r="J121">
            <v>165952</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2416</v>
          </cell>
          <cell r="AR121">
            <v>2311</v>
          </cell>
          <cell r="AS121">
            <v>2294</v>
          </cell>
          <cell r="AT121">
            <v>2045</v>
          </cell>
          <cell r="AU121">
            <v>2137</v>
          </cell>
          <cell r="AV121">
            <v>2145</v>
          </cell>
          <cell r="AW121">
            <v>2211</v>
          </cell>
          <cell r="AX121">
            <v>2196</v>
          </cell>
          <cell r="AY121">
            <v>0</v>
          </cell>
          <cell r="AZ121">
            <v>0</v>
          </cell>
          <cell r="BA121">
            <v>0</v>
          </cell>
          <cell r="BB121">
            <v>0</v>
          </cell>
          <cell r="BC121">
            <v>0</v>
          </cell>
          <cell r="BD121">
            <v>0</v>
          </cell>
          <cell r="BE121">
            <v>0</v>
          </cell>
          <cell r="BF121">
            <v>0</v>
          </cell>
          <cell r="BH121">
            <v>192081</v>
          </cell>
          <cell r="BI121">
            <v>186098</v>
          </cell>
          <cell r="BJ121">
            <v>183237</v>
          </cell>
          <cell r="BK121">
            <v>179909</v>
          </cell>
          <cell r="BL121">
            <v>178130</v>
          </cell>
          <cell r="BM121">
            <v>169821</v>
          </cell>
          <cell r="BN121">
            <v>167497</v>
          </cell>
          <cell r="BO121">
            <v>165952</v>
          </cell>
        </row>
        <row r="122">
          <cell r="C122">
            <v>3660827</v>
          </cell>
          <cell r="D122">
            <v>3547395</v>
          </cell>
          <cell r="E122">
            <v>3476377</v>
          </cell>
          <cell r="F122">
            <v>3187083</v>
          </cell>
          <cell r="G122">
            <v>3082477</v>
          </cell>
          <cell r="H122">
            <v>2976307</v>
          </cell>
          <cell r="I122">
            <v>2901362</v>
          </cell>
          <cell r="J122">
            <v>2818316</v>
          </cell>
          <cell r="K122">
            <v>78475</v>
          </cell>
          <cell r="L122">
            <v>78475</v>
          </cell>
          <cell r="M122">
            <v>78475</v>
          </cell>
          <cell r="N122">
            <v>78475</v>
          </cell>
          <cell r="O122">
            <v>78475</v>
          </cell>
          <cell r="P122">
            <v>78475</v>
          </cell>
          <cell r="Q122">
            <v>78475</v>
          </cell>
          <cell r="R122">
            <v>78475</v>
          </cell>
          <cell r="S122">
            <v>3279797</v>
          </cell>
          <cell r="T122">
            <v>2931461</v>
          </cell>
          <cell r="U122">
            <v>2931354</v>
          </cell>
          <cell r="V122">
            <v>2931248</v>
          </cell>
          <cell r="W122">
            <v>2931141</v>
          </cell>
          <cell r="X122">
            <v>2436572</v>
          </cell>
          <cell r="Y122">
            <v>2186847</v>
          </cell>
          <cell r="Z122">
            <v>2186789</v>
          </cell>
          <cell r="AA122">
            <v>0</v>
          </cell>
          <cell r="AB122">
            <v>0</v>
          </cell>
          <cell r="AC122">
            <v>0</v>
          </cell>
          <cell r="AD122">
            <v>0</v>
          </cell>
          <cell r="AE122">
            <v>0</v>
          </cell>
          <cell r="AF122">
            <v>63499</v>
          </cell>
          <cell r="AG122">
            <v>23700</v>
          </cell>
          <cell r="AH122">
            <v>0</v>
          </cell>
          <cell r="AI122">
            <v>0</v>
          </cell>
          <cell r="AJ122">
            <v>0</v>
          </cell>
          <cell r="AK122">
            <v>0</v>
          </cell>
          <cell r="AL122">
            <v>0</v>
          </cell>
          <cell r="AM122">
            <v>0</v>
          </cell>
          <cell r="AN122">
            <v>0</v>
          </cell>
          <cell r="AO122">
            <v>0</v>
          </cell>
          <cell r="AP122">
            <v>0</v>
          </cell>
          <cell r="AQ122">
            <v>60685</v>
          </cell>
          <cell r="AR122">
            <v>59147</v>
          </cell>
          <cell r="AS122">
            <v>55108</v>
          </cell>
          <cell r="AT122">
            <v>54158</v>
          </cell>
          <cell r="AU122">
            <v>53478</v>
          </cell>
          <cell r="AV122">
            <v>56561</v>
          </cell>
          <cell r="AW122">
            <v>57005</v>
          </cell>
          <cell r="AX122">
            <v>56097</v>
          </cell>
          <cell r="AY122">
            <v>0</v>
          </cell>
          <cell r="AZ122">
            <v>0</v>
          </cell>
          <cell r="BA122">
            <v>0</v>
          </cell>
          <cell r="BB122">
            <v>0</v>
          </cell>
          <cell r="BC122">
            <v>0</v>
          </cell>
          <cell r="BD122">
            <v>0</v>
          </cell>
          <cell r="BE122">
            <v>0</v>
          </cell>
          <cell r="BF122">
            <v>0</v>
          </cell>
          <cell r="BH122">
            <v>6940624</v>
          </cell>
          <cell r="BI122">
            <v>6478856</v>
          </cell>
          <cell r="BJ122">
            <v>6407731</v>
          </cell>
          <cell r="BK122">
            <v>6118331</v>
          </cell>
          <cell r="BL122">
            <v>6013618</v>
          </cell>
          <cell r="BM122">
            <v>5476378</v>
          </cell>
          <cell r="BN122">
            <v>5111909</v>
          </cell>
          <cell r="BO122">
            <v>5005105</v>
          </cell>
        </row>
        <row r="123">
          <cell r="C123">
            <v>71858</v>
          </cell>
          <cell r="D123">
            <v>71285</v>
          </cell>
          <cell r="E123">
            <v>70454</v>
          </cell>
          <cell r="F123">
            <v>70411</v>
          </cell>
          <cell r="G123">
            <v>72959</v>
          </cell>
          <cell r="H123" t="str">
            <v>NA</v>
          </cell>
          <cell r="I123" t="str">
            <v>NA</v>
          </cell>
          <cell r="J123" t="str">
            <v>NA</v>
          </cell>
          <cell r="K123">
            <v>0</v>
          </cell>
          <cell r="L123">
            <v>0</v>
          </cell>
          <cell r="M123">
            <v>0</v>
          </cell>
          <cell r="N123">
            <v>0</v>
          </cell>
          <cell r="O123">
            <v>0</v>
          </cell>
          <cell r="P123" t="str">
            <v>NA</v>
          </cell>
          <cell r="Q123" t="str">
            <v>NA</v>
          </cell>
          <cell r="R123" t="str">
            <v>NA</v>
          </cell>
          <cell r="S123">
            <v>51643</v>
          </cell>
          <cell r="T123">
            <v>51885</v>
          </cell>
          <cell r="U123">
            <v>52405</v>
          </cell>
          <cell r="V123">
            <v>52405</v>
          </cell>
          <cell r="W123">
            <v>52258</v>
          </cell>
          <cell r="X123" t="str">
            <v>NA</v>
          </cell>
          <cell r="Y123" t="str">
            <v>NA</v>
          </cell>
          <cell r="Z123" t="str">
            <v>NA</v>
          </cell>
          <cell r="AA123">
            <v>0</v>
          </cell>
          <cell r="AB123">
            <v>0</v>
          </cell>
          <cell r="AC123">
            <v>0</v>
          </cell>
          <cell r="AD123">
            <v>0</v>
          </cell>
          <cell r="AE123">
            <v>0</v>
          </cell>
          <cell r="AF123" t="str">
            <v>NA</v>
          </cell>
          <cell r="AG123" t="str">
            <v>NA</v>
          </cell>
          <cell r="AH123" t="str">
            <v>NA</v>
          </cell>
          <cell r="AI123">
            <v>0</v>
          </cell>
          <cell r="AJ123">
            <v>0</v>
          </cell>
          <cell r="AK123">
            <v>0</v>
          </cell>
          <cell r="AL123">
            <v>0</v>
          </cell>
          <cell r="AM123">
            <v>0</v>
          </cell>
          <cell r="AN123" t="str">
            <v>NA</v>
          </cell>
          <cell r="AO123" t="str">
            <v>NA</v>
          </cell>
          <cell r="AP123" t="str">
            <v>NA</v>
          </cell>
          <cell r="AQ123">
            <v>1974</v>
          </cell>
          <cell r="AR123">
            <v>1975</v>
          </cell>
          <cell r="AS123">
            <v>1968</v>
          </cell>
          <cell r="AT123">
            <v>2029</v>
          </cell>
          <cell r="AU123">
            <v>2020</v>
          </cell>
          <cell r="AV123" t="str">
            <v>NA</v>
          </cell>
          <cell r="AW123" t="str">
            <v>NA</v>
          </cell>
          <cell r="AX123" t="str">
            <v>NA</v>
          </cell>
          <cell r="AY123">
            <v>0</v>
          </cell>
          <cell r="AZ123">
            <v>0</v>
          </cell>
          <cell r="BA123">
            <v>0</v>
          </cell>
          <cell r="BB123">
            <v>0</v>
          </cell>
          <cell r="BC123">
            <v>0</v>
          </cell>
          <cell r="BD123" t="str">
            <v>NA</v>
          </cell>
          <cell r="BE123" t="str">
            <v>NA</v>
          </cell>
          <cell r="BF123" t="str">
            <v>NA</v>
          </cell>
          <cell r="BH123">
            <v>123501</v>
          </cell>
          <cell r="BI123">
            <v>123170</v>
          </cell>
          <cell r="BJ123">
            <v>122859</v>
          </cell>
          <cell r="BK123">
            <v>122816</v>
          </cell>
          <cell r="BL123">
            <v>125217</v>
          </cell>
          <cell r="BM123">
            <v>0</v>
          </cell>
          <cell r="BN123">
            <v>0</v>
          </cell>
          <cell r="BO123">
            <v>0</v>
          </cell>
        </row>
        <row r="124">
          <cell r="C124">
            <v>961386</v>
          </cell>
          <cell r="D124">
            <v>945770</v>
          </cell>
          <cell r="E124">
            <v>953869</v>
          </cell>
          <cell r="F124">
            <v>973419</v>
          </cell>
          <cell r="G124">
            <v>1014181</v>
          </cell>
          <cell r="H124">
            <v>1012710</v>
          </cell>
          <cell r="I124">
            <v>1013387</v>
          </cell>
          <cell r="J124">
            <v>1009258</v>
          </cell>
          <cell r="K124">
            <v>0</v>
          </cell>
          <cell r="L124">
            <v>0</v>
          </cell>
          <cell r="M124">
            <v>0</v>
          </cell>
          <cell r="N124">
            <v>0</v>
          </cell>
          <cell r="O124">
            <v>0</v>
          </cell>
          <cell r="P124">
            <v>0</v>
          </cell>
          <cell r="Q124">
            <v>0</v>
          </cell>
          <cell r="R124">
            <v>0</v>
          </cell>
          <cell r="S124">
            <v>1179688</v>
          </cell>
          <cell r="T124">
            <v>1180051</v>
          </cell>
          <cell r="U124">
            <v>1180413</v>
          </cell>
          <cell r="V124">
            <v>1195775</v>
          </cell>
          <cell r="W124">
            <v>1281138</v>
          </cell>
          <cell r="X124">
            <v>1281500</v>
          </cell>
          <cell r="Y124">
            <v>1281863</v>
          </cell>
          <cell r="Z124">
            <v>1297225</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13071</v>
          </cell>
          <cell r="AR124">
            <v>12114</v>
          </cell>
          <cell r="AS124">
            <v>11938</v>
          </cell>
          <cell r="AT124">
            <v>13363</v>
          </cell>
          <cell r="AU124">
            <v>13055</v>
          </cell>
          <cell r="AV124">
            <v>13005</v>
          </cell>
          <cell r="AW124">
            <v>12593</v>
          </cell>
          <cell r="AX124">
            <v>12587</v>
          </cell>
          <cell r="AY124">
            <v>0</v>
          </cell>
          <cell r="AZ124">
            <v>0</v>
          </cell>
          <cell r="BA124">
            <v>0</v>
          </cell>
          <cell r="BB124">
            <v>0</v>
          </cell>
          <cell r="BC124">
            <v>0</v>
          </cell>
          <cell r="BD124">
            <v>0</v>
          </cell>
          <cell r="BE124">
            <v>0</v>
          </cell>
          <cell r="BF124">
            <v>0</v>
          </cell>
          <cell r="BH124">
            <v>2141074</v>
          </cell>
          <cell r="BI124">
            <v>2125821</v>
          </cell>
          <cell r="BJ124">
            <v>2134282</v>
          </cell>
          <cell r="BK124">
            <v>2169194</v>
          </cell>
          <cell r="BL124">
            <v>2295319</v>
          </cell>
          <cell r="BM124">
            <v>2294210</v>
          </cell>
          <cell r="BN124">
            <v>2295250</v>
          </cell>
          <cell r="BO124">
            <v>2306483</v>
          </cell>
        </row>
        <row r="125">
          <cell r="C125">
            <v>3608239</v>
          </cell>
          <cell r="D125">
            <v>3515791</v>
          </cell>
          <cell r="E125">
            <v>3479145</v>
          </cell>
          <cell r="F125">
            <v>3436811</v>
          </cell>
          <cell r="G125">
            <v>3378470</v>
          </cell>
          <cell r="H125">
            <v>3297758</v>
          </cell>
          <cell r="I125">
            <v>3203802</v>
          </cell>
          <cell r="J125">
            <v>3162442</v>
          </cell>
          <cell r="K125">
            <v>100</v>
          </cell>
          <cell r="L125">
            <v>100</v>
          </cell>
          <cell r="M125">
            <v>100</v>
          </cell>
          <cell r="N125">
            <v>100</v>
          </cell>
          <cell r="O125">
            <v>100</v>
          </cell>
          <cell r="P125">
            <v>100</v>
          </cell>
          <cell r="Q125">
            <v>0</v>
          </cell>
          <cell r="R125">
            <v>0</v>
          </cell>
          <cell r="S125">
            <v>2920344</v>
          </cell>
          <cell r="T125">
            <v>2921721</v>
          </cell>
          <cell r="U125">
            <v>2820295</v>
          </cell>
          <cell r="V125">
            <v>2722579</v>
          </cell>
          <cell r="W125">
            <v>2723943</v>
          </cell>
          <cell r="X125">
            <v>2875306</v>
          </cell>
          <cell r="Y125">
            <v>2876673</v>
          </cell>
          <cell r="Z125">
            <v>2828041</v>
          </cell>
          <cell r="AA125">
            <v>496871</v>
          </cell>
          <cell r="AB125">
            <v>475024</v>
          </cell>
          <cell r="AC125">
            <v>485854</v>
          </cell>
          <cell r="AD125">
            <v>380732</v>
          </cell>
          <cell r="AE125">
            <v>334913</v>
          </cell>
          <cell r="AF125">
            <v>231228</v>
          </cell>
          <cell r="AG125">
            <v>215729</v>
          </cell>
          <cell r="AH125">
            <v>254332</v>
          </cell>
          <cell r="AI125">
            <v>0</v>
          </cell>
          <cell r="AJ125">
            <v>0</v>
          </cell>
          <cell r="AK125">
            <v>0</v>
          </cell>
          <cell r="AL125">
            <v>0</v>
          </cell>
          <cell r="AM125">
            <v>0</v>
          </cell>
          <cell r="AN125">
            <v>0</v>
          </cell>
          <cell r="AO125">
            <v>0</v>
          </cell>
          <cell r="AP125">
            <v>0</v>
          </cell>
          <cell r="AQ125">
            <v>40563</v>
          </cell>
          <cell r="AR125">
            <v>40361</v>
          </cell>
          <cell r="AS125">
            <v>41240</v>
          </cell>
          <cell r="AT125">
            <v>40622</v>
          </cell>
          <cell r="AU125">
            <v>40589</v>
          </cell>
          <cell r="AV125">
            <v>40384</v>
          </cell>
          <cell r="AW125">
            <v>38094</v>
          </cell>
          <cell r="AX125">
            <v>36735</v>
          </cell>
          <cell r="AY125">
            <v>0</v>
          </cell>
          <cell r="AZ125">
            <v>0</v>
          </cell>
          <cell r="BA125">
            <v>0</v>
          </cell>
          <cell r="BB125">
            <v>0</v>
          </cell>
          <cell r="BC125">
            <v>0</v>
          </cell>
          <cell r="BD125">
            <v>0</v>
          </cell>
          <cell r="BE125">
            <v>0</v>
          </cell>
          <cell r="BF125">
            <v>0</v>
          </cell>
          <cell r="BH125">
            <v>7025454</v>
          </cell>
          <cell r="BI125">
            <v>6912536</v>
          </cell>
          <cell r="BJ125">
            <v>6785294</v>
          </cell>
          <cell r="BK125">
            <v>6540122</v>
          </cell>
          <cell r="BL125">
            <v>6437326</v>
          </cell>
          <cell r="BM125">
            <v>6404292</v>
          </cell>
          <cell r="BN125">
            <v>6296204</v>
          </cell>
          <cell r="BO125">
            <v>6244815</v>
          </cell>
        </row>
        <row r="126">
          <cell r="C126">
            <v>9831799</v>
          </cell>
          <cell r="D126">
            <v>9535913</v>
          </cell>
          <cell r="E126">
            <v>9437925</v>
          </cell>
          <cell r="F126">
            <v>9207567</v>
          </cell>
          <cell r="G126">
            <v>9133867</v>
          </cell>
          <cell r="H126">
            <v>8836356</v>
          </cell>
          <cell r="I126">
            <v>8532171</v>
          </cell>
          <cell r="J126">
            <v>8366590</v>
          </cell>
          <cell r="K126">
            <v>1045005</v>
          </cell>
          <cell r="L126">
            <v>1045005</v>
          </cell>
          <cell r="M126">
            <v>1045005</v>
          </cell>
          <cell r="N126">
            <v>920005</v>
          </cell>
          <cell r="O126">
            <v>920005</v>
          </cell>
          <cell r="P126">
            <v>920005</v>
          </cell>
          <cell r="Q126">
            <v>920005</v>
          </cell>
          <cell r="R126">
            <v>920005</v>
          </cell>
          <cell r="S126">
            <v>8031795</v>
          </cell>
          <cell r="T126">
            <v>8069595</v>
          </cell>
          <cell r="U126">
            <v>7627333</v>
          </cell>
          <cell r="V126">
            <v>7626901</v>
          </cell>
          <cell r="W126">
            <v>7626464</v>
          </cell>
          <cell r="X126">
            <v>7129230</v>
          </cell>
          <cell r="Y126">
            <v>6984429</v>
          </cell>
          <cell r="Z126">
            <v>6740075</v>
          </cell>
          <cell r="AA126">
            <v>549969</v>
          </cell>
          <cell r="AB126">
            <v>199989</v>
          </cell>
          <cell r="AC126">
            <v>199985</v>
          </cell>
          <cell r="AD126">
            <v>0</v>
          </cell>
          <cell r="AE126">
            <v>0</v>
          </cell>
          <cell r="AF126">
            <v>214959</v>
          </cell>
          <cell r="AG126">
            <v>179987</v>
          </cell>
          <cell r="AH126">
            <v>0</v>
          </cell>
          <cell r="AI126">
            <v>0</v>
          </cell>
          <cell r="AJ126">
            <v>0</v>
          </cell>
          <cell r="AK126">
            <v>0</v>
          </cell>
          <cell r="AL126">
            <v>0</v>
          </cell>
          <cell r="AM126">
            <v>0</v>
          </cell>
          <cell r="AN126">
            <v>0</v>
          </cell>
          <cell r="AO126">
            <v>0</v>
          </cell>
          <cell r="AP126">
            <v>0</v>
          </cell>
          <cell r="AQ126">
            <v>203179</v>
          </cell>
          <cell r="AR126">
            <v>208299</v>
          </cell>
          <cell r="AS126">
            <v>211070</v>
          </cell>
          <cell r="AT126">
            <v>216958</v>
          </cell>
          <cell r="AU126">
            <v>223694</v>
          </cell>
          <cell r="AV126">
            <v>229137</v>
          </cell>
          <cell r="AW126">
            <v>233902</v>
          </cell>
          <cell r="AX126">
            <v>238013</v>
          </cell>
          <cell r="AY126">
            <v>0</v>
          </cell>
          <cell r="AZ126">
            <v>0</v>
          </cell>
          <cell r="BA126">
            <v>0</v>
          </cell>
          <cell r="BB126">
            <v>0</v>
          </cell>
          <cell r="BC126">
            <v>0</v>
          </cell>
          <cell r="BD126">
            <v>0</v>
          </cell>
          <cell r="BE126">
            <v>0</v>
          </cell>
          <cell r="BF126">
            <v>0</v>
          </cell>
          <cell r="BH126">
            <v>18413563</v>
          </cell>
          <cell r="BI126">
            <v>17805497</v>
          </cell>
          <cell r="BJ126">
            <v>17265243</v>
          </cell>
          <cell r="BK126">
            <v>16834468</v>
          </cell>
          <cell r="BL126">
            <v>16760331</v>
          </cell>
          <cell r="BM126">
            <v>16180545</v>
          </cell>
          <cell r="BN126">
            <v>15696587</v>
          </cell>
          <cell r="BO126">
            <v>15106665</v>
          </cell>
        </row>
        <row r="127">
          <cell r="C127">
            <v>720764</v>
          </cell>
          <cell r="D127">
            <v>703069</v>
          </cell>
          <cell r="E127">
            <v>701945</v>
          </cell>
          <cell r="F127">
            <v>702022</v>
          </cell>
          <cell r="G127">
            <v>707293</v>
          </cell>
          <cell r="H127">
            <v>695210</v>
          </cell>
          <cell r="I127">
            <v>678076</v>
          </cell>
          <cell r="J127">
            <v>660363</v>
          </cell>
          <cell r="K127">
            <v>0</v>
          </cell>
          <cell r="L127">
            <v>0</v>
          </cell>
          <cell r="M127">
            <v>0</v>
          </cell>
          <cell r="N127">
            <v>0</v>
          </cell>
          <cell r="O127">
            <v>0</v>
          </cell>
          <cell r="P127">
            <v>0</v>
          </cell>
          <cell r="Q127">
            <v>0</v>
          </cell>
          <cell r="R127">
            <v>0</v>
          </cell>
          <cell r="S127">
            <v>650068</v>
          </cell>
          <cell r="T127">
            <v>650051</v>
          </cell>
          <cell r="U127">
            <v>650157</v>
          </cell>
          <cell r="V127">
            <v>650185</v>
          </cell>
          <cell r="W127">
            <v>650153</v>
          </cell>
          <cell r="X127">
            <v>650113</v>
          </cell>
          <cell r="Y127">
            <v>650358</v>
          </cell>
          <cell r="Z127">
            <v>650547</v>
          </cell>
          <cell r="AA127">
            <v>0</v>
          </cell>
          <cell r="AB127">
            <v>0</v>
          </cell>
          <cell r="AC127">
            <v>0</v>
          </cell>
          <cell r="AD127">
            <v>0</v>
          </cell>
          <cell r="AE127">
            <v>0</v>
          </cell>
          <cell r="AF127">
            <v>0</v>
          </cell>
          <cell r="AG127">
            <v>0</v>
          </cell>
          <cell r="AH127">
            <v>0</v>
          </cell>
          <cell r="AI127">
            <v>55980</v>
          </cell>
          <cell r="AJ127">
            <v>59402</v>
          </cell>
          <cell r="AK127">
            <v>56184</v>
          </cell>
          <cell r="AL127">
            <v>70968</v>
          </cell>
          <cell r="AM127">
            <v>43798</v>
          </cell>
          <cell r="AN127">
            <v>56558</v>
          </cell>
          <cell r="AO127">
            <v>40815</v>
          </cell>
          <cell r="AP127">
            <v>55479</v>
          </cell>
          <cell r="AQ127">
            <v>13107</v>
          </cell>
          <cell r="AR127">
            <v>12358</v>
          </cell>
          <cell r="AS127">
            <v>12354</v>
          </cell>
          <cell r="AT127">
            <v>11267</v>
          </cell>
          <cell r="AU127">
            <v>12345</v>
          </cell>
          <cell r="AV127">
            <v>10496</v>
          </cell>
          <cell r="AW127">
            <v>10537</v>
          </cell>
          <cell r="AX127">
            <v>8560</v>
          </cell>
          <cell r="AY127">
            <v>0</v>
          </cell>
          <cell r="AZ127">
            <v>0</v>
          </cell>
          <cell r="BA127">
            <v>0</v>
          </cell>
          <cell r="BB127">
            <v>0</v>
          </cell>
          <cell r="BC127">
            <v>0</v>
          </cell>
          <cell r="BD127">
            <v>0</v>
          </cell>
          <cell r="BE127">
            <v>0</v>
          </cell>
          <cell r="BF127">
            <v>0</v>
          </cell>
          <cell r="BH127">
            <v>1426812</v>
          </cell>
          <cell r="BI127">
            <v>1412522</v>
          </cell>
          <cell r="BJ127">
            <v>1408286</v>
          </cell>
          <cell r="BK127">
            <v>1423175</v>
          </cell>
          <cell r="BL127">
            <v>1401244</v>
          </cell>
          <cell r="BM127">
            <v>1401881</v>
          </cell>
          <cell r="BN127">
            <v>1369249</v>
          </cell>
          <cell r="BO127">
            <v>1366389</v>
          </cell>
        </row>
        <row r="128">
          <cell r="C128">
            <v>1827797</v>
          </cell>
          <cell r="D128">
            <v>1751869</v>
          </cell>
          <cell r="E128">
            <v>1700876</v>
          </cell>
          <cell r="F128">
            <v>1671684</v>
          </cell>
          <cell r="G128">
            <v>1666090</v>
          </cell>
          <cell r="H128">
            <v>1584631</v>
          </cell>
          <cell r="I128">
            <v>1559020</v>
          </cell>
          <cell r="J128">
            <v>1528823</v>
          </cell>
          <cell r="K128">
            <v>4694</v>
          </cell>
          <cell r="L128">
            <v>4695</v>
          </cell>
          <cell r="M128">
            <v>4696</v>
          </cell>
          <cell r="N128">
            <v>4696</v>
          </cell>
          <cell r="O128">
            <v>4697</v>
          </cell>
          <cell r="P128">
            <v>4697</v>
          </cell>
          <cell r="Q128">
            <v>4697</v>
          </cell>
          <cell r="R128">
            <v>4697</v>
          </cell>
          <cell r="S128">
            <v>1683574</v>
          </cell>
          <cell r="T128">
            <v>1724646</v>
          </cell>
          <cell r="U128">
            <v>1724583</v>
          </cell>
          <cell r="V128">
            <v>1724520</v>
          </cell>
          <cell r="W128">
            <v>1724457</v>
          </cell>
          <cell r="X128">
            <v>1724394</v>
          </cell>
          <cell r="Y128">
            <v>1724331</v>
          </cell>
          <cell r="Z128">
            <v>1423278</v>
          </cell>
          <cell r="AA128">
            <v>0</v>
          </cell>
          <cell r="AB128">
            <v>0</v>
          </cell>
          <cell r="AC128">
            <v>0</v>
          </cell>
          <cell r="AD128">
            <v>0</v>
          </cell>
          <cell r="AE128">
            <v>0</v>
          </cell>
          <cell r="AF128">
            <v>0</v>
          </cell>
          <cell r="AG128">
            <v>0</v>
          </cell>
          <cell r="AH128">
            <v>0</v>
          </cell>
          <cell r="AI128">
            <v>41537</v>
          </cell>
          <cell r="AJ128">
            <v>0</v>
          </cell>
          <cell r="AK128">
            <v>0</v>
          </cell>
          <cell r="AL128">
            <v>0</v>
          </cell>
          <cell r="AM128">
            <v>0</v>
          </cell>
          <cell r="AN128">
            <v>0</v>
          </cell>
          <cell r="AO128">
            <v>0</v>
          </cell>
          <cell r="AP128">
            <v>0</v>
          </cell>
          <cell r="AQ128">
            <v>50926</v>
          </cell>
          <cell r="AR128">
            <v>54411</v>
          </cell>
          <cell r="AS128">
            <v>50639</v>
          </cell>
          <cell r="AT128">
            <v>48245</v>
          </cell>
          <cell r="AU128">
            <v>43467</v>
          </cell>
          <cell r="AV128">
            <v>43238</v>
          </cell>
          <cell r="AW128">
            <v>41815</v>
          </cell>
          <cell r="AX128">
            <v>41269</v>
          </cell>
          <cell r="AY128">
            <v>0</v>
          </cell>
          <cell r="AZ128">
            <v>0</v>
          </cell>
          <cell r="BA128">
            <v>0</v>
          </cell>
          <cell r="BB128">
            <v>0</v>
          </cell>
          <cell r="BC128">
            <v>0</v>
          </cell>
          <cell r="BD128">
            <v>0</v>
          </cell>
          <cell r="BE128">
            <v>0</v>
          </cell>
          <cell r="BF128">
            <v>0</v>
          </cell>
          <cell r="BH128">
            <v>3552908</v>
          </cell>
          <cell r="BI128">
            <v>3476515</v>
          </cell>
          <cell r="BJ128">
            <v>3425459</v>
          </cell>
          <cell r="BK128">
            <v>3396204</v>
          </cell>
          <cell r="BL128">
            <v>3390547</v>
          </cell>
          <cell r="BM128">
            <v>3309025</v>
          </cell>
          <cell r="BN128">
            <v>3283351</v>
          </cell>
          <cell r="BO128">
            <v>2952101</v>
          </cell>
        </row>
        <row r="129">
          <cell r="C129">
            <v>1087688</v>
          </cell>
          <cell r="D129">
            <v>1015207</v>
          </cell>
          <cell r="E129">
            <v>1006532</v>
          </cell>
          <cell r="F129">
            <v>962113</v>
          </cell>
          <cell r="G129">
            <v>979863</v>
          </cell>
          <cell r="H129">
            <v>956922</v>
          </cell>
          <cell r="I129">
            <v>940356</v>
          </cell>
          <cell r="J129">
            <v>949510</v>
          </cell>
          <cell r="K129">
            <v>0</v>
          </cell>
          <cell r="L129">
            <v>0</v>
          </cell>
          <cell r="M129">
            <v>0</v>
          </cell>
          <cell r="N129">
            <v>0</v>
          </cell>
          <cell r="O129">
            <v>0</v>
          </cell>
          <cell r="P129">
            <v>0</v>
          </cell>
          <cell r="Q129">
            <v>0</v>
          </cell>
          <cell r="R129">
            <v>0</v>
          </cell>
          <cell r="S129">
            <v>993208</v>
          </cell>
          <cell r="T129">
            <v>897927</v>
          </cell>
          <cell r="U129">
            <v>897847</v>
          </cell>
          <cell r="V129">
            <v>897767</v>
          </cell>
          <cell r="W129">
            <v>897687</v>
          </cell>
          <cell r="X129">
            <v>897606</v>
          </cell>
          <cell r="Y129">
            <v>897526</v>
          </cell>
          <cell r="Z129">
            <v>922447</v>
          </cell>
          <cell r="AA129">
            <v>0</v>
          </cell>
          <cell r="AB129">
            <v>131000</v>
          </cell>
          <cell r="AC129">
            <v>75000</v>
          </cell>
          <cell r="AD129">
            <v>49000</v>
          </cell>
          <cell r="AE129">
            <v>0</v>
          </cell>
          <cell r="AF129">
            <v>24000</v>
          </cell>
          <cell r="AG129">
            <v>0</v>
          </cell>
          <cell r="AH129">
            <v>0</v>
          </cell>
          <cell r="AI129">
            <v>0</v>
          </cell>
          <cell r="AJ129">
            <v>0</v>
          </cell>
          <cell r="AK129">
            <v>0</v>
          </cell>
          <cell r="AL129">
            <v>0</v>
          </cell>
          <cell r="AM129">
            <v>61000</v>
          </cell>
          <cell r="AN129">
            <v>19000</v>
          </cell>
          <cell r="AO129">
            <v>0</v>
          </cell>
          <cell r="AP129">
            <v>0</v>
          </cell>
          <cell r="AQ129">
            <v>9798</v>
          </cell>
          <cell r="AR129">
            <v>9469</v>
          </cell>
          <cell r="AS129">
            <v>9541</v>
          </cell>
          <cell r="AT129">
            <v>9945</v>
          </cell>
          <cell r="AU129">
            <v>10287</v>
          </cell>
          <cell r="AV129">
            <v>9290</v>
          </cell>
          <cell r="AW129">
            <v>9365</v>
          </cell>
          <cell r="AX129">
            <v>9463</v>
          </cell>
          <cell r="AY129">
            <v>0</v>
          </cell>
          <cell r="AZ129">
            <v>0</v>
          </cell>
          <cell r="BA129">
            <v>0</v>
          </cell>
          <cell r="BB129">
            <v>0</v>
          </cell>
          <cell r="BC129">
            <v>0</v>
          </cell>
          <cell r="BD129">
            <v>0</v>
          </cell>
          <cell r="BE129">
            <v>0</v>
          </cell>
          <cell r="BF129">
            <v>0</v>
          </cell>
          <cell r="BH129">
            <v>2080896</v>
          </cell>
          <cell r="BI129">
            <v>2044134</v>
          </cell>
          <cell r="BJ129">
            <v>1979379</v>
          </cell>
          <cell r="BK129">
            <v>1908880</v>
          </cell>
          <cell r="BL129">
            <v>1938550</v>
          </cell>
          <cell r="BM129">
            <v>1897528</v>
          </cell>
          <cell r="BN129">
            <v>1837882</v>
          </cell>
          <cell r="BO129">
            <v>1871957</v>
          </cell>
        </row>
        <row r="130">
          <cell r="C130">
            <v>34628</v>
          </cell>
          <cell r="D130">
            <v>35390</v>
          </cell>
          <cell r="E130">
            <v>35726</v>
          </cell>
          <cell r="F130">
            <v>34930</v>
          </cell>
          <cell r="G130">
            <v>33508</v>
          </cell>
          <cell r="H130">
            <v>33480</v>
          </cell>
          <cell r="I130">
            <v>33118</v>
          </cell>
          <cell r="J130">
            <v>31754</v>
          </cell>
          <cell r="K130">
            <v>0</v>
          </cell>
          <cell r="L130">
            <v>0</v>
          </cell>
          <cell r="M130">
            <v>0</v>
          </cell>
          <cell r="N130">
            <v>0</v>
          </cell>
          <cell r="O130">
            <v>0</v>
          </cell>
          <cell r="P130">
            <v>0</v>
          </cell>
          <cell r="Q130">
            <v>0</v>
          </cell>
          <cell r="R130">
            <v>0</v>
          </cell>
          <cell r="S130">
            <v>23850</v>
          </cell>
          <cell r="T130">
            <v>23850</v>
          </cell>
          <cell r="U130">
            <v>23850</v>
          </cell>
          <cell r="V130">
            <v>24100</v>
          </cell>
          <cell r="W130">
            <v>24100</v>
          </cell>
          <cell r="X130">
            <v>24100</v>
          </cell>
          <cell r="Y130">
            <v>24100</v>
          </cell>
          <cell r="Z130">
            <v>24350</v>
          </cell>
          <cell r="AA130">
            <v>0</v>
          </cell>
          <cell r="AB130">
            <v>0</v>
          </cell>
          <cell r="AC130">
            <v>0</v>
          </cell>
          <cell r="AD130">
            <v>0</v>
          </cell>
          <cell r="AE130">
            <v>0</v>
          </cell>
          <cell r="AF130">
            <v>0</v>
          </cell>
          <cell r="AG130">
            <v>0</v>
          </cell>
          <cell r="AH130">
            <v>0</v>
          </cell>
          <cell r="AI130">
            <v>0</v>
          </cell>
          <cell r="AJ130">
            <v>0</v>
          </cell>
          <cell r="AK130">
            <v>0</v>
          </cell>
          <cell r="AL130">
            <v>2700</v>
          </cell>
          <cell r="AM130">
            <v>0</v>
          </cell>
          <cell r="AN130">
            <v>0</v>
          </cell>
          <cell r="AO130">
            <v>0</v>
          </cell>
          <cell r="AP130">
            <v>0</v>
          </cell>
          <cell r="AQ130">
            <v>38</v>
          </cell>
          <cell r="AR130">
            <v>36</v>
          </cell>
          <cell r="AS130">
            <v>34</v>
          </cell>
          <cell r="AT130">
            <v>49</v>
          </cell>
          <cell r="AU130">
            <v>48</v>
          </cell>
          <cell r="AV130">
            <v>47</v>
          </cell>
          <cell r="AW130">
            <v>45</v>
          </cell>
          <cell r="AX130">
            <v>45</v>
          </cell>
          <cell r="AY130">
            <v>0</v>
          </cell>
          <cell r="AZ130">
            <v>0</v>
          </cell>
          <cell r="BA130">
            <v>0</v>
          </cell>
          <cell r="BB130">
            <v>0</v>
          </cell>
          <cell r="BC130">
            <v>0</v>
          </cell>
          <cell r="BD130">
            <v>0</v>
          </cell>
          <cell r="BE130">
            <v>0</v>
          </cell>
          <cell r="BF130">
            <v>0</v>
          </cell>
          <cell r="BH130">
            <v>58478</v>
          </cell>
          <cell r="BI130">
            <v>59240</v>
          </cell>
          <cell r="BJ130">
            <v>59576</v>
          </cell>
          <cell r="BK130">
            <v>61730</v>
          </cell>
          <cell r="BL130">
            <v>57608</v>
          </cell>
          <cell r="BM130">
            <v>57580</v>
          </cell>
          <cell r="BN130">
            <v>57218</v>
          </cell>
          <cell r="BO130">
            <v>56104</v>
          </cell>
        </row>
        <row r="131">
          <cell r="C131">
            <v>1916262</v>
          </cell>
          <cell r="D131">
            <v>1885804</v>
          </cell>
          <cell r="E131">
            <v>1863833</v>
          </cell>
          <cell r="F131">
            <v>1883456</v>
          </cell>
          <cell r="G131">
            <v>1902060</v>
          </cell>
          <cell r="H131">
            <v>1884415</v>
          </cell>
          <cell r="I131">
            <v>1874059</v>
          </cell>
          <cell r="J131">
            <v>1831712</v>
          </cell>
          <cell r="K131">
            <v>0</v>
          </cell>
          <cell r="L131">
            <v>0</v>
          </cell>
          <cell r="M131">
            <v>0</v>
          </cell>
          <cell r="N131">
            <v>0</v>
          </cell>
          <cell r="O131">
            <v>0</v>
          </cell>
          <cell r="P131">
            <v>0</v>
          </cell>
          <cell r="Q131">
            <v>0</v>
          </cell>
          <cell r="R131">
            <v>0</v>
          </cell>
          <cell r="S131">
            <v>1768158</v>
          </cell>
          <cell r="T131">
            <v>1768145</v>
          </cell>
          <cell r="U131">
            <v>1768132</v>
          </cell>
          <cell r="V131">
            <v>1843118</v>
          </cell>
          <cell r="W131">
            <v>1768105</v>
          </cell>
          <cell r="X131">
            <v>1768092</v>
          </cell>
          <cell r="Y131">
            <v>1768079</v>
          </cell>
          <cell r="Z131">
            <v>1768065</v>
          </cell>
          <cell r="AA131">
            <v>0</v>
          </cell>
          <cell r="AB131">
            <v>7000</v>
          </cell>
          <cell r="AC131">
            <v>0</v>
          </cell>
          <cell r="AD131">
            <v>0</v>
          </cell>
          <cell r="AE131">
            <v>18900</v>
          </cell>
          <cell r="AF131">
            <v>77000</v>
          </cell>
          <cell r="AG131">
            <v>18000</v>
          </cell>
          <cell r="AH131">
            <v>55000</v>
          </cell>
          <cell r="AI131">
            <v>0</v>
          </cell>
          <cell r="AJ131">
            <v>0</v>
          </cell>
          <cell r="AK131">
            <v>0</v>
          </cell>
          <cell r="AL131">
            <v>0</v>
          </cell>
          <cell r="AM131">
            <v>0</v>
          </cell>
          <cell r="AN131">
            <v>0</v>
          </cell>
          <cell r="AO131">
            <v>0</v>
          </cell>
          <cell r="AP131">
            <v>0</v>
          </cell>
          <cell r="AQ131">
            <v>119219</v>
          </cell>
          <cell r="AR131">
            <v>118882</v>
          </cell>
          <cell r="AS131">
            <v>118425</v>
          </cell>
          <cell r="AT131">
            <v>117659</v>
          </cell>
          <cell r="AU131">
            <v>116803</v>
          </cell>
          <cell r="AV131">
            <v>116191</v>
          </cell>
          <cell r="AW131">
            <v>115531</v>
          </cell>
          <cell r="AX131">
            <v>114158</v>
          </cell>
          <cell r="AY131">
            <v>0</v>
          </cell>
          <cell r="AZ131">
            <v>0</v>
          </cell>
          <cell r="BA131">
            <v>0</v>
          </cell>
          <cell r="BB131">
            <v>0</v>
          </cell>
          <cell r="BC131">
            <v>0</v>
          </cell>
          <cell r="BD131">
            <v>0</v>
          </cell>
          <cell r="BE131">
            <v>0</v>
          </cell>
          <cell r="BF131">
            <v>0</v>
          </cell>
          <cell r="BH131">
            <v>3684420</v>
          </cell>
          <cell r="BI131">
            <v>3660949</v>
          </cell>
          <cell r="BJ131">
            <v>3631965</v>
          </cell>
          <cell r="BK131">
            <v>3726574</v>
          </cell>
          <cell r="BL131">
            <v>3689065</v>
          </cell>
          <cell r="BM131">
            <v>3729507</v>
          </cell>
          <cell r="BN131">
            <v>3660138</v>
          </cell>
          <cell r="BO131">
            <v>3654777</v>
          </cell>
        </row>
        <row r="132">
          <cell r="C132" t="str">
            <v>NA</v>
          </cell>
          <cell r="D132" t="str">
            <v>NA</v>
          </cell>
          <cell r="E132" t="str">
            <v>NA</v>
          </cell>
          <cell r="F132" t="str">
            <v>NA</v>
          </cell>
          <cell r="G132" t="str">
            <v>NA</v>
          </cell>
          <cell r="H132" t="str">
            <v>NA</v>
          </cell>
          <cell r="I132" t="str">
            <v>NA</v>
          </cell>
          <cell r="J132" t="str">
            <v>NA</v>
          </cell>
          <cell r="K132" t="str">
            <v>NA</v>
          </cell>
          <cell r="L132" t="str">
            <v>NA</v>
          </cell>
          <cell r="M132" t="str">
            <v>NA</v>
          </cell>
          <cell r="N132" t="str">
            <v>NA</v>
          </cell>
          <cell r="O132" t="str">
            <v>NA</v>
          </cell>
          <cell r="P132" t="str">
            <v>NA</v>
          </cell>
          <cell r="Q132" t="str">
            <v>NA</v>
          </cell>
          <cell r="R132" t="str">
            <v>NA</v>
          </cell>
          <cell r="S132" t="str">
            <v>NA</v>
          </cell>
          <cell r="T132" t="str">
            <v>NA</v>
          </cell>
          <cell r="U132" t="str">
            <v>NA</v>
          </cell>
          <cell r="V132" t="str">
            <v>NA</v>
          </cell>
          <cell r="W132" t="str">
            <v>NA</v>
          </cell>
          <cell r="X132" t="str">
            <v>NA</v>
          </cell>
          <cell r="Y132" t="str">
            <v>NA</v>
          </cell>
          <cell r="Z132" t="str">
            <v>NA</v>
          </cell>
          <cell r="AA132" t="str">
            <v>NA</v>
          </cell>
          <cell r="AB132" t="str">
            <v>NA</v>
          </cell>
          <cell r="AC132" t="str">
            <v>NA</v>
          </cell>
          <cell r="AD132" t="str">
            <v>NA</v>
          </cell>
          <cell r="AE132" t="str">
            <v>NA</v>
          </cell>
          <cell r="AF132" t="str">
            <v>NA</v>
          </cell>
          <cell r="AG132" t="str">
            <v>NA</v>
          </cell>
          <cell r="AH132" t="str">
            <v>NA</v>
          </cell>
          <cell r="AI132" t="str">
            <v>NA</v>
          </cell>
          <cell r="AJ132" t="str">
            <v>NA</v>
          </cell>
          <cell r="AK132" t="str">
            <v>NA</v>
          </cell>
          <cell r="AL132" t="str">
            <v>NA</v>
          </cell>
          <cell r="AM132" t="str">
            <v>NA</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t="str">
            <v>NA</v>
          </cell>
          <cell r="AY132" t="str">
            <v>NA</v>
          </cell>
          <cell r="AZ132" t="str">
            <v>NA</v>
          </cell>
          <cell r="BA132" t="str">
            <v>NA</v>
          </cell>
          <cell r="BB132" t="str">
            <v>NA</v>
          </cell>
          <cell r="BC132" t="str">
            <v>NA</v>
          </cell>
          <cell r="BD132" t="str">
            <v>NA</v>
          </cell>
          <cell r="BE132" t="str">
            <v>NA</v>
          </cell>
          <cell r="BF132" t="str">
            <v>NA</v>
          </cell>
          <cell r="BH132">
            <v>0</v>
          </cell>
          <cell r="BI132">
            <v>0</v>
          </cell>
          <cell r="BJ132">
            <v>0</v>
          </cell>
          <cell r="BK132">
            <v>0</v>
          </cell>
          <cell r="BL132">
            <v>0</v>
          </cell>
          <cell r="BM132">
            <v>0</v>
          </cell>
          <cell r="BN132">
            <v>0</v>
          </cell>
          <cell r="BO132">
            <v>0</v>
          </cell>
        </row>
        <row r="133">
          <cell r="C133">
            <v>393924</v>
          </cell>
          <cell r="D133">
            <v>379462</v>
          </cell>
          <cell r="E133">
            <v>385891</v>
          </cell>
          <cell r="F133">
            <v>393543</v>
          </cell>
          <cell r="G133">
            <v>389311</v>
          </cell>
          <cell r="H133">
            <v>375367</v>
          </cell>
          <cell r="I133">
            <v>367786</v>
          </cell>
          <cell r="J133">
            <v>489878</v>
          </cell>
          <cell r="K133">
            <v>0</v>
          </cell>
          <cell r="L133">
            <v>0</v>
          </cell>
          <cell r="M133">
            <v>0</v>
          </cell>
          <cell r="N133">
            <v>0</v>
          </cell>
          <cell r="O133">
            <v>0</v>
          </cell>
          <cell r="P133">
            <v>0</v>
          </cell>
          <cell r="Q133">
            <v>0</v>
          </cell>
          <cell r="R133">
            <v>0</v>
          </cell>
          <cell r="S133">
            <v>597609</v>
          </cell>
          <cell r="T133">
            <v>597547</v>
          </cell>
          <cell r="U133">
            <v>597485</v>
          </cell>
          <cell r="V133">
            <v>597422</v>
          </cell>
          <cell r="W133">
            <v>597360</v>
          </cell>
          <cell r="X133">
            <v>597298</v>
          </cell>
          <cell r="Y133">
            <v>597236</v>
          </cell>
          <cell r="Z133">
            <v>597173</v>
          </cell>
          <cell r="AA133">
            <v>0</v>
          </cell>
          <cell r="AB133">
            <v>0</v>
          </cell>
          <cell r="AC133">
            <v>0</v>
          </cell>
          <cell r="AD133">
            <v>0</v>
          </cell>
          <cell r="AE133">
            <v>0</v>
          </cell>
          <cell r="AF133">
            <v>0</v>
          </cell>
          <cell r="AG133">
            <v>0</v>
          </cell>
          <cell r="AH133">
            <v>0</v>
          </cell>
          <cell r="AI133">
            <v>23463</v>
          </cell>
          <cell r="AJ133">
            <v>23463</v>
          </cell>
          <cell r="AK133">
            <v>23463</v>
          </cell>
          <cell r="AL133">
            <v>23463</v>
          </cell>
          <cell r="AM133">
            <v>23463</v>
          </cell>
          <cell r="AN133">
            <v>23463</v>
          </cell>
          <cell r="AO133">
            <v>23463</v>
          </cell>
          <cell r="AP133">
            <v>249438</v>
          </cell>
          <cell r="AQ133">
            <v>3920</v>
          </cell>
          <cell r="AR133">
            <v>4125</v>
          </cell>
          <cell r="AS133">
            <v>4142</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H133">
            <v>1014996</v>
          </cell>
          <cell r="BI133">
            <v>1000472</v>
          </cell>
          <cell r="BJ133">
            <v>1006839</v>
          </cell>
          <cell r="BK133">
            <v>1014428</v>
          </cell>
          <cell r="BL133">
            <v>1010134</v>
          </cell>
          <cell r="BM133">
            <v>996128</v>
          </cell>
          <cell r="BN133">
            <v>988485</v>
          </cell>
          <cell r="BO133">
            <v>1336489</v>
          </cell>
        </row>
        <row r="134">
          <cell r="C134">
            <v>792451</v>
          </cell>
          <cell r="D134">
            <v>736916</v>
          </cell>
          <cell r="E134">
            <v>708604</v>
          </cell>
          <cell r="F134">
            <v>701155</v>
          </cell>
          <cell r="G134">
            <v>720063</v>
          </cell>
          <cell r="H134">
            <v>692729</v>
          </cell>
          <cell r="I134">
            <v>666963</v>
          </cell>
          <cell r="J134">
            <v>643144</v>
          </cell>
          <cell r="K134">
            <v>0</v>
          </cell>
          <cell r="L134">
            <v>0</v>
          </cell>
          <cell r="M134">
            <v>0</v>
          </cell>
          <cell r="N134">
            <v>0</v>
          </cell>
          <cell r="O134">
            <v>0</v>
          </cell>
          <cell r="P134">
            <v>0</v>
          </cell>
          <cell r="Q134">
            <v>0</v>
          </cell>
          <cell r="R134">
            <v>0</v>
          </cell>
          <cell r="S134">
            <v>1003615</v>
          </cell>
          <cell r="T134">
            <v>1003615</v>
          </cell>
          <cell r="U134">
            <v>1003615</v>
          </cell>
          <cell r="V134">
            <v>1003615</v>
          </cell>
          <cell r="W134">
            <v>933615</v>
          </cell>
          <cell r="X134">
            <v>933615</v>
          </cell>
          <cell r="Y134">
            <v>933615</v>
          </cell>
          <cell r="Z134">
            <v>903615</v>
          </cell>
          <cell r="AA134">
            <v>5000</v>
          </cell>
          <cell r="AB134">
            <v>50000</v>
          </cell>
          <cell r="AC134">
            <v>25000</v>
          </cell>
          <cell r="AD134">
            <v>0</v>
          </cell>
          <cell r="AE134">
            <v>55000</v>
          </cell>
          <cell r="AF134">
            <v>45000</v>
          </cell>
          <cell r="AG134">
            <v>55000</v>
          </cell>
          <cell r="AH134">
            <v>35000</v>
          </cell>
          <cell r="AI134">
            <v>0</v>
          </cell>
          <cell r="AJ134">
            <v>0</v>
          </cell>
          <cell r="AK134">
            <v>0</v>
          </cell>
          <cell r="AL134">
            <v>0</v>
          </cell>
          <cell r="AM134">
            <v>0</v>
          </cell>
          <cell r="AN134">
            <v>0</v>
          </cell>
          <cell r="AO134">
            <v>0</v>
          </cell>
          <cell r="AP134">
            <v>0</v>
          </cell>
          <cell r="AQ134">
            <v>22716</v>
          </cell>
          <cell r="AR134">
            <v>22726</v>
          </cell>
          <cell r="AS134">
            <v>22244</v>
          </cell>
          <cell r="AT134">
            <v>21191</v>
          </cell>
          <cell r="AU134">
            <v>20138</v>
          </cell>
          <cell r="AV134">
            <v>19518</v>
          </cell>
          <cell r="AW134">
            <v>18815</v>
          </cell>
          <cell r="AX134">
            <v>18125</v>
          </cell>
          <cell r="AY134">
            <v>0</v>
          </cell>
          <cell r="AZ134">
            <v>0</v>
          </cell>
          <cell r="BA134">
            <v>0</v>
          </cell>
          <cell r="BB134">
            <v>0</v>
          </cell>
          <cell r="BC134">
            <v>0</v>
          </cell>
          <cell r="BD134">
            <v>0</v>
          </cell>
          <cell r="BE134">
            <v>0</v>
          </cell>
          <cell r="BF134">
            <v>0</v>
          </cell>
          <cell r="BH134">
            <v>1801066</v>
          </cell>
          <cell r="BI134">
            <v>1790531</v>
          </cell>
          <cell r="BJ134">
            <v>1737219</v>
          </cell>
          <cell r="BK134">
            <v>1704770</v>
          </cell>
          <cell r="BL134">
            <v>1708678</v>
          </cell>
          <cell r="BM134">
            <v>1671344</v>
          </cell>
          <cell r="BN134">
            <v>1655578</v>
          </cell>
          <cell r="BO134">
            <v>1581759</v>
          </cell>
        </row>
        <row r="135">
          <cell r="C135">
            <v>719044</v>
          </cell>
          <cell r="D135">
            <v>738795</v>
          </cell>
          <cell r="E135">
            <v>760717</v>
          </cell>
          <cell r="F135">
            <v>767584</v>
          </cell>
          <cell r="G135">
            <v>734350</v>
          </cell>
          <cell r="H135">
            <v>706274</v>
          </cell>
          <cell r="I135">
            <v>718389</v>
          </cell>
          <cell r="J135">
            <v>686509</v>
          </cell>
          <cell r="K135">
            <v>0</v>
          </cell>
          <cell r="L135">
            <v>0</v>
          </cell>
          <cell r="M135">
            <v>0</v>
          </cell>
          <cell r="N135">
            <v>0</v>
          </cell>
          <cell r="O135">
            <v>0</v>
          </cell>
          <cell r="P135">
            <v>0</v>
          </cell>
          <cell r="Q135">
            <v>0</v>
          </cell>
          <cell r="R135">
            <v>0</v>
          </cell>
          <cell r="S135">
            <v>600000</v>
          </cell>
          <cell r="T135">
            <v>640000</v>
          </cell>
          <cell r="U135">
            <v>640000</v>
          </cell>
          <cell r="V135">
            <v>640000</v>
          </cell>
          <cell r="W135">
            <v>640000</v>
          </cell>
          <cell r="X135">
            <v>640000</v>
          </cell>
          <cell r="Y135">
            <v>640000</v>
          </cell>
          <cell r="Z135">
            <v>640000</v>
          </cell>
          <cell r="AA135">
            <v>40000</v>
          </cell>
          <cell r="AB135">
            <v>0</v>
          </cell>
          <cell r="AC135">
            <v>0</v>
          </cell>
          <cell r="AD135">
            <v>74000</v>
          </cell>
          <cell r="AE135">
            <v>17000</v>
          </cell>
          <cell r="AF135">
            <v>0</v>
          </cell>
          <cell r="AG135">
            <v>37000</v>
          </cell>
          <cell r="AH135">
            <v>179000</v>
          </cell>
          <cell r="AI135">
            <v>0</v>
          </cell>
          <cell r="AJ135">
            <v>0</v>
          </cell>
          <cell r="AK135">
            <v>0</v>
          </cell>
          <cell r="AL135">
            <v>0</v>
          </cell>
          <cell r="AM135">
            <v>0</v>
          </cell>
          <cell r="AN135">
            <v>0</v>
          </cell>
          <cell r="AO135">
            <v>0</v>
          </cell>
          <cell r="AP135">
            <v>0</v>
          </cell>
          <cell r="AQ135">
            <v>22017</v>
          </cell>
          <cell r="AR135">
            <v>21954</v>
          </cell>
          <cell r="AS135">
            <v>22349</v>
          </cell>
          <cell r="AT135">
            <v>22183</v>
          </cell>
          <cell r="AU135">
            <v>22003</v>
          </cell>
          <cell r="AV135">
            <v>21658</v>
          </cell>
          <cell r="AW135">
            <v>21987</v>
          </cell>
          <cell r="AX135">
            <v>21618</v>
          </cell>
          <cell r="AY135">
            <v>0</v>
          </cell>
          <cell r="AZ135">
            <v>0</v>
          </cell>
          <cell r="BA135">
            <v>0</v>
          </cell>
          <cell r="BB135">
            <v>0</v>
          </cell>
          <cell r="BC135">
            <v>0</v>
          </cell>
          <cell r="BD135">
            <v>0</v>
          </cell>
          <cell r="BE135">
            <v>0</v>
          </cell>
          <cell r="BF135">
            <v>0</v>
          </cell>
          <cell r="BH135">
            <v>1359044</v>
          </cell>
          <cell r="BI135">
            <v>1378795</v>
          </cell>
          <cell r="BJ135">
            <v>1400717</v>
          </cell>
          <cell r="BK135">
            <v>1481584</v>
          </cell>
          <cell r="BL135">
            <v>1391350</v>
          </cell>
          <cell r="BM135">
            <v>1346274</v>
          </cell>
          <cell r="BN135">
            <v>1395389</v>
          </cell>
          <cell r="BO135">
            <v>1505509</v>
          </cell>
        </row>
        <row r="136">
          <cell r="C136">
            <v>4235774</v>
          </cell>
          <cell r="D136">
            <v>4129977</v>
          </cell>
          <cell r="E136">
            <v>4106636</v>
          </cell>
          <cell r="F136">
            <v>4153536</v>
          </cell>
          <cell r="G136">
            <v>4211952</v>
          </cell>
          <cell r="H136">
            <v>4081258</v>
          </cell>
          <cell r="I136">
            <v>4026951</v>
          </cell>
          <cell r="J136">
            <v>4057771</v>
          </cell>
          <cell r="K136">
            <v>80760</v>
          </cell>
          <cell r="L136">
            <v>80760</v>
          </cell>
          <cell r="M136">
            <v>80760</v>
          </cell>
          <cell r="N136">
            <v>80760</v>
          </cell>
          <cell r="O136">
            <v>80760</v>
          </cell>
          <cell r="P136">
            <v>113760</v>
          </cell>
          <cell r="Q136">
            <v>113760</v>
          </cell>
          <cell r="R136">
            <v>113760</v>
          </cell>
          <cell r="S136">
            <v>3640280</v>
          </cell>
          <cell r="T136">
            <v>3640123</v>
          </cell>
          <cell r="U136">
            <v>3639966</v>
          </cell>
          <cell r="V136">
            <v>3639809</v>
          </cell>
          <cell r="W136">
            <v>3639651</v>
          </cell>
          <cell r="X136">
            <v>3704615</v>
          </cell>
          <cell r="Y136">
            <v>3704454</v>
          </cell>
          <cell r="Z136">
            <v>3704294</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18371</v>
          </cell>
          <cell r="AR136">
            <v>17637</v>
          </cell>
          <cell r="AS136">
            <v>17682</v>
          </cell>
          <cell r="AT136">
            <v>17953</v>
          </cell>
          <cell r="AU136">
            <v>17819</v>
          </cell>
          <cell r="AV136">
            <v>17181</v>
          </cell>
          <cell r="AW136">
            <v>16820</v>
          </cell>
          <cell r="AX136">
            <v>17566</v>
          </cell>
          <cell r="AY136">
            <v>0</v>
          </cell>
          <cell r="AZ136">
            <v>0</v>
          </cell>
          <cell r="BA136">
            <v>0</v>
          </cell>
          <cell r="BB136">
            <v>0</v>
          </cell>
          <cell r="BC136">
            <v>0</v>
          </cell>
          <cell r="BD136">
            <v>0</v>
          </cell>
          <cell r="BE136">
            <v>0</v>
          </cell>
          <cell r="BF136">
            <v>0</v>
          </cell>
          <cell r="BH136">
            <v>7876054</v>
          </cell>
          <cell r="BI136">
            <v>7770100</v>
          </cell>
          <cell r="BJ136">
            <v>7746602</v>
          </cell>
          <cell r="BK136">
            <v>7793345</v>
          </cell>
          <cell r="BL136">
            <v>7851603</v>
          </cell>
          <cell r="BM136">
            <v>7785873</v>
          </cell>
          <cell r="BN136">
            <v>7731405</v>
          </cell>
          <cell r="BO136">
            <v>7762065</v>
          </cell>
        </row>
        <row r="137">
          <cell r="C137">
            <v>670230</v>
          </cell>
          <cell r="D137">
            <v>670462</v>
          </cell>
          <cell r="E137">
            <v>667548</v>
          </cell>
          <cell r="F137">
            <v>608423</v>
          </cell>
          <cell r="G137">
            <v>610753</v>
          </cell>
          <cell r="H137">
            <v>609669</v>
          </cell>
          <cell r="I137">
            <v>609019</v>
          </cell>
          <cell r="J137">
            <v>606770</v>
          </cell>
          <cell r="K137">
            <v>0</v>
          </cell>
          <cell r="L137">
            <v>0</v>
          </cell>
          <cell r="M137">
            <v>0</v>
          </cell>
          <cell r="N137">
            <v>0</v>
          </cell>
          <cell r="O137">
            <v>0</v>
          </cell>
          <cell r="P137">
            <v>0</v>
          </cell>
          <cell r="Q137">
            <v>0</v>
          </cell>
          <cell r="R137">
            <v>0</v>
          </cell>
          <cell r="S137">
            <v>670460</v>
          </cell>
          <cell r="T137">
            <v>670460</v>
          </cell>
          <cell r="U137">
            <v>670460</v>
          </cell>
          <cell r="V137">
            <v>670460</v>
          </cell>
          <cell r="W137">
            <v>670460</v>
          </cell>
          <cell r="X137">
            <v>631243</v>
          </cell>
          <cell r="Y137">
            <v>630457</v>
          </cell>
          <cell r="Z137">
            <v>624263</v>
          </cell>
          <cell r="AA137">
            <v>120000</v>
          </cell>
          <cell r="AB137">
            <v>62833</v>
          </cell>
          <cell r="AC137">
            <v>86283</v>
          </cell>
          <cell r="AD137">
            <v>61783</v>
          </cell>
          <cell r="AE137">
            <v>61233</v>
          </cell>
          <cell r="AF137">
            <v>80140</v>
          </cell>
          <cell r="AG137">
            <v>61426</v>
          </cell>
          <cell r="AH137">
            <v>53970</v>
          </cell>
          <cell r="AI137">
            <v>0</v>
          </cell>
          <cell r="AJ137">
            <v>40000</v>
          </cell>
          <cell r="AK137">
            <v>0</v>
          </cell>
          <cell r="AL137">
            <v>0</v>
          </cell>
          <cell r="AM137">
            <v>0</v>
          </cell>
          <cell r="AN137">
            <v>0</v>
          </cell>
          <cell r="AO137">
            <v>0</v>
          </cell>
          <cell r="AP137">
            <v>0</v>
          </cell>
          <cell r="AQ137">
            <v>1899</v>
          </cell>
          <cell r="AR137">
            <v>1855</v>
          </cell>
          <cell r="AS137">
            <v>1860</v>
          </cell>
          <cell r="AT137">
            <v>1905</v>
          </cell>
          <cell r="AU137">
            <v>1882</v>
          </cell>
          <cell r="AV137">
            <v>1912</v>
          </cell>
          <cell r="AW137">
            <v>1999</v>
          </cell>
          <cell r="AX137">
            <v>1963</v>
          </cell>
          <cell r="AY137">
            <v>0</v>
          </cell>
          <cell r="AZ137">
            <v>0</v>
          </cell>
          <cell r="BA137">
            <v>0</v>
          </cell>
          <cell r="BB137">
            <v>0</v>
          </cell>
          <cell r="BC137">
            <v>0</v>
          </cell>
          <cell r="BD137">
            <v>0</v>
          </cell>
          <cell r="BE137">
            <v>0</v>
          </cell>
          <cell r="BF137">
            <v>0</v>
          </cell>
          <cell r="BH137">
            <v>1460690</v>
          </cell>
          <cell r="BI137">
            <v>1443755</v>
          </cell>
          <cell r="BJ137">
            <v>1424291</v>
          </cell>
          <cell r="BK137">
            <v>1340666</v>
          </cell>
          <cell r="BL137">
            <v>1342446</v>
          </cell>
          <cell r="BM137">
            <v>1321052</v>
          </cell>
          <cell r="BN137">
            <v>1300902</v>
          </cell>
          <cell r="BO137">
            <v>1285003</v>
          </cell>
        </row>
        <row r="138">
          <cell r="C138">
            <v>64798</v>
          </cell>
          <cell r="D138">
            <v>64256</v>
          </cell>
          <cell r="E138">
            <v>64238</v>
          </cell>
          <cell r="F138">
            <v>64718</v>
          </cell>
          <cell r="G138">
            <v>63862</v>
          </cell>
          <cell r="H138">
            <v>62687</v>
          </cell>
          <cell r="I138">
            <v>63365</v>
          </cell>
          <cell r="J138">
            <v>58721</v>
          </cell>
          <cell r="K138">
            <v>225</v>
          </cell>
          <cell r="L138">
            <v>225</v>
          </cell>
          <cell r="M138">
            <v>225</v>
          </cell>
          <cell r="N138">
            <v>225</v>
          </cell>
          <cell r="O138">
            <v>225</v>
          </cell>
          <cell r="P138">
            <v>225</v>
          </cell>
          <cell r="Q138">
            <v>225</v>
          </cell>
          <cell r="R138">
            <v>225</v>
          </cell>
          <cell r="S138">
            <v>80000</v>
          </cell>
          <cell r="T138">
            <v>80000</v>
          </cell>
          <cell r="U138">
            <v>80000</v>
          </cell>
          <cell r="V138">
            <v>80000</v>
          </cell>
          <cell r="W138">
            <v>80000</v>
          </cell>
          <cell r="X138">
            <v>80000</v>
          </cell>
          <cell r="Y138">
            <v>80000</v>
          </cell>
          <cell r="Z138">
            <v>65000</v>
          </cell>
          <cell r="AA138">
            <v>0</v>
          </cell>
          <cell r="AB138">
            <v>0</v>
          </cell>
          <cell r="AC138">
            <v>0</v>
          </cell>
          <cell r="AD138">
            <v>0</v>
          </cell>
          <cell r="AE138">
            <v>0</v>
          </cell>
          <cell r="AF138">
            <v>0</v>
          </cell>
          <cell r="AG138">
            <v>0</v>
          </cell>
          <cell r="AH138">
            <v>0</v>
          </cell>
          <cell r="AI138">
            <v>12829</v>
          </cell>
          <cell r="AJ138">
            <v>10984</v>
          </cell>
          <cell r="AK138">
            <v>11383</v>
          </cell>
          <cell r="AL138">
            <v>12093</v>
          </cell>
          <cell r="AM138">
            <v>10884</v>
          </cell>
          <cell r="AN138">
            <v>5556</v>
          </cell>
          <cell r="AO138">
            <v>701</v>
          </cell>
          <cell r="AP138">
            <v>18716</v>
          </cell>
          <cell r="AQ138">
            <v>1554</v>
          </cell>
          <cell r="AR138">
            <v>1526</v>
          </cell>
          <cell r="AS138">
            <v>1552</v>
          </cell>
          <cell r="AT138">
            <v>1590</v>
          </cell>
          <cell r="AU138">
            <v>1603</v>
          </cell>
          <cell r="AV138">
            <v>1631</v>
          </cell>
          <cell r="AW138">
            <v>1679</v>
          </cell>
          <cell r="AX138">
            <v>1737</v>
          </cell>
          <cell r="AY138">
            <v>0</v>
          </cell>
          <cell r="AZ138">
            <v>0</v>
          </cell>
          <cell r="BA138">
            <v>0</v>
          </cell>
          <cell r="BB138">
            <v>0</v>
          </cell>
          <cell r="BC138">
            <v>0</v>
          </cell>
          <cell r="BD138">
            <v>0</v>
          </cell>
          <cell r="BE138">
            <v>0</v>
          </cell>
          <cell r="BF138">
            <v>0</v>
          </cell>
          <cell r="BH138">
            <v>157627</v>
          </cell>
          <cell r="BI138">
            <v>155240</v>
          </cell>
          <cell r="BJ138">
            <v>155621</v>
          </cell>
          <cell r="BK138">
            <v>156811</v>
          </cell>
          <cell r="BL138">
            <v>154746</v>
          </cell>
          <cell r="BM138">
            <v>148243</v>
          </cell>
          <cell r="BN138">
            <v>144066</v>
          </cell>
          <cell r="BO138">
            <v>142437</v>
          </cell>
        </row>
        <row r="139">
          <cell r="C139">
            <v>132869</v>
          </cell>
          <cell r="D139">
            <v>105940</v>
          </cell>
          <cell r="E139">
            <v>103065</v>
          </cell>
          <cell r="F139">
            <v>99919</v>
          </cell>
          <cell r="G139">
            <v>97840</v>
          </cell>
          <cell r="H139">
            <v>94575</v>
          </cell>
          <cell r="I139">
            <v>92546</v>
          </cell>
          <cell r="J139">
            <v>89618</v>
          </cell>
          <cell r="K139">
            <v>0</v>
          </cell>
          <cell r="L139">
            <v>0</v>
          </cell>
          <cell r="M139">
            <v>0</v>
          </cell>
          <cell r="N139">
            <v>0</v>
          </cell>
          <cell r="O139">
            <v>0</v>
          </cell>
          <cell r="P139">
            <v>0</v>
          </cell>
          <cell r="Q139">
            <v>0</v>
          </cell>
          <cell r="R139">
            <v>0</v>
          </cell>
          <cell r="S139">
            <v>130000</v>
          </cell>
          <cell r="T139">
            <v>100000</v>
          </cell>
          <cell r="U139">
            <v>100000</v>
          </cell>
          <cell r="V139">
            <v>100000</v>
          </cell>
          <cell r="W139">
            <v>100000</v>
          </cell>
          <cell r="X139">
            <v>100000</v>
          </cell>
          <cell r="Y139">
            <v>100000</v>
          </cell>
          <cell r="Z139">
            <v>100000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5781</v>
          </cell>
          <cell r="AR139">
            <v>5876</v>
          </cell>
          <cell r="AS139">
            <v>5652</v>
          </cell>
          <cell r="AT139">
            <v>5620</v>
          </cell>
          <cell r="AU139">
            <v>5523</v>
          </cell>
          <cell r="AV139">
            <v>5861</v>
          </cell>
          <cell r="AW139">
            <v>5097</v>
          </cell>
          <cell r="AX139">
            <v>4925</v>
          </cell>
          <cell r="AY139">
            <v>0</v>
          </cell>
          <cell r="AZ139">
            <v>0</v>
          </cell>
          <cell r="BA139">
            <v>0</v>
          </cell>
          <cell r="BB139">
            <v>0</v>
          </cell>
          <cell r="BC139">
            <v>0</v>
          </cell>
          <cell r="BD139">
            <v>0</v>
          </cell>
          <cell r="BE139">
            <v>0</v>
          </cell>
          <cell r="BF139">
            <v>0</v>
          </cell>
          <cell r="BH139">
            <v>262869</v>
          </cell>
          <cell r="BI139">
            <v>205940</v>
          </cell>
          <cell r="BJ139">
            <v>203065</v>
          </cell>
          <cell r="BK139">
            <v>199919</v>
          </cell>
          <cell r="BL139">
            <v>197840</v>
          </cell>
          <cell r="BM139">
            <v>194575</v>
          </cell>
          <cell r="BN139">
            <v>192546</v>
          </cell>
          <cell r="BO139">
            <v>189618</v>
          </cell>
        </row>
        <row r="140">
          <cell r="C140">
            <v>89168</v>
          </cell>
          <cell r="D140">
            <v>90996</v>
          </cell>
          <cell r="E140">
            <v>95305</v>
          </cell>
          <cell r="F140">
            <v>92205</v>
          </cell>
          <cell r="G140">
            <v>88072</v>
          </cell>
          <cell r="H140">
            <v>88837</v>
          </cell>
          <cell r="I140">
            <v>79964</v>
          </cell>
          <cell r="J140">
            <v>78335</v>
          </cell>
          <cell r="K140">
            <v>0</v>
          </cell>
          <cell r="L140">
            <v>0</v>
          </cell>
          <cell r="M140">
            <v>0</v>
          </cell>
          <cell r="N140">
            <v>0</v>
          </cell>
          <cell r="O140">
            <v>0</v>
          </cell>
          <cell r="P140">
            <v>0</v>
          </cell>
          <cell r="Q140">
            <v>0</v>
          </cell>
          <cell r="R140">
            <v>0</v>
          </cell>
          <cell r="S140">
            <v>54400</v>
          </cell>
          <cell r="T140">
            <v>54400</v>
          </cell>
          <cell r="U140">
            <v>54400</v>
          </cell>
          <cell r="V140">
            <v>54400</v>
          </cell>
          <cell r="W140">
            <v>55300</v>
          </cell>
          <cell r="X140">
            <v>55300</v>
          </cell>
          <cell r="Y140">
            <v>40800</v>
          </cell>
          <cell r="Z140">
            <v>40800</v>
          </cell>
          <cell r="AA140">
            <v>0</v>
          </cell>
          <cell r="AB140">
            <v>0</v>
          </cell>
          <cell r="AC140">
            <v>0</v>
          </cell>
          <cell r="AD140">
            <v>0</v>
          </cell>
          <cell r="AE140">
            <v>0</v>
          </cell>
          <cell r="AF140">
            <v>0</v>
          </cell>
          <cell r="AG140">
            <v>0</v>
          </cell>
          <cell r="AH140">
            <v>0</v>
          </cell>
          <cell r="AI140">
            <v>4100</v>
          </cell>
          <cell r="AJ140">
            <v>9200</v>
          </cell>
          <cell r="AK140">
            <v>10325</v>
          </cell>
          <cell r="AL140">
            <v>8950</v>
          </cell>
          <cell r="AM140">
            <v>7125</v>
          </cell>
          <cell r="AN140">
            <v>0</v>
          </cell>
          <cell r="AO140">
            <v>5445</v>
          </cell>
          <cell r="AP140">
            <v>10395</v>
          </cell>
          <cell r="AQ140">
            <v>115</v>
          </cell>
          <cell r="AR140">
            <v>117</v>
          </cell>
          <cell r="AS140">
            <v>129</v>
          </cell>
          <cell r="AT140">
            <v>154</v>
          </cell>
          <cell r="AU140">
            <v>155</v>
          </cell>
          <cell r="AV140">
            <v>146</v>
          </cell>
          <cell r="AW140">
            <v>826</v>
          </cell>
          <cell r="AX140">
            <v>792</v>
          </cell>
          <cell r="AY140">
            <v>0</v>
          </cell>
          <cell r="AZ140">
            <v>0</v>
          </cell>
          <cell r="BA140">
            <v>0</v>
          </cell>
          <cell r="BB140">
            <v>0</v>
          </cell>
          <cell r="BC140">
            <v>0</v>
          </cell>
          <cell r="BD140">
            <v>0</v>
          </cell>
          <cell r="BE140">
            <v>0</v>
          </cell>
          <cell r="BF140">
            <v>0</v>
          </cell>
          <cell r="BH140">
            <v>147668</v>
          </cell>
          <cell r="BI140">
            <v>154596</v>
          </cell>
          <cell r="BJ140">
            <v>160030</v>
          </cell>
          <cell r="BK140">
            <v>155555</v>
          </cell>
          <cell r="BL140">
            <v>150497</v>
          </cell>
          <cell r="BM140">
            <v>144137</v>
          </cell>
          <cell r="BN140">
            <v>126209</v>
          </cell>
          <cell r="BO140">
            <v>129530</v>
          </cell>
        </row>
        <row r="141">
          <cell r="C141">
            <v>9112467</v>
          </cell>
          <cell r="D141">
            <v>9030119</v>
          </cell>
          <cell r="E141">
            <v>8910881</v>
          </cell>
          <cell r="F141">
            <v>8765428</v>
          </cell>
          <cell r="G141">
            <v>8430143</v>
          </cell>
          <cell r="H141">
            <v>8016878</v>
          </cell>
          <cell r="I141">
            <v>7844363</v>
          </cell>
          <cell r="J141">
            <v>7430783</v>
          </cell>
          <cell r="K141">
            <v>259014</v>
          </cell>
          <cell r="L141">
            <v>259014</v>
          </cell>
          <cell r="M141">
            <v>259014</v>
          </cell>
          <cell r="N141">
            <v>259014</v>
          </cell>
          <cell r="O141">
            <v>259014</v>
          </cell>
          <cell r="P141">
            <v>259014</v>
          </cell>
          <cell r="Q141">
            <v>259014</v>
          </cell>
          <cell r="R141">
            <v>259014</v>
          </cell>
          <cell r="S141">
            <v>6867983</v>
          </cell>
          <cell r="T141">
            <v>6869520</v>
          </cell>
          <cell r="U141">
            <v>6875903</v>
          </cell>
          <cell r="V141">
            <v>6717409</v>
          </cell>
          <cell r="W141">
            <v>6747364</v>
          </cell>
          <cell r="X141">
            <v>6449425</v>
          </cell>
          <cell r="Y141">
            <v>6455618</v>
          </cell>
          <cell r="Z141">
            <v>6458065</v>
          </cell>
          <cell r="AA141">
            <v>550082</v>
          </cell>
          <cell r="AB141">
            <v>933353</v>
          </cell>
          <cell r="AC141">
            <v>582448</v>
          </cell>
          <cell r="AD141">
            <v>600000</v>
          </cell>
          <cell r="AE141">
            <v>100000</v>
          </cell>
          <cell r="AF141">
            <v>0</v>
          </cell>
          <cell r="AG141">
            <v>0</v>
          </cell>
          <cell r="AH141">
            <v>442064</v>
          </cell>
          <cell r="AI141">
            <v>49386</v>
          </cell>
          <cell r="AJ141">
            <v>0</v>
          </cell>
          <cell r="AK141">
            <v>0</v>
          </cell>
          <cell r="AL141">
            <v>79276</v>
          </cell>
          <cell r="AM141">
            <v>204856</v>
          </cell>
          <cell r="AN141">
            <v>762884</v>
          </cell>
          <cell r="AO141">
            <v>0</v>
          </cell>
          <cell r="AP141">
            <v>0</v>
          </cell>
          <cell r="AQ141">
            <v>107500</v>
          </cell>
          <cell r="AR141">
            <v>110048</v>
          </cell>
          <cell r="AS141">
            <v>114867</v>
          </cell>
          <cell r="AT141">
            <v>115612</v>
          </cell>
          <cell r="AU141">
            <v>117144</v>
          </cell>
          <cell r="AV141">
            <v>119089</v>
          </cell>
          <cell r="AW141">
            <v>119609</v>
          </cell>
          <cell r="AX141">
            <v>117190</v>
          </cell>
          <cell r="AY141">
            <v>0</v>
          </cell>
          <cell r="AZ141">
            <v>0</v>
          </cell>
          <cell r="BA141">
            <v>0</v>
          </cell>
          <cell r="BB141">
            <v>0</v>
          </cell>
          <cell r="BC141">
            <v>0</v>
          </cell>
          <cell r="BD141">
            <v>0</v>
          </cell>
          <cell r="BE141">
            <v>0</v>
          </cell>
          <cell r="BF141">
            <v>0</v>
          </cell>
          <cell r="BH141">
            <v>16579918</v>
          </cell>
          <cell r="BI141">
            <v>16832992</v>
          </cell>
          <cell r="BJ141">
            <v>16369232</v>
          </cell>
          <cell r="BK141">
            <v>16162113</v>
          </cell>
          <cell r="BL141">
            <v>15482363</v>
          </cell>
          <cell r="BM141">
            <v>15229187</v>
          </cell>
          <cell r="BN141">
            <v>14299981</v>
          </cell>
          <cell r="BO141">
            <v>14330912</v>
          </cell>
        </row>
        <row r="142">
          <cell r="C142">
            <v>566595</v>
          </cell>
          <cell r="D142">
            <v>540867</v>
          </cell>
          <cell r="E142">
            <v>524098</v>
          </cell>
          <cell r="F142">
            <v>570630</v>
          </cell>
          <cell r="G142">
            <v>575530</v>
          </cell>
          <cell r="H142">
            <v>583572</v>
          </cell>
          <cell r="I142">
            <v>574566</v>
          </cell>
          <cell r="J142">
            <v>563022</v>
          </cell>
          <cell r="K142">
            <v>0</v>
          </cell>
          <cell r="L142">
            <v>0</v>
          </cell>
          <cell r="M142">
            <v>0</v>
          </cell>
          <cell r="N142">
            <v>0</v>
          </cell>
          <cell r="O142">
            <v>0</v>
          </cell>
          <cell r="P142">
            <v>0</v>
          </cell>
          <cell r="Q142">
            <v>0</v>
          </cell>
          <cell r="R142">
            <v>0</v>
          </cell>
          <cell r="S142">
            <v>544916</v>
          </cell>
          <cell r="T142">
            <v>547748</v>
          </cell>
          <cell r="U142">
            <v>610581</v>
          </cell>
          <cell r="V142">
            <v>499114</v>
          </cell>
          <cell r="W142">
            <v>1249517</v>
          </cell>
          <cell r="X142">
            <v>1249476</v>
          </cell>
          <cell r="Y142">
            <v>1234435</v>
          </cell>
          <cell r="Z142">
            <v>1242394</v>
          </cell>
          <cell r="AA142">
            <v>0</v>
          </cell>
          <cell r="AB142">
            <v>30000</v>
          </cell>
          <cell r="AC142">
            <v>0</v>
          </cell>
          <cell r="AD142">
            <v>0</v>
          </cell>
          <cell r="AE142">
            <v>0</v>
          </cell>
          <cell r="AF142">
            <v>0</v>
          </cell>
          <cell r="AG142">
            <v>0</v>
          </cell>
          <cell r="AH142">
            <v>0</v>
          </cell>
          <cell r="AI142">
            <v>0</v>
          </cell>
          <cell r="AJ142">
            <v>0</v>
          </cell>
          <cell r="AK142">
            <v>0</v>
          </cell>
          <cell r="AL142">
            <v>0</v>
          </cell>
          <cell r="AM142">
            <v>0</v>
          </cell>
          <cell r="AN142">
            <v>8000</v>
          </cell>
          <cell r="AO142">
            <v>8878</v>
          </cell>
          <cell r="AP142">
            <v>0</v>
          </cell>
          <cell r="AQ142">
            <v>25825</v>
          </cell>
          <cell r="AR142">
            <v>25267</v>
          </cell>
          <cell r="AS142">
            <v>24085</v>
          </cell>
          <cell r="AT142">
            <v>24446</v>
          </cell>
          <cell r="AU142">
            <v>23795</v>
          </cell>
          <cell r="AV142">
            <v>23497</v>
          </cell>
          <cell r="AW142">
            <v>24192</v>
          </cell>
          <cell r="AX142">
            <v>23227</v>
          </cell>
          <cell r="AY142">
            <v>0</v>
          </cell>
          <cell r="AZ142">
            <v>0</v>
          </cell>
          <cell r="BA142">
            <v>0</v>
          </cell>
          <cell r="BB142">
            <v>0</v>
          </cell>
          <cell r="BC142">
            <v>0</v>
          </cell>
          <cell r="BD142">
            <v>0</v>
          </cell>
          <cell r="BE142">
            <v>0</v>
          </cell>
          <cell r="BF142">
            <v>0</v>
          </cell>
          <cell r="BH142">
            <v>1111511</v>
          </cell>
          <cell r="BI142">
            <v>1118615</v>
          </cell>
          <cell r="BJ142">
            <v>1134679</v>
          </cell>
          <cell r="BK142">
            <v>1069744</v>
          </cell>
          <cell r="BL142">
            <v>1825047</v>
          </cell>
          <cell r="BM142">
            <v>1841048</v>
          </cell>
          <cell r="BN142">
            <v>1817879</v>
          </cell>
          <cell r="BO142">
            <v>1805416</v>
          </cell>
        </row>
        <row r="143">
          <cell r="C143">
            <v>2609302</v>
          </cell>
          <cell r="D143">
            <v>2483785</v>
          </cell>
          <cell r="E143">
            <v>2430447</v>
          </cell>
          <cell r="F143">
            <v>2407767</v>
          </cell>
          <cell r="G143">
            <v>2406254</v>
          </cell>
          <cell r="H143">
            <v>2320309</v>
          </cell>
          <cell r="I143">
            <v>2295660</v>
          </cell>
          <cell r="J143">
            <v>2270228</v>
          </cell>
          <cell r="K143">
            <v>21436</v>
          </cell>
          <cell r="L143">
            <v>21436</v>
          </cell>
          <cell r="M143">
            <v>21436</v>
          </cell>
          <cell r="N143">
            <v>21436</v>
          </cell>
          <cell r="O143">
            <v>21436</v>
          </cell>
          <cell r="P143">
            <v>21436</v>
          </cell>
          <cell r="Q143">
            <v>21436</v>
          </cell>
          <cell r="R143">
            <v>21436</v>
          </cell>
          <cell r="S143">
            <v>1479133</v>
          </cell>
          <cell r="T143">
            <v>1479189</v>
          </cell>
          <cell r="U143">
            <v>1479066</v>
          </cell>
          <cell r="V143">
            <v>1479108</v>
          </cell>
          <cell r="W143">
            <v>1479327</v>
          </cell>
          <cell r="X143">
            <v>1479576</v>
          </cell>
          <cell r="Y143">
            <v>1479787</v>
          </cell>
          <cell r="Z143">
            <v>1480190</v>
          </cell>
          <cell r="AA143">
            <v>391900</v>
          </cell>
          <cell r="AB143">
            <v>471000</v>
          </cell>
          <cell r="AC143">
            <v>305340</v>
          </cell>
          <cell r="AD143">
            <v>226700</v>
          </cell>
          <cell r="AE143">
            <v>163040</v>
          </cell>
          <cell r="AF143">
            <v>240760</v>
          </cell>
          <cell r="AG143">
            <v>209160</v>
          </cell>
          <cell r="AH143">
            <v>242760</v>
          </cell>
          <cell r="AI143">
            <v>0</v>
          </cell>
          <cell r="AJ143">
            <v>0</v>
          </cell>
          <cell r="AK143">
            <v>0</v>
          </cell>
          <cell r="AL143">
            <v>0</v>
          </cell>
          <cell r="AM143">
            <v>0</v>
          </cell>
          <cell r="AN143">
            <v>0</v>
          </cell>
          <cell r="AO143">
            <v>0</v>
          </cell>
          <cell r="AP143">
            <v>0</v>
          </cell>
          <cell r="AQ143">
            <v>11987</v>
          </cell>
          <cell r="AR143">
            <v>11740</v>
          </cell>
          <cell r="AS143">
            <v>12193</v>
          </cell>
          <cell r="AT143">
            <v>11879</v>
          </cell>
          <cell r="AU143">
            <v>11412</v>
          </cell>
          <cell r="AV143">
            <v>11090</v>
          </cell>
          <cell r="AW143">
            <v>11474</v>
          </cell>
          <cell r="AX143">
            <v>11444</v>
          </cell>
          <cell r="AY143">
            <v>0</v>
          </cell>
          <cell r="AZ143">
            <v>0</v>
          </cell>
          <cell r="BA143">
            <v>0</v>
          </cell>
          <cell r="BB143">
            <v>0</v>
          </cell>
          <cell r="BC143">
            <v>0</v>
          </cell>
          <cell r="BD143">
            <v>0</v>
          </cell>
          <cell r="BE143">
            <v>0</v>
          </cell>
          <cell r="BF143">
            <v>0</v>
          </cell>
          <cell r="BH143">
            <v>4480335</v>
          </cell>
          <cell r="BI143">
            <v>4433974</v>
          </cell>
          <cell r="BJ143">
            <v>4214853</v>
          </cell>
          <cell r="BK143">
            <v>4113575</v>
          </cell>
          <cell r="BL143">
            <v>4048621</v>
          </cell>
          <cell r="BM143">
            <v>4040645</v>
          </cell>
          <cell r="BN143">
            <v>3984607</v>
          </cell>
          <cell r="BO143">
            <v>3993178</v>
          </cell>
        </row>
        <row r="144">
          <cell r="C144">
            <v>452239</v>
          </cell>
          <cell r="D144">
            <v>366940</v>
          </cell>
          <cell r="E144">
            <v>361230</v>
          </cell>
          <cell r="F144">
            <v>357584</v>
          </cell>
          <cell r="G144">
            <v>356543</v>
          </cell>
          <cell r="H144">
            <v>352895</v>
          </cell>
          <cell r="I144">
            <v>314884</v>
          </cell>
          <cell r="J144">
            <v>246808</v>
          </cell>
          <cell r="K144">
            <v>0</v>
          </cell>
          <cell r="L144">
            <v>0</v>
          </cell>
          <cell r="M144">
            <v>0</v>
          </cell>
          <cell r="N144">
            <v>0</v>
          </cell>
          <cell r="O144">
            <v>0</v>
          </cell>
          <cell r="P144">
            <v>0</v>
          </cell>
          <cell r="Q144">
            <v>0</v>
          </cell>
          <cell r="R144">
            <v>0</v>
          </cell>
          <cell r="S144">
            <v>442251</v>
          </cell>
          <cell r="T144">
            <v>343131</v>
          </cell>
          <cell r="U144">
            <v>343111</v>
          </cell>
          <cell r="V144">
            <v>343090</v>
          </cell>
          <cell r="W144">
            <v>343070</v>
          </cell>
          <cell r="X144">
            <v>343050</v>
          </cell>
          <cell r="Y144">
            <v>343030</v>
          </cell>
          <cell r="Z144">
            <v>248384</v>
          </cell>
          <cell r="AA144">
            <v>0</v>
          </cell>
          <cell r="AB144">
            <v>20000</v>
          </cell>
          <cell r="AC144">
            <v>10000</v>
          </cell>
          <cell r="AD144">
            <v>0</v>
          </cell>
          <cell r="AE144">
            <v>0</v>
          </cell>
          <cell r="AF144">
            <v>0</v>
          </cell>
          <cell r="AG144">
            <v>0</v>
          </cell>
          <cell r="AH144">
            <v>0</v>
          </cell>
          <cell r="AI144">
            <v>29636</v>
          </cell>
          <cell r="AJ144">
            <v>33707</v>
          </cell>
          <cell r="AK144">
            <v>37789</v>
          </cell>
          <cell r="AL144">
            <v>41935</v>
          </cell>
          <cell r="AM144">
            <v>45894</v>
          </cell>
          <cell r="AN144">
            <v>49706</v>
          </cell>
          <cell r="AO144">
            <v>53533</v>
          </cell>
          <cell r="AP144">
            <v>57428</v>
          </cell>
          <cell r="AQ144">
            <v>1566</v>
          </cell>
          <cell r="AR144">
            <v>1542</v>
          </cell>
          <cell r="AS144">
            <v>1549</v>
          </cell>
          <cell r="AT144">
            <v>1519</v>
          </cell>
          <cell r="AU144">
            <v>1507</v>
          </cell>
          <cell r="AV144">
            <v>1506</v>
          </cell>
          <cell r="AW144">
            <v>1541</v>
          </cell>
          <cell r="AX144">
            <v>1616</v>
          </cell>
          <cell r="AY144">
            <v>0</v>
          </cell>
          <cell r="AZ144">
            <v>0</v>
          </cell>
          <cell r="BA144">
            <v>0</v>
          </cell>
          <cell r="BB144">
            <v>0</v>
          </cell>
          <cell r="BC144">
            <v>0</v>
          </cell>
          <cell r="BD144">
            <v>0</v>
          </cell>
          <cell r="BE144">
            <v>0</v>
          </cell>
          <cell r="BF144">
            <v>0</v>
          </cell>
          <cell r="BH144">
            <v>924126</v>
          </cell>
          <cell r="BI144">
            <v>763778</v>
          </cell>
          <cell r="BJ144">
            <v>752130</v>
          </cell>
          <cell r="BK144">
            <v>742609</v>
          </cell>
          <cell r="BL144">
            <v>745507</v>
          </cell>
          <cell r="BM144">
            <v>745651</v>
          </cell>
          <cell r="BN144">
            <v>711447</v>
          </cell>
          <cell r="BO144">
            <v>552620</v>
          </cell>
        </row>
        <row r="145">
          <cell r="C145">
            <v>52826</v>
          </cell>
          <cell r="D145">
            <v>49263</v>
          </cell>
          <cell r="E145">
            <v>47526</v>
          </cell>
          <cell r="F145">
            <v>46210</v>
          </cell>
          <cell r="G145">
            <v>42071</v>
          </cell>
          <cell r="H145">
            <v>42857</v>
          </cell>
          <cell r="I145">
            <v>43569</v>
          </cell>
          <cell r="J145">
            <v>43905</v>
          </cell>
          <cell r="K145">
            <v>0</v>
          </cell>
          <cell r="L145">
            <v>0</v>
          </cell>
          <cell r="M145">
            <v>0</v>
          </cell>
          <cell r="N145">
            <v>0</v>
          </cell>
          <cell r="O145">
            <v>0</v>
          </cell>
          <cell r="P145">
            <v>0</v>
          </cell>
          <cell r="Q145">
            <v>0</v>
          </cell>
          <cell r="R145">
            <v>0</v>
          </cell>
          <cell r="S145">
            <v>25000</v>
          </cell>
          <cell r="T145">
            <v>25000</v>
          </cell>
          <cell r="U145">
            <v>25000</v>
          </cell>
          <cell r="V145">
            <v>25000</v>
          </cell>
          <cell r="W145">
            <v>25000</v>
          </cell>
          <cell r="X145">
            <v>25000</v>
          </cell>
          <cell r="Y145">
            <v>25000</v>
          </cell>
          <cell r="Z145">
            <v>25000</v>
          </cell>
          <cell r="AA145">
            <v>0</v>
          </cell>
          <cell r="AB145">
            <v>0</v>
          </cell>
          <cell r="AC145">
            <v>0</v>
          </cell>
          <cell r="AD145">
            <v>0</v>
          </cell>
          <cell r="AE145">
            <v>0</v>
          </cell>
          <cell r="AF145">
            <v>0</v>
          </cell>
          <cell r="AG145">
            <v>0</v>
          </cell>
          <cell r="AH145">
            <v>0</v>
          </cell>
          <cell r="AI145">
            <v>31553</v>
          </cell>
          <cell r="AJ145">
            <v>26857</v>
          </cell>
          <cell r="AK145">
            <v>19782</v>
          </cell>
          <cell r="AL145">
            <v>14791</v>
          </cell>
          <cell r="AM145">
            <v>16523</v>
          </cell>
          <cell r="AN145">
            <v>20850</v>
          </cell>
          <cell r="AO145">
            <v>20870</v>
          </cell>
          <cell r="AP145">
            <v>22687</v>
          </cell>
          <cell r="AQ145">
            <v>1805</v>
          </cell>
          <cell r="AR145">
            <v>1778</v>
          </cell>
          <cell r="AS145">
            <v>1671</v>
          </cell>
          <cell r="AT145">
            <v>1490</v>
          </cell>
          <cell r="AU145">
            <v>1429</v>
          </cell>
          <cell r="AV145">
            <v>1427</v>
          </cell>
          <cell r="AW145">
            <v>1415</v>
          </cell>
          <cell r="AX145">
            <v>1415</v>
          </cell>
          <cell r="AY145">
            <v>0</v>
          </cell>
          <cell r="AZ145">
            <v>0</v>
          </cell>
          <cell r="BA145">
            <v>0</v>
          </cell>
          <cell r="BB145">
            <v>0</v>
          </cell>
          <cell r="BC145">
            <v>0</v>
          </cell>
          <cell r="BD145">
            <v>0</v>
          </cell>
          <cell r="BE145">
            <v>0</v>
          </cell>
          <cell r="BF145">
            <v>0</v>
          </cell>
          <cell r="BH145">
            <v>109379</v>
          </cell>
          <cell r="BI145">
            <v>101120</v>
          </cell>
          <cell r="BJ145">
            <v>92308</v>
          </cell>
          <cell r="BK145">
            <v>86001</v>
          </cell>
          <cell r="BL145">
            <v>83594</v>
          </cell>
          <cell r="BM145">
            <v>88707</v>
          </cell>
          <cell r="BN145">
            <v>89439</v>
          </cell>
          <cell r="BO145">
            <v>91592</v>
          </cell>
        </row>
        <row r="146">
          <cell r="C146">
            <v>3190610</v>
          </cell>
          <cell r="D146">
            <v>3177909</v>
          </cell>
          <cell r="E146">
            <v>3161436</v>
          </cell>
          <cell r="F146">
            <v>3095565</v>
          </cell>
          <cell r="G146">
            <v>3050529</v>
          </cell>
          <cell r="H146">
            <v>2895821</v>
          </cell>
          <cell r="I146">
            <v>2873615</v>
          </cell>
          <cell r="J146">
            <v>2834698</v>
          </cell>
          <cell r="K146">
            <v>30450</v>
          </cell>
          <cell r="L146">
            <v>30450</v>
          </cell>
          <cell r="M146">
            <v>30450</v>
          </cell>
          <cell r="N146">
            <v>30450</v>
          </cell>
          <cell r="O146">
            <v>30450</v>
          </cell>
          <cell r="P146">
            <v>30450</v>
          </cell>
          <cell r="Q146">
            <v>30450</v>
          </cell>
          <cell r="R146">
            <v>30450</v>
          </cell>
          <cell r="S146">
            <v>2266239</v>
          </cell>
          <cell r="T146">
            <v>1970874</v>
          </cell>
          <cell r="U146">
            <v>1970499</v>
          </cell>
          <cell r="V146">
            <v>1970125</v>
          </cell>
          <cell r="W146">
            <v>1969750</v>
          </cell>
          <cell r="X146">
            <v>1969375</v>
          </cell>
          <cell r="Y146">
            <v>1969001</v>
          </cell>
          <cell r="Z146">
            <v>1968626</v>
          </cell>
          <cell r="AA146">
            <v>120998</v>
          </cell>
          <cell r="AB146">
            <v>232994</v>
          </cell>
          <cell r="AC146">
            <v>157494</v>
          </cell>
          <cell r="AD146">
            <v>210494</v>
          </cell>
          <cell r="AE146">
            <v>44500</v>
          </cell>
          <cell r="AF146">
            <v>167494</v>
          </cell>
          <cell r="AG146">
            <v>52500</v>
          </cell>
          <cell r="AH146">
            <v>91998</v>
          </cell>
          <cell r="AI146">
            <v>0</v>
          </cell>
          <cell r="AJ146">
            <v>0</v>
          </cell>
          <cell r="AK146">
            <v>0</v>
          </cell>
          <cell r="AL146">
            <v>0</v>
          </cell>
          <cell r="AM146">
            <v>0</v>
          </cell>
          <cell r="AN146">
            <v>0</v>
          </cell>
          <cell r="AO146">
            <v>0</v>
          </cell>
          <cell r="AP146">
            <v>0</v>
          </cell>
          <cell r="AQ146">
            <v>25118</v>
          </cell>
          <cell r="AR146">
            <v>25624</v>
          </cell>
          <cell r="AS146">
            <v>23597</v>
          </cell>
          <cell r="AT146">
            <v>23220</v>
          </cell>
          <cell r="AU146">
            <v>22012</v>
          </cell>
          <cell r="AV146">
            <v>21728</v>
          </cell>
          <cell r="AW146">
            <v>20259</v>
          </cell>
          <cell r="AX146">
            <v>18495</v>
          </cell>
          <cell r="AY146">
            <v>0</v>
          </cell>
          <cell r="AZ146">
            <v>0</v>
          </cell>
          <cell r="BA146">
            <v>0</v>
          </cell>
          <cell r="BB146">
            <v>0</v>
          </cell>
          <cell r="BC146">
            <v>0</v>
          </cell>
          <cell r="BD146">
            <v>0</v>
          </cell>
          <cell r="BE146">
            <v>0</v>
          </cell>
          <cell r="BF146">
            <v>0</v>
          </cell>
          <cell r="BH146">
            <v>5577847</v>
          </cell>
          <cell r="BI146">
            <v>5381777</v>
          </cell>
          <cell r="BJ146">
            <v>5289429</v>
          </cell>
          <cell r="BK146">
            <v>5276184</v>
          </cell>
          <cell r="BL146">
            <v>5064779</v>
          </cell>
          <cell r="BM146">
            <v>5032690</v>
          </cell>
          <cell r="BN146">
            <v>4895116</v>
          </cell>
          <cell r="BO146">
            <v>4895322</v>
          </cell>
        </row>
        <row r="147">
          <cell r="C147">
            <v>1503170</v>
          </cell>
          <cell r="D147">
            <v>1479942</v>
          </cell>
          <cell r="E147">
            <v>1459902</v>
          </cell>
          <cell r="F147">
            <v>1443362</v>
          </cell>
          <cell r="G147">
            <v>1434510</v>
          </cell>
          <cell r="H147">
            <v>1385899</v>
          </cell>
          <cell r="I147">
            <v>1334007</v>
          </cell>
          <cell r="J147">
            <v>1325346</v>
          </cell>
          <cell r="K147">
            <v>59963</v>
          </cell>
          <cell r="L147">
            <v>59963</v>
          </cell>
          <cell r="M147">
            <v>59963</v>
          </cell>
          <cell r="N147">
            <v>59963</v>
          </cell>
          <cell r="O147">
            <v>59963</v>
          </cell>
          <cell r="P147">
            <v>59963</v>
          </cell>
          <cell r="Q147">
            <v>59963</v>
          </cell>
          <cell r="R147">
            <v>59963</v>
          </cell>
          <cell r="S147">
            <v>1211539</v>
          </cell>
          <cell r="T147">
            <v>1213756</v>
          </cell>
          <cell r="U147">
            <v>1217120</v>
          </cell>
          <cell r="V147">
            <v>1219264</v>
          </cell>
          <cell r="W147">
            <v>1221044</v>
          </cell>
          <cell r="X147">
            <v>1227726</v>
          </cell>
          <cell r="Y147">
            <v>1078331</v>
          </cell>
          <cell r="Z147">
            <v>1175784</v>
          </cell>
          <cell r="AA147">
            <v>0</v>
          </cell>
          <cell r="AB147">
            <v>0</v>
          </cell>
          <cell r="AC147">
            <v>32400</v>
          </cell>
          <cell r="AD147">
            <v>47400</v>
          </cell>
          <cell r="AE147">
            <v>0</v>
          </cell>
          <cell r="AF147">
            <v>0</v>
          </cell>
          <cell r="AG147">
            <v>141400</v>
          </cell>
          <cell r="AH147">
            <v>0</v>
          </cell>
          <cell r="AI147">
            <v>3640</v>
          </cell>
          <cell r="AJ147">
            <v>3544</v>
          </cell>
          <cell r="AK147">
            <v>3450</v>
          </cell>
          <cell r="AL147">
            <v>3359</v>
          </cell>
          <cell r="AM147">
            <v>3271</v>
          </cell>
          <cell r="AN147">
            <v>3185</v>
          </cell>
          <cell r="AO147">
            <v>3101</v>
          </cell>
          <cell r="AP147">
            <v>3019</v>
          </cell>
          <cell r="AQ147">
            <v>3804</v>
          </cell>
          <cell r="AR147">
            <v>3691</v>
          </cell>
          <cell r="AS147">
            <v>3736</v>
          </cell>
          <cell r="AT147">
            <v>3802</v>
          </cell>
          <cell r="AU147">
            <v>3947</v>
          </cell>
          <cell r="AV147">
            <v>4309</v>
          </cell>
          <cell r="AW147">
            <v>4428</v>
          </cell>
          <cell r="AX147">
            <v>4587</v>
          </cell>
          <cell r="AY147">
            <v>0</v>
          </cell>
          <cell r="AZ147">
            <v>0</v>
          </cell>
          <cell r="BA147">
            <v>0</v>
          </cell>
          <cell r="BB147">
            <v>0</v>
          </cell>
          <cell r="BC147">
            <v>0</v>
          </cell>
          <cell r="BD147">
            <v>0</v>
          </cell>
          <cell r="BE147">
            <v>0</v>
          </cell>
          <cell r="BF147">
            <v>0</v>
          </cell>
          <cell r="BH147">
            <v>2718349</v>
          </cell>
          <cell r="BI147">
            <v>2697242</v>
          </cell>
          <cell r="BJ147">
            <v>2712872</v>
          </cell>
          <cell r="BK147">
            <v>2713385</v>
          </cell>
          <cell r="BL147">
            <v>2658825</v>
          </cell>
          <cell r="BM147">
            <v>2616810</v>
          </cell>
          <cell r="BN147">
            <v>2556839</v>
          </cell>
          <cell r="BO147">
            <v>2504149</v>
          </cell>
        </row>
        <row r="148">
          <cell r="C148">
            <v>1144477</v>
          </cell>
          <cell r="D148">
            <v>1135206</v>
          </cell>
          <cell r="E148">
            <v>1142844</v>
          </cell>
          <cell r="F148">
            <v>1198392</v>
          </cell>
          <cell r="G148">
            <v>1201938</v>
          </cell>
          <cell r="H148">
            <v>1188245</v>
          </cell>
          <cell r="I148">
            <v>1188375</v>
          </cell>
          <cell r="J148">
            <v>1179139</v>
          </cell>
          <cell r="K148">
            <v>51188</v>
          </cell>
          <cell r="L148">
            <v>51188</v>
          </cell>
          <cell r="M148">
            <v>51188</v>
          </cell>
          <cell r="N148">
            <v>51188</v>
          </cell>
          <cell r="O148">
            <v>51188</v>
          </cell>
          <cell r="P148">
            <v>51188</v>
          </cell>
          <cell r="Q148">
            <v>51188</v>
          </cell>
          <cell r="R148">
            <v>51188</v>
          </cell>
          <cell r="S148">
            <v>721248</v>
          </cell>
          <cell r="T148">
            <v>871210</v>
          </cell>
          <cell r="U148">
            <v>871166</v>
          </cell>
          <cell r="V148">
            <v>871122</v>
          </cell>
          <cell r="W148">
            <v>871078</v>
          </cell>
          <cell r="X148">
            <v>871034</v>
          </cell>
          <cell r="Y148">
            <v>870990</v>
          </cell>
          <cell r="Z148">
            <v>870945</v>
          </cell>
          <cell r="AA148">
            <v>120300</v>
          </cell>
          <cell r="AB148">
            <v>5100</v>
          </cell>
          <cell r="AC148">
            <v>34100</v>
          </cell>
          <cell r="AD148">
            <v>10000</v>
          </cell>
          <cell r="AE148">
            <v>10000</v>
          </cell>
          <cell r="AF148">
            <v>10000</v>
          </cell>
          <cell r="AG148">
            <v>10000</v>
          </cell>
          <cell r="AH148">
            <v>17000</v>
          </cell>
          <cell r="AI148">
            <v>0</v>
          </cell>
          <cell r="AJ148">
            <v>0</v>
          </cell>
          <cell r="AK148">
            <v>0</v>
          </cell>
          <cell r="AL148">
            <v>0</v>
          </cell>
          <cell r="AM148">
            <v>0</v>
          </cell>
          <cell r="AN148">
            <v>0</v>
          </cell>
          <cell r="AO148">
            <v>0</v>
          </cell>
          <cell r="AP148">
            <v>0</v>
          </cell>
          <cell r="AQ148">
            <v>4610</v>
          </cell>
          <cell r="AR148">
            <v>4288</v>
          </cell>
          <cell r="AS148">
            <v>3545</v>
          </cell>
          <cell r="AT148">
            <v>3464</v>
          </cell>
          <cell r="AU148">
            <v>3405</v>
          </cell>
          <cell r="AV148">
            <v>3181</v>
          </cell>
          <cell r="AW148">
            <v>2576</v>
          </cell>
          <cell r="AX148">
            <v>1972</v>
          </cell>
          <cell r="AY148">
            <v>0</v>
          </cell>
          <cell r="AZ148">
            <v>0</v>
          </cell>
          <cell r="BA148">
            <v>0</v>
          </cell>
          <cell r="BB148">
            <v>0</v>
          </cell>
          <cell r="BC148">
            <v>0</v>
          </cell>
          <cell r="BD148">
            <v>0</v>
          </cell>
          <cell r="BE148">
            <v>0</v>
          </cell>
          <cell r="BF148">
            <v>0</v>
          </cell>
          <cell r="BH148">
            <v>1986025</v>
          </cell>
          <cell r="BI148">
            <v>2011516</v>
          </cell>
          <cell r="BJ148">
            <v>2048110</v>
          </cell>
          <cell r="BK148">
            <v>2079514</v>
          </cell>
          <cell r="BL148">
            <v>2083016</v>
          </cell>
          <cell r="BM148">
            <v>2069279</v>
          </cell>
          <cell r="BN148">
            <v>2069365</v>
          </cell>
          <cell r="BO148">
            <v>2067084</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SCH K-1"/>
      <sheetName val="FUNCTIONS"/>
      <sheetName val="UNBUNDLED"/>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SUB &amp; CCT LOADS (S&amp;CL)"/>
      <sheetName val="1CP A&amp;E (CAP1SY)"/>
      <sheetName val="12CP-4CP (CAP3SY)"/>
      <sheetName val="12CP-4CP (SPPCAP)"/>
      <sheetName val="NCP (CAP6OS)"/>
      <sheetName val="NCP (CAP7OS)"/>
      <sheetName val="ENERGY+LOSSES (ENR)"/>
      <sheetName val="SYS PEAK ADJ (SYSA)"/>
      <sheetName val="COINCIDENT PEAKS (CP)"/>
      <sheetName val="NON-COINCIDENT PEAKS (NCP)"/>
      <sheetName val="FUEL &amp; P.PWR"/>
      <sheetName val="CUS(X)OS"/>
      <sheetName val="CUS(X)AS"/>
      <sheetName val="REVENUES"/>
      <sheetName val="BADDEBT"/>
      <sheetName val="DEPOSITS"/>
      <sheetName val="PrtPgDialog"/>
      <sheetName val="PrtSumDialog"/>
      <sheetName val="UtilitiesDialog"/>
      <sheetName val="FCDialog"/>
      <sheetName val="FCPrint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Input, MRV calc-North"/>
      <sheetName val="Dec terms - pd in Jan - North"/>
      <sheetName val="Assets-Input, MRV calc-South CB"/>
      <sheetName val="Assets-Input,MRV calc-South SPS"/>
      <sheetName val="Assets-Input,MRV calc-South PSC"/>
      <sheetName val="Assets-rollforward"/>
      <sheetName val="Assets-2003"/>
      <sheetName val="Liabilities - Input - North"/>
      <sheetName val="Liabilities-round-North"/>
      <sheetName val="Liabilities-roll &amp; load-North"/>
      <sheetName val="Liabilities-proj2003-North"/>
      <sheetName val="Liabilities"/>
      <sheetName val="Liabilities - Input - South"/>
      <sheetName val="Liabilities-round-South"/>
      <sheetName val="Liabilities-roll &amp; load-South"/>
      <sheetName val="Liabilities-proj2003-South"/>
      <sheetName val="PSC Detail - North"/>
      <sheetName val="PSC Detail - North 2003"/>
      <sheetName val="PSC Summary - North"/>
      <sheetName val="Adjustments"/>
      <sheetName val="prior-year-disclosure"/>
      <sheetName val="Pass 1"/>
      <sheetName val="Pass 2"/>
      <sheetName val="Pass 3"/>
      <sheetName val="Pass 4"/>
      <sheetName val="Pass 5"/>
      <sheetName val="Pass 6"/>
      <sheetName val="Pass 7"/>
      <sheetName val="Pass 8"/>
      <sheetName val="Estimated Disclosure"/>
      <sheetName val="Actual Disclosure"/>
      <sheetName val="Estimated Disclosure 2002"/>
      <sheetName val="Next Year Forecast - Rate 1"/>
      <sheetName val="Next Year Forecast - 7.25%"/>
      <sheetName val="2003 estimates "/>
      <sheetName val="Next Year Forecast - Rate 2"/>
      <sheetName val="2003 estimates with plan change"/>
      <sheetName val="Next Year Forecast - Rate 3"/>
      <sheetName val="Next Year Forecast - Rate 4"/>
      <sheetName val="Reconciliation"/>
      <sheetName val="Notes on Results"/>
      <sheetName val="Summary for Xcel"/>
      <sheetName val="Exhibit Ia"/>
      <sheetName val="Exhibit Ib"/>
      <sheetName val="Table 1a"/>
      <sheetName val="Table 1b"/>
      <sheetName val="Table 1c"/>
      <sheetName val="NRG-2a"/>
      <sheetName val="NRG-2b"/>
      <sheetName val="NRG-2c"/>
      <sheetName val="Table 12a"/>
      <sheetName val="Table 12b"/>
      <sheetName val="Table 12c"/>
      <sheetName val="SPS TX Oth Prod 1032 12 31 2008"/>
    </sheetNames>
    <sheetDataSet>
      <sheetData sheetId="0"/>
      <sheetData sheetId="1"/>
      <sheetData sheetId="2"/>
      <sheetData sheetId="3"/>
      <sheetData sheetId="4"/>
      <sheetData sheetId="5"/>
      <sheetData sheetId="6"/>
      <sheetData sheetId="7" refreshError="1">
        <row r="5">
          <cell r="C5">
            <v>36892</v>
          </cell>
        </row>
        <row r="6">
          <cell r="C6">
            <v>7</v>
          </cell>
        </row>
        <row r="100">
          <cell r="E100">
            <v>9.5000000000000001E-2</v>
          </cell>
        </row>
      </sheetData>
      <sheetData sheetId="8"/>
      <sheetData sheetId="9" refreshError="1">
        <row r="34">
          <cell r="D34">
            <v>7.2499999999999995E-2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ment Exh A"/>
      <sheetName val="Reconc Factors"/>
      <sheetName val="Inputs"/>
      <sheetName val="Index"/>
      <sheetName val="Return"/>
      <sheetName val="RB"/>
      <sheetName val="Plant"/>
      <sheetName val="PTY Add"/>
      <sheetName val="Future Pay"/>
      <sheetName val="Vehicle Alloc"/>
      <sheetName val="Cap Legal"/>
      <sheetName val="Acc Depr"/>
      <sheetName val="CIAC"/>
      <sheetName val="CIAC Neuse Colony"/>
      <sheetName val="Acq Adj"/>
      <sheetName val="AIA"/>
      <sheetName val="Advances"/>
      <sheetName val="Excess Cap"/>
      <sheetName val="Ex Cap Net Plant"/>
      <sheetName val="CWC"/>
      <sheetName val="NOI"/>
      <sheetName val="NOI Notes"/>
      <sheetName val="Misc Rev"/>
      <sheetName val="Gain"/>
      <sheetName val="Transp"/>
      <sheetName val="Legal"/>
      <sheetName val="Contract Svc Other"/>
      <sheetName val="Insurance"/>
      <sheetName val="Ins Costs"/>
      <sheetName val="Ins Factors"/>
      <sheetName val="Ins Claims"/>
      <sheetName val="Factors for Ins-do not print"/>
      <sheetName val="Rate Case"/>
      <sheetName val="Annual &amp; Cons"/>
      <sheetName val="Ann &amp; Cons Factors"/>
      <sheetName val="Annual Sewer"/>
      <sheetName val="Depr"/>
      <sheetName val="Prop Tax"/>
      <sheetName val="Reg Fee"/>
      <sheetName val="Taxes"/>
      <sheetName val="Factors"/>
      <sheetName val="Recon WP"/>
      <sheetName val="Rev Rqmt"/>
      <sheetName val="Rev Recon"/>
      <sheetName val="PS Adj WP"/>
    </sheetNames>
    <sheetDataSet>
      <sheetData sheetId="0"/>
      <sheetData sheetId="1"/>
      <sheetData sheetId="2">
        <row r="2">
          <cell r="K2" t="str">
            <v>Cooper Exhibit I</v>
          </cell>
        </row>
        <row r="3">
          <cell r="K3" t="str">
            <v>Docket No. W-218, Sub 497</v>
          </cell>
        </row>
        <row r="5">
          <cell r="K5" t="str">
            <v>Public Staff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AdjToCo"/>
      <sheetName val="Meters"/>
      <sheetName val="Summary"/>
      <sheetName val="OffFurn&amp;Equip"/>
      <sheetName val="Services"/>
      <sheetName val="Hydrants"/>
      <sheetName val="Transp"/>
      <sheetName val="Mains"/>
      <sheetName val="DistRes"/>
      <sheetName val="WtrTrPlant"/>
      <sheetName val="DEPRSch-AdjustedtoCoAmounts"/>
      <sheetName val="DEPRSch-Using1983StaffRp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E5" t="str">
            <v>A1</v>
          </cell>
          <cell r="F5">
            <v>15</v>
          </cell>
        </row>
        <row r="6">
          <cell r="E6" t="str">
            <v>A2</v>
          </cell>
          <cell r="F6">
            <v>14</v>
          </cell>
        </row>
        <row r="7">
          <cell r="E7" t="str">
            <v>A3</v>
          </cell>
          <cell r="F7">
            <v>13</v>
          </cell>
        </row>
        <row r="8">
          <cell r="E8" t="str">
            <v>Aa1</v>
          </cell>
          <cell r="F8">
            <v>18</v>
          </cell>
        </row>
        <row r="9">
          <cell r="E9" t="str">
            <v>Aa2</v>
          </cell>
          <cell r="F9">
            <v>17</v>
          </cell>
        </row>
        <row r="10">
          <cell r="E10" t="str">
            <v>Aa3</v>
          </cell>
          <cell r="F10">
            <v>16</v>
          </cell>
        </row>
        <row r="11">
          <cell r="E11" t="str">
            <v>Aaa</v>
          </cell>
          <cell r="F11">
            <v>19</v>
          </cell>
        </row>
        <row r="12">
          <cell r="E12" t="str">
            <v>B1</v>
          </cell>
          <cell r="F12">
            <v>6</v>
          </cell>
        </row>
        <row r="13">
          <cell r="E13" t="str">
            <v>B2</v>
          </cell>
          <cell r="F13">
            <v>5</v>
          </cell>
        </row>
        <row r="14">
          <cell r="E14" t="str">
            <v>B3</v>
          </cell>
          <cell r="F14">
            <v>4</v>
          </cell>
        </row>
        <row r="15">
          <cell r="E15" t="str">
            <v>Ba1</v>
          </cell>
          <cell r="F15">
            <v>9</v>
          </cell>
        </row>
        <row r="16">
          <cell r="E16" t="str">
            <v>Ba2</v>
          </cell>
          <cell r="F16">
            <v>8</v>
          </cell>
        </row>
        <row r="17">
          <cell r="E17" t="str">
            <v>Ba3</v>
          </cell>
          <cell r="F17">
            <v>7</v>
          </cell>
        </row>
        <row r="18">
          <cell r="E18" t="str">
            <v>Baa1</v>
          </cell>
          <cell r="F18">
            <v>12</v>
          </cell>
        </row>
        <row r="19">
          <cell r="E19" t="str">
            <v>Baa2</v>
          </cell>
          <cell r="F19">
            <v>11</v>
          </cell>
        </row>
        <row r="20">
          <cell r="E20" t="str">
            <v>Baa3</v>
          </cell>
          <cell r="F20">
            <v>10</v>
          </cell>
        </row>
        <row r="21">
          <cell r="E21" t="str">
            <v>C</v>
          </cell>
          <cell r="F21">
            <v>1</v>
          </cell>
        </row>
        <row r="22">
          <cell r="E22" t="str">
            <v>Ca</v>
          </cell>
          <cell r="F22">
            <v>2</v>
          </cell>
        </row>
        <row r="23">
          <cell r="E23" t="str">
            <v>Caa</v>
          </cell>
          <cell r="F23">
            <v>3</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Data"/>
      <sheetName val="Moody's Bond Yield Data"/>
      <sheetName val="Cover"/>
      <sheetName val="List"/>
      <sheetName val="Discount Rate"/>
      <sheetName val="Prime Rate"/>
      <sheetName val="Inflation"/>
      <sheetName val="Moody's"/>
      <sheetName val="30 Yr. Bonds"/>
      <sheetName val="Discount Chart"/>
      <sheetName val="Inflation Chart"/>
      <sheetName val="Moody's T-Bond Chart"/>
      <sheetName val="Moody's Spread Chart"/>
      <sheetName val="Moody's Baa Bond Yields Chart"/>
      <sheetName val="Econ Est &amp; Proj"/>
      <sheetName val="Hist. Cap Stru Atmos"/>
      <sheetName val="Ratios"/>
      <sheetName val="Cap. Struct."/>
      <sheetName val="LTD Rate"/>
      <sheetName val="STD Rate"/>
      <sheetName val="Comp. Co Criteria"/>
      <sheetName val="Ticker - Distr."/>
      <sheetName val="10-yr. Historical Growth"/>
      <sheetName val="5-yr. historical growth"/>
      <sheetName val="Avg 5-year and 10-year"/>
      <sheetName val="Comparable Projected Growth"/>
      <sheetName val="Comparable Stock Prices"/>
      <sheetName val="Comp DCF"/>
      <sheetName val="Comp CAPM"/>
      <sheetName val="Comp. Ratios"/>
      <sheetName val="RR"/>
      <sheetName val="WACC"/>
    </sheetNames>
    <sheetDataSet>
      <sheetData sheetId="0">
        <row r="30">
          <cell r="B30" t="str">
            <v>82</v>
          </cell>
          <cell r="C30">
            <v>14.22</v>
          </cell>
          <cell r="E30">
            <v>16.73</v>
          </cell>
          <cell r="I30">
            <v>8.4</v>
          </cell>
          <cell r="K30">
            <v>12</v>
          </cell>
          <cell r="O30">
            <v>2.5099999999999998</v>
          </cell>
          <cell r="P30">
            <v>1.5240553745928338</v>
          </cell>
        </row>
        <row r="31">
          <cell r="C31">
            <v>14.22</v>
          </cell>
          <cell r="E31">
            <v>16.72</v>
          </cell>
          <cell r="I31">
            <v>7.6</v>
          </cell>
          <cell r="K31">
            <v>12</v>
          </cell>
          <cell r="O31">
            <v>2.4999999999999982</v>
          </cell>
          <cell r="P31">
            <v>1.5240553745928338</v>
          </cell>
        </row>
        <row r="32">
          <cell r="C32">
            <v>13.53</v>
          </cell>
          <cell r="E32">
            <v>16.07</v>
          </cell>
          <cell r="I32">
            <v>6.8</v>
          </cell>
          <cell r="K32">
            <v>12</v>
          </cell>
          <cell r="O32">
            <v>2.5400000000000009</v>
          </cell>
          <cell r="P32">
            <v>1.5240553745928338</v>
          </cell>
        </row>
        <row r="33">
          <cell r="C33">
            <v>13.37</v>
          </cell>
          <cell r="E33">
            <v>15.82</v>
          </cell>
          <cell r="I33">
            <v>6.5</v>
          </cell>
          <cell r="K33">
            <v>12</v>
          </cell>
          <cell r="O33">
            <v>2.4500000000000011</v>
          </cell>
          <cell r="P33">
            <v>1.5240553745928338</v>
          </cell>
        </row>
        <row r="34">
          <cell r="C34">
            <v>13.24</v>
          </cell>
          <cell r="E34">
            <v>15.6</v>
          </cell>
          <cell r="I34">
            <v>6.7</v>
          </cell>
          <cell r="K34">
            <v>12</v>
          </cell>
          <cell r="O34">
            <v>2.3599999999999994</v>
          </cell>
          <cell r="P34">
            <v>1.5240553745928338</v>
          </cell>
        </row>
        <row r="35">
          <cell r="C35">
            <v>13.92</v>
          </cell>
          <cell r="E35">
            <v>16.18</v>
          </cell>
          <cell r="I35">
            <v>7.1</v>
          </cell>
          <cell r="K35">
            <v>12</v>
          </cell>
          <cell r="O35">
            <v>2.2599999999999998</v>
          </cell>
          <cell r="P35">
            <v>1.5240553745928338</v>
          </cell>
        </row>
        <row r="36">
          <cell r="C36">
            <v>13.55</v>
          </cell>
          <cell r="E36">
            <v>16.04</v>
          </cell>
          <cell r="I36">
            <v>6.4</v>
          </cell>
          <cell r="K36">
            <v>11</v>
          </cell>
          <cell r="O36">
            <v>2.4899999999999984</v>
          </cell>
          <cell r="P36">
            <v>1.5240553745928338</v>
          </cell>
        </row>
        <row r="37">
          <cell r="C37">
            <v>12.77</v>
          </cell>
          <cell r="E37">
            <v>15.22</v>
          </cell>
          <cell r="I37">
            <v>5.9</v>
          </cell>
          <cell r="K37">
            <v>10</v>
          </cell>
          <cell r="O37">
            <v>2.4500000000000011</v>
          </cell>
          <cell r="P37">
            <v>1.5240553745928338</v>
          </cell>
        </row>
        <row r="38">
          <cell r="C38">
            <v>12.07</v>
          </cell>
          <cell r="E38">
            <v>14.56</v>
          </cell>
          <cell r="I38">
            <v>5</v>
          </cell>
          <cell r="K38">
            <v>9.5</v>
          </cell>
          <cell r="O38">
            <v>2.4900000000000002</v>
          </cell>
          <cell r="P38">
            <v>1.5240553745928338</v>
          </cell>
        </row>
        <row r="39">
          <cell r="C39">
            <v>11.17</v>
          </cell>
          <cell r="E39">
            <v>13.88</v>
          </cell>
          <cell r="I39">
            <v>5.0999999999999996</v>
          </cell>
          <cell r="K39">
            <v>9</v>
          </cell>
          <cell r="O39">
            <v>2.7100000000000009</v>
          </cell>
          <cell r="P39">
            <v>1.5240553745928338</v>
          </cell>
        </row>
        <row r="40">
          <cell r="C40">
            <v>10.54</v>
          </cell>
          <cell r="E40">
            <v>13.58</v>
          </cell>
          <cell r="I40">
            <v>4.5999999999999996</v>
          </cell>
          <cell r="K40">
            <v>9</v>
          </cell>
          <cell r="O40">
            <v>3.0400000000000009</v>
          </cell>
          <cell r="P40">
            <v>1.5240553745928338</v>
          </cell>
        </row>
        <row r="41">
          <cell r="C41">
            <v>10.54</v>
          </cell>
          <cell r="E41">
            <v>13.55</v>
          </cell>
          <cell r="I41">
            <v>3.8</v>
          </cell>
          <cell r="K41">
            <v>8.5</v>
          </cell>
          <cell r="O41">
            <v>3.0100000000000016</v>
          </cell>
          <cell r="P41">
            <v>1.5240553745928338</v>
          </cell>
        </row>
        <row r="42">
          <cell r="B42" t="str">
            <v>83</v>
          </cell>
          <cell r="C42">
            <v>10.63</v>
          </cell>
          <cell r="E42">
            <v>13.46</v>
          </cell>
          <cell r="I42">
            <v>3.7</v>
          </cell>
          <cell r="K42">
            <v>8.5</v>
          </cell>
          <cell r="O42">
            <v>2.83</v>
          </cell>
          <cell r="P42">
            <v>1.5240553745928338</v>
          </cell>
        </row>
        <row r="43">
          <cell r="C43">
            <v>10.88</v>
          </cell>
          <cell r="E43">
            <v>13.6</v>
          </cell>
          <cell r="I43">
            <v>3.5</v>
          </cell>
          <cell r="K43">
            <v>8.5</v>
          </cell>
          <cell r="O43">
            <v>2.7199999999999989</v>
          </cell>
          <cell r="P43">
            <v>1.5240553745928338</v>
          </cell>
        </row>
        <row r="44">
          <cell r="C44">
            <v>10.63</v>
          </cell>
          <cell r="E44">
            <v>13.28</v>
          </cell>
          <cell r="I44">
            <v>3.6</v>
          </cell>
          <cell r="K44">
            <v>8.5</v>
          </cell>
          <cell r="O44">
            <v>2.6499999999999986</v>
          </cell>
          <cell r="P44">
            <v>1.5240553745928338</v>
          </cell>
        </row>
        <row r="45">
          <cell r="C45">
            <v>10.48</v>
          </cell>
          <cell r="E45">
            <v>13.03</v>
          </cell>
          <cell r="I45">
            <v>3.9</v>
          </cell>
          <cell r="K45">
            <v>8.5</v>
          </cell>
          <cell r="O45">
            <v>2.5499999999999989</v>
          </cell>
          <cell r="P45">
            <v>1.5240553745928338</v>
          </cell>
        </row>
        <row r="46">
          <cell r="C46">
            <v>10.53</v>
          </cell>
          <cell r="E46">
            <v>13</v>
          </cell>
          <cell r="I46">
            <v>3.5</v>
          </cell>
          <cell r="K46">
            <v>8.5</v>
          </cell>
          <cell r="O46">
            <v>2.4700000000000006</v>
          </cell>
          <cell r="P46">
            <v>1.5240553745928338</v>
          </cell>
        </row>
        <row r="47">
          <cell r="C47">
            <v>10.93</v>
          </cell>
          <cell r="E47">
            <v>13.17</v>
          </cell>
          <cell r="I47">
            <v>2.6</v>
          </cell>
          <cell r="K47">
            <v>8.5</v>
          </cell>
          <cell r="O47">
            <v>2.2400000000000002</v>
          </cell>
          <cell r="P47">
            <v>1.5240553745928338</v>
          </cell>
        </row>
        <row r="48">
          <cell r="C48">
            <v>11.4</v>
          </cell>
          <cell r="E48">
            <v>13.28</v>
          </cell>
          <cell r="I48">
            <v>2.5</v>
          </cell>
          <cell r="K48">
            <v>8.5</v>
          </cell>
          <cell r="O48">
            <v>1.879999999999999</v>
          </cell>
          <cell r="P48">
            <v>1.5240553745928338</v>
          </cell>
        </row>
        <row r="49">
          <cell r="C49">
            <v>11.82</v>
          </cell>
          <cell r="E49">
            <v>13.5</v>
          </cell>
          <cell r="I49">
            <v>2.6</v>
          </cell>
          <cell r="K49">
            <v>8.5</v>
          </cell>
          <cell r="O49">
            <v>1.6799999999999997</v>
          </cell>
          <cell r="P49">
            <v>1.5240553745928338</v>
          </cell>
        </row>
        <row r="50">
          <cell r="C50">
            <v>11.63</v>
          </cell>
          <cell r="E50">
            <v>13.35</v>
          </cell>
          <cell r="I50">
            <v>2.9</v>
          </cell>
          <cell r="K50">
            <v>8.5</v>
          </cell>
          <cell r="O50">
            <v>1.7199999999999989</v>
          </cell>
          <cell r="P50">
            <v>1.5240553745928338</v>
          </cell>
        </row>
        <row r="51">
          <cell r="C51">
            <v>11.58</v>
          </cell>
          <cell r="E51">
            <v>13.19</v>
          </cell>
          <cell r="I51">
            <v>2.9</v>
          </cell>
          <cell r="K51">
            <v>8.5</v>
          </cell>
          <cell r="O51">
            <v>1.6099999999999994</v>
          </cell>
          <cell r="P51">
            <v>1.5240553745928338</v>
          </cell>
        </row>
        <row r="52">
          <cell r="C52">
            <v>11.75</v>
          </cell>
          <cell r="E52">
            <v>13.33</v>
          </cell>
          <cell r="I52">
            <v>3.3</v>
          </cell>
          <cell r="K52">
            <v>8.5</v>
          </cell>
          <cell r="O52">
            <v>1.58</v>
          </cell>
          <cell r="P52">
            <v>1.5240553745928338</v>
          </cell>
        </row>
        <row r="53">
          <cell r="C53">
            <v>11.88</v>
          </cell>
          <cell r="E53">
            <v>13.48</v>
          </cell>
          <cell r="I53">
            <v>3.8</v>
          </cell>
          <cell r="K53">
            <v>8.5</v>
          </cell>
          <cell r="O53">
            <v>1.5999999999999996</v>
          </cell>
          <cell r="P53">
            <v>1.5240553745928338</v>
          </cell>
        </row>
        <row r="54">
          <cell r="B54" t="str">
            <v>84</v>
          </cell>
          <cell r="C54">
            <v>11.75</v>
          </cell>
          <cell r="E54">
            <v>13.4</v>
          </cell>
          <cell r="I54">
            <v>4.2</v>
          </cell>
          <cell r="K54">
            <v>8.5</v>
          </cell>
          <cell r="O54">
            <v>1.6500000000000004</v>
          </cell>
          <cell r="P54">
            <v>1.5240553745928338</v>
          </cell>
        </row>
        <row r="55">
          <cell r="C55">
            <v>11.95</v>
          </cell>
          <cell r="E55">
            <v>13.5</v>
          </cell>
          <cell r="I55">
            <v>4.5999999999999996</v>
          </cell>
          <cell r="K55">
            <v>8.5</v>
          </cell>
          <cell r="O55">
            <v>1.5500000000000007</v>
          </cell>
          <cell r="P55">
            <v>1.5240553745928338</v>
          </cell>
        </row>
        <row r="56">
          <cell r="C56">
            <v>12.38</v>
          </cell>
          <cell r="E56">
            <v>14.03</v>
          </cell>
          <cell r="I56">
            <v>4.8</v>
          </cell>
          <cell r="K56">
            <v>8.5</v>
          </cell>
          <cell r="O56">
            <v>1.6499999999999986</v>
          </cell>
          <cell r="P56">
            <v>1.5240553745928338</v>
          </cell>
        </row>
        <row r="57">
          <cell r="C57">
            <v>12.65</v>
          </cell>
          <cell r="E57">
            <v>14.3</v>
          </cell>
          <cell r="I57">
            <v>4.5999999999999996</v>
          </cell>
          <cell r="K57">
            <v>9</v>
          </cell>
          <cell r="O57">
            <v>1.6500000000000004</v>
          </cell>
          <cell r="P57">
            <v>1.5240553745928338</v>
          </cell>
        </row>
        <row r="58">
          <cell r="C58">
            <v>13.43</v>
          </cell>
          <cell r="E58">
            <v>14.95</v>
          </cell>
          <cell r="I58">
            <v>4.2</v>
          </cell>
          <cell r="K58">
            <v>9</v>
          </cell>
          <cell r="O58">
            <v>1.5199999999999996</v>
          </cell>
          <cell r="P58">
            <v>1.5240553745928338</v>
          </cell>
        </row>
        <row r="59">
          <cell r="C59">
            <v>13.44</v>
          </cell>
          <cell r="E59">
            <v>15.16</v>
          </cell>
          <cell r="I59">
            <v>4.2</v>
          </cell>
          <cell r="K59">
            <v>9</v>
          </cell>
          <cell r="O59">
            <v>1.7200000000000006</v>
          </cell>
          <cell r="P59">
            <v>1.5240553745928338</v>
          </cell>
        </row>
        <row r="60">
          <cell r="C60">
            <v>13.21</v>
          </cell>
          <cell r="E60">
            <v>14.92</v>
          </cell>
          <cell r="I60">
            <v>4.2</v>
          </cell>
          <cell r="K60">
            <v>9</v>
          </cell>
          <cell r="O60">
            <v>1.7099999999999991</v>
          </cell>
          <cell r="P60">
            <v>1.5240553745928338</v>
          </cell>
        </row>
        <row r="61">
          <cell r="C61">
            <v>12.54</v>
          </cell>
          <cell r="E61">
            <v>14.29</v>
          </cell>
          <cell r="I61">
            <v>4.3</v>
          </cell>
          <cell r="K61">
            <v>9</v>
          </cell>
          <cell r="O61">
            <v>1.75</v>
          </cell>
          <cell r="P61">
            <v>1.5240553745928338</v>
          </cell>
        </row>
        <row r="62">
          <cell r="C62">
            <v>12.29</v>
          </cell>
          <cell r="E62">
            <v>14.04</v>
          </cell>
          <cell r="I62">
            <v>4.3</v>
          </cell>
          <cell r="K62">
            <v>9</v>
          </cell>
          <cell r="O62">
            <v>1.75</v>
          </cell>
          <cell r="P62">
            <v>1.5240553745928338</v>
          </cell>
        </row>
        <row r="63">
          <cell r="C63">
            <v>11.98</v>
          </cell>
          <cell r="E63">
            <v>13.68</v>
          </cell>
          <cell r="I63">
            <v>4.3</v>
          </cell>
          <cell r="K63">
            <v>9</v>
          </cell>
          <cell r="O63">
            <v>1.6999999999999993</v>
          </cell>
          <cell r="P63">
            <v>1.5240553745928338</v>
          </cell>
        </row>
        <row r="64">
          <cell r="C64">
            <v>11.56</v>
          </cell>
          <cell r="E64">
            <v>13.15</v>
          </cell>
          <cell r="I64">
            <v>4.0999999999999996</v>
          </cell>
          <cell r="K64">
            <v>8.5</v>
          </cell>
          <cell r="O64">
            <v>1.5899999999999999</v>
          </cell>
          <cell r="P64">
            <v>1.5240553745928338</v>
          </cell>
        </row>
        <row r="65">
          <cell r="C65">
            <v>11.52</v>
          </cell>
          <cell r="E65">
            <v>12.96</v>
          </cell>
          <cell r="I65">
            <v>3.9</v>
          </cell>
          <cell r="K65">
            <v>8</v>
          </cell>
          <cell r="O65">
            <v>1.4400000000000013</v>
          </cell>
          <cell r="P65">
            <v>1.5240553745928338</v>
          </cell>
        </row>
        <row r="66">
          <cell r="B66" t="str">
            <v>85</v>
          </cell>
          <cell r="C66">
            <v>11.45</v>
          </cell>
          <cell r="E66">
            <v>12.88</v>
          </cell>
          <cell r="I66">
            <v>3.5</v>
          </cell>
          <cell r="K66">
            <v>8</v>
          </cell>
          <cell r="O66">
            <v>1.4300000000000015</v>
          </cell>
          <cell r="P66">
            <v>1.5240553745928338</v>
          </cell>
        </row>
        <row r="67">
          <cell r="C67">
            <v>11.47</v>
          </cell>
          <cell r="E67">
            <v>13</v>
          </cell>
          <cell r="I67">
            <v>3.5</v>
          </cell>
          <cell r="K67">
            <v>8</v>
          </cell>
          <cell r="O67">
            <v>1.5299999999999994</v>
          </cell>
          <cell r="P67">
            <v>1.5240553745928338</v>
          </cell>
        </row>
        <row r="68">
          <cell r="C68">
            <v>11.81</v>
          </cell>
          <cell r="E68">
            <v>13.66</v>
          </cell>
          <cell r="I68">
            <v>3.7</v>
          </cell>
          <cell r="K68">
            <v>8</v>
          </cell>
          <cell r="O68">
            <v>1.8499999999999996</v>
          </cell>
          <cell r="P68">
            <v>1.5240553745928338</v>
          </cell>
        </row>
        <row r="69">
          <cell r="C69">
            <v>11.47</v>
          </cell>
          <cell r="E69">
            <v>13.42</v>
          </cell>
          <cell r="I69">
            <v>3.7</v>
          </cell>
          <cell r="K69">
            <v>8</v>
          </cell>
          <cell r="O69">
            <v>1.9499999999999993</v>
          </cell>
          <cell r="P69">
            <v>1.5240553745928338</v>
          </cell>
        </row>
        <row r="70">
          <cell r="C70">
            <v>11.05</v>
          </cell>
          <cell r="E70">
            <v>12.89</v>
          </cell>
          <cell r="I70">
            <v>3.8</v>
          </cell>
          <cell r="K70">
            <v>7.5</v>
          </cell>
          <cell r="O70">
            <v>1.8399999999999999</v>
          </cell>
          <cell r="P70">
            <v>1.5240553745928338</v>
          </cell>
        </row>
        <row r="71">
          <cell r="C71">
            <v>10.44</v>
          </cell>
          <cell r="E71">
            <v>11.91</v>
          </cell>
          <cell r="I71">
            <v>3.8</v>
          </cell>
          <cell r="K71">
            <v>7.5</v>
          </cell>
          <cell r="O71">
            <v>1.4700000000000006</v>
          </cell>
          <cell r="P71">
            <v>1.5240553745928338</v>
          </cell>
        </row>
        <row r="72">
          <cell r="C72">
            <v>10.5</v>
          </cell>
          <cell r="E72">
            <v>11.88</v>
          </cell>
          <cell r="I72">
            <v>3.6</v>
          </cell>
          <cell r="K72">
            <v>7.5</v>
          </cell>
          <cell r="O72">
            <v>1.3800000000000008</v>
          </cell>
          <cell r="P72">
            <v>1.5240553745928338</v>
          </cell>
        </row>
        <row r="73">
          <cell r="C73">
            <v>10.56</v>
          </cell>
          <cell r="E73">
            <v>11.93</v>
          </cell>
          <cell r="I73">
            <v>3.3</v>
          </cell>
          <cell r="K73">
            <v>7.5</v>
          </cell>
          <cell r="O73">
            <v>1.3699999999999992</v>
          </cell>
          <cell r="P73">
            <v>1.5240553745928338</v>
          </cell>
        </row>
        <row r="74">
          <cell r="C74">
            <v>10.61</v>
          </cell>
          <cell r="E74">
            <v>11.95</v>
          </cell>
          <cell r="I74">
            <v>3.1</v>
          </cell>
          <cell r="K74">
            <v>7.5</v>
          </cell>
          <cell r="O74">
            <v>1.3399999999999999</v>
          </cell>
          <cell r="P74">
            <v>1.5240553745928338</v>
          </cell>
        </row>
        <row r="75">
          <cell r="C75">
            <v>10.5</v>
          </cell>
          <cell r="E75">
            <v>11.84</v>
          </cell>
          <cell r="I75">
            <v>3.2</v>
          </cell>
          <cell r="K75">
            <v>7.5</v>
          </cell>
          <cell r="O75">
            <v>1.3399999999999999</v>
          </cell>
          <cell r="P75">
            <v>1.5240553745928338</v>
          </cell>
        </row>
        <row r="76">
          <cell r="C76">
            <v>10.06</v>
          </cell>
          <cell r="E76">
            <v>11.33</v>
          </cell>
          <cell r="I76">
            <v>3.5</v>
          </cell>
          <cell r="K76">
            <v>7.5</v>
          </cell>
          <cell r="O76">
            <v>1.2699999999999996</v>
          </cell>
          <cell r="P76">
            <v>1.5240553745928338</v>
          </cell>
        </row>
        <row r="77">
          <cell r="C77">
            <v>9.5399999999999991</v>
          </cell>
          <cell r="E77">
            <v>10.82</v>
          </cell>
          <cell r="I77">
            <v>3.8</v>
          </cell>
          <cell r="K77">
            <v>7.5</v>
          </cell>
          <cell r="O77">
            <v>1.2800000000000011</v>
          </cell>
          <cell r="P77">
            <v>1.5240553745928338</v>
          </cell>
        </row>
        <row r="78">
          <cell r="B78" t="str">
            <v>86</v>
          </cell>
          <cell r="C78">
            <v>9.4</v>
          </cell>
          <cell r="E78">
            <v>10.66</v>
          </cell>
          <cell r="I78">
            <v>3.9</v>
          </cell>
          <cell r="K78">
            <v>7.5</v>
          </cell>
          <cell r="O78">
            <v>1.2599999999999998</v>
          </cell>
          <cell r="P78">
            <v>1.5240553745928338</v>
          </cell>
        </row>
        <row r="79">
          <cell r="C79">
            <v>8.93</v>
          </cell>
          <cell r="E79">
            <v>10.16</v>
          </cell>
          <cell r="I79">
            <v>3.1</v>
          </cell>
          <cell r="K79">
            <v>7.5</v>
          </cell>
          <cell r="O79">
            <v>1.2300000000000004</v>
          </cell>
          <cell r="P79">
            <v>1.5240553745928338</v>
          </cell>
        </row>
        <row r="80">
          <cell r="C80">
            <v>7.96</v>
          </cell>
          <cell r="E80">
            <v>9.33</v>
          </cell>
          <cell r="I80">
            <v>2.2999999999999998</v>
          </cell>
          <cell r="K80">
            <v>7</v>
          </cell>
          <cell r="O80">
            <v>1.37</v>
          </cell>
          <cell r="P80">
            <v>1.5240553745928338</v>
          </cell>
        </row>
        <row r="81">
          <cell r="C81">
            <v>7.39</v>
          </cell>
          <cell r="E81">
            <v>9.02</v>
          </cell>
          <cell r="I81">
            <v>1.6</v>
          </cell>
          <cell r="K81">
            <v>6.5</v>
          </cell>
          <cell r="O81">
            <v>1.63</v>
          </cell>
          <cell r="P81">
            <v>1.5240553745928338</v>
          </cell>
        </row>
        <row r="82">
          <cell r="C82">
            <v>7.52</v>
          </cell>
          <cell r="E82">
            <v>9.52</v>
          </cell>
          <cell r="I82">
            <v>1.5</v>
          </cell>
          <cell r="K82">
            <v>6.5</v>
          </cell>
          <cell r="O82">
            <v>2</v>
          </cell>
          <cell r="P82">
            <v>1.5240553745928338</v>
          </cell>
        </row>
        <row r="83">
          <cell r="C83">
            <v>7.57</v>
          </cell>
          <cell r="E83">
            <v>9.51</v>
          </cell>
          <cell r="I83">
            <v>1.8</v>
          </cell>
          <cell r="K83">
            <v>6.5</v>
          </cell>
          <cell r="O83">
            <v>1.9399999999999995</v>
          </cell>
          <cell r="P83">
            <v>1.5240553745928338</v>
          </cell>
        </row>
        <row r="84">
          <cell r="C84">
            <v>7.27</v>
          </cell>
          <cell r="E84">
            <v>9.19</v>
          </cell>
          <cell r="I84">
            <v>1.6</v>
          </cell>
          <cell r="K84">
            <v>6</v>
          </cell>
          <cell r="O84">
            <v>1.92</v>
          </cell>
          <cell r="P84">
            <v>1.5240553745928338</v>
          </cell>
        </row>
        <row r="85">
          <cell r="C85">
            <v>7.33</v>
          </cell>
          <cell r="E85">
            <v>9.15</v>
          </cell>
          <cell r="I85">
            <v>1.6</v>
          </cell>
          <cell r="K85">
            <v>5.5</v>
          </cell>
          <cell r="O85">
            <v>1.8200000000000003</v>
          </cell>
          <cell r="P85">
            <v>1.5240553745928338</v>
          </cell>
        </row>
        <row r="86">
          <cell r="C86">
            <v>7.62</v>
          </cell>
          <cell r="E86">
            <v>9.42</v>
          </cell>
          <cell r="I86">
            <v>1.8</v>
          </cell>
          <cell r="K86">
            <v>5.5</v>
          </cell>
          <cell r="O86">
            <v>1.7999999999999998</v>
          </cell>
          <cell r="P86">
            <v>1.5240553745928338</v>
          </cell>
        </row>
        <row r="87">
          <cell r="C87">
            <v>7.7</v>
          </cell>
          <cell r="E87">
            <v>9.39</v>
          </cell>
          <cell r="I87">
            <v>1.5</v>
          </cell>
          <cell r="K87">
            <v>5.5</v>
          </cell>
          <cell r="O87">
            <v>1.6900000000000004</v>
          </cell>
          <cell r="P87">
            <v>1.5240553745928338</v>
          </cell>
        </row>
        <row r="88">
          <cell r="C88">
            <v>7.52</v>
          </cell>
          <cell r="E88">
            <v>9.15</v>
          </cell>
          <cell r="I88">
            <v>1.3</v>
          </cell>
          <cell r="K88">
            <v>5.5</v>
          </cell>
          <cell r="O88">
            <v>1.6300000000000008</v>
          </cell>
          <cell r="P88">
            <v>1.5240553745928338</v>
          </cell>
        </row>
        <row r="89">
          <cell r="C89">
            <v>7.37</v>
          </cell>
          <cell r="E89">
            <v>8.9600000000000009</v>
          </cell>
          <cell r="I89">
            <v>1.1000000000000001</v>
          </cell>
          <cell r="K89">
            <v>5.5</v>
          </cell>
          <cell r="O89">
            <v>1.5900000000000007</v>
          </cell>
          <cell r="P89">
            <v>1.5240553745928338</v>
          </cell>
        </row>
        <row r="90">
          <cell r="B90">
            <v>87</v>
          </cell>
          <cell r="C90">
            <v>7.39</v>
          </cell>
          <cell r="E90">
            <v>8.77</v>
          </cell>
          <cell r="I90">
            <v>1.5</v>
          </cell>
          <cell r="K90">
            <v>5.5</v>
          </cell>
          <cell r="O90">
            <v>1.38</v>
          </cell>
          <cell r="P90">
            <v>1.5240553745928338</v>
          </cell>
        </row>
        <row r="91">
          <cell r="C91">
            <v>7.54</v>
          </cell>
          <cell r="E91">
            <v>8.81</v>
          </cell>
          <cell r="I91">
            <v>2.1</v>
          </cell>
          <cell r="K91">
            <v>5.5</v>
          </cell>
          <cell r="O91">
            <v>1.2700000000000005</v>
          </cell>
          <cell r="P91">
            <v>1.5240553745928338</v>
          </cell>
        </row>
        <row r="92">
          <cell r="C92">
            <v>7.55</v>
          </cell>
          <cell r="E92">
            <v>8.75</v>
          </cell>
          <cell r="I92">
            <v>3</v>
          </cell>
          <cell r="K92">
            <v>5.5</v>
          </cell>
          <cell r="O92">
            <v>1.2000000000000002</v>
          </cell>
          <cell r="P92">
            <v>1.5240553745928338</v>
          </cell>
        </row>
        <row r="93">
          <cell r="C93">
            <v>8.25</v>
          </cell>
          <cell r="E93">
            <v>9.3000000000000007</v>
          </cell>
          <cell r="I93">
            <v>3.8</v>
          </cell>
          <cell r="K93">
            <v>5.5</v>
          </cell>
          <cell r="O93">
            <v>1.0500000000000007</v>
          </cell>
          <cell r="P93">
            <v>1.5240553745928338</v>
          </cell>
        </row>
        <row r="94">
          <cell r="C94">
            <v>8.7799999999999994</v>
          </cell>
          <cell r="E94">
            <v>9.82</v>
          </cell>
          <cell r="I94">
            <v>3.9</v>
          </cell>
          <cell r="K94">
            <v>5.5</v>
          </cell>
          <cell r="O94">
            <v>1.0400000000000009</v>
          </cell>
          <cell r="P94">
            <v>1.5240553745928338</v>
          </cell>
        </row>
        <row r="95">
          <cell r="C95">
            <v>8.57</v>
          </cell>
          <cell r="E95">
            <v>9.8699999999999992</v>
          </cell>
          <cell r="I95">
            <v>3.7</v>
          </cell>
          <cell r="K95">
            <v>5.5</v>
          </cell>
          <cell r="O95">
            <v>1.2999999999999989</v>
          </cell>
          <cell r="P95">
            <v>1.5240553745928338</v>
          </cell>
        </row>
        <row r="96">
          <cell r="C96">
            <v>8.64</v>
          </cell>
          <cell r="E96">
            <v>10.01</v>
          </cell>
          <cell r="I96">
            <v>3.9</v>
          </cell>
          <cell r="K96">
            <v>5.5</v>
          </cell>
          <cell r="O96">
            <v>1.3699999999999992</v>
          </cell>
          <cell r="P96">
            <v>1.5240553745928338</v>
          </cell>
        </row>
        <row r="97">
          <cell r="C97">
            <v>8.9700000000000006</v>
          </cell>
          <cell r="E97">
            <v>10.33</v>
          </cell>
          <cell r="I97">
            <v>4.3</v>
          </cell>
          <cell r="K97">
            <v>5.5</v>
          </cell>
          <cell r="O97">
            <v>1.3599999999999994</v>
          </cell>
          <cell r="P97">
            <v>1.5240553745928338</v>
          </cell>
        </row>
        <row r="98">
          <cell r="C98">
            <v>9.59</v>
          </cell>
          <cell r="E98">
            <v>11</v>
          </cell>
          <cell r="I98">
            <v>4.4000000000000004</v>
          </cell>
          <cell r="K98">
            <v>6</v>
          </cell>
          <cell r="O98">
            <v>1.4100000000000001</v>
          </cell>
          <cell r="P98">
            <v>1.5240553745928338</v>
          </cell>
        </row>
        <row r="99">
          <cell r="C99">
            <v>9.61</v>
          </cell>
          <cell r="E99">
            <v>11.32</v>
          </cell>
          <cell r="I99">
            <v>4.5</v>
          </cell>
          <cell r="K99">
            <v>6</v>
          </cell>
          <cell r="O99">
            <v>1.7100000000000009</v>
          </cell>
          <cell r="P99">
            <v>1.5240553745928338</v>
          </cell>
        </row>
        <row r="100">
          <cell r="C100">
            <v>8.9499999999999993</v>
          </cell>
          <cell r="E100">
            <v>10.82</v>
          </cell>
          <cell r="I100">
            <v>4.5</v>
          </cell>
          <cell r="K100">
            <v>6</v>
          </cell>
          <cell r="O100">
            <v>1.870000000000001</v>
          </cell>
          <cell r="P100">
            <v>1.5240553745928338</v>
          </cell>
        </row>
        <row r="101">
          <cell r="C101">
            <v>9.1199999999999992</v>
          </cell>
          <cell r="E101">
            <v>10.99</v>
          </cell>
          <cell r="I101">
            <v>4.4000000000000004</v>
          </cell>
          <cell r="K101">
            <v>6</v>
          </cell>
          <cell r="O101">
            <v>1.870000000000001</v>
          </cell>
          <cell r="P101">
            <v>1.5240553745928338</v>
          </cell>
        </row>
        <row r="102">
          <cell r="B102" t="str">
            <v>88</v>
          </cell>
          <cell r="C102">
            <v>8.83</v>
          </cell>
          <cell r="E102">
            <v>10.75</v>
          </cell>
          <cell r="I102">
            <v>4</v>
          </cell>
          <cell r="K102">
            <v>6</v>
          </cell>
          <cell r="O102">
            <v>1.92</v>
          </cell>
          <cell r="P102">
            <v>1.5240553745928338</v>
          </cell>
        </row>
        <row r="103">
          <cell r="C103">
            <v>8.43</v>
          </cell>
          <cell r="E103">
            <v>10.11</v>
          </cell>
          <cell r="I103">
            <v>3.9</v>
          </cell>
          <cell r="K103">
            <v>6</v>
          </cell>
          <cell r="O103">
            <v>1.6799999999999997</v>
          </cell>
          <cell r="P103">
            <v>1.5240553745928338</v>
          </cell>
        </row>
        <row r="104">
          <cell r="C104">
            <v>8.6300000000000008</v>
          </cell>
          <cell r="E104">
            <v>10.11</v>
          </cell>
          <cell r="I104">
            <v>3.9</v>
          </cell>
          <cell r="K104">
            <v>6</v>
          </cell>
          <cell r="O104">
            <v>1.4799999999999986</v>
          </cell>
          <cell r="P104">
            <v>1.5240553745928338</v>
          </cell>
        </row>
        <row r="105">
          <cell r="C105">
            <v>8.9499999999999993</v>
          </cell>
          <cell r="E105">
            <v>10.53</v>
          </cell>
          <cell r="I105">
            <v>3.9</v>
          </cell>
          <cell r="K105">
            <v>6</v>
          </cell>
          <cell r="O105">
            <v>1.58</v>
          </cell>
          <cell r="P105">
            <v>1.5240553745928338</v>
          </cell>
        </row>
        <row r="106">
          <cell r="C106">
            <v>9.23</v>
          </cell>
          <cell r="E106">
            <v>10.75</v>
          </cell>
          <cell r="I106">
            <v>3.9</v>
          </cell>
          <cell r="K106">
            <v>6</v>
          </cell>
          <cell r="O106">
            <v>1.5199999999999996</v>
          </cell>
          <cell r="P106">
            <v>1.5240553745928338</v>
          </cell>
        </row>
        <row r="107">
          <cell r="C107">
            <v>9</v>
          </cell>
          <cell r="E107">
            <v>10.71</v>
          </cell>
          <cell r="I107">
            <v>4</v>
          </cell>
          <cell r="K107">
            <v>6</v>
          </cell>
          <cell r="O107">
            <v>1.7100000000000009</v>
          </cell>
          <cell r="P107">
            <v>1.5240553745928338</v>
          </cell>
        </row>
        <row r="108">
          <cell r="C108">
            <v>9.14</v>
          </cell>
          <cell r="E108">
            <v>10.96</v>
          </cell>
          <cell r="I108">
            <v>4.0999999999999996</v>
          </cell>
          <cell r="K108">
            <v>6</v>
          </cell>
          <cell r="O108">
            <v>1.8200000000000003</v>
          </cell>
          <cell r="P108">
            <v>1.5240553745928338</v>
          </cell>
        </row>
        <row r="109">
          <cell r="C109">
            <v>9.32</v>
          </cell>
          <cell r="E109">
            <v>11.09</v>
          </cell>
          <cell r="I109">
            <v>4</v>
          </cell>
          <cell r="K109">
            <v>6.5</v>
          </cell>
          <cell r="O109">
            <v>1.7699999999999996</v>
          </cell>
          <cell r="P109">
            <v>1.5240553745928338</v>
          </cell>
        </row>
        <row r="110">
          <cell r="C110">
            <v>9.06</v>
          </cell>
          <cell r="E110">
            <v>10.56</v>
          </cell>
          <cell r="I110">
            <v>4.2</v>
          </cell>
          <cell r="K110">
            <v>6.5</v>
          </cell>
          <cell r="O110">
            <v>1.5</v>
          </cell>
          <cell r="P110">
            <v>1.5240553745928338</v>
          </cell>
        </row>
        <row r="111">
          <cell r="C111">
            <v>8.89</v>
          </cell>
          <cell r="E111">
            <v>9.92</v>
          </cell>
          <cell r="I111">
            <v>4.2</v>
          </cell>
          <cell r="K111">
            <v>6.5</v>
          </cell>
          <cell r="O111">
            <v>1.0299999999999994</v>
          </cell>
          <cell r="P111">
            <v>1.5240553745928338</v>
          </cell>
        </row>
        <row r="112">
          <cell r="C112">
            <v>9.02</v>
          </cell>
          <cell r="E112">
            <v>9.89</v>
          </cell>
          <cell r="I112">
            <v>4.2</v>
          </cell>
          <cell r="K112">
            <v>6.5</v>
          </cell>
          <cell r="O112">
            <v>0.87000000000000099</v>
          </cell>
          <cell r="P112">
            <v>1.5240553745928338</v>
          </cell>
        </row>
        <row r="113">
          <cell r="C113">
            <v>9.01</v>
          </cell>
          <cell r="E113">
            <v>10.02</v>
          </cell>
          <cell r="I113">
            <v>4.4000000000000004</v>
          </cell>
          <cell r="K113">
            <v>6.5</v>
          </cell>
          <cell r="O113">
            <v>1.0099999999999998</v>
          </cell>
          <cell r="P113">
            <v>1.5240553745928338</v>
          </cell>
        </row>
        <row r="114">
          <cell r="B114" t="str">
            <v>89</v>
          </cell>
          <cell r="C114">
            <v>8.93</v>
          </cell>
          <cell r="E114">
            <v>10.02</v>
          </cell>
          <cell r="I114">
            <v>4.7</v>
          </cell>
          <cell r="K114">
            <v>6.5</v>
          </cell>
          <cell r="O114">
            <v>1.0899999999999999</v>
          </cell>
          <cell r="P114">
            <v>1.5240553745928338</v>
          </cell>
        </row>
        <row r="115">
          <cell r="C115">
            <v>9.01</v>
          </cell>
          <cell r="E115">
            <v>10.02</v>
          </cell>
          <cell r="I115">
            <v>4.8</v>
          </cell>
          <cell r="K115">
            <v>7</v>
          </cell>
          <cell r="O115">
            <v>1.0099999999999998</v>
          </cell>
          <cell r="P115">
            <v>1.5240553745928338</v>
          </cell>
        </row>
        <row r="116">
          <cell r="C116">
            <v>9.17</v>
          </cell>
          <cell r="E116">
            <v>10.16</v>
          </cell>
          <cell r="I116">
            <v>5</v>
          </cell>
          <cell r="K116">
            <v>7</v>
          </cell>
          <cell r="O116">
            <v>0.99000000000000021</v>
          </cell>
          <cell r="P116">
            <v>1.5240553745928338</v>
          </cell>
        </row>
        <row r="117">
          <cell r="C117">
            <v>9.0299999999999994</v>
          </cell>
          <cell r="E117">
            <v>10.14</v>
          </cell>
          <cell r="I117">
            <v>5.0999999999999996</v>
          </cell>
          <cell r="K117">
            <v>7</v>
          </cell>
          <cell r="O117">
            <v>1.1100000000000012</v>
          </cell>
          <cell r="P117">
            <v>1.5240553745928338</v>
          </cell>
        </row>
        <row r="118">
          <cell r="C118">
            <v>8.83</v>
          </cell>
          <cell r="E118">
            <v>9.92</v>
          </cell>
          <cell r="I118">
            <v>5.4</v>
          </cell>
          <cell r="K118">
            <v>7</v>
          </cell>
          <cell r="O118">
            <v>1.0899999999999999</v>
          </cell>
          <cell r="P118">
            <v>1.5240553745928338</v>
          </cell>
        </row>
        <row r="119">
          <cell r="C119">
            <v>8.27</v>
          </cell>
          <cell r="E119">
            <v>9.49</v>
          </cell>
          <cell r="I119">
            <v>5.2</v>
          </cell>
          <cell r="K119">
            <v>7</v>
          </cell>
          <cell r="O119">
            <v>1.2200000000000006</v>
          </cell>
          <cell r="P119">
            <v>1.5240553745928338</v>
          </cell>
        </row>
        <row r="120">
          <cell r="C120">
            <v>8.08</v>
          </cell>
          <cell r="E120">
            <v>9.34</v>
          </cell>
          <cell r="I120">
            <v>5</v>
          </cell>
          <cell r="K120">
            <v>7</v>
          </cell>
          <cell r="O120">
            <v>1.2599999999999998</v>
          </cell>
          <cell r="P120">
            <v>1.5240553745928338</v>
          </cell>
        </row>
        <row r="121">
          <cell r="C121">
            <v>8.1199999999999992</v>
          </cell>
          <cell r="E121">
            <v>9.3699999999999992</v>
          </cell>
          <cell r="I121">
            <v>4.7</v>
          </cell>
          <cell r="K121">
            <v>7</v>
          </cell>
          <cell r="O121">
            <v>1.25</v>
          </cell>
          <cell r="P121">
            <v>1.5240553745928338</v>
          </cell>
        </row>
        <row r="122">
          <cell r="C122">
            <v>8.15</v>
          </cell>
          <cell r="E122">
            <v>9.43</v>
          </cell>
          <cell r="I122">
            <v>4.3</v>
          </cell>
          <cell r="K122">
            <v>7</v>
          </cell>
          <cell r="O122">
            <v>1.2799999999999994</v>
          </cell>
          <cell r="P122">
            <v>1.5240553745928338</v>
          </cell>
        </row>
        <row r="123">
          <cell r="C123">
            <v>8</v>
          </cell>
          <cell r="E123">
            <v>9.3699999999999992</v>
          </cell>
          <cell r="I123">
            <v>4.5</v>
          </cell>
          <cell r="K123">
            <v>7</v>
          </cell>
          <cell r="O123">
            <v>1.3699999999999992</v>
          </cell>
          <cell r="P123">
            <v>1.5240553745928338</v>
          </cell>
        </row>
        <row r="124">
          <cell r="C124">
            <v>7.9</v>
          </cell>
          <cell r="E124">
            <v>9.33</v>
          </cell>
          <cell r="I124">
            <v>4.7</v>
          </cell>
          <cell r="K124">
            <v>7</v>
          </cell>
          <cell r="O124">
            <v>1.4299999999999997</v>
          </cell>
          <cell r="P124">
            <v>1.5240553745928338</v>
          </cell>
        </row>
        <row r="125">
          <cell r="C125">
            <v>7.9</v>
          </cell>
          <cell r="E125">
            <v>9.31</v>
          </cell>
          <cell r="I125">
            <v>4.5999999999999996</v>
          </cell>
          <cell r="K125">
            <v>7</v>
          </cell>
          <cell r="O125">
            <v>1.4100000000000001</v>
          </cell>
          <cell r="P125">
            <v>1.5240553745928338</v>
          </cell>
        </row>
        <row r="126">
          <cell r="B126" t="str">
            <v>90</v>
          </cell>
          <cell r="C126">
            <v>8.26</v>
          </cell>
          <cell r="E126">
            <v>9.44</v>
          </cell>
          <cell r="I126">
            <v>5.2</v>
          </cell>
          <cell r="K126">
            <v>7</v>
          </cell>
          <cell r="O126">
            <v>1.1799999999999997</v>
          </cell>
          <cell r="P126">
            <v>1.5240553745928338</v>
          </cell>
        </row>
        <row r="127">
          <cell r="C127">
            <v>8.5</v>
          </cell>
          <cell r="E127">
            <v>9.66</v>
          </cell>
          <cell r="I127">
            <v>5.3</v>
          </cell>
          <cell r="K127">
            <v>7</v>
          </cell>
          <cell r="O127">
            <v>1.1600000000000001</v>
          </cell>
          <cell r="P127">
            <v>1.5240553745928338</v>
          </cell>
        </row>
        <row r="128">
          <cell r="C128">
            <v>8.56</v>
          </cell>
          <cell r="E128">
            <v>9.75</v>
          </cell>
          <cell r="I128">
            <v>5.2</v>
          </cell>
          <cell r="K128">
            <v>7</v>
          </cell>
          <cell r="O128">
            <v>1.1899999999999995</v>
          </cell>
          <cell r="P128">
            <v>1.5240553745928338</v>
          </cell>
        </row>
        <row r="129">
          <cell r="C129">
            <v>8.76</v>
          </cell>
          <cell r="E129">
            <v>9.8699999999999992</v>
          </cell>
          <cell r="I129">
            <v>4.7</v>
          </cell>
          <cell r="K129">
            <v>7</v>
          </cell>
          <cell r="O129">
            <v>1.1099999999999994</v>
          </cell>
          <cell r="P129">
            <v>1.5240553745928338</v>
          </cell>
        </row>
        <row r="130">
          <cell r="C130">
            <v>8.73</v>
          </cell>
          <cell r="E130">
            <v>9.89</v>
          </cell>
          <cell r="I130">
            <v>4.4000000000000004</v>
          </cell>
          <cell r="K130">
            <v>7</v>
          </cell>
          <cell r="O130">
            <v>1.1600000000000001</v>
          </cell>
          <cell r="P130">
            <v>1.5240553745928338</v>
          </cell>
        </row>
        <row r="131">
          <cell r="C131">
            <v>8.4600000000000009</v>
          </cell>
          <cell r="E131">
            <v>9.69</v>
          </cell>
          <cell r="I131">
            <v>4.7</v>
          </cell>
          <cell r="K131">
            <v>7</v>
          </cell>
          <cell r="O131">
            <v>1.2299999999999986</v>
          </cell>
          <cell r="P131">
            <v>1.5240553745928338</v>
          </cell>
        </row>
        <row r="132">
          <cell r="C132">
            <v>8.5</v>
          </cell>
          <cell r="E132">
            <v>9.66</v>
          </cell>
          <cell r="I132">
            <v>4.8</v>
          </cell>
          <cell r="K132">
            <v>7</v>
          </cell>
          <cell r="O132">
            <v>1.1600000000000001</v>
          </cell>
          <cell r="P132">
            <v>1.5240553745928338</v>
          </cell>
        </row>
        <row r="133">
          <cell r="C133">
            <v>8.86</v>
          </cell>
          <cell r="E133">
            <v>9.84</v>
          </cell>
          <cell r="I133">
            <v>5.6</v>
          </cell>
          <cell r="K133">
            <v>7</v>
          </cell>
          <cell r="O133">
            <v>0.98000000000000043</v>
          </cell>
          <cell r="P133">
            <v>1.5240553745928338</v>
          </cell>
        </row>
        <row r="134">
          <cell r="C134">
            <v>9.0299999999999994</v>
          </cell>
          <cell r="E134">
            <v>10.01</v>
          </cell>
          <cell r="I134">
            <v>6.2</v>
          </cell>
          <cell r="K134">
            <v>7</v>
          </cell>
          <cell r="O134">
            <v>0.98000000000000043</v>
          </cell>
          <cell r="P134">
            <v>1.5240553745928338</v>
          </cell>
        </row>
        <row r="135">
          <cell r="C135">
            <v>8.86</v>
          </cell>
          <cell r="E135">
            <v>9.94</v>
          </cell>
          <cell r="I135">
            <v>6.3</v>
          </cell>
          <cell r="K135">
            <v>7</v>
          </cell>
          <cell r="O135">
            <v>1.08</v>
          </cell>
          <cell r="P135">
            <v>1.5240553745928338</v>
          </cell>
        </row>
        <row r="136">
          <cell r="C136">
            <v>8.5399999999999991</v>
          </cell>
          <cell r="E136">
            <v>9.76</v>
          </cell>
          <cell r="I136">
            <v>6.3</v>
          </cell>
          <cell r="K136">
            <v>7</v>
          </cell>
          <cell r="O136">
            <v>1.2200000000000006</v>
          </cell>
          <cell r="P136">
            <v>1.5240553745928338</v>
          </cell>
        </row>
        <row r="137">
          <cell r="C137">
            <v>8.24</v>
          </cell>
          <cell r="E137">
            <v>9.57</v>
          </cell>
          <cell r="I137">
            <v>6.1</v>
          </cell>
          <cell r="K137">
            <v>6.5</v>
          </cell>
          <cell r="O137">
            <v>1.33</v>
          </cell>
          <cell r="P137">
            <v>1.5240553745928338</v>
          </cell>
        </row>
        <row r="138">
          <cell r="B138" t="str">
            <v>91</v>
          </cell>
          <cell r="C138">
            <v>8.27</v>
          </cell>
          <cell r="E138">
            <v>9.56</v>
          </cell>
          <cell r="I138">
            <v>5.7</v>
          </cell>
          <cell r="K138">
            <v>6.5</v>
          </cell>
          <cell r="O138">
            <v>1.2900000000000009</v>
          </cell>
          <cell r="P138">
            <v>1.5240553745928338</v>
          </cell>
        </row>
        <row r="139">
          <cell r="C139">
            <v>8.0299999999999994</v>
          </cell>
          <cell r="E139">
            <v>9.31</v>
          </cell>
          <cell r="I139">
            <v>5.3</v>
          </cell>
          <cell r="K139">
            <v>6</v>
          </cell>
          <cell r="O139">
            <v>1.2800000000000011</v>
          </cell>
          <cell r="P139">
            <v>1.5240553745928338</v>
          </cell>
        </row>
        <row r="140">
          <cell r="C140">
            <v>8.2899999999999991</v>
          </cell>
          <cell r="E140">
            <v>9.39</v>
          </cell>
          <cell r="I140">
            <v>4.9000000000000004</v>
          </cell>
          <cell r="K140">
            <v>6</v>
          </cell>
          <cell r="O140">
            <v>1.1000000000000014</v>
          </cell>
          <cell r="P140">
            <v>1.5240553745928338</v>
          </cell>
        </row>
        <row r="141">
          <cell r="C141">
            <v>8.2100000000000009</v>
          </cell>
          <cell r="E141">
            <v>9.3000000000000007</v>
          </cell>
          <cell r="I141">
            <v>4.9000000000000004</v>
          </cell>
          <cell r="K141">
            <v>5.5</v>
          </cell>
          <cell r="O141">
            <v>1.0899999999999999</v>
          </cell>
          <cell r="P141">
            <v>1.5240553745928338</v>
          </cell>
        </row>
        <row r="142">
          <cell r="C142">
            <v>8.27</v>
          </cell>
          <cell r="E142">
            <v>9.2899999999999991</v>
          </cell>
          <cell r="I142">
            <v>5</v>
          </cell>
          <cell r="K142">
            <v>5.5</v>
          </cell>
          <cell r="O142">
            <v>1.0199999999999996</v>
          </cell>
          <cell r="P142">
            <v>1.5240553745928338</v>
          </cell>
        </row>
        <row r="143">
          <cell r="C143">
            <v>8.4700000000000006</v>
          </cell>
          <cell r="E143">
            <v>9.44</v>
          </cell>
          <cell r="I143">
            <v>4.7</v>
          </cell>
          <cell r="K143">
            <v>5.5</v>
          </cell>
          <cell r="O143">
            <v>0.96999999999999886</v>
          </cell>
          <cell r="P143">
            <v>1.5240553745928338</v>
          </cell>
        </row>
        <row r="144">
          <cell r="C144">
            <v>8.4499999999999993</v>
          </cell>
          <cell r="E144">
            <v>9.4</v>
          </cell>
          <cell r="I144">
            <v>4.4000000000000004</v>
          </cell>
          <cell r="K144">
            <v>5.5</v>
          </cell>
          <cell r="O144">
            <v>0.95000000000000107</v>
          </cell>
          <cell r="P144">
            <v>1.5240553745928338</v>
          </cell>
        </row>
        <row r="145">
          <cell r="C145">
            <v>8.14</v>
          </cell>
          <cell r="E145">
            <v>9.16</v>
          </cell>
          <cell r="I145">
            <v>3.8</v>
          </cell>
          <cell r="K145">
            <v>5.5</v>
          </cell>
          <cell r="O145">
            <v>1.0199999999999996</v>
          </cell>
          <cell r="P145">
            <v>1.5240553745928338</v>
          </cell>
        </row>
        <row r="146">
          <cell r="C146">
            <v>7.95</v>
          </cell>
          <cell r="E146">
            <v>9.0299999999999994</v>
          </cell>
          <cell r="I146">
            <v>3.4</v>
          </cell>
          <cell r="K146">
            <v>5</v>
          </cell>
          <cell r="O146">
            <v>1.0799999999999992</v>
          </cell>
          <cell r="P146">
            <v>1.5240553745928338</v>
          </cell>
        </row>
        <row r="147">
          <cell r="C147">
            <v>7.93</v>
          </cell>
          <cell r="E147">
            <v>8.99</v>
          </cell>
          <cell r="I147">
            <v>2.9</v>
          </cell>
          <cell r="K147">
            <v>5</v>
          </cell>
          <cell r="O147">
            <v>1.0600000000000005</v>
          </cell>
          <cell r="P147">
            <v>1.5240553745928338</v>
          </cell>
        </row>
        <row r="148">
          <cell r="C148">
            <v>7.92</v>
          </cell>
          <cell r="E148">
            <v>8.93</v>
          </cell>
          <cell r="I148">
            <v>3</v>
          </cell>
          <cell r="K148">
            <v>5</v>
          </cell>
          <cell r="O148">
            <v>1.0099999999999998</v>
          </cell>
          <cell r="P148">
            <v>1.5240553745928338</v>
          </cell>
        </row>
        <row r="149">
          <cell r="C149">
            <v>7.7</v>
          </cell>
          <cell r="E149">
            <v>8.76</v>
          </cell>
          <cell r="I149">
            <v>3.1</v>
          </cell>
          <cell r="K149">
            <v>4.5</v>
          </cell>
          <cell r="O149">
            <v>1.0599999999999996</v>
          </cell>
          <cell r="P149">
            <v>1.5240553745928338</v>
          </cell>
        </row>
        <row r="150">
          <cell r="B150" t="str">
            <v>92</v>
          </cell>
          <cell r="C150">
            <v>7.58</v>
          </cell>
          <cell r="E150">
            <v>8.67</v>
          </cell>
          <cell r="I150">
            <v>2.6</v>
          </cell>
          <cell r="K150">
            <v>3.5</v>
          </cell>
          <cell r="O150">
            <v>1.0899999999999999</v>
          </cell>
          <cell r="P150">
            <v>1.5240553745928338</v>
          </cell>
        </row>
        <row r="151">
          <cell r="C151">
            <v>7.85</v>
          </cell>
          <cell r="E151">
            <v>8.77</v>
          </cell>
          <cell r="I151">
            <v>2.8</v>
          </cell>
          <cell r="K151">
            <v>3.5</v>
          </cell>
          <cell r="O151">
            <v>0.91999999999999993</v>
          </cell>
          <cell r="P151">
            <v>1.5240553745928338</v>
          </cell>
        </row>
        <row r="152">
          <cell r="C152">
            <v>7.97</v>
          </cell>
          <cell r="E152">
            <v>8.84</v>
          </cell>
          <cell r="I152">
            <v>3.2</v>
          </cell>
          <cell r="K152">
            <v>3.5</v>
          </cell>
          <cell r="O152">
            <v>0.87000000000000011</v>
          </cell>
          <cell r="P152">
            <v>1.5240553745928338</v>
          </cell>
        </row>
        <row r="153">
          <cell r="C153">
            <v>7.96</v>
          </cell>
          <cell r="E153">
            <v>8.7899999999999991</v>
          </cell>
          <cell r="I153">
            <v>3.2</v>
          </cell>
          <cell r="K153">
            <v>3.5</v>
          </cell>
          <cell r="O153">
            <v>0.82999999999999918</v>
          </cell>
          <cell r="P153">
            <v>1.5240553745928338</v>
          </cell>
        </row>
        <row r="154">
          <cell r="C154">
            <v>7.89</v>
          </cell>
          <cell r="E154">
            <v>8.7200000000000006</v>
          </cell>
          <cell r="I154">
            <v>3</v>
          </cell>
          <cell r="K154">
            <v>3.5</v>
          </cell>
          <cell r="O154">
            <v>0.83000000000000096</v>
          </cell>
          <cell r="P154">
            <v>1.5240553745928338</v>
          </cell>
        </row>
        <row r="155">
          <cell r="C155">
            <v>7.84</v>
          </cell>
          <cell r="E155">
            <v>8.64</v>
          </cell>
          <cell r="I155">
            <v>3.1</v>
          </cell>
          <cell r="K155">
            <v>3.5</v>
          </cell>
          <cell r="O155">
            <v>0.80000000000000071</v>
          </cell>
          <cell r="P155">
            <v>1.5240553745928338</v>
          </cell>
        </row>
        <row r="156">
          <cell r="C156">
            <v>7.6</v>
          </cell>
          <cell r="E156">
            <v>8.4600000000000009</v>
          </cell>
          <cell r="I156">
            <v>3.2</v>
          </cell>
          <cell r="K156">
            <v>3</v>
          </cell>
          <cell r="O156">
            <v>0.86000000000000121</v>
          </cell>
          <cell r="P156">
            <v>1.5240553745928338</v>
          </cell>
        </row>
        <row r="157">
          <cell r="C157">
            <v>7.39</v>
          </cell>
          <cell r="E157">
            <v>8.34</v>
          </cell>
          <cell r="I157">
            <v>3.1</v>
          </cell>
          <cell r="K157">
            <v>3</v>
          </cell>
          <cell r="O157">
            <v>0.95000000000000018</v>
          </cell>
          <cell r="P157">
            <v>1.5240553745928338</v>
          </cell>
        </row>
        <row r="158">
          <cell r="C158">
            <v>7.34</v>
          </cell>
          <cell r="E158">
            <v>8.32</v>
          </cell>
          <cell r="I158">
            <v>3</v>
          </cell>
          <cell r="K158">
            <v>3</v>
          </cell>
          <cell r="O158">
            <v>0.98000000000000043</v>
          </cell>
          <cell r="P158">
            <v>1.5240553745928338</v>
          </cell>
        </row>
        <row r="159">
          <cell r="C159">
            <v>7.53</v>
          </cell>
          <cell r="E159">
            <v>8.44</v>
          </cell>
          <cell r="I159">
            <v>3.2</v>
          </cell>
          <cell r="K159">
            <v>3</v>
          </cell>
          <cell r="O159">
            <v>0.90999999999999925</v>
          </cell>
          <cell r="P159">
            <v>1.5240553745928338</v>
          </cell>
        </row>
        <row r="160">
          <cell r="C160">
            <v>7.61</v>
          </cell>
          <cell r="E160">
            <v>8.5299999999999994</v>
          </cell>
          <cell r="I160">
            <v>3</v>
          </cell>
          <cell r="K160">
            <v>3</v>
          </cell>
          <cell r="O160">
            <v>0.91999999999999904</v>
          </cell>
          <cell r="P160">
            <v>1.5240553745928338</v>
          </cell>
        </row>
        <row r="161">
          <cell r="C161">
            <v>7.44</v>
          </cell>
          <cell r="E161">
            <v>8.36</v>
          </cell>
          <cell r="I161">
            <v>2.9</v>
          </cell>
          <cell r="K161">
            <v>3</v>
          </cell>
          <cell r="O161">
            <v>0.91999999999999904</v>
          </cell>
          <cell r="P161">
            <v>1.5240553745928338</v>
          </cell>
        </row>
        <row r="162">
          <cell r="B162" t="str">
            <v>93</v>
          </cell>
          <cell r="C162">
            <v>7.34</v>
          </cell>
          <cell r="E162">
            <v>8.23</v>
          </cell>
          <cell r="I162">
            <v>3.3</v>
          </cell>
          <cell r="K162">
            <v>3</v>
          </cell>
          <cell r="O162">
            <v>0.89000000000000057</v>
          </cell>
          <cell r="P162">
            <v>1.5240553745928338</v>
          </cell>
        </row>
        <row r="163">
          <cell r="C163">
            <v>7.09</v>
          </cell>
          <cell r="E163">
            <v>8</v>
          </cell>
          <cell r="I163">
            <v>3.2</v>
          </cell>
          <cell r="K163">
            <v>3</v>
          </cell>
          <cell r="O163">
            <v>0.91000000000000014</v>
          </cell>
          <cell r="P163">
            <v>1.5240553745928338</v>
          </cell>
        </row>
        <row r="164">
          <cell r="C164">
            <v>6.82</v>
          </cell>
          <cell r="E164">
            <v>7.85</v>
          </cell>
          <cell r="I164">
            <v>3.1</v>
          </cell>
          <cell r="K164">
            <v>3</v>
          </cell>
          <cell r="O164">
            <v>1.0299999999999994</v>
          </cell>
          <cell r="P164">
            <v>1.5240553745928338</v>
          </cell>
        </row>
        <row r="165">
          <cell r="C165">
            <v>6.85</v>
          </cell>
          <cell r="E165">
            <v>7.76</v>
          </cell>
          <cell r="I165">
            <v>3.2</v>
          </cell>
          <cell r="K165">
            <v>3</v>
          </cell>
          <cell r="O165">
            <v>0.91000000000000014</v>
          </cell>
          <cell r="P165">
            <v>1.5240553745928338</v>
          </cell>
        </row>
        <row r="166">
          <cell r="C166">
            <v>6.92</v>
          </cell>
          <cell r="E166">
            <v>7.78</v>
          </cell>
          <cell r="I166">
            <v>3.2</v>
          </cell>
          <cell r="K166">
            <v>3</v>
          </cell>
          <cell r="O166">
            <v>0.86000000000000032</v>
          </cell>
          <cell r="P166">
            <v>1.5240553745928338</v>
          </cell>
        </row>
        <row r="167">
          <cell r="C167">
            <v>6.81</v>
          </cell>
          <cell r="E167">
            <v>7.68</v>
          </cell>
          <cell r="I167">
            <v>3</v>
          </cell>
          <cell r="K167">
            <v>3</v>
          </cell>
          <cell r="O167">
            <v>0.87000000000000011</v>
          </cell>
          <cell r="P167">
            <v>1.5240553745928338</v>
          </cell>
        </row>
        <row r="168">
          <cell r="C168">
            <v>6.63</v>
          </cell>
          <cell r="E168">
            <v>7.53</v>
          </cell>
          <cell r="I168">
            <v>2.8</v>
          </cell>
          <cell r="K168">
            <v>3</v>
          </cell>
          <cell r="O168">
            <v>0.90000000000000036</v>
          </cell>
          <cell r="P168">
            <v>1.5240553745928338</v>
          </cell>
        </row>
        <row r="169">
          <cell r="C169">
            <v>6.32</v>
          </cell>
          <cell r="E169">
            <v>7.21</v>
          </cell>
          <cell r="I169">
            <v>2.8</v>
          </cell>
          <cell r="K169">
            <v>3</v>
          </cell>
          <cell r="O169">
            <v>0.88999999999999968</v>
          </cell>
          <cell r="P169">
            <v>1.5240553745928338</v>
          </cell>
        </row>
        <row r="170">
          <cell r="C170">
            <v>6</v>
          </cell>
          <cell r="E170">
            <v>7.01</v>
          </cell>
          <cell r="I170">
            <v>2.7</v>
          </cell>
          <cell r="K170">
            <v>3</v>
          </cell>
          <cell r="O170">
            <v>1.0099999999999998</v>
          </cell>
          <cell r="P170">
            <v>1.5240553745928338</v>
          </cell>
        </row>
        <row r="171">
          <cell r="C171">
            <v>5.94</v>
          </cell>
          <cell r="E171">
            <v>6.99</v>
          </cell>
          <cell r="I171">
            <v>2.8</v>
          </cell>
          <cell r="K171">
            <v>3</v>
          </cell>
          <cell r="O171">
            <v>1.0499999999999998</v>
          </cell>
          <cell r="P171">
            <v>1.5240553745928338</v>
          </cell>
        </row>
        <row r="172">
          <cell r="C172">
            <v>6.21</v>
          </cell>
          <cell r="E172">
            <v>7.3</v>
          </cell>
          <cell r="I172">
            <v>2.7</v>
          </cell>
          <cell r="K172">
            <v>3</v>
          </cell>
          <cell r="O172">
            <v>1.0899999999999999</v>
          </cell>
          <cell r="P172">
            <v>1.5240553745928338</v>
          </cell>
        </row>
        <row r="173">
          <cell r="C173">
            <v>6.25</v>
          </cell>
          <cell r="E173">
            <v>7.33</v>
          </cell>
          <cell r="I173">
            <v>2.7</v>
          </cell>
          <cell r="K173">
            <v>3</v>
          </cell>
          <cell r="O173">
            <v>1.08</v>
          </cell>
          <cell r="P173">
            <v>1.5240553745928338</v>
          </cell>
        </row>
        <row r="174">
          <cell r="B174" t="str">
            <v>94</v>
          </cell>
          <cell r="C174">
            <v>6.29</v>
          </cell>
          <cell r="E174">
            <v>7.31</v>
          </cell>
          <cell r="I174">
            <v>2.5</v>
          </cell>
          <cell r="K174">
            <v>3</v>
          </cell>
          <cell r="O174">
            <v>1.0199999999999996</v>
          </cell>
          <cell r="P174">
            <v>1.5240553745928338</v>
          </cell>
        </row>
        <row r="175">
          <cell r="C175">
            <v>6.49</v>
          </cell>
          <cell r="E175">
            <v>7.44</v>
          </cell>
          <cell r="I175">
            <v>2.5</v>
          </cell>
          <cell r="K175">
            <v>3</v>
          </cell>
          <cell r="O175">
            <v>0.95000000000000018</v>
          </cell>
          <cell r="P175">
            <v>1.5240553745928338</v>
          </cell>
        </row>
        <row r="176">
          <cell r="C176">
            <v>6.91</v>
          </cell>
          <cell r="E176">
            <v>7.83</v>
          </cell>
          <cell r="I176">
            <v>2.5</v>
          </cell>
          <cell r="K176">
            <v>3</v>
          </cell>
          <cell r="O176">
            <v>0.91999999999999993</v>
          </cell>
          <cell r="P176">
            <v>1.5240553745928338</v>
          </cell>
        </row>
        <row r="177">
          <cell r="C177">
            <v>7.27</v>
          </cell>
          <cell r="E177">
            <v>8.1999999999999993</v>
          </cell>
          <cell r="I177">
            <v>2.4</v>
          </cell>
          <cell r="K177">
            <v>3</v>
          </cell>
          <cell r="O177">
            <v>0.92999999999999972</v>
          </cell>
          <cell r="P177">
            <v>1.5240553745928338</v>
          </cell>
        </row>
        <row r="178">
          <cell r="C178">
            <v>7.41</v>
          </cell>
          <cell r="E178">
            <v>8.32</v>
          </cell>
          <cell r="I178">
            <v>2.2999999999999998</v>
          </cell>
          <cell r="K178">
            <v>3</v>
          </cell>
          <cell r="O178">
            <v>0.91000000000000014</v>
          </cell>
          <cell r="P178">
            <v>1.5240553745928338</v>
          </cell>
        </row>
        <row r="179">
          <cell r="C179">
            <v>7.4</v>
          </cell>
          <cell r="E179">
            <v>8.31</v>
          </cell>
          <cell r="I179">
            <v>2.5</v>
          </cell>
          <cell r="K179">
            <v>3.5</v>
          </cell>
          <cell r="O179">
            <v>0.91000000000000014</v>
          </cell>
          <cell r="P179">
            <v>1.5240553745928338</v>
          </cell>
        </row>
        <row r="180">
          <cell r="C180">
            <v>7.58</v>
          </cell>
          <cell r="E180">
            <v>8.4700000000000006</v>
          </cell>
          <cell r="I180">
            <v>2.9</v>
          </cell>
          <cell r="K180">
            <v>3.5</v>
          </cell>
          <cell r="O180">
            <v>0.89000000000000057</v>
          </cell>
          <cell r="P180">
            <v>1.5240553745928338</v>
          </cell>
        </row>
        <row r="181">
          <cell r="C181">
            <v>7.49</v>
          </cell>
          <cell r="E181">
            <v>8.41</v>
          </cell>
          <cell r="I181">
            <v>3</v>
          </cell>
          <cell r="K181">
            <v>3.5</v>
          </cell>
          <cell r="O181">
            <v>0.91999999999999993</v>
          </cell>
          <cell r="P181">
            <v>1.5240553745928338</v>
          </cell>
        </row>
        <row r="182">
          <cell r="C182">
            <v>7.71</v>
          </cell>
          <cell r="E182">
            <v>8.65</v>
          </cell>
          <cell r="I182">
            <v>2.6</v>
          </cell>
          <cell r="K182">
            <v>4</v>
          </cell>
          <cell r="O182">
            <v>0.94000000000000039</v>
          </cell>
          <cell r="P182">
            <v>1.5240553745928338</v>
          </cell>
        </row>
        <row r="183">
          <cell r="C183">
            <v>7.94</v>
          </cell>
          <cell r="E183">
            <v>8.8800000000000008</v>
          </cell>
          <cell r="I183">
            <v>2.7</v>
          </cell>
          <cell r="K183">
            <v>4</v>
          </cell>
          <cell r="O183">
            <v>0.94000000000000039</v>
          </cell>
          <cell r="P183">
            <v>1.5240553745928338</v>
          </cell>
        </row>
        <row r="184">
          <cell r="C184">
            <v>8.08</v>
          </cell>
          <cell r="E184">
            <v>9</v>
          </cell>
          <cell r="I184">
            <v>2.7</v>
          </cell>
          <cell r="K184">
            <v>4.75</v>
          </cell>
          <cell r="O184">
            <v>0.91999999999999993</v>
          </cell>
          <cell r="P184">
            <v>1.5240553745928338</v>
          </cell>
        </row>
        <row r="185">
          <cell r="C185">
            <v>7.87</v>
          </cell>
          <cell r="E185">
            <v>8.7899999999999991</v>
          </cell>
          <cell r="I185">
            <v>2.8</v>
          </cell>
          <cell r="K185">
            <v>4.75</v>
          </cell>
          <cell r="O185">
            <v>0.91999999999999904</v>
          </cell>
          <cell r="P185">
            <v>1.5240553745928338</v>
          </cell>
        </row>
        <row r="186">
          <cell r="B186" t="str">
            <v>95</v>
          </cell>
          <cell r="C186">
            <v>7.85</v>
          </cell>
          <cell r="E186">
            <v>8.77</v>
          </cell>
          <cell r="I186">
            <v>2.9</v>
          </cell>
          <cell r="K186">
            <v>4.75</v>
          </cell>
          <cell r="O186">
            <v>0.91999999999999993</v>
          </cell>
          <cell r="P186">
            <v>1.5240553745928338</v>
          </cell>
        </row>
        <row r="187">
          <cell r="C187">
            <v>7.61</v>
          </cell>
          <cell r="E187">
            <v>8.56</v>
          </cell>
          <cell r="I187">
            <v>2.9</v>
          </cell>
          <cell r="K187">
            <v>5.25</v>
          </cell>
          <cell r="O187">
            <v>0.95000000000000018</v>
          </cell>
          <cell r="P187">
            <v>1.5240553745928338</v>
          </cell>
        </row>
        <row r="188">
          <cell r="C188">
            <v>7.45</v>
          </cell>
          <cell r="E188">
            <v>8.41</v>
          </cell>
          <cell r="I188">
            <v>3.1</v>
          </cell>
          <cell r="K188">
            <v>5.25</v>
          </cell>
          <cell r="O188">
            <v>0.96</v>
          </cell>
          <cell r="P188">
            <v>1.5240553745928338</v>
          </cell>
        </row>
        <row r="189">
          <cell r="C189">
            <v>7.36</v>
          </cell>
          <cell r="E189">
            <v>8.3000000000000007</v>
          </cell>
          <cell r="I189">
            <v>2.4</v>
          </cell>
          <cell r="K189">
            <v>5.25</v>
          </cell>
          <cell r="O189">
            <v>0.94000000000000039</v>
          </cell>
          <cell r="P189">
            <v>1.5240553745928338</v>
          </cell>
        </row>
        <row r="190">
          <cell r="C190">
            <v>6.95</v>
          </cell>
          <cell r="E190">
            <v>7.93</v>
          </cell>
          <cell r="I190">
            <v>3.2</v>
          </cell>
          <cell r="K190">
            <v>5.25</v>
          </cell>
          <cell r="O190">
            <v>0.97999999999999954</v>
          </cell>
          <cell r="P190">
            <v>1.5240553745928338</v>
          </cell>
        </row>
        <row r="191">
          <cell r="C191">
            <v>6.57</v>
          </cell>
          <cell r="E191">
            <v>7.62</v>
          </cell>
          <cell r="I191">
            <v>3</v>
          </cell>
          <cell r="K191">
            <v>5.25</v>
          </cell>
          <cell r="O191">
            <v>1.0499999999999998</v>
          </cell>
          <cell r="P191">
            <v>1.5240553745928338</v>
          </cell>
        </row>
        <row r="192">
          <cell r="C192">
            <v>6.72</v>
          </cell>
          <cell r="E192">
            <v>7.73</v>
          </cell>
          <cell r="I192">
            <v>2.8</v>
          </cell>
          <cell r="K192">
            <v>5.25</v>
          </cell>
          <cell r="O192">
            <v>1.0100000000000007</v>
          </cell>
          <cell r="P192">
            <v>1.5240553745928338</v>
          </cell>
        </row>
        <row r="193">
          <cell r="C193">
            <v>6.86</v>
          </cell>
          <cell r="E193">
            <v>7.86</v>
          </cell>
          <cell r="I193">
            <v>2.6</v>
          </cell>
          <cell r="K193">
            <v>5.25</v>
          </cell>
          <cell r="O193">
            <v>1</v>
          </cell>
          <cell r="P193">
            <v>1.5240553745928338</v>
          </cell>
        </row>
        <row r="194">
          <cell r="C194">
            <v>6.55</v>
          </cell>
          <cell r="E194">
            <v>7.62</v>
          </cell>
          <cell r="I194">
            <v>2.5</v>
          </cell>
          <cell r="K194">
            <v>5.25</v>
          </cell>
          <cell r="O194">
            <v>1.0700000000000003</v>
          </cell>
          <cell r="P194">
            <v>1.5240553745928338</v>
          </cell>
        </row>
        <row r="195">
          <cell r="C195">
            <v>6.37</v>
          </cell>
          <cell r="E195">
            <v>7.46</v>
          </cell>
          <cell r="I195">
            <v>2.8</v>
          </cell>
          <cell r="K195">
            <v>5.25</v>
          </cell>
          <cell r="O195">
            <v>1.0899999999999999</v>
          </cell>
          <cell r="P195">
            <v>1.5240553745928338</v>
          </cell>
        </row>
        <row r="196">
          <cell r="C196">
            <v>6.26</v>
          </cell>
          <cell r="E196">
            <v>7.4</v>
          </cell>
          <cell r="I196">
            <v>2.6</v>
          </cell>
          <cell r="K196">
            <v>5.25</v>
          </cell>
          <cell r="O196">
            <v>1.1400000000000006</v>
          </cell>
          <cell r="P196">
            <v>1.5240553745928338</v>
          </cell>
        </row>
        <row r="197">
          <cell r="C197">
            <v>6.06</v>
          </cell>
          <cell r="E197">
            <v>7.21</v>
          </cell>
          <cell r="I197">
            <v>2.5</v>
          </cell>
          <cell r="K197">
            <v>5.25</v>
          </cell>
          <cell r="O197">
            <v>1.1500000000000004</v>
          </cell>
          <cell r="P197">
            <v>1.5240553745928338</v>
          </cell>
        </row>
        <row r="198">
          <cell r="B198" t="str">
            <v>96</v>
          </cell>
          <cell r="C198">
            <v>6.05</v>
          </cell>
          <cell r="E198">
            <v>7.2</v>
          </cell>
          <cell r="I198">
            <v>2.7</v>
          </cell>
          <cell r="K198">
            <v>5.25</v>
          </cell>
          <cell r="O198">
            <v>1.1500000000000004</v>
          </cell>
          <cell r="P198">
            <v>1.5240553745928338</v>
          </cell>
        </row>
        <row r="199">
          <cell r="C199">
            <v>6.24</v>
          </cell>
          <cell r="E199">
            <v>7.37</v>
          </cell>
          <cell r="I199">
            <v>2.7</v>
          </cell>
          <cell r="K199">
            <v>5</v>
          </cell>
          <cell r="O199">
            <v>1.1299999999999999</v>
          </cell>
          <cell r="P199">
            <v>1.5240553745928338</v>
          </cell>
        </row>
        <row r="200">
          <cell r="C200">
            <v>6.6</v>
          </cell>
          <cell r="E200">
            <v>7.72</v>
          </cell>
          <cell r="I200">
            <v>2.8</v>
          </cell>
          <cell r="K200">
            <v>5</v>
          </cell>
          <cell r="O200">
            <v>1.1200000000000001</v>
          </cell>
          <cell r="P200">
            <v>1.5240553745928338</v>
          </cell>
        </row>
        <row r="201">
          <cell r="C201">
            <v>6.79</v>
          </cell>
          <cell r="E201">
            <v>7.88</v>
          </cell>
          <cell r="I201">
            <v>2.9</v>
          </cell>
          <cell r="K201">
            <v>5</v>
          </cell>
          <cell r="O201">
            <v>1.0899999999999999</v>
          </cell>
          <cell r="P201">
            <v>1.5240553745928338</v>
          </cell>
        </row>
        <row r="202">
          <cell r="C202">
            <v>6.93</v>
          </cell>
          <cell r="E202">
            <v>7.99</v>
          </cell>
          <cell r="I202">
            <v>2.9</v>
          </cell>
          <cell r="K202">
            <v>5</v>
          </cell>
          <cell r="O202">
            <v>1.0600000000000005</v>
          </cell>
          <cell r="P202">
            <v>1.5240553745928338</v>
          </cell>
        </row>
        <row r="203">
          <cell r="C203">
            <v>7.06</v>
          </cell>
          <cell r="E203">
            <v>8.07</v>
          </cell>
          <cell r="I203">
            <v>2.8</v>
          </cell>
          <cell r="K203">
            <v>5</v>
          </cell>
          <cell r="O203">
            <v>1.0100000000000007</v>
          </cell>
          <cell r="P203">
            <v>1.5240553745928338</v>
          </cell>
        </row>
        <row r="204">
          <cell r="C204">
            <v>7.03</v>
          </cell>
          <cell r="E204">
            <v>8.02</v>
          </cell>
          <cell r="I204">
            <v>3</v>
          </cell>
          <cell r="K204">
            <v>5</v>
          </cell>
          <cell r="O204">
            <v>0.98999999999999932</v>
          </cell>
          <cell r="P204">
            <v>1.5240553745928338</v>
          </cell>
        </row>
        <row r="205">
          <cell r="C205">
            <v>6.84</v>
          </cell>
          <cell r="E205">
            <v>7.84</v>
          </cell>
          <cell r="I205">
            <v>2.9</v>
          </cell>
          <cell r="K205">
            <v>5</v>
          </cell>
          <cell r="O205">
            <v>1</v>
          </cell>
          <cell r="P205">
            <v>1.5240553745928338</v>
          </cell>
        </row>
        <row r="206">
          <cell r="C206">
            <v>7.03</v>
          </cell>
          <cell r="E206">
            <v>8.01</v>
          </cell>
          <cell r="I206">
            <v>3</v>
          </cell>
          <cell r="K206">
            <v>5</v>
          </cell>
          <cell r="O206">
            <v>0.97999999999999954</v>
          </cell>
          <cell r="P206">
            <v>1.5240553745928338</v>
          </cell>
        </row>
        <row r="207">
          <cell r="C207">
            <v>6.81</v>
          </cell>
          <cell r="E207">
            <v>7.76</v>
          </cell>
          <cell r="I207">
            <v>3</v>
          </cell>
          <cell r="K207">
            <v>5</v>
          </cell>
          <cell r="O207">
            <v>0.95000000000000018</v>
          </cell>
          <cell r="P207">
            <v>1.5240553745928338</v>
          </cell>
        </row>
        <row r="208">
          <cell r="C208">
            <v>6.48</v>
          </cell>
          <cell r="E208">
            <v>7.48</v>
          </cell>
          <cell r="I208">
            <v>3.3</v>
          </cell>
          <cell r="K208">
            <v>5</v>
          </cell>
          <cell r="O208">
            <v>1</v>
          </cell>
          <cell r="P208">
            <v>1.5240553745928338</v>
          </cell>
        </row>
        <row r="209">
          <cell r="C209">
            <v>6.55</v>
          </cell>
          <cell r="E209">
            <v>7.58</v>
          </cell>
          <cell r="I209">
            <v>3.3</v>
          </cell>
          <cell r="K209">
            <v>5</v>
          </cell>
          <cell r="O209">
            <v>1.0300000000000002</v>
          </cell>
          <cell r="P209">
            <v>1.5240553745928338</v>
          </cell>
        </row>
        <row r="210">
          <cell r="B210" t="str">
            <v>97</v>
          </cell>
          <cell r="C210">
            <v>6.83</v>
          </cell>
          <cell r="E210">
            <v>7.79</v>
          </cell>
          <cell r="I210">
            <v>3</v>
          </cell>
          <cell r="K210">
            <v>5</v>
          </cell>
          <cell r="O210">
            <v>0.96</v>
          </cell>
          <cell r="P210">
            <v>1.5240553745928338</v>
          </cell>
        </row>
        <row r="211">
          <cell r="C211">
            <v>6.69</v>
          </cell>
          <cell r="E211">
            <v>7.68</v>
          </cell>
          <cell r="I211">
            <v>3</v>
          </cell>
          <cell r="K211">
            <v>5</v>
          </cell>
          <cell r="O211">
            <v>0.98999999999999932</v>
          </cell>
          <cell r="P211">
            <v>1.5240553745928338</v>
          </cell>
        </row>
        <row r="212">
          <cell r="C212">
            <v>6.93</v>
          </cell>
          <cell r="E212">
            <v>7.92</v>
          </cell>
          <cell r="I212">
            <v>2.8</v>
          </cell>
          <cell r="K212">
            <v>5</v>
          </cell>
          <cell r="O212">
            <v>0.99000000000000021</v>
          </cell>
          <cell r="P212">
            <v>1.5240553745928338</v>
          </cell>
        </row>
        <row r="213">
          <cell r="C213">
            <v>7.09</v>
          </cell>
          <cell r="E213">
            <v>8.08</v>
          </cell>
          <cell r="I213">
            <v>2.5</v>
          </cell>
          <cell r="K213">
            <v>5</v>
          </cell>
          <cell r="O213">
            <v>0.99000000000000021</v>
          </cell>
          <cell r="P213">
            <v>1.5240553745928338</v>
          </cell>
        </row>
        <row r="214">
          <cell r="C214">
            <v>6.94</v>
          </cell>
          <cell r="E214">
            <v>7.94</v>
          </cell>
          <cell r="I214">
            <v>2.2000000000000002</v>
          </cell>
          <cell r="K214">
            <v>5</v>
          </cell>
          <cell r="O214">
            <v>1</v>
          </cell>
          <cell r="P214">
            <v>1.5240553745928338</v>
          </cell>
        </row>
        <row r="215">
          <cell r="C215">
            <v>6.77</v>
          </cell>
          <cell r="E215">
            <v>7.77</v>
          </cell>
          <cell r="I215">
            <v>2.2999999999999998</v>
          </cell>
          <cell r="K215">
            <v>5</v>
          </cell>
          <cell r="O215">
            <v>1</v>
          </cell>
          <cell r="P215">
            <v>1.5240553745928338</v>
          </cell>
        </row>
        <row r="216">
          <cell r="C216">
            <v>6.51</v>
          </cell>
          <cell r="E216">
            <v>7.52</v>
          </cell>
          <cell r="I216">
            <v>2.2000000000000002</v>
          </cell>
          <cell r="K216">
            <v>5</v>
          </cell>
          <cell r="O216">
            <v>1.0099999999999998</v>
          </cell>
          <cell r="P216">
            <v>1.5240553745928338</v>
          </cell>
        </row>
        <row r="217">
          <cell r="C217">
            <v>6.58</v>
          </cell>
          <cell r="E217">
            <v>7.57</v>
          </cell>
          <cell r="I217">
            <v>2.2000000000000002</v>
          </cell>
          <cell r="K217">
            <v>5</v>
          </cell>
          <cell r="O217">
            <v>0.99000000000000021</v>
          </cell>
          <cell r="P217">
            <v>1.5240553745928338</v>
          </cell>
        </row>
        <row r="218">
          <cell r="C218">
            <v>6.5</v>
          </cell>
          <cell r="E218">
            <v>7.5</v>
          </cell>
          <cell r="I218">
            <v>2.2000000000000002</v>
          </cell>
          <cell r="K218">
            <v>5</v>
          </cell>
          <cell r="O218">
            <v>1</v>
          </cell>
          <cell r="P218">
            <v>1.5240553745928338</v>
          </cell>
        </row>
        <row r="219">
          <cell r="C219">
            <v>6.33</v>
          </cell>
          <cell r="E219">
            <v>7.37</v>
          </cell>
          <cell r="I219">
            <v>2.1</v>
          </cell>
          <cell r="K219">
            <v>5</v>
          </cell>
          <cell r="O219">
            <v>1.04</v>
          </cell>
          <cell r="P219">
            <v>1.5240553745928338</v>
          </cell>
        </row>
        <row r="220">
          <cell r="C220">
            <v>6.11</v>
          </cell>
          <cell r="E220">
            <v>7.24</v>
          </cell>
          <cell r="I220">
            <v>1.8</v>
          </cell>
          <cell r="K220">
            <v>5</v>
          </cell>
          <cell r="O220">
            <v>1.1299999999999999</v>
          </cell>
          <cell r="P220">
            <v>1.5240553745928338</v>
          </cell>
        </row>
        <row r="221">
          <cell r="C221">
            <v>5.99</v>
          </cell>
          <cell r="E221">
            <v>7.16</v>
          </cell>
          <cell r="I221">
            <v>1.7</v>
          </cell>
          <cell r="K221">
            <v>5</v>
          </cell>
          <cell r="O221">
            <v>1.17</v>
          </cell>
          <cell r="P221">
            <v>1.5240553745928338</v>
          </cell>
        </row>
        <row r="222">
          <cell r="B222" t="str">
            <v>98</v>
          </cell>
          <cell r="C222">
            <v>5.81</v>
          </cell>
          <cell r="E222">
            <v>7.03</v>
          </cell>
          <cell r="I222">
            <v>1.6</v>
          </cell>
          <cell r="K222">
            <v>5</v>
          </cell>
          <cell r="O222">
            <v>1.2200000000000006</v>
          </cell>
          <cell r="P222">
            <v>1.5240553745928338</v>
          </cell>
        </row>
        <row r="223">
          <cell r="C223">
            <v>5.89</v>
          </cell>
          <cell r="E223">
            <v>7.09</v>
          </cell>
          <cell r="I223">
            <v>1.4</v>
          </cell>
          <cell r="K223">
            <v>5</v>
          </cell>
          <cell r="O223">
            <v>1.2000000000000002</v>
          </cell>
          <cell r="P223">
            <v>1.5240553745928338</v>
          </cell>
        </row>
        <row r="224">
          <cell r="C224">
            <v>5.95</v>
          </cell>
          <cell r="E224">
            <v>7.13</v>
          </cell>
          <cell r="I224">
            <v>1.4</v>
          </cell>
          <cell r="K224">
            <v>5</v>
          </cell>
          <cell r="O224">
            <v>1.1799999999999997</v>
          </cell>
          <cell r="P224">
            <v>1.5240553745928338</v>
          </cell>
        </row>
        <row r="225">
          <cell r="C225">
            <v>5.92</v>
          </cell>
          <cell r="E225">
            <v>7.12</v>
          </cell>
          <cell r="I225">
            <v>1.4</v>
          </cell>
          <cell r="K225">
            <v>5</v>
          </cell>
          <cell r="O225">
            <v>1.2000000000000002</v>
          </cell>
          <cell r="P225">
            <v>1.5240553745928338</v>
          </cell>
        </row>
        <row r="226">
          <cell r="C226">
            <v>5.93</v>
          </cell>
          <cell r="E226">
            <v>7.11</v>
          </cell>
          <cell r="I226">
            <v>1.7</v>
          </cell>
          <cell r="K226">
            <v>5</v>
          </cell>
          <cell r="O226">
            <v>1.1800000000000006</v>
          </cell>
          <cell r="P226">
            <v>1.5240553745928338</v>
          </cell>
        </row>
        <row r="227">
          <cell r="C227">
            <v>5.7</v>
          </cell>
          <cell r="E227">
            <v>6.99</v>
          </cell>
          <cell r="I227">
            <v>1.7</v>
          </cell>
          <cell r="K227">
            <v>5</v>
          </cell>
          <cell r="P227">
            <v>1.5240553745928338</v>
          </cell>
        </row>
        <row r="228">
          <cell r="C228">
            <v>5.68</v>
          </cell>
          <cell r="E228">
            <v>6.99</v>
          </cell>
          <cell r="I228">
            <v>1.7</v>
          </cell>
          <cell r="K228">
            <v>5</v>
          </cell>
          <cell r="P228">
            <v>1.5240553745928338</v>
          </cell>
        </row>
        <row r="229">
          <cell r="C229">
            <v>5.54</v>
          </cell>
          <cell r="E229">
            <v>6.96</v>
          </cell>
          <cell r="P229">
            <v>1.5240553745928338</v>
          </cell>
        </row>
        <row r="230">
          <cell r="C230">
            <v>5.2</v>
          </cell>
          <cell r="E230">
            <v>6.88</v>
          </cell>
        </row>
        <row r="231">
          <cell r="C231">
            <v>5.01</v>
          </cell>
          <cell r="E231">
            <v>6.88</v>
          </cell>
        </row>
        <row r="232">
          <cell r="C232">
            <v>5.25</v>
          </cell>
          <cell r="E232">
            <v>6.96</v>
          </cell>
        </row>
        <row r="233">
          <cell r="C233">
            <v>5.0599999999999996</v>
          </cell>
          <cell r="E233">
            <v>6.84</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sheetName val="YTD"/>
    </sheetNames>
    <sheetDataSet>
      <sheetData sheetId="0" refreshError="1">
        <row r="228">
          <cell r="F228">
            <v>132455822</v>
          </cell>
        </row>
        <row r="229">
          <cell r="F229">
            <v>511435</v>
          </cell>
        </row>
        <row r="230">
          <cell r="F230">
            <v>1068814</v>
          </cell>
        </row>
        <row r="231">
          <cell r="F231">
            <v>0</v>
          </cell>
        </row>
        <row r="232">
          <cell r="F232">
            <v>-3030582</v>
          </cell>
        </row>
        <row r="235">
          <cell r="F235">
            <v>-24019021</v>
          </cell>
        </row>
        <row r="238">
          <cell r="F238">
            <v>33513872</v>
          </cell>
        </row>
        <row r="239">
          <cell r="F239">
            <v>3614267</v>
          </cell>
        </row>
        <row r="240">
          <cell r="F240">
            <v>57810514</v>
          </cell>
        </row>
        <row r="241">
          <cell r="F241">
            <v>-48702939</v>
          </cell>
        </row>
        <row r="242">
          <cell r="F242">
            <v>-1206000</v>
          </cell>
        </row>
        <row r="243">
          <cell r="F243">
            <v>0</v>
          </cell>
        </row>
        <row r="252">
          <cell r="F252">
            <v>132455822</v>
          </cell>
        </row>
        <row r="253">
          <cell r="F253">
            <v>-23394527</v>
          </cell>
        </row>
        <row r="256">
          <cell r="F256">
            <v>34380609</v>
          </cell>
        </row>
        <row r="257">
          <cell r="F257">
            <v>3750912</v>
          </cell>
        </row>
        <row r="258">
          <cell r="F258">
            <v>57381137</v>
          </cell>
        </row>
        <row r="259">
          <cell r="F259">
            <v>-48289745</v>
          </cell>
        </row>
        <row r="260">
          <cell r="F260">
            <v>-1206000</v>
          </cell>
        </row>
        <row r="261">
          <cell r="F261">
            <v>0</v>
          </cell>
        </row>
        <row r="270">
          <cell r="F270">
            <v>511435</v>
          </cell>
        </row>
        <row r="271">
          <cell r="F271">
            <v>1068814</v>
          </cell>
        </row>
        <row r="272">
          <cell r="F272">
            <v>0</v>
          </cell>
        </row>
        <row r="273">
          <cell r="F273">
            <v>158088</v>
          </cell>
        </row>
        <row r="274">
          <cell r="F274">
            <v>-3150423</v>
          </cell>
        </row>
        <row r="275">
          <cell r="F275">
            <v>-38247</v>
          </cell>
        </row>
        <row r="279">
          <cell r="F279">
            <v>-624494</v>
          </cell>
        </row>
        <row r="282">
          <cell r="F282">
            <v>-865237</v>
          </cell>
        </row>
        <row r="283">
          <cell r="F283">
            <v>-133645</v>
          </cell>
        </row>
        <row r="284">
          <cell r="F284">
            <v>429377</v>
          </cell>
        </row>
        <row r="285">
          <cell r="F285">
            <v>-413194</v>
          </cell>
        </row>
        <row r="286">
          <cell r="F286">
            <v>0</v>
          </cell>
        </row>
        <row r="287">
          <cell r="F287">
            <v>0</v>
          </cell>
        </row>
        <row r="300">
          <cell r="F300">
            <v>98164982</v>
          </cell>
        </row>
        <row r="301">
          <cell r="F301">
            <v>-18398571</v>
          </cell>
        </row>
        <row r="304">
          <cell r="F304">
            <v>18848632</v>
          </cell>
        </row>
        <row r="305">
          <cell r="F305">
            <v>1604093</v>
          </cell>
        </row>
        <row r="306">
          <cell r="F306">
            <v>41393698</v>
          </cell>
        </row>
        <row r="307">
          <cell r="F307">
            <v>-26528502</v>
          </cell>
        </row>
        <row r="308">
          <cell r="F308">
            <v>-930000</v>
          </cell>
        </row>
        <row r="309">
          <cell r="F309">
            <v>0</v>
          </cell>
        </row>
        <row r="318">
          <cell r="F318">
            <v>33328034</v>
          </cell>
        </row>
        <row r="319">
          <cell r="F319">
            <v>-4899880</v>
          </cell>
        </row>
        <row r="322">
          <cell r="F322">
            <v>15319684</v>
          </cell>
        </row>
        <row r="323">
          <cell r="F323">
            <v>2115717</v>
          </cell>
        </row>
        <row r="324">
          <cell r="F324">
            <v>15778630</v>
          </cell>
        </row>
        <row r="325">
          <cell r="F325">
            <v>-21665865</v>
          </cell>
        </row>
        <row r="326">
          <cell r="F326">
            <v>-273000</v>
          </cell>
        </row>
        <row r="327">
          <cell r="F327">
            <v>0</v>
          </cell>
        </row>
      </sheetData>
      <sheetData sheetId="1" refreshError="1">
        <row r="15">
          <cell r="G15">
            <v>-5335000</v>
          </cell>
          <cell r="H15">
            <v>-5335000</v>
          </cell>
          <cell r="I15">
            <v>-5335000</v>
          </cell>
          <cell r="K15">
            <v>-5482000</v>
          </cell>
          <cell r="L15">
            <v>-5482000</v>
          </cell>
          <cell r="M15">
            <v>-5482000</v>
          </cell>
          <cell r="N15">
            <v>-5482000</v>
          </cell>
          <cell r="O15">
            <v>-5482000</v>
          </cell>
          <cell r="P15">
            <v>-5482000</v>
          </cell>
          <cell r="U15">
            <v>-1959000</v>
          </cell>
          <cell r="V15">
            <v>-1959000</v>
          </cell>
          <cell r="W15">
            <v>-1959000</v>
          </cell>
          <cell r="X15">
            <v>-2531000</v>
          </cell>
          <cell r="Y15">
            <v>-2102000</v>
          </cell>
          <cell r="Z15">
            <v>-2102000</v>
          </cell>
          <cell r="AA15">
            <v>-2102000</v>
          </cell>
          <cell r="AB15">
            <v>-2102000</v>
          </cell>
          <cell r="AC15">
            <v>-2102000</v>
          </cell>
          <cell r="AD15">
            <v>-2102000</v>
          </cell>
          <cell r="AI15">
            <v>-26000</v>
          </cell>
          <cell r="AJ15">
            <v>-26000</v>
          </cell>
          <cell r="AK15">
            <v>-26000</v>
          </cell>
          <cell r="AL15">
            <v>-26000</v>
          </cell>
          <cell r="AM15">
            <v>-26000</v>
          </cell>
          <cell r="AN15">
            <v>-26000</v>
          </cell>
          <cell r="AO15">
            <v>-26000</v>
          </cell>
          <cell r="AP15">
            <v>-26000</v>
          </cell>
          <cell r="AQ15">
            <v>-26000</v>
          </cell>
          <cell r="AR15">
            <v>-26000</v>
          </cell>
          <cell r="AW15">
            <v>0</v>
          </cell>
          <cell r="AX15">
            <v>0</v>
          </cell>
          <cell r="AY15">
            <v>0</v>
          </cell>
          <cell r="AZ15">
            <v>0</v>
          </cell>
          <cell r="BA15">
            <v>0</v>
          </cell>
          <cell r="BB15">
            <v>0</v>
          </cell>
          <cell r="BC15">
            <v>0</v>
          </cell>
          <cell r="BD15">
            <v>0</v>
          </cell>
          <cell r="BE15">
            <v>0</v>
          </cell>
          <cell r="BF15">
            <v>0</v>
          </cell>
          <cell r="BK15">
            <v>-7320000</v>
          </cell>
          <cell r="BL15">
            <v>-7320000</v>
          </cell>
          <cell r="BM15">
            <v>-7320000</v>
          </cell>
          <cell r="BN15">
            <v>-8480000</v>
          </cell>
          <cell r="BO15">
            <v>-7610000</v>
          </cell>
          <cell r="BP15">
            <v>-7610000</v>
          </cell>
          <cell r="BQ15">
            <v>-7610000</v>
          </cell>
          <cell r="BR15">
            <v>-7610000</v>
          </cell>
          <cell r="BS15">
            <v>-7610000</v>
          </cell>
          <cell r="BT15">
            <v>-7610000</v>
          </cell>
          <cell r="BV15">
            <v>0</v>
          </cell>
        </row>
        <row r="16">
          <cell r="G16">
            <v>-7163000</v>
          </cell>
          <cell r="H16">
            <v>-7163000</v>
          </cell>
          <cell r="I16">
            <v>-7163000</v>
          </cell>
          <cell r="K16">
            <v>-7235000</v>
          </cell>
          <cell r="L16">
            <v>-7235000</v>
          </cell>
          <cell r="M16">
            <v>-7235000</v>
          </cell>
          <cell r="N16">
            <v>-7235000</v>
          </cell>
          <cell r="O16">
            <v>-7235000</v>
          </cell>
          <cell r="P16">
            <v>-7235000</v>
          </cell>
          <cell r="U16">
            <v>-2554000</v>
          </cell>
          <cell r="V16">
            <v>-2554000</v>
          </cell>
          <cell r="W16">
            <v>-2554000</v>
          </cell>
          <cell r="X16">
            <v>-2826000</v>
          </cell>
          <cell r="Y16">
            <v>-2622000</v>
          </cell>
          <cell r="Z16">
            <v>-2622000</v>
          </cell>
          <cell r="AA16">
            <v>-2622000</v>
          </cell>
          <cell r="AB16">
            <v>-2622000</v>
          </cell>
          <cell r="AC16">
            <v>-2622000</v>
          </cell>
          <cell r="AD16">
            <v>-2622000</v>
          </cell>
          <cell r="AI16">
            <v>-29000</v>
          </cell>
          <cell r="AJ16">
            <v>-29000</v>
          </cell>
          <cell r="AK16">
            <v>-29000</v>
          </cell>
          <cell r="AL16">
            <v>-29000</v>
          </cell>
          <cell r="AM16">
            <v>-29000</v>
          </cell>
          <cell r="AN16">
            <v>-29000</v>
          </cell>
          <cell r="AO16">
            <v>-29000</v>
          </cell>
          <cell r="AP16">
            <v>-29000</v>
          </cell>
          <cell r="AQ16">
            <v>-29000</v>
          </cell>
          <cell r="AR16">
            <v>-29000</v>
          </cell>
          <cell r="AW16">
            <v>-10000</v>
          </cell>
          <cell r="AX16">
            <v>-10000</v>
          </cell>
          <cell r="AY16">
            <v>-10000</v>
          </cell>
          <cell r="AZ16">
            <v>-10000</v>
          </cell>
          <cell r="BA16">
            <v>-10000</v>
          </cell>
          <cell r="BB16">
            <v>-10000</v>
          </cell>
          <cell r="BC16">
            <v>-10000</v>
          </cell>
          <cell r="BD16">
            <v>-10000</v>
          </cell>
          <cell r="BE16">
            <v>-10000</v>
          </cell>
          <cell r="BF16">
            <v>-10000</v>
          </cell>
          <cell r="BK16">
            <v>-9756000</v>
          </cell>
          <cell r="BL16">
            <v>-9756000</v>
          </cell>
          <cell r="BM16">
            <v>-9756000</v>
          </cell>
          <cell r="BN16">
            <v>-10316000</v>
          </cell>
          <cell r="BO16">
            <v>-9896000</v>
          </cell>
          <cell r="BP16">
            <v>-9896000</v>
          </cell>
          <cell r="BQ16">
            <v>-9896000</v>
          </cell>
          <cell r="BR16">
            <v>-9896000</v>
          </cell>
          <cell r="BS16">
            <v>-9896000</v>
          </cell>
          <cell r="BT16">
            <v>-9896000</v>
          </cell>
          <cell r="BV16">
            <v>0</v>
          </cell>
        </row>
        <row r="17">
          <cell r="G17">
            <v>7868000</v>
          </cell>
          <cell r="H17">
            <v>7868000</v>
          </cell>
          <cell r="I17">
            <v>7868000</v>
          </cell>
          <cell r="K17">
            <v>7982000</v>
          </cell>
          <cell r="L17">
            <v>7982000</v>
          </cell>
          <cell r="M17">
            <v>7982000</v>
          </cell>
          <cell r="N17">
            <v>7982000</v>
          </cell>
          <cell r="O17">
            <v>7982000</v>
          </cell>
          <cell r="P17">
            <v>8186232</v>
          </cell>
          <cell r="U17">
            <v>2117000</v>
          </cell>
          <cell r="V17">
            <v>2117000</v>
          </cell>
          <cell r="W17">
            <v>2117000</v>
          </cell>
          <cell r="X17">
            <v>2521000</v>
          </cell>
          <cell r="Y17">
            <v>2218000</v>
          </cell>
          <cell r="Z17">
            <v>2218000</v>
          </cell>
          <cell r="AA17">
            <v>2218000</v>
          </cell>
          <cell r="AB17">
            <v>2218000</v>
          </cell>
          <cell r="AC17">
            <v>2218000</v>
          </cell>
          <cell r="AD17">
            <v>2558277</v>
          </cell>
          <cell r="AI17">
            <v>37000</v>
          </cell>
          <cell r="AJ17">
            <v>37000</v>
          </cell>
          <cell r="AK17">
            <v>37000</v>
          </cell>
          <cell r="AL17">
            <v>37000</v>
          </cell>
          <cell r="AM17">
            <v>37000</v>
          </cell>
          <cell r="AN17">
            <v>37000</v>
          </cell>
          <cell r="AO17">
            <v>37000</v>
          </cell>
          <cell r="AP17">
            <v>37000</v>
          </cell>
          <cell r="AQ17">
            <v>37000</v>
          </cell>
          <cell r="AR17">
            <v>70949</v>
          </cell>
          <cell r="AW17">
            <v>0</v>
          </cell>
          <cell r="AX17">
            <v>0</v>
          </cell>
          <cell r="AY17">
            <v>0</v>
          </cell>
          <cell r="AZ17">
            <v>36000</v>
          </cell>
          <cell r="BA17">
            <v>9000</v>
          </cell>
          <cell r="BB17">
            <v>9000</v>
          </cell>
          <cell r="BC17">
            <v>9000</v>
          </cell>
          <cell r="BD17">
            <v>9000</v>
          </cell>
          <cell r="BE17">
            <v>9000</v>
          </cell>
          <cell r="BF17">
            <v>9000</v>
          </cell>
          <cell r="BK17">
            <v>10022000</v>
          </cell>
          <cell r="BL17">
            <v>10022000</v>
          </cell>
          <cell r="BM17">
            <v>10022000</v>
          </cell>
          <cell r="BN17">
            <v>10918000</v>
          </cell>
          <cell r="BO17">
            <v>10246000</v>
          </cell>
          <cell r="BP17">
            <v>10246000</v>
          </cell>
          <cell r="BQ17">
            <v>10246000</v>
          </cell>
          <cell r="BR17">
            <v>10246000</v>
          </cell>
          <cell r="BS17">
            <v>10246000</v>
          </cell>
          <cell r="BT17">
            <v>10824458</v>
          </cell>
          <cell r="BV17">
            <v>0</v>
          </cell>
        </row>
        <row r="18">
          <cell r="G18">
            <v>37000</v>
          </cell>
          <cell r="H18">
            <v>37000</v>
          </cell>
          <cell r="I18">
            <v>37000</v>
          </cell>
          <cell r="K18">
            <v>37000</v>
          </cell>
          <cell r="L18">
            <v>37000</v>
          </cell>
          <cell r="M18">
            <v>37000</v>
          </cell>
          <cell r="N18">
            <v>37000</v>
          </cell>
          <cell r="O18">
            <v>37000</v>
          </cell>
          <cell r="P18">
            <v>37000</v>
          </cell>
          <cell r="U18">
            <v>0</v>
          </cell>
          <cell r="V18">
            <v>0</v>
          </cell>
          <cell r="W18">
            <v>0</v>
          </cell>
          <cell r="X18">
            <v>0</v>
          </cell>
          <cell r="Y18">
            <v>0</v>
          </cell>
          <cell r="Z18">
            <v>0</v>
          </cell>
          <cell r="AA18">
            <v>0</v>
          </cell>
          <cell r="AB18">
            <v>0</v>
          </cell>
          <cell r="AC18">
            <v>0</v>
          </cell>
          <cell r="AD18">
            <v>0</v>
          </cell>
          <cell r="AI18">
            <v>0</v>
          </cell>
          <cell r="AJ18">
            <v>0</v>
          </cell>
          <cell r="AK18">
            <v>0</v>
          </cell>
          <cell r="AL18">
            <v>0</v>
          </cell>
          <cell r="AM18">
            <v>0</v>
          </cell>
          <cell r="AN18">
            <v>0</v>
          </cell>
          <cell r="AO18">
            <v>0</v>
          </cell>
          <cell r="AP18">
            <v>0</v>
          </cell>
          <cell r="AQ18">
            <v>0</v>
          </cell>
          <cell r="AR18">
            <v>0</v>
          </cell>
          <cell r="AW18">
            <v>0</v>
          </cell>
          <cell r="AX18">
            <v>0</v>
          </cell>
          <cell r="AY18">
            <v>0</v>
          </cell>
          <cell r="AZ18">
            <v>0</v>
          </cell>
          <cell r="BA18">
            <v>0</v>
          </cell>
          <cell r="BB18">
            <v>0</v>
          </cell>
          <cell r="BC18">
            <v>0</v>
          </cell>
          <cell r="BD18">
            <v>0</v>
          </cell>
          <cell r="BE18">
            <v>0</v>
          </cell>
          <cell r="BF18">
            <v>0</v>
          </cell>
          <cell r="BK18">
            <v>37000</v>
          </cell>
          <cell r="BL18">
            <v>37000</v>
          </cell>
          <cell r="BM18">
            <v>37000</v>
          </cell>
          <cell r="BN18">
            <v>37000</v>
          </cell>
          <cell r="BO18">
            <v>37000</v>
          </cell>
          <cell r="BP18">
            <v>37000</v>
          </cell>
          <cell r="BQ18">
            <v>37000</v>
          </cell>
          <cell r="BR18">
            <v>37000</v>
          </cell>
          <cell r="BS18">
            <v>37000</v>
          </cell>
          <cell r="BT18">
            <v>37000</v>
          </cell>
          <cell r="BV18">
            <v>0</v>
          </cell>
        </row>
        <row r="19">
          <cell r="G19">
            <v>20350</v>
          </cell>
          <cell r="H19">
            <v>20350</v>
          </cell>
          <cell r="I19">
            <v>20350</v>
          </cell>
          <cell r="K19">
            <v>20350</v>
          </cell>
          <cell r="L19">
            <v>20350</v>
          </cell>
          <cell r="M19">
            <v>20350</v>
          </cell>
          <cell r="N19">
            <v>20350</v>
          </cell>
          <cell r="O19">
            <v>20350</v>
          </cell>
          <cell r="P19">
            <v>20350</v>
          </cell>
          <cell r="U19">
            <v>16650</v>
          </cell>
          <cell r="V19">
            <v>16650</v>
          </cell>
          <cell r="W19">
            <v>16650</v>
          </cell>
          <cell r="X19">
            <v>16650</v>
          </cell>
          <cell r="Y19">
            <v>16650</v>
          </cell>
          <cell r="Z19">
            <v>16650</v>
          </cell>
          <cell r="AA19">
            <v>16650</v>
          </cell>
          <cell r="AB19">
            <v>16650</v>
          </cell>
          <cell r="AC19">
            <v>16650</v>
          </cell>
          <cell r="AD19">
            <v>16650</v>
          </cell>
          <cell r="AI19">
            <v>0</v>
          </cell>
          <cell r="AJ19">
            <v>0</v>
          </cell>
          <cell r="AK19">
            <v>0</v>
          </cell>
          <cell r="AL19">
            <v>0</v>
          </cell>
          <cell r="AM19">
            <v>0</v>
          </cell>
          <cell r="AN19">
            <v>0</v>
          </cell>
          <cell r="AO19">
            <v>0</v>
          </cell>
          <cell r="AP19">
            <v>0</v>
          </cell>
          <cell r="AQ19">
            <v>0</v>
          </cell>
          <cell r="AR19">
            <v>0</v>
          </cell>
          <cell r="AW19">
            <v>0</v>
          </cell>
          <cell r="AX19">
            <v>0</v>
          </cell>
          <cell r="AY19">
            <v>0</v>
          </cell>
          <cell r="AZ19">
            <v>0</v>
          </cell>
          <cell r="BA19">
            <v>0</v>
          </cell>
          <cell r="BB19">
            <v>0</v>
          </cell>
          <cell r="BC19">
            <v>0</v>
          </cell>
          <cell r="BD19">
            <v>0</v>
          </cell>
          <cell r="BE19">
            <v>0</v>
          </cell>
          <cell r="BF19">
            <v>0</v>
          </cell>
          <cell r="BK19">
            <v>37000</v>
          </cell>
          <cell r="BL19">
            <v>37000</v>
          </cell>
          <cell r="BM19">
            <v>37000</v>
          </cell>
          <cell r="BN19">
            <v>37000</v>
          </cell>
          <cell r="BO19">
            <v>37000</v>
          </cell>
          <cell r="BP19">
            <v>37000</v>
          </cell>
          <cell r="BQ19">
            <v>37000</v>
          </cell>
          <cell r="BR19">
            <v>37000</v>
          </cell>
          <cell r="BS19">
            <v>37000</v>
          </cell>
          <cell r="BT19">
            <v>37000</v>
          </cell>
          <cell r="BV19">
            <v>0</v>
          </cell>
        </row>
        <row r="20">
          <cell r="G20">
            <v>0</v>
          </cell>
          <cell r="H20">
            <v>0</v>
          </cell>
          <cell r="I20">
            <v>0</v>
          </cell>
          <cell r="K20">
            <v>0</v>
          </cell>
          <cell r="L20">
            <v>0</v>
          </cell>
          <cell r="M20">
            <v>0</v>
          </cell>
          <cell r="N20">
            <v>0</v>
          </cell>
          <cell r="O20">
            <v>0</v>
          </cell>
          <cell r="P20">
            <v>0</v>
          </cell>
          <cell r="U20">
            <v>0</v>
          </cell>
          <cell r="V20">
            <v>0</v>
          </cell>
          <cell r="W20">
            <v>0</v>
          </cell>
          <cell r="X20">
            <v>0</v>
          </cell>
          <cell r="Y20">
            <v>0</v>
          </cell>
          <cell r="Z20">
            <v>0</v>
          </cell>
          <cell r="AA20">
            <v>0</v>
          </cell>
          <cell r="AB20">
            <v>0</v>
          </cell>
          <cell r="AC20">
            <v>0</v>
          </cell>
          <cell r="AD20">
            <v>0</v>
          </cell>
          <cell r="AI20">
            <v>0</v>
          </cell>
          <cell r="AJ20">
            <v>0</v>
          </cell>
          <cell r="AK20">
            <v>0</v>
          </cell>
          <cell r="AL20">
            <v>0</v>
          </cell>
          <cell r="AM20">
            <v>0</v>
          </cell>
          <cell r="AN20">
            <v>0</v>
          </cell>
          <cell r="AO20">
            <v>0</v>
          </cell>
          <cell r="AP20">
            <v>0</v>
          </cell>
          <cell r="AQ20">
            <v>0</v>
          </cell>
          <cell r="AR20">
            <v>0</v>
          </cell>
          <cell r="AW20">
            <v>9000</v>
          </cell>
          <cell r="AX20">
            <v>9000</v>
          </cell>
          <cell r="AY20">
            <v>9000</v>
          </cell>
          <cell r="AZ20">
            <v>-27000</v>
          </cell>
          <cell r="BA20">
            <v>0</v>
          </cell>
          <cell r="BB20">
            <v>0</v>
          </cell>
          <cell r="BC20">
            <v>0</v>
          </cell>
          <cell r="BD20">
            <v>0</v>
          </cell>
          <cell r="BE20">
            <v>0</v>
          </cell>
          <cell r="BF20">
            <v>0</v>
          </cell>
          <cell r="BK20">
            <v>9000</v>
          </cell>
          <cell r="BL20">
            <v>9000</v>
          </cell>
          <cell r="BM20">
            <v>9000</v>
          </cell>
          <cell r="BN20">
            <v>-27000</v>
          </cell>
          <cell r="BO20">
            <v>0</v>
          </cell>
          <cell r="BP20">
            <v>0</v>
          </cell>
          <cell r="BQ20">
            <v>0</v>
          </cell>
          <cell r="BR20">
            <v>0</v>
          </cell>
          <cell r="BS20">
            <v>0</v>
          </cell>
          <cell r="BT20">
            <v>0</v>
          </cell>
          <cell r="BV20">
            <v>0</v>
          </cell>
        </row>
        <row r="21">
          <cell r="G21">
            <v>0</v>
          </cell>
          <cell r="H21">
            <v>0</v>
          </cell>
          <cell r="I21">
            <v>0</v>
          </cell>
          <cell r="K21">
            <v>0</v>
          </cell>
          <cell r="L21">
            <v>0</v>
          </cell>
          <cell r="M21">
            <v>0</v>
          </cell>
          <cell r="N21">
            <v>0</v>
          </cell>
          <cell r="O21">
            <v>0</v>
          </cell>
          <cell r="P21">
            <v>0</v>
          </cell>
          <cell r="U21">
            <v>0</v>
          </cell>
          <cell r="V21">
            <v>0</v>
          </cell>
          <cell r="W21">
            <v>0</v>
          </cell>
          <cell r="X21">
            <v>0</v>
          </cell>
          <cell r="Y21">
            <v>0</v>
          </cell>
          <cell r="Z21">
            <v>0</v>
          </cell>
          <cell r="AA21">
            <v>0</v>
          </cell>
          <cell r="AB21">
            <v>0</v>
          </cell>
          <cell r="AC21">
            <v>0</v>
          </cell>
          <cell r="AD21">
            <v>0</v>
          </cell>
          <cell r="AI21">
            <v>0</v>
          </cell>
          <cell r="AJ21">
            <v>0</v>
          </cell>
          <cell r="AK21">
            <v>0</v>
          </cell>
          <cell r="AL21">
            <v>0</v>
          </cell>
          <cell r="AM21">
            <v>0</v>
          </cell>
          <cell r="AN21">
            <v>0</v>
          </cell>
          <cell r="AO21">
            <v>0</v>
          </cell>
          <cell r="AP21">
            <v>0</v>
          </cell>
          <cell r="AQ21">
            <v>0</v>
          </cell>
          <cell r="AR21">
            <v>0</v>
          </cell>
          <cell r="AW21">
            <v>0</v>
          </cell>
          <cell r="AX21">
            <v>0</v>
          </cell>
          <cell r="AY21">
            <v>0</v>
          </cell>
          <cell r="AZ21">
            <v>0</v>
          </cell>
          <cell r="BA21">
            <v>0</v>
          </cell>
          <cell r="BB21">
            <v>0</v>
          </cell>
          <cell r="BC21">
            <v>0</v>
          </cell>
          <cell r="BD21">
            <v>0</v>
          </cell>
          <cell r="BE21">
            <v>0</v>
          </cell>
          <cell r="BF21">
            <v>0</v>
          </cell>
          <cell r="BK21">
            <v>0</v>
          </cell>
          <cell r="BL21">
            <v>0</v>
          </cell>
          <cell r="BM21">
            <v>0</v>
          </cell>
          <cell r="BN21">
            <v>0</v>
          </cell>
          <cell r="BO21">
            <v>0</v>
          </cell>
          <cell r="BP21">
            <v>0</v>
          </cell>
          <cell r="BQ21">
            <v>0</v>
          </cell>
          <cell r="BR21">
            <v>0</v>
          </cell>
          <cell r="BS21">
            <v>0</v>
          </cell>
          <cell r="BT21">
            <v>0</v>
          </cell>
          <cell r="BV21">
            <v>0</v>
          </cell>
        </row>
        <row r="22">
          <cell r="G22">
            <v>484479</v>
          </cell>
          <cell r="H22">
            <v>500754</v>
          </cell>
          <cell r="I22">
            <v>438616</v>
          </cell>
          <cell r="K22">
            <v>460630</v>
          </cell>
          <cell r="L22">
            <v>431003</v>
          </cell>
          <cell r="M22">
            <v>546087</v>
          </cell>
          <cell r="N22">
            <v>453536</v>
          </cell>
          <cell r="O22">
            <v>432996</v>
          </cell>
          <cell r="P22">
            <v>448560</v>
          </cell>
          <cell r="U22">
            <v>267404</v>
          </cell>
          <cell r="V22">
            <v>275582</v>
          </cell>
          <cell r="W22">
            <v>241960</v>
          </cell>
          <cell r="X22">
            <v>260266</v>
          </cell>
          <cell r="Y22">
            <v>253828</v>
          </cell>
          <cell r="Z22">
            <v>233258</v>
          </cell>
          <cell r="AA22">
            <v>259664</v>
          </cell>
          <cell r="AB22">
            <v>243865</v>
          </cell>
          <cell r="AC22">
            <v>238878</v>
          </cell>
          <cell r="AD22">
            <v>241422</v>
          </cell>
          <cell r="AI22">
            <v>1248</v>
          </cell>
          <cell r="AJ22">
            <v>1279</v>
          </cell>
          <cell r="AK22">
            <v>1163</v>
          </cell>
          <cell r="AL22">
            <v>1230</v>
          </cell>
          <cell r="AM22">
            <v>1210</v>
          </cell>
          <cell r="AN22">
            <v>1082</v>
          </cell>
          <cell r="AO22">
            <v>-189</v>
          </cell>
          <cell r="AP22">
            <v>975</v>
          </cell>
          <cell r="AQ22">
            <v>1149</v>
          </cell>
          <cell r="AR22">
            <v>967</v>
          </cell>
          <cell r="AW22">
            <v>0</v>
          </cell>
          <cell r="AX22">
            <v>0</v>
          </cell>
          <cell r="AY22">
            <v>0</v>
          </cell>
          <cell r="AZ22">
            <v>0</v>
          </cell>
          <cell r="BA22">
            <v>0</v>
          </cell>
          <cell r="BB22">
            <v>0</v>
          </cell>
          <cell r="BC22">
            <v>0</v>
          </cell>
          <cell r="BD22">
            <v>0</v>
          </cell>
          <cell r="BE22">
            <v>0</v>
          </cell>
          <cell r="BF22">
            <v>0</v>
          </cell>
          <cell r="BK22">
            <v>753131</v>
          </cell>
          <cell r="BL22">
            <v>777615</v>
          </cell>
          <cell r="BM22">
            <v>681739</v>
          </cell>
          <cell r="BN22">
            <v>733385</v>
          </cell>
          <cell r="BO22">
            <v>715668</v>
          </cell>
          <cell r="BP22">
            <v>665343</v>
          </cell>
          <cell r="BQ22">
            <v>805562</v>
          </cell>
          <cell r="BR22">
            <v>698376</v>
          </cell>
          <cell r="BS22">
            <v>673023</v>
          </cell>
          <cell r="BT22">
            <v>690949</v>
          </cell>
          <cell r="BV22">
            <v>0</v>
          </cell>
        </row>
        <row r="23">
          <cell r="G23">
            <v>-1268</v>
          </cell>
          <cell r="H23">
            <v>-1268</v>
          </cell>
          <cell r="I23">
            <v>-1268</v>
          </cell>
          <cell r="K23">
            <v>-988</v>
          </cell>
          <cell r="L23">
            <v>-988</v>
          </cell>
          <cell r="M23">
            <v>-988</v>
          </cell>
          <cell r="N23">
            <v>-988</v>
          </cell>
          <cell r="O23">
            <v>-988</v>
          </cell>
          <cell r="P23">
            <v>-988</v>
          </cell>
          <cell r="U23">
            <v>11195</v>
          </cell>
          <cell r="V23">
            <v>11195</v>
          </cell>
          <cell r="W23">
            <v>11195</v>
          </cell>
          <cell r="X23">
            <v>11195</v>
          </cell>
          <cell r="Y23">
            <v>11195</v>
          </cell>
          <cell r="Z23">
            <v>11195</v>
          </cell>
          <cell r="AA23">
            <v>11195</v>
          </cell>
          <cell r="AB23">
            <v>11195</v>
          </cell>
          <cell r="AC23">
            <v>11195</v>
          </cell>
          <cell r="AD23">
            <v>11195</v>
          </cell>
          <cell r="AI23">
            <v>0</v>
          </cell>
          <cell r="AJ23">
            <v>0</v>
          </cell>
          <cell r="AK23">
            <v>0</v>
          </cell>
          <cell r="AL23">
            <v>0</v>
          </cell>
          <cell r="AM23">
            <v>0</v>
          </cell>
          <cell r="AN23">
            <v>0</v>
          </cell>
          <cell r="AO23">
            <v>0</v>
          </cell>
          <cell r="AP23">
            <v>0</v>
          </cell>
          <cell r="AQ23">
            <v>0</v>
          </cell>
          <cell r="AR23">
            <v>0</v>
          </cell>
          <cell r="AW23">
            <v>0</v>
          </cell>
          <cell r="AX23">
            <v>0</v>
          </cell>
          <cell r="AY23">
            <v>0</v>
          </cell>
          <cell r="AZ23">
            <v>0</v>
          </cell>
          <cell r="BA23">
            <v>0</v>
          </cell>
          <cell r="BB23">
            <v>0</v>
          </cell>
          <cell r="BC23">
            <v>0</v>
          </cell>
          <cell r="BD23">
            <v>0</v>
          </cell>
          <cell r="BE23">
            <v>0</v>
          </cell>
          <cell r="BF23">
            <v>0</v>
          </cell>
          <cell r="BK23">
            <v>9927</v>
          </cell>
          <cell r="BL23">
            <v>9927</v>
          </cell>
          <cell r="BM23">
            <v>9927</v>
          </cell>
          <cell r="BN23">
            <v>10207</v>
          </cell>
          <cell r="BO23">
            <v>10207</v>
          </cell>
          <cell r="BP23">
            <v>10207</v>
          </cell>
          <cell r="BQ23">
            <v>10207</v>
          </cell>
          <cell r="BR23">
            <v>10207</v>
          </cell>
          <cell r="BS23">
            <v>10207</v>
          </cell>
          <cell r="BT23">
            <v>10207</v>
          </cell>
          <cell r="BV23">
            <v>0</v>
          </cell>
        </row>
        <row r="24">
          <cell r="G24">
            <v>-192437</v>
          </cell>
          <cell r="H24">
            <v>-192768</v>
          </cell>
          <cell r="I24">
            <v>-289839</v>
          </cell>
          <cell r="K24">
            <v>-437976</v>
          </cell>
          <cell r="L24">
            <v>-292691</v>
          </cell>
          <cell r="M24">
            <v>-411551</v>
          </cell>
          <cell r="N24">
            <v>-194746</v>
          </cell>
          <cell r="O24">
            <v>-633697</v>
          </cell>
          <cell r="P24">
            <v>-295158</v>
          </cell>
          <cell r="U24">
            <v>-109441</v>
          </cell>
          <cell r="V24">
            <v>-109263</v>
          </cell>
          <cell r="W24">
            <v>-198256</v>
          </cell>
          <cell r="X24">
            <v>-78505</v>
          </cell>
          <cell r="Y24">
            <v>-87649</v>
          </cell>
          <cell r="Z24">
            <v>-80823</v>
          </cell>
          <cell r="AA24">
            <v>-99514</v>
          </cell>
          <cell r="AB24">
            <v>-70115</v>
          </cell>
          <cell r="AC24">
            <v>-86148</v>
          </cell>
          <cell r="AD24">
            <v>-111014</v>
          </cell>
          <cell r="AI24">
            <v>0</v>
          </cell>
          <cell r="AJ24">
            <v>-17311.43</v>
          </cell>
          <cell r="AK24">
            <v>-906.84</v>
          </cell>
          <cell r="AL24">
            <v>0</v>
          </cell>
          <cell r="AM24">
            <v>0</v>
          </cell>
          <cell r="AN24">
            <v>-1000</v>
          </cell>
          <cell r="AO24">
            <v>0</v>
          </cell>
          <cell r="AP24">
            <v>-3000</v>
          </cell>
          <cell r="AQ24">
            <v>0</v>
          </cell>
          <cell r="AR24">
            <v>0</v>
          </cell>
          <cell r="AW24">
            <v>0</v>
          </cell>
          <cell r="AX24">
            <v>0</v>
          </cell>
          <cell r="AY24">
            <v>0</v>
          </cell>
          <cell r="AZ24">
            <v>0</v>
          </cell>
          <cell r="BA24">
            <v>0</v>
          </cell>
          <cell r="BB24">
            <v>0</v>
          </cell>
          <cell r="BC24">
            <v>0</v>
          </cell>
          <cell r="BD24">
            <v>0</v>
          </cell>
          <cell r="BE24">
            <v>0</v>
          </cell>
          <cell r="BF24">
            <v>0</v>
          </cell>
          <cell r="BK24">
            <v>-301878</v>
          </cell>
          <cell r="BL24">
            <v>-319342.43</v>
          </cell>
          <cell r="BM24">
            <v>-489001.84</v>
          </cell>
          <cell r="BN24">
            <v>-163922</v>
          </cell>
          <cell r="BO24">
            <v>-525625</v>
          </cell>
          <cell r="BP24">
            <v>-374514</v>
          </cell>
          <cell r="BQ24">
            <v>-511065</v>
          </cell>
          <cell r="BR24">
            <v>-267861</v>
          </cell>
          <cell r="BS24">
            <v>-719845</v>
          </cell>
          <cell r="BT24">
            <v>-406172</v>
          </cell>
          <cell r="BV24">
            <v>0</v>
          </cell>
        </row>
        <row r="25">
          <cell r="G25">
            <v>956066</v>
          </cell>
          <cell r="H25">
            <v>1921255</v>
          </cell>
          <cell r="I25">
            <v>1541765</v>
          </cell>
          <cell r="K25">
            <v>2380916</v>
          </cell>
          <cell r="L25">
            <v>2018738</v>
          </cell>
          <cell r="M25">
            <v>2388247</v>
          </cell>
          <cell r="N25">
            <v>1818802</v>
          </cell>
          <cell r="O25">
            <v>1336238</v>
          </cell>
          <cell r="P25">
            <v>2301732</v>
          </cell>
          <cell r="U25">
            <v>112993</v>
          </cell>
          <cell r="V25">
            <v>213231</v>
          </cell>
          <cell r="W25">
            <v>989220</v>
          </cell>
          <cell r="X25">
            <v>388512</v>
          </cell>
          <cell r="Y25">
            <v>610564</v>
          </cell>
          <cell r="Z25">
            <v>684297</v>
          </cell>
          <cell r="AA25">
            <v>915699</v>
          </cell>
          <cell r="AB25">
            <v>735829</v>
          </cell>
          <cell r="AC25">
            <v>615519</v>
          </cell>
          <cell r="AD25">
            <v>984514</v>
          </cell>
          <cell r="AI25">
            <v>0</v>
          </cell>
          <cell r="AJ25">
            <v>0</v>
          </cell>
          <cell r="AK25">
            <v>0</v>
          </cell>
          <cell r="AL25">
            <v>0</v>
          </cell>
          <cell r="AM25">
            <v>0</v>
          </cell>
          <cell r="AN25">
            <v>0</v>
          </cell>
          <cell r="AO25">
            <v>0</v>
          </cell>
          <cell r="AP25">
            <v>0</v>
          </cell>
          <cell r="AQ25">
            <v>0</v>
          </cell>
          <cell r="AR25">
            <v>0</v>
          </cell>
          <cell r="AW25">
            <v>0</v>
          </cell>
          <cell r="AX25">
            <v>0</v>
          </cell>
          <cell r="AY25">
            <v>0</v>
          </cell>
          <cell r="AZ25">
            <v>0</v>
          </cell>
          <cell r="BA25">
            <v>0</v>
          </cell>
          <cell r="BB25">
            <v>0</v>
          </cell>
          <cell r="BC25">
            <v>0</v>
          </cell>
          <cell r="BD25">
            <v>0</v>
          </cell>
          <cell r="BE25">
            <v>0</v>
          </cell>
          <cell r="BF25">
            <v>0</v>
          </cell>
          <cell r="BK25">
            <v>1069059</v>
          </cell>
          <cell r="BL25">
            <v>2134486</v>
          </cell>
          <cell r="BM25">
            <v>2530985</v>
          </cell>
          <cell r="BN25">
            <v>2129847</v>
          </cell>
          <cell r="BO25">
            <v>2991480</v>
          </cell>
          <cell r="BP25">
            <v>2703035</v>
          </cell>
          <cell r="BQ25">
            <v>3303946</v>
          </cell>
          <cell r="BR25">
            <v>2554631</v>
          </cell>
          <cell r="BS25">
            <v>1951757</v>
          </cell>
          <cell r="BT25">
            <v>3286246</v>
          </cell>
          <cell r="BV25">
            <v>0</v>
          </cell>
        </row>
        <row r="26">
          <cell r="G26">
            <v>0</v>
          </cell>
          <cell r="H26">
            <v>0</v>
          </cell>
          <cell r="I26">
            <v>0</v>
          </cell>
          <cell r="K26">
            <v>0</v>
          </cell>
          <cell r="L26">
            <v>0</v>
          </cell>
          <cell r="M26">
            <v>0</v>
          </cell>
          <cell r="N26">
            <v>0</v>
          </cell>
          <cell r="O26">
            <v>0</v>
          </cell>
          <cell r="P26">
            <v>0</v>
          </cell>
          <cell r="U26">
            <v>0</v>
          </cell>
          <cell r="V26">
            <v>0</v>
          </cell>
          <cell r="W26">
            <v>0</v>
          </cell>
          <cell r="X26">
            <v>0</v>
          </cell>
          <cell r="Y26">
            <v>0</v>
          </cell>
          <cell r="Z26">
            <v>0</v>
          </cell>
          <cell r="AA26">
            <v>0</v>
          </cell>
          <cell r="AB26">
            <v>0</v>
          </cell>
          <cell r="AC26">
            <v>0</v>
          </cell>
          <cell r="AD26">
            <v>0</v>
          </cell>
          <cell r="AI26">
            <v>0</v>
          </cell>
          <cell r="AJ26">
            <v>0</v>
          </cell>
          <cell r="AK26">
            <v>0</v>
          </cell>
          <cell r="AL26">
            <v>0</v>
          </cell>
          <cell r="AM26">
            <v>0</v>
          </cell>
          <cell r="AN26">
            <v>0</v>
          </cell>
          <cell r="AO26">
            <v>0</v>
          </cell>
          <cell r="AP26">
            <v>0</v>
          </cell>
          <cell r="AQ26">
            <v>0</v>
          </cell>
          <cell r="AR26">
            <v>0</v>
          </cell>
          <cell r="AW26">
            <v>0</v>
          </cell>
          <cell r="AX26">
            <v>0</v>
          </cell>
          <cell r="AY26">
            <v>0</v>
          </cell>
          <cell r="AZ26">
            <v>0</v>
          </cell>
          <cell r="BA26">
            <v>0</v>
          </cell>
          <cell r="BB26">
            <v>0</v>
          </cell>
          <cell r="BC26">
            <v>0</v>
          </cell>
          <cell r="BD26">
            <v>0</v>
          </cell>
          <cell r="BE26">
            <v>0</v>
          </cell>
          <cell r="BF26">
            <v>0</v>
          </cell>
          <cell r="BK26">
            <v>0</v>
          </cell>
          <cell r="BL26">
            <v>0</v>
          </cell>
          <cell r="BM26">
            <v>0</v>
          </cell>
          <cell r="BN26">
            <v>0</v>
          </cell>
          <cell r="BO26">
            <v>0</v>
          </cell>
          <cell r="BP26">
            <v>0</v>
          </cell>
          <cell r="BQ26">
            <v>0</v>
          </cell>
          <cell r="BR26">
            <v>0</v>
          </cell>
          <cell r="BS26">
            <v>0</v>
          </cell>
          <cell r="BT26">
            <v>0</v>
          </cell>
          <cell r="BV26">
            <v>0</v>
          </cell>
        </row>
        <row r="27">
          <cell r="G27">
            <v>142781</v>
          </cell>
          <cell r="H27">
            <v>240124</v>
          </cell>
          <cell r="I27">
            <v>301638</v>
          </cell>
          <cell r="K27">
            <v>341130</v>
          </cell>
          <cell r="L27">
            <v>588342</v>
          </cell>
          <cell r="M27">
            <v>587867</v>
          </cell>
          <cell r="N27">
            <v>443396</v>
          </cell>
          <cell r="O27">
            <v>476952</v>
          </cell>
          <cell r="P27">
            <v>408635</v>
          </cell>
          <cell r="U27">
            <v>59998</v>
          </cell>
          <cell r="V27">
            <v>66722</v>
          </cell>
          <cell r="W27">
            <v>143129</v>
          </cell>
          <cell r="X27">
            <v>102264</v>
          </cell>
          <cell r="Y27">
            <v>58749</v>
          </cell>
          <cell r="Z27">
            <v>135526</v>
          </cell>
          <cell r="AA27">
            <v>139809</v>
          </cell>
          <cell r="AB27">
            <v>155433</v>
          </cell>
          <cell r="AC27">
            <v>179906</v>
          </cell>
          <cell r="AD27">
            <v>170622</v>
          </cell>
          <cell r="AI27">
            <v>0</v>
          </cell>
          <cell r="AJ27">
            <v>2</v>
          </cell>
          <cell r="AK27">
            <v>86</v>
          </cell>
          <cell r="AL27">
            <v>87</v>
          </cell>
          <cell r="AM27">
            <v>666</v>
          </cell>
          <cell r="AN27">
            <v>341</v>
          </cell>
          <cell r="AO27">
            <v>283</v>
          </cell>
          <cell r="AP27">
            <v>1185</v>
          </cell>
          <cell r="AQ27">
            <v>2033</v>
          </cell>
          <cell r="AR27">
            <v>625</v>
          </cell>
          <cell r="AW27">
            <v>0</v>
          </cell>
          <cell r="AX27">
            <v>0</v>
          </cell>
          <cell r="AY27">
            <v>0</v>
          </cell>
          <cell r="AZ27">
            <v>0</v>
          </cell>
          <cell r="BA27">
            <v>0</v>
          </cell>
          <cell r="BB27">
            <v>0</v>
          </cell>
          <cell r="BC27">
            <v>0</v>
          </cell>
          <cell r="BD27">
            <v>0</v>
          </cell>
          <cell r="BE27">
            <v>0</v>
          </cell>
          <cell r="BF27">
            <v>0</v>
          </cell>
          <cell r="BK27">
            <v>202779</v>
          </cell>
          <cell r="BL27">
            <v>306848</v>
          </cell>
          <cell r="BM27">
            <v>444853</v>
          </cell>
          <cell r="BN27">
            <v>522897</v>
          </cell>
          <cell r="BO27">
            <v>400545</v>
          </cell>
          <cell r="BP27">
            <v>724209</v>
          </cell>
          <cell r="BQ27">
            <v>727959</v>
          </cell>
          <cell r="BR27">
            <v>600014</v>
          </cell>
          <cell r="BS27">
            <v>658891</v>
          </cell>
          <cell r="BT27">
            <v>579882</v>
          </cell>
          <cell r="BV27">
            <v>0</v>
          </cell>
        </row>
        <row r="28">
          <cell r="G28">
            <v>0</v>
          </cell>
          <cell r="H28">
            <v>0</v>
          </cell>
          <cell r="I28">
            <v>0</v>
          </cell>
          <cell r="K28">
            <v>0</v>
          </cell>
          <cell r="L28">
            <v>0</v>
          </cell>
          <cell r="M28">
            <v>0</v>
          </cell>
          <cell r="N28">
            <v>0</v>
          </cell>
          <cell r="O28">
            <v>0</v>
          </cell>
          <cell r="P28">
            <v>0</v>
          </cell>
          <cell r="U28">
            <v>0</v>
          </cell>
          <cell r="V28">
            <v>0</v>
          </cell>
          <cell r="W28">
            <v>0</v>
          </cell>
          <cell r="X28">
            <v>0</v>
          </cell>
          <cell r="Y28">
            <v>0</v>
          </cell>
          <cell r="Z28">
            <v>0</v>
          </cell>
          <cell r="AA28">
            <v>0</v>
          </cell>
          <cell r="AB28">
            <v>0</v>
          </cell>
          <cell r="AC28">
            <v>0</v>
          </cell>
          <cell r="AD28">
            <v>0</v>
          </cell>
          <cell r="AI28">
            <v>0</v>
          </cell>
          <cell r="AJ28">
            <v>0</v>
          </cell>
          <cell r="AK28">
            <v>0</v>
          </cell>
          <cell r="AL28">
            <v>0</v>
          </cell>
          <cell r="AM28">
            <v>0</v>
          </cell>
          <cell r="AN28">
            <v>0</v>
          </cell>
          <cell r="AO28">
            <v>0</v>
          </cell>
          <cell r="AP28">
            <v>0</v>
          </cell>
          <cell r="AQ28">
            <v>0</v>
          </cell>
          <cell r="AR28">
            <v>0</v>
          </cell>
          <cell r="AW28">
            <v>-238</v>
          </cell>
          <cell r="AX28">
            <v>-238</v>
          </cell>
          <cell r="AY28">
            <v>-238</v>
          </cell>
          <cell r="AZ28">
            <v>-238</v>
          </cell>
          <cell r="BA28">
            <v>-238</v>
          </cell>
          <cell r="BB28">
            <v>-238</v>
          </cell>
          <cell r="BC28">
            <v>-238</v>
          </cell>
          <cell r="BD28">
            <v>-238</v>
          </cell>
          <cell r="BE28">
            <v>-238</v>
          </cell>
          <cell r="BF28">
            <v>-238</v>
          </cell>
          <cell r="BK28">
            <v>-238</v>
          </cell>
          <cell r="BL28">
            <v>-238</v>
          </cell>
          <cell r="BM28">
            <v>-238</v>
          </cell>
          <cell r="BN28">
            <v>-238</v>
          </cell>
          <cell r="BO28">
            <v>-238</v>
          </cell>
          <cell r="BP28">
            <v>-238</v>
          </cell>
          <cell r="BQ28">
            <v>-238</v>
          </cell>
          <cell r="BR28">
            <v>-238</v>
          </cell>
          <cell r="BS28">
            <v>-238</v>
          </cell>
          <cell r="BT28">
            <v>-238</v>
          </cell>
          <cell r="BV28">
            <v>0</v>
          </cell>
        </row>
        <row r="29">
          <cell r="G29">
            <v>-844661</v>
          </cell>
          <cell r="H29">
            <v>-824977</v>
          </cell>
          <cell r="I29">
            <v>-942494</v>
          </cell>
          <cell r="K29">
            <v>-736869</v>
          </cell>
          <cell r="L29">
            <v>-917379</v>
          </cell>
          <cell r="M29">
            <v>-959008</v>
          </cell>
          <cell r="N29">
            <v>-1469594</v>
          </cell>
          <cell r="O29">
            <v>-813515</v>
          </cell>
          <cell r="P29">
            <v>-1064314</v>
          </cell>
          <cell r="U29">
            <v>-540029</v>
          </cell>
          <cell r="V29">
            <v>-527444</v>
          </cell>
          <cell r="W29">
            <v>-602578</v>
          </cell>
          <cell r="X29">
            <v>-510784</v>
          </cell>
          <cell r="Y29">
            <v>-471113</v>
          </cell>
          <cell r="Z29">
            <v>-586521</v>
          </cell>
          <cell r="AA29">
            <v>-613136</v>
          </cell>
          <cell r="AB29">
            <v>-939576</v>
          </cell>
          <cell r="AC29">
            <v>-520116</v>
          </cell>
          <cell r="AD29">
            <v>-680463</v>
          </cell>
          <cell r="AI29">
            <v>0</v>
          </cell>
          <cell r="AJ29">
            <v>0</v>
          </cell>
          <cell r="AK29">
            <v>0</v>
          </cell>
          <cell r="AL29">
            <v>0</v>
          </cell>
          <cell r="AM29">
            <v>0</v>
          </cell>
          <cell r="AN29">
            <v>0</v>
          </cell>
          <cell r="AO29">
            <v>0</v>
          </cell>
          <cell r="AP29">
            <v>0</v>
          </cell>
          <cell r="AQ29">
            <v>0</v>
          </cell>
          <cell r="AR29">
            <v>0</v>
          </cell>
          <cell r="AW29">
            <v>0</v>
          </cell>
          <cell r="AX29">
            <v>0</v>
          </cell>
          <cell r="AY29">
            <v>0</v>
          </cell>
          <cell r="AZ29">
            <v>0</v>
          </cell>
          <cell r="BA29">
            <v>0</v>
          </cell>
          <cell r="BB29">
            <v>0</v>
          </cell>
          <cell r="BC29">
            <v>0</v>
          </cell>
          <cell r="BD29">
            <v>0</v>
          </cell>
          <cell r="BE29">
            <v>0</v>
          </cell>
          <cell r="BF29">
            <v>0</v>
          </cell>
          <cell r="BK29">
            <v>-1384690</v>
          </cell>
          <cell r="BL29">
            <v>-1352421</v>
          </cell>
          <cell r="BM29">
            <v>-1545072</v>
          </cell>
          <cell r="BN29">
            <v>-1309703</v>
          </cell>
          <cell r="BO29">
            <v>-1207982</v>
          </cell>
          <cell r="BP29">
            <v>-1503900</v>
          </cell>
          <cell r="BQ29">
            <v>-1572144</v>
          </cell>
          <cell r="BR29">
            <v>-2409170</v>
          </cell>
          <cell r="BS29">
            <v>-1333631</v>
          </cell>
          <cell r="BT29">
            <v>-1744777</v>
          </cell>
          <cell r="BV29">
            <v>0</v>
          </cell>
        </row>
        <row r="30">
          <cell r="G30">
            <v>430169</v>
          </cell>
          <cell r="H30">
            <v>601988</v>
          </cell>
          <cell r="I30">
            <v>134402</v>
          </cell>
          <cell r="K30">
            <v>238834</v>
          </cell>
          <cell r="L30">
            <v>236765</v>
          </cell>
          <cell r="M30">
            <v>252961</v>
          </cell>
          <cell r="N30">
            <v>240292</v>
          </cell>
          <cell r="O30">
            <v>262168</v>
          </cell>
          <cell r="P30">
            <v>281892</v>
          </cell>
          <cell r="U30">
            <v>106909</v>
          </cell>
          <cell r="V30">
            <v>-32883</v>
          </cell>
          <cell r="W30">
            <v>-62971</v>
          </cell>
          <cell r="X30">
            <v>187917</v>
          </cell>
          <cell r="Y30">
            <v>39262</v>
          </cell>
          <cell r="Z30">
            <v>45215</v>
          </cell>
          <cell r="AA30">
            <v>57031</v>
          </cell>
          <cell r="AB30">
            <v>53361</v>
          </cell>
          <cell r="AC30">
            <v>66768</v>
          </cell>
          <cell r="AD30">
            <v>63639</v>
          </cell>
          <cell r="AI30">
            <v>2049</v>
          </cell>
          <cell r="AJ30">
            <v>-1945</v>
          </cell>
          <cell r="AK30">
            <v>-2119</v>
          </cell>
          <cell r="AL30">
            <v>2159</v>
          </cell>
          <cell r="AM30">
            <v>482</v>
          </cell>
          <cell r="AN30">
            <v>147</v>
          </cell>
          <cell r="AO30">
            <v>89</v>
          </cell>
          <cell r="AP30">
            <v>341</v>
          </cell>
          <cell r="AQ30">
            <v>348</v>
          </cell>
          <cell r="AR30">
            <v>121</v>
          </cell>
          <cell r="AW30">
            <v>0</v>
          </cell>
          <cell r="AX30">
            <v>0</v>
          </cell>
          <cell r="AY30">
            <v>0</v>
          </cell>
          <cell r="AZ30">
            <v>0</v>
          </cell>
          <cell r="BA30">
            <v>0</v>
          </cell>
          <cell r="BB30">
            <v>0</v>
          </cell>
          <cell r="BC30">
            <v>0</v>
          </cell>
          <cell r="BD30">
            <v>0</v>
          </cell>
          <cell r="BE30">
            <v>0</v>
          </cell>
          <cell r="BF30">
            <v>0</v>
          </cell>
          <cell r="BK30">
            <v>539127</v>
          </cell>
          <cell r="BL30">
            <v>567160</v>
          </cell>
          <cell r="BM30">
            <v>69312</v>
          </cell>
          <cell r="BN30">
            <v>1000839</v>
          </cell>
          <cell r="BO30">
            <v>278578</v>
          </cell>
          <cell r="BP30">
            <v>282127</v>
          </cell>
          <cell r="BQ30">
            <v>310081</v>
          </cell>
          <cell r="BR30">
            <v>293994</v>
          </cell>
          <cell r="BS30">
            <v>329284</v>
          </cell>
          <cell r="BT30">
            <v>345652</v>
          </cell>
          <cell r="BV30">
            <v>0</v>
          </cell>
        </row>
        <row r="31">
          <cell r="G31">
            <v>807166</v>
          </cell>
          <cell r="H31">
            <v>882793</v>
          </cell>
          <cell r="I31">
            <v>1148816</v>
          </cell>
          <cell r="K31">
            <v>1391615</v>
          </cell>
          <cell r="L31">
            <v>1394006</v>
          </cell>
          <cell r="M31">
            <v>1398747</v>
          </cell>
          <cell r="N31">
            <v>1196101</v>
          </cell>
          <cell r="O31">
            <v>1085778</v>
          </cell>
          <cell r="P31">
            <v>1287644</v>
          </cell>
          <cell r="U31">
            <v>539635</v>
          </cell>
          <cell r="V31">
            <v>486321</v>
          </cell>
          <cell r="W31">
            <v>543649</v>
          </cell>
          <cell r="X31">
            <v>627572</v>
          </cell>
          <cell r="Y31">
            <v>716564</v>
          </cell>
          <cell r="Z31">
            <v>764781</v>
          </cell>
          <cell r="AA31">
            <v>866081</v>
          </cell>
          <cell r="AB31">
            <v>856374</v>
          </cell>
          <cell r="AC31">
            <v>955200</v>
          </cell>
          <cell r="AD31">
            <v>922758</v>
          </cell>
          <cell r="AI31">
            <v>0</v>
          </cell>
          <cell r="AJ31">
            <v>5737</v>
          </cell>
          <cell r="AK31">
            <v>632</v>
          </cell>
          <cell r="AL31">
            <v>6285</v>
          </cell>
          <cell r="AM31">
            <v>20548</v>
          </cell>
          <cell r="AN31">
            <v>5437</v>
          </cell>
          <cell r="AO31">
            <v>3330</v>
          </cell>
          <cell r="AP31">
            <v>10809</v>
          </cell>
          <cell r="AQ31">
            <v>2985</v>
          </cell>
          <cell r="AR31">
            <v>1900</v>
          </cell>
          <cell r="AW31">
            <v>0</v>
          </cell>
          <cell r="AX31">
            <v>0</v>
          </cell>
          <cell r="AY31">
            <v>0</v>
          </cell>
          <cell r="AZ31">
            <v>0</v>
          </cell>
          <cell r="BA31">
            <v>0</v>
          </cell>
          <cell r="BB31">
            <v>0</v>
          </cell>
          <cell r="BC31">
            <v>0</v>
          </cell>
          <cell r="BD31">
            <v>0</v>
          </cell>
          <cell r="BE31">
            <v>0</v>
          </cell>
          <cell r="BF31">
            <v>0</v>
          </cell>
          <cell r="BK31">
            <v>1346801</v>
          </cell>
          <cell r="BL31">
            <v>1374851</v>
          </cell>
          <cell r="BM31">
            <v>1693097</v>
          </cell>
          <cell r="BN31">
            <v>2011949</v>
          </cell>
          <cell r="BO31">
            <v>2128727</v>
          </cell>
          <cell r="BP31">
            <v>2164224</v>
          </cell>
          <cell r="BQ31">
            <v>2268158</v>
          </cell>
          <cell r="BR31">
            <v>2063284</v>
          </cell>
          <cell r="BS31">
            <v>2043963</v>
          </cell>
          <cell r="BT31">
            <v>2212302</v>
          </cell>
          <cell r="BV31">
            <v>0</v>
          </cell>
        </row>
        <row r="32">
          <cell r="G32">
            <v>0</v>
          </cell>
          <cell r="H32">
            <v>0</v>
          </cell>
          <cell r="I32">
            <v>0</v>
          </cell>
          <cell r="K32">
            <v>0</v>
          </cell>
          <cell r="L32">
            <v>0</v>
          </cell>
          <cell r="M32">
            <v>0</v>
          </cell>
          <cell r="N32">
            <v>0</v>
          </cell>
          <cell r="O32">
            <v>0</v>
          </cell>
          <cell r="P32">
            <v>0</v>
          </cell>
          <cell r="U32">
            <v>67000</v>
          </cell>
          <cell r="V32">
            <v>67000</v>
          </cell>
          <cell r="W32">
            <v>67000</v>
          </cell>
          <cell r="X32">
            <v>67000</v>
          </cell>
          <cell r="Y32">
            <v>67000</v>
          </cell>
          <cell r="Z32">
            <v>67000</v>
          </cell>
          <cell r="AA32">
            <v>67000</v>
          </cell>
          <cell r="AB32">
            <v>67000</v>
          </cell>
          <cell r="AC32">
            <v>67000</v>
          </cell>
          <cell r="AD32">
            <v>67000</v>
          </cell>
          <cell r="AI32">
            <v>0</v>
          </cell>
          <cell r="AJ32">
            <v>0</v>
          </cell>
          <cell r="AK32">
            <v>0</v>
          </cell>
          <cell r="AL32">
            <v>0</v>
          </cell>
          <cell r="AM32">
            <v>0</v>
          </cell>
          <cell r="AN32">
            <v>0</v>
          </cell>
          <cell r="AO32">
            <v>0</v>
          </cell>
          <cell r="AP32">
            <v>0</v>
          </cell>
          <cell r="AQ32">
            <v>0</v>
          </cell>
          <cell r="AR32">
            <v>0</v>
          </cell>
          <cell r="AW32">
            <v>0</v>
          </cell>
          <cell r="AX32">
            <v>0</v>
          </cell>
          <cell r="AY32">
            <v>0</v>
          </cell>
          <cell r="AZ32">
            <v>0</v>
          </cell>
          <cell r="BA32">
            <v>0</v>
          </cell>
          <cell r="BB32">
            <v>0</v>
          </cell>
          <cell r="BC32">
            <v>0</v>
          </cell>
          <cell r="BD32">
            <v>0</v>
          </cell>
          <cell r="BE32">
            <v>0</v>
          </cell>
          <cell r="BF32">
            <v>0</v>
          </cell>
          <cell r="BK32">
            <v>67000</v>
          </cell>
          <cell r="BL32">
            <v>67000</v>
          </cell>
          <cell r="BM32">
            <v>67000</v>
          </cell>
          <cell r="BN32">
            <v>67000</v>
          </cell>
          <cell r="BO32">
            <v>67000</v>
          </cell>
          <cell r="BP32">
            <v>67000</v>
          </cell>
          <cell r="BQ32">
            <v>67000</v>
          </cell>
          <cell r="BR32">
            <v>67000</v>
          </cell>
          <cell r="BS32">
            <v>67000</v>
          </cell>
          <cell r="BT32">
            <v>67000</v>
          </cell>
          <cell r="BV32">
            <v>0</v>
          </cell>
        </row>
        <row r="33">
          <cell r="G33">
            <v>14759</v>
          </cell>
          <cell r="H33">
            <v>14759</v>
          </cell>
          <cell r="I33">
            <v>14760</v>
          </cell>
          <cell r="K33">
            <v>14760</v>
          </cell>
          <cell r="L33">
            <v>14760</v>
          </cell>
          <cell r="M33">
            <v>14760</v>
          </cell>
          <cell r="N33">
            <v>14760</v>
          </cell>
          <cell r="O33">
            <v>12796</v>
          </cell>
          <cell r="P33">
            <v>12796</v>
          </cell>
          <cell r="U33">
            <v>10303</v>
          </cell>
          <cell r="V33">
            <v>10303</v>
          </cell>
          <cell r="W33">
            <v>10305</v>
          </cell>
          <cell r="X33">
            <v>10305</v>
          </cell>
          <cell r="Y33">
            <v>10305</v>
          </cell>
          <cell r="Z33">
            <v>10305</v>
          </cell>
          <cell r="AA33">
            <v>10305</v>
          </cell>
          <cell r="AB33">
            <v>10305</v>
          </cell>
          <cell r="AC33">
            <v>8840</v>
          </cell>
          <cell r="AD33">
            <v>8840</v>
          </cell>
          <cell r="AI33">
            <v>0</v>
          </cell>
          <cell r="AJ33">
            <v>0</v>
          </cell>
          <cell r="AK33">
            <v>0</v>
          </cell>
          <cell r="AL33">
            <v>0</v>
          </cell>
          <cell r="AM33">
            <v>0</v>
          </cell>
          <cell r="AN33">
            <v>0</v>
          </cell>
          <cell r="AO33">
            <v>0</v>
          </cell>
          <cell r="AP33">
            <v>0</v>
          </cell>
          <cell r="AQ33">
            <v>0</v>
          </cell>
          <cell r="AR33">
            <v>0</v>
          </cell>
          <cell r="AW33">
            <v>0</v>
          </cell>
          <cell r="AX33">
            <v>0</v>
          </cell>
          <cell r="AY33">
            <v>0</v>
          </cell>
          <cell r="AZ33">
            <v>0</v>
          </cell>
          <cell r="BA33">
            <v>0</v>
          </cell>
          <cell r="BB33">
            <v>0</v>
          </cell>
          <cell r="BC33">
            <v>0</v>
          </cell>
          <cell r="BD33">
            <v>0</v>
          </cell>
          <cell r="BE33">
            <v>0</v>
          </cell>
          <cell r="BF33">
            <v>0</v>
          </cell>
          <cell r="BK33">
            <v>25062</v>
          </cell>
          <cell r="BL33">
            <v>25062</v>
          </cell>
          <cell r="BM33">
            <v>25065</v>
          </cell>
          <cell r="BN33">
            <v>25065</v>
          </cell>
          <cell r="BO33">
            <v>25065</v>
          </cell>
          <cell r="BP33">
            <v>25065</v>
          </cell>
          <cell r="BQ33">
            <v>25065</v>
          </cell>
          <cell r="BR33">
            <v>25065</v>
          </cell>
          <cell r="BS33">
            <v>21636</v>
          </cell>
          <cell r="BT33">
            <v>21636</v>
          </cell>
          <cell r="BV33">
            <v>0</v>
          </cell>
        </row>
        <row r="34">
          <cell r="G34">
            <v>32977</v>
          </cell>
          <cell r="H34">
            <v>33851</v>
          </cell>
          <cell r="I34">
            <v>34633</v>
          </cell>
          <cell r="K34">
            <v>36279</v>
          </cell>
          <cell r="L34">
            <v>37614</v>
          </cell>
          <cell r="M34">
            <v>37815</v>
          </cell>
          <cell r="N34">
            <v>39011</v>
          </cell>
          <cell r="O34">
            <v>39218</v>
          </cell>
          <cell r="P34">
            <v>42295</v>
          </cell>
          <cell r="U34">
            <v>26981</v>
          </cell>
          <cell r="V34">
            <v>27696</v>
          </cell>
          <cell r="W34">
            <v>28336</v>
          </cell>
          <cell r="X34">
            <v>28883</v>
          </cell>
          <cell r="Y34">
            <v>29682</v>
          </cell>
          <cell r="Z34">
            <v>30775</v>
          </cell>
          <cell r="AA34">
            <v>30939</v>
          </cell>
          <cell r="AB34">
            <v>31918</v>
          </cell>
          <cell r="AC34">
            <v>32088</v>
          </cell>
          <cell r="AD34">
            <v>34605</v>
          </cell>
          <cell r="AI34">
            <v>0</v>
          </cell>
          <cell r="AJ34">
            <v>0</v>
          </cell>
          <cell r="AK34">
            <v>0</v>
          </cell>
          <cell r="AL34">
            <v>0</v>
          </cell>
          <cell r="AM34">
            <v>0</v>
          </cell>
          <cell r="AN34">
            <v>0</v>
          </cell>
          <cell r="AO34">
            <v>0</v>
          </cell>
          <cell r="AP34">
            <v>0</v>
          </cell>
          <cell r="AQ34">
            <v>0</v>
          </cell>
          <cell r="AR34">
            <v>0</v>
          </cell>
          <cell r="AW34">
            <v>0</v>
          </cell>
          <cell r="AX34">
            <v>0</v>
          </cell>
          <cell r="AY34">
            <v>0</v>
          </cell>
          <cell r="AZ34">
            <v>0</v>
          </cell>
          <cell r="BA34">
            <v>0</v>
          </cell>
          <cell r="BB34">
            <v>0</v>
          </cell>
          <cell r="BC34">
            <v>0</v>
          </cell>
          <cell r="BD34">
            <v>0</v>
          </cell>
          <cell r="BE34">
            <v>0</v>
          </cell>
          <cell r="BF34">
            <v>0</v>
          </cell>
          <cell r="BK34">
            <v>59958</v>
          </cell>
          <cell r="BL34">
            <v>61547</v>
          </cell>
          <cell r="BM34">
            <v>62969</v>
          </cell>
          <cell r="BN34">
            <v>64184</v>
          </cell>
          <cell r="BO34">
            <v>65961</v>
          </cell>
          <cell r="BP34">
            <v>68389</v>
          </cell>
          <cell r="BQ34">
            <v>68754</v>
          </cell>
          <cell r="BR34">
            <v>70929</v>
          </cell>
          <cell r="BS34">
            <v>71306</v>
          </cell>
          <cell r="BT34">
            <v>76900</v>
          </cell>
          <cell r="BV34">
            <v>0</v>
          </cell>
        </row>
        <row r="35">
          <cell r="G35">
            <v>0</v>
          </cell>
          <cell r="H35">
            <v>0</v>
          </cell>
          <cell r="I35">
            <v>0</v>
          </cell>
          <cell r="K35">
            <v>0</v>
          </cell>
          <cell r="L35">
            <v>0</v>
          </cell>
          <cell r="M35">
            <v>0</v>
          </cell>
          <cell r="N35">
            <v>0</v>
          </cell>
          <cell r="O35">
            <v>0</v>
          </cell>
          <cell r="P35">
            <v>0</v>
          </cell>
          <cell r="U35">
            <v>0</v>
          </cell>
          <cell r="V35">
            <v>0</v>
          </cell>
          <cell r="W35">
            <v>0</v>
          </cell>
          <cell r="X35">
            <v>0</v>
          </cell>
          <cell r="Y35">
            <v>0</v>
          </cell>
          <cell r="Z35">
            <v>0</v>
          </cell>
          <cell r="AA35">
            <v>0</v>
          </cell>
          <cell r="AB35">
            <v>0</v>
          </cell>
          <cell r="AC35">
            <v>0</v>
          </cell>
          <cell r="AD35">
            <v>0</v>
          </cell>
          <cell r="AI35">
            <v>0</v>
          </cell>
          <cell r="AJ35">
            <v>0</v>
          </cell>
          <cell r="AK35">
            <v>0</v>
          </cell>
          <cell r="AL35">
            <v>0</v>
          </cell>
          <cell r="AM35">
            <v>0</v>
          </cell>
          <cell r="AN35">
            <v>0</v>
          </cell>
          <cell r="AO35">
            <v>0</v>
          </cell>
          <cell r="AP35">
            <v>0</v>
          </cell>
          <cell r="AQ35">
            <v>0</v>
          </cell>
          <cell r="AR35">
            <v>0</v>
          </cell>
          <cell r="AW35">
            <v>-185877</v>
          </cell>
          <cell r="AX35">
            <v>-153137</v>
          </cell>
          <cell r="AY35">
            <v>-172421</v>
          </cell>
          <cell r="AZ35">
            <v>-94884</v>
          </cell>
          <cell r="BA35">
            <v>-37608</v>
          </cell>
          <cell r="BB35">
            <v>-59204</v>
          </cell>
          <cell r="BC35">
            <v>-12499</v>
          </cell>
          <cell r="BD35">
            <v>-40940</v>
          </cell>
          <cell r="BE35">
            <v>-7230</v>
          </cell>
          <cell r="BF35">
            <v>12</v>
          </cell>
          <cell r="BK35">
            <v>-185877</v>
          </cell>
          <cell r="BL35">
            <v>-153137</v>
          </cell>
          <cell r="BM35">
            <v>-172421</v>
          </cell>
          <cell r="BN35">
            <v>-94884</v>
          </cell>
          <cell r="BO35">
            <v>-37608</v>
          </cell>
          <cell r="BP35">
            <v>-59204</v>
          </cell>
          <cell r="BQ35">
            <v>-12499</v>
          </cell>
          <cell r="BR35">
            <v>-40940</v>
          </cell>
          <cell r="BS35">
            <v>-7230</v>
          </cell>
          <cell r="BT35">
            <v>12</v>
          </cell>
          <cell r="BV35">
            <v>0</v>
          </cell>
        </row>
        <row r="36">
          <cell r="G36">
            <v>0</v>
          </cell>
          <cell r="H36">
            <v>0</v>
          </cell>
          <cell r="I36">
            <v>0</v>
          </cell>
          <cell r="K36">
            <v>0</v>
          </cell>
          <cell r="L36">
            <v>0</v>
          </cell>
          <cell r="M36">
            <v>0</v>
          </cell>
          <cell r="N36">
            <v>0</v>
          </cell>
          <cell r="O36">
            <v>0</v>
          </cell>
          <cell r="P36">
            <v>0</v>
          </cell>
          <cell r="U36">
            <v>0</v>
          </cell>
          <cell r="V36">
            <v>0</v>
          </cell>
          <cell r="W36">
            <v>0</v>
          </cell>
          <cell r="X36">
            <v>0</v>
          </cell>
          <cell r="Y36">
            <v>0</v>
          </cell>
          <cell r="Z36">
            <v>0</v>
          </cell>
          <cell r="AA36">
            <v>0</v>
          </cell>
          <cell r="AB36">
            <v>0</v>
          </cell>
          <cell r="AC36">
            <v>0</v>
          </cell>
          <cell r="AD36">
            <v>0</v>
          </cell>
          <cell r="AI36">
            <v>0</v>
          </cell>
          <cell r="AJ36">
            <v>0</v>
          </cell>
          <cell r="AK36">
            <v>0</v>
          </cell>
          <cell r="AL36">
            <v>0</v>
          </cell>
          <cell r="AM36">
            <v>0</v>
          </cell>
          <cell r="AN36">
            <v>0</v>
          </cell>
          <cell r="AO36">
            <v>0</v>
          </cell>
          <cell r="AP36">
            <v>0</v>
          </cell>
          <cell r="AQ36">
            <v>0</v>
          </cell>
          <cell r="AR36">
            <v>0</v>
          </cell>
          <cell r="AW36">
            <v>-387662</v>
          </cell>
          <cell r="AX36">
            <v>-311802</v>
          </cell>
          <cell r="AY36">
            <v>-369350</v>
          </cell>
          <cell r="AZ36">
            <v>-305777</v>
          </cell>
          <cell r="BA36">
            <v>-141019</v>
          </cell>
          <cell r="BB36">
            <v>-190247</v>
          </cell>
          <cell r="BC36">
            <v>-237695</v>
          </cell>
          <cell r="BD36">
            <v>-270481</v>
          </cell>
          <cell r="BE36">
            <v>-214246</v>
          </cell>
          <cell r="BF36">
            <v>-278550</v>
          </cell>
          <cell r="BK36">
            <v>-387662</v>
          </cell>
          <cell r="BL36">
            <v>-311802</v>
          </cell>
          <cell r="BM36">
            <v>-369350</v>
          </cell>
          <cell r="BN36">
            <v>-305777</v>
          </cell>
          <cell r="BO36">
            <v>-141019</v>
          </cell>
          <cell r="BP36">
            <v>-190247</v>
          </cell>
          <cell r="BQ36">
            <v>-237695</v>
          </cell>
          <cell r="BR36">
            <v>-270481</v>
          </cell>
          <cell r="BS36">
            <v>-214246</v>
          </cell>
          <cell r="BT36">
            <v>-278550</v>
          </cell>
          <cell r="BV36">
            <v>0</v>
          </cell>
        </row>
        <row r="37">
          <cell r="G37">
            <v>-2742619</v>
          </cell>
          <cell r="H37">
            <v>-1396139</v>
          </cell>
          <cell r="I37">
            <v>-2191621</v>
          </cell>
          <cell r="K37">
            <v>-989319</v>
          </cell>
          <cell r="L37">
            <v>-1167480</v>
          </cell>
          <cell r="M37">
            <v>-822713</v>
          </cell>
          <cell r="N37">
            <v>-2137080</v>
          </cell>
          <cell r="O37">
            <v>-2479704</v>
          </cell>
          <cell r="P37">
            <v>-1050324</v>
          </cell>
          <cell r="U37">
            <v>-1826402</v>
          </cell>
          <cell r="V37">
            <v>-1890890</v>
          </cell>
          <cell r="W37">
            <v>-1208361</v>
          </cell>
          <cell r="X37">
            <v>-1724725</v>
          </cell>
          <cell r="Y37">
            <v>-1250963</v>
          </cell>
          <cell r="Z37">
            <v>-1174342</v>
          </cell>
          <cell r="AA37">
            <v>-844277</v>
          </cell>
          <cell r="AB37">
            <v>-1333761</v>
          </cell>
          <cell r="AC37">
            <v>-920220</v>
          </cell>
          <cell r="AD37">
            <v>-435955</v>
          </cell>
          <cell r="AF37">
            <v>0</v>
          </cell>
          <cell r="AI37">
            <v>-14703</v>
          </cell>
          <cell r="AJ37">
            <v>-30238.43</v>
          </cell>
          <cell r="AK37">
            <v>-19144.84</v>
          </cell>
          <cell r="AL37">
            <v>-8239</v>
          </cell>
          <cell r="AM37">
            <v>4906</v>
          </cell>
          <cell r="AN37">
            <v>-11993</v>
          </cell>
          <cell r="AO37">
            <v>-14487</v>
          </cell>
          <cell r="AP37">
            <v>-7690</v>
          </cell>
          <cell r="AQ37">
            <v>-11485</v>
          </cell>
          <cell r="AR37">
            <v>19562</v>
          </cell>
          <cell r="AS37">
            <v>0</v>
          </cell>
          <cell r="AT37">
            <v>0</v>
          </cell>
          <cell r="AW37">
            <v>-574777</v>
          </cell>
          <cell r="AX37">
            <v>-466177</v>
          </cell>
          <cell r="AY37">
            <v>-543009</v>
          </cell>
          <cell r="AZ37">
            <v>-401899</v>
          </cell>
          <cell r="BA37">
            <v>-179865</v>
          </cell>
          <cell r="BB37">
            <v>-250689</v>
          </cell>
          <cell r="BC37">
            <v>-251432</v>
          </cell>
          <cell r="BD37">
            <v>-312659</v>
          </cell>
          <cell r="BE37">
            <v>-222714</v>
          </cell>
          <cell r="BF37">
            <v>-279776</v>
          </cell>
          <cell r="BG37">
            <v>0</v>
          </cell>
          <cell r="BH37">
            <v>0</v>
          </cell>
          <cell r="BK37">
            <v>-5158501</v>
          </cell>
          <cell r="BL37">
            <v>-3783444.4299999997</v>
          </cell>
          <cell r="BM37">
            <v>-3962135.84</v>
          </cell>
          <cell r="BN37">
            <v>-3140151</v>
          </cell>
          <cell r="BO37">
            <v>-2415241</v>
          </cell>
          <cell r="BP37">
            <v>-2604504</v>
          </cell>
          <cell r="BQ37">
            <v>-1932909</v>
          </cell>
          <cell r="BR37">
            <v>-3791190</v>
          </cell>
          <cell r="BS37">
            <v>-3634123</v>
          </cell>
          <cell r="BT37">
            <v>-1746493</v>
          </cell>
          <cell r="BV37">
            <v>0</v>
          </cell>
        </row>
        <row r="38">
          <cell r="G38">
            <v>-10072</v>
          </cell>
          <cell r="H38">
            <v>-10072</v>
          </cell>
          <cell r="I38">
            <v>-10072</v>
          </cell>
          <cell r="K38">
            <v>-10072</v>
          </cell>
          <cell r="L38">
            <v>-10072</v>
          </cell>
          <cell r="M38">
            <v>-10072</v>
          </cell>
          <cell r="N38">
            <v>-10072</v>
          </cell>
          <cell r="O38">
            <v>-10072</v>
          </cell>
          <cell r="P38">
            <v>-10072</v>
          </cell>
          <cell r="U38">
            <v>0</v>
          </cell>
          <cell r="V38">
            <v>0</v>
          </cell>
          <cell r="W38">
            <v>0</v>
          </cell>
          <cell r="X38">
            <v>0</v>
          </cell>
          <cell r="Y38">
            <v>0</v>
          </cell>
          <cell r="Z38">
            <v>0</v>
          </cell>
          <cell r="AA38">
            <v>0</v>
          </cell>
          <cell r="AB38">
            <v>0</v>
          </cell>
          <cell r="AC38">
            <v>0</v>
          </cell>
          <cell r="AD38">
            <v>0</v>
          </cell>
          <cell r="AI38">
            <v>0</v>
          </cell>
          <cell r="AJ38">
            <v>0</v>
          </cell>
          <cell r="AK38">
            <v>0</v>
          </cell>
          <cell r="AL38">
            <v>0</v>
          </cell>
          <cell r="AM38">
            <v>0</v>
          </cell>
          <cell r="AN38">
            <v>0</v>
          </cell>
          <cell r="AO38">
            <v>0</v>
          </cell>
          <cell r="AP38">
            <v>0</v>
          </cell>
          <cell r="AQ38">
            <v>0</v>
          </cell>
          <cell r="AR38">
            <v>0</v>
          </cell>
          <cell r="AW38">
            <v>0</v>
          </cell>
          <cell r="AX38">
            <v>0</v>
          </cell>
          <cell r="AY38">
            <v>0</v>
          </cell>
          <cell r="AZ38">
            <v>0</v>
          </cell>
          <cell r="BA38">
            <v>0</v>
          </cell>
          <cell r="BB38">
            <v>0</v>
          </cell>
          <cell r="BC38">
            <v>0</v>
          </cell>
          <cell r="BD38">
            <v>0</v>
          </cell>
          <cell r="BE38">
            <v>0</v>
          </cell>
          <cell r="BF38">
            <v>0</v>
          </cell>
          <cell r="BK38">
            <v>-10072</v>
          </cell>
          <cell r="BL38">
            <v>-10072</v>
          </cell>
          <cell r="BM38">
            <v>-10072</v>
          </cell>
          <cell r="BN38">
            <v>-10072</v>
          </cell>
          <cell r="BO38">
            <v>-10072</v>
          </cell>
          <cell r="BP38">
            <v>-10072</v>
          </cell>
          <cell r="BQ38">
            <v>-10072</v>
          </cell>
          <cell r="BR38">
            <v>-10072</v>
          </cell>
          <cell r="BS38">
            <v>-10072</v>
          </cell>
          <cell r="BT38">
            <v>-10072</v>
          </cell>
          <cell r="BV38">
            <v>0</v>
          </cell>
        </row>
        <row r="39">
          <cell r="G39">
            <v>-98989</v>
          </cell>
          <cell r="H39">
            <v>140842</v>
          </cell>
          <cell r="I39">
            <v>-6136300</v>
          </cell>
          <cell r="K39">
            <v>0</v>
          </cell>
          <cell r="L39">
            <v>0</v>
          </cell>
          <cell r="M39">
            <v>0</v>
          </cell>
          <cell r="N39">
            <v>0</v>
          </cell>
          <cell r="O39">
            <v>0</v>
          </cell>
          <cell r="P39">
            <v>0</v>
          </cell>
          <cell r="U39">
            <v>0</v>
          </cell>
          <cell r="V39">
            <v>0</v>
          </cell>
          <cell r="W39">
            <v>0</v>
          </cell>
          <cell r="X39">
            <v>0</v>
          </cell>
          <cell r="Y39">
            <v>0</v>
          </cell>
          <cell r="Z39">
            <v>0</v>
          </cell>
          <cell r="AA39">
            <v>0</v>
          </cell>
          <cell r="AB39">
            <v>0</v>
          </cell>
          <cell r="AC39">
            <v>0</v>
          </cell>
          <cell r="AD39">
            <v>0</v>
          </cell>
          <cell r="AI39">
            <v>0</v>
          </cell>
          <cell r="AJ39">
            <v>0</v>
          </cell>
          <cell r="AK39">
            <v>0</v>
          </cell>
          <cell r="AL39">
            <v>0</v>
          </cell>
          <cell r="AM39">
            <v>0</v>
          </cell>
          <cell r="AN39">
            <v>0</v>
          </cell>
          <cell r="AO39">
            <v>0</v>
          </cell>
          <cell r="AP39">
            <v>0</v>
          </cell>
          <cell r="AQ39">
            <v>0</v>
          </cell>
          <cell r="AR39">
            <v>0</v>
          </cell>
          <cell r="AW39">
            <v>0</v>
          </cell>
          <cell r="AX39">
            <v>0</v>
          </cell>
          <cell r="AY39">
            <v>0</v>
          </cell>
          <cell r="AZ39">
            <v>0</v>
          </cell>
          <cell r="BA39">
            <v>0</v>
          </cell>
          <cell r="BB39">
            <v>0</v>
          </cell>
          <cell r="BC39">
            <v>0</v>
          </cell>
          <cell r="BD39">
            <v>0</v>
          </cell>
          <cell r="BE39">
            <v>0</v>
          </cell>
          <cell r="BF39">
            <v>0</v>
          </cell>
          <cell r="BK39">
            <v>-98989</v>
          </cell>
          <cell r="BL39">
            <v>140842</v>
          </cell>
          <cell r="BM39">
            <v>-6136300</v>
          </cell>
          <cell r="BN39">
            <v>0</v>
          </cell>
          <cell r="BO39">
            <v>0</v>
          </cell>
          <cell r="BP39">
            <v>0</v>
          </cell>
          <cell r="BQ39">
            <v>0</v>
          </cell>
          <cell r="BR39">
            <v>0</v>
          </cell>
          <cell r="BS39">
            <v>0</v>
          </cell>
          <cell r="BT39">
            <v>0</v>
          </cell>
          <cell r="BV39">
            <v>0</v>
          </cell>
        </row>
        <row r="40">
          <cell r="G40">
            <v>-5374553</v>
          </cell>
          <cell r="H40">
            <v>-140842</v>
          </cell>
          <cell r="I40">
            <v>5335960</v>
          </cell>
          <cell r="K40">
            <v>-2278870</v>
          </cell>
          <cell r="L40">
            <v>-856319</v>
          </cell>
          <cell r="M40">
            <v>1348912</v>
          </cell>
          <cell r="N40">
            <v>-5168662</v>
          </cell>
          <cell r="O40">
            <v>-2480756</v>
          </cell>
          <cell r="P40">
            <v>-2529340</v>
          </cell>
          <cell r="U40">
            <v>0</v>
          </cell>
          <cell r="V40">
            <v>0</v>
          </cell>
          <cell r="W40">
            <v>0</v>
          </cell>
          <cell r="X40">
            <v>0</v>
          </cell>
          <cell r="Y40">
            <v>0</v>
          </cell>
          <cell r="Z40">
            <v>0</v>
          </cell>
          <cell r="AA40">
            <v>0</v>
          </cell>
          <cell r="AB40">
            <v>0</v>
          </cell>
          <cell r="AC40">
            <v>0</v>
          </cell>
          <cell r="AD40">
            <v>0</v>
          </cell>
          <cell r="AI40">
            <v>0</v>
          </cell>
          <cell r="AJ40">
            <v>0</v>
          </cell>
          <cell r="AK40">
            <v>0</v>
          </cell>
          <cell r="AL40">
            <v>0</v>
          </cell>
          <cell r="AM40">
            <v>0</v>
          </cell>
          <cell r="AN40">
            <v>0</v>
          </cell>
          <cell r="AO40">
            <v>0</v>
          </cell>
          <cell r="AP40">
            <v>0</v>
          </cell>
          <cell r="AQ40">
            <v>0</v>
          </cell>
          <cell r="AR40">
            <v>0</v>
          </cell>
          <cell r="AW40">
            <v>0</v>
          </cell>
          <cell r="AX40">
            <v>0</v>
          </cell>
          <cell r="AY40">
            <v>0</v>
          </cell>
          <cell r="AZ40">
            <v>0</v>
          </cell>
          <cell r="BA40">
            <v>0</v>
          </cell>
          <cell r="BB40">
            <v>0</v>
          </cell>
          <cell r="BC40">
            <v>0</v>
          </cell>
          <cell r="BD40">
            <v>0</v>
          </cell>
          <cell r="BE40">
            <v>0</v>
          </cell>
          <cell r="BF40">
            <v>0</v>
          </cell>
          <cell r="BK40">
            <v>-5374553</v>
          </cell>
          <cell r="BL40">
            <v>-140842</v>
          </cell>
          <cell r="BM40">
            <v>5335960</v>
          </cell>
          <cell r="BN40">
            <v>-1277085</v>
          </cell>
          <cell r="BO40">
            <v>-2278870</v>
          </cell>
          <cell r="BP40">
            <v>-856319</v>
          </cell>
          <cell r="BQ40">
            <v>1348912</v>
          </cell>
          <cell r="BR40">
            <v>-5168662</v>
          </cell>
          <cell r="BS40">
            <v>-2480756</v>
          </cell>
          <cell r="BT40">
            <v>-2529340</v>
          </cell>
          <cell r="BV40">
            <v>0</v>
          </cell>
        </row>
        <row r="41">
          <cell r="G41">
            <v>0</v>
          </cell>
          <cell r="H41">
            <v>0</v>
          </cell>
          <cell r="I41">
            <v>0</v>
          </cell>
          <cell r="K41">
            <v>0</v>
          </cell>
          <cell r="L41">
            <v>0</v>
          </cell>
          <cell r="M41">
            <v>-24415</v>
          </cell>
          <cell r="N41">
            <v>0</v>
          </cell>
          <cell r="O41">
            <v>0</v>
          </cell>
          <cell r="P41">
            <v>-10592</v>
          </cell>
          <cell r="U41">
            <v>0</v>
          </cell>
          <cell r="V41">
            <v>0</v>
          </cell>
          <cell r="W41">
            <v>0</v>
          </cell>
          <cell r="X41">
            <v>0</v>
          </cell>
          <cell r="Y41">
            <v>0</v>
          </cell>
          <cell r="Z41">
            <v>0</v>
          </cell>
          <cell r="AA41">
            <v>0</v>
          </cell>
          <cell r="AB41">
            <v>0</v>
          </cell>
          <cell r="AC41">
            <v>0</v>
          </cell>
          <cell r="AD41">
            <v>0</v>
          </cell>
          <cell r="AI41">
            <v>0</v>
          </cell>
          <cell r="AJ41">
            <v>0</v>
          </cell>
          <cell r="AK41">
            <v>0</v>
          </cell>
          <cell r="AL41">
            <v>0</v>
          </cell>
          <cell r="AM41">
            <v>0</v>
          </cell>
          <cell r="AN41">
            <v>0</v>
          </cell>
          <cell r="AO41">
            <v>0</v>
          </cell>
          <cell r="AP41">
            <v>0</v>
          </cell>
          <cell r="AQ41">
            <v>0</v>
          </cell>
          <cell r="AR41">
            <v>0</v>
          </cell>
          <cell r="AW41">
            <v>0</v>
          </cell>
          <cell r="AX41">
            <v>0</v>
          </cell>
          <cell r="AY41">
            <v>0</v>
          </cell>
          <cell r="AZ41">
            <v>0</v>
          </cell>
          <cell r="BA41">
            <v>0</v>
          </cell>
          <cell r="BB41">
            <v>0</v>
          </cell>
          <cell r="BC41">
            <v>0</v>
          </cell>
          <cell r="BD41">
            <v>0</v>
          </cell>
          <cell r="BE41">
            <v>0</v>
          </cell>
          <cell r="BF41">
            <v>0</v>
          </cell>
          <cell r="BK41">
            <v>0</v>
          </cell>
          <cell r="BL41">
            <v>0</v>
          </cell>
          <cell r="BM41">
            <v>0</v>
          </cell>
          <cell r="BN41">
            <v>-11278</v>
          </cell>
          <cell r="BO41">
            <v>0</v>
          </cell>
          <cell r="BP41">
            <v>0</v>
          </cell>
          <cell r="BQ41">
            <v>-24415</v>
          </cell>
          <cell r="BR41">
            <v>0</v>
          </cell>
          <cell r="BS41">
            <v>0</v>
          </cell>
          <cell r="BT41">
            <v>-10592</v>
          </cell>
          <cell r="BV41">
            <v>0</v>
          </cell>
        </row>
        <row r="42">
          <cell r="G42">
            <v>0</v>
          </cell>
          <cell r="H42">
            <v>0</v>
          </cell>
          <cell r="I42">
            <v>0</v>
          </cell>
          <cell r="K42">
            <v>0</v>
          </cell>
          <cell r="L42">
            <v>0</v>
          </cell>
          <cell r="M42">
            <v>0</v>
          </cell>
          <cell r="N42">
            <v>0</v>
          </cell>
          <cell r="O42">
            <v>-1014824</v>
          </cell>
          <cell r="P42">
            <v>-1775786</v>
          </cell>
          <cell r="U42">
            <v>0</v>
          </cell>
          <cell r="V42">
            <v>0</v>
          </cell>
          <cell r="W42">
            <v>0</v>
          </cell>
          <cell r="X42">
            <v>0</v>
          </cell>
          <cell r="Y42">
            <v>0</v>
          </cell>
          <cell r="Z42">
            <v>0</v>
          </cell>
          <cell r="AA42">
            <v>0</v>
          </cell>
          <cell r="AB42">
            <v>0</v>
          </cell>
          <cell r="AC42">
            <v>0</v>
          </cell>
          <cell r="AD42">
            <v>0</v>
          </cell>
          <cell r="AI42">
            <v>0</v>
          </cell>
          <cell r="AJ42">
            <v>0</v>
          </cell>
          <cell r="AK42">
            <v>0</v>
          </cell>
          <cell r="AL42">
            <v>0</v>
          </cell>
          <cell r="AM42">
            <v>0</v>
          </cell>
          <cell r="AN42">
            <v>0</v>
          </cell>
          <cell r="AO42">
            <v>0</v>
          </cell>
          <cell r="AP42">
            <v>0</v>
          </cell>
          <cell r="AQ42">
            <v>0</v>
          </cell>
          <cell r="AR42">
            <v>0</v>
          </cell>
          <cell r="AW42">
            <v>0</v>
          </cell>
          <cell r="AX42">
            <v>0</v>
          </cell>
          <cell r="AY42">
            <v>0</v>
          </cell>
          <cell r="AZ42">
            <v>0</v>
          </cell>
          <cell r="BA42">
            <v>0</v>
          </cell>
          <cell r="BB42">
            <v>0</v>
          </cell>
          <cell r="BC42">
            <v>0</v>
          </cell>
          <cell r="BD42">
            <v>0</v>
          </cell>
          <cell r="BE42">
            <v>0</v>
          </cell>
          <cell r="BF42">
            <v>0</v>
          </cell>
          <cell r="BK42">
            <v>0</v>
          </cell>
          <cell r="BL42">
            <v>0</v>
          </cell>
          <cell r="BM42">
            <v>0</v>
          </cell>
          <cell r="BN42">
            <v>0</v>
          </cell>
          <cell r="BO42">
            <v>0</v>
          </cell>
          <cell r="BP42">
            <v>0</v>
          </cell>
          <cell r="BQ42">
            <v>0</v>
          </cell>
          <cell r="BR42">
            <v>0</v>
          </cell>
          <cell r="BS42">
            <v>-1014824</v>
          </cell>
          <cell r="BT42">
            <v>-1775786</v>
          </cell>
          <cell r="BV42">
            <v>0</v>
          </cell>
        </row>
        <row r="43">
          <cell r="I43">
            <v>3500000</v>
          </cell>
          <cell r="K43">
            <v>0</v>
          </cell>
          <cell r="L43">
            <v>0</v>
          </cell>
          <cell r="M43">
            <v>0</v>
          </cell>
          <cell r="N43">
            <v>0</v>
          </cell>
          <cell r="O43">
            <v>0</v>
          </cell>
          <cell r="P43">
            <v>0</v>
          </cell>
          <cell r="X43">
            <v>0</v>
          </cell>
          <cell r="Y43">
            <v>0</v>
          </cell>
          <cell r="Z43">
            <v>0</v>
          </cell>
          <cell r="AA43">
            <v>0</v>
          </cell>
          <cell r="AB43">
            <v>0</v>
          </cell>
          <cell r="AC43">
            <v>0</v>
          </cell>
          <cell r="AD43">
            <v>0</v>
          </cell>
          <cell r="AL43">
            <v>0</v>
          </cell>
          <cell r="AM43">
            <v>0</v>
          </cell>
          <cell r="AN43">
            <v>0</v>
          </cell>
          <cell r="AO43">
            <v>0</v>
          </cell>
          <cell r="AP43">
            <v>0</v>
          </cell>
          <cell r="AQ43">
            <v>0</v>
          </cell>
          <cell r="AR43">
            <v>0</v>
          </cell>
          <cell r="AZ43">
            <v>0</v>
          </cell>
          <cell r="BA43">
            <v>0</v>
          </cell>
          <cell r="BB43">
            <v>0</v>
          </cell>
          <cell r="BC43">
            <v>0</v>
          </cell>
          <cell r="BD43">
            <v>0</v>
          </cell>
          <cell r="BE43">
            <v>0</v>
          </cell>
          <cell r="BF43">
            <v>0</v>
          </cell>
          <cell r="BM43">
            <v>3500000</v>
          </cell>
          <cell r="BN43">
            <v>0</v>
          </cell>
        </row>
        <row r="44">
          <cell r="G44">
            <v>696057</v>
          </cell>
          <cell r="H44">
            <v>673029</v>
          </cell>
          <cell r="I44">
            <v>665928</v>
          </cell>
          <cell r="K44">
            <v>664856</v>
          </cell>
          <cell r="L44">
            <v>667932</v>
          </cell>
          <cell r="M44">
            <v>670274</v>
          </cell>
          <cell r="N44">
            <v>672323</v>
          </cell>
          <cell r="O44">
            <v>783679</v>
          </cell>
          <cell r="P44">
            <v>607015</v>
          </cell>
          <cell r="U44">
            <v>0</v>
          </cell>
          <cell r="V44">
            <v>0</v>
          </cell>
          <cell r="W44">
            <v>0</v>
          </cell>
          <cell r="X44">
            <v>0</v>
          </cell>
          <cell r="Y44">
            <v>0</v>
          </cell>
          <cell r="Z44">
            <v>0</v>
          </cell>
          <cell r="AA44">
            <v>0</v>
          </cell>
          <cell r="AB44">
            <v>0</v>
          </cell>
          <cell r="AC44">
            <v>0</v>
          </cell>
          <cell r="AD44">
            <v>0</v>
          </cell>
          <cell r="AI44">
            <v>0</v>
          </cell>
          <cell r="AJ44">
            <v>0</v>
          </cell>
          <cell r="AK44">
            <v>0</v>
          </cell>
          <cell r="AL44">
            <v>0</v>
          </cell>
          <cell r="AM44">
            <v>0</v>
          </cell>
          <cell r="AN44">
            <v>0</v>
          </cell>
          <cell r="AO44">
            <v>0</v>
          </cell>
          <cell r="AP44">
            <v>0</v>
          </cell>
          <cell r="AQ44">
            <v>0</v>
          </cell>
          <cell r="AR44">
            <v>0</v>
          </cell>
          <cell r="AW44">
            <v>0</v>
          </cell>
          <cell r="AX44">
            <v>0</v>
          </cell>
          <cell r="AY44">
            <v>0</v>
          </cell>
          <cell r="AZ44">
            <v>0</v>
          </cell>
          <cell r="BA44">
            <v>0</v>
          </cell>
          <cell r="BB44">
            <v>0</v>
          </cell>
          <cell r="BC44">
            <v>0</v>
          </cell>
          <cell r="BD44">
            <v>0</v>
          </cell>
          <cell r="BE44">
            <v>0</v>
          </cell>
          <cell r="BF44">
            <v>0</v>
          </cell>
          <cell r="BK44">
            <v>696057</v>
          </cell>
          <cell r="BL44">
            <v>673029</v>
          </cell>
          <cell r="BM44">
            <v>665928</v>
          </cell>
          <cell r="BN44">
            <v>661843</v>
          </cell>
          <cell r="BO44">
            <v>664856</v>
          </cell>
          <cell r="BP44">
            <v>667932</v>
          </cell>
          <cell r="BQ44">
            <v>670274</v>
          </cell>
          <cell r="BR44">
            <v>672323</v>
          </cell>
          <cell r="BS44">
            <v>783679</v>
          </cell>
          <cell r="BT44">
            <v>607015</v>
          </cell>
          <cell r="BV44">
            <v>0</v>
          </cell>
        </row>
        <row r="45">
          <cell r="I45">
            <v>-15000000</v>
          </cell>
          <cell r="K45">
            <v>0</v>
          </cell>
          <cell r="L45">
            <v>0</v>
          </cell>
          <cell r="M45">
            <v>0</v>
          </cell>
          <cell r="N45">
            <v>0</v>
          </cell>
          <cell r="O45">
            <v>0</v>
          </cell>
          <cell r="P45">
            <v>0</v>
          </cell>
          <cell r="X45">
            <v>0</v>
          </cell>
          <cell r="Y45">
            <v>0</v>
          </cell>
          <cell r="Z45">
            <v>0</v>
          </cell>
          <cell r="AA45">
            <v>0</v>
          </cell>
          <cell r="AB45">
            <v>0</v>
          </cell>
          <cell r="AC45">
            <v>0</v>
          </cell>
          <cell r="AD45">
            <v>0</v>
          </cell>
          <cell r="AL45">
            <v>0</v>
          </cell>
          <cell r="AM45">
            <v>0</v>
          </cell>
          <cell r="AN45">
            <v>0</v>
          </cell>
          <cell r="AO45">
            <v>0</v>
          </cell>
          <cell r="AP45">
            <v>0</v>
          </cell>
          <cell r="AQ45">
            <v>0</v>
          </cell>
          <cell r="AR45">
            <v>0</v>
          </cell>
          <cell r="AZ45">
            <v>0</v>
          </cell>
          <cell r="BA45">
            <v>0</v>
          </cell>
          <cell r="BB45">
            <v>0</v>
          </cell>
          <cell r="BC45">
            <v>0</v>
          </cell>
          <cell r="BD45">
            <v>0</v>
          </cell>
          <cell r="BE45">
            <v>0</v>
          </cell>
          <cell r="BF45">
            <v>0</v>
          </cell>
          <cell r="BM45">
            <v>-15000000</v>
          </cell>
        </row>
        <row r="46">
          <cell r="G46">
            <v>0</v>
          </cell>
          <cell r="H46">
            <v>0</v>
          </cell>
          <cell r="I46">
            <v>0</v>
          </cell>
          <cell r="K46">
            <v>0</v>
          </cell>
          <cell r="L46">
            <v>0</v>
          </cell>
          <cell r="M46">
            <v>0</v>
          </cell>
          <cell r="N46">
            <v>0</v>
          </cell>
          <cell r="O46">
            <v>0</v>
          </cell>
          <cell r="P46">
            <v>0</v>
          </cell>
          <cell r="U46">
            <v>0</v>
          </cell>
          <cell r="V46">
            <v>0</v>
          </cell>
          <cell r="W46">
            <v>0</v>
          </cell>
          <cell r="X46">
            <v>0</v>
          </cell>
          <cell r="Y46">
            <v>0</v>
          </cell>
          <cell r="Z46">
            <v>0</v>
          </cell>
          <cell r="AA46">
            <v>0</v>
          </cell>
          <cell r="AB46">
            <v>0</v>
          </cell>
          <cell r="AC46">
            <v>0</v>
          </cell>
          <cell r="AD46">
            <v>0</v>
          </cell>
          <cell r="AI46">
            <v>0</v>
          </cell>
          <cell r="AJ46">
            <v>0</v>
          </cell>
          <cell r="AK46">
            <v>0</v>
          </cell>
          <cell r="AL46">
            <v>0</v>
          </cell>
          <cell r="AM46">
            <v>0</v>
          </cell>
          <cell r="AN46">
            <v>0</v>
          </cell>
          <cell r="AO46">
            <v>0</v>
          </cell>
          <cell r="AP46">
            <v>0</v>
          </cell>
          <cell r="AQ46">
            <v>0</v>
          </cell>
          <cell r="AR46">
            <v>0</v>
          </cell>
          <cell r="AW46">
            <v>0</v>
          </cell>
          <cell r="AX46">
            <v>0</v>
          </cell>
          <cell r="AY46">
            <v>0</v>
          </cell>
          <cell r="AZ46">
            <v>0</v>
          </cell>
          <cell r="BA46">
            <v>0</v>
          </cell>
          <cell r="BB46">
            <v>0</v>
          </cell>
          <cell r="BC46">
            <v>0</v>
          </cell>
          <cell r="BD46">
            <v>0</v>
          </cell>
          <cell r="BE46">
            <v>0</v>
          </cell>
          <cell r="BF46">
            <v>0</v>
          </cell>
          <cell r="BK46">
            <v>0</v>
          </cell>
          <cell r="BL46">
            <v>0</v>
          </cell>
          <cell r="BM46">
            <v>0</v>
          </cell>
          <cell r="BN46">
            <v>0</v>
          </cell>
          <cell r="BO46">
            <v>0</v>
          </cell>
          <cell r="BP46">
            <v>0</v>
          </cell>
          <cell r="BQ46">
            <v>0</v>
          </cell>
          <cell r="BR46">
            <v>0</v>
          </cell>
          <cell r="BS46">
            <v>0</v>
          </cell>
          <cell r="BT46">
            <v>0</v>
          </cell>
          <cell r="BV46">
            <v>0</v>
          </cell>
        </row>
        <row r="47">
          <cell r="G47">
            <v>0</v>
          </cell>
          <cell r="H47">
            <v>0</v>
          </cell>
          <cell r="I47">
            <v>0</v>
          </cell>
          <cell r="K47">
            <v>0</v>
          </cell>
          <cell r="L47">
            <v>0</v>
          </cell>
          <cell r="M47">
            <v>0</v>
          </cell>
          <cell r="N47">
            <v>0</v>
          </cell>
          <cell r="O47">
            <v>0</v>
          </cell>
          <cell r="P47">
            <v>11000</v>
          </cell>
          <cell r="U47">
            <v>0</v>
          </cell>
          <cell r="V47">
            <v>0</v>
          </cell>
          <cell r="W47">
            <v>0</v>
          </cell>
          <cell r="X47">
            <v>0</v>
          </cell>
          <cell r="Y47">
            <v>0</v>
          </cell>
          <cell r="Z47">
            <v>0</v>
          </cell>
          <cell r="AA47">
            <v>0</v>
          </cell>
          <cell r="AB47">
            <v>0</v>
          </cell>
          <cell r="AC47">
            <v>0</v>
          </cell>
          <cell r="AD47">
            <v>0</v>
          </cell>
          <cell r="AI47">
            <v>0</v>
          </cell>
          <cell r="AJ47">
            <v>0</v>
          </cell>
          <cell r="AK47">
            <v>0</v>
          </cell>
          <cell r="AL47">
            <v>0</v>
          </cell>
          <cell r="AM47">
            <v>0</v>
          </cell>
          <cell r="AN47">
            <v>0</v>
          </cell>
          <cell r="AO47">
            <v>0</v>
          </cell>
          <cell r="AP47">
            <v>0</v>
          </cell>
          <cell r="AQ47">
            <v>0</v>
          </cell>
          <cell r="AR47">
            <v>0</v>
          </cell>
          <cell r="AW47">
            <v>0</v>
          </cell>
          <cell r="AX47">
            <v>0</v>
          </cell>
          <cell r="AY47">
            <v>0</v>
          </cell>
          <cell r="AZ47">
            <v>0</v>
          </cell>
          <cell r="BA47">
            <v>0</v>
          </cell>
          <cell r="BB47">
            <v>0</v>
          </cell>
          <cell r="BC47">
            <v>0</v>
          </cell>
          <cell r="BD47">
            <v>0</v>
          </cell>
          <cell r="BE47">
            <v>0</v>
          </cell>
          <cell r="BF47">
            <v>0</v>
          </cell>
          <cell r="BK47">
            <v>0</v>
          </cell>
          <cell r="BL47">
            <v>0</v>
          </cell>
          <cell r="BM47">
            <v>0</v>
          </cell>
          <cell r="BN47">
            <v>0</v>
          </cell>
          <cell r="BO47">
            <v>0</v>
          </cell>
          <cell r="BP47">
            <v>0</v>
          </cell>
          <cell r="BQ47">
            <v>0</v>
          </cell>
          <cell r="BR47">
            <v>0</v>
          </cell>
          <cell r="BS47">
            <v>0</v>
          </cell>
          <cell r="BT47">
            <v>11000</v>
          </cell>
          <cell r="BV47">
            <v>0</v>
          </cell>
        </row>
        <row r="48">
          <cell r="I48">
            <v>-7000000</v>
          </cell>
          <cell r="K48">
            <v>0</v>
          </cell>
          <cell r="L48">
            <v>0</v>
          </cell>
          <cell r="M48">
            <v>0</v>
          </cell>
          <cell r="N48">
            <v>0</v>
          </cell>
          <cell r="O48">
            <v>0</v>
          </cell>
          <cell r="P48">
            <v>0</v>
          </cell>
          <cell r="X48">
            <v>0</v>
          </cell>
          <cell r="Y48">
            <v>0</v>
          </cell>
          <cell r="Z48">
            <v>0</v>
          </cell>
          <cell r="AA48">
            <v>0</v>
          </cell>
          <cell r="AB48">
            <v>0</v>
          </cell>
          <cell r="AC48">
            <v>0</v>
          </cell>
          <cell r="AD48">
            <v>0</v>
          </cell>
          <cell r="AL48">
            <v>0</v>
          </cell>
          <cell r="AM48">
            <v>0</v>
          </cell>
          <cell r="AN48">
            <v>0</v>
          </cell>
          <cell r="AO48">
            <v>0</v>
          </cell>
          <cell r="AP48">
            <v>0</v>
          </cell>
          <cell r="AQ48">
            <v>0</v>
          </cell>
          <cell r="AR48">
            <v>0</v>
          </cell>
          <cell r="AZ48">
            <v>0</v>
          </cell>
          <cell r="BA48">
            <v>0</v>
          </cell>
          <cell r="BB48">
            <v>0</v>
          </cell>
          <cell r="BC48">
            <v>0</v>
          </cell>
          <cell r="BD48">
            <v>0</v>
          </cell>
          <cell r="BE48">
            <v>0</v>
          </cell>
          <cell r="BF48">
            <v>0</v>
          </cell>
          <cell r="BM48">
            <v>-7000000</v>
          </cell>
          <cell r="BN48">
            <v>0</v>
          </cell>
          <cell r="BO48">
            <v>0</v>
          </cell>
          <cell r="BP48">
            <v>0</v>
          </cell>
        </row>
        <row r="49">
          <cell r="G49">
            <v>0</v>
          </cell>
          <cell r="H49">
            <v>0</v>
          </cell>
          <cell r="I49">
            <v>0</v>
          </cell>
          <cell r="K49">
            <v>0</v>
          </cell>
          <cell r="L49">
            <v>0</v>
          </cell>
          <cell r="M49">
            <v>0</v>
          </cell>
          <cell r="N49">
            <v>0</v>
          </cell>
          <cell r="O49">
            <v>0</v>
          </cell>
          <cell r="P49">
            <v>0</v>
          </cell>
          <cell r="U49">
            <v>0</v>
          </cell>
          <cell r="V49">
            <v>0</v>
          </cell>
          <cell r="W49">
            <v>0</v>
          </cell>
          <cell r="X49">
            <v>0</v>
          </cell>
          <cell r="Y49">
            <v>0</v>
          </cell>
          <cell r="Z49">
            <v>0</v>
          </cell>
          <cell r="AA49">
            <v>0</v>
          </cell>
          <cell r="AB49">
            <v>0</v>
          </cell>
          <cell r="AC49">
            <v>0</v>
          </cell>
          <cell r="AD49">
            <v>0</v>
          </cell>
          <cell r="AI49">
            <v>0</v>
          </cell>
          <cell r="AJ49">
            <v>0</v>
          </cell>
          <cell r="AK49">
            <v>0</v>
          </cell>
          <cell r="AL49">
            <v>0</v>
          </cell>
          <cell r="AM49">
            <v>0</v>
          </cell>
          <cell r="AN49">
            <v>0</v>
          </cell>
          <cell r="AO49">
            <v>0</v>
          </cell>
          <cell r="AP49">
            <v>0</v>
          </cell>
          <cell r="AQ49">
            <v>0</v>
          </cell>
          <cell r="AR49">
            <v>0</v>
          </cell>
          <cell r="AW49">
            <v>-300</v>
          </cell>
          <cell r="AX49">
            <v>-300</v>
          </cell>
          <cell r="AY49">
            <v>-300</v>
          </cell>
          <cell r="AZ49">
            <v>-300</v>
          </cell>
          <cell r="BA49">
            <v>-300</v>
          </cell>
          <cell r="BB49">
            <v>-300</v>
          </cell>
          <cell r="BC49">
            <v>-300</v>
          </cell>
          <cell r="BD49">
            <v>-300</v>
          </cell>
          <cell r="BE49">
            <v>-300</v>
          </cell>
          <cell r="BF49">
            <v>-300</v>
          </cell>
          <cell r="BK49">
            <v>-300</v>
          </cell>
          <cell r="BL49">
            <v>-300</v>
          </cell>
          <cell r="BM49">
            <v>-300</v>
          </cell>
          <cell r="BN49">
            <v>-300</v>
          </cell>
          <cell r="BO49">
            <v>-300</v>
          </cell>
          <cell r="BP49">
            <v>-300</v>
          </cell>
          <cell r="BQ49">
            <v>-300</v>
          </cell>
          <cell r="BR49">
            <v>-300</v>
          </cell>
          <cell r="BS49">
            <v>-300</v>
          </cell>
          <cell r="BT49">
            <v>-300</v>
          </cell>
          <cell r="BV49">
            <v>0</v>
          </cell>
        </row>
        <row r="50">
          <cell r="G50">
            <v>-798438</v>
          </cell>
          <cell r="H50">
            <v>-3093798</v>
          </cell>
          <cell r="I50">
            <v>-1849732</v>
          </cell>
          <cell r="K50">
            <v>2989380</v>
          </cell>
          <cell r="L50">
            <v>-1134002</v>
          </cell>
          <cell r="M50">
            <v>295515</v>
          </cell>
          <cell r="N50">
            <v>2337222</v>
          </cell>
          <cell r="O50">
            <v>-5978958</v>
          </cell>
          <cell r="P50">
            <v>4062401</v>
          </cell>
          <cell r="U50">
            <v>11544962</v>
          </cell>
          <cell r="V50">
            <v>-17156193</v>
          </cell>
          <cell r="W50">
            <v>845946</v>
          </cell>
          <cell r="X50">
            <v>-10825420</v>
          </cell>
          <cell r="Y50">
            <v>-10321905</v>
          </cell>
          <cell r="Z50">
            <v>-5554056</v>
          </cell>
          <cell r="AA50">
            <v>127330</v>
          </cell>
          <cell r="AB50">
            <v>408002</v>
          </cell>
          <cell r="AC50">
            <v>1051380</v>
          </cell>
          <cell r="AD50">
            <v>5482792</v>
          </cell>
          <cell r="AI50">
            <v>17914</v>
          </cell>
          <cell r="AJ50">
            <v>-37204</v>
          </cell>
          <cell r="AK50">
            <v>-22190</v>
          </cell>
          <cell r="AL50">
            <v>-16427</v>
          </cell>
          <cell r="AM50">
            <v>-20567</v>
          </cell>
          <cell r="AN50">
            <v>-7271</v>
          </cell>
          <cell r="AO50">
            <v>-3642</v>
          </cell>
          <cell r="AP50">
            <v>-2725</v>
          </cell>
          <cell r="AQ50">
            <v>10963</v>
          </cell>
          <cell r="AR50">
            <v>37892</v>
          </cell>
          <cell r="AW50">
            <v>0</v>
          </cell>
          <cell r="AX50">
            <v>0</v>
          </cell>
          <cell r="AY50">
            <v>0</v>
          </cell>
          <cell r="AZ50">
            <v>0</v>
          </cell>
          <cell r="BA50">
            <v>0</v>
          </cell>
          <cell r="BB50">
            <v>0</v>
          </cell>
          <cell r="BC50">
            <v>0</v>
          </cell>
          <cell r="BD50">
            <v>0</v>
          </cell>
          <cell r="BE50">
            <v>0</v>
          </cell>
          <cell r="BF50">
            <v>0</v>
          </cell>
          <cell r="BK50">
            <v>10764438</v>
          </cell>
          <cell r="BL50">
            <v>-20287195</v>
          </cell>
          <cell r="BM50">
            <v>-1025976</v>
          </cell>
          <cell r="BN50">
            <v>-11020924</v>
          </cell>
          <cell r="BO50">
            <v>-7353092</v>
          </cell>
          <cell r="BP50">
            <v>-6695329</v>
          </cell>
          <cell r="BQ50">
            <v>419203</v>
          </cell>
          <cell r="BR50">
            <v>2742499</v>
          </cell>
          <cell r="BS50">
            <v>-4916615</v>
          </cell>
          <cell r="BT50">
            <v>9583085</v>
          </cell>
          <cell r="BV50">
            <v>0</v>
          </cell>
        </row>
        <row r="51">
          <cell r="G51">
            <v>-22887</v>
          </cell>
          <cell r="H51">
            <v>-20893</v>
          </cell>
          <cell r="I51">
            <v>-21550</v>
          </cell>
          <cell r="K51">
            <v>-21945</v>
          </cell>
          <cell r="L51">
            <v>-21058</v>
          </cell>
          <cell r="M51">
            <v>6003</v>
          </cell>
          <cell r="N51">
            <v>-17776</v>
          </cell>
          <cell r="O51">
            <v>-21140</v>
          </cell>
          <cell r="P51">
            <v>-17828</v>
          </cell>
          <cell r="U51">
            <v>-13859</v>
          </cell>
          <cell r="V51">
            <v>-12651</v>
          </cell>
          <cell r="W51">
            <v>-13050</v>
          </cell>
          <cell r="X51">
            <v>-12873</v>
          </cell>
          <cell r="Y51">
            <v>-13289</v>
          </cell>
          <cell r="Z51">
            <v>-12752</v>
          </cell>
          <cell r="AA51">
            <v>-14359</v>
          </cell>
          <cell r="AB51">
            <v>-13352</v>
          </cell>
          <cell r="AC51">
            <v>-12801</v>
          </cell>
          <cell r="AD51">
            <v>-13391</v>
          </cell>
          <cell r="AI51">
            <v>-142</v>
          </cell>
          <cell r="AJ51">
            <v>-130</v>
          </cell>
          <cell r="AK51">
            <v>-134</v>
          </cell>
          <cell r="AL51">
            <v>-132</v>
          </cell>
          <cell r="AM51">
            <v>-136</v>
          </cell>
          <cell r="AN51">
            <v>-131</v>
          </cell>
          <cell r="AO51">
            <v>805</v>
          </cell>
          <cell r="AP51">
            <v>0</v>
          </cell>
          <cell r="AQ51">
            <v>-131</v>
          </cell>
          <cell r="AR51">
            <v>0</v>
          </cell>
          <cell r="AW51">
            <v>0</v>
          </cell>
          <cell r="AX51">
            <v>0</v>
          </cell>
          <cell r="AY51">
            <v>0</v>
          </cell>
          <cell r="AZ51">
            <v>0</v>
          </cell>
          <cell r="BA51">
            <v>0</v>
          </cell>
          <cell r="BB51">
            <v>0</v>
          </cell>
          <cell r="BC51">
            <v>0</v>
          </cell>
          <cell r="BD51">
            <v>0</v>
          </cell>
          <cell r="BE51">
            <v>0</v>
          </cell>
          <cell r="BF51">
            <v>0</v>
          </cell>
          <cell r="BK51">
            <v>-36888</v>
          </cell>
          <cell r="BL51">
            <v>-33674</v>
          </cell>
          <cell r="BM51">
            <v>-34734</v>
          </cell>
          <cell r="BN51">
            <v>-34264</v>
          </cell>
          <cell r="BO51">
            <v>-35370</v>
          </cell>
          <cell r="BP51">
            <v>-33941</v>
          </cell>
          <cell r="BQ51">
            <v>-7551</v>
          </cell>
          <cell r="BR51">
            <v>-31128</v>
          </cell>
          <cell r="BS51">
            <v>-34072</v>
          </cell>
          <cell r="BT51">
            <v>-31219</v>
          </cell>
          <cell r="BV51">
            <v>0</v>
          </cell>
        </row>
        <row r="52">
          <cell r="G52">
            <v>-20136</v>
          </cell>
          <cell r="H52">
            <v>-7870</v>
          </cell>
          <cell r="I52">
            <v>-196581</v>
          </cell>
          <cell r="K52">
            <v>-45726</v>
          </cell>
          <cell r="L52">
            <v>15240</v>
          </cell>
          <cell r="M52">
            <v>-8297</v>
          </cell>
          <cell r="N52">
            <v>55110</v>
          </cell>
          <cell r="O52">
            <v>-61946</v>
          </cell>
          <cell r="P52">
            <v>-24048</v>
          </cell>
          <cell r="U52">
            <v>-17720</v>
          </cell>
          <cell r="V52">
            <v>-6926</v>
          </cell>
          <cell r="W52">
            <v>-173002</v>
          </cell>
          <cell r="X52">
            <v>-67933</v>
          </cell>
          <cell r="Y52">
            <v>-40241</v>
          </cell>
          <cell r="Z52">
            <v>13412</v>
          </cell>
          <cell r="AA52">
            <v>-7302</v>
          </cell>
          <cell r="AB52">
            <v>48498</v>
          </cell>
          <cell r="AC52">
            <v>-54516</v>
          </cell>
          <cell r="AD52">
            <v>-21163</v>
          </cell>
          <cell r="AI52">
            <v>0</v>
          </cell>
          <cell r="AJ52">
            <v>0</v>
          </cell>
          <cell r="AK52">
            <v>0</v>
          </cell>
          <cell r="AL52">
            <v>0</v>
          </cell>
          <cell r="AM52">
            <v>0</v>
          </cell>
          <cell r="AN52">
            <v>0</v>
          </cell>
          <cell r="AO52">
            <v>0</v>
          </cell>
          <cell r="AP52">
            <v>0</v>
          </cell>
          <cell r="AQ52">
            <v>0</v>
          </cell>
          <cell r="AR52">
            <v>0</v>
          </cell>
          <cell r="AW52">
            <v>0</v>
          </cell>
          <cell r="AX52">
            <v>0</v>
          </cell>
          <cell r="AY52">
            <v>0</v>
          </cell>
          <cell r="AZ52">
            <v>0</v>
          </cell>
          <cell r="BA52">
            <v>0</v>
          </cell>
          <cell r="BB52">
            <v>0</v>
          </cell>
          <cell r="BC52">
            <v>0</v>
          </cell>
          <cell r="BD52">
            <v>0</v>
          </cell>
          <cell r="BE52">
            <v>0</v>
          </cell>
          <cell r="BF52">
            <v>0</v>
          </cell>
          <cell r="BK52">
            <v>-37856</v>
          </cell>
          <cell r="BL52">
            <v>-14796</v>
          </cell>
          <cell r="BM52">
            <v>-369583</v>
          </cell>
          <cell r="BN52">
            <v>-145124</v>
          </cell>
          <cell r="BO52">
            <v>-85967</v>
          </cell>
          <cell r="BP52">
            <v>28652</v>
          </cell>
          <cell r="BQ52">
            <v>-15599</v>
          </cell>
          <cell r="BR52">
            <v>103608</v>
          </cell>
          <cell r="BS52">
            <v>-116462</v>
          </cell>
          <cell r="BT52">
            <v>-45211</v>
          </cell>
          <cell r="BV52">
            <v>0</v>
          </cell>
        </row>
        <row r="53">
          <cell r="G53">
            <v>0</v>
          </cell>
          <cell r="H53">
            <v>0</v>
          </cell>
          <cell r="I53">
            <v>0</v>
          </cell>
          <cell r="K53">
            <v>0</v>
          </cell>
          <cell r="L53">
            <v>0</v>
          </cell>
          <cell r="M53">
            <v>0</v>
          </cell>
          <cell r="N53">
            <v>0</v>
          </cell>
          <cell r="O53">
            <v>0</v>
          </cell>
          <cell r="P53">
            <v>0</v>
          </cell>
          <cell r="U53">
            <v>0</v>
          </cell>
          <cell r="V53">
            <v>0</v>
          </cell>
          <cell r="W53">
            <v>0</v>
          </cell>
          <cell r="X53">
            <v>0</v>
          </cell>
          <cell r="Y53">
            <v>0</v>
          </cell>
          <cell r="Z53">
            <v>0</v>
          </cell>
          <cell r="AA53">
            <v>0</v>
          </cell>
          <cell r="AB53">
            <v>0</v>
          </cell>
          <cell r="AC53">
            <v>0</v>
          </cell>
          <cell r="AD53">
            <v>0</v>
          </cell>
          <cell r="AI53">
            <v>0</v>
          </cell>
          <cell r="AJ53">
            <v>0</v>
          </cell>
          <cell r="AK53">
            <v>0</v>
          </cell>
          <cell r="AL53">
            <v>0</v>
          </cell>
          <cell r="AM53">
            <v>0</v>
          </cell>
          <cell r="AN53">
            <v>0</v>
          </cell>
          <cell r="AO53">
            <v>0</v>
          </cell>
          <cell r="AP53">
            <v>0</v>
          </cell>
          <cell r="AQ53">
            <v>0</v>
          </cell>
          <cell r="AR53">
            <v>0</v>
          </cell>
          <cell r="AW53">
            <v>0</v>
          </cell>
          <cell r="AX53">
            <v>0</v>
          </cell>
          <cell r="AY53">
            <v>0</v>
          </cell>
          <cell r="AZ53">
            <v>0</v>
          </cell>
          <cell r="BA53">
            <v>0</v>
          </cell>
          <cell r="BB53">
            <v>0</v>
          </cell>
          <cell r="BC53">
            <v>0</v>
          </cell>
          <cell r="BD53">
            <v>0</v>
          </cell>
          <cell r="BE53">
            <v>0</v>
          </cell>
          <cell r="BF53">
            <v>0</v>
          </cell>
          <cell r="BK53">
            <v>0</v>
          </cell>
          <cell r="BL53">
            <v>0</v>
          </cell>
          <cell r="BM53">
            <v>0</v>
          </cell>
          <cell r="BN53">
            <v>0</v>
          </cell>
          <cell r="BO53">
            <v>0</v>
          </cell>
          <cell r="BP53">
            <v>0</v>
          </cell>
          <cell r="BQ53">
            <v>0</v>
          </cell>
          <cell r="BR53">
            <v>0</v>
          </cell>
          <cell r="BS53">
            <v>0</v>
          </cell>
          <cell r="BT53">
            <v>0</v>
          </cell>
          <cell r="BV53">
            <v>0</v>
          </cell>
        </row>
        <row r="54">
          <cell r="G54">
            <v>-739</v>
          </cell>
          <cell r="H54">
            <v>-15</v>
          </cell>
          <cell r="I54">
            <v>-15763</v>
          </cell>
          <cell r="K54">
            <v>12342</v>
          </cell>
          <cell r="L54">
            <v>54511</v>
          </cell>
          <cell r="M54">
            <v>-7314</v>
          </cell>
          <cell r="N54">
            <v>0</v>
          </cell>
          <cell r="O54">
            <v>-3279</v>
          </cell>
          <cell r="P54">
            <v>-1620</v>
          </cell>
          <cell r="U54">
            <v>0</v>
          </cell>
          <cell r="V54">
            <v>0</v>
          </cell>
          <cell r="W54">
            <v>0</v>
          </cell>
          <cell r="X54">
            <v>0</v>
          </cell>
          <cell r="Y54">
            <v>-20152</v>
          </cell>
          <cell r="Z54">
            <v>34851</v>
          </cell>
          <cell r="AA54">
            <v>-4676</v>
          </cell>
          <cell r="AB54">
            <v>0</v>
          </cell>
          <cell r="AC54">
            <v>-2097</v>
          </cell>
          <cell r="AD54">
            <v>-1036</v>
          </cell>
          <cell r="AI54">
            <v>0</v>
          </cell>
          <cell r="AJ54">
            <v>0</v>
          </cell>
          <cell r="AK54">
            <v>0</v>
          </cell>
          <cell r="AL54">
            <v>0</v>
          </cell>
          <cell r="AM54">
            <v>0</v>
          </cell>
          <cell r="AN54">
            <v>0</v>
          </cell>
          <cell r="AO54">
            <v>0</v>
          </cell>
          <cell r="AP54">
            <v>0</v>
          </cell>
          <cell r="AQ54">
            <v>0</v>
          </cell>
          <cell r="AR54">
            <v>0</v>
          </cell>
          <cell r="AW54">
            <v>0</v>
          </cell>
          <cell r="AX54">
            <v>0</v>
          </cell>
          <cell r="AY54">
            <v>0</v>
          </cell>
          <cell r="AZ54">
            <v>0</v>
          </cell>
          <cell r="BA54">
            <v>0</v>
          </cell>
          <cell r="BB54">
            <v>0</v>
          </cell>
          <cell r="BC54">
            <v>0</v>
          </cell>
          <cell r="BD54">
            <v>0</v>
          </cell>
          <cell r="BE54">
            <v>0</v>
          </cell>
          <cell r="BF54">
            <v>0</v>
          </cell>
          <cell r="BK54">
            <v>-739</v>
          </cell>
          <cell r="BL54">
            <v>-15</v>
          </cell>
          <cell r="BM54">
            <v>-15763</v>
          </cell>
          <cell r="BN54">
            <v>-27343</v>
          </cell>
          <cell r="BO54">
            <v>-7810</v>
          </cell>
          <cell r="BP54">
            <v>89362</v>
          </cell>
          <cell r="BQ54">
            <v>-11990</v>
          </cell>
          <cell r="BR54">
            <v>0</v>
          </cell>
          <cell r="BS54">
            <v>-5376</v>
          </cell>
          <cell r="BT54">
            <v>-2656</v>
          </cell>
          <cell r="BV54">
            <v>0</v>
          </cell>
        </row>
        <row r="55">
          <cell r="G55">
            <v>743350</v>
          </cell>
          <cell r="H55">
            <v>743350</v>
          </cell>
          <cell r="I55">
            <v>743350</v>
          </cell>
          <cell r="K55">
            <v>743350</v>
          </cell>
          <cell r="L55">
            <v>743350</v>
          </cell>
          <cell r="M55">
            <v>743350</v>
          </cell>
          <cell r="N55">
            <v>743350</v>
          </cell>
          <cell r="O55">
            <v>743350</v>
          </cell>
          <cell r="P55">
            <v>743350</v>
          </cell>
          <cell r="U55">
            <v>495563</v>
          </cell>
          <cell r="V55">
            <v>495563</v>
          </cell>
          <cell r="W55">
            <v>495563</v>
          </cell>
          <cell r="X55">
            <v>495563</v>
          </cell>
          <cell r="Y55">
            <v>495563</v>
          </cell>
          <cell r="Z55">
            <v>495563</v>
          </cell>
          <cell r="AA55">
            <v>495563</v>
          </cell>
          <cell r="AB55">
            <v>495563</v>
          </cell>
          <cell r="AC55">
            <v>495563</v>
          </cell>
          <cell r="AD55">
            <v>495563</v>
          </cell>
          <cell r="AI55">
            <v>0</v>
          </cell>
          <cell r="AJ55">
            <v>0</v>
          </cell>
          <cell r="AK55">
            <v>0</v>
          </cell>
          <cell r="AL55">
            <v>0</v>
          </cell>
          <cell r="AM55">
            <v>0</v>
          </cell>
          <cell r="AN55">
            <v>0</v>
          </cell>
          <cell r="AO55">
            <v>0</v>
          </cell>
          <cell r="AP55">
            <v>0</v>
          </cell>
          <cell r="AQ55">
            <v>0</v>
          </cell>
          <cell r="AR55">
            <v>0</v>
          </cell>
          <cell r="AW55">
            <v>0</v>
          </cell>
          <cell r="AX55">
            <v>0</v>
          </cell>
          <cell r="AY55">
            <v>0</v>
          </cell>
          <cell r="AZ55">
            <v>0</v>
          </cell>
          <cell r="BA55">
            <v>0</v>
          </cell>
          <cell r="BB55">
            <v>0</v>
          </cell>
          <cell r="BC55">
            <v>0</v>
          </cell>
          <cell r="BD55">
            <v>0</v>
          </cell>
          <cell r="BE55">
            <v>0</v>
          </cell>
          <cell r="BF55">
            <v>0</v>
          </cell>
          <cell r="BK55">
            <v>1238913</v>
          </cell>
          <cell r="BL55">
            <v>1238913</v>
          </cell>
          <cell r="BM55">
            <v>1238913</v>
          </cell>
          <cell r="BN55">
            <v>1238913</v>
          </cell>
          <cell r="BO55">
            <v>1238913</v>
          </cell>
          <cell r="BP55">
            <v>1238913</v>
          </cell>
          <cell r="BQ55">
            <v>1238913</v>
          </cell>
          <cell r="BR55">
            <v>1238913</v>
          </cell>
          <cell r="BS55">
            <v>1238913</v>
          </cell>
          <cell r="BT55">
            <v>1238913</v>
          </cell>
          <cell r="BV55">
            <v>0</v>
          </cell>
        </row>
        <row r="56">
          <cell r="G56">
            <v>-450971</v>
          </cell>
          <cell r="H56">
            <v>-659928</v>
          </cell>
          <cell r="I56">
            <v>-820322</v>
          </cell>
          <cell r="K56">
            <v>-502007</v>
          </cell>
          <cell r="L56">
            <v>-533120</v>
          </cell>
          <cell r="M56">
            <v>-738933</v>
          </cell>
          <cell r="N56">
            <v>-473896</v>
          </cell>
          <cell r="O56">
            <v>-476693</v>
          </cell>
          <cell r="P56">
            <v>-1301633</v>
          </cell>
          <cell r="U56">
            <v>-92</v>
          </cell>
          <cell r="V56">
            <v>3933</v>
          </cell>
          <cell r="W56">
            <v>-200463</v>
          </cell>
          <cell r="X56">
            <v>-131812</v>
          </cell>
          <cell r="Y56">
            <v>-85087</v>
          </cell>
          <cell r="Z56">
            <v>-128619</v>
          </cell>
          <cell r="AA56">
            <v>-115194</v>
          </cell>
          <cell r="AB56">
            <v>-158365</v>
          </cell>
          <cell r="AC56">
            <v>-155713</v>
          </cell>
          <cell r="AD56">
            <v>-352623</v>
          </cell>
          <cell r="AI56">
            <v>0</v>
          </cell>
          <cell r="AJ56">
            <v>0</v>
          </cell>
          <cell r="AK56">
            <v>0</v>
          </cell>
          <cell r="AL56">
            <v>0</v>
          </cell>
          <cell r="AM56">
            <v>0</v>
          </cell>
          <cell r="AN56">
            <v>0</v>
          </cell>
          <cell r="AO56">
            <v>0</v>
          </cell>
          <cell r="AP56">
            <v>0</v>
          </cell>
          <cell r="AQ56">
            <v>0</v>
          </cell>
          <cell r="AR56">
            <v>0</v>
          </cell>
          <cell r="AW56">
            <v>0</v>
          </cell>
          <cell r="AX56">
            <v>0</v>
          </cell>
          <cell r="AY56">
            <v>0</v>
          </cell>
          <cell r="AZ56">
            <v>0</v>
          </cell>
          <cell r="BA56">
            <v>0</v>
          </cell>
          <cell r="BB56">
            <v>0</v>
          </cell>
          <cell r="BC56">
            <v>0</v>
          </cell>
          <cell r="BD56">
            <v>0</v>
          </cell>
          <cell r="BE56">
            <v>0</v>
          </cell>
          <cell r="BF56">
            <v>0</v>
          </cell>
          <cell r="BK56">
            <v>-451063</v>
          </cell>
          <cell r="BL56">
            <v>-655995</v>
          </cell>
          <cell r="BM56">
            <v>-1020785</v>
          </cell>
          <cell r="BN56">
            <v>-489490</v>
          </cell>
          <cell r="BO56">
            <v>-587094</v>
          </cell>
          <cell r="BP56">
            <v>-661739</v>
          </cell>
          <cell r="BQ56">
            <v>-854127</v>
          </cell>
          <cell r="BR56">
            <v>-632261</v>
          </cell>
          <cell r="BS56">
            <v>-632406</v>
          </cell>
          <cell r="BT56">
            <v>-1654256</v>
          </cell>
          <cell r="BV56">
            <v>0</v>
          </cell>
        </row>
        <row r="57">
          <cell r="G57">
            <v>213509</v>
          </cell>
          <cell r="H57">
            <v>213509</v>
          </cell>
          <cell r="I57">
            <v>213509</v>
          </cell>
          <cell r="K57">
            <v>213509</v>
          </cell>
          <cell r="L57">
            <v>213509</v>
          </cell>
          <cell r="M57">
            <v>383712</v>
          </cell>
          <cell r="N57">
            <v>383712</v>
          </cell>
          <cell r="O57">
            <v>383712</v>
          </cell>
          <cell r="P57">
            <v>383712</v>
          </cell>
          <cell r="U57">
            <v>49314</v>
          </cell>
          <cell r="V57">
            <v>49314</v>
          </cell>
          <cell r="W57">
            <v>49314</v>
          </cell>
          <cell r="X57">
            <v>49314</v>
          </cell>
          <cell r="Y57">
            <v>49314</v>
          </cell>
          <cell r="Z57">
            <v>49314</v>
          </cell>
          <cell r="AA57">
            <v>92514</v>
          </cell>
          <cell r="AB57">
            <v>92514</v>
          </cell>
          <cell r="AC57">
            <v>92514</v>
          </cell>
          <cell r="AD57">
            <v>92514</v>
          </cell>
          <cell r="AI57">
            <v>0</v>
          </cell>
          <cell r="AJ57">
            <v>0</v>
          </cell>
          <cell r="AK57">
            <v>0</v>
          </cell>
          <cell r="AL57">
            <v>0</v>
          </cell>
          <cell r="AM57">
            <v>0</v>
          </cell>
          <cell r="AN57">
            <v>0</v>
          </cell>
          <cell r="AO57">
            <v>0</v>
          </cell>
          <cell r="AP57">
            <v>0</v>
          </cell>
          <cell r="AQ57">
            <v>0</v>
          </cell>
          <cell r="AR57">
            <v>0</v>
          </cell>
          <cell r="AW57">
            <v>0</v>
          </cell>
          <cell r="AX57">
            <v>0</v>
          </cell>
          <cell r="AY57">
            <v>0</v>
          </cell>
          <cell r="AZ57">
            <v>0</v>
          </cell>
          <cell r="BA57">
            <v>0</v>
          </cell>
          <cell r="BB57">
            <v>0</v>
          </cell>
          <cell r="BC57">
            <v>0</v>
          </cell>
          <cell r="BD57">
            <v>0</v>
          </cell>
          <cell r="BE57">
            <v>0</v>
          </cell>
          <cell r="BF57">
            <v>0</v>
          </cell>
          <cell r="BK57">
            <v>262823</v>
          </cell>
          <cell r="BL57">
            <v>262823</v>
          </cell>
          <cell r="BM57">
            <v>262823</v>
          </cell>
          <cell r="BN57">
            <v>262823</v>
          </cell>
          <cell r="BO57">
            <v>262823</v>
          </cell>
          <cell r="BP57">
            <v>262823</v>
          </cell>
          <cell r="BQ57">
            <v>476226</v>
          </cell>
          <cell r="BR57">
            <v>476226</v>
          </cell>
          <cell r="BS57">
            <v>476226</v>
          </cell>
          <cell r="BT57">
            <v>476226</v>
          </cell>
          <cell r="BV57">
            <v>0</v>
          </cell>
        </row>
        <row r="58">
          <cell r="G58">
            <v>376163</v>
          </cell>
          <cell r="H58">
            <v>317119</v>
          </cell>
          <cell r="I58">
            <v>333202</v>
          </cell>
          <cell r="K58">
            <v>379341</v>
          </cell>
          <cell r="L58">
            <v>414799</v>
          </cell>
          <cell r="M58">
            <v>352196</v>
          </cell>
          <cell r="N58">
            <v>120934</v>
          </cell>
          <cell r="O58">
            <v>97361</v>
          </cell>
          <cell r="P58">
            <v>88050</v>
          </cell>
          <cell r="U58">
            <v>0</v>
          </cell>
          <cell r="V58">
            <v>0</v>
          </cell>
          <cell r="W58">
            <v>0</v>
          </cell>
          <cell r="X58">
            <v>0</v>
          </cell>
          <cell r="Y58">
            <v>0</v>
          </cell>
          <cell r="Z58">
            <v>0</v>
          </cell>
          <cell r="AA58">
            <v>0</v>
          </cell>
          <cell r="AB58">
            <v>0</v>
          </cell>
          <cell r="AC58">
            <v>0</v>
          </cell>
          <cell r="AD58">
            <v>0</v>
          </cell>
          <cell r="AI58">
            <v>0</v>
          </cell>
          <cell r="AJ58">
            <v>0</v>
          </cell>
          <cell r="AK58">
            <v>0</v>
          </cell>
          <cell r="AL58">
            <v>0</v>
          </cell>
          <cell r="AM58">
            <v>0</v>
          </cell>
          <cell r="AN58">
            <v>0</v>
          </cell>
          <cell r="AO58">
            <v>0</v>
          </cell>
          <cell r="AP58">
            <v>0</v>
          </cell>
          <cell r="AQ58">
            <v>0</v>
          </cell>
          <cell r="AR58">
            <v>0</v>
          </cell>
          <cell r="AW58">
            <v>0</v>
          </cell>
          <cell r="AX58">
            <v>0</v>
          </cell>
          <cell r="AY58">
            <v>0</v>
          </cell>
          <cell r="AZ58">
            <v>0</v>
          </cell>
          <cell r="BA58">
            <v>0</v>
          </cell>
          <cell r="BB58">
            <v>0</v>
          </cell>
          <cell r="BC58">
            <v>0</v>
          </cell>
          <cell r="BD58">
            <v>0</v>
          </cell>
          <cell r="BE58">
            <v>0</v>
          </cell>
          <cell r="BF58">
            <v>0</v>
          </cell>
          <cell r="BK58">
            <v>376163</v>
          </cell>
          <cell r="BL58">
            <v>317119</v>
          </cell>
          <cell r="BM58">
            <v>333202</v>
          </cell>
          <cell r="BN58">
            <v>338057</v>
          </cell>
          <cell r="BO58">
            <v>379341</v>
          </cell>
          <cell r="BP58">
            <v>414799</v>
          </cell>
          <cell r="BQ58">
            <v>352196</v>
          </cell>
          <cell r="BR58">
            <v>120934</v>
          </cell>
          <cell r="BS58">
            <v>97361</v>
          </cell>
          <cell r="BT58">
            <v>88050</v>
          </cell>
          <cell r="BV58">
            <v>0</v>
          </cell>
        </row>
        <row r="59">
          <cell r="G59">
            <v>25000</v>
          </cell>
          <cell r="H59">
            <v>25000</v>
          </cell>
          <cell r="I59">
            <v>25000</v>
          </cell>
          <cell r="K59">
            <v>25000</v>
          </cell>
          <cell r="L59">
            <v>25000</v>
          </cell>
          <cell r="M59">
            <v>25000</v>
          </cell>
          <cell r="N59">
            <v>25000</v>
          </cell>
          <cell r="O59">
            <v>25000</v>
          </cell>
          <cell r="P59">
            <v>25000</v>
          </cell>
          <cell r="U59">
            <v>35000</v>
          </cell>
          <cell r="V59">
            <v>35000</v>
          </cell>
          <cell r="W59">
            <v>35000</v>
          </cell>
          <cell r="X59">
            <v>35000</v>
          </cell>
          <cell r="Y59">
            <v>35000</v>
          </cell>
          <cell r="Z59">
            <v>35000</v>
          </cell>
          <cell r="AA59">
            <v>35000</v>
          </cell>
          <cell r="AB59">
            <v>35000</v>
          </cell>
          <cell r="AC59">
            <v>35000</v>
          </cell>
          <cell r="AD59">
            <v>35000</v>
          </cell>
          <cell r="AI59">
            <v>0</v>
          </cell>
          <cell r="AJ59">
            <v>0</v>
          </cell>
          <cell r="AK59">
            <v>0</v>
          </cell>
          <cell r="AL59">
            <v>0</v>
          </cell>
          <cell r="AM59">
            <v>0</v>
          </cell>
          <cell r="AN59">
            <v>0</v>
          </cell>
          <cell r="AO59">
            <v>0</v>
          </cell>
          <cell r="AP59">
            <v>0</v>
          </cell>
          <cell r="AQ59">
            <v>0</v>
          </cell>
          <cell r="AR59">
            <v>0</v>
          </cell>
          <cell r="AW59">
            <v>0</v>
          </cell>
          <cell r="AX59">
            <v>0</v>
          </cell>
          <cell r="AY59">
            <v>0</v>
          </cell>
          <cell r="AZ59">
            <v>0</v>
          </cell>
          <cell r="BA59">
            <v>0</v>
          </cell>
          <cell r="BB59">
            <v>0</v>
          </cell>
          <cell r="BC59">
            <v>0</v>
          </cell>
          <cell r="BD59">
            <v>0</v>
          </cell>
          <cell r="BE59">
            <v>0</v>
          </cell>
          <cell r="BF59">
            <v>0</v>
          </cell>
          <cell r="BK59">
            <v>60000</v>
          </cell>
          <cell r="BL59">
            <v>60000</v>
          </cell>
          <cell r="BM59">
            <v>60000</v>
          </cell>
          <cell r="BN59">
            <v>60000</v>
          </cell>
          <cell r="BO59">
            <v>60000</v>
          </cell>
          <cell r="BP59">
            <v>60000</v>
          </cell>
          <cell r="BQ59">
            <v>60000</v>
          </cell>
          <cell r="BR59">
            <v>60000</v>
          </cell>
          <cell r="BS59">
            <v>60000</v>
          </cell>
          <cell r="BT59">
            <v>60000</v>
          </cell>
          <cell r="BV59">
            <v>0</v>
          </cell>
        </row>
        <row r="60">
          <cell r="G60">
            <v>553607</v>
          </cell>
          <cell r="H60">
            <v>1818029</v>
          </cell>
          <cell r="I60">
            <v>926877</v>
          </cell>
          <cell r="K60">
            <v>-1645901</v>
          </cell>
          <cell r="L60">
            <v>2074864</v>
          </cell>
          <cell r="M60">
            <v>2248371</v>
          </cell>
          <cell r="N60">
            <v>-5973392</v>
          </cell>
          <cell r="O60">
            <v>2342593</v>
          </cell>
          <cell r="P60">
            <v>3197690</v>
          </cell>
          <cell r="U60">
            <v>-1402525</v>
          </cell>
          <cell r="V60">
            <v>17100930</v>
          </cell>
          <cell r="W60">
            <v>8889083</v>
          </cell>
          <cell r="X60">
            <v>9991837</v>
          </cell>
          <cell r="Y60">
            <v>3650150</v>
          </cell>
          <cell r="Z60">
            <v>2244198</v>
          </cell>
          <cell r="AA60">
            <v>-2694587</v>
          </cell>
          <cell r="AB60">
            <v>-4215764</v>
          </cell>
          <cell r="AC60">
            <v>-5060991</v>
          </cell>
          <cell r="AD60">
            <v>-9340780</v>
          </cell>
          <cell r="AI60">
            <v>-203051</v>
          </cell>
          <cell r="AJ60">
            <v>97192</v>
          </cell>
          <cell r="AK60">
            <v>-43975</v>
          </cell>
          <cell r="AL60">
            <v>35171</v>
          </cell>
          <cell r="AM60">
            <v>-65297</v>
          </cell>
          <cell r="AN60">
            <v>18753</v>
          </cell>
          <cell r="AO60">
            <v>61028</v>
          </cell>
          <cell r="AP60">
            <v>-23066</v>
          </cell>
          <cell r="AQ60">
            <v>-104874</v>
          </cell>
          <cell r="AR60">
            <v>-97511</v>
          </cell>
          <cell r="AW60">
            <v>0</v>
          </cell>
          <cell r="AX60">
            <v>0</v>
          </cell>
          <cell r="AY60">
            <v>0</v>
          </cell>
          <cell r="AZ60">
            <v>0</v>
          </cell>
          <cell r="BA60">
            <v>0</v>
          </cell>
          <cell r="BB60">
            <v>0</v>
          </cell>
          <cell r="BC60">
            <v>0</v>
          </cell>
          <cell r="BD60">
            <v>0</v>
          </cell>
          <cell r="BE60">
            <v>0</v>
          </cell>
          <cell r="BF60">
            <v>0</v>
          </cell>
          <cell r="BK60">
            <v>-1051969</v>
          </cell>
          <cell r="BL60">
            <v>19016151</v>
          </cell>
          <cell r="BM60">
            <v>9771985</v>
          </cell>
          <cell r="BN60">
            <v>11508169</v>
          </cell>
          <cell r="BO60">
            <v>1938952</v>
          </cell>
          <cell r="BP60">
            <v>4337815</v>
          </cell>
          <cell r="BQ60">
            <v>-385188</v>
          </cell>
          <cell r="BR60">
            <v>-10212222</v>
          </cell>
          <cell r="BS60">
            <v>-2823272</v>
          </cell>
          <cell r="BT60">
            <v>-6240601</v>
          </cell>
          <cell r="BV60">
            <v>0</v>
          </cell>
        </row>
        <row r="61">
          <cell r="G61">
            <v>0</v>
          </cell>
          <cell r="H61">
            <v>0</v>
          </cell>
          <cell r="I61">
            <v>0</v>
          </cell>
          <cell r="K61">
            <v>0</v>
          </cell>
          <cell r="L61">
            <v>0</v>
          </cell>
          <cell r="M61">
            <v>0</v>
          </cell>
          <cell r="N61">
            <v>0</v>
          </cell>
          <cell r="O61">
            <v>0</v>
          </cell>
          <cell r="P61">
            <v>0</v>
          </cell>
          <cell r="U61">
            <v>0</v>
          </cell>
          <cell r="V61">
            <v>0</v>
          </cell>
          <cell r="W61">
            <v>0</v>
          </cell>
          <cell r="X61">
            <v>0</v>
          </cell>
          <cell r="Y61">
            <v>0</v>
          </cell>
          <cell r="Z61">
            <v>0</v>
          </cell>
          <cell r="AA61">
            <v>0</v>
          </cell>
          <cell r="AB61">
            <v>0</v>
          </cell>
          <cell r="AC61">
            <v>0</v>
          </cell>
          <cell r="AD61">
            <v>0</v>
          </cell>
          <cell r="AI61">
            <v>0</v>
          </cell>
          <cell r="AJ61">
            <v>0</v>
          </cell>
          <cell r="AK61">
            <v>0</v>
          </cell>
          <cell r="AL61">
            <v>0</v>
          </cell>
          <cell r="AM61">
            <v>0</v>
          </cell>
          <cell r="AN61">
            <v>0</v>
          </cell>
          <cell r="AO61">
            <v>0</v>
          </cell>
          <cell r="AP61">
            <v>0</v>
          </cell>
          <cell r="AQ61">
            <v>0</v>
          </cell>
          <cell r="AR61">
            <v>0</v>
          </cell>
          <cell r="AW61">
            <v>0</v>
          </cell>
          <cell r="AX61">
            <v>0</v>
          </cell>
          <cell r="AY61">
            <v>0</v>
          </cell>
          <cell r="AZ61">
            <v>0</v>
          </cell>
          <cell r="BA61">
            <v>0</v>
          </cell>
          <cell r="BB61">
            <v>0</v>
          </cell>
          <cell r="BC61">
            <v>0</v>
          </cell>
          <cell r="BD61">
            <v>0</v>
          </cell>
          <cell r="BE61">
            <v>0</v>
          </cell>
          <cell r="BF61">
            <v>0</v>
          </cell>
          <cell r="BK61">
            <v>0</v>
          </cell>
          <cell r="BL61">
            <v>0</v>
          </cell>
          <cell r="BM61">
            <v>0</v>
          </cell>
          <cell r="BN61">
            <v>0</v>
          </cell>
          <cell r="BO61">
            <v>0</v>
          </cell>
          <cell r="BP61">
            <v>0</v>
          </cell>
          <cell r="BQ61">
            <v>0</v>
          </cell>
          <cell r="BR61">
            <v>0</v>
          </cell>
          <cell r="BS61">
            <v>0</v>
          </cell>
          <cell r="BT61">
            <v>0</v>
          </cell>
          <cell r="BV61">
            <v>0</v>
          </cell>
        </row>
        <row r="62">
          <cell r="G62">
            <v>389145</v>
          </cell>
          <cell r="H62">
            <v>427133</v>
          </cell>
          <cell r="I62">
            <v>408139</v>
          </cell>
          <cell r="K62">
            <v>408139</v>
          </cell>
          <cell r="L62">
            <v>408139</v>
          </cell>
          <cell r="M62">
            <v>408139</v>
          </cell>
          <cell r="N62">
            <v>408139</v>
          </cell>
          <cell r="O62">
            <v>408139</v>
          </cell>
          <cell r="P62">
            <v>408139</v>
          </cell>
          <cell r="U62">
            <v>143931</v>
          </cell>
          <cell r="V62">
            <v>157981</v>
          </cell>
          <cell r="W62">
            <v>150956</v>
          </cell>
          <cell r="X62">
            <v>150956</v>
          </cell>
          <cell r="Y62">
            <v>150956</v>
          </cell>
          <cell r="Z62">
            <v>150956</v>
          </cell>
          <cell r="AA62">
            <v>150956</v>
          </cell>
          <cell r="AB62">
            <v>150956</v>
          </cell>
          <cell r="AC62">
            <v>150956</v>
          </cell>
          <cell r="AD62">
            <v>150956</v>
          </cell>
          <cell r="AI62">
            <v>0</v>
          </cell>
          <cell r="AJ62">
            <v>0</v>
          </cell>
          <cell r="AK62">
            <v>0</v>
          </cell>
          <cell r="AL62">
            <v>0</v>
          </cell>
          <cell r="AM62">
            <v>0</v>
          </cell>
          <cell r="AN62">
            <v>0</v>
          </cell>
          <cell r="AO62">
            <v>0</v>
          </cell>
          <cell r="AP62">
            <v>0</v>
          </cell>
          <cell r="AQ62">
            <v>0</v>
          </cell>
          <cell r="AR62">
            <v>0</v>
          </cell>
          <cell r="AW62">
            <v>0</v>
          </cell>
          <cell r="AX62">
            <v>0</v>
          </cell>
          <cell r="AY62">
            <v>0</v>
          </cell>
          <cell r="AZ62">
            <v>0</v>
          </cell>
          <cell r="BA62">
            <v>0</v>
          </cell>
          <cell r="BB62">
            <v>0</v>
          </cell>
          <cell r="BC62">
            <v>0</v>
          </cell>
          <cell r="BD62">
            <v>0</v>
          </cell>
          <cell r="BE62">
            <v>0</v>
          </cell>
          <cell r="BF62">
            <v>0</v>
          </cell>
          <cell r="BK62">
            <v>533076</v>
          </cell>
          <cell r="BL62">
            <v>585114</v>
          </cell>
          <cell r="BM62">
            <v>559095</v>
          </cell>
          <cell r="BN62">
            <v>559095</v>
          </cell>
          <cell r="BO62">
            <v>559095</v>
          </cell>
          <cell r="BP62">
            <v>559095</v>
          </cell>
          <cell r="BQ62">
            <v>559095</v>
          </cell>
          <cell r="BR62">
            <v>559095</v>
          </cell>
          <cell r="BS62">
            <v>559095</v>
          </cell>
          <cell r="BT62">
            <v>559095</v>
          </cell>
          <cell r="BV62">
            <v>0</v>
          </cell>
        </row>
        <row r="63">
          <cell r="G63">
            <v>-786000</v>
          </cell>
          <cell r="H63">
            <v>-786000</v>
          </cell>
          <cell r="I63">
            <v>-786000</v>
          </cell>
          <cell r="K63">
            <v>-786000</v>
          </cell>
          <cell r="L63">
            <v>-786000</v>
          </cell>
          <cell r="M63">
            <v>-786000</v>
          </cell>
          <cell r="N63">
            <v>-786000</v>
          </cell>
          <cell r="O63">
            <v>-786000</v>
          </cell>
          <cell r="P63">
            <v>-786000</v>
          </cell>
          <cell r="U63">
            <v>-262000</v>
          </cell>
          <cell r="V63">
            <v>-262000</v>
          </cell>
          <cell r="W63">
            <v>-262000</v>
          </cell>
          <cell r="X63">
            <v>-262000</v>
          </cell>
          <cell r="Y63">
            <v>-262000</v>
          </cell>
          <cell r="Z63">
            <v>-262000</v>
          </cell>
          <cell r="AA63">
            <v>-262000</v>
          </cell>
          <cell r="AB63">
            <v>-262000</v>
          </cell>
          <cell r="AC63">
            <v>-262000</v>
          </cell>
          <cell r="AD63">
            <v>-262000</v>
          </cell>
          <cell r="AI63">
            <v>0</v>
          </cell>
          <cell r="AJ63">
            <v>0</v>
          </cell>
          <cell r="AK63">
            <v>0</v>
          </cell>
          <cell r="AL63">
            <v>0</v>
          </cell>
          <cell r="AM63">
            <v>0</v>
          </cell>
          <cell r="AN63">
            <v>0</v>
          </cell>
          <cell r="AO63">
            <v>0</v>
          </cell>
          <cell r="AP63">
            <v>0</v>
          </cell>
          <cell r="AQ63">
            <v>0</v>
          </cell>
          <cell r="AR63">
            <v>0</v>
          </cell>
          <cell r="AW63">
            <v>0</v>
          </cell>
          <cell r="AX63">
            <v>0</v>
          </cell>
          <cell r="AY63">
            <v>0</v>
          </cell>
          <cell r="AZ63">
            <v>0</v>
          </cell>
          <cell r="BA63">
            <v>0</v>
          </cell>
          <cell r="BB63">
            <v>0</v>
          </cell>
          <cell r="BC63">
            <v>0</v>
          </cell>
          <cell r="BD63">
            <v>0</v>
          </cell>
          <cell r="BE63">
            <v>0</v>
          </cell>
          <cell r="BF63">
            <v>0</v>
          </cell>
          <cell r="BK63">
            <v>-1048000</v>
          </cell>
          <cell r="BL63">
            <v>-1048000</v>
          </cell>
          <cell r="BM63">
            <v>-1048000</v>
          </cell>
          <cell r="BN63">
            <v>-1048000</v>
          </cell>
          <cell r="BO63">
            <v>-1048000</v>
          </cell>
          <cell r="BP63">
            <v>-1048000</v>
          </cell>
          <cell r="BQ63">
            <v>-1048000</v>
          </cell>
          <cell r="BR63">
            <v>-1048000</v>
          </cell>
          <cell r="BS63">
            <v>-1048000</v>
          </cell>
          <cell r="BT63">
            <v>-1048000</v>
          </cell>
          <cell r="BV63">
            <v>0</v>
          </cell>
        </row>
        <row r="64">
          <cell r="G64">
            <v>41250</v>
          </cell>
          <cell r="H64">
            <v>41250</v>
          </cell>
          <cell r="I64">
            <v>122726</v>
          </cell>
          <cell r="K64">
            <v>69589</v>
          </cell>
          <cell r="L64">
            <v>68445</v>
          </cell>
          <cell r="M64">
            <v>69589</v>
          </cell>
          <cell r="N64">
            <v>68445</v>
          </cell>
          <cell r="O64">
            <v>68445</v>
          </cell>
          <cell r="P64">
            <v>68445</v>
          </cell>
          <cell r="U64">
            <v>13750</v>
          </cell>
          <cell r="V64">
            <v>13750</v>
          </cell>
          <cell r="W64">
            <v>103710</v>
          </cell>
          <cell r="X64">
            <v>43760</v>
          </cell>
          <cell r="Y64">
            <v>44491</v>
          </cell>
          <cell r="Z64">
            <v>43760</v>
          </cell>
          <cell r="AA64">
            <v>44491</v>
          </cell>
          <cell r="AB64">
            <v>43760</v>
          </cell>
          <cell r="AC64">
            <v>43760</v>
          </cell>
          <cell r="AD64">
            <v>43760</v>
          </cell>
          <cell r="AI64">
            <v>0</v>
          </cell>
          <cell r="AJ64">
            <v>0</v>
          </cell>
          <cell r="AK64">
            <v>0</v>
          </cell>
          <cell r="AL64">
            <v>0</v>
          </cell>
          <cell r="AM64">
            <v>0</v>
          </cell>
          <cell r="AN64">
            <v>0</v>
          </cell>
          <cell r="AO64">
            <v>0</v>
          </cell>
          <cell r="AP64">
            <v>0</v>
          </cell>
          <cell r="AQ64">
            <v>0</v>
          </cell>
          <cell r="AR64">
            <v>0</v>
          </cell>
          <cell r="AW64">
            <v>0</v>
          </cell>
          <cell r="AX64">
            <v>0</v>
          </cell>
          <cell r="AY64">
            <v>0</v>
          </cell>
          <cell r="AZ64">
            <v>0</v>
          </cell>
          <cell r="BA64">
            <v>0</v>
          </cell>
          <cell r="BB64">
            <v>0</v>
          </cell>
          <cell r="BC64">
            <v>0</v>
          </cell>
          <cell r="BD64">
            <v>0</v>
          </cell>
          <cell r="BE64">
            <v>0</v>
          </cell>
          <cell r="BF64">
            <v>0</v>
          </cell>
          <cell r="BK64">
            <v>55000</v>
          </cell>
          <cell r="BL64">
            <v>55000</v>
          </cell>
          <cell r="BM64">
            <v>226436</v>
          </cell>
          <cell r="BN64">
            <v>112205</v>
          </cell>
          <cell r="BO64">
            <v>114080</v>
          </cell>
          <cell r="BP64">
            <v>112205</v>
          </cell>
          <cell r="BQ64">
            <v>114080</v>
          </cell>
          <cell r="BR64">
            <v>112205</v>
          </cell>
          <cell r="BS64">
            <v>112205</v>
          </cell>
          <cell r="BT64">
            <v>112205</v>
          </cell>
          <cell r="BV64">
            <v>0</v>
          </cell>
        </row>
        <row r="65">
          <cell r="I65">
            <v>-94977</v>
          </cell>
          <cell r="K65">
            <v>-31659</v>
          </cell>
          <cell r="L65">
            <v>-31659</v>
          </cell>
          <cell r="M65">
            <v>-31659</v>
          </cell>
          <cell r="N65">
            <v>-31659</v>
          </cell>
          <cell r="O65">
            <v>-31659</v>
          </cell>
          <cell r="P65">
            <v>-31659</v>
          </cell>
          <cell r="W65">
            <v>-60723</v>
          </cell>
          <cell r="X65">
            <v>-20241</v>
          </cell>
          <cell r="Y65">
            <v>-20241</v>
          </cell>
          <cell r="Z65">
            <v>-20241</v>
          </cell>
          <cell r="AA65">
            <v>-20241</v>
          </cell>
          <cell r="AB65">
            <v>-20241</v>
          </cell>
          <cell r="AC65">
            <v>-20241</v>
          </cell>
          <cell r="AD65">
            <v>-20241</v>
          </cell>
          <cell r="AK65">
            <v>0</v>
          </cell>
          <cell r="AL65">
            <v>0</v>
          </cell>
          <cell r="AM65">
            <v>0</v>
          </cell>
          <cell r="AN65">
            <v>0</v>
          </cell>
          <cell r="AO65">
            <v>0</v>
          </cell>
          <cell r="AP65">
            <v>0</v>
          </cell>
          <cell r="AQ65">
            <v>0</v>
          </cell>
          <cell r="AR65">
            <v>0</v>
          </cell>
          <cell r="AY65">
            <v>0</v>
          </cell>
          <cell r="AZ65">
            <v>0</v>
          </cell>
          <cell r="BA65">
            <v>0</v>
          </cell>
          <cell r="BB65">
            <v>0</v>
          </cell>
          <cell r="BC65">
            <v>0</v>
          </cell>
          <cell r="BD65">
            <v>0</v>
          </cell>
          <cell r="BE65">
            <v>0</v>
          </cell>
          <cell r="BF65">
            <v>0</v>
          </cell>
          <cell r="BM65">
            <v>-155700</v>
          </cell>
          <cell r="BN65">
            <v>-51900</v>
          </cell>
          <cell r="BO65">
            <v>-51900</v>
          </cell>
          <cell r="BP65">
            <v>-51900</v>
          </cell>
          <cell r="BQ65">
            <v>-51900</v>
          </cell>
          <cell r="BR65">
            <v>-51900</v>
          </cell>
          <cell r="BS65">
            <v>-51900</v>
          </cell>
          <cell r="BT65">
            <v>-51900</v>
          </cell>
          <cell r="BV65">
            <v>0</v>
          </cell>
        </row>
        <row r="66">
          <cell r="G66">
            <v>134468</v>
          </cell>
          <cell r="H66">
            <v>134468</v>
          </cell>
          <cell r="I66">
            <v>134468</v>
          </cell>
          <cell r="K66">
            <v>134468</v>
          </cell>
          <cell r="L66">
            <v>134468</v>
          </cell>
          <cell r="M66">
            <v>134468</v>
          </cell>
          <cell r="N66">
            <v>134468</v>
          </cell>
          <cell r="O66">
            <v>134468</v>
          </cell>
          <cell r="P66">
            <v>134468</v>
          </cell>
          <cell r="U66">
            <v>33314</v>
          </cell>
          <cell r="V66">
            <v>33314</v>
          </cell>
          <cell r="W66">
            <v>33314</v>
          </cell>
          <cell r="X66">
            <v>33314</v>
          </cell>
          <cell r="Y66">
            <v>33314</v>
          </cell>
          <cell r="Z66">
            <v>33314</v>
          </cell>
          <cell r="AA66">
            <v>33314</v>
          </cell>
          <cell r="AB66">
            <v>33314</v>
          </cell>
          <cell r="AC66">
            <v>33314</v>
          </cell>
          <cell r="AD66">
            <v>33314</v>
          </cell>
          <cell r="AI66">
            <v>725</v>
          </cell>
          <cell r="AJ66">
            <v>725</v>
          </cell>
          <cell r="AK66">
            <v>725</v>
          </cell>
          <cell r="AL66">
            <v>725</v>
          </cell>
          <cell r="AM66">
            <v>725</v>
          </cell>
          <cell r="AN66">
            <v>725</v>
          </cell>
          <cell r="AO66">
            <v>725</v>
          </cell>
          <cell r="AP66">
            <v>725</v>
          </cell>
          <cell r="AQ66">
            <v>725</v>
          </cell>
          <cell r="AR66">
            <v>725</v>
          </cell>
          <cell r="AW66">
            <v>0</v>
          </cell>
          <cell r="AX66">
            <v>0</v>
          </cell>
          <cell r="AY66">
            <v>0</v>
          </cell>
          <cell r="AZ66">
            <v>0</v>
          </cell>
          <cell r="BA66">
            <v>0</v>
          </cell>
          <cell r="BB66">
            <v>0</v>
          </cell>
          <cell r="BC66">
            <v>0</v>
          </cell>
          <cell r="BD66">
            <v>0</v>
          </cell>
          <cell r="BE66">
            <v>0</v>
          </cell>
          <cell r="BF66">
            <v>0</v>
          </cell>
          <cell r="BK66">
            <v>168507</v>
          </cell>
          <cell r="BL66">
            <v>168507</v>
          </cell>
          <cell r="BM66">
            <v>168507</v>
          </cell>
          <cell r="BN66">
            <v>168507</v>
          </cell>
          <cell r="BO66">
            <v>168507</v>
          </cell>
          <cell r="BP66">
            <v>168507</v>
          </cell>
          <cell r="BQ66">
            <v>168507</v>
          </cell>
          <cell r="BR66">
            <v>168507</v>
          </cell>
          <cell r="BS66">
            <v>168507</v>
          </cell>
          <cell r="BT66">
            <v>168507</v>
          </cell>
          <cell r="BV66">
            <v>0</v>
          </cell>
        </row>
        <row r="67">
          <cell r="G67">
            <v>-483</v>
          </cell>
          <cell r="H67">
            <v>483</v>
          </cell>
          <cell r="I67">
            <v>32566</v>
          </cell>
          <cell r="K67">
            <v>0</v>
          </cell>
          <cell r="L67">
            <v>0</v>
          </cell>
          <cell r="M67">
            <v>0</v>
          </cell>
          <cell r="N67">
            <v>0</v>
          </cell>
          <cell r="O67">
            <v>0</v>
          </cell>
          <cell r="P67">
            <v>0</v>
          </cell>
          <cell r="U67">
            <v>0</v>
          </cell>
          <cell r="V67">
            <v>0</v>
          </cell>
          <cell r="W67">
            <v>0</v>
          </cell>
          <cell r="X67">
            <v>0</v>
          </cell>
          <cell r="Y67">
            <v>0</v>
          </cell>
          <cell r="Z67">
            <v>0</v>
          </cell>
          <cell r="AA67">
            <v>0</v>
          </cell>
          <cell r="AB67">
            <v>0</v>
          </cell>
          <cell r="AC67">
            <v>0</v>
          </cell>
          <cell r="AD67">
            <v>0</v>
          </cell>
          <cell r="AI67">
            <v>0</v>
          </cell>
          <cell r="AJ67">
            <v>0</v>
          </cell>
          <cell r="AK67">
            <v>0</v>
          </cell>
          <cell r="AL67">
            <v>0</v>
          </cell>
          <cell r="AM67">
            <v>0</v>
          </cell>
          <cell r="AN67">
            <v>0</v>
          </cell>
          <cell r="AO67">
            <v>0</v>
          </cell>
          <cell r="AP67">
            <v>0</v>
          </cell>
          <cell r="AQ67">
            <v>0</v>
          </cell>
          <cell r="AR67">
            <v>0</v>
          </cell>
          <cell r="AW67">
            <v>0</v>
          </cell>
          <cell r="AX67">
            <v>0</v>
          </cell>
          <cell r="AY67">
            <v>0</v>
          </cell>
          <cell r="AZ67">
            <v>0</v>
          </cell>
          <cell r="BA67">
            <v>0</v>
          </cell>
          <cell r="BB67">
            <v>0</v>
          </cell>
          <cell r="BC67">
            <v>0</v>
          </cell>
          <cell r="BD67">
            <v>0</v>
          </cell>
          <cell r="BE67">
            <v>0</v>
          </cell>
          <cell r="BF67">
            <v>0</v>
          </cell>
          <cell r="BK67">
            <v>-483</v>
          </cell>
          <cell r="BL67">
            <v>483</v>
          </cell>
          <cell r="BM67">
            <v>32566</v>
          </cell>
          <cell r="BN67">
            <v>0</v>
          </cell>
          <cell r="BO67">
            <v>0</v>
          </cell>
          <cell r="BP67">
            <v>0</v>
          </cell>
          <cell r="BQ67">
            <v>0</v>
          </cell>
          <cell r="BR67">
            <v>0</v>
          </cell>
          <cell r="BS67">
            <v>0</v>
          </cell>
          <cell r="BT67">
            <v>0</v>
          </cell>
          <cell r="BV67">
            <v>0</v>
          </cell>
        </row>
        <row r="68">
          <cell r="O68">
            <v>938080</v>
          </cell>
          <cell r="P68">
            <v>-13367</v>
          </cell>
          <cell r="AC68">
            <v>0</v>
          </cell>
          <cell r="AD68">
            <v>0</v>
          </cell>
          <cell r="AQ68">
            <v>0</v>
          </cell>
          <cell r="AR68">
            <v>0</v>
          </cell>
          <cell r="BE68">
            <v>0</v>
          </cell>
          <cell r="BF68">
            <v>0</v>
          </cell>
          <cell r="BS68">
            <v>938080</v>
          </cell>
        </row>
        <row r="69">
          <cell r="O69">
            <v>0</v>
          </cell>
          <cell r="P69">
            <v>0</v>
          </cell>
          <cell r="AC69">
            <v>0</v>
          </cell>
          <cell r="AD69">
            <v>0</v>
          </cell>
          <cell r="AQ69">
            <v>0</v>
          </cell>
          <cell r="AR69">
            <v>0</v>
          </cell>
          <cell r="BE69">
            <v>1025000</v>
          </cell>
          <cell r="BF69">
            <v>0</v>
          </cell>
          <cell r="BS69">
            <v>1025000</v>
          </cell>
        </row>
        <row r="70">
          <cell r="G70">
            <v>-64000</v>
          </cell>
          <cell r="H70">
            <v>-64000</v>
          </cell>
          <cell r="I70">
            <v>-64000</v>
          </cell>
          <cell r="K70">
            <v>-64000</v>
          </cell>
          <cell r="L70">
            <v>-64000</v>
          </cell>
          <cell r="M70">
            <v>-64000</v>
          </cell>
          <cell r="N70">
            <v>-64000</v>
          </cell>
          <cell r="O70">
            <v>-64000</v>
          </cell>
          <cell r="P70">
            <v>-64000</v>
          </cell>
          <cell r="U70">
            <v>-16000</v>
          </cell>
          <cell r="V70">
            <v>-16000</v>
          </cell>
          <cell r="W70">
            <v>-16000</v>
          </cell>
          <cell r="X70">
            <v>-16000</v>
          </cell>
          <cell r="Y70">
            <v>-16000</v>
          </cell>
          <cell r="Z70">
            <v>-16000</v>
          </cell>
          <cell r="AA70">
            <v>-16000</v>
          </cell>
          <cell r="AB70">
            <v>-16000</v>
          </cell>
          <cell r="AC70">
            <v>-16000</v>
          </cell>
          <cell r="AD70">
            <v>-16000</v>
          </cell>
          <cell r="AI70">
            <v>-300</v>
          </cell>
          <cell r="AJ70">
            <v>-300</v>
          </cell>
          <cell r="AK70">
            <v>-300</v>
          </cell>
          <cell r="AL70">
            <v>-300</v>
          </cell>
          <cell r="AM70">
            <v>-300</v>
          </cell>
          <cell r="AN70">
            <v>-300</v>
          </cell>
          <cell r="AO70">
            <v>-300</v>
          </cell>
          <cell r="AP70">
            <v>-300</v>
          </cell>
          <cell r="AQ70">
            <v>-300</v>
          </cell>
          <cell r="AR70">
            <v>-300</v>
          </cell>
          <cell r="AW70">
            <v>0</v>
          </cell>
          <cell r="AX70">
            <v>0</v>
          </cell>
          <cell r="AY70">
            <v>0</v>
          </cell>
          <cell r="AZ70">
            <v>0</v>
          </cell>
          <cell r="BA70">
            <v>0</v>
          </cell>
          <cell r="BB70">
            <v>0</v>
          </cell>
          <cell r="BC70">
            <v>0</v>
          </cell>
          <cell r="BD70">
            <v>0</v>
          </cell>
          <cell r="BE70">
            <v>0</v>
          </cell>
          <cell r="BF70">
            <v>0</v>
          </cell>
          <cell r="BK70">
            <v>-80300</v>
          </cell>
          <cell r="BL70">
            <v>-80300</v>
          </cell>
          <cell r="BM70">
            <v>-80300</v>
          </cell>
          <cell r="BN70">
            <v>-80300</v>
          </cell>
          <cell r="BO70">
            <v>-80300</v>
          </cell>
          <cell r="BP70">
            <v>-80300</v>
          </cell>
          <cell r="BQ70">
            <v>-80300</v>
          </cell>
          <cell r="BR70">
            <v>-80300</v>
          </cell>
          <cell r="BS70">
            <v>-80300</v>
          </cell>
          <cell r="BT70">
            <v>-80300</v>
          </cell>
          <cell r="BV70">
            <v>0</v>
          </cell>
        </row>
        <row r="71">
          <cell r="I71">
            <v>-666000</v>
          </cell>
          <cell r="K71">
            <v>-222000</v>
          </cell>
          <cell r="L71">
            <v>-222000</v>
          </cell>
          <cell r="M71">
            <v>-222000</v>
          </cell>
          <cell r="N71">
            <v>-222000</v>
          </cell>
          <cell r="O71">
            <v>-222000</v>
          </cell>
          <cell r="P71">
            <v>-222000</v>
          </cell>
          <cell r="W71">
            <v>-642000</v>
          </cell>
          <cell r="X71">
            <v>-214000</v>
          </cell>
          <cell r="Y71">
            <v>-214000</v>
          </cell>
          <cell r="Z71">
            <v>-214000</v>
          </cell>
          <cell r="AA71">
            <v>-214000</v>
          </cell>
          <cell r="AB71">
            <v>-214000</v>
          </cell>
          <cell r="AC71">
            <v>-214000</v>
          </cell>
          <cell r="AD71">
            <v>-214000</v>
          </cell>
          <cell r="AK71">
            <v>0</v>
          </cell>
          <cell r="AL71">
            <v>0</v>
          </cell>
          <cell r="AM71">
            <v>0</v>
          </cell>
          <cell r="AN71">
            <v>0</v>
          </cell>
          <cell r="AO71">
            <v>0</v>
          </cell>
          <cell r="AP71">
            <v>0</v>
          </cell>
          <cell r="AQ71">
            <v>0</v>
          </cell>
          <cell r="AR71">
            <v>0</v>
          </cell>
          <cell r="AY71">
            <v>0</v>
          </cell>
          <cell r="AZ71">
            <v>0</v>
          </cell>
          <cell r="BA71">
            <v>0</v>
          </cell>
          <cell r="BB71">
            <v>0</v>
          </cell>
          <cell r="BC71">
            <v>0</v>
          </cell>
          <cell r="BD71">
            <v>0</v>
          </cell>
          <cell r="BE71">
            <v>0</v>
          </cell>
          <cell r="BF71">
            <v>0</v>
          </cell>
          <cell r="BM71">
            <v>-1308000</v>
          </cell>
          <cell r="BN71">
            <v>-436000</v>
          </cell>
          <cell r="BO71">
            <v>-436000</v>
          </cell>
          <cell r="BP71">
            <v>-436000</v>
          </cell>
          <cell r="BQ71">
            <v>-436000</v>
          </cell>
          <cell r="BR71">
            <v>-436000</v>
          </cell>
          <cell r="BS71">
            <v>-436000</v>
          </cell>
          <cell r="BT71">
            <v>-436000</v>
          </cell>
          <cell r="BV71">
            <v>0</v>
          </cell>
        </row>
        <row r="72">
          <cell r="I72">
            <v>367731</v>
          </cell>
          <cell r="K72">
            <v>123653</v>
          </cell>
          <cell r="L72">
            <v>109244</v>
          </cell>
          <cell r="M72">
            <v>109244</v>
          </cell>
          <cell r="N72">
            <v>109244</v>
          </cell>
          <cell r="O72">
            <v>150696</v>
          </cell>
          <cell r="P72">
            <v>407227</v>
          </cell>
          <cell r="W72">
            <v>353263</v>
          </cell>
          <cell r="X72">
            <v>118631</v>
          </cell>
          <cell r="Y72">
            <v>118635</v>
          </cell>
          <cell r="Z72">
            <v>105418</v>
          </cell>
          <cell r="AA72">
            <v>105418</v>
          </cell>
          <cell r="AB72">
            <v>105418</v>
          </cell>
          <cell r="AC72">
            <v>316882</v>
          </cell>
          <cell r="AD72">
            <v>526772</v>
          </cell>
          <cell r="AK72">
            <v>0</v>
          </cell>
          <cell r="AL72">
            <v>0</v>
          </cell>
          <cell r="AM72">
            <v>0</v>
          </cell>
          <cell r="AN72">
            <v>0</v>
          </cell>
          <cell r="AO72">
            <v>0</v>
          </cell>
          <cell r="AP72">
            <v>0</v>
          </cell>
          <cell r="AQ72">
            <v>0</v>
          </cell>
          <cell r="AR72">
            <v>0</v>
          </cell>
          <cell r="AY72">
            <v>0</v>
          </cell>
          <cell r="AZ72">
            <v>0</v>
          </cell>
          <cell r="BA72">
            <v>0</v>
          </cell>
          <cell r="BB72">
            <v>0</v>
          </cell>
          <cell r="BC72">
            <v>0</v>
          </cell>
          <cell r="BD72">
            <v>0</v>
          </cell>
          <cell r="BE72">
            <v>0</v>
          </cell>
          <cell r="BF72">
            <v>0</v>
          </cell>
          <cell r="BM72">
            <v>720994</v>
          </cell>
          <cell r="BN72">
            <v>242279</v>
          </cell>
          <cell r="BO72">
            <v>242288</v>
          </cell>
          <cell r="BP72">
            <v>214662</v>
          </cell>
          <cell r="BQ72">
            <v>214662</v>
          </cell>
          <cell r="BR72">
            <v>214662</v>
          </cell>
          <cell r="BS72">
            <v>467578</v>
          </cell>
          <cell r="BT72">
            <v>933999</v>
          </cell>
          <cell r="BV72">
            <v>0</v>
          </cell>
        </row>
        <row r="73">
          <cell r="G73">
            <v>312303</v>
          </cell>
          <cell r="H73">
            <v>312303</v>
          </cell>
          <cell r="I73">
            <v>312303</v>
          </cell>
          <cell r="K73">
            <v>312303</v>
          </cell>
          <cell r="L73">
            <v>312303</v>
          </cell>
          <cell r="M73">
            <v>312303</v>
          </cell>
          <cell r="N73">
            <v>312303</v>
          </cell>
          <cell r="O73">
            <v>647261</v>
          </cell>
          <cell r="P73">
            <v>245330</v>
          </cell>
          <cell r="U73">
            <v>255521</v>
          </cell>
          <cell r="V73">
            <v>255521</v>
          </cell>
          <cell r="W73">
            <v>255521</v>
          </cell>
          <cell r="X73">
            <v>255521</v>
          </cell>
          <cell r="Y73">
            <v>255521</v>
          </cell>
          <cell r="Z73">
            <v>255521</v>
          </cell>
          <cell r="AA73">
            <v>255521</v>
          </cell>
          <cell r="AB73">
            <v>255521</v>
          </cell>
          <cell r="AC73">
            <v>529577</v>
          </cell>
          <cell r="AD73">
            <v>200725</v>
          </cell>
          <cell r="AI73">
            <v>0</v>
          </cell>
          <cell r="AJ73">
            <v>0</v>
          </cell>
          <cell r="AK73">
            <v>0</v>
          </cell>
          <cell r="AL73">
            <v>0</v>
          </cell>
          <cell r="AM73">
            <v>0</v>
          </cell>
          <cell r="AN73">
            <v>0</v>
          </cell>
          <cell r="AO73">
            <v>0</v>
          </cell>
          <cell r="AP73">
            <v>0</v>
          </cell>
          <cell r="AQ73">
            <v>0</v>
          </cell>
          <cell r="AR73">
            <v>0</v>
          </cell>
          <cell r="AW73">
            <v>0</v>
          </cell>
          <cell r="AX73">
            <v>0</v>
          </cell>
          <cell r="AY73">
            <v>0</v>
          </cell>
          <cell r="AZ73">
            <v>0</v>
          </cell>
          <cell r="BA73">
            <v>0</v>
          </cell>
          <cell r="BB73">
            <v>0</v>
          </cell>
          <cell r="BC73">
            <v>0</v>
          </cell>
          <cell r="BD73">
            <v>0</v>
          </cell>
          <cell r="BE73">
            <v>0</v>
          </cell>
          <cell r="BF73">
            <v>0</v>
          </cell>
          <cell r="BK73">
            <v>567824</v>
          </cell>
          <cell r="BL73">
            <v>567824</v>
          </cell>
          <cell r="BM73">
            <v>567824</v>
          </cell>
          <cell r="BN73">
            <v>567824</v>
          </cell>
          <cell r="BO73">
            <v>567824</v>
          </cell>
          <cell r="BP73">
            <v>567824</v>
          </cell>
          <cell r="BQ73">
            <v>567824</v>
          </cell>
          <cell r="BR73">
            <v>567824</v>
          </cell>
          <cell r="BS73">
            <v>1176838</v>
          </cell>
          <cell r="BT73">
            <v>446055</v>
          </cell>
          <cell r="BV73">
            <v>0</v>
          </cell>
        </row>
        <row r="74">
          <cell r="G74">
            <v>134621</v>
          </cell>
          <cell r="H74">
            <v>56633</v>
          </cell>
          <cell r="I74">
            <v>56636</v>
          </cell>
          <cell r="K74">
            <v>-22750</v>
          </cell>
          <cell r="L74">
            <v>-22750</v>
          </cell>
          <cell r="M74">
            <v>-22750</v>
          </cell>
          <cell r="N74">
            <v>-22750</v>
          </cell>
          <cell r="O74">
            <v>-22750</v>
          </cell>
          <cell r="P74">
            <v>-22750</v>
          </cell>
          <cell r="U74">
            <v>33655</v>
          </cell>
          <cell r="V74">
            <v>30097</v>
          </cell>
          <cell r="W74">
            <v>18879</v>
          </cell>
          <cell r="X74">
            <v>18787</v>
          </cell>
          <cell r="Y74">
            <v>-7583</v>
          </cell>
          <cell r="Z74">
            <v>-7583</v>
          </cell>
          <cell r="AA74">
            <v>-7583</v>
          </cell>
          <cell r="AB74">
            <v>-7583</v>
          </cell>
          <cell r="AC74">
            <v>-7583</v>
          </cell>
          <cell r="AD74">
            <v>-7583</v>
          </cell>
          <cell r="AI74">
            <v>0</v>
          </cell>
          <cell r="AJ74">
            <v>0</v>
          </cell>
          <cell r="AK74">
            <v>0</v>
          </cell>
          <cell r="AL74">
            <v>0</v>
          </cell>
          <cell r="AM74">
            <v>0</v>
          </cell>
          <cell r="AN74">
            <v>0</v>
          </cell>
          <cell r="AO74">
            <v>0</v>
          </cell>
          <cell r="AP74">
            <v>0</v>
          </cell>
          <cell r="AQ74">
            <v>0</v>
          </cell>
          <cell r="AR74">
            <v>0</v>
          </cell>
          <cell r="AW74">
            <v>0</v>
          </cell>
          <cell r="AX74">
            <v>0</v>
          </cell>
          <cell r="AY74">
            <v>0</v>
          </cell>
          <cell r="AZ74">
            <v>0</v>
          </cell>
          <cell r="BA74">
            <v>0</v>
          </cell>
          <cell r="BB74">
            <v>0</v>
          </cell>
          <cell r="BC74">
            <v>0</v>
          </cell>
          <cell r="BD74">
            <v>0</v>
          </cell>
          <cell r="BE74">
            <v>0</v>
          </cell>
          <cell r="BF74">
            <v>0</v>
          </cell>
          <cell r="BK74">
            <v>168276</v>
          </cell>
          <cell r="BL74">
            <v>86730</v>
          </cell>
          <cell r="BM74">
            <v>75515</v>
          </cell>
          <cell r="BN74">
            <v>75148</v>
          </cell>
          <cell r="BO74">
            <v>-30333</v>
          </cell>
          <cell r="BP74">
            <v>-30333</v>
          </cell>
          <cell r="BQ74">
            <v>-30333</v>
          </cell>
          <cell r="BR74">
            <v>-30333</v>
          </cell>
          <cell r="BS74">
            <v>-30333</v>
          </cell>
          <cell r="BT74">
            <v>-30333</v>
          </cell>
          <cell r="BV74">
            <v>0</v>
          </cell>
        </row>
        <row r="75">
          <cell r="G75">
            <v>40434</v>
          </cell>
          <cell r="H75">
            <v>40434</v>
          </cell>
          <cell r="I75">
            <v>40434</v>
          </cell>
          <cell r="K75">
            <v>40434</v>
          </cell>
          <cell r="L75">
            <v>20656</v>
          </cell>
          <cell r="M75">
            <v>20656</v>
          </cell>
          <cell r="N75">
            <v>20656</v>
          </cell>
          <cell r="O75">
            <v>20655</v>
          </cell>
          <cell r="P75">
            <v>20656</v>
          </cell>
          <cell r="U75">
            <v>25852</v>
          </cell>
          <cell r="V75">
            <v>25852</v>
          </cell>
          <cell r="W75">
            <v>25852</v>
          </cell>
          <cell r="X75">
            <v>25852</v>
          </cell>
          <cell r="Y75">
            <v>25852</v>
          </cell>
          <cell r="Z75">
            <v>13206</v>
          </cell>
          <cell r="AA75">
            <v>13206</v>
          </cell>
          <cell r="AB75">
            <v>13206</v>
          </cell>
          <cell r="AC75">
            <v>13205</v>
          </cell>
          <cell r="AD75">
            <v>13206</v>
          </cell>
          <cell r="AI75">
            <v>0</v>
          </cell>
          <cell r="AJ75">
            <v>0</v>
          </cell>
          <cell r="AK75">
            <v>0</v>
          </cell>
          <cell r="AL75">
            <v>0</v>
          </cell>
          <cell r="AM75">
            <v>0</v>
          </cell>
          <cell r="AN75">
            <v>0</v>
          </cell>
          <cell r="AO75">
            <v>0</v>
          </cell>
          <cell r="AP75">
            <v>0</v>
          </cell>
          <cell r="AQ75">
            <v>0</v>
          </cell>
          <cell r="AR75">
            <v>0</v>
          </cell>
          <cell r="AW75">
            <v>0</v>
          </cell>
          <cell r="AX75">
            <v>0</v>
          </cell>
          <cell r="AY75">
            <v>0</v>
          </cell>
          <cell r="AZ75">
            <v>0</v>
          </cell>
          <cell r="BA75">
            <v>0</v>
          </cell>
          <cell r="BB75">
            <v>0</v>
          </cell>
          <cell r="BC75">
            <v>0</v>
          </cell>
          <cell r="BD75">
            <v>0</v>
          </cell>
          <cell r="BE75">
            <v>0</v>
          </cell>
          <cell r="BF75">
            <v>0</v>
          </cell>
          <cell r="BK75">
            <v>66286</v>
          </cell>
          <cell r="BL75">
            <v>66286</v>
          </cell>
          <cell r="BM75">
            <v>66286</v>
          </cell>
          <cell r="BN75">
            <v>66286</v>
          </cell>
          <cell r="BO75">
            <v>66286</v>
          </cell>
          <cell r="BP75">
            <v>33862</v>
          </cell>
          <cell r="BQ75">
            <v>33862</v>
          </cell>
          <cell r="BR75">
            <v>33862</v>
          </cell>
          <cell r="BS75">
            <v>33860</v>
          </cell>
          <cell r="BT75">
            <v>33862</v>
          </cell>
          <cell r="BV75">
            <v>0</v>
          </cell>
        </row>
        <row r="76">
          <cell r="G76">
            <v>439874</v>
          </cell>
          <cell r="H76">
            <v>439874</v>
          </cell>
          <cell r="I76">
            <v>439874</v>
          </cell>
          <cell r="K76">
            <v>439117</v>
          </cell>
          <cell r="L76">
            <v>439874</v>
          </cell>
          <cell r="M76">
            <v>439874</v>
          </cell>
          <cell r="N76">
            <v>439874</v>
          </cell>
          <cell r="O76">
            <v>439874</v>
          </cell>
          <cell r="P76">
            <v>439874</v>
          </cell>
          <cell r="U76">
            <v>281231</v>
          </cell>
          <cell r="V76">
            <v>281231</v>
          </cell>
          <cell r="W76">
            <v>281231</v>
          </cell>
          <cell r="X76">
            <v>281231</v>
          </cell>
          <cell r="Y76">
            <v>280747</v>
          </cell>
          <cell r="Z76">
            <v>281231</v>
          </cell>
          <cell r="AA76">
            <v>281231</v>
          </cell>
          <cell r="AB76">
            <v>281231</v>
          </cell>
          <cell r="AC76">
            <v>281231</v>
          </cell>
          <cell r="AD76">
            <v>281231</v>
          </cell>
          <cell r="AI76" t="str">
            <v xml:space="preserve"> </v>
          </cell>
          <cell r="AJ76" t="str">
            <v xml:space="preserve"> </v>
          </cell>
          <cell r="AK76" t="str">
            <v xml:space="preserve"> </v>
          </cell>
          <cell r="AL76" t="str">
            <v xml:space="preserve"> </v>
          </cell>
          <cell r="AM76" t="str">
            <v xml:space="preserve"> </v>
          </cell>
          <cell r="AN76" t="str">
            <v xml:space="preserve"> </v>
          </cell>
          <cell r="AO76" t="str">
            <v xml:space="preserve"> </v>
          </cell>
          <cell r="AP76" t="str">
            <v xml:space="preserve"> </v>
          </cell>
          <cell r="AQ76" t="str">
            <v xml:space="preserve"> </v>
          </cell>
          <cell r="AR76" t="str">
            <v xml:space="preserve"> </v>
          </cell>
          <cell r="AW76">
            <v>0</v>
          </cell>
          <cell r="AX76">
            <v>0</v>
          </cell>
          <cell r="AY76">
            <v>0</v>
          </cell>
          <cell r="AZ76">
            <v>0</v>
          </cell>
          <cell r="BA76">
            <v>0</v>
          </cell>
          <cell r="BB76">
            <v>0</v>
          </cell>
          <cell r="BC76">
            <v>0</v>
          </cell>
          <cell r="BD76">
            <v>0</v>
          </cell>
          <cell r="BE76">
            <v>0</v>
          </cell>
          <cell r="BF76">
            <v>0</v>
          </cell>
          <cell r="BK76">
            <v>721105</v>
          </cell>
          <cell r="BL76">
            <v>721105</v>
          </cell>
          <cell r="BM76">
            <v>721105</v>
          </cell>
          <cell r="BN76">
            <v>721105</v>
          </cell>
          <cell r="BO76">
            <v>719864</v>
          </cell>
          <cell r="BP76">
            <v>721105</v>
          </cell>
          <cell r="BQ76">
            <v>721105</v>
          </cell>
          <cell r="BR76">
            <v>721105</v>
          </cell>
          <cell r="BS76">
            <v>721105</v>
          </cell>
          <cell r="BT76">
            <v>721105</v>
          </cell>
          <cell r="BV76">
            <v>0</v>
          </cell>
        </row>
        <row r="77">
          <cell r="G77">
            <v>0</v>
          </cell>
          <cell r="H77">
            <v>-4146</v>
          </cell>
          <cell r="I77">
            <v>-2567</v>
          </cell>
          <cell r="K77">
            <v>-5176</v>
          </cell>
          <cell r="L77">
            <v>-5622</v>
          </cell>
          <cell r="M77">
            <v>-4963</v>
          </cell>
          <cell r="N77">
            <v>-10196</v>
          </cell>
          <cell r="O77">
            <v>-9604</v>
          </cell>
          <cell r="P77">
            <v>-9136</v>
          </cell>
          <cell r="U77">
            <v>0</v>
          </cell>
          <cell r="V77">
            <v>0</v>
          </cell>
          <cell r="W77">
            <v>0</v>
          </cell>
          <cell r="X77">
            <v>0</v>
          </cell>
          <cell r="Y77">
            <v>0</v>
          </cell>
          <cell r="Z77">
            <v>0</v>
          </cell>
          <cell r="AA77">
            <v>0</v>
          </cell>
          <cell r="AB77">
            <v>0</v>
          </cell>
          <cell r="AC77">
            <v>0</v>
          </cell>
          <cell r="AD77">
            <v>0</v>
          </cell>
          <cell r="AI77">
            <v>0</v>
          </cell>
          <cell r="AJ77">
            <v>0</v>
          </cell>
          <cell r="AK77">
            <v>0</v>
          </cell>
          <cell r="AL77">
            <v>0</v>
          </cell>
          <cell r="AM77">
            <v>0</v>
          </cell>
          <cell r="AN77">
            <v>0</v>
          </cell>
          <cell r="AO77">
            <v>0</v>
          </cell>
          <cell r="AP77">
            <v>0</v>
          </cell>
          <cell r="AQ77">
            <v>0</v>
          </cell>
          <cell r="AR77">
            <v>0</v>
          </cell>
          <cell r="AW77">
            <v>0</v>
          </cell>
          <cell r="AX77">
            <v>0</v>
          </cell>
          <cell r="AY77">
            <v>0</v>
          </cell>
          <cell r="AZ77">
            <v>0</v>
          </cell>
          <cell r="BA77">
            <v>0</v>
          </cell>
          <cell r="BB77">
            <v>0</v>
          </cell>
          <cell r="BC77">
            <v>0</v>
          </cell>
          <cell r="BD77">
            <v>0</v>
          </cell>
          <cell r="BE77">
            <v>0</v>
          </cell>
          <cell r="BF77">
            <v>0</v>
          </cell>
          <cell r="BK77">
            <v>0</v>
          </cell>
          <cell r="BL77">
            <v>-4146</v>
          </cell>
          <cell r="BM77">
            <v>-2567</v>
          </cell>
          <cell r="BN77">
            <v>-2690</v>
          </cell>
          <cell r="BO77">
            <v>-5176</v>
          </cell>
          <cell r="BP77">
            <v>-5622</v>
          </cell>
          <cell r="BQ77">
            <v>-4963</v>
          </cell>
          <cell r="BR77">
            <v>-10196</v>
          </cell>
          <cell r="BS77">
            <v>-9604</v>
          </cell>
          <cell r="BT77">
            <v>-9136</v>
          </cell>
          <cell r="BV77">
            <v>0</v>
          </cell>
        </row>
        <row r="78">
          <cell r="G78">
            <v>37508</v>
          </cell>
          <cell r="H78">
            <v>37508</v>
          </cell>
          <cell r="I78">
            <v>37508</v>
          </cell>
          <cell r="K78">
            <v>37508</v>
          </cell>
          <cell r="L78">
            <v>37508</v>
          </cell>
          <cell r="M78">
            <v>37508</v>
          </cell>
          <cell r="N78">
            <v>37508</v>
          </cell>
          <cell r="O78">
            <v>37508</v>
          </cell>
          <cell r="P78">
            <v>41215</v>
          </cell>
          <cell r="U78">
            <v>0</v>
          </cell>
          <cell r="V78">
            <v>0</v>
          </cell>
          <cell r="W78">
            <v>0</v>
          </cell>
          <cell r="X78">
            <v>0</v>
          </cell>
          <cell r="Y78">
            <v>0</v>
          </cell>
          <cell r="Z78">
            <v>0</v>
          </cell>
          <cell r="AA78">
            <v>0</v>
          </cell>
          <cell r="AB78">
            <v>0</v>
          </cell>
          <cell r="AC78">
            <v>0</v>
          </cell>
          <cell r="AD78">
            <v>0</v>
          </cell>
          <cell r="AI78">
            <v>0</v>
          </cell>
          <cell r="AJ78">
            <v>0</v>
          </cell>
          <cell r="AK78">
            <v>0</v>
          </cell>
          <cell r="AL78">
            <v>0</v>
          </cell>
          <cell r="AM78">
            <v>0</v>
          </cell>
          <cell r="AN78">
            <v>0</v>
          </cell>
          <cell r="AO78">
            <v>0</v>
          </cell>
          <cell r="AP78">
            <v>0</v>
          </cell>
          <cell r="AQ78">
            <v>0</v>
          </cell>
          <cell r="AR78">
            <v>0</v>
          </cell>
          <cell r="AW78">
            <v>0</v>
          </cell>
          <cell r="AX78">
            <v>0</v>
          </cell>
          <cell r="AY78">
            <v>0</v>
          </cell>
          <cell r="AZ78">
            <v>0</v>
          </cell>
          <cell r="BA78">
            <v>0</v>
          </cell>
          <cell r="BB78">
            <v>0</v>
          </cell>
          <cell r="BC78">
            <v>0</v>
          </cell>
          <cell r="BD78">
            <v>0</v>
          </cell>
          <cell r="BE78">
            <v>0</v>
          </cell>
          <cell r="BF78">
            <v>0</v>
          </cell>
          <cell r="BK78">
            <v>37508</v>
          </cell>
          <cell r="BL78">
            <v>37508</v>
          </cell>
          <cell r="BM78">
            <v>37508</v>
          </cell>
          <cell r="BN78">
            <v>37508</v>
          </cell>
          <cell r="BO78">
            <v>37508</v>
          </cell>
          <cell r="BP78">
            <v>37508</v>
          </cell>
          <cell r="BQ78">
            <v>37508</v>
          </cell>
          <cell r="BR78">
            <v>37508</v>
          </cell>
          <cell r="BS78">
            <v>37508</v>
          </cell>
          <cell r="BT78">
            <v>41215</v>
          </cell>
          <cell r="BV78">
            <v>0</v>
          </cell>
        </row>
        <row r="79">
          <cell r="G79">
            <v>-6000</v>
          </cell>
          <cell r="H79">
            <v>-6000</v>
          </cell>
          <cell r="I79">
            <v>-6000</v>
          </cell>
          <cell r="K79">
            <v>-6000</v>
          </cell>
          <cell r="L79">
            <v>-6000</v>
          </cell>
          <cell r="M79">
            <v>-6000</v>
          </cell>
          <cell r="N79">
            <v>-6000</v>
          </cell>
          <cell r="O79">
            <v>-6000</v>
          </cell>
          <cell r="P79">
            <v>-6000</v>
          </cell>
          <cell r="U79">
            <v>-3000</v>
          </cell>
          <cell r="V79">
            <v>-3000</v>
          </cell>
          <cell r="W79">
            <v>-3000</v>
          </cell>
          <cell r="X79">
            <v>-3000</v>
          </cell>
          <cell r="Y79">
            <v>-3000</v>
          </cell>
          <cell r="Z79">
            <v>-3000</v>
          </cell>
          <cell r="AA79">
            <v>-3000</v>
          </cell>
          <cell r="AB79">
            <v>-3000</v>
          </cell>
          <cell r="AC79">
            <v>-3000</v>
          </cell>
          <cell r="AD79">
            <v>-3000</v>
          </cell>
          <cell r="AI79">
            <v>0</v>
          </cell>
          <cell r="AJ79">
            <v>0</v>
          </cell>
          <cell r="AK79">
            <v>0</v>
          </cell>
          <cell r="AL79">
            <v>0</v>
          </cell>
          <cell r="AM79">
            <v>0</v>
          </cell>
          <cell r="AN79">
            <v>0</v>
          </cell>
          <cell r="AO79">
            <v>0</v>
          </cell>
          <cell r="AP79">
            <v>0</v>
          </cell>
          <cell r="AQ79">
            <v>0</v>
          </cell>
          <cell r="AR79">
            <v>0</v>
          </cell>
          <cell r="AW79">
            <v>0</v>
          </cell>
          <cell r="AX79">
            <v>0</v>
          </cell>
          <cell r="AY79">
            <v>0</v>
          </cell>
          <cell r="AZ79">
            <v>0</v>
          </cell>
          <cell r="BA79">
            <v>0</v>
          </cell>
          <cell r="BB79">
            <v>0</v>
          </cell>
          <cell r="BC79">
            <v>0</v>
          </cell>
          <cell r="BD79">
            <v>0</v>
          </cell>
          <cell r="BE79">
            <v>0</v>
          </cell>
          <cell r="BF79">
            <v>0</v>
          </cell>
          <cell r="BK79">
            <v>-9000</v>
          </cell>
          <cell r="BL79">
            <v>-9000</v>
          </cell>
          <cell r="BM79">
            <v>-9000</v>
          </cell>
          <cell r="BN79">
            <v>-9000</v>
          </cell>
          <cell r="BO79">
            <v>-9000</v>
          </cell>
          <cell r="BP79">
            <v>-9000</v>
          </cell>
          <cell r="BQ79">
            <v>-9000</v>
          </cell>
          <cell r="BR79">
            <v>-9000</v>
          </cell>
          <cell r="BS79">
            <v>-9000</v>
          </cell>
          <cell r="BT79">
            <v>-9000</v>
          </cell>
          <cell r="BV79">
            <v>0</v>
          </cell>
        </row>
        <row r="80">
          <cell r="G80">
            <v>0</v>
          </cell>
          <cell r="H80">
            <v>-968363</v>
          </cell>
          <cell r="I80">
            <v>0</v>
          </cell>
          <cell r="K80">
            <v>-1083572</v>
          </cell>
          <cell r="L80">
            <v>0</v>
          </cell>
          <cell r="M80">
            <v>0</v>
          </cell>
          <cell r="N80">
            <v>-1066959</v>
          </cell>
          <cell r="O80">
            <v>0</v>
          </cell>
          <cell r="P80">
            <v>0</v>
          </cell>
          <cell r="U80">
            <v>0</v>
          </cell>
          <cell r="V80">
            <v>-322788</v>
          </cell>
          <cell r="W80">
            <v>0</v>
          </cell>
          <cell r="X80">
            <v>0</v>
          </cell>
          <cell r="Y80">
            <v>-361191</v>
          </cell>
          <cell r="Z80">
            <v>0</v>
          </cell>
          <cell r="AA80">
            <v>0</v>
          </cell>
          <cell r="AB80">
            <v>-355653</v>
          </cell>
          <cell r="AC80">
            <v>0</v>
          </cell>
          <cell r="AD80">
            <v>0</v>
          </cell>
          <cell r="AI80">
            <v>0</v>
          </cell>
          <cell r="AJ80">
            <v>0</v>
          </cell>
          <cell r="AK80">
            <v>0</v>
          </cell>
          <cell r="AL80">
            <v>0</v>
          </cell>
          <cell r="AM80">
            <v>0</v>
          </cell>
          <cell r="AN80">
            <v>0</v>
          </cell>
          <cell r="AO80">
            <v>0</v>
          </cell>
          <cell r="AP80">
            <v>0</v>
          </cell>
          <cell r="AQ80">
            <v>0</v>
          </cell>
          <cell r="AR80">
            <v>0</v>
          </cell>
          <cell r="AW80">
            <v>0</v>
          </cell>
          <cell r="AX80">
            <v>0</v>
          </cell>
          <cell r="AY80">
            <v>0</v>
          </cell>
          <cell r="AZ80">
            <v>0</v>
          </cell>
          <cell r="BA80">
            <v>0</v>
          </cell>
          <cell r="BB80">
            <v>0</v>
          </cell>
          <cell r="BC80">
            <v>0</v>
          </cell>
          <cell r="BD80">
            <v>0</v>
          </cell>
          <cell r="BE80">
            <v>0</v>
          </cell>
          <cell r="BF80">
            <v>0</v>
          </cell>
          <cell r="BK80">
            <v>0</v>
          </cell>
          <cell r="BL80">
            <v>-1291151</v>
          </cell>
          <cell r="BM80">
            <v>0</v>
          </cell>
          <cell r="BN80">
            <v>0</v>
          </cell>
          <cell r="BO80">
            <v>-1444763</v>
          </cell>
          <cell r="BP80">
            <v>0</v>
          </cell>
          <cell r="BQ80">
            <v>0</v>
          </cell>
          <cell r="BR80">
            <v>-1422612</v>
          </cell>
          <cell r="BS80">
            <v>0</v>
          </cell>
          <cell r="BT80">
            <v>0</v>
          </cell>
          <cell r="BV80">
            <v>0</v>
          </cell>
        </row>
        <row r="81">
          <cell r="G81">
            <v>18092</v>
          </cell>
          <cell r="H81">
            <v>20919</v>
          </cell>
          <cell r="I81">
            <v>18465</v>
          </cell>
          <cell r="K81">
            <v>19166</v>
          </cell>
          <cell r="L81">
            <v>26977</v>
          </cell>
          <cell r="M81">
            <v>17672</v>
          </cell>
          <cell r="N81">
            <v>19388</v>
          </cell>
          <cell r="O81">
            <v>-4906</v>
          </cell>
          <cell r="P81">
            <v>20215</v>
          </cell>
          <cell r="U81">
            <v>6506</v>
          </cell>
          <cell r="V81">
            <v>7523</v>
          </cell>
          <cell r="W81">
            <v>6640</v>
          </cell>
          <cell r="X81">
            <v>6710</v>
          </cell>
          <cell r="Y81">
            <v>6892</v>
          </cell>
          <cell r="Z81">
            <v>9702</v>
          </cell>
          <cell r="AA81">
            <v>6355</v>
          </cell>
          <cell r="AB81">
            <v>6972</v>
          </cell>
          <cell r="AC81">
            <v>-1764</v>
          </cell>
          <cell r="AD81">
            <v>7270</v>
          </cell>
          <cell r="AI81">
            <v>0</v>
          </cell>
          <cell r="AJ81">
            <v>0</v>
          </cell>
          <cell r="AK81">
            <v>0</v>
          </cell>
          <cell r="AL81">
            <v>0</v>
          </cell>
          <cell r="AM81">
            <v>0</v>
          </cell>
          <cell r="AN81">
            <v>0</v>
          </cell>
          <cell r="AO81">
            <v>0</v>
          </cell>
          <cell r="AP81">
            <v>0</v>
          </cell>
          <cell r="AQ81">
            <v>0</v>
          </cell>
          <cell r="AR81">
            <v>0</v>
          </cell>
          <cell r="AW81">
            <v>0</v>
          </cell>
          <cell r="AX81">
            <v>0</v>
          </cell>
          <cell r="AY81">
            <v>0</v>
          </cell>
          <cell r="AZ81">
            <v>0</v>
          </cell>
          <cell r="BA81">
            <v>0</v>
          </cell>
          <cell r="BB81">
            <v>0</v>
          </cell>
          <cell r="BC81">
            <v>0</v>
          </cell>
          <cell r="BD81">
            <v>0</v>
          </cell>
          <cell r="BE81">
            <v>0</v>
          </cell>
          <cell r="BF81">
            <v>0</v>
          </cell>
          <cell r="BK81">
            <v>24598</v>
          </cell>
          <cell r="BL81">
            <v>28442</v>
          </cell>
          <cell r="BM81">
            <v>25105</v>
          </cell>
          <cell r="BN81">
            <v>25370</v>
          </cell>
          <cell r="BO81">
            <v>26058</v>
          </cell>
          <cell r="BP81">
            <v>36679</v>
          </cell>
          <cell r="BQ81">
            <v>24027</v>
          </cell>
          <cell r="BR81">
            <v>26360</v>
          </cell>
          <cell r="BS81">
            <v>-6670</v>
          </cell>
          <cell r="BT81">
            <v>27485</v>
          </cell>
          <cell r="BV81">
            <v>0</v>
          </cell>
        </row>
        <row r="82">
          <cell r="G82">
            <v>0</v>
          </cell>
          <cell r="H82">
            <v>0</v>
          </cell>
          <cell r="I82">
            <v>0</v>
          </cell>
          <cell r="K82">
            <v>0</v>
          </cell>
          <cell r="L82">
            <v>0</v>
          </cell>
          <cell r="M82">
            <v>0</v>
          </cell>
          <cell r="N82">
            <v>0</v>
          </cell>
          <cell r="O82">
            <v>0</v>
          </cell>
          <cell r="P82">
            <v>0</v>
          </cell>
          <cell r="U82">
            <v>0</v>
          </cell>
          <cell r="V82">
            <v>0</v>
          </cell>
          <cell r="W82">
            <v>0</v>
          </cell>
          <cell r="X82">
            <v>0</v>
          </cell>
          <cell r="Y82">
            <v>0</v>
          </cell>
          <cell r="Z82">
            <v>0</v>
          </cell>
          <cell r="AA82">
            <v>0</v>
          </cell>
          <cell r="AB82">
            <v>0</v>
          </cell>
          <cell r="AC82">
            <v>0</v>
          </cell>
          <cell r="AD82">
            <v>0</v>
          </cell>
          <cell r="AI82">
            <v>0</v>
          </cell>
          <cell r="AJ82">
            <v>0</v>
          </cell>
          <cell r="AK82">
            <v>0</v>
          </cell>
          <cell r="AL82">
            <v>0</v>
          </cell>
          <cell r="AM82">
            <v>0</v>
          </cell>
          <cell r="AN82">
            <v>0</v>
          </cell>
          <cell r="AO82">
            <v>0</v>
          </cell>
          <cell r="AP82">
            <v>0</v>
          </cell>
          <cell r="AQ82">
            <v>0</v>
          </cell>
          <cell r="AR82">
            <v>0</v>
          </cell>
          <cell r="AW82">
            <v>-67193</v>
          </cell>
          <cell r="AX82">
            <v>0</v>
          </cell>
          <cell r="AY82">
            <v>25380</v>
          </cell>
          <cell r="AZ82">
            <v>0</v>
          </cell>
          <cell r="BA82">
            <v>0</v>
          </cell>
          <cell r="BB82">
            <v>2624</v>
          </cell>
          <cell r="BC82">
            <v>2361</v>
          </cell>
          <cell r="BD82">
            <v>1062007</v>
          </cell>
          <cell r="BE82">
            <v>0</v>
          </cell>
          <cell r="BF82">
            <v>2000</v>
          </cell>
          <cell r="BK82">
            <v>-67193</v>
          </cell>
          <cell r="BL82">
            <v>0</v>
          </cell>
          <cell r="BM82">
            <v>25380</v>
          </cell>
          <cell r="BN82">
            <v>0</v>
          </cell>
          <cell r="BO82">
            <v>0</v>
          </cell>
          <cell r="BP82">
            <v>2624</v>
          </cell>
          <cell r="BQ82">
            <v>2361</v>
          </cell>
          <cell r="BR82">
            <v>1062007</v>
          </cell>
          <cell r="BS82">
            <v>0</v>
          </cell>
          <cell r="BT82">
            <v>2000</v>
          </cell>
          <cell r="BV82">
            <v>0</v>
          </cell>
        </row>
        <row r="83">
          <cell r="G83">
            <v>-20419</v>
          </cell>
          <cell r="H83">
            <v>-20419</v>
          </cell>
          <cell r="I83">
            <v>-20419</v>
          </cell>
          <cell r="K83">
            <v>-20419</v>
          </cell>
          <cell r="L83">
            <v>-20419</v>
          </cell>
          <cell r="M83">
            <v>-20419</v>
          </cell>
          <cell r="N83">
            <v>-20419</v>
          </cell>
          <cell r="O83">
            <v>-20419</v>
          </cell>
          <cell r="P83">
            <v>-20419</v>
          </cell>
          <cell r="U83">
            <v>-16706</v>
          </cell>
          <cell r="V83">
            <v>-16706</v>
          </cell>
          <cell r="W83">
            <v>-16706</v>
          </cell>
          <cell r="X83">
            <v>-16706</v>
          </cell>
          <cell r="Y83">
            <v>-16706</v>
          </cell>
          <cell r="Z83">
            <v>-16706</v>
          </cell>
          <cell r="AA83">
            <v>-16706</v>
          </cell>
          <cell r="AB83">
            <v>-16706</v>
          </cell>
          <cell r="AC83">
            <v>-16706</v>
          </cell>
          <cell r="AD83">
            <v>-16706</v>
          </cell>
          <cell r="AI83">
            <v>0</v>
          </cell>
          <cell r="AJ83">
            <v>0</v>
          </cell>
          <cell r="AK83">
            <v>0</v>
          </cell>
          <cell r="AL83">
            <v>0</v>
          </cell>
          <cell r="AM83">
            <v>0</v>
          </cell>
          <cell r="AN83">
            <v>0</v>
          </cell>
          <cell r="AO83">
            <v>0</v>
          </cell>
          <cell r="AP83">
            <v>0</v>
          </cell>
          <cell r="AQ83">
            <v>0</v>
          </cell>
          <cell r="AR83">
            <v>0</v>
          </cell>
          <cell r="AW83">
            <v>0</v>
          </cell>
          <cell r="AX83">
            <v>0</v>
          </cell>
          <cell r="AY83">
            <v>0</v>
          </cell>
          <cell r="AZ83">
            <v>0</v>
          </cell>
          <cell r="BA83">
            <v>0</v>
          </cell>
          <cell r="BB83">
            <v>0</v>
          </cell>
          <cell r="BC83">
            <v>0</v>
          </cell>
          <cell r="BD83">
            <v>0</v>
          </cell>
          <cell r="BE83">
            <v>0</v>
          </cell>
          <cell r="BF83">
            <v>0</v>
          </cell>
          <cell r="BK83">
            <v>-37125</v>
          </cell>
          <cell r="BL83">
            <v>-37125</v>
          </cell>
          <cell r="BM83">
            <v>-37125</v>
          </cell>
          <cell r="BN83">
            <v>-37125</v>
          </cell>
          <cell r="BO83">
            <v>-37125</v>
          </cell>
          <cell r="BP83">
            <v>-37125</v>
          </cell>
          <cell r="BQ83">
            <v>-37125</v>
          </cell>
          <cell r="BR83">
            <v>-37125</v>
          </cell>
          <cell r="BS83">
            <v>-37125</v>
          </cell>
          <cell r="BT83">
            <v>-37125</v>
          </cell>
          <cell r="BV83">
            <v>0</v>
          </cell>
        </row>
        <row r="84">
          <cell r="G84">
            <v>0</v>
          </cell>
          <cell r="H84">
            <v>0</v>
          </cell>
          <cell r="I84">
            <v>0</v>
          </cell>
          <cell r="K84">
            <v>0</v>
          </cell>
          <cell r="L84">
            <v>0</v>
          </cell>
          <cell r="M84">
            <v>0</v>
          </cell>
          <cell r="N84">
            <v>0</v>
          </cell>
          <cell r="O84">
            <v>0</v>
          </cell>
          <cell r="P84">
            <v>0</v>
          </cell>
          <cell r="U84">
            <v>0</v>
          </cell>
          <cell r="V84">
            <v>0</v>
          </cell>
          <cell r="W84">
            <v>0</v>
          </cell>
          <cell r="X84">
            <v>0</v>
          </cell>
          <cell r="Y84">
            <v>0</v>
          </cell>
          <cell r="Z84">
            <v>0</v>
          </cell>
          <cell r="AA84">
            <v>0</v>
          </cell>
          <cell r="AB84">
            <v>0</v>
          </cell>
          <cell r="AC84">
            <v>0</v>
          </cell>
          <cell r="AD84">
            <v>0</v>
          </cell>
          <cell r="AI84">
            <v>0</v>
          </cell>
          <cell r="AJ84">
            <v>0</v>
          </cell>
          <cell r="AK84">
            <v>0</v>
          </cell>
          <cell r="AL84">
            <v>0</v>
          </cell>
          <cell r="AM84">
            <v>0</v>
          </cell>
          <cell r="AN84">
            <v>0</v>
          </cell>
          <cell r="AO84">
            <v>0</v>
          </cell>
          <cell r="AP84">
            <v>0</v>
          </cell>
          <cell r="AQ84">
            <v>0</v>
          </cell>
          <cell r="AR84">
            <v>0</v>
          </cell>
          <cell r="AW84">
            <v>0</v>
          </cell>
          <cell r="AX84">
            <v>0</v>
          </cell>
          <cell r="AY84">
            <v>1000000</v>
          </cell>
          <cell r="AZ84">
            <v>0</v>
          </cell>
          <cell r="BA84">
            <v>0</v>
          </cell>
          <cell r="BB84">
            <v>0</v>
          </cell>
          <cell r="BC84">
            <v>0</v>
          </cell>
          <cell r="BD84">
            <v>0</v>
          </cell>
          <cell r="BE84">
            <v>1375000</v>
          </cell>
          <cell r="BF84">
            <v>0</v>
          </cell>
          <cell r="BK84">
            <v>0</v>
          </cell>
          <cell r="BL84">
            <v>0</v>
          </cell>
          <cell r="BM84">
            <v>1000000</v>
          </cell>
          <cell r="BN84">
            <v>0</v>
          </cell>
          <cell r="BO84">
            <v>0</v>
          </cell>
          <cell r="BP84">
            <v>0</v>
          </cell>
          <cell r="BQ84">
            <v>0</v>
          </cell>
          <cell r="BR84">
            <v>0</v>
          </cell>
          <cell r="BS84">
            <v>1375000</v>
          </cell>
          <cell r="BT84">
            <v>0</v>
          </cell>
          <cell r="BV84">
            <v>0</v>
          </cell>
        </row>
        <row r="85">
          <cell r="G85">
            <v>1915900</v>
          </cell>
          <cell r="H85">
            <v>1915900</v>
          </cell>
          <cell r="I85">
            <v>1915900</v>
          </cell>
          <cell r="K85">
            <v>1915900</v>
          </cell>
          <cell r="L85">
            <v>1915900</v>
          </cell>
          <cell r="M85">
            <v>1915900</v>
          </cell>
          <cell r="N85">
            <v>1915900</v>
          </cell>
          <cell r="O85">
            <v>1915900</v>
          </cell>
          <cell r="P85">
            <v>1915900</v>
          </cell>
          <cell r="U85">
            <v>638633</v>
          </cell>
          <cell r="V85">
            <v>638633</v>
          </cell>
          <cell r="W85">
            <v>638633</v>
          </cell>
          <cell r="X85">
            <v>638633</v>
          </cell>
          <cell r="Y85">
            <v>638633</v>
          </cell>
          <cell r="Z85">
            <v>638633</v>
          </cell>
          <cell r="AA85">
            <v>638633</v>
          </cell>
          <cell r="AB85">
            <v>638633</v>
          </cell>
          <cell r="AC85">
            <v>638633</v>
          </cell>
          <cell r="AD85">
            <v>638633</v>
          </cell>
          <cell r="AI85">
            <v>0</v>
          </cell>
          <cell r="AJ85">
            <v>0</v>
          </cell>
          <cell r="AK85">
            <v>0</v>
          </cell>
          <cell r="AL85">
            <v>0</v>
          </cell>
          <cell r="AM85">
            <v>0</v>
          </cell>
          <cell r="AN85">
            <v>0</v>
          </cell>
          <cell r="AO85">
            <v>0</v>
          </cell>
          <cell r="AP85">
            <v>0</v>
          </cell>
          <cell r="AQ85">
            <v>0</v>
          </cell>
          <cell r="AR85">
            <v>0</v>
          </cell>
          <cell r="AW85">
            <v>0</v>
          </cell>
          <cell r="AX85">
            <v>0</v>
          </cell>
          <cell r="AY85">
            <v>0</v>
          </cell>
          <cell r="AZ85">
            <v>0</v>
          </cell>
          <cell r="BA85">
            <v>0</v>
          </cell>
          <cell r="BB85">
            <v>0</v>
          </cell>
          <cell r="BC85">
            <v>0</v>
          </cell>
          <cell r="BD85">
            <v>0</v>
          </cell>
          <cell r="BE85">
            <v>0</v>
          </cell>
          <cell r="BF85">
            <v>0</v>
          </cell>
          <cell r="BK85">
            <v>2554533</v>
          </cell>
          <cell r="BL85">
            <v>2554533</v>
          </cell>
          <cell r="BM85">
            <v>2554533</v>
          </cell>
          <cell r="BN85">
            <v>2554533</v>
          </cell>
          <cell r="BO85">
            <v>2554533</v>
          </cell>
          <cell r="BP85">
            <v>2554533</v>
          </cell>
          <cell r="BQ85">
            <v>2554533</v>
          </cell>
          <cell r="BR85">
            <v>2554533</v>
          </cell>
          <cell r="BS85">
            <v>2554533</v>
          </cell>
          <cell r="BT85">
            <v>2554533</v>
          </cell>
          <cell r="BV85">
            <v>0</v>
          </cell>
        </row>
        <row r="86">
          <cell r="G86">
            <v>-3160937</v>
          </cell>
          <cell r="H86">
            <v>-3160937</v>
          </cell>
          <cell r="I86">
            <v>-3160937</v>
          </cell>
          <cell r="K86">
            <v>-3160937</v>
          </cell>
          <cell r="L86">
            <v>-3160937</v>
          </cell>
          <cell r="M86">
            <v>-3160937</v>
          </cell>
          <cell r="N86">
            <v>-3160937</v>
          </cell>
          <cell r="O86">
            <v>-3160937</v>
          </cell>
          <cell r="P86">
            <v>-3160937</v>
          </cell>
          <cell r="U86">
            <v>-1053646</v>
          </cell>
          <cell r="V86">
            <v>-1053646</v>
          </cell>
          <cell r="W86">
            <v>-1053646</v>
          </cell>
          <cell r="X86">
            <v>-1053646</v>
          </cell>
          <cell r="Y86">
            <v>-1053646</v>
          </cell>
          <cell r="Z86">
            <v>-1053646</v>
          </cell>
          <cell r="AA86">
            <v>-1053646</v>
          </cell>
          <cell r="AB86">
            <v>-1053646</v>
          </cell>
          <cell r="AC86">
            <v>-1053646</v>
          </cell>
          <cell r="AD86">
            <v>-1053646</v>
          </cell>
          <cell r="AI86">
            <v>0</v>
          </cell>
          <cell r="AJ86">
            <v>0</v>
          </cell>
          <cell r="AK86">
            <v>0</v>
          </cell>
          <cell r="AL86">
            <v>0</v>
          </cell>
          <cell r="AM86">
            <v>0</v>
          </cell>
          <cell r="AN86">
            <v>0</v>
          </cell>
          <cell r="AO86">
            <v>0</v>
          </cell>
          <cell r="AP86">
            <v>0</v>
          </cell>
          <cell r="AQ86">
            <v>0</v>
          </cell>
          <cell r="AR86">
            <v>0</v>
          </cell>
          <cell r="AW86">
            <v>0</v>
          </cell>
          <cell r="AX86">
            <v>0</v>
          </cell>
          <cell r="AY86">
            <v>0</v>
          </cell>
          <cell r="AZ86">
            <v>0</v>
          </cell>
          <cell r="BA86">
            <v>0</v>
          </cell>
          <cell r="BB86">
            <v>0</v>
          </cell>
          <cell r="BC86">
            <v>0</v>
          </cell>
          <cell r="BD86">
            <v>0</v>
          </cell>
          <cell r="BE86">
            <v>0</v>
          </cell>
          <cell r="BF86">
            <v>0</v>
          </cell>
          <cell r="BK86">
            <v>-4214583</v>
          </cell>
          <cell r="BL86">
            <v>-4214583</v>
          </cell>
          <cell r="BM86">
            <v>-4214583</v>
          </cell>
          <cell r="BN86">
            <v>-4214583</v>
          </cell>
          <cell r="BO86">
            <v>-4214583</v>
          </cell>
          <cell r="BP86">
            <v>-4214583</v>
          </cell>
          <cell r="BQ86">
            <v>-4214583</v>
          </cell>
          <cell r="BR86">
            <v>-4214583</v>
          </cell>
          <cell r="BS86">
            <v>-4214583</v>
          </cell>
          <cell r="BT86">
            <v>-4214583</v>
          </cell>
          <cell r="BV86">
            <v>0</v>
          </cell>
        </row>
        <row r="87">
          <cell r="G87">
            <v>49026</v>
          </cell>
          <cell r="H87">
            <v>49026</v>
          </cell>
          <cell r="I87">
            <v>49026</v>
          </cell>
          <cell r="K87">
            <v>49026</v>
          </cell>
          <cell r="L87">
            <v>49026</v>
          </cell>
          <cell r="M87">
            <v>49026</v>
          </cell>
          <cell r="N87">
            <v>49026</v>
          </cell>
          <cell r="O87">
            <v>49026</v>
          </cell>
          <cell r="P87">
            <v>49026</v>
          </cell>
          <cell r="U87">
            <v>17637</v>
          </cell>
          <cell r="V87">
            <v>17637</v>
          </cell>
          <cell r="W87">
            <v>17637</v>
          </cell>
          <cell r="X87">
            <v>17637</v>
          </cell>
          <cell r="Y87">
            <v>17637</v>
          </cell>
          <cell r="Z87">
            <v>17637</v>
          </cell>
          <cell r="AA87">
            <v>17637</v>
          </cell>
          <cell r="AB87">
            <v>17637</v>
          </cell>
          <cell r="AC87">
            <v>17637</v>
          </cell>
          <cell r="AD87">
            <v>17637</v>
          </cell>
          <cell r="AI87">
            <v>0</v>
          </cell>
          <cell r="AJ87">
            <v>0</v>
          </cell>
          <cell r="AK87">
            <v>0</v>
          </cell>
          <cell r="AL87">
            <v>0</v>
          </cell>
          <cell r="AM87">
            <v>0</v>
          </cell>
          <cell r="AN87">
            <v>0</v>
          </cell>
          <cell r="AO87">
            <v>0</v>
          </cell>
          <cell r="AP87">
            <v>0</v>
          </cell>
          <cell r="AQ87">
            <v>0</v>
          </cell>
          <cell r="AR87">
            <v>0</v>
          </cell>
          <cell r="AW87">
            <v>0</v>
          </cell>
          <cell r="AX87">
            <v>0</v>
          </cell>
          <cell r="AY87">
            <v>0</v>
          </cell>
          <cell r="AZ87">
            <v>0</v>
          </cell>
          <cell r="BA87">
            <v>0</v>
          </cell>
          <cell r="BB87">
            <v>0</v>
          </cell>
          <cell r="BC87">
            <v>0</v>
          </cell>
          <cell r="BD87">
            <v>0</v>
          </cell>
          <cell r="BE87">
            <v>0</v>
          </cell>
          <cell r="BF87">
            <v>0</v>
          </cell>
          <cell r="BK87">
            <v>66663</v>
          </cell>
          <cell r="BL87">
            <v>66663</v>
          </cell>
          <cell r="BM87">
            <v>66663</v>
          </cell>
          <cell r="BN87">
            <v>66663</v>
          </cell>
          <cell r="BO87">
            <v>66663</v>
          </cell>
          <cell r="BP87">
            <v>66663</v>
          </cell>
          <cell r="BQ87">
            <v>66663</v>
          </cell>
          <cell r="BR87">
            <v>66663</v>
          </cell>
          <cell r="BS87">
            <v>66663</v>
          </cell>
          <cell r="BT87">
            <v>66663</v>
          </cell>
          <cell r="BV87">
            <v>0</v>
          </cell>
        </row>
        <row r="88">
          <cell r="G88">
            <v>829377</v>
          </cell>
          <cell r="H88">
            <v>541744</v>
          </cell>
          <cell r="I88">
            <v>572753</v>
          </cell>
          <cell r="K88">
            <v>21129</v>
          </cell>
          <cell r="L88">
            <v>222075</v>
          </cell>
          <cell r="M88">
            <v>52567</v>
          </cell>
          <cell r="N88">
            <v>-10829</v>
          </cell>
          <cell r="O88">
            <v>-2014195</v>
          </cell>
          <cell r="P88">
            <v>0</v>
          </cell>
          <cell r="U88">
            <v>276457</v>
          </cell>
          <cell r="V88">
            <v>180547</v>
          </cell>
          <cell r="W88">
            <v>190917</v>
          </cell>
          <cell r="X88">
            <v>-71264</v>
          </cell>
          <cell r="Y88">
            <v>7001</v>
          </cell>
          <cell r="Z88">
            <v>74048</v>
          </cell>
          <cell r="AA88">
            <v>17519</v>
          </cell>
          <cell r="AB88">
            <v>-3611</v>
          </cell>
          <cell r="AC88">
            <v>-671338</v>
          </cell>
          <cell r="AD88">
            <v>0</v>
          </cell>
          <cell r="AI88">
            <v>0</v>
          </cell>
          <cell r="AJ88">
            <v>0</v>
          </cell>
          <cell r="AK88">
            <v>0</v>
          </cell>
          <cell r="AL88">
            <v>0</v>
          </cell>
          <cell r="AM88">
            <v>0</v>
          </cell>
          <cell r="AN88">
            <v>0</v>
          </cell>
          <cell r="AO88">
            <v>0</v>
          </cell>
          <cell r="AP88">
            <v>0</v>
          </cell>
          <cell r="AQ88">
            <v>0</v>
          </cell>
          <cell r="AR88">
            <v>0</v>
          </cell>
          <cell r="AW88">
            <v>0</v>
          </cell>
          <cell r="AX88">
            <v>0</v>
          </cell>
          <cell r="AY88">
            <v>0</v>
          </cell>
          <cell r="AZ88">
            <v>0</v>
          </cell>
          <cell r="BA88">
            <v>0</v>
          </cell>
          <cell r="BB88">
            <v>0</v>
          </cell>
          <cell r="BC88">
            <v>0</v>
          </cell>
          <cell r="BD88">
            <v>45614</v>
          </cell>
          <cell r="BE88">
            <v>3034786</v>
          </cell>
          <cell r="BF88">
            <v>132914</v>
          </cell>
          <cell r="BK88">
            <v>1105834</v>
          </cell>
          <cell r="BL88">
            <v>722291</v>
          </cell>
          <cell r="BM88">
            <v>763670</v>
          </cell>
          <cell r="BN88">
            <v>-285051</v>
          </cell>
          <cell r="BO88">
            <v>28130</v>
          </cell>
          <cell r="BP88">
            <v>296123</v>
          </cell>
          <cell r="BQ88">
            <v>70086</v>
          </cell>
          <cell r="BR88">
            <v>31174</v>
          </cell>
          <cell r="BS88">
            <v>349253</v>
          </cell>
          <cell r="BT88">
            <v>132914</v>
          </cell>
          <cell r="BV88">
            <v>0</v>
          </cell>
        </row>
        <row r="89">
          <cell r="G89">
            <v>0</v>
          </cell>
          <cell r="H89">
            <v>0</v>
          </cell>
          <cell r="I89">
            <v>0</v>
          </cell>
          <cell r="K89">
            <v>0</v>
          </cell>
          <cell r="L89">
            <v>0</v>
          </cell>
          <cell r="M89">
            <v>0</v>
          </cell>
          <cell r="N89">
            <v>0</v>
          </cell>
          <cell r="O89">
            <v>0</v>
          </cell>
          <cell r="P89">
            <v>0</v>
          </cell>
          <cell r="U89">
            <v>-33301</v>
          </cell>
          <cell r="V89">
            <v>-2183</v>
          </cell>
          <cell r="W89">
            <v>-1081</v>
          </cell>
          <cell r="X89">
            <v>0</v>
          </cell>
          <cell r="Y89">
            <v>0</v>
          </cell>
          <cell r="Z89">
            <v>0</v>
          </cell>
          <cell r="AA89">
            <v>0</v>
          </cell>
          <cell r="AB89">
            <v>0</v>
          </cell>
          <cell r="AC89">
            <v>0</v>
          </cell>
          <cell r="AD89">
            <v>0</v>
          </cell>
          <cell r="AI89">
            <v>0</v>
          </cell>
          <cell r="AJ89">
            <v>0</v>
          </cell>
          <cell r="AK89">
            <v>0</v>
          </cell>
          <cell r="AL89">
            <v>0</v>
          </cell>
          <cell r="AM89">
            <v>0</v>
          </cell>
          <cell r="AN89">
            <v>0</v>
          </cell>
          <cell r="AO89">
            <v>0</v>
          </cell>
          <cell r="AP89">
            <v>0</v>
          </cell>
          <cell r="AQ89">
            <v>0</v>
          </cell>
          <cell r="AR89">
            <v>0</v>
          </cell>
          <cell r="AW89">
            <v>0</v>
          </cell>
          <cell r="AX89">
            <v>0</v>
          </cell>
          <cell r="AY89">
            <v>0</v>
          </cell>
          <cell r="AZ89">
            <v>0</v>
          </cell>
          <cell r="BA89">
            <v>0</v>
          </cell>
          <cell r="BB89">
            <v>0</v>
          </cell>
          <cell r="BC89">
            <v>0</v>
          </cell>
          <cell r="BD89">
            <v>0</v>
          </cell>
          <cell r="BE89">
            <v>0</v>
          </cell>
          <cell r="BF89">
            <v>0</v>
          </cell>
          <cell r="BK89">
            <v>-33301</v>
          </cell>
          <cell r="BL89">
            <v>-2183</v>
          </cell>
          <cell r="BM89">
            <v>-1081</v>
          </cell>
          <cell r="BN89">
            <v>0</v>
          </cell>
          <cell r="BO89">
            <v>0</v>
          </cell>
          <cell r="BP89">
            <v>0</v>
          </cell>
          <cell r="BQ89">
            <v>0</v>
          </cell>
          <cell r="BR89">
            <v>0</v>
          </cell>
          <cell r="BS89">
            <v>0</v>
          </cell>
          <cell r="BT89">
            <v>0</v>
          </cell>
          <cell r="BV89">
            <v>0</v>
          </cell>
        </row>
        <row r="90">
          <cell r="G90">
            <v>0</v>
          </cell>
          <cell r="H90">
            <v>0</v>
          </cell>
          <cell r="I90">
            <v>0</v>
          </cell>
          <cell r="K90">
            <v>0</v>
          </cell>
          <cell r="L90">
            <v>0</v>
          </cell>
          <cell r="M90">
            <v>0</v>
          </cell>
          <cell r="N90">
            <v>0</v>
          </cell>
          <cell r="O90">
            <v>0</v>
          </cell>
          <cell r="P90">
            <v>0</v>
          </cell>
          <cell r="U90">
            <v>0</v>
          </cell>
          <cell r="V90">
            <v>0</v>
          </cell>
          <cell r="W90">
            <v>0</v>
          </cell>
          <cell r="X90">
            <v>0</v>
          </cell>
          <cell r="Y90">
            <v>0</v>
          </cell>
          <cell r="Z90">
            <v>0</v>
          </cell>
          <cell r="AA90">
            <v>0</v>
          </cell>
          <cell r="AB90">
            <v>0</v>
          </cell>
          <cell r="AC90">
            <v>0</v>
          </cell>
          <cell r="AD90">
            <v>0</v>
          </cell>
          <cell r="AI90">
            <v>0</v>
          </cell>
          <cell r="AJ90">
            <v>0</v>
          </cell>
          <cell r="AK90">
            <v>0</v>
          </cell>
          <cell r="AL90">
            <v>0</v>
          </cell>
          <cell r="AM90">
            <v>0</v>
          </cell>
          <cell r="AN90">
            <v>0</v>
          </cell>
          <cell r="AO90">
            <v>0</v>
          </cell>
          <cell r="AP90">
            <v>0</v>
          </cell>
          <cell r="AQ90">
            <v>0</v>
          </cell>
          <cell r="AR90">
            <v>0</v>
          </cell>
          <cell r="AW90">
            <v>-7454</v>
          </cell>
          <cell r="AX90">
            <v>-7454</v>
          </cell>
          <cell r="AY90">
            <v>-7454</v>
          </cell>
          <cell r="AZ90">
            <v>-7454</v>
          </cell>
          <cell r="BA90">
            <v>-7454</v>
          </cell>
          <cell r="BB90">
            <v>-7454</v>
          </cell>
          <cell r="BC90">
            <v>-7454</v>
          </cell>
          <cell r="BD90">
            <v>52178</v>
          </cell>
          <cell r="BE90">
            <v>0</v>
          </cell>
          <cell r="BF90">
            <v>0</v>
          </cell>
          <cell r="BK90">
            <v>-7454</v>
          </cell>
          <cell r="BL90">
            <v>-7454</v>
          </cell>
          <cell r="BM90">
            <v>-7454</v>
          </cell>
          <cell r="BN90">
            <v>-7454</v>
          </cell>
          <cell r="BO90">
            <v>-7454</v>
          </cell>
          <cell r="BP90">
            <v>-7454</v>
          </cell>
          <cell r="BQ90">
            <v>-7454</v>
          </cell>
          <cell r="BR90">
            <v>52178</v>
          </cell>
          <cell r="BS90">
            <v>0</v>
          </cell>
          <cell r="BT90">
            <v>0</v>
          </cell>
          <cell r="BV90">
            <v>0</v>
          </cell>
        </row>
        <row r="91">
          <cell r="I91">
            <v>3000000</v>
          </cell>
          <cell r="K91">
            <v>0</v>
          </cell>
          <cell r="L91">
            <v>0</v>
          </cell>
          <cell r="M91">
            <v>0</v>
          </cell>
          <cell r="N91">
            <v>-3000000</v>
          </cell>
          <cell r="O91">
            <v>0</v>
          </cell>
          <cell r="P91">
            <v>0</v>
          </cell>
          <cell r="W91">
            <v>0</v>
          </cell>
          <cell r="X91">
            <v>0</v>
          </cell>
          <cell r="Y91">
            <v>0</v>
          </cell>
          <cell r="Z91">
            <v>0</v>
          </cell>
          <cell r="AA91">
            <v>0</v>
          </cell>
          <cell r="AB91">
            <v>0</v>
          </cell>
          <cell r="AC91">
            <v>0</v>
          </cell>
          <cell r="AD91">
            <v>0</v>
          </cell>
          <cell r="AK91">
            <v>0</v>
          </cell>
          <cell r="AL91">
            <v>0</v>
          </cell>
          <cell r="AM91">
            <v>0</v>
          </cell>
          <cell r="AN91">
            <v>0</v>
          </cell>
          <cell r="AO91">
            <v>0</v>
          </cell>
          <cell r="AP91">
            <v>0</v>
          </cell>
          <cell r="AQ91">
            <v>0</v>
          </cell>
          <cell r="AR91">
            <v>0</v>
          </cell>
          <cell r="AY91">
            <v>0</v>
          </cell>
          <cell r="AZ91">
            <v>0</v>
          </cell>
          <cell r="BA91">
            <v>0</v>
          </cell>
          <cell r="BB91">
            <v>0</v>
          </cell>
          <cell r="BC91">
            <v>0</v>
          </cell>
          <cell r="BD91">
            <v>0</v>
          </cell>
          <cell r="BE91">
            <v>0</v>
          </cell>
          <cell r="BF91">
            <v>0</v>
          </cell>
          <cell r="BM91">
            <v>3000000</v>
          </cell>
          <cell r="BN91">
            <v>0</v>
          </cell>
          <cell r="BO91">
            <v>0</v>
          </cell>
          <cell r="BP91">
            <v>0</v>
          </cell>
          <cell r="BQ91">
            <v>0</v>
          </cell>
          <cell r="BR91">
            <v>-3000000</v>
          </cell>
          <cell r="BS91">
            <v>0</v>
          </cell>
          <cell r="BT91">
            <v>0</v>
          </cell>
          <cell r="BV91">
            <v>0</v>
          </cell>
        </row>
        <row r="92">
          <cell r="O92">
            <v>1000000</v>
          </cell>
          <cell r="P92">
            <v>0</v>
          </cell>
          <cell r="AC92">
            <v>0</v>
          </cell>
          <cell r="AD92">
            <v>0</v>
          </cell>
          <cell r="AQ92">
            <v>0</v>
          </cell>
          <cell r="AR92">
            <v>0</v>
          </cell>
          <cell r="BE92">
            <v>0</v>
          </cell>
          <cell r="BF92">
            <v>0</v>
          </cell>
          <cell r="BS92">
            <v>1000000</v>
          </cell>
        </row>
        <row r="93">
          <cell r="G93">
            <v>0</v>
          </cell>
          <cell r="H93">
            <v>0</v>
          </cell>
          <cell r="U93">
            <v>0</v>
          </cell>
          <cell r="V93">
            <v>0</v>
          </cell>
          <cell r="AI93">
            <v>0</v>
          </cell>
          <cell r="AJ93">
            <v>0</v>
          </cell>
          <cell r="AW93">
            <v>0</v>
          </cell>
          <cell r="AX93">
            <v>0</v>
          </cell>
          <cell r="BK93">
            <v>0</v>
          </cell>
          <cell r="BL93">
            <v>0</v>
          </cell>
          <cell r="BM93">
            <v>0</v>
          </cell>
          <cell r="BN93">
            <v>0</v>
          </cell>
          <cell r="BO93">
            <v>0</v>
          </cell>
          <cell r="BP93">
            <v>0</v>
          </cell>
          <cell r="BQ93">
            <v>0</v>
          </cell>
          <cell r="BR93">
            <v>0</v>
          </cell>
          <cell r="BS93">
            <v>0</v>
          </cell>
          <cell r="BT93">
            <v>0</v>
          </cell>
          <cell r="BV93">
            <v>0</v>
          </cell>
        </row>
        <row r="98">
          <cell r="G98">
            <v>0</v>
          </cell>
          <cell r="H98">
            <v>0</v>
          </cell>
          <cell r="I98">
            <v>-994782</v>
          </cell>
          <cell r="K98">
            <v>0</v>
          </cell>
          <cell r="L98">
            <v>-1069850</v>
          </cell>
          <cell r="M98">
            <v>0</v>
          </cell>
          <cell r="N98">
            <v>0</v>
          </cell>
          <cell r="O98">
            <v>-1705920</v>
          </cell>
          <cell r="P98">
            <v>-430137</v>
          </cell>
          <cell r="U98">
            <v>0</v>
          </cell>
          <cell r="V98">
            <v>0</v>
          </cell>
          <cell r="W98">
            <v>-132258</v>
          </cell>
          <cell r="X98">
            <v>0</v>
          </cell>
          <cell r="Y98">
            <v>0</v>
          </cell>
          <cell r="Z98">
            <v>-152250</v>
          </cell>
          <cell r="AA98">
            <v>0</v>
          </cell>
          <cell r="AB98">
            <v>0</v>
          </cell>
          <cell r="AC98">
            <v>-322193</v>
          </cell>
          <cell r="AD98">
            <v>8823</v>
          </cell>
          <cell r="AI98">
            <v>0</v>
          </cell>
          <cell r="AJ98">
            <v>0</v>
          </cell>
          <cell r="AK98">
            <v>-2508</v>
          </cell>
          <cell r="AL98">
            <v>0</v>
          </cell>
          <cell r="AM98">
            <v>0</v>
          </cell>
          <cell r="AN98">
            <v>-2900</v>
          </cell>
          <cell r="AO98">
            <v>0</v>
          </cell>
          <cell r="AP98">
            <v>0</v>
          </cell>
          <cell r="AQ98">
            <v>-6137</v>
          </cell>
          <cell r="AR98">
            <v>-6947</v>
          </cell>
          <cell r="AW98">
            <v>0</v>
          </cell>
          <cell r="AX98">
            <v>0</v>
          </cell>
          <cell r="AY98">
            <v>2548</v>
          </cell>
          <cell r="AZ98">
            <v>0</v>
          </cell>
          <cell r="BA98">
            <v>0</v>
          </cell>
          <cell r="BB98">
            <v>0</v>
          </cell>
          <cell r="BC98">
            <v>0</v>
          </cell>
          <cell r="BD98">
            <v>0</v>
          </cell>
          <cell r="BE98">
            <v>0</v>
          </cell>
          <cell r="BF98">
            <v>-60081</v>
          </cell>
          <cell r="BK98">
            <v>0</v>
          </cell>
          <cell r="BL98">
            <v>0</v>
          </cell>
          <cell r="BM98">
            <v>-1127000</v>
          </cell>
          <cell r="BN98">
            <v>0</v>
          </cell>
          <cell r="BO98">
            <v>0</v>
          </cell>
          <cell r="BP98">
            <v>-1225000</v>
          </cell>
          <cell r="BQ98">
            <v>0</v>
          </cell>
          <cell r="BR98">
            <v>0</v>
          </cell>
          <cell r="BS98">
            <v>-2034250</v>
          </cell>
          <cell r="BT98">
            <v>-488342</v>
          </cell>
          <cell r="BV98">
            <v>0</v>
          </cell>
        </row>
        <row r="99">
          <cell r="BT99">
            <v>0</v>
          </cell>
        </row>
        <row r="105">
          <cell r="G105">
            <v>0</v>
          </cell>
          <cell r="H105">
            <v>0</v>
          </cell>
          <cell r="I105">
            <v>295676</v>
          </cell>
          <cell r="K105">
            <v>0</v>
          </cell>
          <cell r="L105">
            <v>-683463</v>
          </cell>
          <cell r="M105">
            <v>-1407606</v>
          </cell>
          <cell r="N105">
            <v>0</v>
          </cell>
          <cell r="O105">
            <v>-1193045</v>
          </cell>
          <cell r="P105">
            <v>0</v>
          </cell>
          <cell r="U105">
            <v>0</v>
          </cell>
          <cell r="V105">
            <v>0</v>
          </cell>
          <cell r="W105">
            <v>78744</v>
          </cell>
          <cell r="X105">
            <v>-182019</v>
          </cell>
          <cell r="Y105">
            <v>0</v>
          </cell>
          <cell r="Z105">
            <v>-182019</v>
          </cell>
          <cell r="AA105">
            <v>-374872</v>
          </cell>
          <cell r="AB105">
            <v>0</v>
          </cell>
          <cell r="AC105">
            <v>-317730</v>
          </cell>
          <cell r="AD105">
            <v>0</v>
          </cell>
          <cell r="AI105">
            <v>0</v>
          </cell>
          <cell r="AJ105">
            <v>0</v>
          </cell>
          <cell r="AK105">
            <v>1544</v>
          </cell>
          <cell r="AL105">
            <v>-3569</v>
          </cell>
          <cell r="AM105">
            <v>0</v>
          </cell>
          <cell r="AN105">
            <v>-3569</v>
          </cell>
          <cell r="AO105">
            <v>-7350</v>
          </cell>
          <cell r="AP105">
            <v>0</v>
          </cell>
          <cell r="AQ105">
            <v>-6230</v>
          </cell>
          <cell r="AR105">
            <v>0</v>
          </cell>
          <cell r="AW105">
            <v>0</v>
          </cell>
          <cell r="AX105">
            <v>0</v>
          </cell>
          <cell r="AY105">
            <v>10036</v>
          </cell>
          <cell r="AZ105">
            <v>-23199</v>
          </cell>
          <cell r="BA105">
            <v>0</v>
          </cell>
          <cell r="BB105">
            <v>-23199</v>
          </cell>
          <cell r="BC105">
            <v>-47778</v>
          </cell>
          <cell r="BD105">
            <v>0</v>
          </cell>
          <cell r="BE105">
            <v>-40495</v>
          </cell>
          <cell r="BF105">
            <v>0</v>
          </cell>
          <cell r="BK105">
            <v>0</v>
          </cell>
          <cell r="BL105">
            <v>0</v>
          </cell>
          <cell r="BM105">
            <v>386000</v>
          </cell>
          <cell r="BN105">
            <v>-892250</v>
          </cell>
          <cell r="BO105">
            <v>0</v>
          </cell>
          <cell r="BP105">
            <v>-892250</v>
          </cell>
          <cell r="BQ105">
            <v>-1837606</v>
          </cell>
          <cell r="BR105">
            <v>0</v>
          </cell>
          <cell r="BS105">
            <v>-1557500</v>
          </cell>
          <cell r="BT105">
            <v>0</v>
          </cell>
          <cell r="BV105">
            <v>0</v>
          </cell>
        </row>
        <row r="106">
          <cell r="G106">
            <v>0</v>
          </cell>
          <cell r="H106">
            <v>0</v>
          </cell>
          <cell r="I106">
            <v>0</v>
          </cell>
          <cell r="K106">
            <v>0</v>
          </cell>
          <cell r="L106">
            <v>0</v>
          </cell>
          <cell r="M106">
            <v>0</v>
          </cell>
          <cell r="N106">
            <v>0</v>
          </cell>
          <cell r="O106">
            <v>0</v>
          </cell>
          <cell r="P106">
            <v>0</v>
          </cell>
          <cell r="U106">
            <v>0</v>
          </cell>
          <cell r="V106">
            <v>0</v>
          </cell>
          <cell r="W106">
            <v>0</v>
          </cell>
          <cell r="X106">
            <v>0</v>
          </cell>
          <cell r="Y106">
            <v>0</v>
          </cell>
          <cell r="Z106">
            <v>0</v>
          </cell>
          <cell r="AA106">
            <v>0</v>
          </cell>
          <cell r="AB106">
            <v>0</v>
          </cell>
          <cell r="AC106">
            <v>0</v>
          </cell>
          <cell r="AD106">
            <v>0</v>
          </cell>
          <cell r="AI106">
            <v>0</v>
          </cell>
          <cell r="AJ106">
            <v>0</v>
          </cell>
          <cell r="AK106">
            <v>0</v>
          </cell>
          <cell r="AL106">
            <v>0</v>
          </cell>
          <cell r="AM106">
            <v>0</v>
          </cell>
          <cell r="AN106">
            <v>0</v>
          </cell>
          <cell r="AO106">
            <v>0</v>
          </cell>
          <cell r="AP106">
            <v>0</v>
          </cell>
          <cell r="AQ106">
            <v>0</v>
          </cell>
          <cell r="AR106">
            <v>0</v>
          </cell>
          <cell r="AW106">
            <v>0</v>
          </cell>
          <cell r="AX106">
            <v>0</v>
          </cell>
          <cell r="AY106">
            <v>0</v>
          </cell>
          <cell r="AZ106">
            <v>0</v>
          </cell>
          <cell r="BA106">
            <v>0</v>
          </cell>
          <cell r="BB106">
            <v>0</v>
          </cell>
          <cell r="BC106">
            <v>0</v>
          </cell>
          <cell r="BD106">
            <v>0</v>
          </cell>
          <cell r="BE106">
            <v>0</v>
          </cell>
          <cell r="BF106">
            <v>0</v>
          </cell>
          <cell r="BK106">
            <v>0</v>
          </cell>
          <cell r="BL106">
            <v>0</v>
          </cell>
          <cell r="BM106">
            <v>0</v>
          </cell>
          <cell r="BN106">
            <v>0</v>
          </cell>
          <cell r="BO106">
            <v>0</v>
          </cell>
          <cell r="BP106">
            <v>0</v>
          </cell>
          <cell r="BQ106">
            <v>0</v>
          </cell>
          <cell r="BR106">
            <v>0</v>
          </cell>
          <cell r="BS106">
            <v>0</v>
          </cell>
          <cell r="BT106">
            <v>0</v>
          </cell>
          <cell r="BV106">
            <v>0</v>
          </cell>
        </row>
        <row r="109">
          <cell r="G109">
            <v>0</v>
          </cell>
          <cell r="H109">
            <v>0</v>
          </cell>
          <cell r="I109">
            <v>922264</v>
          </cell>
          <cell r="K109">
            <v>0</v>
          </cell>
          <cell r="L109">
            <v>0</v>
          </cell>
          <cell r="M109">
            <v>0</v>
          </cell>
          <cell r="N109">
            <v>-9770</v>
          </cell>
          <cell r="O109">
            <v>0</v>
          </cell>
          <cell r="P109">
            <v>-544680</v>
          </cell>
          <cell r="U109">
            <v>0</v>
          </cell>
          <cell r="V109">
            <v>0</v>
          </cell>
          <cell r="W109">
            <v>245616</v>
          </cell>
          <cell r="X109">
            <v>0</v>
          </cell>
          <cell r="Y109">
            <v>0</v>
          </cell>
          <cell r="Z109">
            <v>0</v>
          </cell>
          <cell r="AA109">
            <v>-4921</v>
          </cell>
          <cell r="AB109">
            <v>-2611</v>
          </cell>
          <cell r="AC109">
            <v>0</v>
          </cell>
          <cell r="AD109">
            <v>-559215</v>
          </cell>
          <cell r="AI109">
            <v>0</v>
          </cell>
          <cell r="AJ109">
            <v>0</v>
          </cell>
          <cell r="AK109">
            <v>4816</v>
          </cell>
          <cell r="AL109">
            <v>0</v>
          </cell>
          <cell r="AM109">
            <v>0</v>
          </cell>
          <cell r="AN109">
            <v>0</v>
          </cell>
          <cell r="AO109">
            <v>0</v>
          </cell>
          <cell r="AP109">
            <v>-50</v>
          </cell>
          <cell r="AQ109">
            <v>0</v>
          </cell>
          <cell r="AR109">
            <v>-57975</v>
          </cell>
          <cell r="AW109">
            <v>0</v>
          </cell>
          <cell r="AX109">
            <v>0</v>
          </cell>
          <cell r="AY109">
            <v>31304</v>
          </cell>
          <cell r="AZ109">
            <v>0</v>
          </cell>
          <cell r="BA109">
            <v>0</v>
          </cell>
          <cell r="BB109">
            <v>0</v>
          </cell>
          <cell r="BC109">
            <v>0</v>
          </cell>
          <cell r="BD109">
            <v>0</v>
          </cell>
          <cell r="BE109">
            <v>0</v>
          </cell>
          <cell r="BF109">
            <v>-399542</v>
          </cell>
          <cell r="BK109">
            <v>0</v>
          </cell>
          <cell r="BL109">
            <v>0</v>
          </cell>
          <cell r="BM109">
            <v>1204000</v>
          </cell>
          <cell r="BN109">
            <v>0</v>
          </cell>
          <cell r="BO109">
            <v>0</v>
          </cell>
          <cell r="BP109">
            <v>0</v>
          </cell>
          <cell r="BQ109">
            <v>-4921</v>
          </cell>
          <cell r="BR109">
            <v>-12431</v>
          </cell>
          <cell r="BS109">
            <v>0</v>
          </cell>
          <cell r="BT109">
            <v>-1561412</v>
          </cell>
          <cell r="BV109">
            <v>0</v>
          </cell>
        </row>
        <row r="121">
          <cell r="F121">
            <v>2640000</v>
          </cell>
          <cell r="T121">
            <v>0</v>
          </cell>
          <cell r="BM121">
            <v>264000</v>
          </cell>
        </row>
        <row r="122">
          <cell r="F122">
            <v>-1760000</v>
          </cell>
          <cell r="G122">
            <v>-176000</v>
          </cell>
          <cell r="H122">
            <v>-176000</v>
          </cell>
          <cell r="I122">
            <v>-176000</v>
          </cell>
          <cell r="J122">
            <v>-176000</v>
          </cell>
          <cell r="K122">
            <v>-176000</v>
          </cell>
          <cell r="L122">
            <v>-176000</v>
          </cell>
          <cell r="M122">
            <v>-176000</v>
          </cell>
          <cell r="N122">
            <v>-176000</v>
          </cell>
          <cell r="O122">
            <v>-176000</v>
          </cell>
          <cell r="P122">
            <v>-176000</v>
          </cell>
          <cell r="T122">
            <v>0</v>
          </cell>
          <cell r="U122">
            <v>0</v>
          </cell>
          <cell r="V122">
            <v>0</v>
          </cell>
          <cell r="W122">
            <v>0</v>
          </cell>
          <cell r="X122">
            <v>0</v>
          </cell>
          <cell r="Y122">
            <v>0</v>
          </cell>
          <cell r="Z122">
            <v>0</v>
          </cell>
          <cell r="AA122">
            <v>0</v>
          </cell>
          <cell r="AB122">
            <v>0</v>
          </cell>
          <cell r="AC122">
            <v>0</v>
          </cell>
          <cell r="AD122">
            <v>0</v>
          </cell>
          <cell r="AI122">
            <v>0</v>
          </cell>
          <cell r="AJ122">
            <v>0</v>
          </cell>
          <cell r="AK122">
            <v>0</v>
          </cell>
          <cell r="AL122">
            <v>0</v>
          </cell>
          <cell r="AM122">
            <v>0</v>
          </cell>
          <cell r="AN122">
            <v>0</v>
          </cell>
          <cell r="AO122">
            <v>0</v>
          </cell>
          <cell r="AP122">
            <v>0</v>
          </cell>
          <cell r="AQ122">
            <v>0</v>
          </cell>
          <cell r="AR122">
            <v>0</v>
          </cell>
          <cell r="AW122">
            <v>0</v>
          </cell>
          <cell r="AX122">
            <v>0</v>
          </cell>
          <cell r="AY122">
            <v>0</v>
          </cell>
          <cell r="AZ122">
            <v>0</v>
          </cell>
          <cell r="BA122">
            <v>0</v>
          </cell>
          <cell r="BB122">
            <v>0</v>
          </cell>
          <cell r="BC122">
            <v>0</v>
          </cell>
          <cell r="BD122">
            <v>0</v>
          </cell>
          <cell r="BF122">
            <v>0</v>
          </cell>
          <cell r="BK122">
            <v>-176000</v>
          </cell>
          <cell r="BL122">
            <v>-176000</v>
          </cell>
          <cell r="BM122">
            <v>-176000</v>
          </cell>
          <cell r="BN122">
            <v>-176000</v>
          </cell>
          <cell r="BO122">
            <v>-176000</v>
          </cell>
          <cell r="BP122">
            <v>-176000</v>
          </cell>
          <cell r="BQ122">
            <v>-176000</v>
          </cell>
          <cell r="BR122">
            <v>-176000</v>
          </cell>
          <cell r="BS122">
            <v>-176000</v>
          </cell>
          <cell r="BT122">
            <v>-176000</v>
          </cell>
          <cell r="BU122">
            <v>0</v>
          </cell>
          <cell r="BV122">
            <v>0</v>
          </cell>
        </row>
        <row r="123">
          <cell r="F123">
            <v>21710000</v>
          </cell>
          <cell r="G123">
            <v>2115000</v>
          </cell>
          <cell r="H123">
            <v>2115000</v>
          </cell>
          <cell r="I123">
            <v>2115000</v>
          </cell>
          <cell r="J123">
            <v>2339000</v>
          </cell>
          <cell r="K123">
            <v>2171000</v>
          </cell>
          <cell r="L123">
            <v>2171000</v>
          </cell>
          <cell r="M123">
            <v>2171000</v>
          </cell>
          <cell r="N123">
            <v>2171000</v>
          </cell>
          <cell r="O123">
            <v>2171000</v>
          </cell>
          <cell r="P123">
            <v>2171000</v>
          </cell>
          <cell r="T123">
            <v>8320000</v>
          </cell>
          <cell r="U123">
            <v>777000</v>
          </cell>
          <cell r="V123">
            <v>777000</v>
          </cell>
          <cell r="W123">
            <v>777000</v>
          </cell>
          <cell r="X123">
            <v>997000</v>
          </cell>
          <cell r="Y123">
            <v>832000</v>
          </cell>
          <cell r="Z123">
            <v>832000</v>
          </cell>
          <cell r="AA123">
            <v>832000</v>
          </cell>
          <cell r="AB123">
            <v>832000</v>
          </cell>
          <cell r="AC123">
            <v>832000</v>
          </cell>
          <cell r="AD123">
            <v>832000</v>
          </cell>
          <cell r="AI123">
            <v>10000</v>
          </cell>
          <cell r="AJ123">
            <v>10000</v>
          </cell>
          <cell r="AK123">
            <v>10000</v>
          </cell>
          <cell r="AL123">
            <v>10000</v>
          </cell>
          <cell r="AM123">
            <v>10000</v>
          </cell>
          <cell r="AN123">
            <v>10000</v>
          </cell>
          <cell r="AO123">
            <v>10000</v>
          </cell>
          <cell r="AP123">
            <v>10000</v>
          </cell>
          <cell r="AQ123">
            <v>10000</v>
          </cell>
          <cell r="AR123">
            <v>10000</v>
          </cell>
          <cell r="AW123">
            <v>0</v>
          </cell>
          <cell r="AX123">
            <v>0</v>
          </cell>
          <cell r="AY123">
            <v>0</v>
          </cell>
          <cell r="AZ123">
            <v>0</v>
          </cell>
          <cell r="BA123">
            <v>0</v>
          </cell>
          <cell r="BB123">
            <v>0</v>
          </cell>
          <cell r="BC123">
            <v>0</v>
          </cell>
          <cell r="BD123">
            <v>0</v>
          </cell>
          <cell r="BE123">
            <v>0</v>
          </cell>
          <cell r="BF123">
            <v>0</v>
          </cell>
          <cell r="BK123">
            <v>2902000</v>
          </cell>
          <cell r="BL123">
            <v>2902000</v>
          </cell>
          <cell r="BM123">
            <v>2902000</v>
          </cell>
          <cell r="BN123">
            <v>3346000</v>
          </cell>
          <cell r="BO123">
            <v>3013000</v>
          </cell>
          <cell r="BP123">
            <v>3013000</v>
          </cell>
          <cell r="BQ123">
            <v>3013000</v>
          </cell>
          <cell r="BR123">
            <v>3013000</v>
          </cell>
          <cell r="BS123">
            <v>3013000</v>
          </cell>
          <cell r="BT123">
            <v>3013000</v>
          </cell>
          <cell r="BU123">
            <v>0</v>
          </cell>
          <cell r="BV123">
            <v>0</v>
          </cell>
        </row>
        <row r="124">
          <cell r="F124">
            <v>-5560000</v>
          </cell>
          <cell r="G124">
            <v>-556000</v>
          </cell>
          <cell r="H124">
            <v>-556000</v>
          </cell>
          <cell r="I124">
            <v>-556000</v>
          </cell>
          <cell r="J124">
            <v>-556000</v>
          </cell>
          <cell r="K124">
            <v>-556000</v>
          </cell>
          <cell r="L124">
            <v>-556000</v>
          </cell>
          <cell r="M124">
            <v>-556000</v>
          </cell>
          <cell r="N124">
            <v>-556000</v>
          </cell>
          <cell r="O124">
            <v>-556000</v>
          </cell>
          <cell r="P124">
            <v>-556000</v>
          </cell>
          <cell r="T124">
            <v>-1360000</v>
          </cell>
          <cell r="U124">
            <v>-136000</v>
          </cell>
          <cell r="V124">
            <v>-136000</v>
          </cell>
          <cell r="W124">
            <v>-136000</v>
          </cell>
          <cell r="X124">
            <v>-136000</v>
          </cell>
          <cell r="Y124">
            <v>-136000</v>
          </cell>
          <cell r="Z124">
            <v>-136000</v>
          </cell>
          <cell r="AA124">
            <v>-136000</v>
          </cell>
          <cell r="AB124">
            <v>-136000</v>
          </cell>
          <cell r="AC124">
            <v>-136000</v>
          </cell>
          <cell r="AD124">
            <v>-136000</v>
          </cell>
          <cell r="AI124">
            <v>-1000</v>
          </cell>
          <cell r="AJ124">
            <v>-1000</v>
          </cell>
          <cell r="AK124">
            <v>-1000</v>
          </cell>
          <cell r="AL124">
            <v>-1000</v>
          </cell>
          <cell r="AM124">
            <v>-1000</v>
          </cell>
          <cell r="AN124">
            <v>-1000</v>
          </cell>
          <cell r="AO124">
            <v>-1000</v>
          </cell>
          <cell r="AP124">
            <v>-1000</v>
          </cell>
          <cell r="AQ124">
            <v>-1000</v>
          </cell>
          <cell r="AR124">
            <v>-1000</v>
          </cell>
          <cell r="AW124">
            <v>0</v>
          </cell>
          <cell r="AX124">
            <v>0</v>
          </cell>
          <cell r="AY124">
            <v>0</v>
          </cell>
          <cell r="AZ124">
            <v>0</v>
          </cell>
          <cell r="BA124">
            <v>0</v>
          </cell>
          <cell r="BB124">
            <v>0</v>
          </cell>
          <cell r="BC124">
            <v>0</v>
          </cell>
          <cell r="BD124">
            <v>0</v>
          </cell>
          <cell r="BE124">
            <v>0</v>
          </cell>
          <cell r="BF124">
            <v>0</v>
          </cell>
          <cell r="BK124">
            <v>-693000</v>
          </cell>
          <cell r="BL124">
            <v>-693000</v>
          </cell>
          <cell r="BM124">
            <v>-693000</v>
          </cell>
          <cell r="BN124">
            <v>-693000</v>
          </cell>
          <cell r="BO124">
            <v>-693000</v>
          </cell>
          <cell r="BP124">
            <v>-693000</v>
          </cell>
          <cell r="BQ124">
            <v>-693000</v>
          </cell>
          <cell r="BR124">
            <v>-693000</v>
          </cell>
          <cell r="BS124">
            <v>-693000</v>
          </cell>
          <cell r="BT124">
            <v>-693000</v>
          </cell>
          <cell r="BU124">
            <v>0</v>
          </cell>
          <cell r="BV124">
            <v>0</v>
          </cell>
        </row>
        <row r="125">
          <cell r="F125">
            <v>2870000</v>
          </cell>
          <cell r="G125">
            <v>287000</v>
          </cell>
          <cell r="H125">
            <v>287000</v>
          </cell>
          <cell r="I125">
            <v>287000</v>
          </cell>
          <cell r="J125">
            <v>287000</v>
          </cell>
          <cell r="K125">
            <v>287000</v>
          </cell>
          <cell r="L125">
            <v>287000</v>
          </cell>
          <cell r="M125">
            <v>287000</v>
          </cell>
          <cell r="N125">
            <v>287000</v>
          </cell>
          <cell r="O125">
            <v>287000</v>
          </cell>
          <cell r="P125">
            <v>287000</v>
          </cell>
          <cell r="T125">
            <v>940000</v>
          </cell>
          <cell r="U125">
            <v>94000</v>
          </cell>
          <cell r="V125">
            <v>94000</v>
          </cell>
          <cell r="W125">
            <v>94000</v>
          </cell>
          <cell r="X125">
            <v>94000</v>
          </cell>
          <cell r="Y125">
            <v>94000</v>
          </cell>
          <cell r="Z125">
            <v>94000</v>
          </cell>
          <cell r="AA125">
            <v>94000</v>
          </cell>
          <cell r="AB125">
            <v>94000</v>
          </cell>
          <cell r="AC125">
            <v>94000</v>
          </cell>
          <cell r="AD125">
            <v>94000</v>
          </cell>
          <cell r="AI125">
            <v>0</v>
          </cell>
          <cell r="AJ125">
            <v>0</v>
          </cell>
          <cell r="AK125">
            <v>0</v>
          </cell>
          <cell r="AL125">
            <v>0</v>
          </cell>
          <cell r="AM125">
            <v>0</v>
          </cell>
          <cell r="AN125">
            <v>0</v>
          </cell>
          <cell r="AO125">
            <v>0</v>
          </cell>
          <cell r="AP125">
            <v>0</v>
          </cell>
          <cell r="AQ125">
            <v>0</v>
          </cell>
          <cell r="AR125">
            <v>0</v>
          </cell>
          <cell r="AW125">
            <v>0</v>
          </cell>
          <cell r="AX125">
            <v>0</v>
          </cell>
          <cell r="AY125">
            <v>0</v>
          </cell>
          <cell r="AZ125">
            <v>0</v>
          </cell>
          <cell r="BA125">
            <v>0</v>
          </cell>
          <cell r="BB125">
            <v>0</v>
          </cell>
          <cell r="BC125">
            <v>0</v>
          </cell>
          <cell r="BD125">
            <v>0</v>
          </cell>
          <cell r="BE125">
            <v>0</v>
          </cell>
          <cell r="BF125">
            <v>0</v>
          </cell>
          <cell r="BK125">
            <v>381000</v>
          </cell>
          <cell r="BL125">
            <v>381000</v>
          </cell>
          <cell r="BM125">
            <v>381000</v>
          </cell>
          <cell r="BN125">
            <v>381000</v>
          </cell>
          <cell r="BO125">
            <v>381000</v>
          </cell>
          <cell r="BP125">
            <v>381000</v>
          </cell>
          <cell r="BQ125">
            <v>381000</v>
          </cell>
          <cell r="BR125">
            <v>381000</v>
          </cell>
          <cell r="BS125">
            <v>381000</v>
          </cell>
          <cell r="BT125">
            <v>381000</v>
          </cell>
          <cell r="BU125">
            <v>0</v>
          </cell>
          <cell r="BV125">
            <v>0</v>
          </cell>
        </row>
        <row r="126">
          <cell r="F126">
            <v>-30000</v>
          </cell>
          <cell r="G126">
            <v>-3000</v>
          </cell>
          <cell r="H126">
            <v>-3000</v>
          </cell>
          <cell r="I126">
            <v>-3000</v>
          </cell>
          <cell r="J126">
            <v>-3000</v>
          </cell>
          <cell r="K126">
            <v>-3000</v>
          </cell>
          <cell r="L126">
            <v>-3000</v>
          </cell>
          <cell r="M126">
            <v>-3000</v>
          </cell>
          <cell r="N126">
            <v>-3000</v>
          </cell>
          <cell r="O126">
            <v>-3000</v>
          </cell>
          <cell r="P126">
            <v>-3000</v>
          </cell>
          <cell r="T126">
            <v>0</v>
          </cell>
          <cell r="U126">
            <v>0</v>
          </cell>
          <cell r="V126">
            <v>0</v>
          </cell>
          <cell r="W126">
            <v>0</v>
          </cell>
          <cell r="X126">
            <v>0</v>
          </cell>
          <cell r="Y126">
            <v>0</v>
          </cell>
          <cell r="Z126">
            <v>0</v>
          </cell>
          <cell r="AA126">
            <v>0</v>
          </cell>
          <cell r="AB126">
            <v>0</v>
          </cell>
          <cell r="AC126">
            <v>0</v>
          </cell>
          <cell r="AD126">
            <v>0</v>
          </cell>
          <cell r="AI126">
            <v>0</v>
          </cell>
          <cell r="AJ126">
            <v>0</v>
          </cell>
          <cell r="AK126">
            <v>0</v>
          </cell>
          <cell r="AL126">
            <v>0</v>
          </cell>
          <cell r="AM126">
            <v>0</v>
          </cell>
          <cell r="AN126">
            <v>0</v>
          </cell>
          <cell r="AO126">
            <v>0</v>
          </cell>
          <cell r="AP126">
            <v>0</v>
          </cell>
          <cell r="AQ126">
            <v>0</v>
          </cell>
          <cell r="AR126">
            <v>0</v>
          </cell>
          <cell r="AW126">
            <v>0</v>
          </cell>
          <cell r="AX126">
            <v>0</v>
          </cell>
          <cell r="AY126">
            <v>0</v>
          </cell>
          <cell r="AZ126">
            <v>0</v>
          </cell>
          <cell r="BA126">
            <v>0</v>
          </cell>
          <cell r="BB126">
            <v>0</v>
          </cell>
          <cell r="BC126">
            <v>0</v>
          </cell>
          <cell r="BD126">
            <v>0</v>
          </cell>
          <cell r="BE126">
            <v>0</v>
          </cell>
          <cell r="BF126">
            <v>0</v>
          </cell>
          <cell r="BK126">
            <v>-3000</v>
          </cell>
          <cell r="BL126">
            <v>-3000</v>
          </cell>
          <cell r="BM126">
            <v>-3000</v>
          </cell>
          <cell r="BN126">
            <v>-3000</v>
          </cell>
          <cell r="BO126">
            <v>-3000</v>
          </cell>
          <cell r="BP126">
            <v>-3000</v>
          </cell>
          <cell r="BQ126">
            <v>-3000</v>
          </cell>
          <cell r="BR126">
            <v>-3000</v>
          </cell>
          <cell r="BS126">
            <v>-3000</v>
          </cell>
          <cell r="BT126">
            <v>-3000</v>
          </cell>
          <cell r="BU126">
            <v>0</v>
          </cell>
          <cell r="BV126">
            <v>0</v>
          </cell>
        </row>
        <row r="127">
          <cell r="F127">
            <v>180000</v>
          </cell>
          <cell r="G127">
            <v>18000</v>
          </cell>
          <cell r="H127">
            <v>18000</v>
          </cell>
          <cell r="I127">
            <v>18000</v>
          </cell>
          <cell r="J127">
            <v>18000</v>
          </cell>
          <cell r="K127">
            <v>18000</v>
          </cell>
          <cell r="L127">
            <v>18000</v>
          </cell>
          <cell r="M127">
            <v>18000</v>
          </cell>
          <cell r="N127">
            <v>18000</v>
          </cell>
          <cell r="O127">
            <v>18000</v>
          </cell>
          <cell r="P127">
            <v>18000</v>
          </cell>
          <cell r="T127">
            <v>0</v>
          </cell>
          <cell r="U127">
            <v>0</v>
          </cell>
          <cell r="V127">
            <v>0</v>
          </cell>
          <cell r="W127">
            <v>0</v>
          </cell>
          <cell r="X127">
            <v>0</v>
          </cell>
          <cell r="Y127">
            <v>0</v>
          </cell>
          <cell r="Z127">
            <v>0</v>
          </cell>
          <cell r="AA127">
            <v>0</v>
          </cell>
          <cell r="AB127">
            <v>0</v>
          </cell>
          <cell r="AC127">
            <v>0</v>
          </cell>
          <cell r="AD127">
            <v>0</v>
          </cell>
          <cell r="AI127">
            <v>0</v>
          </cell>
          <cell r="AJ127">
            <v>0</v>
          </cell>
          <cell r="AK127">
            <v>0</v>
          </cell>
          <cell r="AL127">
            <v>0</v>
          </cell>
          <cell r="AM127">
            <v>0</v>
          </cell>
          <cell r="AN127">
            <v>0</v>
          </cell>
          <cell r="AO127">
            <v>0</v>
          </cell>
          <cell r="AP127">
            <v>0</v>
          </cell>
          <cell r="AQ127">
            <v>0</v>
          </cell>
          <cell r="AR127">
            <v>0</v>
          </cell>
          <cell r="AW127">
            <v>0</v>
          </cell>
          <cell r="AX127">
            <v>0</v>
          </cell>
          <cell r="AY127">
            <v>0</v>
          </cell>
          <cell r="AZ127">
            <v>0</v>
          </cell>
          <cell r="BA127">
            <v>0</v>
          </cell>
          <cell r="BB127">
            <v>0</v>
          </cell>
          <cell r="BC127">
            <v>0</v>
          </cell>
          <cell r="BD127">
            <v>0</v>
          </cell>
          <cell r="BE127">
            <v>0</v>
          </cell>
          <cell r="BF127">
            <v>0</v>
          </cell>
          <cell r="BK127">
            <v>18000</v>
          </cell>
          <cell r="BL127">
            <v>18000</v>
          </cell>
          <cell r="BM127">
            <v>18000</v>
          </cell>
          <cell r="BN127">
            <v>18000</v>
          </cell>
          <cell r="BO127">
            <v>18000</v>
          </cell>
          <cell r="BP127">
            <v>18000</v>
          </cell>
          <cell r="BQ127">
            <v>18000</v>
          </cell>
          <cell r="BR127">
            <v>18000</v>
          </cell>
          <cell r="BS127">
            <v>18000</v>
          </cell>
          <cell r="BT127">
            <v>18000</v>
          </cell>
          <cell r="BU127">
            <v>0</v>
          </cell>
          <cell r="BV127">
            <v>0</v>
          </cell>
        </row>
        <row r="128">
          <cell r="F128">
            <v>27673880</v>
          </cell>
          <cell r="G128">
            <v>2739848</v>
          </cell>
          <cell r="H128">
            <v>2739848</v>
          </cell>
          <cell r="I128">
            <v>2739848</v>
          </cell>
          <cell r="J128">
            <v>2850008</v>
          </cell>
          <cell r="K128">
            <v>2767388</v>
          </cell>
          <cell r="L128">
            <v>2767388</v>
          </cell>
          <cell r="M128">
            <v>2767388</v>
          </cell>
          <cell r="N128">
            <v>2767388</v>
          </cell>
          <cell r="O128">
            <v>2767388</v>
          </cell>
          <cell r="P128">
            <v>2767388</v>
          </cell>
          <cell r="T128">
            <v>10029150</v>
          </cell>
          <cell r="U128">
            <v>976905</v>
          </cell>
          <cell r="V128">
            <v>976905</v>
          </cell>
          <cell r="W128">
            <v>976905</v>
          </cell>
          <cell r="X128">
            <v>1080945</v>
          </cell>
          <cell r="Y128">
            <v>1002915</v>
          </cell>
          <cell r="Z128">
            <v>1002915</v>
          </cell>
          <cell r="AA128">
            <v>1002915</v>
          </cell>
          <cell r="AB128">
            <v>1002915</v>
          </cell>
          <cell r="AC128">
            <v>1002915</v>
          </cell>
          <cell r="AD128">
            <v>1002915</v>
          </cell>
          <cell r="AI128">
            <v>11093</v>
          </cell>
          <cell r="AJ128">
            <v>11093</v>
          </cell>
          <cell r="AK128">
            <v>11093</v>
          </cell>
          <cell r="AL128">
            <v>11093</v>
          </cell>
          <cell r="AM128">
            <v>11093</v>
          </cell>
          <cell r="AN128">
            <v>11093</v>
          </cell>
          <cell r="AO128">
            <v>11093</v>
          </cell>
          <cell r="AP128">
            <v>11093</v>
          </cell>
          <cell r="AQ128">
            <v>11093</v>
          </cell>
          <cell r="AR128">
            <v>11093</v>
          </cell>
          <cell r="AW128">
            <v>3825</v>
          </cell>
          <cell r="AX128">
            <v>3825</v>
          </cell>
          <cell r="AY128">
            <v>3825</v>
          </cell>
          <cell r="AZ128">
            <v>3825</v>
          </cell>
          <cell r="BA128">
            <v>3825</v>
          </cell>
          <cell r="BB128">
            <v>3825</v>
          </cell>
          <cell r="BC128">
            <v>3825</v>
          </cell>
          <cell r="BD128">
            <v>3825</v>
          </cell>
          <cell r="BE128">
            <v>3825</v>
          </cell>
          <cell r="BF128">
            <v>3825</v>
          </cell>
          <cell r="BK128">
            <v>3731671</v>
          </cell>
          <cell r="BL128">
            <v>3731671</v>
          </cell>
          <cell r="BM128">
            <v>3731671</v>
          </cell>
          <cell r="BN128">
            <v>3945871</v>
          </cell>
          <cell r="BO128">
            <v>3785221</v>
          </cell>
          <cell r="BP128">
            <v>3785221</v>
          </cell>
          <cell r="BQ128">
            <v>3785221</v>
          </cell>
          <cell r="BR128">
            <v>3785221</v>
          </cell>
          <cell r="BS128">
            <v>3785221</v>
          </cell>
          <cell r="BT128">
            <v>3785221</v>
          </cell>
          <cell r="BU128">
            <v>0</v>
          </cell>
          <cell r="BV128">
            <v>0</v>
          </cell>
        </row>
        <row r="129">
          <cell r="F129">
            <v>-29783836</v>
          </cell>
          <cell r="G129">
            <v>-2926508</v>
          </cell>
          <cell r="H129">
            <v>-2926508</v>
          </cell>
          <cell r="I129">
            <v>-2926508</v>
          </cell>
          <cell r="J129">
            <v>-3103223</v>
          </cell>
          <cell r="K129">
            <v>-2970495</v>
          </cell>
          <cell r="L129">
            <v>-2970495</v>
          </cell>
          <cell r="M129">
            <v>-2970495</v>
          </cell>
          <cell r="N129">
            <v>-2970495</v>
          </cell>
          <cell r="O129">
            <v>-2970495</v>
          </cell>
          <cell r="P129">
            <v>-3048614</v>
          </cell>
          <cell r="T129">
            <v>-8387570</v>
          </cell>
          <cell r="U129">
            <v>-787568</v>
          </cell>
          <cell r="V129">
            <v>-787568</v>
          </cell>
          <cell r="W129">
            <v>-787568</v>
          </cell>
          <cell r="X129">
            <v>-939803</v>
          </cell>
          <cell r="Y129">
            <v>-825818</v>
          </cell>
          <cell r="Z129">
            <v>-825818</v>
          </cell>
          <cell r="AA129">
            <v>-825818</v>
          </cell>
          <cell r="AB129">
            <v>-825818</v>
          </cell>
          <cell r="AC129">
            <v>-825818</v>
          </cell>
          <cell r="AD129">
            <v>-955973</v>
          </cell>
          <cell r="AI129">
            <v>-13770</v>
          </cell>
          <cell r="AJ129">
            <v>-13770</v>
          </cell>
          <cell r="AK129">
            <v>-13770</v>
          </cell>
          <cell r="AL129">
            <v>-13770</v>
          </cell>
          <cell r="AM129">
            <v>-13770</v>
          </cell>
          <cell r="AN129">
            <v>-13770</v>
          </cell>
          <cell r="AO129">
            <v>-13770</v>
          </cell>
          <cell r="AP129">
            <v>-13770</v>
          </cell>
          <cell r="AQ129">
            <v>-13770</v>
          </cell>
          <cell r="AR129">
            <v>-26755</v>
          </cell>
          <cell r="AW129">
            <v>-3443</v>
          </cell>
          <cell r="AX129">
            <v>-3443</v>
          </cell>
          <cell r="AY129">
            <v>-3443</v>
          </cell>
          <cell r="AZ129">
            <v>-3443</v>
          </cell>
          <cell r="BA129">
            <v>-3443</v>
          </cell>
          <cell r="BB129">
            <v>-3443</v>
          </cell>
          <cell r="BC129">
            <v>-3443</v>
          </cell>
          <cell r="BD129">
            <v>-3443</v>
          </cell>
          <cell r="BE129">
            <v>-3443</v>
          </cell>
          <cell r="BF129">
            <v>-3443</v>
          </cell>
          <cell r="BK129">
            <v>-3731289</v>
          </cell>
          <cell r="BL129">
            <v>-3731289</v>
          </cell>
          <cell r="BM129">
            <v>-3731289</v>
          </cell>
          <cell r="BN129">
            <v>-4060239</v>
          </cell>
          <cell r="BO129">
            <v>-3813526</v>
          </cell>
          <cell r="BP129">
            <v>-3813526</v>
          </cell>
          <cell r="BQ129">
            <v>-3813526</v>
          </cell>
          <cell r="BR129">
            <v>-3813526</v>
          </cell>
          <cell r="BS129">
            <v>-3813526</v>
          </cell>
          <cell r="BT129">
            <v>-4034785</v>
          </cell>
          <cell r="BU129">
            <v>0</v>
          </cell>
          <cell r="BV129">
            <v>0</v>
          </cell>
        </row>
        <row r="130">
          <cell r="F130">
            <v>-141530</v>
          </cell>
          <cell r="G130">
            <v>-14153</v>
          </cell>
          <cell r="H130">
            <v>-14153</v>
          </cell>
          <cell r="I130">
            <v>-14153</v>
          </cell>
          <cell r="J130">
            <v>-14153</v>
          </cell>
          <cell r="K130">
            <v>-14153</v>
          </cell>
          <cell r="L130">
            <v>-14153</v>
          </cell>
          <cell r="M130">
            <v>-14153</v>
          </cell>
          <cell r="N130">
            <v>-14153</v>
          </cell>
          <cell r="O130">
            <v>-14153</v>
          </cell>
          <cell r="P130">
            <v>-14153</v>
          </cell>
          <cell r="T130">
            <v>0</v>
          </cell>
          <cell r="U130">
            <v>0</v>
          </cell>
          <cell r="V130">
            <v>0</v>
          </cell>
          <cell r="W130">
            <v>0</v>
          </cell>
          <cell r="X130">
            <v>0</v>
          </cell>
          <cell r="Y130">
            <v>0</v>
          </cell>
          <cell r="Z130">
            <v>0</v>
          </cell>
          <cell r="AA130">
            <v>0</v>
          </cell>
          <cell r="AB130">
            <v>0</v>
          </cell>
          <cell r="AC130">
            <v>0</v>
          </cell>
          <cell r="AD130">
            <v>0</v>
          </cell>
          <cell r="AI130">
            <v>0</v>
          </cell>
          <cell r="AJ130">
            <v>0</v>
          </cell>
          <cell r="AK130">
            <v>0</v>
          </cell>
          <cell r="AL130">
            <v>0</v>
          </cell>
          <cell r="AM130">
            <v>0</v>
          </cell>
          <cell r="AN130">
            <v>0</v>
          </cell>
          <cell r="AO130">
            <v>0</v>
          </cell>
          <cell r="AP130">
            <v>0</v>
          </cell>
          <cell r="AQ130">
            <v>0</v>
          </cell>
          <cell r="AR130">
            <v>0</v>
          </cell>
          <cell r="AW130">
            <v>0</v>
          </cell>
          <cell r="AX130">
            <v>0</v>
          </cell>
          <cell r="AY130">
            <v>0</v>
          </cell>
          <cell r="AZ130">
            <v>0</v>
          </cell>
          <cell r="BA130">
            <v>0</v>
          </cell>
          <cell r="BB130">
            <v>0</v>
          </cell>
          <cell r="BC130">
            <v>0</v>
          </cell>
          <cell r="BD130">
            <v>0</v>
          </cell>
          <cell r="BE130">
            <v>0</v>
          </cell>
          <cell r="BF130">
            <v>0</v>
          </cell>
          <cell r="BK130">
            <v>-14153</v>
          </cell>
          <cell r="BL130">
            <v>-14153</v>
          </cell>
          <cell r="BM130">
            <v>-14153</v>
          </cell>
          <cell r="BN130">
            <v>-14153</v>
          </cell>
          <cell r="BO130">
            <v>-14153</v>
          </cell>
          <cell r="BP130">
            <v>-14153</v>
          </cell>
          <cell r="BQ130">
            <v>-14153</v>
          </cell>
          <cell r="BR130">
            <v>-14153</v>
          </cell>
          <cell r="BS130">
            <v>-14153</v>
          </cell>
          <cell r="BT130">
            <v>-14153</v>
          </cell>
          <cell r="BU130">
            <v>0</v>
          </cell>
          <cell r="BV130">
            <v>0</v>
          </cell>
        </row>
        <row r="131">
          <cell r="F131">
            <v>-77840</v>
          </cell>
          <cell r="G131">
            <v>-7784</v>
          </cell>
          <cell r="H131">
            <v>-7784</v>
          </cell>
          <cell r="I131">
            <v>-7784</v>
          </cell>
          <cell r="J131">
            <v>-7784</v>
          </cell>
          <cell r="K131">
            <v>-7784</v>
          </cell>
          <cell r="L131">
            <v>-7784</v>
          </cell>
          <cell r="M131">
            <v>-7784</v>
          </cell>
          <cell r="N131">
            <v>-7784</v>
          </cell>
          <cell r="O131">
            <v>-7784</v>
          </cell>
          <cell r="P131">
            <v>-7784</v>
          </cell>
          <cell r="T131">
            <v>-63690</v>
          </cell>
          <cell r="U131">
            <v>-6369</v>
          </cell>
          <cell r="V131">
            <v>-6369</v>
          </cell>
          <cell r="W131">
            <v>-6369</v>
          </cell>
          <cell r="X131">
            <v>-6369</v>
          </cell>
          <cell r="Y131">
            <v>-6369</v>
          </cell>
          <cell r="Z131">
            <v>-6369</v>
          </cell>
          <cell r="AA131">
            <v>-6369</v>
          </cell>
          <cell r="AB131">
            <v>-6369</v>
          </cell>
          <cell r="AC131">
            <v>-6369</v>
          </cell>
          <cell r="AD131">
            <v>-6369</v>
          </cell>
          <cell r="AI131">
            <v>0</v>
          </cell>
          <cell r="AJ131">
            <v>0</v>
          </cell>
          <cell r="AK131">
            <v>0</v>
          </cell>
          <cell r="AL131">
            <v>0</v>
          </cell>
          <cell r="AM131">
            <v>0</v>
          </cell>
          <cell r="AN131">
            <v>0</v>
          </cell>
          <cell r="AO131">
            <v>0</v>
          </cell>
          <cell r="AP131">
            <v>0</v>
          </cell>
          <cell r="AQ131">
            <v>0</v>
          </cell>
          <cell r="AR131">
            <v>0</v>
          </cell>
          <cell r="AW131">
            <v>0</v>
          </cell>
          <cell r="AX131">
            <v>0</v>
          </cell>
          <cell r="AY131">
            <v>0</v>
          </cell>
          <cell r="AZ131">
            <v>0</v>
          </cell>
          <cell r="BA131">
            <v>0</v>
          </cell>
          <cell r="BB131">
            <v>0</v>
          </cell>
          <cell r="BC131">
            <v>0</v>
          </cell>
          <cell r="BD131">
            <v>0</v>
          </cell>
          <cell r="BE131">
            <v>0</v>
          </cell>
          <cell r="BF131">
            <v>0</v>
          </cell>
          <cell r="BK131">
            <v>-14153</v>
          </cell>
          <cell r="BL131">
            <v>-14153</v>
          </cell>
          <cell r="BM131">
            <v>-14153</v>
          </cell>
          <cell r="BN131">
            <v>-14153</v>
          </cell>
          <cell r="BO131">
            <v>-14153</v>
          </cell>
          <cell r="BP131">
            <v>-14153</v>
          </cell>
          <cell r="BQ131">
            <v>-14153</v>
          </cell>
          <cell r="BR131">
            <v>-14153</v>
          </cell>
          <cell r="BS131">
            <v>-14153</v>
          </cell>
          <cell r="BT131">
            <v>-14153</v>
          </cell>
          <cell r="BU131">
            <v>0</v>
          </cell>
          <cell r="BV131">
            <v>0</v>
          </cell>
        </row>
        <row r="132">
          <cell r="F132">
            <v>0</v>
          </cell>
          <cell r="G132">
            <v>0</v>
          </cell>
          <cell r="H132">
            <v>0</v>
          </cell>
          <cell r="I132">
            <v>0</v>
          </cell>
          <cell r="J132">
            <v>0</v>
          </cell>
          <cell r="K132">
            <v>0</v>
          </cell>
          <cell r="L132">
            <v>0</v>
          </cell>
          <cell r="M132">
            <v>0</v>
          </cell>
          <cell r="N132">
            <v>0</v>
          </cell>
          <cell r="O132">
            <v>0</v>
          </cell>
          <cell r="P132">
            <v>0</v>
          </cell>
          <cell r="T132">
            <v>0</v>
          </cell>
          <cell r="U132">
            <v>0</v>
          </cell>
          <cell r="V132">
            <v>0</v>
          </cell>
          <cell r="W132">
            <v>0</v>
          </cell>
          <cell r="X132">
            <v>0</v>
          </cell>
          <cell r="Y132">
            <v>0</v>
          </cell>
          <cell r="Z132">
            <v>0</v>
          </cell>
          <cell r="AA132">
            <v>0</v>
          </cell>
          <cell r="AB132">
            <v>0</v>
          </cell>
          <cell r="AC132">
            <v>0</v>
          </cell>
          <cell r="AD132">
            <v>0</v>
          </cell>
          <cell r="AI132">
            <v>0</v>
          </cell>
          <cell r="AJ132">
            <v>0</v>
          </cell>
          <cell r="AK132">
            <v>0</v>
          </cell>
          <cell r="AL132">
            <v>0</v>
          </cell>
          <cell r="AM132">
            <v>0</v>
          </cell>
          <cell r="AN132">
            <v>0</v>
          </cell>
          <cell r="AO132">
            <v>0</v>
          </cell>
          <cell r="AP132">
            <v>0</v>
          </cell>
          <cell r="AQ132">
            <v>0</v>
          </cell>
          <cell r="AR132">
            <v>0</v>
          </cell>
          <cell r="AW132">
            <v>-3443</v>
          </cell>
          <cell r="AX132">
            <v>-3443</v>
          </cell>
          <cell r="AY132">
            <v>-3443</v>
          </cell>
          <cell r="AZ132">
            <v>10329</v>
          </cell>
          <cell r="BA132">
            <v>0</v>
          </cell>
          <cell r="BB132">
            <v>0</v>
          </cell>
          <cell r="BC132">
            <v>0</v>
          </cell>
          <cell r="BD132">
            <v>0</v>
          </cell>
          <cell r="BE132">
            <v>0</v>
          </cell>
          <cell r="BF132">
            <v>0</v>
          </cell>
          <cell r="BK132">
            <v>-3443</v>
          </cell>
          <cell r="BL132">
            <v>-3443</v>
          </cell>
          <cell r="BM132">
            <v>-3443</v>
          </cell>
          <cell r="BN132">
            <v>10329</v>
          </cell>
          <cell r="BO132">
            <v>0</v>
          </cell>
          <cell r="BP132">
            <v>0</v>
          </cell>
          <cell r="BQ132">
            <v>0</v>
          </cell>
          <cell r="BR132">
            <v>0</v>
          </cell>
          <cell r="BS132">
            <v>0</v>
          </cell>
          <cell r="BT132">
            <v>0</v>
          </cell>
          <cell r="BU132">
            <v>0</v>
          </cell>
          <cell r="BV132">
            <v>0</v>
          </cell>
        </row>
        <row r="133">
          <cell r="F133">
            <v>0</v>
          </cell>
          <cell r="G133">
            <v>0</v>
          </cell>
          <cell r="H133">
            <v>0</v>
          </cell>
          <cell r="I133">
            <v>0</v>
          </cell>
          <cell r="J133">
            <v>0</v>
          </cell>
          <cell r="K133">
            <v>0</v>
          </cell>
          <cell r="L133">
            <v>0</v>
          </cell>
          <cell r="M133">
            <v>0</v>
          </cell>
          <cell r="N133">
            <v>0</v>
          </cell>
          <cell r="O133">
            <v>0</v>
          </cell>
          <cell r="P133">
            <v>0</v>
          </cell>
          <cell r="T133">
            <v>0</v>
          </cell>
          <cell r="U133">
            <v>0</v>
          </cell>
          <cell r="V133">
            <v>0</v>
          </cell>
          <cell r="W133">
            <v>0</v>
          </cell>
          <cell r="X133">
            <v>0</v>
          </cell>
          <cell r="Y133">
            <v>0</v>
          </cell>
          <cell r="Z133">
            <v>0</v>
          </cell>
          <cell r="AA133">
            <v>0</v>
          </cell>
          <cell r="AB133">
            <v>0</v>
          </cell>
          <cell r="AC133">
            <v>0</v>
          </cell>
          <cell r="AD133">
            <v>0</v>
          </cell>
          <cell r="AI133">
            <v>0</v>
          </cell>
          <cell r="AJ133">
            <v>0</v>
          </cell>
          <cell r="AK133">
            <v>0</v>
          </cell>
          <cell r="AL133">
            <v>0</v>
          </cell>
          <cell r="AM133">
            <v>0</v>
          </cell>
          <cell r="AN133">
            <v>0</v>
          </cell>
          <cell r="AO133">
            <v>0</v>
          </cell>
          <cell r="AP133">
            <v>0</v>
          </cell>
          <cell r="AQ133">
            <v>0</v>
          </cell>
          <cell r="AR133">
            <v>0</v>
          </cell>
          <cell r="AW133">
            <v>0</v>
          </cell>
          <cell r="AX133">
            <v>0</v>
          </cell>
          <cell r="AY133">
            <v>0</v>
          </cell>
          <cell r="AZ133">
            <v>0</v>
          </cell>
          <cell r="BA133">
            <v>0</v>
          </cell>
          <cell r="BB133">
            <v>0</v>
          </cell>
          <cell r="BC133">
            <v>0</v>
          </cell>
          <cell r="BD133">
            <v>0</v>
          </cell>
          <cell r="BE133">
            <v>0</v>
          </cell>
          <cell r="BF133">
            <v>0</v>
          </cell>
          <cell r="BK133">
            <v>0</v>
          </cell>
          <cell r="BL133">
            <v>0</v>
          </cell>
          <cell r="BM133">
            <v>0</v>
          </cell>
          <cell r="BN133">
            <v>0</v>
          </cell>
          <cell r="BO133">
            <v>0</v>
          </cell>
          <cell r="BP133">
            <v>0</v>
          </cell>
          <cell r="BQ133">
            <v>0</v>
          </cell>
          <cell r="BR133">
            <v>0</v>
          </cell>
          <cell r="BS133">
            <v>0</v>
          </cell>
          <cell r="BT133">
            <v>0</v>
          </cell>
          <cell r="BU133">
            <v>0</v>
          </cell>
          <cell r="BV133">
            <v>0</v>
          </cell>
        </row>
        <row r="134">
          <cell r="F134">
            <v>-1785721</v>
          </cell>
          <cell r="G134">
            <v>-185313</v>
          </cell>
          <cell r="H134">
            <v>-191538</v>
          </cell>
          <cell r="I134">
            <v>-167771</v>
          </cell>
          <cell r="J134">
            <v>-180498</v>
          </cell>
          <cell r="K134">
            <v>-176191</v>
          </cell>
          <cell r="L134">
            <v>-164859</v>
          </cell>
          <cell r="M134">
            <v>-208878</v>
          </cell>
          <cell r="N134">
            <v>-173478</v>
          </cell>
          <cell r="O134">
            <v>-165621</v>
          </cell>
          <cell r="P134">
            <v>-171574</v>
          </cell>
          <cell r="T134">
            <v>-962418</v>
          </cell>
          <cell r="U134">
            <v>-102282</v>
          </cell>
          <cell r="V134">
            <v>-105410</v>
          </cell>
          <cell r="W134">
            <v>-92550</v>
          </cell>
          <cell r="X134">
            <v>-99552</v>
          </cell>
          <cell r="Y134">
            <v>-97089</v>
          </cell>
          <cell r="Z134">
            <v>-89221</v>
          </cell>
          <cell r="AA134">
            <v>-99321</v>
          </cell>
          <cell r="AB134">
            <v>-93278</v>
          </cell>
          <cell r="AC134">
            <v>-91371</v>
          </cell>
          <cell r="AD134">
            <v>-92344</v>
          </cell>
          <cell r="AI134">
            <v>-477</v>
          </cell>
          <cell r="AJ134">
            <v>-489</v>
          </cell>
          <cell r="AK134">
            <v>-445</v>
          </cell>
          <cell r="AL134">
            <v>-470</v>
          </cell>
          <cell r="AM134">
            <v>-463</v>
          </cell>
          <cell r="AN134">
            <v>-414</v>
          </cell>
          <cell r="AO134">
            <v>72</v>
          </cell>
          <cell r="AP134">
            <v>-373</v>
          </cell>
          <cell r="AQ134">
            <v>-439</v>
          </cell>
          <cell r="AR134">
            <v>-370</v>
          </cell>
          <cell r="AW134">
            <v>0</v>
          </cell>
          <cell r="AX134">
            <v>0</v>
          </cell>
          <cell r="AY134">
            <v>0</v>
          </cell>
          <cell r="AZ134">
            <v>0</v>
          </cell>
          <cell r="BA134">
            <v>0</v>
          </cell>
          <cell r="BB134">
            <v>0</v>
          </cell>
          <cell r="BC134">
            <v>0</v>
          </cell>
          <cell r="BD134">
            <v>0</v>
          </cell>
          <cell r="BE134">
            <v>0</v>
          </cell>
          <cell r="BF134">
            <v>0</v>
          </cell>
          <cell r="BK134">
            <v>-288072</v>
          </cell>
          <cell r="BL134">
            <v>-297437</v>
          </cell>
          <cell r="BM134">
            <v>-260766</v>
          </cell>
          <cell r="BN134">
            <v>-280520</v>
          </cell>
          <cell r="BO134">
            <v>-273743</v>
          </cell>
          <cell r="BP134">
            <v>-254494</v>
          </cell>
          <cell r="BQ134">
            <v>-308127</v>
          </cell>
          <cell r="BR134">
            <v>-267129</v>
          </cell>
          <cell r="BS134">
            <v>-257431</v>
          </cell>
          <cell r="BT134">
            <v>-264288</v>
          </cell>
          <cell r="BU134">
            <v>0</v>
          </cell>
          <cell r="BV134">
            <v>0</v>
          </cell>
        </row>
        <row r="135">
          <cell r="F135">
            <v>4101</v>
          </cell>
          <cell r="G135">
            <v>485</v>
          </cell>
          <cell r="H135">
            <v>485</v>
          </cell>
          <cell r="I135">
            <v>485</v>
          </cell>
          <cell r="J135">
            <v>378</v>
          </cell>
          <cell r="K135">
            <v>378</v>
          </cell>
          <cell r="L135">
            <v>378</v>
          </cell>
          <cell r="M135">
            <v>378</v>
          </cell>
          <cell r="N135">
            <v>378</v>
          </cell>
          <cell r="O135">
            <v>378</v>
          </cell>
          <cell r="P135">
            <v>378</v>
          </cell>
          <cell r="T135">
            <v>-42820</v>
          </cell>
          <cell r="U135">
            <v>-4282</v>
          </cell>
          <cell r="V135">
            <v>-4282</v>
          </cell>
          <cell r="W135">
            <v>-4282</v>
          </cell>
          <cell r="X135">
            <v>-4282</v>
          </cell>
          <cell r="Y135">
            <v>-4282</v>
          </cell>
          <cell r="Z135">
            <v>-4282</v>
          </cell>
          <cell r="AA135">
            <v>-4282</v>
          </cell>
          <cell r="AB135">
            <v>-4282</v>
          </cell>
          <cell r="AC135">
            <v>-4282</v>
          </cell>
          <cell r="AD135">
            <v>-4282</v>
          </cell>
          <cell r="AI135">
            <v>0</v>
          </cell>
          <cell r="AJ135">
            <v>0</v>
          </cell>
          <cell r="AK135">
            <v>0</v>
          </cell>
          <cell r="AL135">
            <v>0</v>
          </cell>
          <cell r="AM135">
            <v>0</v>
          </cell>
          <cell r="AN135">
            <v>0</v>
          </cell>
          <cell r="AO135">
            <v>0</v>
          </cell>
          <cell r="AP135">
            <v>0</v>
          </cell>
          <cell r="AQ135">
            <v>0</v>
          </cell>
          <cell r="AR135">
            <v>0</v>
          </cell>
          <cell r="AW135">
            <v>0</v>
          </cell>
          <cell r="AX135">
            <v>0</v>
          </cell>
          <cell r="AY135">
            <v>0</v>
          </cell>
          <cell r="AZ135">
            <v>0</v>
          </cell>
          <cell r="BA135">
            <v>0</v>
          </cell>
          <cell r="BB135">
            <v>0</v>
          </cell>
          <cell r="BC135">
            <v>0</v>
          </cell>
          <cell r="BD135">
            <v>0</v>
          </cell>
          <cell r="BE135">
            <v>0</v>
          </cell>
          <cell r="BF135">
            <v>0</v>
          </cell>
          <cell r="BK135">
            <v>-3797</v>
          </cell>
          <cell r="BL135">
            <v>-3797</v>
          </cell>
          <cell r="BM135">
            <v>-3797</v>
          </cell>
          <cell r="BN135">
            <v>-3904</v>
          </cell>
          <cell r="BO135">
            <v>-3904</v>
          </cell>
          <cell r="BP135">
            <v>-3904</v>
          </cell>
          <cell r="BQ135">
            <v>-3904</v>
          </cell>
          <cell r="BR135">
            <v>-3904</v>
          </cell>
          <cell r="BS135">
            <v>-3904</v>
          </cell>
          <cell r="BT135">
            <v>-3904</v>
          </cell>
          <cell r="BU135">
            <v>0</v>
          </cell>
          <cell r="BV135">
            <v>0</v>
          </cell>
        </row>
        <row r="136">
          <cell r="F136">
            <v>1157551</v>
          </cell>
          <cell r="G136">
            <v>73607</v>
          </cell>
          <cell r="H136">
            <v>73734</v>
          </cell>
          <cell r="I136">
            <v>110863</v>
          </cell>
          <cell r="J136">
            <v>32672</v>
          </cell>
          <cell r="K136">
            <v>167526</v>
          </cell>
          <cell r="L136">
            <v>111954</v>
          </cell>
          <cell r="M136">
            <v>157418</v>
          </cell>
          <cell r="N136">
            <v>74490</v>
          </cell>
          <cell r="O136">
            <v>242389</v>
          </cell>
          <cell r="P136">
            <v>112898</v>
          </cell>
          <cell r="T136">
            <v>394254</v>
          </cell>
          <cell r="U136">
            <v>41861</v>
          </cell>
          <cell r="V136">
            <v>41793</v>
          </cell>
          <cell r="W136">
            <v>75833</v>
          </cell>
          <cell r="X136">
            <v>30028</v>
          </cell>
          <cell r="Y136">
            <v>33526</v>
          </cell>
          <cell r="Z136">
            <v>30915</v>
          </cell>
          <cell r="AA136">
            <v>38064</v>
          </cell>
          <cell r="AB136">
            <v>26819</v>
          </cell>
          <cell r="AC136">
            <v>32952</v>
          </cell>
          <cell r="AD136">
            <v>42463</v>
          </cell>
          <cell r="AI136">
            <v>0</v>
          </cell>
          <cell r="AJ136">
            <v>6622</v>
          </cell>
          <cell r="AK136">
            <v>347</v>
          </cell>
          <cell r="AL136">
            <v>0</v>
          </cell>
          <cell r="AM136">
            <v>0</v>
          </cell>
          <cell r="AN136">
            <v>383</v>
          </cell>
          <cell r="AO136">
            <v>0</v>
          </cell>
          <cell r="AP136">
            <v>1148</v>
          </cell>
          <cell r="AQ136">
            <v>0</v>
          </cell>
          <cell r="AR136">
            <v>0</v>
          </cell>
          <cell r="AW136">
            <v>0</v>
          </cell>
          <cell r="AX136">
            <v>0</v>
          </cell>
          <cell r="AY136">
            <v>0</v>
          </cell>
          <cell r="AZ136">
            <v>0</v>
          </cell>
          <cell r="BA136">
            <v>0</v>
          </cell>
          <cell r="BB136">
            <v>0</v>
          </cell>
          <cell r="BC136">
            <v>0</v>
          </cell>
          <cell r="BD136">
            <v>0</v>
          </cell>
          <cell r="BE136">
            <v>0</v>
          </cell>
          <cell r="BF136">
            <v>0</v>
          </cell>
          <cell r="BK136">
            <v>115468</v>
          </cell>
          <cell r="BL136">
            <v>122149</v>
          </cell>
          <cell r="BM136">
            <v>187043</v>
          </cell>
          <cell r="BN136">
            <v>62700</v>
          </cell>
          <cell r="BO136">
            <v>201052</v>
          </cell>
          <cell r="BP136">
            <v>143252</v>
          </cell>
          <cell r="BQ136">
            <v>195482</v>
          </cell>
          <cell r="BR136">
            <v>102457</v>
          </cell>
          <cell r="BS136">
            <v>275341</v>
          </cell>
          <cell r="BT136">
            <v>155361</v>
          </cell>
          <cell r="BU136">
            <v>0</v>
          </cell>
          <cell r="BV136">
            <v>0</v>
          </cell>
        </row>
        <row r="137">
          <cell r="F137">
            <v>-7039947</v>
          </cell>
          <cell r="G137">
            <v>-365695</v>
          </cell>
          <cell r="H137">
            <v>-734880</v>
          </cell>
          <cell r="I137">
            <v>-589725</v>
          </cell>
          <cell r="J137">
            <v>-666061</v>
          </cell>
          <cell r="K137">
            <v>-910700</v>
          </cell>
          <cell r="L137">
            <v>-772167</v>
          </cell>
          <cell r="M137">
            <v>-913504</v>
          </cell>
          <cell r="N137">
            <v>-695692</v>
          </cell>
          <cell r="O137">
            <v>-511111</v>
          </cell>
          <cell r="P137">
            <v>-880412</v>
          </cell>
          <cell r="T137">
            <v>-2390772</v>
          </cell>
          <cell r="U137">
            <v>-43220</v>
          </cell>
          <cell r="V137">
            <v>-81561</v>
          </cell>
          <cell r="W137">
            <v>-378377</v>
          </cell>
          <cell r="X137">
            <v>-148606</v>
          </cell>
          <cell r="Y137">
            <v>-233541</v>
          </cell>
          <cell r="Z137">
            <v>-261744</v>
          </cell>
          <cell r="AA137">
            <v>-350255</v>
          </cell>
          <cell r="AB137">
            <v>-281455</v>
          </cell>
          <cell r="AC137">
            <v>-235436</v>
          </cell>
          <cell r="AD137">
            <v>-376577</v>
          </cell>
          <cell r="AI137">
            <v>0</v>
          </cell>
          <cell r="AJ137">
            <v>0</v>
          </cell>
          <cell r="AK137">
            <v>0</v>
          </cell>
          <cell r="AL137">
            <v>0</v>
          </cell>
          <cell r="AM137">
            <v>0</v>
          </cell>
          <cell r="AN137">
            <v>0</v>
          </cell>
          <cell r="AO137">
            <v>0</v>
          </cell>
          <cell r="AP137">
            <v>0</v>
          </cell>
          <cell r="AQ137">
            <v>0</v>
          </cell>
          <cell r="AR137">
            <v>0</v>
          </cell>
          <cell r="AW137">
            <v>0</v>
          </cell>
          <cell r="AX137">
            <v>0</v>
          </cell>
          <cell r="AY137">
            <v>0</v>
          </cell>
          <cell r="AZ137">
            <v>0</v>
          </cell>
          <cell r="BA137">
            <v>0</v>
          </cell>
          <cell r="BB137">
            <v>0</v>
          </cell>
          <cell r="BC137">
            <v>0</v>
          </cell>
          <cell r="BD137">
            <v>0</v>
          </cell>
          <cell r="BE137">
            <v>0</v>
          </cell>
          <cell r="BF137">
            <v>0</v>
          </cell>
          <cell r="BK137">
            <v>-408915</v>
          </cell>
          <cell r="BL137">
            <v>-816441</v>
          </cell>
          <cell r="BM137">
            <v>-968102</v>
          </cell>
          <cell r="BN137">
            <v>-814667</v>
          </cell>
          <cell r="BO137">
            <v>-1144241</v>
          </cell>
          <cell r="BP137">
            <v>-1033911</v>
          </cell>
          <cell r="BQ137">
            <v>-1263759</v>
          </cell>
          <cell r="BR137">
            <v>-977147</v>
          </cell>
          <cell r="BS137">
            <v>-746547</v>
          </cell>
          <cell r="BT137">
            <v>-1256989</v>
          </cell>
          <cell r="BU137">
            <v>0</v>
          </cell>
          <cell r="BV137">
            <v>0</v>
          </cell>
        </row>
        <row r="138">
          <cell r="F138">
            <v>0</v>
          </cell>
          <cell r="G138">
            <v>0</v>
          </cell>
          <cell r="H138">
            <v>0</v>
          </cell>
          <cell r="I138">
            <v>0</v>
          </cell>
          <cell r="J138">
            <v>0</v>
          </cell>
          <cell r="K138">
            <v>0</v>
          </cell>
          <cell r="L138">
            <v>0</v>
          </cell>
          <cell r="M138">
            <v>0</v>
          </cell>
          <cell r="N138">
            <v>0</v>
          </cell>
          <cell r="O138">
            <v>0</v>
          </cell>
          <cell r="P138">
            <v>0</v>
          </cell>
          <cell r="T138">
            <v>0</v>
          </cell>
          <cell r="U138">
            <v>0</v>
          </cell>
          <cell r="V138">
            <v>0</v>
          </cell>
          <cell r="W138">
            <v>0</v>
          </cell>
          <cell r="X138">
            <v>0</v>
          </cell>
          <cell r="Y138">
            <v>0</v>
          </cell>
          <cell r="Z138">
            <v>0</v>
          </cell>
          <cell r="AA138">
            <v>0</v>
          </cell>
          <cell r="AB138">
            <v>0</v>
          </cell>
          <cell r="AC138">
            <v>0</v>
          </cell>
          <cell r="AD138">
            <v>0</v>
          </cell>
          <cell r="AI138">
            <v>0</v>
          </cell>
          <cell r="AJ138">
            <v>0</v>
          </cell>
          <cell r="AK138">
            <v>0</v>
          </cell>
          <cell r="AL138">
            <v>0</v>
          </cell>
          <cell r="AM138">
            <v>0</v>
          </cell>
          <cell r="AN138">
            <v>0</v>
          </cell>
          <cell r="AO138">
            <v>0</v>
          </cell>
          <cell r="AP138">
            <v>0</v>
          </cell>
          <cell r="AQ138">
            <v>0</v>
          </cell>
          <cell r="AR138">
            <v>0</v>
          </cell>
          <cell r="AW138">
            <v>0</v>
          </cell>
          <cell r="AX138">
            <v>0</v>
          </cell>
          <cell r="AY138">
            <v>0</v>
          </cell>
          <cell r="AZ138">
            <v>0</v>
          </cell>
          <cell r="BA138">
            <v>0</v>
          </cell>
          <cell r="BB138">
            <v>0</v>
          </cell>
          <cell r="BC138">
            <v>0</v>
          </cell>
          <cell r="BD138">
            <v>0</v>
          </cell>
          <cell r="BE138">
            <v>0</v>
          </cell>
          <cell r="BF138">
            <v>0</v>
          </cell>
          <cell r="BK138">
            <v>0</v>
          </cell>
          <cell r="BL138">
            <v>0</v>
          </cell>
          <cell r="BM138">
            <v>0</v>
          </cell>
          <cell r="BN138">
            <v>0</v>
          </cell>
          <cell r="BO138">
            <v>0</v>
          </cell>
          <cell r="BP138">
            <v>0</v>
          </cell>
          <cell r="BQ138">
            <v>0</v>
          </cell>
          <cell r="BR138">
            <v>0</v>
          </cell>
          <cell r="BS138">
            <v>0</v>
          </cell>
          <cell r="BT138">
            <v>0</v>
          </cell>
          <cell r="BU138">
            <v>0</v>
          </cell>
          <cell r="BV138">
            <v>0</v>
          </cell>
        </row>
        <row r="139">
          <cell r="F139">
            <v>-1511415</v>
          </cell>
          <cell r="G139">
            <v>-54614</v>
          </cell>
          <cell r="H139">
            <v>-91847</v>
          </cell>
          <cell r="I139">
            <v>-115377</v>
          </cell>
          <cell r="J139">
            <v>-160859</v>
          </cell>
          <cell r="K139">
            <v>-130482</v>
          </cell>
          <cell r="L139">
            <v>-225041</v>
          </cell>
          <cell r="M139">
            <v>-224859</v>
          </cell>
          <cell r="N139">
            <v>-169599</v>
          </cell>
          <cell r="O139">
            <v>-182434</v>
          </cell>
          <cell r="P139">
            <v>-156303</v>
          </cell>
          <cell r="T139">
            <v>-463650</v>
          </cell>
          <cell r="U139">
            <v>-22949</v>
          </cell>
          <cell r="V139">
            <v>-25521</v>
          </cell>
          <cell r="W139">
            <v>-54747</v>
          </cell>
          <cell r="X139">
            <v>-39116</v>
          </cell>
          <cell r="Y139">
            <v>-22471</v>
          </cell>
          <cell r="Z139">
            <v>-51839</v>
          </cell>
          <cell r="AA139">
            <v>-53477</v>
          </cell>
          <cell r="AB139">
            <v>-59453</v>
          </cell>
          <cell r="AC139">
            <v>-68814</v>
          </cell>
          <cell r="AD139">
            <v>-65263</v>
          </cell>
          <cell r="AI139">
            <v>0</v>
          </cell>
          <cell r="AJ139">
            <v>-1</v>
          </cell>
          <cell r="AK139">
            <v>-33</v>
          </cell>
          <cell r="AL139">
            <v>-33</v>
          </cell>
          <cell r="AM139">
            <v>-255</v>
          </cell>
          <cell r="AN139">
            <v>-130</v>
          </cell>
          <cell r="AO139">
            <v>-108</v>
          </cell>
          <cell r="AP139">
            <v>-453</v>
          </cell>
          <cell r="AQ139">
            <v>-778</v>
          </cell>
          <cell r="AR139">
            <v>-239</v>
          </cell>
          <cell r="AW139">
            <v>0</v>
          </cell>
          <cell r="AX139">
            <v>0</v>
          </cell>
          <cell r="AY139">
            <v>0</v>
          </cell>
          <cell r="AZ139">
            <v>0</v>
          </cell>
          <cell r="BA139">
            <v>0</v>
          </cell>
          <cell r="BB139">
            <v>0</v>
          </cell>
          <cell r="BC139">
            <v>0</v>
          </cell>
          <cell r="BD139">
            <v>0</v>
          </cell>
          <cell r="BE139">
            <v>0</v>
          </cell>
          <cell r="BF139">
            <v>0</v>
          </cell>
          <cell r="BK139">
            <v>-77563</v>
          </cell>
          <cell r="BL139">
            <v>-117369</v>
          </cell>
          <cell r="BM139">
            <v>-170157</v>
          </cell>
          <cell r="BN139">
            <v>-200008</v>
          </cell>
          <cell r="BO139">
            <v>-153208</v>
          </cell>
          <cell r="BP139">
            <v>-277010</v>
          </cell>
          <cell r="BQ139">
            <v>-278444</v>
          </cell>
          <cell r="BR139">
            <v>-229505</v>
          </cell>
          <cell r="BS139">
            <v>-252026</v>
          </cell>
          <cell r="BT139">
            <v>-221805</v>
          </cell>
          <cell r="BU139">
            <v>0</v>
          </cell>
          <cell r="BV139">
            <v>0</v>
          </cell>
        </row>
        <row r="140">
          <cell r="F140">
            <v>0</v>
          </cell>
          <cell r="G140">
            <v>0</v>
          </cell>
          <cell r="H140">
            <v>0</v>
          </cell>
          <cell r="I140">
            <v>0</v>
          </cell>
          <cell r="J140">
            <v>0</v>
          </cell>
          <cell r="K140">
            <v>0</v>
          </cell>
          <cell r="L140">
            <v>0</v>
          </cell>
          <cell r="M140">
            <v>0</v>
          </cell>
          <cell r="N140">
            <v>0</v>
          </cell>
          <cell r="O140">
            <v>0</v>
          </cell>
          <cell r="P140">
            <v>0</v>
          </cell>
          <cell r="T140">
            <v>0</v>
          </cell>
          <cell r="U140">
            <v>0</v>
          </cell>
          <cell r="V140">
            <v>0</v>
          </cell>
          <cell r="W140">
            <v>0</v>
          </cell>
          <cell r="X140">
            <v>0</v>
          </cell>
          <cell r="Y140">
            <v>0</v>
          </cell>
          <cell r="Z140">
            <v>0</v>
          </cell>
          <cell r="AA140">
            <v>0</v>
          </cell>
          <cell r="AB140">
            <v>0</v>
          </cell>
          <cell r="AC140">
            <v>0</v>
          </cell>
          <cell r="AD140">
            <v>0</v>
          </cell>
          <cell r="AI140">
            <v>0</v>
          </cell>
          <cell r="AJ140">
            <v>0</v>
          </cell>
          <cell r="AK140">
            <v>0</v>
          </cell>
          <cell r="AL140">
            <v>0</v>
          </cell>
          <cell r="AM140">
            <v>0</v>
          </cell>
          <cell r="AN140">
            <v>0</v>
          </cell>
          <cell r="AO140">
            <v>0</v>
          </cell>
          <cell r="AP140">
            <v>0</v>
          </cell>
          <cell r="AQ140">
            <v>0</v>
          </cell>
          <cell r="AR140">
            <v>0</v>
          </cell>
          <cell r="AW140">
            <v>61</v>
          </cell>
          <cell r="AX140">
            <v>61</v>
          </cell>
          <cell r="AY140">
            <v>61</v>
          </cell>
          <cell r="AZ140">
            <v>61</v>
          </cell>
          <cell r="BA140">
            <v>61</v>
          </cell>
          <cell r="BB140">
            <v>61</v>
          </cell>
          <cell r="BC140">
            <v>61</v>
          </cell>
          <cell r="BD140">
            <v>61</v>
          </cell>
          <cell r="BE140">
            <v>61</v>
          </cell>
          <cell r="BF140">
            <v>61</v>
          </cell>
          <cell r="BK140">
            <v>61</v>
          </cell>
          <cell r="BL140">
            <v>61</v>
          </cell>
          <cell r="BM140">
            <v>61</v>
          </cell>
          <cell r="BN140">
            <v>61</v>
          </cell>
          <cell r="BO140">
            <v>61</v>
          </cell>
          <cell r="BP140">
            <v>61</v>
          </cell>
          <cell r="BQ140">
            <v>61</v>
          </cell>
          <cell r="BR140">
            <v>61</v>
          </cell>
          <cell r="BS140">
            <v>61</v>
          </cell>
          <cell r="BT140">
            <v>61</v>
          </cell>
          <cell r="BU140">
            <v>0</v>
          </cell>
          <cell r="BV140">
            <v>0</v>
          </cell>
        </row>
        <row r="141">
          <cell r="F141">
            <v>3584687</v>
          </cell>
          <cell r="G141">
            <v>323083</v>
          </cell>
          <cell r="H141">
            <v>315554</v>
          </cell>
          <cell r="I141">
            <v>360504</v>
          </cell>
          <cell r="J141">
            <v>305587</v>
          </cell>
          <cell r="K141">
            <v>281852</v>
          </cell>
          <cell r="L141">
            <v>350897</v>
          </cell>
          <cell r="M141">
            <v>366821</v>
          </cell>
          <cell r="N141">
            <v>562120</v>
          </cell>
          <cell r="O141">
            <v>311169</v>
          </cell>
          <cell r="P141">
            <v>407100</v>
          </cell>
          <cell r="T141">
            <v>2291848</v>
          </cell>
          <cell r="U141">
            <v>206561</v>
          </cell>
          <cell r="V141">
            <v>201747</v>
          </cell>
          <cell r="W141">
            <v>230486</v>
          </cell>
          <cell r="X141">
            <v>195375</v>
          </cell>
          <cell r="Y141">
            <v>180201</v>
          </cell>
          <cell r="Z141">
            <v>224344</v>
          </cell>
          <cell r="AA141">
            <v>234525</v>
          </cell>
          <cell r="AB141">
            <v>359388</v>
          </cell>
          <cell r="AC141">
            <v>198944</v>
          </cell>
          <cell r="AD141">
            <v>260277</v>
          </cell>
          <cell r="AI141">
            <v>0</v>
          </cell>
          <cell r="AJ141">
            <v>0</v>
          </cell>
          <cell r="AK141">
            <v>0</v>
          </cell>
          <cell r="AL141">
            <v>0</v>
          </cell>
          <cell r="AM141">
            <v>0</v>
          </cell>
          <cell r="AN141">
            <v>0</v>
          </cell>
          <cell r="AO141">
            <v>0</v>
          </cell>
          <cell r="AP141">
            <v>0</v>
          </cell>
          <cell r="AQ141">
            <v>0</v>
          </cell>
          <cell r="AR141">
            <v>0</v>
          </cell>
          <cell r="AW141">
            <v>0</v>
          </cell>
          <cell r="AX141">
            <v>0</v>
          </cell>
          <cell r="AY141">
            <v>0</v>
          </cell>
          <cell r="AZ141">
            <v>0</v>
          </cell>
          <cell r="BA141">
            <v>0</v>
          </cell>
          <cell r="BB141">
            <v>0</v>
          </cell>
          <cell r="BC141">
            <v>0</v>
          </cell>
          <cell r="BD141">
            <v>0</v>
          </cell>
          <cell r="BE141">
            <v>0</v>
          </cell>
          <cell r="BF141">
            <v>0</v>
          </cell>
          <cell r="BK141">
            <v>529644</v>
          </cell>
          <cell r="BL141">
            <v>517301</v>
          </cell>
          <cell r="BM141">
            <v>590990</v>
          </cell>
          <cell r="BN141">
            <v>500962</v>
          </cell>
          <cell r="BO141">
            <v>462053</v>
          </cell>
          <cell r="BP141">
            <v>575241</v>
          </cell>
          <cell r="BQ141">
            <v>601346</v>
          </cell>
          <cell r="BR141">
            <v>921508</v>
          </cell>
          <cell r="BS141">
            <v>510113</v>
          </cell>
          <cell r="BT141">
            <v>667377</v>
          </cell>
          <cell r="BU141">
            <v>0</v>
          </cell>
          <cell r="BV141">
            <v>0</v>
          </cell>
        </row>
        <row r="142">
          <cell r="F142">
            <v>-1335016</v>
          </cell>
          <cell r="G142">
            <v>-164540</v>
          </cell>
          <cell r="H142">
            <v>-230260</v>
          </cell>
          <cell r="I142">
            <v>-51409</v>
          </cell>
          <cell r="J142">
            <v>-310117</v>
          </cell>
          <cell r="K142">
            <v>-91354</v>
          </cell>
          <cell r="L142">
            <v>-90563</v>
          </cell>
          <cell r="M142">
            <v>-96758</v>
          </cell>
          <cell r="N142">
            <v>-91912</v>
          </cell>
          <cell r="O142">
            <v>-100279</v>
          </cell>
          <cell r="P142">
            <v>-107824</v>
          </cell>
          <cell r="T142">
            <v>-200526</v>
          </cell>
          <cell r="U142">
            <v>-40893</v>
          </cell>
          <cell r="V142">
            <v>12578</v>
          </cell>
          <cell r="W142">
            <v>24086</v>
          </cell>
          <cell r="X142">
            <v>-71878</v>
          </cell>
          <cell r="Y142">
            <v>-15018</v>
          </cell>
          <cell r="Z142">
            <v>-17295</v>
          </cell>
          <cell r="AA142">
            <v>-21814</v>
          </cell>
          <cell r="AB142">
            <v>-20411</v>
          </cell>
          <cell r="AC142">
            <v>-25539</v>
          </cell>
          <cell r="AD142">
            <v>-24342</v>
          </cell>
          <cell r="AI142">
            <v>-784</v>
          </cell>
          <cell r="AJ142">
            <v>744</v>
          </cell>
          <cell r="AK142">
            <v>811</v>
          </cell>
          <cell r="AL142">
            <v>-826</v>
          </cell>
          <cell r="AM142">
            <v>-184</v>
          </cell>
          <cell r="AN142">
            <v>-56</v>
          </cell>
          <cell r="AO142">
            <v>-34</v>
          </cell>
          <cell r="AP142">
            <v>-130</v>
          </cell>
          <cell r="AQ142">
            <v>-133</v>
          </cell>
          <cell r="AR142">
            <v>-46</v>
          </cell>
          <cell r="AW142">
            <v>0</v>
          </cell>
          <cell r="AX142">
            <v>0</v>
          </cell>
          <cell r="AY142">
            <v>0</v>
          </cell>
          <cell r="AZ142">
            <v>0</v>
          </cell>
          <cell r="BA142">
            <v>0</v>
          </cell>
          <cell r="BB142">
            <v>0</v>
          </cell>
          <cell r="BC142">
            <v>0</v>
          </cell>
          <cell r="BD142">
            <v>0</v>
          </cell>
          <cell r="BE142">
            <v>0</v>
          </cell>
          <cell r="BF142">
            <v>0</v>
          </cell>
          <cell r="BK142">
            <v>-206217</v>
          </cell>
          <cell r="BL142">
            <v>-216938</v>
          </cell>
          <cell r="BM142">
            <v>-26512</v>
          </cell>
          <cell r="BN142">
            <v>-382821</v>
          </cell>
          <cell r="BO142">
            <v>-106556</v>
          </cell>
          <cell r="BP142">
            <v>-107914</v>
          </cell>
          <cell r="BQ142">
            <v>-118606</v>
          </cell>
          <cell r="BR142">
            <v>-112453</v>
          </cell>
          <cell r="BS142">
            <v>-125951</v>
          </cell>
          <cell r="BT142">
            <v>-132212</v>
          </cell>
          <cell r="BU142">
            <v>0</v>
          </cell>
          <cell r="BV142">
            <v>0</v>
          </cell>
        </row>
        <row r="143">
          <cell r="F143">
            <v>-4578815</v>
          </cell>
          <cell r="G143">
            <v>-308741</v>
          </cell>
          <cell r="H143">
            <v>-337668</v>
          </cell>
          <cell r="I143">
            <v>-439422</v>
          </cell>
          <cell r="J143">
            <v>-527120</v>
          </cell>
          <cell r="K143">
            <v>-532293</v>
          </cell>
          <cell r="L143">
            <v>-533207</v>
          </cell>
          <cell r="M143">
            <v>-535021</v>
          </cell>
          <cell r="N143">
            <v>-457509</v>
          </cell>
          <cell r="O143">
            <v>-415310</v>
          </cell>
          <cell r="P143">
            <v>-492524</v>
          </cell>
          <cell r="T143">
            <v>-2784193</v>
          </cell>
          <cell r="U143">
            <v>-206410</v>
          </cell>
          <cell r="V143">
            <v>-186018</v>
          </cell>
          <cell r="W143">
            <v>-207946</v>
          </cell>
          <cell r="X143">
            <v>-240046</v>
          </cell>
          <cell r="Y143">
            <v>-274086</v>
          </cell>
          <cell r="Z143">
            <v>-292529</v>
          </cell>
          <cell r="AA143">
            <v>-331276</v>
          </cell>
          <cell r="AB143">
            <v>-327563</v>
          </cell>
          <cell r="AC143">
            <v>-365364</v>
          </cell>
          <cell r="AD143">
            <v>-352955</v>
          </cell>
          <cell r="AI143">
            <v>0</v>
          </cell>
          <cell r="AJ143">
            <v>-2194</v>
          </cell>
          <cell r="AK143">
            <v>-242</v>
          </cell>
          <cell r="AL143">
            <v>-2404</v>
          </cell>
          <cell r="AM143">
            <v>-7860</v>
          </cell>
          <cell r="AN143">
            <v>-2080</v>
          </cell>
          <cell r="AO143">
            <v>-1274</v>
          </cell>
          <cell r="AP143">
            <v>-4134</v>
          </cell>
          <cell r="AQ143">
            <v>-1142</v>
          </cell>
          <cell r="AR143">
            <v>-727</v>
          </cell>
          <cell r="AW143">
            <v>0</v>
          </cell>
          <cell r="AX143">
            <v>0</v>
          </cell>
          <cell r="AY143">
            <v>0</v>
          </cell>
          <cell r="AZ143">
            <v>0</v>
          </cell>
          <cell r="BA143">
            <v>0</v>
          </cell>
          <cell r="BB143">
            <v>0</v>
          </cell>
          <cell r="BC143">
            <v>0</v>
          </cell>
          <cell r="BD143">
            <v>0</v>
          </cell>
          <cell r="BE143">
            <v>0</v>
          </cell>
          <cell r="BF143">
            <v>0</v>
          </cell>
          <cell r="BK143">
            <v>-515151</v>
          </cell>
          <cell r="BL143">
            <v>-525880</v>
          </cell>
          <cell r="BM143">
            <v>-647610</v>
          </cell>
          <cell r="BN143">
            <v>-769570</v>
          </cell>
          <cell r="BO143">
            <v>-814239</v>
          </cell>
          <cell r="BP143">
            <v>-827816</v>
          </cell>
          <cell r="BQ143">
            <v>-867571</v>
          </cell>
          <cell r="BR143">
            <v>-789206</v>
          </cell>
          <cell r="BS143">
            <v>-781816</v>
          </cell>
          <cell r="BT143">
            <v>-846206</v>
          </cell>
          <cell r="BU143">
            <v>0</v>
          </cell>
          <cell r="BV143">
            <v>0</v>
          </cell>
        </row>
        <row r="144">
          <cell r="F144">
            <v>0</v>
          </cell>
          <cell r="G144">
            <v>0</v>
          </cell>
          <cell r="H144">
            <v>0</v>
          </cell>
          <cell r="I144">
            <v>0</v>
          </cell>
          <cell r="J144">
            <v>0</v>
          </cell>
          <cell r="K144">
            <v>0</v>
          </cell>
          <cell r="L144">
            <v>0</v>
          </cell>
          <cell r="M144">
            <v>0</v>
          </cell>
          <cell r="N144">
            <v>0</v>
          </cell>
          <cell r="O144">
            <v>0</v>
          </cell>
          <cell r="P144">
            <v>0</v>
          </cell>
          <cell r="T144">
            <v>-256280</v>
          </cell>
          <cell r="U144">
            <v>-25628</v>
          </cell>
          <cell r="V144">
            <v>-25628</v>
          </cell>
          <cell r="W144">
            <v>-25628</v>
          </cell>
          <cell r="X144">
            <v>-25628</v>
          </cell>
          <cell r="Y144">
            <v>-25628</v>
          </cell>
          <cell r="Z144">
            <v>-25628</v>
          </cell>
          <cell r="AA144">
            <v>-25628</v>
          </cell>
          <cell r="AB144">
            <v>-25628</v>
          </cell>
          <cell r="AC144">
            <v>-25628</v>
          </cell>
          <cell r="AD144">
            <v>-25628</v>
          </cell>
          <cell r="AI144">
            <v>0</v>
          </cell>
          <cell r="AJ144">
            <v>0</v>
          </cell>
          <cell r="AK144">
            <v>0</v>
          </cell>
          <cell r="AL144">
            <v>0</v>
          </cell>
          <cell r="AM144">
            <v>0</v>
          </cell>
          <cell r="AN144">
            <v>0</v>
          </cell>
          <cell r="AO144">
            <v>0</v>
          </cell>
          <cell r="AP144">
            <v>0</v>
          </cell>
          <cell r="AQ144">
            <v>0</v>
          </cell>
          <cell r="AR144">
            <v>0</v>
          </cell>
          <cell r="AW144">
            <v>0</v>
          </cell>
          <cell r="AX144">
            <v>0</v>
          </cell>
          <cell r="AY144">
            <v>0</v>
          </cell>
          <cell r="AZ144">
            <v>0</v>
          </cell>
          <cell r="BA144">
            <v>0</v>
          </cell>
          <cell r="BB144">
            <v>0</v>
          </cell>
          <cell r="BC144">
            <v>0</v>
          </cell>
          <cell r="BD144">
            <v>0</v>
          </cell>
          <cell r="BE144">
            <v>0</v>
          </cell>
          <cell r="BF144">
            <v>0</v>
          </cell>
          <cell r="BK144">
            <v>-25628</v>
          </cell>
          <cell r="BL144">
            <v>-25628</v>
          </cell>
          <cell r="BM144">
            <v>-25628</v>
          </cell>
          <cell r="BN144">
            <v>-25628</v>
          </cell>
          <cell r="BO144">
            <v>-25628</v>
          </cell>
          <cell r="BP144">
            <v>-25628</v>
          </cell>
          <cell r="BQ144">
            <v>-25628</v>
          </cell>
          <cell r="BR144">
            <v>-25628</v>
          </cell>
          <cell r="BS144">
            <v>-25628</v>
          </cell>
          <cell r="BT144">
            <v>-25628</v>
          </cell>
          <cell r="BU144">
            <v>0</v>
          </cell>
          <cell r="BV144">
            <v>0</v>
          </cell>
        </row>
        <row r="145">
          <cell r="F145">
            <v>-54954</v>
          </cell>
          <cell r="G145">
            <v>-5645</v>
          </cell>
          <cell r="H145">
            <v>-5645</v>
          </cell>
          <cell r="I145">
            <v>-5646</v>
          </cell>
          <cell r="J145">
            <v>-5646</v>
          </cell>
          <cell r="K145">
            <v>-5646</v>
          </cell>
          <cell r="L145">
            <v>-5646</v>
          </cell>
          <cell r="M145">
            <v>-5646</v>
          </cell>
          <cell r="N145">
            <v>-5646</v>
          </cell>
          <cell r="O145">
            <v>-4894</v>
          </cell>
          <cell r="P145">
            <v>-4894</v>
          </cell>
          <cell r="T145">
            <v>-38296</v>
          </cell>
          <cell r="U145">
            <v>-3941</v>
          </cell>
          <cell r="V145">
            <v>-3941</v>
          </cell>
          <cell r="W145">
            <v>-3942</v>
          </cell>
          <cell r="X145">
            <v>-3942</v>
          </cell>
          <cell r="Y145">
            <v>-3942</v>
          </cell>
          <cell r="Z145">
            <v>-3942</v>
          </cell>
          <cell r="AA145">
            <v>-3942</v>
          </cell>
          <cell r="AB145">
            <v>-3942</v>
          </cell>
          <cell r="AC145">
            <v>-3381</v>
          </cell>
          <cell r="AD145">
            <v>-3381</v>
          </cell>
          <cell r="AI145">
            <v>0</v>
          </cell>
          <cell r="AJ145">
            <v>0</v>
          </cell>
          <cell r="AK145">
            <v>0</v>
          </cell>
          <cell r="AL145">
            <v>0</v>
          </cell>
          <cell r="AM145">
            <v>0</v>
          </cell>
          <cell r="AN145">
            <v>0</v>
          </cell>
          <cell r="AO145">
            <v>0</v>
          </cell>
          <cell r="AP145">
            <v>0</v>
          </cell>
          <cell r="AQ145">
            <v>0</v>
          </cell>
          <cell r="AR145">
            <v>0</v>
          </cell>
          <cell r="AW145">
            <v>0</v>
          </cell>
          <cell r="AX145">
            <v>0</v>
          </cell>
          <cell r="AY145">
            <v>0</v>
          </cell>
          <cell r="AZ145">
            <v>0</v>
          </cell>
          <cell r="BA145">
            <v>0</v>
          </cell>
          <cell r="BB145">
            <v>0</v>
          </cell>
          <cell r="BC145">
            <v>0</v>
          </cell>
          <cell r="BD145">
            <v>0</v>
          </cell>
          <cell r="BE145">
            <v>0</v>
          </cell>
          <cell r="BF145">
            <v>0</v>
          </cell>
          <cell r="BK145">
            <v>-9586</v>
          </cell>
          <cell r="BL145">
            <v>-9586</v>
          </cell>
          <cell r="BM145">
            <v>-9588</v>
          </cell>
          <cell r="BN145">
            <v>-9588</v>
          </cell>
          <cell r="BO145">
            <v>-9588</v>
          </cell>
          <cell r="BP145">
            <v>-9588</v>
          </cell>
          <cell r="BQ145">
            <v>-9588</v>
          </cell>
          <cell r="BR145">
            <v>-9588</v>
          </cell>
          <cell r="BS145">
            <v>-8275</v>
          </cell>
          <cell r="BT145">
            <v>-8275</v>
          </cell>
          <cell r="BU145">
            <v>0</v>
          </cell>
          <cell r="BV145">
            <v>0</v>
          </cell>
        </row>
        <row r="146">
          <cell r="F146">
            <v>-141141</v>
          </cell>
          <cell r="G146">
            <v>-12614</v>
          </cell>
          <cell r="H146">
            <v>-12948</v>
          </cell>
          <cell r="I146">
            <v>-13247</v>
          </cell>
          <cell r="J146">
            <v>-13503</v>
          </cell>
          <cell r="K146">
            <v>-13877</v>
          </cell>
          <cell r="L146">
            <v>-14387</v>
          </cell>
          <cell r="M146">
            <v>-14464</v>
          </cell>
          <cell r="N146">
            <v>-14922</v>
          </cell>
          <cell r="O146">
            <v>-15001</v>
          </cell>
          <cell r="P146">
            <v>-16178</v>
          </cell>
          <cell r="T146">
            <v>-115478</v>
          </cell>
          <cell r="U146">
            <v>-10320</v>
          </cell>
          <cell r="V146">
            <v>-10594</v>
          </cell>
          <cell r="W146">
            <v>-10839</v>
          </cell>
          <cell r="X146">
            <v>-11048</v>
          </cell>
          <cell r="Y146">
            <v>-11353</v>
          </cell>
          <cell r="Z146">
            <v>-11771</v>
          </cell>
          <cell r="AA146">
            <v>-11834</v>
          </cell>
          <cell r="AB146">
            <v>-12209</v>
          </cell>
          <cell r="AC146">
            <v>-12274</v>
          </cell>
          <cell r="AD146">
            <v>-13236</v>
          </cell>
          <cell r="AI146">
            <v>0</v>
          </cell>
          <cell r="AJ146">
            <v>0</v>
          </cell>
          <cell r="AK146">
            <v>0</v>
          </cell>
          <cell r="AL146">
            <v>0</v>
          </cell>
          <cell r="AM146">
            <v>0</v>
          </cell>
          <cell r="AN146">
            <v>0</v>
          </cell>
          <cell r="AO146">
            <v>0</v>
          </cell>
          <cell r="AP146">
            <v>0</v>
          </cell>
          <cell r="AQ146">
            <v>0</v>
          </cell>
          <cell r="AR146">
            <v>0</v>
          </cell>
          <cell r="AW146">
            <v>0</v>
          </cell>
          <cell r="AX146">
            <v>0</v>
          </cell>
          <cell r="AY146">
            <v>0</v>
          </cell>
          <cell r="AZ146">
            <v>0</v>
          </cell>
          <cell r="BA146">
            <v>0</v>
          </cell>
          <cell r="BB146">
            <v>0</v>
          </cell>
          <cell r="BC146">
            <v>0</v>
          </cell>
          <cell r="BD146">
            <v>0</v>
          </cell>
          <cell r="BE146">
            <v>0</v>
          </cell>
          <cell r="BF146">
            <v>0</v>
          </cell>
          <cell r="BK146">
            <v>-22934</v>
          </cell>
          <cell r="BL146">
            <v>-23542</v>
          </cell>
          <cell r="BM146">
            <v>-24086</v>
          </cell>
          <cell r="BN146">
            <v>-24551</v>
          </cell>
          <cell r="BO146">
            <v>-25230</v>
          </cell>
          <cell r="BP146">
            <v>-26158</v>
          </cell>
          <cell r="BQ146">
            <v>-26298</v>
          </cell>
          <cell r="BR146">
            <v>-27131</v>
          </cell>
          <cell r="BS146">
            <v>-27275</v>
          </cell>
          <cell r="BT146">
            <v>-29414</v>
          </cell>
          <cell r="BU146">
            <v>0</v>
          </cell>
          <cell r="BV146">
            <v>0</v>
          </cell>
        </row>
        <row r="147">
          <cell r="F147">
            <v>0</v>
          </cell>
          <cell r="G147">
            <v>0</v>
          </cell>
          <cell r="H147">
            <v>0</v>
          </cell>
          <cell r="I147">
            <v>0</v>
          </cell>
          <cell r="J147">
            <v>0</v>
          </cell>
          <cell r="K147">
            <v>0</v>
          </cell>
          <cell r="L147">
            <v>0</v>
          </cell>
          <cell r="M147">
            <v>0</v>
          </cell>
          <cell r="N147">
            <v>0</v>
          </cell>
          <cell r="O147">
            <v>0</v>
          </cell>
          <cell r="P147">
            <v>0</v>
          </cell>
          <cell r="T147">
            <v>0</v>
          </cell>
          <cell r="U147">
            <v>0</v>
          </cell>
          <cell r="V147">
            <v>0</v>
          </cell>
          <cell r="W147">
            <v>0</v>
          </cell>
          <cell r="X147">
            <v>0</v>
          </cell>
          <cell r="Y147">
            <v>0</v>
          </cell>
          <cell r="Z147">
            <v>0</v>
          </cell>
          <cell r="AA147">
            <v>0</v>
          </cell>
          <cell r="AB147">
            <v>0</v>
          </cell>
          <cell r="AC147">
            <v>0</v>
          </cell>
          <cell r="AD147">
            <v>0</v>
          </cell>
          <cell r="AI147">
            <v>0</v>
          </cell>
          <cell r="AJ147">
            <v>0</v>
          </cell>
          <cell r="AK147">
            <v>0</v>
          </cell>
          <cell r="AL147">
            <v>0</v>
          </cell>
          <cell r="AM147">
            <v>0</v>
          </cell>
          <cell r="AN147">
            <v>0</v>
          </cell>
          <cell r="AO147">
            <v>0</v>
          </cell>
          <cell r="AP147">
            <v>0</v>
          </cell>
          <cell r="AQ147">
            <v>0</v>
          </cell>
          <cell r="AR147">
            <v>0</v>
          </cell>
          <cell r="AW147">
            <v>0</v>
          </cell>
          <cell r="AX147">
            <v>0</v>
          </cell>
          <cell r="AY147">
            <v>0</v>
          </cell>
          <cell r="AZ147">
            <v>0</v>
          </cell>
          <cell r="BA147">
            <v>0</v>
          </cell>
          <cell r="BB147">
            <v>0</v>
          </cell>
          <cell r="BC147">
            <v>0</v>
          </cell>
          <cell r="BD147">
            <v>0</v>
          </cell>
          <cell r="BE147">
            <v>0</v>
          </cell>
          <cell r="BF147">
            <v>0</v>
          </cell>
          <cell r="BK147">
            <v>0</v>
          </cell>
          <cell r="BL147">
            <v>0</v>
          </cell>
          <cell r="BM147">
            <v>0</v>
          </cell>
          <cell r="BN147">
            <v>0</v>
          </cell>
          <cell r="BO147">
            <v>0</v>
          </cell>
          <cell r="BP147">
            <v>0</v>
          </cell>
          <cell r="BQ147">
            <v>0</v>
          </cell>
          <cell r="BR147">
            <v>0</v>
          </cell>
          <cell r="BS147">
            <v>0</v>
          </cell>
          <cell r="BT147">
            <v>0</v>
          </cell>
          <cell r="BU147">
            <v>0</v>
          </cell>
          <cell r="BV147">
            <v>0</v>
          </cell>
        </row>
        <row r="148">
          <cell r="F148">
            <v>0</v>
          </cell>
          <cell r="G148">
            <v>0</v>
          </cell>
          <cell r="H148">
            <v>0</v>
          </cell>
          <cell r="I148">
            <v>0</v>
          </cell>
          <cell r="J148">
            <v>0</v>
          </cell>
          <cell r="K148">
            <v>0</v>
          </cell>
          <cell r="L148">
            <v>0</v>
          </cell>
          <cell r="M148">
            <v>0</v>
          </cell>
          <cell r="N148">
            <v>0</v>
          </cell>
          <cell r="O148">
            <v>0</v>
          </cell>
          <cell r="P148">
            <v>0</v>
          </cell>
          <cell r="T148">
            <v>0</v>
          </cell>
          <cell r="U148">
            <v>0</v>
          </cell>
          <cell r="V148">
            <v>0</v>
          </cell>
          <cell r="W148">
            <v>0</v>
          </cell>
          <cell r="X148">
            <v>0</v>
          </cell>
          <cell r="Y148">
            <v>0</v>
          </cell>
          <cell r="Z148">
            <v>0</v>
          </cell>
          <cell r="AA148">
            <v>0</v>
          </cell>
          <cell r="AB148">
            <v>0</v>
          </cell>
          <cell r="AC148">
            <v>0</v>
          </cell>
          <cell r="AD148">
            <v>0</v>
          </cell>
          <cell r="AI148">
            <v>0</v>
          </cell>
          <cell r="AJ148">
            <v>0</v>
          </cell>
          <cell r="AK148">
            <v>0</v>
          </cell>
          <cell r="AL148">
            <v>0</v>
          </cell>
          <cell r="AM148">
            <v>0</v>
          </cell>
          <cell r="AN148">
            <v>0</v>
          </cell>
          <cell r="AO148">
            <v>0</v>
          </cell>
          <cell r="AP148">
            <v>0</v>
          </cell>
          <cell r="AQ148">
            <v>0</v>
          </cell>
          <cell r="AR148">
            <v>0</v>
          </cell>
          <cell r="AW148">
            <v>148281</v>
          </cell>
          <cell r="AX148">
            <v>119264</v>
          </cell>
          <cell r="AY148">
            <v>141276</v>
          </cell>
          <cell r="AZ148">
            <v>116960</v>
          </cell>
          <cell r="BA148">
            <v>53940</v>
          </cell>
          <cell r="BB148">
            <v>72769</v>
          </cell>
          <cell r="BC148">
            <v>90918</v>
          </cell>
          <cell r="BD148">
            <v>103459</v>
          </cell>
          <cell r="BE148">
            <v>81949</v>
          </cell>
          <cell r="BF148">
            <v>106545</v>
          </cell>
          <cell r="BK148">
            <v>148281</v>
          </cell>
          <cell r="BL148">
            <v>119264</v>
          </cell>
          <cell r="BM148">
            <v>141276</v>
          </cell>
          <cell r="BN148">
            <v>116960</v>
          </cell>
          <cell r="BO148">
            <v>53940</v>
          </cell>
          <cell r="BP148">
            <v>72769</v>
          </cell>
          <cell r="BQ148">
            <v>90918</v>
          </cell>
          <cell r="BR148">
            <v>103459</v>
          </cell>
          <cell r="BS148">
            <v>81949</v>
          </cell>
          <cell r="BT148">
            <v>106545</v>
          </cell>
          <cell r="BU148">
            <v>0</v>
          </cell>
          <cell r="BV148">
            <v>0</v>
          </cell>
        </row>
        <row r="149">
          <cell r="G149">
            <v>1040416</v>
          </cell>
          <cell r="H149">
            <v>525390</v>
          </cell>
          <cell r="I149">
            <v>829658</v>
          </cell>
          <cell r="J149">
            <v>372681</v>
          </cell>
          <cell r="K149">
            <v>369169</v>
          </cell>
          <cell r="L149">
            <v>437315</v>
          </cell>
          <cell r="M149">
            <v>305443</v>
          </cell>
          <cell r="N149">
            <v>808186</v>
          </cell>
          <cell r="O149">
            <v>939242</v>
          </cell>
          <cell r="P149">
            <v>392504</v>
          </cell>
          <cell r="Q149">
            <v>0</v>
          </cell>
          <cell r="U149">
            <v>706465</v>
          </cell>
          <cell r="V149">
            <v>731131</v>
          </cell>
          <cell r="W149">
            <v>470062</v>
          </cell>
          <cell r="X149">
            <v>671078</v>
          </cell>
          <cell r="Y149">
            <v>487045</v>
          </cell>
          <cell r="Z149">
            <v>457736</v>
          </cell>
          <cell r="AA149">
            <v>331488</v>
          </cell>
          <cell r="AB149">
            <v>518714</v>
          </cell>
          <cell r="AC149">
            <v>360535</v>
          </cell>
          <cell r="AD149">
            <v>175305</v>
          </cell>
          <cell r="AE149">
            <v>0</v>
          </cell>
          <cell r="AF149">
            <v>0</v>
          </cell>
          <cell r="AI149">
            <v>5062</v>
          </cell>
          <cell r="AJ149">
            <v>11005</v>
          </cell>
          <cell r="AK149">
            <v>6761</v>
          </cell>
          <cell r="AL149">
            <v>2590</v>
          </cell>
          <cell r="AM149">
            <v>-2439</v>
          </cell>
          <cell r="AN149">
            <v>4026</v>
          </cell>
          <cell r="AO149">
            <v>4979</v>
          </cell>
          <cell r="AP149">
            <v>2381</v>
          </cell>
          <cell r="AQ149">
            <v>3831</v>
          </cell>
          <cell r="AR149">
            <v>-8044</v>
          </cell>
          <cell r="AS149">
            <v>0</v>
          </cell>
          <cell r="AT149">
            <v>0</v>
          </cell>
          <cell r="AW149">
            <v>145281</v>
          </cell>
          <cell r="AX149">
            <v>116264</v>
          </cell>
          <cell r="AY149">
            <v>138276</v>
          </cell>
          <cell r="AZ149">
            <v>127732</v>
          </cell>
          <cell r="BA149">
            <v>54383</v>
          </cell>
          <cell r="BB149">
            <v>73212</v>
          </cell>
          <cell r="BC149">
            <v>91361</v>
          </cell>
          <cell r="BD149">
            <v>103902</v>
          </cell>
          <cell r="BE149">
            <v>82392</v>
          </cell>
          <cell r="BF149">
            <v>106988</v>
          </cell>
          <cell r="BH149">
            <v>0</v>
          </cell>
          <cell r="BK149">
            <v>1897224</v>
          </cell>
          <cell r="BL149">
            <v>1383790</v>
          </cell>
          <cell r="BM149">
            <v>1444757</v>
          </cell>
          <cell r="BN149">
            <v>1174081</v>
          </cell>
          <cell r="BO149">
            <v>908158</v>
          </cell>
          <cell r="BP149">
            <v>972289</v>
          </cell>
          <cell r="BQ149">
            <v>733271</v>
          </cell>
          <cell r="BR149">
            <v>1433183</v>
          </cell>
          <cell r="BS149">
            <v>1386000</v>
          </cell>
          <cell r="BT149">
            <v>666753</v>
          </cell>
          <cell r="BU149">
            <v>0</v>
          </cell>
          <cell r="BV149">
            <v>0</v>
          </cell>
        </row>
        <row r="150">
          <cell r="F150">
            <v>38530</v>
          </cell>
          <cell r="G150">
            <v>3853</v>
          </cell>
          <cell r="H150">
            <v>3853</v>
          </cell>
          <cell r="I150">
            <v>3853</v>
          </cell>
          <cell r="J150">
            <v>3853</v>
          </cell>
          <cell r="K150">
            <v>3853</v>
          </cell>
          <cell r="L150">
            <v>3853</v>
          </cell>
          <cell r="M150">
            <v>3853</v>
          </cell>
          <cell r="N150">
            <v>3853</v>
          </cell>
          <cell r="O150">
            <v>3853</v>
          </cell>
          <cell r="P150">
            <v>3853</v>
          </cell>
          <cell r="T150">
            <v>0</v>
          </cell>
          <cell r="U150">
            <v>0</v>
          </cell>
          <cell r="V150">
            <v>0</v>
          </cell>
          <cell r="W150">
            <v>0</v>
          </cell>
          <cell r="X150">
            <v>0</v>
          </cell>
          <cell r="Y150">
            <v>0</v>
          </cell>
          <cell r="Z150">
            <v>0</v>
          </cell>
          <cell r="AA150">
            <v>0</v>
          </cell>
          <cell r="AB150">
            <v>0</v>
          </cell>
          <cell r="AC150">
            <v>0</v>
          </cell>
          <cell r="AD150">
            <v>0</v>
          </cell>
          <cell r="AI150">
            <v>0</v>
          </cell>
          <cell r="AJ150">
            <v>0</v>
          </cell>
          <cell r="AK150">
            <v>0</v>
          </cell>
          <cell r="AL150">
            <v>0</v>
          </cell>
          <cell r="AM150">
            <v>0</v>
          </cell>
          <cell r="AN150">
            <v>0</v>
          </cell>
          <cell r="AO150">
            <v>0</v>
          </cell>
          <cell r="AP150">
            <v>0</v>
          </cell>
          <cell r="AQ150">
            <v>0</v>
          </cell>
          <cell r="AR150">
            <v>0</v>
          </cell>
          <cell r="AW150">
            <v>0</v>
          </cell>
          <cell r="AX150">
            <v>0</v>
          </cell>
          <cell r="AY150">
            <v>0</v>
          </cell>
          <cell r="AZ150">
            <v>0</v>
          </cell>
          <cell r="BA150">
            <v>0</v>
          </cell>
          <cell r="BB150">
            <v>0</v>
          </cell>
          <cell r="BC150">
            <v>0</v>
          </cell>
          <cell r="BD150">
            <v>0</v>
          </cell>
          <cell r="BE150">
            <v>0</v>
          </cell>
          <cell r="BF150">
            <v>0</v>
          </cell>
          <cell r="BK150">
            <v>3853</v>
          </cell>
          <cell r="BL150">
            <v>3853</v>
          </cell>
          <cell r="BM150">
            <v>3853</v>
          </cell>
          <cell r="BN150">
            <v>3853</v>
          </cell>
          <cell r="BO150">
            <v>3853</v>
          </cell>
          <cell r="BP150">
            <v>3853</v>
          </cell>
          <cell r="BQ150">
            <v>3853</v>
          </cell>
          <cell r="BR150">
            <v>3853</v>
          </cell>
          <cell r="BS150">
            <v>3853</v>
          </cell>
          <cell r="BT150">
            <v>3853</v>
          </cell>
          <cell r="BU150">
            <v>0</v>
          </cell>
          <cell r="BV150">
            <v>0</v>
          </cell>
        </row>
        <row r="151">
          <cell r="F151">
            <v>2331126</v>
          </cell>
          <cell r="G151">
            <v>37863</v>
          </cell>
          <cell r="H151">
            <v>-53872</v>
          </cell>
          <cell r="I151">
            <v>2347135</v>
          </cell>
          <cell r="J151">
            <v>0</v>
          </cell>
          <cell r="K151">
            <v>0</v>
          </cell>
          <cell r="L151">
            <v>0</v>
          </cell>
          <cell r="M151">
            <v>0</v>
          </cell>
          <cell r="N151">
            <v>0</v>
          </cell>
          <cell r="O151">
            <v>0</v>
          </cell>
          <cell r="P151">
            <v>0</v>
          </cell>
          <cell r="T151">
            <v>0</v>
          </cell>
          <cell r="U151">
            <v>0</v>
          </cell>
          <cell r="V151">
            <v>0</v>
          </cell>
          <cell r="W151">
            <v>0</v>
          </cell>
          <cell r="X151">
            <v>0</v>
          </cell>
          <cell r="Y151">
            <v>0</v>
          </cell>
          <cell r="Z151">
            <v>0</v>
          </cell>
          <cell r="AA151">
            <v>0</v>
          </cell>
          <cell r="AB151">
            <v>0</v>
          </cell>
          <cell r="AC151">
            <v>0</v>
          </cell>
          <cell r="AD151">
            <v>0</v>
          </cell>
          <cell r="AI151">
            <v>0</v>
          </cell>
          <cell r="AJ151">
            <v>0</v>
          </cell>
          <cell r="AK151">
            <v>0</v>
          </cell>
          <cell r="AL151">
            <v>0</v>
          </cell>
          <cell r="AM151">
            <v>0</v>
          </cell>
          <cell r="AN151">
            <v>0</v>
          </cell>
          <cell r="AO151">
            <v>0</v>
          </cell>
          <cell r="AP151">
            <v>0</v>
          </cell>
          <cell r="AQ151">
            <v>0</v>
          </cell>
          <cell r="AR151">
            <v>0</v>
          </cell>
          <cell r="AW151">
            <v>0</v>
          </cell>
          <cell r="AX151">
            <v>0</v>
          </cell>
          <cell r="AY151">
            <v>0</v>
          </cell>
          <cell r="AZ151">
            <v>0</v>
          </cell>
          <cell r="BA151">
            <v>0</v>
          </cell>
          <cell r="BB151">
            <v>0</v>
          </cell>
          <cell r="BC151">
            <v>0</v>
          </cell>
          <cell r="BD151">
            <v>0</v>
          </cell>
          <cell r="BE151">
            <v>0</v>
          </cell>
          <cell r="BF151">
            <v>0</v>
          </cell>
          <cell r="BK151">
            <v>37863</v>
          </cell>
          <cell r="BL151">
            <v>-53872</v>
          </cell>
          <cell r="BM151">
            <v>2347135</v>
          </cell>
          <cell r="BN151">
            <v>0</v>
          </cell>
          <cell r="BO151">
            <v>0</v>
          </cell>
          <cell r="BP151">
            <v>0</v>
          </cell>
          <cell r="BQ151">
            <v>0</v>
          </cell>
          <cell r="BR151">
            <v>0</v>
          </cell>
          <cell r="BS151">
            <v>0</v>
          </cell>
          <cell r="BT151">
            <v>0</v>
          </cell>
          <cell r="BU151">
            <v>0</v>
          </cell>
          <cell r="BV151">
            <v>0</v>
          </cell>
        </row>
        <row r="152">
          <cell r="F152">
            <v>5133745</v>
          </cell>
          <cell r="G152">
            <v>2055767</v>
          </cell>
          <cell r="H152">
            <v>53872</v>
          </cell>
          <cell r="I152">
            <v>-2041005</v>
          </cell>
          <cell r="J152">
            <v>488485</v>
          </cell>
          <cell r="K152">
            <v>871668</v>
          </cell>
          <cell r="L152">
            <v>327542</v>
          </cell>
          <cell r="M152">
            <v>-515959</v>
          </cell>
          <cell r="N152">
            <v>1977013</v>
          </cell>
          <cell r="O152">
            <v>948889</v>
          </cell>
          <cell r="P152">
            <v>967473</v>
          </cell>
          <cell r="T152">
            <v>0</v>
          </cell>
          <cell r="U152">
            <v>0</v>
          </cell>
          <cell r="V152">
            <v>0</v>
          </cell>
          <cell r="W152">
            <v>0</v>
          </cell>
          <cell r="X152">
            <v>0</v>
          </cell>
          <cell r="Y152">
            <v>0</v>
          </cell>
          <cell r="Z152">
            <v>0</v>
          </cell>
          <cell r="AA152">
            <v>0</v>
          </cell>
          <cell r="AB152">
            <v>0</v>
          </cell>
          <cell r="AC152">
            <v>0</v>
          </cell>
          <cell r="AD152">
            <v>0</v>
          </cell>
          <cell r="AI152">
            <v>0</v>
          </cell>
          <cell r="AJ152">
            <v>0</v>
          </cell>
          <cell r="AK152">
            <v>0</v>
          </cell>
          <cell r="AL152">
            <v>0</v>
          </cell>
          <cell r="AM152">
            <v>0</v>
          </cell>
          <cell r="AN152">
            <v>0</v>
          </cell>
          <cell r="AO152">
            <v>0</v>
          </cell>
          <cell r="AP152">
            <v>0</v>
          </cell>
          <cell r="AQ152">
            <v>0</v>
          </cell>
          <cell r="AR152">
            <v>0</v>
          </cell>
          <cell r="AW152">
            <v>0</v>
          </cell>
          <cell r="AX152">
            <v>0</v>
          </cell>
          <cell r="AY152">
            <v>0</v>
          </cell>
          <cell r="AZ152">
            <v>0</v>
          </cell>
          <cell r="BA152">
            <v>0</v>
          </cell>
          <cell r="BB152">
            <v>0</v>
          </cell>
          <cell r="BC152">
            <v>0</v>
          </cell>
          <cell r="BD152">
            <v>0</v>
          </cell>
          <cell r="BE152">
            <v>0</v>
          </cell>
          <cell r="BF152">
            <v>0</v>
          </cell>
          <cell r="BK152">
            <v>2055767</v>
          </cell>
          <cell r="BL152">
            <v>53872</v>
          </cell>
          <cell r="BM152">
            <v>-2041005</v>
          </cell>
          <cell r="BN152">
            <v>488485</v>
          </cell>
          <cell r="BO152">
            <v>871668</v>
          </cell>
          <cell r="BP152">
            <v>327542</v>
          </cell>
          <cell r="BQ152">
            <v>-515959</v>
          </cell>
          <cell r="BR152">
            <v>1977013</v>
          </cell>
          <cell r="BS152">
            <v>948889</v>
          </cell>
          <cell r="BT152">
            <v>967473</v>
          </cell>
          <cell r="BU152">
            <v>0</v>
          </cell>
          <cell r="BV152">
            <v>0</v>
          </cell>
        </row>
        <row r="153">
          <cell r="F153">
            <v>0</v>
          </cell>
          <cell r="G153">
            <v>0</v>
          </cell>
          <cell r="H153">
            <v>0</v>
          </cell>
          <cell r="I153">
            <v>0</v>
          </cell>
          <cell r="J153">
            <v>0</v>
          </cell>
          <cell r="K153">
            <v>0</v>
          </cell>
          <cell r="L153">
            <v>0</v>
          </cell>
          <cell r="M153">
            <v>0</v>
          </cell>
          <cell r="N153">
            <v>0</v>
          </cell>
          <cell r="O153">
            <v>0</v>
          </cell>
          <cell r="P153">
            <v>0</v>
          </cell>
          <cell r="T153">
            <v>0</v>
          </cell>
          <cell r="U153">
            <v>0</v>
          </cell>
          <cell r="V153">
            <v>0</v>
          </cell>
          <cell r="W153">
            <v>0</v>
          </cell>
          <cell r="X153">
            <v>0</v>
          </cell>
          <cell r="Y153">
            <v>0</v>
          </cell>
          <cell r="Z153">
            <v>0</v>
          </cell>
          <cell r="AA153">
            <v>0</v>
          </cell>
          <cell r="AB153">
            <v>0</v>
          </cell>
          <cell r="AC153">
            <v>0</v>
          </cell>
          <cell r="AD153">
            <v>0</v>
          </cell>
          <cell r="AI153">
            <v>0</v>
          </cell>
          <cell r="AJ153">
            <v>0</v>
          </cell>
          <cell r="AK153">
            <v>0</v>
          </cell>
          <cell r="AL153">
            <v>0</v>
          </cell>
          <cell r="AM153">
            <v>0</v>
          </cell>
          <cell r="AN153">
            <v>0</v>
          </cell>
          <cell r="AO153">
            <v>0</v>
          </cell>
          <cell r="AP153">
            <v>0</v>
          </cell>
          <cell r="AQ153">
            <v>0</v>
          </cell>
          <cell r="AR153">
            <v>0</v>
          </cell>
          <cell r="AW153">
            <v>0</v>
          </cell>
          <cell r="AX153">
            <v>0</v>
          </cell>
          <cell r="AY153">
            <v>0</v>
          </cell>
          <cell r="AZ153">
            <v>0</v>
          </cell>
          <cell r="BA153">
            <v>0</v>
          </cell>
          <cell r="BB153">
            <v>0</v>
          </cell>
          <cell r="BC153">
            <v>0</v>
          </cell>
          <cell r="BD153">
            <v>0</v>
          </cell>
          <cell r="BE153">
            <v>0</v>
          </cell>
          <cell r="BF153">
            <v>0</v>
          </cell>
          <cell r="BK153">
            <v>0</v>
          </cell>
          <cell r="BL153">
            <v>0</v>
          </cell>
          <cell r="BM153">
            <v>0</v>
          </cell>
          <cell r="BN153">
            <v>0</v>
          </cell>
          <cell r="BO153">
            <v>0</v>
          </cell>
          <cell r="BP153">
            <v>0</v>
          </cell>
          <cell r="BQ153">
            <v>0</v>
          </cell>
          <cell r="BR153">
            <v>0</v>
          </cell>
          <cell r="BS153">
            <v>0</v>
          </cell>
          <cell r="BT153">
            <v>0</v>
          </cell>
          <cell r="BU153">
            <v>0</v>
          </cell>
          <cell r="BV153">
            <v>0</v>
          </cell>
        </row>
        <row r="154">
          <cell r="F154">
            <v>1067408</v>
          </cell>
          <cell r="G154">
            <v>0</v>
          </cell>
          <cell r="H154">
            <v>0</v>
          </cell>
          <cell r="I154">
            <v>0</v>
          </cell>
          <cell r="J154">
            <v>0</v>
          </cell>
          <cell r="K154">
            <v>0</v>
          </cell>
          <cell r="L154">
            <v>0</v>
          </cell>
          <cell r="M154">
            <v>0</v>
          </cell>
          <cell r="N154">
            <v>0</v>
          </cell>
          <cell r="O154">
            <v>388170</v>
          </cell>
          <cell r="P154">
            <v>679238</v>
          </cell>
          <cell r="T154">
            <v>0</v>
          </cell>
          <cell r="U154">
            <v>0</v>
          </cell>
          <cell r="V154">
            <v>0</v>
          </cell>
          <cell r="W154">
            <v>0</v>
          </cell>
          <cell r="X154">
            <v>0</v>
          </cell>
          <cell r="Y154">
            <v>0</v>
          </cell>
          <cell r="Z154">
            <v>0</v>
          </cell>
          <cell r="AA154">
            <v>0</v>
          </cell>
          <cell r="AB154">
            <v>0</v>
          </cell>
          <cell r="AC154">
            <v>0</v>
          </cell>
          <cell r="AD154">
            <v>0</v>
          </cell>
          <cell r="AI154">
            <v>0</v>
          </cell>
          <cell r="AJ154">
            <v>0</v>
          </cell>
          <cell r="AK154">
            <v>0</v>
          </cell>
          <cell r="AL154">
            <v>0</v>
          </cell>
          <cell r="AM154">
            <v>0</v>
          </cell>
          <cell r="AN154">
            <v>0</v>
          </cell>
          <cell r="AO154">
            <v>0</v>
          </cell>
          <cell r="AP154">
            <v>0</v>
          </cell>
          <cell r="AQ154">
            <v>0</v>
          </cell>
          <cell r="AR154">
            <v>0</v>
          </cell>
          <cell r="AW154">
            <v>0</v>
          </cell>
          <cell r="AX154">
            <v>0</v>
          </cell>
          <cell r="AY154">
            <v>0</v>
          </cell>
          <cell r="AZ154">
            <v>0</v>
          </cell>
          <cell r="BA154">
            <v>0</v>
          </cell>
          <cell r="BB154">
            <v>0</v>
          </cell>
          <cell r="BC154">
            <v>0</v>
          </cell>
          <cell r="BD154">
            <v>0</v>
          </cell>
          <cell r="BE154">
            <v>0</v>
          </cell>
          <cell r="BF154">
            <v>0</v>
          </cell>
          <cell r="BK154">
            <v>0</v>
          </cell>
          <cell r="BL154">
            <v>0</v>
          </cell>
          <cell r="BM154">
            <v>0</v>
          </cell>
          <cell r="BN154">
            <v>0</v>
          </cell>
          <cell r="BO154">
            <v>0</v>
          </cell>
          <cell r="BP154">
            <v>0</v>
          </cell>
          <cell r="BQ154">
            <v>0</v>
          </cell>
          <cell r="BR154">
            <v>0</v>
          </cell>
          <cell r="BS154">
            <v>388170</v>
          </cell>
          <cell r="BT154">
            <v>679238</v>
          </cell>
          <cell r="BU154">
            <v>0</v>
          </cell>
          <cell r="BV154">
            <v>0</v>
          </cell>
        </row>
        <row r="155">
          <cell r="F155">
            <v>-1338750</v>
          </cell>
          <cell r="I155">
            <v>-1338750</v>
          </cell>
          <cell r="J155">
            <v>0</v>
          </cell>
          <cell r="K155">
            <v>0</v>
          </cell>
          <cell r="L155">
            <v>0</v>
          </cell>
          <cell r="M155">
            <v>0</v>
          </cell>
          <cell r="N155">
            <v>0</v>
          </cell>
          <cell r="O155">
            <v>0</v>
          </cell>
          <cell r="P155">
            <v>0</v>
          </cell>
          <cell r="T155">
            <v>0</v>
          </cell>
          <cell r="X155">
            <v>0</v>
          </cell>
          <cell r="Y155">
            <v>0</v>
          </cell>
          <cell r="Z155">
            <v>0</v>
          </cell>
          <cell r="AA155">
            <v>0</v>
          </cell>
          <cell r="AB155">
            <v>0</v>
          </cell>
          <cell r="AC155">
            <v>0</v>
          </cell>
          <cell r="AD155">
            <v>0</v>
          </cell>
          <cell r="AL155">
            <v>0</v>
          </cell>
          <cell r="AM155">
            <v>0</v>
          </cell>
          <cell r="AN155">
            <v>0</v>
          </cell>
          <cell r="AO155">
            <v>0</v>
          </cell>
          <cell r="AP155">
            <v>0</v>
          </cell>
          <cell r="AQ155">
            <v>0</v>
          </cell>
          <cell r="AR155">
            <v>0</v>
          </cell>
          <cell r="AZ155">
            <v>0</v>
          </cell>
          <cell r="BA155">
            <v>0</v>
          </cell>
          <cell r="BB155">
            <v>0</v>
          </cell>
          <cell r="BC155">
            <v>0</v>
          </cell>
          <cell r="BD155">
            <v>0</v>
          </cell>
          <cell r="BE155">
            <v>0</v>
          </cell>
          <cell r="BF155">
            <v>0</v>
          </cell>
          <cell r="BM155">
            <v>-1338750</v>
          </cell>
          <cell r="BN155">
            <v>0</v>
          </cell>
          <cell r="BO155">
            <v>0</v>
          </cell>
          <cell r="BP155">
            <v>0</v>
          </cell>
          <cell r="BQ155">
            <v>0</v>
          </cell>
          <cell r="BR155">
            <v>0</v>
          </cell>
          <cell r="BS155">
            <v>0</v>
          </cell>
          <cell r="BT155">
            <v>0</v>
          </cell>
          <cell r="BU155">
            <v>0</v>
          </cell>
          <cell r="BV155">
            <v>0</v>
          </cell>
        </row>
        <row r="156">
          <cell r="F156">
            <v>-2586823</v>
          </cell>
          <cell r="G156">
            <v>-266242</v>
          </cell>
          <cell r="H156">
            <v>-257434</v>
          </cell>
          <cell r="I156">
            <v>-254717</v>
          </cell>
          <cell r="J156">
            <v>-253155</v>
          </cell>
          <cell r="K156">
            <v>-254307</v>
          </cell>
          <cell r="L156">
            <v>-255484</v>
          </cell>
          <cell r="M156">
            <v>-256380</v>
          </cell>
          <cell r="N156">
            <v>-257164</v>
          </cell>
          <cell r="O156">
            <v>-299757</v>
          </cell>
          <cell r="P156">
            <v>-232183</v>
          </cell>
          <cell r="T156">
            <v>0</v>
          </cell>
          <cell r="U156">
            <v>0</v>
          </cell>
          <cell r="V156">
            <v>0</v>
          </cell>
          <cell r="W156">
            <v>0</v>
          </cell>
          <cell r="X156">
            <v>0</v>
          </cell>
          <cell r="Y156">
            <v>0</v>
          </cell>
          <cell r="Z156">
            <v>0</v>
          </cell>
          <cell r="AA156">
            <v>0</v>
          </cell>
          <cell r="AB156">
            <v>0</v>
          </cell>
          <cell r="AC156">
            <v>0</v>
          </cell>
          <cell r="AD156">
            <v>0</v>
          </cell>
          <cell r="AI156">
            <v>0</v>
          </cell>
          <cell r="AJ156">
            <v>0</v>
          </cell>
          <cell r="AK156">
            <v>0</v>
          </cell>
          <cell r="AL156">
            <v>0</v>
          </cell>
          <cell r="AM156">
            <v>0</v>
          </cell>
          <cell r="AN156">
            <v>0</v>
          </cell>
          <cell r="AO156">
            <v>0</v>
          </cell>
          <cell r="AP156">
            <v>0</v>
          </cell>
          <cell r="AQ156">
            <v>0</v>
          </cell>
          <cell r="AR156">
            <v>0</v>
          </cell>
          <cell r="AW156">
            <v>0</v>
          </cell>
          <cell r="AX156">
            <v>0</v>
          </cell>
          <cell r="AY156">
            <v>0</v>
          </cell>
          <cell r="AZ156">
            <v>0</v>
          </cell>
          <cell r="BA156">
            <v>0</v>
          </cell>
          <cell r="BB156">
            <v>0</v>
          </cell>
          <cell r="BC156">
            <v>0</v>
          </cell>
          <cell r="BD156">
            <v>0</v>
          </cell>
          <cell r="BE156">
            <v>0</v>
          </cell>
          <cell r="BF156">
            <v>0</v>
          </cell>
          <cell r="BK156">
            <v>-266242</v>
          </cell>
          <cell r="BL156">
            <v>-257434</v>
          </cell>
          <cell r="BM156">
            <v>-254717</v>
          </cell>
          <cell r="BN156">
            <v>-253155</v>
          </cell>
          <cell r="BO156">
            <v>-254307</v>
          </cell>
          <cell r="BP156">
            <v>-255484</v>
          </cell>
          <cell r="BQ156">
            <v>-256380</v>
          </cell>
          <cell r="BR156">
            <v>-257164</v>
          </cell>
          <cell r="BS156">
            <v>-299757</v>
          </cell>
          <cell r="BT156">
            <v>-232183</v>
          </cell>
          <cell r="BU156">
            <v>0</v>
          </cell>
          <cell r="BV156">
            <v>0</v>
          </cell>
        </row>
        <row r="157">
          <cell r="F157">
            <v>5737500</v>
          </cell>
          <cell r="I157">
            <v>5737500</v>
          </cell>
          <cell r="J157">
            <v>0</v>
          </cell>
          <cell r="K157">
            <v>0</v>
          </cell>
          <cell r="L157">
            <v>0</v>
          </cell>
          <cell r="M157">
            <v>0</v>
          </cell>
          <cell r="N157">
            <v>0</v>
          </cell>
          <cell r="O157">
            <v>0</v>
          </cell>
          <cell r="P157">
            <v>0</v>
          </cell>
          <cell r="T157">
            <v>0</v>
          </cell>
          <cell r="X157">
            <v>0</v>
          </cell>
          <cell r="Y157">
            <v>0</v>
          </cell>
          <cell r="Z157">
            <v>0</v>
          </cell>
          <cell r="AA157">
            <v>0</v>
          </cell>
          <cell r="AB157">
            <v>0</v>
          </cell>
          <cell r="AC157">
            <v>0</v>
          </cell>
          <cell r="AD157">
            <v>0</v>
          </cell>
          <cell r="AL157">
            <v>0</v>
          </cell>
          <cell r="AM157">
            <v>0</v>
          </cell>
          <cell r="AN157">
            <v>0</v>
          </cell>
          <cell r="AO157">
            <v>0</v>
          </cell>
          <cell r="AP157">
            <v>0</v>
          </cell>
          <cell r="AQ157">
            <v>0</v>
          </cell>
          <cell r="AR157">
            <v>0</v>
          </cell>
          <cell r="AZ157">
            <v>0</v>
          </cell>
          <cell r="BA157">
            <v>0</v>
          </cell>
          <cell r="BB157">
            <v>0</v>
          </cell>
          <cell r="BC157">
            <v>0</v>
          </cell>
          <cell r="BD157">
            <v>0</v>
          </cell>
          <cell r="BE157">
            <v>0</v>
          </cell>
          <cell r="BF157">
            <v>0</v>
          </cell>
          <cell r="BM157">
            <v>5737500</v>
          </cell>
          <cell r="BN157">
            <v>0</v>
          </cell>
          <cell r="BO157">
            <v>0</v>
          </cell>
          <cell r="BP157">
            <v>0</v>
          </cell>
          <cell r="BQ157">
            <v>0</v>
          </cell>
          <cell r="BR157">
            <v>0</v>
          </cell>
          <cell r="BS157">
            <v>0</v>
          </cell>
          <cell r="BT157">
            <v>0</v>
          </cell>
          <cell r="BU157">
            <v>0</v>
          </cell>
          <cell r="BV157">
            <v>0</v>
          </cell>
        </row>
        <row r="158">
          <cell r="F158">
            <v>0</v>
          </cell>
          <cell r="G158">
            <v>0</v>
          </cell>
          <cell r="H158">
            <v>0</v>
          </cell>
          <cell r="I158">
            <v>0</v>
          </cell>
          <cell r="J158">
            <v>0</v>
          </cell>
          <cell r="K158">
            <v>0</v>
          </cell>
          <cell r="L158">
            <v>0</v>
          </cell>
          <cell r="M158">
            <v>0</v>
          </cell>
          <cell r="N158">
            <v>0</v>
          </cell>
          <cell r="O158">
            <v>0</v>
          </cell>
          <cell r="P158">
            <v>0</v>
          </cell>
          <cell r="T158">
            <v>0</v>
          </cell>
          <cell r="U158">
            <v>0</v>
          </cell>
          <cell r="V158">
            <v>0</v>
          </cell>
          <cell r="W158">
            <v>0</v>
          </cell>
          <cell r="X158">
            <v>0</v>
          </cell>
          <cell r="Y158">
            <v>0</v>
          </cell>
          <cell r="Z158">
            <v>0</v>
          </cell>
          <cell r="AA158">
            <v>0</v>
          </cell>
          <cell r="AB158">
            <v>0</v>
          </cell>
          <cell r="AC158">
            <v>0</v>
          </cell>
          <cell r="AD158">
            <v>0</v>
          </cell>
          <cell r="AI158">
            <v>0</v>
          </cell>
          <cell r="AJ158">
            <v>0</v>
          </cell>
          <cell r="AK158">
            <v>0</v>
          </cell>
          <cell r="AL158">
            <v>0</v>
          </cell>
          <cell r="AM158">
            <v>0</v>
          </cell>
          <cell r="AN158">
            <v>0</v>
          </cell>
          <cell r="AO158">
            <v>0</v>
          </cell>
          <cell r="AP158">
            <v>0</v>
          </cell>
          <cell r="AQ158">
            <v>0</v>
          </cell>
          <cell r="AR158">
            <v>0</v>
          </cell>
          <cell r="AW158">
            <v>0</v>
          </cell>
          <cell r="AX158">
            <v>0</v>
          </cell>
          <cell r="AY158">
            <v>0</v>
          </cell>
          <cell r="AZ158">
            <v>0</v>
          </cell>
          <cell r="BA158">
            <v>0</v>
          </cell>
          <cell r="BB158">
            <v>0</v>
          </cell>
          <cell r="BC158">
            <v>0</v>
          </cell>
          <cell r="BD158">
            <v>0</v>
          </cell>
          <cell r="BE158">
            <v>0</v>
          </cell>
          <cell r="BF158">
            <v>0</v>
          </cell>
          <cell r="BK158">
            <v>0</v>
          </cell>
          <cell r="BL158">
            <v>0</v>
          </cell>
          <cell r="BM158">
            <v>0</v>
          </cell>
          <cell r="BN158">
            <v>0</v>
          </cell>
          <cell r="BO158">
            <v>0</v>
          </cell>
          <cell r="BP158">
            <v>0</v>
          </cell>
          <cell r="BQ158">
            <v>0</v>
          </cell>
          <cell r="BR158">
            <v>0</v>
          </cell>
          <cell r="BS158">
            <v>0</v>
          </cell>
          <cell r="BT158">
            <v>0</v>
          </cell>
          <cell r="BU158">
            <v>0</v>
          </cell>
          <cell r="BV158">
            <v>0</v>
          </cell>
        </row>
        <row r="159">
          <cell r="F159">
            <v>-4208</v>
          </cell>
          <cell r="G159">
            <v>0</v>
          </cell>
          <cell r="H159">
            <v>0</v>
          </cell>
          <cell r="I159">
            <v>0</v>
          </cell>
          <cell r="J159">
            <v>0</v>
          </cell>
          <cell r="K159">
            <v>0</v>
          </cell>
          <cell r="L159">
            <v>0</v>
          </cell>
          <cell r="M159">
            <v>0</v>
          </cell>
          <cell r="N159">
            <v>0</v>
          </cell>
          <cell r="O159">
            <v>0</v>
          </cell>
          <cell r="P159">
            <v>-4208</v>
          </cell>
          <cell r="T159">
            <v>0</v>
          </cell>
          <cell r="U159">
            <v>0</v>
          </cell>
          <cell r="V159">
            <v>0</v>
          </cell>
          <cell r="W159">
            <v>0</v>
          </cell>
          <cell r="X159">
            <v>0</v>
          </cell>
          <cell r="Y159">
            <v>0</v>
          </cell>
          <cell r="Z159">
            <v>0</v>
          </cell>
          <cell r="AA159">
            <v>0</v>
          </cell>
          <cell r="AB159">
            <v>0</v>
          </cell>
          <cell r="AC159">
            <v>0</v>
          </cell>
          <cell r="AD159">
            <v>0</v>
          </cell>
          <cell r="AI159">
            <v>0</v>
          </cell>
          <cell r="AJ159">
            <v>0</v>
          </cell>
          <cell r="AK159">
            <v>0</v>
          </cell>
          <cell r="AL159">
            <v>0</v>
          </cell>
          <cell r="AM159">
            <v>0</v>
          </cell>
          <cell r="AN159">
            <v>0</v>
          </cell>
          <cell r="AO159">
            <v>0</v>
          </cell>
          <cell r="AP159">
            <v>0</v>
          </cell>
          <cell r="AQ159">
            <v>0</v>
          </cell>
          <cell r="AR159">
            <v>0</v>
          </cell>
          <cell r="AW159">
            <v>0</v>
          </cell>
          <cell r="AX159">
            <v>0</v>
          </cell>
          <cell r="AY159">
            <v>0</v>
          </cell>
          <cell r="AZ159">
            <v>0</v>
          </cell>
          <cell r="BA159">
            <v>0</v>
          </cell>
          <cell r="BB159">
            <v>0</v>
          </cell>
          <cell r="BC159">
            <v>0</v>
          </cell>
          <cell r="BD159">
            <v>0</v>
          </cell>
          <cell r="BE159">
            <v>0</v>
          </cell>
          <cell r="BF159">
            <v>0</v>
          </cell>
          <cell r="BK159">
            <v>0</v>
          </cell>
          <cell r="BL159">
            <v>0</v>
          </cell>
          <cell r="BM159">
            <v>0</v>
          </cell>
          <cell r="BN159">
            <v>0</v>
          </cell>
          <cell r="BO159">
            <v>0</v>
          </cell>
          <cell r="BP159">
            <v>0</v>
          </cell>
          <cell r="BQ159">
            <v>0</v>
          </cell>
          <cell r="BR159">
            <v>0</v>
          </cell>
          <cell r="BS159">
            <v>0</v>
          </cell>
          <cell r="BT159">
            <v>-4208</v>
          </cell>
          <cell r="BU159">
            <v>0</v>
          </cell>
          <cell r="BV159">
            <v>0</v>
          </cell>
        </row>
        <row r="160">
          <cell r="F160">
            <v>2677500</v>
          </cell>
          <cell r="I160">
            <v>2677500</v>
          </cell>
          <cell r="J160">
            <v>0</v>
          </cell>
          <cell r="K160">
            <v>0</v>
          </cell>
          <cell r="L160">
            <v>0</v>
          </cell>
          <cell r="M160">
            <v>0</v>
          </cell>
          <cell r="N160">
            <v>0</v>
          </cell>
          <cell r="O160">
            <v>0</v>
          </cell>
          <cell r="P160">
            <v>0</v>
          </cell>
          <cell r="T160">
            <v>0</v>
          </cell>
          <cell r="X160">
            <v>0</v>
          </cell>
          <cell r="Y160">
            <v>0</v>
          </cell>
          <cell r="Z160">
            <v>0</v>
          </cell>
          <cell r="AA160">
            <v>0</v>
          </cell>
          <cell r="AB160">
            <v>0</v>
          </cell>
          <cell r="AC160">
            <v>0</v>
          </cell>
          <cell r="AD160">
            <v>0</v>
          </cell>
          <cell r="AL160">
            <v>0</v>
          </cell>
          <cell r="AM160">
            <v>0</v>
          </cell>
          <cell r="AN160">
            <v>0</v>
          </cell>
          <cell r="AO160">
            <v>0</v>
          </cell>
          <cell r="AP160">
            <v>0</v>
          </cell>
          <cell r="AQ160">
            <v>0</v>
          </cell>
          <cell r="AR160">
            <v>0</v>
          </cell>
          <cell r="AZ160">
            <v>0</v>
          </cell>
          <cell r="BA160">
            <v>0</v>
          </cell>
          <cell r="BB160">
            <v>0</v>
          </cell>
          <cell r="BC160">
            <v>0</v>
          </cell>
          <cell r="BD160">
            <v>0</v>
          </cell>
          <cell r="BE160">
            <v>0</v>
          </cell>
          <cell r="BF160">
            <v>0</v>
          </cell>
          <cell r="BM160">
            <v>2677500</v>
          </cell>
          <cell r="BN160">
            <v>0</v>
          </cell>
          <cell r="BO160">
            <v>0</v>
          </cell>
          <cell r="BP160">
            <v>0</v>
          </cell>
          <cell r="BQ160">
            <v>0</v>
          </cell>
          <cell r="BR160">
            <v>0</v>
          </cell>
          <cell r="BS160">
            <v>0</v>
          </cell>
          <cell r="BT160">
            <v>0</v>
          </cell>
          <cell r="BU160">
            <v>0</v>
          </cell>
          <cell r="BV160">
            <v>0</v>
          </cell>
        </row>
        <row r="161">
          <cell r="F161">
            <v>0</v>
          </cell>
          <cell r="G161">
            <v>0</v>
          </cell>
          <cell r="H161">
            <v>0</v>
          </cell>
          <cell r="I161">
            <v>0</v>
          </cell>
          <cell r="J161">
            <v>0</v>
          </cell>
          <cell r="K161">
            <v>0</v>
          </cell>
          <cell r="L161">
            <v>0</v>
          </cell>
          <cell r="M161">
            <v>0</v>
          </cell>
          <cell r="N161">
            <v>0</v>
          </cell>
          <cell r="O161">
            <v>0</v>
          </cell>
          <cell r="P161">
            <v>0</v>
          </cell>
          <cell r="T161">
            <v>0</v>
          </cell>
          <cell r="U161">
            <v>0</v>
          </cell>
          <cell r="V161">
            <v>0</v>
          </cell>
          <cell r="W161">
            <v>0</v>
          </cell>
          <cell r="X161">
            <v>0</v>
          </cell>
          <cell r="Y161">
            <v>0</v>
          </cell>
          <cell r="Z161">
            <v>0</v>
          </cell>
          <cell r="AA161">
            <v>0</v>
          </cell>
          <cell r="AB161">
            <v>0</v>
          </cell>
          <cell r="AC161">
            <v>0</v>
          </cell>
          <cell r="AD161">
            <v>0</v>
          </cell>
          <cell r="AI161">
            <v>0</v>
          </cell>
          <cell r="AJ161">
            <v>0</v>
          </cell>
          <cell r="AK161">
            <v>0</v>
          </cell>
          <cell r="AL161">
            <v>0</v>
          </cell>
          <cell r="AM161">
            <v>0</v>
          </cell>
          <cell r="AN161">
            <v>0</v>
          </cell>
          <cell r="AO161">
            <v>0</v>
          </cell>
          <cell r="AP161">
            <v>0</v>
          </cell>
          <cell r="AQ161">
            <v>0</v>
          </cell>
          <cell r="AR161">
            <v>0</v>
          </cell>
          <cell r="AW161">
            <v>115</v>
          </cell>
          <cell r="AX161">
            <v>115</v>
          </cell>
          <cell r="AY161">
            <v>115</v>
          </cell>
          <cell r="AZ161">
            <v>115</v>
          </cell>
          <cell r="BA161">
            <v>115</v>
          </cell>
          <cell r="BB161">
            <v>115</v>
          </cell>
          <cell r="BC161">
            <v>115</v>
          </cell>
          <cell r="BD161">
            <v>115</v>
          </cell>
          <cell r="BE161">
            <v>115</v>
          </cell>
          <cell r="BF161">
            <v>115</v>
          </cell>
          <cell r="BK161">
            <v>115</v>
          </cell>
          <cell r="BL161">
            <v>115</v>
          </cell>
          <cell r="BM161">
            <v>115</v>
          </cell>
          <cell r="BN161">
            <v>115</v>
          </cell>
          <cell r="BO161">
            <v>115</v>
          </cell>
          <cell r="BP161">
            <v>115</v>
          </cell>
          <cell r="BQ161">
            <v>115</v>
          </cell>
          <cell r="BR161">
            <v>115</v>
          </cell>
          <cell r="BS161">
            <v>115</v>
          </cell>
          <cell r="BT161">
            <v>115</v>
          </cell>
          <cell r="BU161">
            <v>0</v>
          </cell>
          <cell r="BV161">
            <v>0</v>
          </cell>
        </row>
        <row r="162">
          <cell r="F162">
            <v>1281180</v>
          </cell>
          <cell r="G162">
            <v>305403</v>
          </cell>
          <cell r="H162">
            <v>1183378</v>
          </cell>
          <cell r="I162">
            <v>707522</v>
          </cell>
          <cell r="J162">
            <v>68497</v>
          </cell>
          <cell r="K162">
            <v>-1143438</v>
          </cell>
          <cell r="L162">
            <v>433756</v>
          </cell>
          <cell r="M162">
            <v>-113034</v>
          </cell>
          <cell r="N162">
            <v>-893987</v>
          </cell>
          <cell r="O162">
            <v>2286951</v>
          </cell>
          <cell r="P162">
            <v>-1553868</v>
          </cell>
          <cell r="T162">
            <v>9331914</v>
          </cell>
          <cell r="U162">
            <v>-4415948</v>
          </cell>
          <cell r="V162">
            <v>6562244</v>
          </cell>
          <cell r="W162">
            <v>-323574</v>
          </cell>
          <cell r="X162">
            <v>4140723</v>
          </cell>
          <cell r="Y162">
            <v>3948129</v>
          </cell>
          <cell r="Z162">
            <v>2124426</v>
          </cell>
          <cell r="AA162">
            <v>-48704</v>
          </cell>
          <cell r="AB162">
            <v>-156061</v>
          </cell>
          <cell r="AC162">
            <v>-402153</v>
          </cell>
          <cell r="AD162">
            <v>-2097168</v>
          </cell>
          <cell r="AI162">
            <v>-6852</v>
          </cell>
          <cell r="AJ162">
            <v>14231</v>
          </cell>
          <cell r="AK162">
            <v>8488</v>
          </cell>
          <cell r="AL162">
            <v>6283</v>
          </cell>
          <cell r="AM162">
            <v>7867</v>
          </cell>
          <cell r="AN162">
            <v>2781</v>
          </cell>
          <cell r="AO162">
            <v>1393</v>
          </cell>
          <cell r="AP162">
            <v>1042</v>
          </cell>
          <cell r="AQ162">
            <v>-4193</v>
          </cell>
          <cell r="AR162">
            <v>-14494</v>
          </cell>
          <cell r="AW162">
            <v>0</v>
          </cell>
          <cell r="AX162">
            <v>0</v>
          </cell>
          <cell r="AY162">
            <v>0</v>
          </cell>
          <cell r="AZ162">
            <v>0</v>
          </cell>
          <cell r="BA162">
            <v>0</v>
          </cell>
          <cell r="BB162">
            <v>0</v>
          </cell>
          <cell r="BC162">
            <v>0</v>
          </cell>
          <cell r="BD162">
            <v>0</v>
          </cell>
          <cell r="BE162">
            <v>0</v>
          </cell>
          <cell r="BF162">
            <v>0</v>
          </cell>
          <cell r="BK162">
            <v>-4117397</v>
          </cell>
          <cell r="BL162">
            <v>7759853</v>
          </cell>
          <cell r="BM162">
            <v>392436</v>
          </cell>
          <cell r="BN162">
            <v>4215503</v>
          </cell>
          <cell r="BO162">
            <v>2812558</v>
          </cell>
          <cell r="BP162">
            <v>2560963</v>
          </cell>
          <cell r="BQ162">
            <v>-160345</v>
          </cell>
          <cell r="BR162">
            <v>-1049006</v>
          </cell>
          <cell r="BS162">
            <v>1880605</v>
          </cell>
          <cell r="BT162">
            <v>-3665530</v>
          </cell>
          <cell r="BU162">
            <v>0</v>
          </cell>
          <cell r="BV162">
            <v>0</v>
          </cell>
        </row>
        <row r="163">
          <cell r="F163">
            <v>68978</v>
          </cell>
          <cell r="G163">
            <v>8754</v>
          </cell>
          <cell r="H163">
            <v>7992</v>
          </cell>
          <cell r="I163">
            <v>8243</v>
          </cell>
          <cell r="J163">
            <v>8132</v>
          </cell>
          <cell r="K163">
            <v>8394</v>
          </cell>
          <cell r="L163">
            <v>8055</v>
          </cell>
          <cell r="M163">
            <v>-2296</v>
          </cell>
          <cell r="N163">
            <v>6799</v>
          </cell>
          <cell r="O163">
            <v>8086</v>
          </cell>
          <cell r="P163">
            <v>6819</v>
          </cell>
          <cell r="T163">
            <v>50634</v>
          </cell>
          <cell r="U163">
            <v>5301</v>
          </cell>
          <cell r="V163">
            <v>4839</v>
          </cell>
          <cell r="W163">
            <v>4992</v>
          </cell>
          <cell r="X163">
            <v>4924</v>
          </cell>
          <cell r="Y163">
            <v>5083</v>
          </cell>
          <cell r="Z163">
            <v>4878</v>
          </cell>
          <cell r="AA163">
            <v>5492</v>
          </cell>
          <cell r="AB163">
            <v>5107</v>
          </cell>
          <cell r="AC163">
            <v>4896</v>
          </cell>
          <cell r="AD163">
            <v>5122</v>
          </cell>
          <cell r="AI163">
            <v>54</v>
          </cell>
          <cell r="AJ163">
            <v>50</v>
          </cell>
          <cell r="AK163">
            <v>51</v>
          </cell>
          <cell r="AL163">
            <v>50</v>
          </cell>
          <cell r="AM163">
            <v>52</v>
          </cell>
          <cell r="AN163">
            <v>50</v>
          </cell>
          <cell r="AO163">
            <v>-308</v>
          </cell>
          <cell r="AP163">
            <v>0</v>
          </cell>
          <cell r="AQ163">
            <v>50</v>
          </cell>
          <cell r="AR163">
            <v>0</v>
          </cell>
          <cell r="AW163">
            <v>0</v>
          </cell>
          <cell r="AX163">
            <v>0</v>
          </cell>
          <cell r="AY163">
            <v>0</v>
          </cell>
          <cell r="AZ163">
            <v>0</v>
          </cell>
          <cell r="BA163">
            <v>0</v>
          </cell>
          <cell r="BB163">
            <v>0</v>
          </cell>
          <cell r="BC163">
            <v>0</v>
          </cell>
          <cell r="BD163">
            <v>0</v>
          </cell>
          <cell r="BE163">
            <v>0</v>
          </cell>
          <cell r="BF163">
            <v>0</v>
          </cell>
          <cell r="BK163">
            <v>14109</v>
          </cell>
          <cell r="BL163">
            <v>12881</v>
          </cell>
          <cell r="BM163">
            <v>13286</v>
          </cell>
          <cell r="BN163">
            <v>13106</v>
          </cell>
          <cell r="BO163">
            <v>13529</v>
          </cell>
          <cell r="BP163">
            <v>12983</v>
          </cell>
          <cell r="BQ163">
            <v>2888</v>
          </cell>
          <cell r="BR163">
            <v>11906</v>
          </cell>
          <cell r="BS163">
            <v>13032</v>
          </cell>
          <cell r="BT163">
            <v>11941</v>
          </cell>
          <cell r="BU163">
            <v>0</v>
          </cell>
          <cell r="BV163">
            <v>0</v>
          </cell>
        </row>
        <row r="164">
          <cell r="F164">
            <v>142077</v>
          </cell>
          <cell r="G164">
            <v>7702</v>
          </cell>
          <cell r="H164">
            <v>3010</v>
          </cell>
          <cell r="I164">
            <v>75192</v>
          </cell>
          <cell r="J164">
            <v>29526</v>
          </cell>
          <cell r="K164">
            <v>17490</v>
          </cell>
          <cell r="L164">
            <v>-5829</v>
          </cell>
          <cell r="M164">
            <v>3174</v>
          </cell>
          <cell r="N164">
            <v>-21080</v>
          </cell>
          <cell r="O164">
            <v>23694</v>
          </cell>
          <cell r="P164">
            <v>9198</v>
          </cell>
          <cell r="T164">
            <v>125036</v>
          </cell>
          <cell r="U164">
            <v>6778</v>
          </cell>
          <cell r="V164">
            <v>2649</v>
          </cell>
          <cell r="W164">
            <v>66173</v>
          </cell>
          <cell r="X164">
            <v>25984</v>
          </cell>
          <cell r="Y164">
            <v>15392</v>
          </cell>
          <cell r="Z164">
            <v>-5130</v>
          </cell>
          <cell r="AA164">
            <v>2793</v>
          </cell>
          <cell r="AB164">
            <v>-18550</v>
          </cell>
          <cell r="AC164">
            <v>20852</v>
          </cell>
          <cell r="AD164">
            <v>8095</v>
          </cell>
          <cell r="AI164">
            <v>0</v>
          </cell>
          <cell r="AJ164">
            <v>0</v>
          </cell>
          <cell r="AK164">
            <v>0</v>
          </cell>
          <cell r="AL164">
            <v>0</v>
          </cell>
          <cell r="AM164">
            <v>0</v>
          </cell>
          <cell r="AN164">
            <v>0</v>
          </cell>
          <cell r="AO164">
            <v>0</v>
          </cell>
          <cell r="AP164">
            <v>0</v>
          </cell>
          <cell r="AQ164">
            <v>0</v>
          </cell>
          <cell r="AR164">
            <v>0</v>
          </cell>
          <cell r="AW164">
            <v>0</v>
          </cell>
          <cell r="AX164">
            <v>0</v>
          </cell>
          <cell r="AY164">
            <v>0</v>
          </cell>
          <cell r="AZ164">
            <v>0</v>
          </cell>
          <cell r="BA164">
            <v>0</v>
          </cell>
          <cell r="BB164">
            <v>0</v>
          </cell>
          <cell r="BC164">
            <v>0</v>
          </cell>
          <cell r="BD164">
            <v>0</v>
          </cell>
          <cell r="BE164">
            <v>0</v>
          </cell>
          <cell r="BF164">
            <v>0</v>
          </cell>
          <cell r="BK164">
            <v>14480</v>
          </cell>
          <cell r="BL164">
            <v>5659</v>
          </cell>
          <cell r="BM164">
            <v>141365</v>
          </cell>
          <cell r="BN164">
            <v>55510</v>
          </cell>
          <cell r="BO164">
            <v>32882</v>
          </cell>
          <cell r="BP164">
            <v>-10959</v>
          </cell>
          <cell r="BQ164">
            <v>5967</v>
          </cell>
          <cell r="BR164">
            <v>-39630</v>
          </cell>
          <cell r="BS164">
            <v>44546</v>
          </cell>
          <cell r="BT164">
            <v>17293</v>
          </cell>
          <cell r="BU164">
            <v>0</v>
          </cell>
          <cell r="BV164">
            <v>0</v>
          </cell>
        </row>
        <row r="165">
          <cell r="F165">
            <v>0</v>
          </cell>
          <cell r="G165">
            <v>0</v>
          </cell>
          <cell r="H165">
            <v>0</v>
          </cell>
          <cell r="I165">
            <v>0</v>
          </cell>
          <cell r="J165">
            <v>0</v>
          </cell>
          <cell r="K165">
            <v>0</v>
          </cell>
          <cell r="L165">
            <v>0</v>
          </cell>
          <cell r="M165">
            <v>0</v>
          </cell>
          <cell r="N165">
            <v>0</v>
          </cell>
          <cell r="O165">
            <v>0</v>
          </cell>
          <cell r="P165">
            <v>0</v>
          </cell>
          <cell r="T165">
            <v>0</v>
          </cell>
          <cell r="U165">
            <v>0</v>
          </cell>
          <cell r="V165">
            <v>0</v>
          </cell>
          <cell r="W165">
            <v>0</v>
          </cell>
          <cell r="X165">
            <v>0</v>
          </cell>
          <cell r="Y165">
            <v>0</v>
          </cell>
          <cell r="Z165">
            <v>0</v>
          </cell>
          <cell r="AA165">
            <v>0</v>
          </cell>
          <cell r="AB165">
            <v>0</v>
          </cell>
          <cell r="AC165">
            <v>0</v>
          </cell>
          <cell r="AD165">
            <v>0</v>
          </cell>
          <cell r="AI165">
            <v>0</v>
          </cell>
          <cell r="AJ165">
            <v>0</v>
          </cell>
          <cell r="AK165">
            <v>0</v>
          </cell>
          <cell r="AL165">
            <v>0</v>
          </cell>
          <cell r="AM165">
            <v>0</v>
          </cell>
          <cell r="AN165">
            <v>0</v>
          </cell>
          <cell r="AO165">
            <v>0</v>
          </cell>
          <cell r="AP165">
            <v>0</v>
          </cell>
          <cell r="AQ165">
            <v>0</v>
          </cell>
          <cell r="AR165">
            <v>0</v>
          </cell>
          <cell r="AW165">
            <v>0</v>
          </cell>
          <cell r="AX165">
            <v>0</v>
          </cell>
          <cell r="AY165">
            <v>0</v>
          </cell>
          <cell r="AZ165">
            <v>0</v>
          </cell>
          <cell r="BA165">
            <v>0</v>
          </cell>
          <cell r="BB165">
            <v>0</v>
          </cell>
          <cell r="BC165">
            <v>0</v>
          </cell>
          <cell r="BD165">
            <v>0</v>
          </cell>
          <cell r="BE165">
            <v>0</v>
          </cell>
          <cell r="BF165">
            <v>0</v>
          </cell>
          <cell r="BK165">
            <v>0</v>
          </cell>
          <cell r="BL165">
            <v>0</v>
          </cell>
          <cell r="BM165">
            <v>0</v>
          </cell>
          <cell r="BN165">
            <v>0</v>
          </cell>
          <cell r="BO165">
            <v>0</v>
          </cell>
          <cell r="BP165">
            <v>0</v>
          </cell>
          <cell r="BQ165">
            <v>0</v>
          </cell>
          <cell r="BR165">
            <v>0</v>
          </cell>
          <cell r="BS165">
            <v>0</v>
          </cell>
          <cell r="BT165">
            <v>0</v>
          </cell>
          <cell r="BU165">
            <v>0</v>
          </cell>
          <cell r="BV165">
            <v>0</v>
          </cell>
        </row>
        <row r="166">
          <cell r="F166">
            <v>-4122</v>
          </cell>
          <cell r="G166">
            <v>283</v>
          </cell>
          <cell r="H166">
            <v>6</v>
          </cell>
          <cell r="I166">
            <v>6029</v>
          </cell>
          <cell r="J166">
            <v>10459</v>
          </cell>
          <cell r="K166">
            <v>-4721</v>
          </cell>
          <cell r="L166">
            <v>-20850</v>
          </cell>
          <cell r="M166">
            <v>2798</v>
          </cell>
          <cell r="N166">
            <v>0</v>
          </cell>
          <cell r="O166">
            <v>1254</v>
          </cell>
          <cell r="P166">
            <v>620</v>
          </cell>
          <cell r="T166">
            <v>-2636</v>
          </cell>
          <cell r="U166">
            <v>0</v>
          </cell>
          <cell r="V166">
            <v>0</v>
          </cell>
          <cell r="W166">
            <v>0</v>
          </cell>
          <cell r="X166">
            <v>0</v>
          </cell>
          <cell r="Y166">
            <v>7708</v>
          </cell>
          <cell r="Z166">
            <v>-13331</v>
          </cell>
          <cell r="AA166">
            <v>1789</v>
          </cell>
          <cell r="AB166">
            <v>0</v>
          </cell>
          <cell r="AC166">
            <v>802</v>
          </cell>
          <cell r="AD166">
            <v>396</v>
          </cell>
          <cell r="AI166">
            <v>0</v>
          </cell>
          <cell r="AJ166">
            <v>0</v>
          </cell>
          <cell r="AK166">
            <v>0</v>
          </cell>
          <cell r="AL166">
            <v>0</v>
          </cell>
          <cell r="AM166">
            <v>0</v>
          </cell>
          <cell r="AN166">
            <v>0</v>
          </cell>
          <cell r="AO166">
            <v>0</v>
          </cell>
          <cell r="AP166">
            <v>0</v>
          </cell>
          <cell r="AQ166">
            <v>0</v>
          </cell>
          <cell r="AR166">
            <v>0</v>
          </cell>
          <cell r="AW166">
            <v>0</v>
          </cell>
          <cell r="AX166">
            <v>0</v>
          </cell>
          <cell r="AY166">
            <v>0</v>
          </cell>
          <cell r="AZ166">
            <v>0</v>
          </cell>
          <cell r="BA166">
            <v>0</v>
          </cell>
          <cell r="BB166">
            <v>0</v>
          </cell>
          <cell r="BC166">
            <v>0</v>
          </cell>
          <cell r="BD166">
            <v>0</v>
          </cell>
          <cell r="BE166">
            <v>0</v>
          </cell>
          <cell r="BF166">
            <v>0</v>
          </cell>
          <cell r="BK166">
            <v>283</v>
          </cell>
          <cell r="BL166">
            <v>6</v>
          </cell>
          <cell r="BM166">
            <v>6029</v>
          </cell>
          <cell r="BN166">
            <v>10459</v>
          </cell>
          <cell r="BO166">
            <v>2987</v>
          </cell>
          <cell r="BP166">
            <v>-34181</v>
          </cell>
          <cell r="BQ166">
            <v>4587</v>
          </cell>
          <cell r="BR166">
            <v>0</v>
          </cell>
          <cell r="BS166">
            <v>2056</v>
          </cell>
          <cell r="BT166">
            <v>1016</v>
          </cell>
          <cell r="BU166">
            <v>0</v>
          </cell>
          <cell r="BV166">
            <v>0</v>
          </cell>
        </row>
        <row r="167">
          <cell r="F167">
            <v>-2843310</v>
          </cell>
          <cell r="G167">
            <v>-284331</v>
          </cell>
          <cell r="H167">
            <v>-284331</v>
          </cell>
          <cell r="I167">
            <v>-284331</v>
          </cell>
          <cell r="J167">
            <v>-284331</v>
          </cell>
          <cell r="K167">
            <v>-284331</v>
          </cell>
          <cell r="L167">
            <v>-284331</v>
          </cell>
          <cell r="M167">
            <v>-284331</v>
          </cell>
          <cell r="N167">
            <v>-284331</v>
          </cell>
          <cell r="O167">
            <v>-284331</v>
          </cell>
          <cell r="P167">
            <v>-284331</v>
          </cell>
          <cell r="T167">
            <v>-1895530</v>
          </cell>
          <cell r="U167">
            <v>-189553</v>
          </cell>
          <cell r="V167">
            <v>-189553</v>
          </cell>
          <cell r="W167">
            <v>-189553</v>
          </cell>
          <cell r="X167">
            <v>-189553</v>
          </cell>
          <cell r="Y167">
            <v>-189553</v>
          </cell>
          <cell r="Z167">
            <v>-189553</v>
          </cell>
          <cell r="AA167">
            <v>-189553</v>
          </cell>
          <cell r="AB167">
            <v>-189553</v>
          </cell>
          <cell r="AC167">
            <v>-189553</v>
          </cell>
          <cell r="AD167">
            <v>-189553</v>
          </cell>
          <cell r="AI167">
            <v>0</v>
          </cell>
          <cell r="AJ167">
            <v>0</v>
          </cell>
          <cell r="AK167">
            <v>0</v>
          </cell>
          <cell r="AL167">
            <v>0</v>
          </cell>
          <cell r="AM167">
            <v>0</v>
          </cell>
          <cell r="AN167">
            <v>0</v>
          </cell>
          <cell r="AO167">
            <v>0</v>
          </cell>
          <cell r="AP167">
            <v>0</v>
          </cell>
          <cell r="AQ167">
            <v>0</v>
          </cell>
          <cell r="AR167">
            <v>0</v>
          </cell>
          <cell r="AW167">
            <v>0</v>
          </cell>
          <cell r="AX167">
            <v>0</v>
          </cell>
          <cell r="AY167">
            <v>0</v>
          </cell>
          <cell r="AZ167">
            <v>0</v>
          </cell>
          <cell r="BA167">
            <v>0</v>
          </cell>
          <cell r="BB167">
            <v>0</v>
          </cell>
          <cell r="BC167">
            <v>0</v>
          </cell>
          <cell r="BD167">
            <v>0</v>
          </cell>
          <cell r="BE167">
            <v>0</v>
          </cell>
          <cell r="BF167">
            <v>0</v>
          </cell>
          <cell r="BK167">
            <v>-473884</v>
          </cell>
          <cell r="BL167">
            <v>-473884</v>
          </cell>
          <cell r="BM167">
            <v>-473884</v>
          </cell>
          <cell r="BN167">
            <v>-473884</v>
          </cell>
          <cell r="BO167">
            <v>-473884</v>
          </cell>
          <cell r="BP167">
            <v>-473884</v>
          </cell>
          <cell r="BQ167">
            <v>-473884</v>
          </cell>
          <cell r="BR167">
            <v>-473884</v>
          </cell>
          <cell r="BS167">
            <v>-473884</v>
          </cell>
          <cell r="BT167">
            <v>-473884</v>
          </cell>
          <cell r="BU167">
            <v>0</v>
          </cell>
          <cell r="BV167">
            <v>0</v>
          </cell>
        </row>
        <row r="168">
          <cell r="F168">
            <v>2415556</v>
          </cell>
          <cell r="G168">
            <v>172496</v>
          </cell>
          <cell r="H168">
            <v>252422</v>
          </cell>
          <cell r="I168">
            <v>313773</v>
          </cell>
          <cell r="J168">
            <v>136812</v>
          </cell>
          <cell r="K168">
            <v>192018</v>
          </cell>
          <cell r="L168">
            <v>203918</v>
          </cell>
          <cell r="M168">
            <v>282642</v>
          </cell>
          <cell r="N168">
            <v>181265</v>
          </cell>
          <cell r="O168">
            <v>182335</v>
          </cell>
          <cell r="P168">
            <v>497875</v>
          </cell>
          <cell r="T168">
            <v>506444</v>
          </cell>
          <cell r="U168">
            <v>35</v>
          </cell>
          <cell r="V168">
            <v>-1504</v>
          </cell>
          <cell r="W168">
            <v>76677</v>
          </cell>
          <cell r="X168">
            <v>50418</v>
          </cell>
          <cell r="Y168">
            <v>32546</v>
          </cell>
          <cell r="Z168">
            <v>49197</v>
          </cell>
          <cell r="AA168">
            <v>44062</v>
          </cell>
          <cell r="AB168">
            <v>60575</v>
          </cell>
          <cell r="AC168">
            <v>59560</v>
          </cell>
          <cell r="AD168">
            <v>134878</v>
          </cell>
          <cell r="AI168">
            <v>0</v>
          </cell>
          <cell r="AJ168">
            <v>0</v>
          </cell>
          <cell r="AK168">
            <v>0</v>
          </cell>
          <cell r="AL168">
            <v>0</v>
          </cell>
          <cell r="AM168">
            <v>0</v>
          </cell>
          <cell r="AN168">
            <v>0</v>
          </cell>
          <cell r="AO168">
            <v>0</v>
          </cell>
          <cell r="AP168">
            <v>0</v>
          </cell>
          <cell r="AQ168">
            <v>0</v>
          </cell>
          <cell r="AR168">
            <v>0</v>
          </cell>
          <cell r="AW168">
            <v>0</v>
          </cell>
          <cell r="AX168">
            <v>0</v>
          </cell>
          <cell r="AY168">
            <v>0</v>
          </cell>
          <cell r="AZ168">
            <v>0</v>
          </cell>
          <cell r="BA168">
            <v>0</v>
          </cell>
          <cell r="BB168">
            <v>0</v>
          </cell>
          <cell r="BC168">
            <v>0</v>
          </cell>
          <cell r="BD168">
            <v>0</v>
          </cell>
          <cell r="BE168">
            <v>0</v>
          </cell>
          <cell r="BF168">
            <v>0</v>
          </cell>
          <cell r="BK168">
            <v>172531</v>
          </cell>
          <cell r="BL168">
            <v>250918</v>
          </cell>
          <cell r="BM168">
            <v>390450</v>
          </cell>
          <cell r="BN168">
            <v>187230</v>
          </cell>
          <cell r="BO168">
            <v>224564</v>
          </cell>
          <cell r="BP168">
            <v>253115</v>
          </cell>
          <cell r="BQ168">
            <v>326704</v>
          </cell>
          <cell r="BR168">
            <v>241840</v>
          </cell>
          <cell r="BS168">
            <v>241895</v>
          </cell>
          <cell r="BT168">
            <v>632753</v>
          </cell>
          <cell r="BU168">
            <v>0</v>
          </cell>
          <cell r="BV168">
            <v>0</v>
          </cell>
        </row>
        <row r="169">
          <cell r="F169">
            <v>-1077082</v>
          </cell>
          <cell r="G169">
            <v>-81667</v>
          </cell>
          <cell r="H169">
            <v>-81667</v>
          </cell>
          <cell r="I169">
            <v>-81667</v>
          </cell>
          <cell r="J169">
            <v>-81667</v>
          </cell>
          <cell r="K169">
            <v>-81667</v>
          </cell>
          <cell r="L169">
            <v>-81667</v>
          </cell>
          <cell r="M169">
            <v>-146770</v>
          </cell>
          <cell r="N169">
            <v>-146770</v>
          </cell>
          <cell r="O169">
            <v>-146770</v>
          </cell>
          <cell r="P169">
            <v>-146770</v>
          </cell>
          <cell r="T169">
            <v>-254726</v>
          </cell>
          <cell r="U169">
            <v>-18863</v>
          </cell>
          <cell r="V169">
            <v>-18863</v>
          </cell>
          <cell r="W169">
            <v>-18863</v>
          </cell>
          <cell r="X169">
            <v>-18863</v>
          </cell>
          <cell r="Y169">
            <v>-18863</v>
          </cell>
          <cell r="Z169">
            <v>-18863</v>
          </cell>
          <cell r="AA169">
            <v>-35387</v>
          </cell>
          <cell r="AB169">
            <v>-35387</v>
          </cell>
          <cell r="AC169">
            <v>-35387</v>
          </cell>
          <cell r="AD169">
            <v>-35387</v>
          </cell>
          <cell r="AI169">
            <v>0</v>
          </cell>
          <cell r="AJ169">
            <v>0</v>
          </cell>
          <cell r="AK169">
            <v>0</v>
          </cell>
          <cell r="AL169">
            <v>0</v>
          </cell>
          <cell r="AM169">
            <v>0</v>
          </cell>
          <cell r="AN169">
            <v>0</v>
          </cell>
          <cell r="AO169">
            <v>0</v>
          </cell>
          <cell r="AP169">
            <v>0</v>
          </cell>
          <cell r="AQ169">
            <v>0</v>
          </cell>
          <cell r="AR169">
            <v>0</v>
          </cell>
          <cell r="AW169">
            <v>0</v>
          </cell>
          <cell r="AX169">
            <v>0</v>
          </cell>
          <cell r="AY169">
            <v>0</v>
          </cell>
          <cell r="AZ169">
            <v>0</v>
          </cell>
          <cell r="BA169">
            <v>0</v>
          </cell>
          <cell r="BB169">
            <v>0</v>
          </cell>
          <cell r="BC169">
            <v>0</v>
          </cell>
          <cell r="BD169">
            <v>0</v>
          </cell>
          <cell r="BE169">
            <v>0</v>
          </cell>
          <cell r="BF169">
            <v>0</v>
          </cell>
          <cell r="BK169">
            <v>-100530</v>
          </cell>
          <cell r="BL169">
            <v>-100530</v>
          </cell>
          <cell r="BM169">
            <v>-100530</v>
          </cell>
          <cell r="BN169">
            <v>-100530</v>
          </cell>
          <cell r="BO169">
            <v>-100530</v>
          </cell>
          <cell r="BP169">
            <v>-100530</v>
          </cell>
          <cell r="BQ169">
            <v>-182157</v>
          </cell>
          <cell r="BR169">
            <v>-182157</v>
          </cell>
          <cell r="BS169">
            <v>-182157</v>
          </cell>
          <cell r="BT169">
            <v>-182157</v>
          </cell>
          <cell r="BU169">
            <v>0</v>
          </cell>
          <cell r="BV169">
            <v>0</v>
          </cell>
        </row>
        <row r="170">
          <cell r="F170">
            <v>-1077588</v>
          </cell>
          <cell r="G170">
            <v>-143882</v>
          </cell>
          <cell r="H170">
            <v>-121298</v>
          </cell>
          <cell r="I170">
            <v>-127450</v>
          </cell>
          <cell r="J170">
            <v>-129307</v>
          </cell>
          <cell r="K170">
            <v>-145098</v>
          </cell>
          <cell r="L170">
            <v>-158661</v>
          </cell>
          <cell r="M170">
            <v>-134715</v>
          </cell>
          <cell r="N170">
            <v>-46257</v>
          </cell>
          <cell r="O170">
            <v>-37241</v>
          </cell>
          <cell r="P170">
            <v>-33679</v>
          </cell>
          <cell r="T170">
            <v>0</v>
          </cell>
          <cell r="U170">
            <v>0</v>
          </cell>
          <cell r="V170">
            <v>0</v>
          </cell>
          <cell r="W170">
            <v>0</v>
          </cell>
          <cell r="X170">
            <v>0</v>
          </cell>
          <cell r="Y170">
            <v>0</v>
          </cell>
          <cell r="Z170">
            <v>0</v>
          </cell>
          <cell r="AA170">
            <v>0</v>
          </cell>
          <cell r="AB170">
            <v>0</v>
          </cell>
          <cell r="AC170">
            <v>0</v>
          </cell>
          <cell r="AD170">
            <v>0</v>
          </cell>
          <cell r="AI170">
            <v>0</v>
          </cell>
          <cell r="AJ170">
            <v>0</v>
          </cell>
          <cell r="AK170">
            <v>0</v>
          </cell>
          <cell r="AL170">
            <v>0</v>
          </cell>
          <cell r="AM170">
            <v>0</v>
          </cell>
          <cell r="AN170">
            <v>0</v>
          </cell>
          <cell r="AO170">
            <v>0</v>
          </cell>
          <cell r="AP170">
            <v>0</v>
          </cell>
          <cell r="AQ170">
            <v>0</v>
          </cell>
          <cell r="AR170">
            <v>0</v>
          </cell>
          <cell r="AW170">
            <v>0</v>
          </cell>
          <cell r="AX170">
            <v>0</v>
          </cell>
          <cell r="AY170">
            <v>0</v>
          </cell>
          <cell r="AZ170">
            <v>0</v>
          </cell>
          <cell r="BA170">
            <v>0</v>
          </cell>
          <cell r="BB170">
            <v>0</v>
          </cell>
          <cell r="BC170">
            <v>0</v>
          </cell>
          <cell r="BD170">
            <v>0</v>
          </cell>
          <cell r="BE170">
            <v>0</v>
          </cell>
          <cell r="BF170">
            <v>0</v>
          </cell>
          <cell r="BK170">
            <v>-143882</v>
          </cell>
          <cell r="BL170">
            <v>-121298</v>
          </cell>
          <cell r="BM170">
            <v>-127450</v>
          </cell>
          <cell r="BN170">
            <v>-129307</v>
          </cell>
          <cell r="BO170">
            <v>-145098</v>
          </cell>
          <cell r="BP170">
            <v>-158661</v>
          </cell>
          <cell r="BQ170">
            <v>-134715</v>
          </cell>
          <cell r="BR170">
            <v>-46257</v>
          </cell>
          <cell r="BS170">
            <v>-37241</v>
          </cell>
          <cell r="BT170">
            <v>-33679</v>
          </cell>
          <cell r="BU170">
            <v>0</v>
          </cell>
          <cell r="BV170">
            <v>0</v>
          </cell>
        </row>
        <row r="171">
          <cell r="F171">
            <v>0</v>
          </cell>
          <cell r="G171">
            <v>0</v>
          </cell>
          <cell r="H171">
            <v>0</v>
          </cell>
          <cell r="I171">
            <v>0</v>
          </cell>
          <cell r="J171">
            <v>0</v>
          </cell>
          <cell r="K171">
            <v>0</v>
          </cell>
          <cell r="L171">
            <v>0</v>
          </cell>
          <cell r="M171">
            <v>0</v>
          </cell>
          <cell r="N171">
            <v>0</v>
          </cell>
          <cell r="O171">
            <v>0</v>
          </cell>
          <cell r="P171">
            <v>0</v>
          </cell>
          <cell r="T171">
            <v>0</v>
          </cell>
          <cell r="U171">
            <v>0</v>
          </cell>
          <cell r="V171">
            <v>0</v>
          </cell>
          <cell r="W171">
            <v>0</v>
          </cell>
          <cell r="X171">
            <v>0</v>
          </cell>
          <cell r="Y171">
            <v>0</v>
          </cell>
          <cell r="Z171">
            <v>0</v>
          </cell>
          <cell r="AA171">
            <v>0</v>
          </cell>
          <cell r="AB171">
            <v>0</v>
          </cell>
          <cell r="AC171">
            <v>0</v>
          </cell>
          <cell r="AD171">
            <v>0</v>
          </cell>
          <cell r="AI171">
            <v>0</v>
          </cell>
          <cell r="AJ171">
            <v>0</v>
          </cell>
          <cell r="AK171">
            <v>0</v>
          </cell>
          <cell r="AL171">
            <v>0</v>
          </cell>
          <cell r="AM171">
            <v>0</v>
          </cell>
          <cell r="AN171">
            <v>0</v>
          </cell>
          <cell r="AO171">
            <v>0</v>
          </cell>
          <cell r="AP171">
            <v>0</v>
          </cell>
          <cell r="AQ171">
            <v>0</v>
          </cell>
          <cell r="AR171">
            <v>0</v>
          </cell>
          <cell r="AW171">
            <v>0</v>
          </cell>
          <cell r="AX171">
            <v>0</v>
          </cell>
          <cell r="AY171">
            <v>0</v>
          </cell>
          <cell r="AZ171">
            <v>0</v>
          </cell>
          <cell r="BA171">
            <v>0</v>
          </cell>
          <cell r="BB171">
            <v>0</v>
          </cell>
          <cell r="BC171">
            <v>0</v>
          </cell>
          <cell r="BD171">
            <v>0</v>
          </cell>
          <cell r="BE171">
            <v>0</v>
          </cell>
          <cell r="BF171">
            <v>0</v>
          </cell>
          <cell r="BK171">
            <v>0</v>
          </cell>
          <cell r="BL171">
            <v>0</v>
          </cell>
          <cell r="BM171">
            <v>0</v>
          </cell>
          <cell r="BN171">
            <v>0</v>
          </cell>
          <cell r="BO171">
            <v>0</v>
          </cell>
          <cell r="BP171">
            <v>0</v>
          </cell>
          <cell r="BQ171">
            <v>0</v>
          </cell>
          <cell r="BR171">
            <v>0</v>
          </cell>
          <cell r="BS171">
            <v>0</v>
          </cell>
          <cell r="BT171">
            <v>0</v>
          </cell>
          <cell r="BU171">
            <v>0</v>
          </cell>
          <cell r="BV171">
            <v>0</v>
          </cell>
        </row>
        <row r="172">
          <cell r="F172">
            <v>-2686641</v>
          </cell>
          <cell r="G172">
            <v>-211755</v>
          </cell>
          <cell r="H172">
            <v>-695396</v>
          </cell>
          <cell r="I172">
            <v>-354530</v>
          </cell>
          <cell r="J172">
            <v>-566544</v>
          </cell>
          <cell r="K172">
            <v>629557</v>
          </cell>
          <cell r="L172">
            <v>-793635</v>
          </cell>
          <cell r="M172">
            <v>-860002</v>
          </cell>
          <cell r="N172">
            <v>2284822</v>
          </cell>
          <cell r="O172">
            <v>-896042</v>
          </cell>
          <cell r="P172">
            <v>-1223116</v>
          </cell>
          <cell r="T172">
            <v>-7329293</v>
          </cell>
          <cell r="U172">
            <v>536466</v>
          </cell>
          <cell r="V172">
            <v>-6541106</v>
          </cell>
          <cell r="W172">
            <v>-3400074</v>
          </cell>
          <cell r="X172">
            <v>-3821878</v>
          </cell>
          <cell r="Y172">
            <v>-1396182</v>
          </cell>
          <cell r="Z172">
            <v>-858406</v>
          </cell>
          <cell r="AA172">
            <v>1030680</v>
          </cell>
          <cell r="AB172">
            <v>1612530</v>
          </cell>
          <cell r="AC172">
            <v>1935829</v>
          </cell>
          <cell r="AD172">
            <v>3572848</v>
          </cell>
          <cell r="AI172">
            <v>77667</v>
          </cell>
          <cell r="AJ172">
            <v>-37176</v>
          </cell>
          <cell r="AK172">
            <v>16820</v>
          </cell>
          <cell r="AL172">
            <v>-13453</v>
          </cell>
          <cell r="AM172">
            <v>24976</v>
          </cell>
          <cell r="AN172">
            <v>-7173</v>
          </cell>
          <cell r="AO172">
            <v>-23343</v>
          </cell>
          <cell r="AP172">
            <v>8823</v>
          </cell>
          <cell r="AQ172">
            <v>40114</v>
          </cell>
          <cell r="AR172">
            <v>37298</v>
          </cell>
          <cell r="AW172">
            <v>0</v>
          </cell>
          <cell r="AX172">
            <v>0</v>
          </cell>
          <cell r="AY172">
            <v>0</v>
          </cell>
          <cell r="AZ172">
            <v>0</v>
          </cell>
          <cell r="BA172">
            <v>0</v>
          </cell>
          <cell r="BB172">
            <v>0</v>
          </cell>
          <cell r="BC172">
            <v>0</v>
          </cell>
          <cell r="BD172">
            <v>0</v>
          </cell>
          <cell r="BE172">
            <v>0</v>
          </cell>
          <cell r="BF172">
            <v>0</v>
          </cell>
          <cell r="BK172">
            <v>402378</v>
          </cell>
          <cell r="BL172">
            <v>-7273678</v>
          </cell>
          <cell r="BM172">
            <v>-3737784</v>
          </cell>
          <cell r="BN172">
            <v>-4401875</v>
          </cell>
          <cell r="BO172">
            <v>-741649</v>
          </cell>
          <cell r="BP172">
            <v>-1659214</v>
          </cell>
          <cell r="BQ172">
            <v>147335</v>
          </cell>
          <cell r="BR172">
            <v>3906175</v>
          </cell>
          <cell r="BS172">
            <v>1079901</v>
          </cell>
          <cell r="BT172">
            <v>2387030</v>
          </cell>
          <cell r="BU172">
            <v>0</v>
          </cell>
          <cell r="BV172">
            <v>0</v>
          </cell>
        </row>
        <row r="173">
          <cell r="F173">
            <v>0</v>
          </cell>
          <cell r="G173">
            <v>0</v>
          </cell>
          <cell r="H173">
            <v>0</v>
          </cell>
          <cell r="I173">
            <v>0</v>
          </cell>
          <cell r="J173">
            <v>0</v>
          </cell>
          <cell r="K173">
            <v>0</v>
          </cell>
          <cell r="L173">
            <v>0</v>
          </cell>
          <cell r="M173">
            <v>0</v>
          </cell>
          <cell r="N173">
            <v>0</v>
          </cell>
          <cell r="O173">
            <v>0</v>
          </cell>
          <cell r="P173">
            <v>0</v>
          </cell>
          <cell r="T173">
            <v>0</v>
          </cell>
          <cell r="U173">
            <v>0</v>
          </cell>
          <cell r="V173">
            <v>0</v>
          </cell>
          <cell r="W173">
            <v>0</v>
          </cell>
          <cell r="X173">
            <v>0</v>
          </cell>
          <cell r="Y173">
            <v>0</v>
          </cell>
          <cell r="Z173">
            <v>0</v>
          </cell>
          <cell r="AA173">
            <v>0</v>
          </cell>
          <cell r="AB173">
            <v>0</v>
          </cell>
          <cell r="AC173">
            <v>0</v>
          </cell>
          <cell r="AD173">
            <v>0</v>
          </cell>
          <cell r="AI173">
            <v>0</v>
          </cell>
          <cell r="AJ173">
            <v>0</v>
          </cell>
          <cell r="AK173">
            <v>0</v>
          </cell>
          <cell r="AL173">
            <v>0</v>
          </cell>
          <cell r="AM173">
            <v>0</v>
          </cell>
          <cell r="AN173">
            <v>0</v>
          </cell>
          <cell r="AO173">
            <v>0</v>
          </cell>
          <cell r="AP173">
            <v>0</v>
          </cell>
          <cell r="AQ173">
            <v>0</v>
          </cell>
          <cell r="AR173">
            <v>0</v>
          </cell>
          <cell r="AW173">
            <v>0</v>
          </cell>
          <cell r="AX173">
            <v>0</v>
          </cell>
          <cell r="AY173">
            <v>0</v>
          </cell>
          <cell r="AZ173">
            <v>0</v>
          </cell>
          <cell r="BA173">
            <v>0</v>
          </cell>
          <cell r="BB173">
            <v>0</v>
          </cell>
          <cell r="BC173">
            <v>0</v>
          </cell>
          <cell r="BD173">
            <v>0</v>
          </cell>
          <cell r="BE173">
            <v>0</v>
          </cell>
          <cell r="BF173">
            <v>0</v>
          </cell>
          <cell r="BK173">
            <v>0</v>
          </cell>
          <cell r="BL173">
            <v>0</v>
          </cell>
          <cell r="BM173">
            <v>0</v>
          </cell>
          <cell r="BN173">
            <v>0</v>
          </cell>
          <cell r="BO173">
            <v>0</v>
          </cell>
          <cell r="BP173">
            <v>0</v>
          </cell>
          <cell r="BQ173">
            <v>0</v>
          </cell>
          <cell r="BR173">
            <v>0</v>
          </cell>
          <cell r="BS173">
            <v>0</v>
          </cell>
          <cell r="BT173">
            <v>0</v>
          </cell>
          <cell r="BU173">
            <v>0</v>
          </cell>
          <cell r="BV173">
            <v>0</v>
          </cell>
        </row>
        <row r="174">
          <cell r="F174">
            <v>-1561130</v>
          </cell>
          <cell r="G174">
            <v>-148848</v>
          </cell>
          <cell r="H174">
            <v>-163378</v>
          </cell>
          <cell r="I174">
            <v>-156113</v>
          </cell>
          <cell r="J174">
            <v>-156113</v>
          </cell>
          <cell r="K174">
            <v>-156113</v>
          </cell>
          <cell r="L174">
            <v>-156113</v>
          </cell>
          <cell r="M174">
            <v>-156113</v>
          </cell>
          <cell r="N174">
            <v>-156113</v>
          </cell>
          <cell r="O174">
            <v>-156113</v>
          </cell>
          <cell r="P174">
            <v>-156113</v>
          </cell>
          <cell r="T174">
            <v>-577410</v>
          </cell>
          <cell r="U174">
            <v>-55054</v>
          </cell>
          <cell r="V174">
            <v>-60428</v>
          </cell>
          <cell r="W174">
            <v>-57741</v>
          </cell>
          <cell r="X174">
            <v>-57741</v>
          </cell>
          <cell r="Y174">
            <v>-57741</v>
          </cell>
          <cell r="Z174">
            <v>-57741</v>
          </cell>
          <cell r="AA174">
            <v>-57741</v>
          </cell>
          <cell r="AB174">
            <v>-57741</v>
          </cell>
          <cell r="AC174">
            <v>-57741</v>
          </cell>
          <cell r="AD174">
            <v>-57741</v>
          </cell>
          <cell r="AI174">
            <v>0</v>
          </cell>
          <cell r="AJ174">
            <v>0</v>
          </cell>
          <cell r="AK174">
            <v>0</v>
          </cell>
          <cell r="AL174">
            <v>0</v>
          </cell>
          <cell r="AM174">
            <v>0</v>
          </cell>
          <cell r="AN174">
            <v>0</v>
          </cell>
          <cell r="AO174">
            <v>0</v>
          </cell>
          <cell r="AP174">
            <v>0</v>
          </cell>
          <cell r="AQ174">
            <v>0</v>
          </cell>
          <cell r="AR174">
            <v>0</v>
          </cell>
          <cell r="AW174">
            <v>0</v>
          </cell>
          <cell r="AX174">
            <v>0</v>
          </cell>
          <cell r="AY174">
            <v>0</v>
          </cell>
          <cell r="AZ174">
            <v>0</v>
          </cell>
          <cell r="BA174">
            <v>0</v>
          </cell>
          <cell r="BB174">
            <v>0</v>
          </cell>
          <cell r="BC174">
            <v>0</v>
          </cell>
          <cell r="BD174">
            <v>0</v>
          </cell>
          <cell r="BE174">
            <v>0</v>
          </cell>
          <cell r="BF174">
            <v>0</v>
          </cell>
          <cell r="BK174">
            <v>-203902</v>
          </cell>
          <cell r="BL174">
            <v>-223806</v>
          </cell>
          <cell r="BM174">
            <v>-213854</v>
          </cell>
          <cell r="BN174">
            <v>-213854</v>
          </cell>
          <cell r="BO174">
            <v>-213854</v>
          </cell>
          <cell r="BP174">
            <v>-213854</v>
          </cell>
          <cell r="BQ174">
            <v>-213854</v>
          </cell>
          <cell r="BR174">
            <v>-213854</v>
          </cell>
          <cell r="BS174">
            <v>-213854</v>
          </cell>
          <cell r="BT174">
            <v>-213854</v>
          </cell>
          <cell r="BU174">
            <v>0</v>
          </cell>
          <cell r="BV174">
            <v>0</v>
          </cell>
        </row>
        <row r="175">
          <cell r="F175">
            <v>3006450</v>
          </cell>
          <cell r="G175">
            <v>300645</v>
          </cell>
          <cell r="H175">
            <v>300645</v>
          </cell>
          <cell r="I175">
            <v>300645</v>
          </cell>
          <cell r="J175">
            <v>300645</v>
          </cell>
          <cell r="K175">
            <v>300645</v>
          </cell>
          <cell r="L175">
            <v>300645</v>
          </cell>
          <cell r="M175">
            <v>300645</v>
          </cell>
          <cell r="N175">
            <v>300645</v>
          </cell>
          <cell r="O175">
            <v>300645</v>
          </cell>
          <cell r="P175">
            <v>300645</v>
          </cell>
          <cell r="T175">
            <v>1002150</v>
          </cell>
          <cell r="U175">
            <v>100215</v>
          </cell>
          <cell r="V175">
            <v>100215</v>
          </cell>
          <cell r="W175">
            <v>100215</v>
          </cell>
          <cell r="X175">
            <v>100215</v>
          </cell>
          <cell r="Y175">
            <v>100215</v>
          </cell>
          <cell r="Z175">
            <v>100215</v>
          </cell>
          <cell r="AA175">
            <v>100215</v>
          </cell>
          <cell r="AB175">
            <v>100215</v>
          </cell>
          <cell r="AC175">
            <v>100215</v>
          </cell>
          <cell r="AD175">
            <v>100215</v>
          </cell>
          <cell r="AI175">
            <v>0</v>
          </cell>
          <cell r="AJ175">
            <v>0</v>
          </cell>
          <cell r="AK175">
            <v>0</v>
          </cell>
          <cell r="AL175">
            <v>0</v>
          </cell>
          <cell r="AM175">
            <v>0</v>
          </cell>
          <cell r="AN175">
            <v>0</v>
          </cell>
          <cell r="AO175">
            <v>0</v>
          </cell>
          <cell r="AP175">
            <v>0</v>
          </cell>
          <cell r="AQ175">
            <v>0</v>
          </cell>
          <cell r="AR175">
            <v>0</v>
          </cell>
          <cell r="AW175">
            <v>0</v>
          </cell>
          <cell r="AX175">
            <v>0</v>
          </cell>
          <cell r="AY175">
            <v>0</v>
          </cell>
          <cell r="AZ175">
            <v>0</v>
          </cell>
          <cell r="BA175">
            <v>0</v>
          </cell>
          <cell r="BB175">
            <v>0</v>
          </cell>
          <cell r="BC175">
            <v>0</v>
          </cell>
          <cell r="BD175">
            <v>0</v>
          </cell>
          <cell r="BE175">
            <v>0</v>
          </cell>
          <cell r="BF175">
            <v>0</v>
          </cell>
          <cell r="BK175">
            <v>400860</v>
          </cell>
          <cell r="BL175">
            <v>400860</v>
          </cell>
          <cell r="BM175">
            <v>400860</v>
          </cell>
          <cell r="BN175">
            <v>400860</v>
          </cell>
          <cell r="BO175">
            <v>400860</v>
          </cell>
          <cell r="BP175">
            <v>400860</v>
          </cell>
          <cell r="BQ175">
            <v>400860</v>
          </cell>
          <cell r="BR175">
            <v>400860</v>
          </cell>
          <cell r="BS175">
            <v>400860</v>
          </cell>
          <cell r="BT175">
            <v>400860</v>
          </cell>
          <cell r="BU175">
            <v>0</v>
          </cell>
          <cell r="BV175">
            <v>0</v>
          </cell>
        </row>
        <row r="176">
          <cell r="F176">
            <v>-262635</v>
          </cell>
          <cell r="G176">
            <v>-15778</v>
          </cell>
          <cell r="H176">
            <v>-15778</v>
          </cell>
          <cell r="I176">
            <v>-46943</v>
          </cell>
          <cell r="J176">
            <v>-26180</v>
          </cell>
          <cell r="K176">
            <v>-26618</v>
          </cell>
          <cell r="L176">
            <v>-26180</v>
          </cell>
          <cell r="M176">
            <v>-26618</v>
          </cell>
          <cell r="N176">
            <v>-26180</v>
          </cell>
          <cell r="O176">
            <v>-26180</v>
          </cell>
          <cell r="P176">
            <v>-26180</v>
          </cell>
          <cell r="T176">
            <v>-167913</v>
          </cell>
          <cell r="U176">
            <v>-5259</v>
          </cell>
          <cell r="V176">
            <v>-5259</v>
          </cell>
          <cell r="W176">
            <v>-39669</v>
          </cell>
          <cell r="X176">
            <v>-16738</v>
          </cell>
          <cell r="Y176">
            <v>-17018</v>
          </cell>
          <cell r="Z176">
            <v>-16738</v>
          </cell>
          <cell r="AA176">
            <v>-17018</v>
          </cell>
          <cell r="AB176">
            <v>-16738</v>
          </cell>
          <cell r="AC176">
            <v>-16738</v>
          </cell>
          <cell r="AD176">
            <v>-16738</v>
          </cell>
          <cell r="AI176">
            <v>0</v>
          </cell>
          <cell r="AJ176">
            <v>0</v>
          </cell>
          <cell r="AK176">
            <v>0</v>
          </cell>
          <cell r="AL176">
            <v>0</v>
          </cell>
          <cell r="AM176">
            <v>0</v>
          </cell>
          <cell r="AN176">
            <v>0</v>
          </cell>
          <cell r="AO176">
            <v>0</v>
          </cell>
          <cell r="AP176">
            <v>0</v>
          </cell>
          <cell r="AQ176">
            <v>0</v>
          </cell>
          <cell r="AR176">
            <v>0</v>
          </cell>
          <cell r="AW176">
            <v>0</v>
          </cell>
          <cell r="AX176">
            <v>0</v>
          </cell>
          <cell r="AY176">
            <v>0</v>
          </cell>
          <cell r="AZ176">
            <v>0</v>
          </cell>
          <cell r="BA176">
            <v>0</v>
          </cell>
          <cell r="BB176">
            <v>0</v>
          </cell>
          <cell r="BC176">
            <v>0</v>
          </cell>
          <cell r="BD176">
            <v>0</v>
          </cell>
          <cell r="BE176">
            <v>0</v>
          </cell>
          <cell r="BF176">
            <v>0</v>
          </cell>
          <cell r="BK176">
            <v>-21037</v>
          </cell>
          <cell r="BL176">
            <v>-21037</v>
          </cell>
          <cell r="BM176">
            <v>-86612</v>
          </cell>
          <cell r="BN176">
            <v>-42918</v>
          </cell>
          <cell r="BO176">
            <v>-43636</v>
          </cell>
          <cell r="BP176">
            <v>-42918</v>
          </cell>
          <cell r="BQ176">
            <v>-43636</v>
          </cell>
          <cell r="BR176">
            <v>-42918</v>
          </cell>
          <cell r="BS176">
            <v>-42918</v>
          </cell>
          <cell r="BT176">
            <v>-42918</v>
          </cell>
          <cell r="BU176">
            <v>0</v>
          </cell>
          <cell r="BV176">
            <v>0</v>
          </cell>
        </row>
        <row r="177">
          <cell r="F177">
            <v>121099</v>
          </cell>
          <cell r="I177">
            <v>36329</v>
          </cell>
          <cell r="J177">
            <v>12110</v>
          </cell>
          <cell r="K177">
            <v>12110</v>
          </cell>
          <cell r="L177">
            <v>12110</v>
          </cell>
          <cell r="M177">
            <v>12110</v>
          </cell>
          <cell r="N177">
            <v>12110</v>
          </cell>
          <cell r="O177">
            <v>12110</v>
          </cell>
          <cell r="P177">
            <v>12110</v>
          </cell>
          <cell r="T177">
            <v>77421</v>
          </cell>
          <cell r="W177">
            <v>23227</v>
          </cell>
          <cell r="X177">
            <v>7742</v>
          </cell>
          <cell r="Y177">
            <v>7742</v>
          </cell>
          <cell r="Z177">
            <v>7742</v>
          </cell>
          <cell r="AA177">
            <v>7742</v>
          </cell>
          <cell r="AB177">
            <v>7742</v>
          </cell>
          <cell r="AC177">
            <v>7742</v>
          </cell>
          <cell r="AD177">
            <v>7742</v>
          </cell>
          <cell r="AK177">
            <v>0</v>
          </cell>
          <cell r="AL177">
            <v>0</v>
          </cell>
          <cell r="AM177">
            <v>0</v>
          </cell>
          <cell r="AN177">
            <v>0</v>
          </cell>
          <cell r="AO177">
            <v>0</v>
          </cell>
          <cell r="AP177">
            <v>0</v>
          </cell>
          <cell r="AQ177">
            <v>0</v>
          </cell>
          <cell r="AR177">
            <v>0</v>
          </cell>
          <cell r="AY177">
            <v>0</v>
          </cell>
          <cell r="AZ177">
            <v>0</v>
          </cell>
          <cell r="BA177">
            <v>0</v>
          </cell>
          <cell r="BB177">
            <v>0</v>
          </cell>
          <cell r="BC177">
            <v>0</v>
          </cell>
          <cell r="BD177">
            <v>0</v>
          </cell>
          <cell r="BE177">
            <v>0</v>
          </cell>
          <cell r="BF177">
            <v>0</v>
          </cell>
          <cell r="BM177">
            <v>59556</v>
          </cell>
          <cell r="BN177">
            <v>19852</v>
          </cell>
          <cell r="BO177">
            <v>19852</v>
          </cell>
          <cell r="BP177">
            <v>19852</v>
          </cell>
          <cell r="BQ177">
            <v>19852</v>
          </cell>
          <cell r="BR177">
            <v>19852</v>
          </cell>
          <cell r="BS177">
            <v>19852</v>
          </cell>
          <cell r="BT177">
            <v>19852</v>
          </cell>
          <cell r="BU177">
            <v>0</v>
          </cell>
          <cell r="BV177">
            <v>0</v>
          </cell>
        </row>
        <row r="178">
          <cell r="F178">
            <v>-514340</v>
          </cell>
          <cell r="G178">
            <v>-51434</v>
          </cell>
          <cell r="H178">
            <v>-51434</v>
          </cell>
          <cell r="I178">
            <v>-51434</v>
          </cell>
          <cell r="J178">
            <v>-51434</v>
          </cell>
          <cell r="K178">
            <v>-51434</v>
          </cell>
          <cell r="L178">
            <v>-51434</v>
          </cell>
          <cell r="M178">
            <v>-51434</v>
          </cell>
          <cell r="N178">
            <v>-51434</v>
          </cell>
          <cell r="O178">
            <v>-51434</v>
          </cell>
          <cell r="P178">
            <v>-51434</v>
          </cell>
          <cell r="T178">
            <v>-127430</v>
          </cell>
          <cell r="U178">
            <v>-12743</v>
          </cell>
          <cell r="V178">
            <v>-12743</v>
          </cell>
          <cell r="W178">
            <v>-12743</v>
          </cell>
          <cell r="X178">
            <v>-12743</v>
          </cell>
          <cell r="Y178">
            <v>-12743</v>
          </cell>
          <cell r="Z178">
            <v>-12743</v>
          </cell>
          <cell r="AA178">
            <v>-12743</v>
          </cell>
          <cell r="AB178">
            <v>-12743</v>
          </cell>
          <cell r="AC178">
            <v>-12743</v>
          </cell>
          <cell r="AD178">
            <v>-12743</v>
          </cell>
          <cell r="AI178">
            <v>-277</v>
          </cell>
          <cell r="AJ178">
            <v>-277</v>
          </cell>
          <cell r="AK178">
            <v>-277</v>
          </cell>
          <cell r="AL178">
            <v>-277</v>
          </cell>
          <cell r="AM178">
            <v>-277</v>
          </cell>
          <cell r="AN178">
            <v>-277</v>
          </cell>
          <cell r="AO178">
            <v>-277</v>
          </cell>
          <cell r="AP178">
            <v>-277</v>
          </cell>
          <cell r="AQ178">
            <v>-277</v>
          </cell>
          <cell r="AR178">
            <v>-277</v>
          </cell>
          <cell r="AW178">
            <v>0</v>
          </cell>
          <cell r="AX178">
            <v>0</v>
          </cell>
          <cell r="AY178">
            <v>0</v>
          </cell>
          <cell r="AZ178">
            <v>0</v>
          </cell>
          <cell r="BA178">
            <v>0</v>
          </cell>
          <cell r="BB178">
            <v>0</v>
          </cell>
          <cell r="BC178">
            <v>0</v>
          </cell>
          <cell r="BD178">
            <v>0</v>
          </cell>
          <cell r="BE178">
            <v>0</v>
          </cell>
          <cell r="BF178">
            <v>0</v>
          </cell>
          <cell r="BK178">
            <v>-64454</v>
          </cell>
          <cell r="BL178">
            <v>-64454</v>
          </cell>
          <cell r="BM178">
            <v>-64454</v>
          </cell>
          <cell r="BN178">
            <v>-64454</v>
          </cell>
          <cell r="BO178">
            <v>-64454</v>
          </cell>
          <cell r="BP178">
            <v>-64454</v>
          </cell>
          <cell r="BQ178">
            <v>-64454</v>
          </cell>
          <cell r="BR178">
            <v>-64454</v>
          </cell>
          <cell r="BS178">
            <v>-64454</v>
          </cell>
          <cell r="BT178">
            <v>-64454</v>
          </cell>
          <cell r="BU178">
            <v>0</v>
          </cell>
          <cell r="BV178">
            <v>0</v>
          </cell>
        </row>
        <row r="179">
          <cell r="F179">
            <v>-12456</v>
          </cell>
          <cell r="G179">
            <v>185</v>
          </cell>
          <cell r="H179">
            <v>-185</v>
          </cell>
          <cell r="I179">
            <v>-12456</v>
          </cell>
          <cell r="J179">
            <v>0</v>
          </cell>
          <cell r="K179">
            <v>0</v>
          </cell>
          <cell r="L179">
            <v>0</v>
          </cell>
          <cell r="M179">
            <v>0</v>
          </cell>
          <cell r="N179">
            <v>0</v>
          </cell>
          <cell r="O179">
            <v>0</v>
          </cell>
          <cell r="P179">
            <v>0</v>
          </cell>
          <cell r="T179">
            <v>0</v>
          </cell>
          <cell r="U179">
            <v>0</v>
          </cell>
          <cell r="V179">
            <v>0</v>
          </cell>
          <cell r="W179">
            <v>0</v>
          </cell>
          <cell r="X179">
            <v>0</v>
          </cell>
          <cell r="Y179">
            <v>0</v>
          </cell>
          <cell r="Z179">
            <v>0</v>
          </cell>
          <cell r="AA179">
            <v>0</v>
          </cell>
          <cell r="AB179">
            <v>0</v>
          </cell>
          <cell r="AC179">
            <v>0</v>
          </cell>
          <cell r="AD179">
            <v>0</v>
          </cell>
          <cell r="AI179">
            <v>0</v>
          </cell>
          <cell r="AJ179">
            <v>0</v>
          </cell>
          <cell r="AK179">
            <v>0</v>
          </cell>
          <cell r="AL179">
            <v>0</v>
          </cell>
          <cell r="AM179">
            <v>0</v>
          </cell>
          <cell r="AN179">
            <v>0</v>
          </cell>
          <cell r="AO179">
            <v>0</v>
          </cell>
          <cell r="AP179">
            <v>0</v>
          </cell>
          <cell r="AQ179">
            <v>0</v>
          </cell>
          <cell r="AR179">
            <v>0</v>
          </cell>
          <cell r="AW179">
            <v>0</v>
          </cell>
          <cell r="AX179">
            <v>0</v>
          </cell>
          <cell r="AY179">
            <v>0</v>
          </cell>
          <cell r="AZ179">
            <v>0</v>
          </cell>
          <cell r="BA179">
            <v>0</v>
          </cell>
          <cell r="BB179">
            <v>0</v>
          </cell>
          <cell r="BC179">
            <v>0</v>
          </cell>
          <cell r="BD179">
            <v>0</v>
          </cell>
          <cell r="BE179">
            <v>0</v>
          </cell>
          <cell r="BF179">
            <v>0</v>
          </cell>
          <cell r="BK179">
            <v>185</v>
          </cell>
          <cell r="BL179">
            <v>-185</v>
          </cell>
          <cell r="BM179">
            <v>-12456</v>
          </cell>
          <cell r="BN179">
            <v>0</v>
          </cell>
          <cell r="BO179">
            <v>0</v>
          </cell>
          <cell r="BP179">
            <v>0</v>
          </cell>
          <cell r="BQ179">
            <v>0</v>
          </cell>
          <cell r="BR179">
            <v>0</v>
          </cell>
          <cell r="BS179">
            <v>0</v>
          </cell>
          <cell r="BT179">
            <v>0</v>
          </cell>
          <cell r="BU179">
            <v>0</v>
          </cell>
          <cell r="BV179">
            <v>0</v>
          </cell>
        </row>
        <row r="180">
          <cell r="F180">
            <v>-353703</v>
          </cell>
          <cell r="O180">
            <v>-358816</v>
          </cell>
          <cell r="P180">
            <v>5113</v>
          </cell>
          <cell r="T180">
            <v>0</v>
          </cell>
          <cell r="AC180">
            <v>0</v>
          </cell>
          <cell r="AD180">
            <v>0</v>
          </cell>
          <cell r="AQ180">
            <v>0</v>
          </cell>
          <cell r="AR180">
            <v>0</v>
          </cell>
          <cell r="BE180">
            <v>0</v>
          </cell>
          <cell r="BF180">
            <v>0</v>
          </cell>
          <cell r="BS180">
            <v>-358816</v>
          </cell>
          <cell r="BT180">
            <v>5113</v>
          </cell>
        </row>
        <row r="181">
          <cell r="F181">
            <v>0</v>
          </cell>
          <cell r="O181">
            <v>0</v>
          </cell>
          <cell r="P181">
            <v>0</v>
          </cell>
          <cell r="T181">
            <v>0</v>
          </cell>
          <cell r="AC181">
            <v>0</v>
          </cell>
          <cell r="AD181">
            <v>0</v>
          </cell>
          <cell r="AQ181">
            <v>0</v>
          </cell>
          <cell r="AR181">
            <v>0</v>
          </cell>
          <cell r="BE181">
            <v>-392063</v>
          </cell>
          <cell r="BF181">
            <v>0</v>
          </cell>
          <cell r="BS181">
            <v>-392063</v>
          </cell>
          <cell r="BT181">
            <v>0</v>
          </cell>
        </row>
        <row r="182">
          <cell r="F182">
            <v>244800</v>
          </cell>
          <cell r="G182">
            <v>24480</v>
          </cell>
          <cell r="H182">
            <v>24480</v>
          </cell>
          <cell r="I182">
            <v>24480</v>
          </cell>
          <cell r="J182">
            <v>24480</v>
          </cell>
          <cell r="K182">
            <v>24480</v>
          </cell>
          <cell r="L182">
            <v>24480</v>
          </cell>
          <cell r="M182">
            <v>24480</v>
          </cell>
          <cell r="N182">
            <v>24480</v>
          </cell>
          <cell r="O182">
            <v>24480</v>
          </cell>
          <cell r="P182">
            <v>24480</v>
          </cell>
          <cell r="T182">
            <v>61200</v>
          </cell>
          <cell r="U182">
            <v>6120</v>
          </cell>
          <cell r="V182">
            <v>6120</v>
          </cell>
          <cell r="W182">
            <v>6120</v>
          </cell>
          <cell r="X182">
            <v>6120</v>
          </cell>
          <cell r="Y182">
            <v>6120</v>
          </cell>
          <cell r="Z182">
            <v>6120</v>
          </cell>
          <cell r="AA182">
            <v>6120</v>
          </cell>
          <cell r="AB182">
            <v>6120</v>
          </cell>
          <cell r="AC182">
            <v>6120</v>
          </cell>
          <cell r="AD182">
            <v>6120</v>
          </cell>
          <cell r="AI182">
            <v>115</v>
          </cell>
          <cell r="AJ182">
            <v>115</v>
          </cell>
          <cell r="AK182">
            <v>115</v>
          </cell>
          <cell r="AL182">
            <v>115</v>
          </cell>
          <cell r="AM182">
            <v>115</v>
          </cell>
          <cell r="AN182">
            <v>115</v>
          </cell>
          <cell r="AO182">
            <v>115</v>
          </cell>
          <cell r="AP182">
            <v>115</v>
          </cell>
          <cell r="AQ182">
            <v>115</v>
          </cell>
          <cell r="AR182">
            <v>115</v>
          </cell>
          <cell r="AW182">
            <v>0</v>
          </cell>
          <cell r="AX182">
            <v>0</v>
          </cell>
          <cell r="AY182">
            <v>0</v>
          </cell>
          <cell r="AZ182">
            <v>0</v>
          </cell>
          <cell r="BA182">
            <v>0</v>
          </cell>
          <cell r="BB182">
            <v>0</v>
          </cell>
          <cell r="BC182">
            <v>0</v>
          </cell>
          <cell r="BD182">
            <v>0</v>
          </cell>
          <cell r="BE182">
            <v>0</v>
          </cell>
          <cell r="BF182">
            <v>0</v>
          </cell>
          <cell r="BK182">
            <v>30715</v>
          </cell>
          <cell r="BL182">
            <v>30715</v>
          </cell>
          <cell r="BM182">
            <v>30715</v>
          </cell>
          <cell r="BN182">
            <v>30715</v>
          </cell>
          <cell r="BO182">
            <v>30715</v>
          </cell>
          <cell r="BP182">
            <v>30715</v>
          </cell>
          <cell r="BQ182">
            <v>30715</v>
          </cell>
          <cell r="BR182">
            <v>30715</v>
          </cell>
          <cell r="BS182">
            <v>30715</v>
          </cell>
          <cell r="BT182">
            <v>30715</v>
          </cell>
          <cell r="BU182">
            <v>0</v>
          </cell>
          <cell r="BV182">
            <v>0</v>
          </cell>
        </row>
        <row r="183">
          <cell r="F183">
            <v>849150</v>
          </cell>
          <cell r="I183">
            <v>254745</v>
          </cell>
          <cell r="J183">
            <v>84915</v>
          </cell>
          <cell r="K183">
            <v>84915</v>
          </cell>
          <cell r="L183">
            <v>84915</v>
          </cell>
          <cell r="M183">
            <v>84915</v>
          </cell>
          <cell r="N183">
            <v>84915</v>
          </cell>
          <cell r="O183">
            <v>84915</v>
          </cell>
          <cell r="P183">
            <v>84915</v>
          </cell>
          <cell r="T183">
            <v>818550</v>
          </cell>
          <cell r="W183">
            <v>245565</v>
          </cell>
          <cell r="X183">
            <v>81855</v>
          </cell>
          <cell r="Y183">
            <v>81855</v>
          </cell>
          <cell r="Z183">
            <v>81855</v>
          </cell>
          <cell r="AA183">
            <v>81855</v>
          </cell>
          <cell r="AB183">
            <v>81855</v>
          </cell>
          <cell r="AC183">
            <v>81855</v>
          </cell>
          <cell r="AD183">
            <v>81855</v>
          </cell>
          <cell r="AK183">
            <v>0</v>
          </cell>
          <cell r="AL183">
            <v>0</v>
          </cell>
          <cell r="AM183">
            <v>0</v>
          </cell>
          <cell r="AN183">
            <v>0</v>
          </cell>
          <cell r="AO183">
            <v>0</v>
          </cell>
          <cell r="AP183">
            <v>0</v>
          </cell>
          <cell r="AQ183">
            <v>0</v>
          </cell>
          <cell r="AR183">
            <v>0</v>
          </cell>
          <cell r="AY183">
            <v>0</v>
          </cell>
          <cell r="AZ183">
            <v>0</v>
          </cell>
          <cell r="BA183">
            <v>0</v>
          </cell>
          <cell r="BB183">
            <v>0</v>
          </cell>
          <cell r="BC183">
            <v>0</v>
          </cell>
          <cell r="BD183">
            <v>0</v>
          </cell>
          <cell r="BE183">
            <v>0</v>
          </cell>
          <cell r="BF183">
            <v>0</v>
          </cell>
          <cell r="BM183">
            <v>500310</v>
          </cell>
          <cell r="BN183">
            <v>166770</v>
          </cell>
          <cell r="BO183">
            <v>166770</v>
          </cell>
          <cell r="BP183">
            <v>166770</v>
          </cell>
          <cell r="BQ183">
            <v>166770</v>
          </cell>
          <cell r="BR183">
            <v>166770</v>
          </cell>
          <cell r="BS183">
            <v>166770</v>
          </cell>
          <cell r="BT183">
            <v>166770</v>
          </cell>
          <cell r="BU183">
            <v>0</v>
          </cell>
          <cell r="BV183">
            <v>0</v>
          </cell>
        </row>
        <row r="184">
          <cell r="F184">
            <v>-574012</v>
          </cell>
          <cell r="I184">
            <v>-140657</v>
          </cell>
          <cell r="J184">
            <v>-47295</v>
          </cell>
          <cell r="K184">
            <v>-47297</v>
          </cell>
          <cell r="L184">
            <v>-41786</v>
          </cell>
          <cell r="M184">
            <v>-41786</v>
          </cell>
          <cell r="N184">
            <v>-41786</v>
          </cell>
          <cell r="O184">
            <v>-57641</v>
          </cell>
          <cell r="P184">
            <v>-155764</v>
          </cell>
          <cell r="T184">
            <v>-669540</v>
          </cell>
          <cell r="W184">
            <v>-135123</v>
          </cell>
          <cell r="X184">
            <v>-45376</v>
          </cell>
          <cell r="Y184">
            <v>-45378</v>
          </cell>
          <cell r="Z184">
            <v>-40322</v>
          </cell>
          <cell r="AA184">
            <v>-40322</v>
          </cell>
          <cell r="AB184">
            <v>-40322</v>
          </cell>
          <cell r="AC184">
            <v>-121207</v>
          </cell>
          <cell r="AD184">
            <v>-201490</v>
          </cell>
          <cell r="AK184">
            <v>0</v>
          </cell>
          <cell r="AL184">
            <v>0</v>
          </cell>
          <cell r="AM184">
            <v>0</v>
          </cell>
          <cell r="AN184">
            <v>0</v>
          </cell>
          <cell r="AO184">
            <v>0</v>
          </cell>
          <cell r="AP184">
            <v>0</v>
          </cell>
          <cell r="AQ184">
            <v>0</v>
          </cell>
          <cell r="AR184">
            <v>0</v>
          </cell>
          <cell r="AY184">
            <v>0</v>
          </cell>
          <cell r="AZ184">
            <v>0</v>
          </cell>
          <cell r="BA184">
            <v>0</v>
          </cell>
          <cell r="BB184">
            <v>0</v>
          </cell>
          <cell r="BC184">
            <v>0</v>
          </cell>
          <cell r="BD184">
            <v>0</v>
          </cell>
          <cell r="BE184">
            <v>0</v>
          </cell>
          <cell r="BF184">
            <v>0</v>
          </cell>
          <cell r="BM184">
            <v>-275780</v>
          </cell>
          <cell r="BN184">
            <v>-92671</v>
          </cell>
          <cell r="BO184">
            <v>-92675</v>
          </cell>
          <cell r="BP184">
            <v>-82108</v>
          </cell>
          <cell r="BQ184">
            <v>-82108</v>
          </cell>
          <cell r="BR184">
            <v>-82108</v>
          </cell>
          <cell r="BS184">
            <v>-178848</v>
          </cell>
          <cell r="BT184">
            <v>-357254</v>
          </cell>
          <cell r="BU184">
            <v>0</v>
          </cell>
          <cell r="BV184">
            <v>0</v>
          </cell>
        </row>
        <row r="185">
          <cell r="F185">
            <v>-1220564</v>
          </cell>
          <cell r="G185">
            <v>-111806</v>
          </cell>
          <cell r="H185">
            <v>-111806</v>
          </cell>
          <cell r="I185">
            <v>-111806</v>
          </cell>
          <cell r="J185">
            <v>-111806</v>
          </cell>
          <cell r="K185">
            <v>-111806</v>
          </cell>
          <cell r="L185">
            <v>-111806</v>
          </cell>
          <cell r="M185">
            <v>-111806</v>
          </cell>
          <cell r="N185">
            <v>-111806</v>
          </cell>
          <cell r="O185">
            <v>-239927</v>
          </cell>
          <cell r="P185">
            <v>-86189</v>
          </cell>
          <cell r="T185">
            <v>-1000036</v>
          </cell>
          <cell r="U185">
            <v>-91617</v>
          </cell>
          <cell r="V185">
            <v>-91617</v>
          </cell>
          <cell r="W185">
            <v>-91617</v>
          </cell>
          <cell r="X185">
            <v>-91617</v>
          </cell>
          <cell r="Y185">
            <v>-91617</v>
          </cell>
          <cell r="Z185">
            <v>-91617</v>
          </cell>
          <cell r="AA185">
            <v>-91617</v>
          </cell>
          <cell r="AB185">
            <v>-91617</v>
          </cell>
          <cell r="AC185">
            <v>-196443</v>
          </cell>
          <cell r="AD185">
            <v>-70657</v>
          </cell>
          <cell r="AI185">
            <v>0</v>
          </cell>
          <cell r="AJ185">
            <v>0</v>
          </cell>
          <cell r="AK185">
            <v>0</v>
          </cell>
          <cell r="AL185">
            <v>0</v>
          </cell>
          <cell r="AM185">
            <v>0</v>
          </cell>
          <cell r="AN185">
            <v>0</v>
          </cell>
          <cell r="AO185">
            <v>0</v>
          </cell>
          <cell r="AP185">
            <v>0</v>
          </cell>
          <cell r="AQ185">
            <v>0</v>
          </cell>
          <cell r="AR185">
            <v>0</v>
          </cell>
          <cell r="AW185">
            <v>0</v>
          </cell>
          <cell r="AX185">
            <v>0</v>
          </cell>
          <cell r="AY185">
            <v>0</v>
          </cell>
          <cell r="AZ185">
            <v>0</v>
          </cell>
          <cell r="BA185">
            <v>0</v>
          </cell>
          <cell r="BB185">
            <v>0</v>
          </cell>
          <cell r="BC185">
            <v>0</v>
          </cell>
          <cell r="BD185">
            <v>0</v>
          </cell>
          <cell r="BE185">
            <v>0</v>
          </cell>
          <cell r="BF185">
            <v>0</v>
          </cell>
          <cell r="BK185">
            <v>-203423</v>
          </cell>
          <cell r="BL185">
            <v>-203423</v>
          </cell>
          <cell r="BM185">
            <v>-203423</v>
          </cell>
          <cell r="BN185">
            <v>-203423</v>
          </cell>
          <cell r="BO185">
            <v>-203423</v>
          </cell>
          <cell r="BP185">
            <v>-203423</v>
          </cell>
          <cell r="BQ185">
            <v>-203423</v>
          </cell>
          <cell r="BR185">
            <v>-203423</v>
          </cell>
          <cell r="BS185">
            <v>-436370</v>
          </cell>
          <cell r="BT185">
            <v>-156846</v>
          </cell>
          <cell r="BU185">
            <v>0</v>
          </cell>
          <cell r="BV185">
            <v>0</v>
          </cell>
        </row>
        <row r="186">
          <cell r="F186">
            <v>-64164</v>
          </cell>
          <cell r="G186">
            <v>-51493</v>
          </cell>
          <cell r="H186">
            <v>-21662</v>
          </cell>
          <cell r="I186">
            <v>-21663</v>
          </cell>
          <cell r="J186">
            <v>-21558</v>
          </cell>
          <cell r="K186">
            <v>8702</v>
          </cell>
          <cell r="L186">
            <v>8702</v>
          </cell>
          <cell r="M186">
            <v>8702</v>
          </cell>
          <cell r="N186">
            <v>8702</v>
          </cell>
          <cell r="O186">
            <v>8702</v>
          </cell>
          <cell r="P186">
            <v>8702</v>
          </cell>
          <cell r="T186">
            <v>-21392</v>
          </cell>
          <cell r="U186">
            <v>-12873</v>
          </cell>
          <cell r="V186">
            <v>-11512</v>
          </cell>
          <cell r="W186">
            <v>-7221</v>
          </cell>
          <cell r="X186">
            <v>-7186</v>
          </cell>
          <cell r="Y186">
            <v>2900</v>
          </cell>
          <cell r="Z186">
            <v>2900</v>
          </cell>
          <cell r="AA186">
            <v>2900</v>
          </cell>
          <cell r="AB186">
            <v>2900</v>
          </cell>
          <cell r="AC186">
            <v>2900</v>
          </cell>
          <cell r="AD186">
            <v>2900</v>
          </cell>
          <cell r="AI186">
            <v>0</v>
          </cell>
          <cell r="AJ186">
            <v>0</v>
          </cell>
          <cell r="AK186">
            <v>0</v>
          </cell>
          <cell r="AL186">
            <v>0</v>
          </cell>
          <cell r="AM186">
            <v>0</v>
          </cell>
          <cell r="AN186">
            <v>0</v>
          </cell>
          <cell r="AO186">
            <v>0</v>
          </cell>
          <cell r="AP186">
            <v>0</v>
          </cell>
          <cell r="AQ186">
            <v>0</v>
          </cell>
          <cell r="AR186">
            <v>0</v>
          </cell>
          <cell r="AW186">
            <v>0</v>
          </cell>
          <cell r="AX186">
            <v>0</v>
          </cell>
          <cell r="AY186">
            <v>0</v>
          </cell>
          <cell r="AZ186">
            <v>0</v>
          </cell>
          <cell r="BA186">
            <v>0</v>
          </cell>
          <cell r="BB186">
            <v>0</v>
          </cell>
          <cell r="BC186">
            <v>0</v>
          </cell>
          <cell r="BD186">
            <v>0</v>
          </cell>
          <cell r="BE186">
            <v>0</v>
          </cell>
          <cell r="BF186">
            <v>0</v>
          </cell>
          <cell r="BK186">
            <v>-64366</v>
          </cell>
          <cell r="BL186">
            <v>-33174</v>
          </cell>
          <cell r="BM186">
            <v>-28884</v>
          </cell>
          <cell r="BN186">
            <v>-28744</v>
          </cell>
          <cell r="BO186">
            <v>11602</v>
          </cell>
          <cell r="BP186">
            <v>11602</v>
          </cell>
          <cell r="BQ186">
            <v>11602</v>
          </cell>
          <cell r="BR186">
            <v>11602</v>
          </cell>
          <cell r="BS186">
            <v>11602</v>
          </cell>
          <cell r="BT186">
            <v>11602</v>
          </cell>
          <cell r="BU186">
            <v>0</v>
          </cell>
          <cell r="BV186">
            <v>0</v>
          </cell>
        </row>
        <row r="187">
          <cell r="F187">
            <v>-116835</v>
          </cell>
          <cell r="G187">
            <v>-15466</v>
          </cell>
          <cell r="H187">
            <v>-15466</v>
          </cell>
          <cell r="I187">
            <v>-15466</v>
          </cell>
          <cell r="J187">
            <v>-15466</v>
          </cell>
          <cell r="K187">
            <v>-15466</v>
          </cell>
          <cell r="L187">
            <v>-7901</v>
          </cell>
          <cell r="M187">
            <v>-7901</v>
          </cell>
          <cell r="N187">
            <v>-7901</v>
          </cell>
          <cell r="O187">
            <v>-7901</v>
          </cell>
          <cell r="P187">
            <v>-7901</v>
          </cell>
          <cell r="T187">
            <v>-74695</v>
          </cell>
          <cell r="U187">
            <v>-9888</v>
          </cell>
          <cell r="V187">
            <v>-9888</v>
          </cell>
          <cell r="W187">
            <v>-9888</v>
          </cell>
          <cell r="X187">
            <v>-9888</v>
          </cell>
          <cell r="Y187">
            <v>-9888</v>
          </cell>
          <cell r="Z187">
            <v>-5051</v>
          </cell>
          <cell r="AA187">
            <v>-5051</v>
          </cell>
          <cell r="AB187">
            <v>-5051</v>
          </cell>
          <cell r="AC187">
            <v>-5051</v>
          </cell>
          <cell r="AD187">
            <v>-5051</v>
          </cell>
          <cell r="AI187">
            <v>0</v>
          </cell>
          <cell r="AJ187">
            <v>0</v>
          </cell>
          <cell r="AK187">
            <v>0</v>
          </cell>
          <cell r="AL187">
            <v>0</v>
          </cell>
          <cell r="AM187">
            <v>0</v>
          </cell>
          <cell r="AN187">
            <v>0</v>
          </cell>
          <cell r="AO187">
            <v>0</v>
          </cell>
          <cell r="AP187">
            <v>0</v>
          </cell>
          <cell r="AQ187">
            <v>0</v>
          </cell>
          <cell r="AR187">
            <v>0</v>
          </cell>
          <cell r="AW187">
            <v>0</v>
          </cell>
          <cell r="AX187">
            <v>0</v>
          </cell>
          <cell r="AY187">
            <v>0</v>
          </cell>
          <cell r="AZ187">
            <v>0</v>
          </cell>
          <cell r="BA187">
            <v>0</v>
          </cell>
          <cell r="BB187">
            <v>0</v>
          </cell>
          <cell r="BC187">
            <v>0</v>
          </cell>
          <cell r="BD187">
            <v>0</v>
          </cell>
          <cell r="BE187">
            <v>0</v>
          </cell>
          <cell r="BF187">
            <v>0</v>
          </cell>
          <cell r="BK187">
            <v>-25354</v>
          </cell>
          <cell r="BL187">
            <v>-25354</v>
          </cell>
          <cell r="BM187">
            <v>-25354</v>
          </cell>
          <cell r="BN187">
            <v>-25354</v>
          </cell>
          <cell r="BO187">
            <v>-25354</v>
          </cell>
          <cell r="BP187">
            <v>-12952</v>
          </cell>
          <cell r="BQ187">
            <v>-12952</v>
          </cell>
          <cell r="BR187">
            <v>-12952</v>
          </cell>
          <cell r="BS187">
            <v>-12952</v>
          </cell>
          <cell r="BT187">
            <v>-12952</v>
          </cell>
          <cell r="BU187">
            <v>0</v>
          </cell>
          <cell r="BV187">
            <v>0</v>
          </cell>
        </row>
        <row r="188">
          <cell r="F188">
            <v>-1682230</v>
          </cell>
          <cell r="G188">
            <v>-168252</v>
          </cell>
          <cell r="H188">
            <v>-168252</v>
          </cell>
          <cell r="I188">
            <v>-168252</v>
          </cell>
          <cell r="J188">
            <v>-168252</v>
          </cell>
          <cell r="K188">
            <v>-167962</v>
          </cell>
          <cell r="L188">
            <v>-168252</v>
          </cell>
          <cell r="M188">
            <v>-168252</v>
          </cell>
          <cell r="N188">
            <v>-168252</v>
          </cell>
          <cell r="O188">
            <v>-168252</v>
          </cell>
          <cell r="P188">
            <v>-168252</v>
          </cell>
          <cell r="T188">
            <v>-1075525</v>
          </cell>
          <cell r="U188">
            <v>-107571</v>
          </cell>
          <cell r="V188">
            <v>-107571</v>
          </cell>
          <cell r="W188">
            <v>-107571</v>
          </cell>
          <cell r="X188">
            <v>-107571</v>
          </cell>
          <cell r="Y188">
            <v>-107386</v>
          </cell>
          <cell r="Z188">
            <v>-107571</v>
          </cell>
          <cell r="AA188">
            <v>-107571</v>
          </cell>
          <cell r="AB188">
            <v>-107571</v>
          </cell>
          <cell r="AC188">
            <v>-107571</v>
          </cell>
          <cell r="AD188">
            <v>-107571</v>
          </cell>
          <cell r="AI188">
            <v>0</v>
          </cell>
          <cell r="AJ188">
            <v>0</v>
          </cell>
          <cell r="AK188">
            <v>0</v>
          </cell>
          <cell r="AL188">
            <v>0</v>
          </cell>
          <cell r="AM188">
            <v>0</v>
          </cell>
          <cell r="AN188">
            <v>0</v>
          </cell>
          <cell r="AO188">
            <v>0</v>
          </cell>
          <cell r="AP188">
            <v>0</v>
          </cell>
          <cell r="AQ188">
            <v>0</v>
          </cell>
          <cell r="AR188">
            <v>0</v>
          </cell>
          <cell r="AW188">
            <v>0</v>
          </cell>
          <cell r="AX188">
            <v>0</v>
          </cell>
          <cell r="AY188">
            <v>0</v>
          </cell>
          <cell r="AZ188">
            <v>0</v>
          </cell>
          <cell r="BA188">
            <v>0</v>
          </cell>
          <cell r="BB188">
            <v>0</v>
          </cell>
          <cell r="BC188">
            <v>0</v>
          </cell>
          <cell r="BD188">
            <v>0</v>
          </cell>
          <cell r="BE188">
            <v>0</v>
          </cell>
          <cell r="BF188">
            <v>0</v>
          </cell>
          <cell r="BK188">
            <v>-275823</v>
          </cell>
          <cell r="BL188">
            <v>-275823</v>
          </cell>
          <cell r="BM188">
            <v>-275823</v>
          </cell>
          <cell r="BN188">
            <v>-275823</v>
          </cell>
          <cell r="BO188">
            <v>-275348</v>
          </cell>
          <cell r="BP188">
            <v>-275823</v>
          </cell>
          <cell r="BQ188">
            <v>-275823</v>
          </cell>
          <cell r="BR188">
            <v>-275823</v>
          </cell>
          <cell r="BS188">
            <v>-275823</v>
          </cell>
          <cell r="BT188">
            <v>-275823</v>
          </cell>
          <cell r="BU188">
            <v>0</v>
          </cell>
          <cell r="BV188">
            <v>0</v>
          </cell>
        </row>
        <row r="189">
          <cell r="F189">
            <v>20694</v>
          </cell>
          <cell r="G189">
            <v>0</v>
          </cell>
          <cell r="H189">
            <v>1586</v>
          </cell>
          <cell r="I189">
            <v>982</v>
          </cell>
          <cell r="J189">
            <v>1029</v>
          </cell>
          <cell r="K189">
            <v>1980</v>
          </cell>
          <cell r="L189">
            <v>2150</v>
          </cell>
          <cell r="M189">
            <v>1898</v>
          </cell>
          <cell r="N189">
            <v>3900</v>
          </cell>
          <cell r="O189">
            <v>3674</v>
          </cell>
          <cell r="P189">
            <v>3495</v>
          </cell>
          <cell r="T189">
            <v>0</v>
          </cell>
          <cell r="U189">
            <v>0</v>
          </cell>
          <cell r="V189">
            <v>0</v>
          </cell>
          <cell r="W189">
            <v>0</v>
          </cell>
          <cell r="X189">
            <v>0</v>
          </cell>
          <cell r="Y189">
            <v>0</v>
          </cell>
          <cell r="Z189">
            <v>0</v>
          </cell>
          <cell r="AA189">
            <v>0</v>
          </cell>
          <cell r="AB189">
            <v>0</v>
          </cell>
          <cell r="AC189">
            <v>0</v>
          </cell>
          <cell r="AD189">
            <v>0</v>
          </cell>
          <cell r="AI189">
            <v>0</v>
          </cell>
          <cell r="AJ189">
            <v>0</v>
          </cell>
          <cell r="AK189">
            <v>0</v>
          </cell>
          <cell r="AL189">
            <v>0</v>
          </cell>
          <cell r="AM189">
            <v>0</v>
          </cell>
          <cell r="AN189">
            <v>0</v>
          </cell>
          <cell r="AO189">
            <v>0</v>
          </cell>
          <cell r="AP189">
            <v>0</v>
          </cell>
          <cell r="AQ189">
            <v>0</v>
          </cell>
          <cell r="AR189">
            <v>0</v>
          </cell>
          <cell r="AW189">
            <v>0</v>
          </cell>
          <cell r="AX189">
            <v>0</v>
          </cell>
          <cell r="AY189">
            <v>0</v>
          </cell>
          <cell r="AZ189">
            <v>0</v>
          </cell>
          <cell r="BA189">
            <v>0</v>
          </cell>
          <cell r="BB189">
            <v>0</v>
          </cell>
          <cell r="BC189">
            <v>0</v>
          </cell>
          <cell r="BD189">
            <v>0</v>
          </cell>
          <cell r="BE189">
            <v>0</v>
          </cell>
          <cell r="BF189">
            <v>0</v>
          </cell>
          <cell r="BK189">
            <v>0</v>
          </cell>
          <cell r="BL189">
            <v>1586</v>
          </cell>
          <cell r="BM189">
            <v>982</v>
          </cell>
          <cell r="BN189">
            <v>1029</v>
          </cell>
          <cell r="BO189">
            <v>1980</v>
          </cell>
          <cell r="BP189">
            <v>2150</v>
          </cell>
          <cell r="BQ189">
            <v>1898</v>
          </cell>
          <cell r="BR189">
            <v>3900</v>
          </cell>
          <cell r="BS189">
            <v>3674</v>
          </cell>
          <cell r="BT189">
            <v>3495</v>
          </cell>
          <cell r="BU189">
            <v>0</v>
          </cell>
          <cell r="BV189">
            <v>0</v>
          </cell>
        </row>
        <row r="190">
          <cell r="F190">
            <v>-144888</v>
          </cell>
          <cell r="G190">
            <v>-14347</v>
          </cell>
          <cell r="H190">
            <v>-14347</v>
          </cell>
          <cell r="I190">
            <v>-14347</v>
          </cell>
          <cell r="J190">
            <v>-14347</v>
          </cell>
          <cell r="K190">
            <v>-14347</v>
          </cell>
          <cell r="L190">
            <v>-14347</v>
          </cell>
          <cell r="M190">
            <v>-14347</v>
          </cell>
          <cell r="N190">
            <v>-14347</v>
          </cell>
          <cell r="O190">
            <v>-14347</v>
          </cell>
          <cell r="P190">
            <v>-15765</v>
          </cell>
          <cell r="T190">
            <v>0</v>
          </cell>
          <cell r="U190">
            <v>0</v>
          </cell>
          <cell r="V190">
            <v>0</v>
          </cell>
          <cell r="W190">
            <v>0</v>
          </cell>
          <cell r="X190">
            <v>0</v>
          </cell>
          <cell r="Y190">
            <v>0</v>
          </cell>
          <cell r="Z190">
            <v>0</v>
          </cell>
          <cell r="AA190">
            <v>0</v>
          </cell>
          <cell r="AB190">
            <v>0</v>
          </cell>
          <cell r="AC190">
            <v>0</v>
          </cell>
          <cell r="AD190">
            <v>0</v>
          </cell>
          <cell r="AI190">
            <v>0</v>
          </cell>
          <cell r="AJ190">
            <v>0</v>
          </cell>
          <cell r="AK190">
            <v>0</v>
          </cell>
          <cell r="AL190">
            <v>0</v>
          </cell>
          <cell r="AM190">
            <v>0</v>
          </cell>
          <cell r="AN190">
            <v>0</v>
          </cell>
          <cell r="AO190">
            <v>0</v>
          </cell>
          <cell r="AP190">
            <v>0</v>
          </cell>
          <cell r="AQ190">
            <v>0</v>
          </cell>
          <cell r="AR190">
            <v>0</v>
          </cell>
          <cell r="AW190">
            <v>0</v>
          </cell>
          <cell r="AX190">
            <v>0</v>
          </cell>
          <cell r="AY190">
            <v>0</v>
          </cell>
          <cell r="AZ190">
            <v>0</v>
          </cell>
          <cell r="BA190">
            <v>0</v>
          </cell>
          <cell r="BB190">
            <v>0</v>
          </cell>
          <cell r="BC190">
            <v>0</v>
          </cell>
          <cell r="BD190">
            <v>0</v>
          </cell>
          <cell r="BE190">
            <v>0</v>
          </cell>
          <cell r="BF190">
            <v>0</v>
          </cell>
          <cell r="BK190">
            <v>-14347</v>
          </cell>
          <cell r="BL190">
            <v>-14347</v>
          </cell>
          <cell r="BM190">
            <v>-14347</v>
          </cell>
          <cell r="BN190">
            <v>-14347</v>
          </cell>
          <cell r="BO190">
            <v>-14347</v>
          </cell>
          <cell r="BP190">
            <v>-14347</v>
          </cell>
          <cell r="BQ190">
            <v>-14347</v>
          </cell>
          <cell r="BR190">
            <v>-14347</v>
          </cell>
          <cell r="BS190">
            <v>-14347</v>
          </cell>
          <cell r="BT190">
            <v>-15765</v>
          </cell>
          <cell r="BU190">
            <v>0</v>
          </cell>
          <cell r="BV190">
            <v>0</v>
          </cell>
        </row>
        <row r="191">
          <cell r="F191">
            <v>0</v>
          </cell>
          <cell r="G191">
            <v>0</v>
          </cell>
          <cell r="H191">
            <v>0</v>
          </cell>
          <cell r="I191">
            <v>0</v>
          </cell>
          <cell r="J191">
            <v>0</v>
          </cell>
          <cell r="K191">
            <v>0</v>
          </cell>
          <cell r="L191">
            <v>0</v>
          </cell>
          <cell r="M191">
            <v>0</v>
          </cell>
          <cell r="N191">
            <v>0</v>
          </cell>
          <cell r="O191">
            <v>0</v>
          </cell>
          <cell r="P191">
            <v>0</v>
          </cell>
          <cell r="T191">
            <v>0</v>
          </cell>
          <cell r="U191">
            <v>0</v>
          </cell>
          <cell r="V191">
            <v>0</v>
          </cell>
          <cell r="W191">
            <v>0</v>
          </cell>
          <cell r="X191">
            <v>0</v>
          </cell>
          <cell r="Y191">
            <v>0</v>
          </cell>
          <cell r="Z191">
            <v>0</v>
          </cell>
          <cell r="AA191">
            <v>0</v>
          </cell>
          <cell r="AB191">
            <v>0</v>
          </cell>
          <cell r="AC191">
            <v>0</v>
          </cell>
          <cell r="AD191">
            <v>0</v>
          </cell>
          <cell r="AI191">
            <v>0</v>
          </cell>
          <cell r="AJ191">
            <v>0</v>
          </cell>
          <cell r="AK191">
            <v>0</v>
          </cell>
          <cell r="AL191">
            <v>0</v>
          </cell>
          <cell r="AM191">
            <v>0</v>
          </cell>
          <cell r="AN191">
            <v>0</v>
          </cell>
          <cell r="AO191">
            <v>0</v>
          </cell>
          <cell r="AP191">
            <v>0</v>
          </cell>
          <cell r="AQ191">
            <v>0</v>
          </cell>
          <cell r="AR191">
            <v>0</v>
          </cell>
          <cell r="AW191">
            <v>0</v>
          </cell>
          <cell r="AX191">
            <v>0</v>
          </cell>
          <cell r="AY191">
            <v>0</v>
          </cell>
          <cell r="AZ191">
            <v>0</v>
          </cell>
          <cell r="BA191">
            <v>0</v>
          </cell>
          <cell r="BB191">
            <v>0</v>
          </cell>
          <cell r="BC191">
            <v>0</v>
          </cell>
          <cell r="BD191">
            <v>0</v>
          </cell>
          <cell r="BE191">
            <v>0</v>
          </cell>
          <cell r="BF191">
            <v>0</v>
          </cell>
          <cell r="BK191">
            <v>0</v>
          </cell>
          <cell r="BL191">
            <v>0</v>
          </cell>
          <cell r="BM191">
            <v>0</v>
          </cell>
          <cell r="BN191">
            <v>0</v>
          </cell>
          <cell r="BO191">
            <v>0</v>
          </cell>
          <cell r="BP191">
            <v>0</v>
          </cell>
          <cell r="BQ191">
            <v>0</v>
          </cell>
          <cell r="BR191">
            <v>0</v>
          </cell>
          <cell r="BS191">
            <v>0</v>
          </cell>
          <cell r="BT191">
            <v>0</v>
          </cell>
          <cell r="BU191">
            <v>0</v>
          </cell>
          <cell r="BV191">
            <v>0</v>
          </cell>
        </row>
        <row r="192">
          <cell r="F192">
            <v>0</v>
          </cell>
          <cell r="G192">
            <v>0</v>
          </cell>
          <cell r="H192">
            <v>0</v>
          </cell>
          <cell r="I192">
            <v>0</v>
          </cell>
          <cell r="J192">
            <v>0</v>
          </cell>
          <cell r="K192">
            <v>0</v>
          </cell>
          <cell r="L192">
            <v>0</v>
          </cell>
          <cell r="M192">
            <v>0</v>
          </cell>
          <cell r="N192">
            <v>0</v>
          </cell>
          <cell r="O192">
            <v>0</v>
          </cell>
          <cell r="P192">
            <v>0</v>
          </cell>
          <cell r="T192">
            <v>0</v>
          </cell>
          <cell r="U192">
            <v>0</v>
          </cell>
          <cell r="V192">
            <v>0</v>
          </cell>
          <cell r="W192">
            <v>0</v>
          </cell>
          <cell r="X192">
            <v>0</v>
          </cell>
          <cell r="Y192">
            <v>0</v>
          </cell>
          <cell r="Z192">
            <v>0</v>
          </cell>
          <cell r="AA192">
            <v>0</v>
          </cell>
          <cell r="AB192">
            <v>0</v>
          </cell>
          <cell r="AC192">
            <v>0</v>
          </cell>
          <cell r="AD192">
            <v>0</v>
          </cell>
          <cell r="AI192">
            <v>0</v>
          </cell>
          <cell r="AJ192">
            <v>0</v>
          </cell>
          <cell r="AK192">
            <v>0</v>
          </cell>
          <cell r="AL192">
            <v>0</v>
          </cell>
          <cell r="AM192">
            <v>0</v>
          </cell>
          <cell r="AN192">
            <v>0</v>
          </cell>
          <cell r="AO192">
            <v>0</v>
          </cell>
          <cell r="AP192">
            <v>0</v>
          </cell>
          <cell r="AQ192">
            <v>0</v>
          </cell>
          <cell r="AR192">
            <v>0</v>
          </cell>
          <cell r="AW192">
            <v>0</v>
          </cell>
          <cell r="AX192">
            <v>0</v>
          </cell>
          <cell r="AY192">
            <v>0</v>
          </cell>
          <cell r="AZ192">
            <v>0</v>
          </cell>
          <cell r="BA192">
            <v>0</v>
          </cell>
          <cell r="BB192">
            <v>0</v>
          </cell>
          <cell r="BC192">
            <v>0</v>
          </cell>
          <cell r="BD192">
            <v>0</v>
          </cell>
          <cell r="BE192">
            <v>0</v>
          </cell>
          <cell r="BF192">
            <v>0</v>
          </cell>
          <cell r="BK192">
            <v>0</v>
          </cell>
          <cell r="BL192">
            <v>0</v>
          </cell>
          <cell r="BM192">
            <v>0</v>
          </cell>
          <cell r="BN192">
            <v>0</v>
          </cell>
          <cell r="BO192">
            <v>0</v>
          </cell>
          <cell r="BP192">
            <v>0</v>
          </cell>
          <cell r="BQ192">
            <v>0</v>
          </cell>
          <cell r="BR192">
            <v>0</v>
          </cell>
          <cell r="BS192">
            <v>0</v>
          </cell>
          <cell r="BT192">
            <v>0</v>
          </cell>
          <cell r="BU192">
            <v>0</v>
          </cell>
          <cell r="BV192">
            <v>0</v>
          </cell>
        </row>
        <row r="193">
          <cell r="F193">
            <v>0</v>
          </cell>
          <cell r="G193">
            <v>0</v>
          </cell>
          <cell r="H193">
            <v>0</v>
          </cell>
          <cell r="I193">
            <v>0</v>
          </cell>
          <cell r="J193">
            <v>0</v>
          </cell>
          <cell r="K193">
            <v>0</v>
          </cell>
          <cell r="L193">
            <v>0</v>
          </cell>
          <cell r="M193">
            <v>0</v>
          </cell>
          <cell r="N193">
            <v>0</v>
          </cell>
          <cell r="O193">
            <v>0</v>
          </cell>
          <cell r="P193">
            <v>0</v>
          </cell>
          <cell r="T193">
            <v>0</v>
          </cell>
          <cell r="U193">
            <v>0</v>
          </cell>
          <cell r="V193">
            <v>0</v>
          </cell>
          <cell r="W193">
            <v>0</v>
          </cell>
          <cell r="X193">
            <v>0</v>
          </cell>
          <cell r="Y193">
            <v>0</v>
          </cell>
          <cell r="Z193">
            <v>0</v>
          </cell>
          <cell r="AA193">
            <v>0</v>
          </cell>
          <cell r="AB193">
            <v>0</v>
          </cell>
          <cell r="AC193">
            <v>0</v>
          </cell>
          <cell r="AD193">
            <v>0</v>
          </cell>
          <cell r="AI193">
            <v>0</v>
          </cell>
          <cell r="AJ193">
            <v>0</v>
          </cell>
          <cell r="AK193">
            <v>0</v>
          </cell>
          <cell r="AL193">
            <v>0</v>
          </cell>
          <cell r="AM193">
            <v>0</v>
          </cell>
          <cell r="AN193">
            <v>0</v>
          </cell>
          <cell r="AO193">
            <v>0</v>
          </cell>
          <cell r="AP193">
            <v>0</v>
          </cell>
          <cell r="AQ193">
            <v>0</v>
          </cell>
          <cell r="AR193">
            <v>0</v>
          </cell>
          <cell r="AW193">
            <v>0</v>
          </cell>
          <cell r="AX193">
            <v>0</v>
          </cell>
          <cell r="AY193">
            <v>0</v>
          </cell>
          <cell r="AZ193">
            <v>0</v>
          </cell>
          <cell r="BA193">
            <v>0</v>
          </cell>
          <cell r="BB193">
            <v>0</v>
          </cell>
          <cell r="BC193">
            <v>0</v>
          </cell>
          <cell r="BD193">
            <v>0</v>
          </cell>
          <cell r="BE193">
            <v>0</v>
          </cell>
          <cell r="BF193">
            <v>0</v>
          </cell>
          <cell r="BK193">
            <v>0</v>
          </cell>
          <cell r="BL193">
            <v>0</v>
          </cell>
          <cell r="BM193">
            <v>0</v>
          </cell>
          <cell r="BN193">
            <v>0</v>
          </cell>
          <cell r="BO193">
            <v>0</v>
          </cell>
          <cell r="BP193">
            <v>0</v>
          </cell>
          <cell r="BQ193">
            <v>0</v>
          </cell>
          <cell r="BR193">
            <v>0</v>
          </cell>
          <cell r="BS193">
            <v>0</v>
          </cell>
          <cell r="BT193">
            <v>0</v>
          </cell>
          <cell r="BU193">
            <v>0</v>
          </cell>
          <cell r="BV193">
            <v>0</v>
          </cell>
        </row>
        <row r="194">
          <cell r="F194">
            <v>0</v>
          </cell>
          <cell r="G194">
            <v>0</v>
          </cell>
          <cell r="H194">
            <v>0</v>
          </cell>
          <cell r="I194">
            <v>0</v>
          </cell>
          <cell r="J194">
            <v>0</v>
          </cell>
          <cell r="K194">
            <v>0</v>
          </cell>
          <cell r="L194">
            <v>0</v>
          </cell>
          <cell r="M194">
            <v>0</v>
          </cell>
          <cell r="N194">
            <v>0</v>
          </cell>
          <cell r="O194">
            <v>0</v>
          </cell>
          <cell r="P194">
            <v>0</v>
          </cell>
          <cell r="T194">
            <v>0</v>
          </cell>
          <cell r="U194">
            <v>0</v>
          </cell>
          <cell r="V194">
            <v>0</v>
          </cell>
          <cell r="W194">
            <v>0</v>
          </cell>
          <cell r="X194">
            <v>0</v>
          </cell>
          <cell r="Y194">
            <v>0</v>
          </cell>
          <cell r="Z194">
            <v>0</v>
          </cell>
          <cell r="AA194">
            <v>0</v>
          </cell>
          <cell r="AB194">
            <v>0</v>
          </cell>
          <cell r="AC194">
            <v>0</v>
          </cell>
          <cell r="AD194">
            <v>0</v>
          </cell>
          <cell r="AI194">
            <v>0</v>
          </cell>
          <cell r="AJ194">
            <v>0</v>
          </cell>
          <cell r="AK194">
            <v>0</v>
          </cell>
          <cell r="AL194">
            <v>0</v>
          </cell>
          <cell r="AM194">
            <v>0</v>
          </cell>
          <cell r="AN194">
            <v>0</v>
          </cell>
          <cell r="AO194">
            <v>0</v>
          </cell>
          <cell r="AP194">
            <v>0</v>
          </cell>
          <cell r="AQ194">
            <v>0</v>
          </cell>
          <cell r="AR194">
            <v>0</v>
          </cell>
          <cell r="AW194">
            <v>0</v>
          </cell>
          <cell r="AX194">
            <v>0</v>
          </cell>
          <cell r="AY194">
            <v>0</v>
          </cell>
          <cell r="AZ194">
            <v>0</v>
          </cell>
          <cell r="BA194">
            <v>0</v>
          </cell>
          <cell r="BB194">
            <v>0</v>
          </cell>
          <cell r="BC194">
            <v>0</v>
          </cell>
          <cell r="BD194">
            <v>0</v>
          </cell>
          <cell r="BE194">
            <v>0</v>
          </cell>
          <cell r="BF194">
            <v>0</v>
          </cell>
          <cell r="BK194">
            <v>0</v>
          </cell>
          <cell r="BL194">
            <v>0</v>
          </cell>
          <cell r="BM194">
            <v>0</v>
          </cell>
          <cell r="BN194">
            <v>0</v>
          </cell>
          <cell r="BO194">
            <v>0</v>
          </cell>
          <cell r="BP194">
            <v>0</v>
          </cell>
          <cell r="BQ194">
            <v>0</v>
          </cell>
          <cell r="BR194">
            <v>0</v>
          </cell>
          <cell r="BS194">
            <v>0</v>
          </cell>
          <cell r="BT194">
            <v>0</v>
          </cell>
          <cell r="BU194">
            <v>0</v>
          </cell>
          <cell r="BV194">
            <v>0</v>
          </cell>
        </row>
        <row r="195">
          <cell r="F195">
            <v>78100</v>
          </cell>
          <cell r="G195">
            <v>7810</v>
          </cell>
          <cell r="H195">
            <v>7810</v>
          </cell>
          <cell r="I195">
            <v>7810</v>
          </cell>
          <cell r="J195">
            <v>7810</v>
          </cell>
          <cell r="K195">
            <v>7810</v>
          </cell>
          <cell r="L195">
            <v>7810</v>
          </cell>
          <cell r="M195">
            <v>7810</v>
          </cell>
          <cell r="N195">
            <v>7810</v>
          </cell>
          <cell r="O195">
            <v>7810</v>
          </cell>
          <cell r="P195">
            <v>7810</v>
          </cell>
          <cell r="T195">
            <v>63900</v>
          </cell>
          <cell r="U195">
            <v>6390</v>
          </cell>
          <cell r="V195">
            <v>6390</v>
          </cell>
          <cell r="W195">
            <v>6390</v>
          </cell>
          <cell r="X195">
            <v>6390</v>
          </cell>
          <cell r="Y195">
            <v>6390</v>
          </cell>
          <cell r="Z195">
            <v>6390</v>
          </cell>
          <cell r="AA195">
            <v>6390</v>
          </cell>
          <cell r="AB195">
            <v>6390</v>
          </cell>
          <cell r="AC195">
            <v>6390</v>
          </cell>
          <cell r="AD195">
            <v>6390</v>
          </cell>
          <cell r="AI195">
            <v>0</v>
          </cell>
          <cell r="AJ195">
            <v>0</v>
          </cell>
          <cell r="AK195">
            <v>0</v>
          </cell>
          <cell r="AL195">
            <v>0</v>
          </cell>
          <cell r="AM195">
            <v>0</v>
          </cell>
          <cell r="AN195">
            <v>0</v>
          </cell>
          <cell r="AO195">
            <v>0</v>
          </cell>
          <cell r="AP195">
            <v>0</v>
          </cell>
          <cell r="AQ195">
            <v>0</v>
          </cell>
          <cell r="AR195">
            <v>0</v>
          </cell>
          <cell r="AW195">
            <v>0</v>
          </cell>
          <cell r="AX195">
            <v>0</v>
          </cell>
          <cell r="AY195">
            <v>0</v>
          </cell>
          <cell r="AZ195">
            <v>0</v>
          </cell>
          <cell r="BA195">
            <v>0</v>
          </cell>
          <cell r="BB195">
            <v>0</v>
          </cell>
          <cell r="BC195">
            <v>0</v>
          </cell>
          <cell r="BD195">
            <v>0</v>
          </cell>
          <cell r="BE195">
            <v>0</v>
          </cell>
          <cell r="BF195">
            <v>0</v>
          </cell>
          <cell r="BK195">
            <v>14200</v>
          </cell>
          <cell r="BL195">
            <v>14200</v>
          </cell>
          <cell r="BM195">
            <v>14200</v>
          </cell>
          <cell r="BN195">
            <v>14200</v>
          </cell>
          <cell r="BO195">
            <v>14200</v>
          </cell>
          <cell r="BP195">
            <v>14200</v>
          </cell>
          <cell r="BQ195">
            <v>14200</v>
          </cell>
          <cell r="BR195">
            <v>14200</v>
          </cell>
          <cell r="BS195">
            <v>14200</v>
          </cell>
          <cell r="BT195">
            <v>14200</v>
          </cell>
          <cell r="BU195">
            <v>0</v>
          </cell>
          <cell r="BV195">
            <v>0</v>
          </cell>
        </row>
        <row r="196">
          <cell r="F196">
            <v>0</v>
          </cell>
          <cell r="G196">
            <v>0</v>
          </cell>
          <cell r="H196">
            <v>0</v>
          </cell>
          <cell r="I196">
            <v>0</v>
          </cell>
          <cell r="J196">
            <v>0</v>
          </cell>
          <cell r="K196">
            <v>0</v>
          </cell>
          <cell r="L196">
            <v>0</v>
          </cell>
          <cell r="M196">
            <v>0</v>
          </cell>
          <cell r="N196">
            <v>0</v>
          </cell>
          <cell r="O196">
            <v>0</v>
          </cell>
          <cell r="P196">
            <v>0</v>
          </cell>
          <cell r="T196">
            <v>0</v>
          </cell>
          <cell r="U196">
            <v>0</v>
          </cell>
          <cell r="V196">
            <v>0</v>
          </cell>
          <cell r="W196">
            <v>0</v>
          </cell>
          <cell r="X196">
            <v>0</v>
          </cell>
          <cell r="Y196">
            <v>0</v>
          </cell>
          <cell r="Z196">
            <v>0</v>
          </cell>
          <cell r="AA196">
            <v>0</v>
          </cell>
          <cell r="AB196">
            <v>0</v>
          </cell>
          <cell r="AC196">
            <v>0</v>
          </cell>
          <cell r="AD196">
            <v>0</v>
          </cell>
          <cell r="AI196">
            <v>0</v>
          </cell>
          <cell r="AJ196">
            <v>0</v>
          </cell>
          <cell r="AK196">
            <v>0</v>
          </cell>
          <cell r="AL196">
            <v>0</v>
          </cell>
          <cell r="AM196">
            <v>0</v>
          </cell>
          <cell r="AN196">
            <v>0</v>
          </cell>
          <cell r="AO196">
            <v>0</v>
          </cell>
          <cell r="AP196">
            <v>0</v>
          </cell>
          <cell r="AQ196">
            <v>0</v>
          </cell>
          <cell r="AR196">
            <v>0</v>
          </cell>
          <cell r="AW196">
            <v>0</v>
          </cell>
          <cell r="AX196">
            <v>0</v>
          </cell>
          <cell r="AY196">
            <v>-382500</v>
          </cell>
          <cell r="AZ196">
            <v>0</v>
          </cell>
          <cell r="BA196">
            <v>0</v>
          </cell>
          <cell r="BB196">
            <v>0</v>
          </cell>
          <cell r="BC196">
            <v>0</v>
          </cell>
          <cell r="BD196">
            <v>0</v>
          </cell>
          <cell r="BE196">
            <v>-525938</v>
          </cell>
          <cell r="BF196">
            <v>0</v>
          </cell>
          <cell r="BK196">
            <v>0</v>
          </cell>
          <cell r="BL196">
            <v>0</v>
          </cell>
          <cell r="BM196">
            <v>-382500</v>
          </cell>
          <cell r="BN196">
            <v>0</v>
          </cell>
          <cell r="BO196">
            <v>0</v>
          </cell>
          <cell r="BP196">
            <v>0</v>
          </cell>
          <cell r="BQ196">
            <v>0</v>
          </cell>
          <cell r="BR196">
            <v>0</v>
          </cell>
          <cell r="BS196">
            <v>-525938</v>
          </cell>
          <cell r="BT196">
            <v>0</v>
          </cell>
          <cell r="BU196">
            <v>0</v>
          </cell>
          <cell r="BV196">
            <v>0</v>
          </cell>
        </row>
        <row r="197">
          <cell r="F197">
            <v>-7328320</v>
          </cell>
          <cell r="G197">
            <v>-732832</v>
          </cell>
          <cell r="H197">
            <v>-732832</v>
          </cell>
          <cell r="I197">
            <v>-732832</v>
          </cell>
          <cell r="J197">
            <v>-732832</v>
          </cell>
          <cell r="K197">
            <v>-732832</v>
          </cell>
          <cell r="L197">
            <v>-732832</v>
          </cell>
          <cell r="M197">
            <v>-732832</v>
          </cell>
          <cell r="N197">
            <v>-732832</v>
          </cell>
          <cell r="O197">
            <v>-732832</v>
          </cell>
          <cell r="P197">
            <v>-732832</v>
          </cell>
          <cell r="T197">
            <v>-2442770</v>
          </cell>
          <cell r="U197">
            <v>-244277</v>
          </cell>
          <cell r="V197">
            <v>-244277</v>
          </cell>
          <cell r="W197">
            <v>-244277</v>
          </cell>
          <cell r="X197">
            <v>-244277</v>
          </cell>
          <cell r="Y197">
            <v>-244277</v>
          </cell>
          <cell r="Z197">
            <v>-244277</v>
          </cell>
          <cell r="AA197">
            <v>-244277</v>
          </cell>
          <cell r="AB197">
            <v>-244277</v>
          </cell>
          <cell r="AC197">
            <v>-244277</v>
          </cell>
          <cell r="AD197">
            <v>-244277</v>
          </cell>
          <cell r="AI197">
            <v>0</v>
          </cell>
          <cell r="AJ197">
            <v>0</v>
          </cell>
          <cell r="AK197">
            <v>0</v>
          </cell>
          <cell r="AL197">
            <v>0</v>
          </cell>
          <cell r="AM197">
            <v>0</v>
          </cell>
          <cell r="AN197">
            <v>0</v>
          </cell>
          <cell r="AO197">
            <v>0</v>
          </cell>
          <cell r="AP197">
            <v>0</v>
          </cell>
          <cell r="AQ197">
            <v>0</v>
          </cell>
          <cell r="AR197">
            <v>0</v>
          </cell>
          <cell r="AW197">
            <v>0</v>
          </cell>
          <cell r="AX197">
            <v>0</v>
          </cell>
          <cell r="AY197">
            <v>0</v>
          </cell>
          <cell r="AZ197">
            <v>0</v>
          </cell>
          <cell r="BA197">
            <v>0</v>
          </cell>
          <cell r="BB197">
            <v>0</v>
          </cell>
          <cell r="BC197">
            <v>0</v>
          </cell>
          <cell r="BD197">
            <v>0</v>
          </cell>
          <cell r="BE197">
            <v>0</v>
          </cell>
          <cell r="BF197">
            <v>0</v>
          </cell>
          <cell r="BK197">
            <v>-977109</v>
          </cell>
          <cell r="BL197">
            <v>-977109</v>
          </cell>
          <cell r="BM197">
            <v>-977109</v>
          </cell>
          <cell r="BN197">
            <v>-977109</v>
          </cell>
          <cell r="BO197">
            <v>-977109</v>
          </cell>
          <cell r="BP197">
            <v>-977109</v>
          </cell>
          <cell r="BQ197">
            <v>-977109</v>
          </cell>
          <cell r="BR197">
            <v>-977109</v>
          </cell>
          <cell r="BS197">
            <v>-977109</v>
          </cell>
          <cell r="BT197">
            <v>-977109</v>
          </cell>
          <cell r="BU197">
            <v>0</v>
          </cell>
          <cell r="BV197">
            <v>0</v>
          </cell>
        </row>
        <row r="198">
          <cell r="F198">
            <v>12090580</v>
          </cell>
          <cell r="G198">
            <v>1209058</v>
          </cell>
          <cell r="H198">
            <v>1209058</v>
          </cell>
          <cell r="I198">
            <v>1209058</v>
          </cell>
          <cell r="J198">
            <v>1209058</v>
          </cell>
          <cell r="K198">
            <v>1209058</v>
          </cell>
          <cell r="L198">
            <v>1209058</v>
          </cell>
          <cell r="M198">
            <v>1209058</v>
          </cell>
          <cell r="N198">
            <v>1209058</v>
          </cell>
          <cell r="O198">
            <v>1209058</v>
          </cell>
          <cell r="P198">
            <v>1209058</v>
          </cell>
          <cell r="T198">
            <v>4030200</v>
          </cell>
          <cell r="U198">
            <v>403020</v>
          </cell>
          <cell r="V198">
            <v>403020</v>
          </cell>
          <cell r="W198">
            <v>403020</v>
          </cell>
          <cell r="X198">
            <v>403020</v>
          </cell>
          <cell r="Y198">
            <v>403020</v>
          </cell>
          <cell r="Z198">
            <v>403020</v>
          </cell>
          <cell r="AA198">
            <v>403020</v>
          </cell>
          <cell r="AB198">
            <v>403020</v>
          </cell>
          <cell r="AC198">
            <v>403020</v>
          </cell>
          <cell r="AD198">
            <v>403020</v>
          </cell>
          <cell r="AI198">
            <v>0</v>
          </cell>
          <cell r="AJ198">
            <v>0</v>
          </cell>
          <cell r="AK198">
            <v>0</v>
          </cell>
          <cell r="AL198">
            <v>0</v>
          </cell>
          <cell r="AM198">
            <v>0</v>
          </cell>
          <cell r="AN198">
            <v>0</v>
          </cell>
          <cell r="AO198">
            <v>0</v>
          </cell>
          <cell r="AP198">
            <v>0</v>
          </cell>
          <cell r="AQ198">
            <v>0</v>
          </cell>
          <cell r="AR198">
            <v>0</v>
          </cell>
          <cell r="AW198">
            <v>0</v>
          </cell>
          <cell r="AX198">
            <v>0</v>
          </cell>
          <cell r="AY198">
            <v>0</v>
          </cell>
          <cell r="AZ198">
            <v>0</v>
          </cell>
          <cell r="BA198">
            <v>0</v>
          </cell>
          <cell r="BB198">
            <v>0</v>
          </cell>
          <cell r="BC198">
            <v>0</v>
          </cell>
          <cell r="BD198">
            <v>0</v>
          </cell>
          <cell r="BE198">
            <v>0</v>
          </cell>
          <cell r="BF198">
            <v>0</v>
          </cell>
          <cell r="BK198">
            <v>1612078</v>
          </cell>
          <cell r="BL198">
            <v>1612078</v>
          </cell>
          <cell r="BM198">
            <v>1612078</v>
          </cell>
          <cell r="BN198">
            <v>1612078</v>
          </cell>
          <cell r="BO198">
            <v>1612078</v>
          </cell>
          <cell r="BP198">
            <v>1612078</v>
          </cell>
          <cell r="BQ198">
            <v>1612078</v>
          </cell>
          <cell r="BR198">
            <v>1612078</v>
          </cell>
          <cell r="BS198">
            <v>1612078</v>
          </cell>
          <cell r="BT198">
            <v>1612078</v>
          </cell>
          <cell r="BU198">
            <v>0</v>
          </cell>
          <cell r="BV198">
            <v>0</v>
          </cell>
        </row>
        <row r="199">
          <cell r="F199">
            <v>-187520</v>
          </cell>
          <cell r="G199">
            <v>-18752</v>
          </cell>
          <cell r="H199">
            <v>-18752</v>
          </cell>
          <cell r="I199">
            <v>-18752</v>
          </cell>
          <cell r="J199">
            <v>-18752</v>
          </cell>
          <cell r="K199">
            <v>-18752</v>
          </cell>
          <cell r="L199">
            <v>-18752</v>
          </cell>
          <cell r="M199">
            <v>-18752</v>
          </cell>
          <cell r="N199">
            <v>-18752</v>
          </cell>
          <cell r="O199">
            <v>-18752</v>
          </cell>
          <cell r="P199">
            <v>-18752</v>
          </cell>
          <cell r="T199">
            <v>-67460</v>
          </cell>
          <cell r="U199">
            <v>-6746</v>
          </cell>
          <cell r="V199">
            <v>-6746</v>
          </cell>
          <cell r="W199">
            <v>-6746</v>
          </cell>
          <cell r="X199">
            <v>-6746</v>
          </cell>
          <cell r="Y199">
            <v>-6746</v>
          </cell>
          <cell r="Z199">
            <v>-6746</v>
          </cell>
          <cell r="AA199">
            <v>-6746</v>
          </cell>
          <cell r="AB199">
            <v>-6746</v>
          </cell>
          <cell r="AC199">
            <v>-6746</v>
          </cell>
          <cell r="AD199">
            <v>-6746</v>
          </cell>
          <cell r="AI199">
            <v>0</v>
          </cell>
          <cell r="AJ199">
            <v>0</v>
          </cell>
          <cell r="AK199">
            <v>0</v>
          </cell>
          <cell r="AL199">
            <v>0</v>
          </cell>
          <cell r="AM199">
            <v>0</v>
          </cell>
          <cell r="AN199">
            <v>0</v>
          </cell>
          <cell r="AO199">
            <v>0</v>
          </cell>
          <cell r="AP199">
            <v>0</v>
          </cell>
          <cell r="AQ199">
            <v>0</v>
          </cell>
          <cell r="AR199">
            <v>0</v>
          </cell>
          <cell r="AW199">
            <v>0</v>
          </cell>
          <cell r="AX199">
            <v>0</v>
          </cell>
          <cell r="AY199">
            <v>0</v>
          </cell>
          <cell r="AZ199">
            <v>0</v>
          </cell>
          <cell r="BA199">
            <v>0</v>
          </cell>
          <cell r="BB199">
            <v>0</v>
          </cell>
          <cell r="BC199">
            <v>0</v>
          </cell>
          <cell r="BD199">
            <v>0</v>
          </cell>
          <cell r="BE199">
            <v>0</v>
          </cell>
          <cell r="BF199">
            <v>0</v>
          </cell>
          <cell r="BK199">
            <v>-25498</v>
          </cell>
          <cell r="BL199">
            <v>-25498</v>
          </cell>
          <cell r="BM199">
            <v>-25498</v>
          </cell>
          <cell r="BN199">
            <v>-25498</v>
          </cell>
          <cell r="BO199">
            <v>-25498</v>
          </cell>
          <cell r="BP199">
            <v>-25498</v>
          </cell>
          <cell r="BQ199">
            <v>-25498</v>
          </cell>
          <cell r="BR199">
            <v>-25498</v>
          </cell>
          <cell r="BS199">
            <v>-25498</v>
          </cell>
          <cell r="BT199">
            <v>-25498</v>
          </cell>
          <cell r="BU199">
            <v>0</v>
          </cell>
          <cell r="BV199">
            <v>0</v>
          </cell>
        </row>
        <row r="200">
          <cell r="F200">
            <v>0</v>
          </cell>
          <cell r="G200">
            <v>0</v>
          </cell>
          <cell r="H200">
            <v>0</v>
          </cell>
          <cell r="I200">
            <v>0</v>
          </cell>
          <cell r="J200">
            <v>0</v>
          </cell>
          <cell r="K200">
            <v>0</v>
          </cell>
          <cell r="L200">
            <v>0</v>
          </cell>
          <cell r="M200">
            <v>0</v>
          </cell>
          <cell r="N200">
            <v>0</v>
          </cell>
          <cell r="O200">
            <v>0</v>
          </cell>
          <cell r="P200">
            <v>0</v>
          </cell>
          <cell r="T200">
            <v>0</v>
          </cell>
          <cell r="U200">
            <v>0</v>
          </cell>
          <cell r="V200">
            <v>0</v>
          </cell>
          <cell r="W200">
            <v>0</v>
          </cell>
          <cell r="X200">
            <v>0</v>
          </cell>
          <cell r="Y200">
            <v>0</v>
          </cell>
          <cell r="Z200">
            <v>0</v>
          </cell>
          <cell r="AA200">
            <v>0</v>
          </cell>
          <cell r="AB200">
            <v>0</v>
          </cell>
          <cell r="AC200">
            <v>0</v>
          </cell>
          <cell r="AD200">
            <v>0</v>
          </cell>
          <cell r="AI200">
            <v>0</v>
          </cell>
          <cell r="AJ200">
            <v>0</v>
          </cell>
          <cell r="AK200">
            <v>0</v>
          </cell>
          <cell r="AL200">
            <v>0</v>
          </cell>
          <cell r="AM200">
            <v>0</v>
          </cell>
          <cell r="AN200">
            <v>0</v>
          </cell>
          <cell r="AO200">
            <v>0</v>
          </cell>
          <cell r="AP200">
            <v>0</v>
          </cell>
          <cell r="AQ200">
            <v>0</v>
          </cell>
          <cell r="AR200">
            <v>0</v>
          </cell>
          <cell r="AW200">
            <v>0</v>
          </cell>
          <cell r="AX200">
            <v>0</v>
          </cell>
          <cell r="AY200">
            <v>0</v>
          </cell>
          <cell r="AZ200">
            <v>0</v>
          </cell>
          <cell r="BA200">
            <v>0</v>
          </cell>
          <cell r="BB200">
            <v>0</v>
          </cell>
          <cell r="BC200">
            <v>0</v>
          </cell>
          <cell r="BD200">
            <v>0</v>
          </cell>
          <cell r="BE200">
            <v>0</v>
          </cell>
          <cell r="BF200">
            <v>0</v>
          </cell>
          <cell r="BK200">
            <v>0</v>
          </cell>
          <cell r="BL200">
            <v>0</v>
          </cell>
          <cell r="BM200">
            <v>0</v>
          </cell>
          <cell r="BN200">
            <v>0</v>
          </cell>
          <cell r="BO200">
            <v>0</v>
          </cell>
          <cell r="BP200">
            <v>0</v>
          </cell>
          <cell r="BQ200">
            <v>0</v>
          </cell>
          <cell r="BR200">
            <v>0</v>
          </cell>
          <cell r="BS200">
            <v>0</v>
          </cell>
          <cell r="BT200">
            <v>0</v>
          </cell>
          <cell r="BU200">
            <v>0</v>
          </cell>
          <cell r="BV200">
            <v>0</v>
          </cell>
        </row>
        <row r="201">
          <cell r="F201">
            <v>0</v>
          </cell>
          <cell r="G201">
            <v>0</v>
          </cell>
          <cell r="H201">
            <v>0</v>
          </cell>
          <cell r="I201">
            <v>0</v>
          </cell>
          <cell r="J201">
            <v>0</v>
          </cell>
          <cell r="K201">
            <v>0</v>
          </cell>
          <cell r="L201">
            <v>0</v>
          </cell>
          <cell r="M201">
            <v>0</v>
          </cell>
          <cell r="N201">
            <v>0</v>
          </cell>
          <cell r="O201">
            <v>0</v>
          </cell>
          <cell r="P201">
            <v>0</v>
          </cell>
          <cell r="T201">
            <v>13986</v>
          </cell>
          <cell r="U201">
            <v>12738</v>
          </cell>
          <cell r="V201">
            <v>835</v>
          </cell>
          <cell r="W201">
            <v>413</v>
          </cell>
          <cell r="X201">
            <v>0</v>
          </cell>
          <cell r="Y201">
            <v>0</v>
          </cell>
          <cell r="Z201">
            <v>0</v>
          </cell>
          <cell r="AA201">
            <v>0</v>
          </cell>
          <cell r="AB201">
            <v>0</v>
          </cell>
          <cell r="AC201">
            <v>0</v>
          </cell>
          <cell r="AD201">
            <v>0</v>
          </cell>
          <cell r="AI201">
            <v>0</v>
          </cell>
          <cell r="AJ201">
            <v>0</v>
          </cell>
          <cell r="AK201">
            <v>0</v>
          </cell>
          <cell r="AL201">
            <v>0</v>
          </cell>
          <cell r="AM201">
            <v>0</v>
          </cell>
          <cell r="AN201">
            <v>0</v>
          </cell>
          <cell r="AO201">
            <v>0</v>
          </cell>
          <cell r="AP201">
            <v>0</v>
          </cell>
          <cell r="AQ201">
            <v>0</v>
          </cell>
          <cell r="AR201">
            <v>0</v>
          </cell>
          <cell r="AW201">
            <v>0</v>
          </cell>
          <cell r="AX201">
            <v>0</v>
          </cell>
          <cell r="AY201">
            <v>0</v>
          </cell>
          <cell r="AZ201">
            <v>0</v>
          </cell>
          <cell r="BA201">
            <v>0</v>
          </cell>
          <cell r="BB201">
            <v>0</v>
          </cell>
          <cell r="BC201">
            <v>0</v>
          </cell>
          <cell r="BD201">
            <v>0</v>
          </cell>
          <cell r="BE201">
            <v>0</v>
          </cell>
          <cell r="BF201">
            <v>0</v>
          </cell>
          <cell r="BK201">
            <v>12738</v>
          </cell>
          <cell r="BL201">
            <v>835</v>
          </cell>
          <cell r="BM201">
            <v>413</v>
          </cell>
          <cell r="BN201">
            <v>0</v>
          </cell>
          <cell r="BO201">
            <v>0</v>
          </cell>
          <cell r="BP201">
            <v>0</v>
          </cell>
          <cell r="BQ201">
            <v>0</v>
          </cell>
          <cell r="BR201">
            <v>0</v>
          </cell>
          <cell r="BS201">
            <v>0</v>
          </cell>
          <cell r="BT201">
            <v>0</v>
          </cell>
          <cell r="BU201">
            <v>0</v>
          </cell>
          <cell r="BV201">
            <v>0</v>
          </cell>
        </row>
        <row r="202">
          <cell r="F202">
            <v>0</v>
          </cell>
          <cell r="G202">
            <v>0</v>
          </cell>
          <cell r="H202">
            <v>0</v>
          </cell>
          <cell r="I202">
            <v>0</v>
          </cell>
          <cell r="J202">
            <v>0</v>
          </cell>
          <cell r="K202">
            <v>0</v>
          </cell>
          <cell r="L202">
            <v>0</v>
          </cell>
          <cell r="M202">
            <v>0</v>
          </cell>
          <cell r="N202">
            <v>0</v>
          </cell>
          <cell r="O202">
            <v>0</v>
          </cell>
          <cell r="P202">
            <v>0</v>
          </cell>
          <cell r="T202">
            <v>0</v>
          </cell>
          <cell r="U202">
            <v>0</v>
          </cell>
          <cell r="V202">
            <v>0</v>
          </cell>
          <cell r="W202">
            <v>0</v>
          </cell>
          <cell r="X202">
            <v>0</v>
          </cell>
          <cell r="Y202">
            <v>0</v>
          </cell>
          <cell r="Z202">
            <v>0</v>
          </cell>
          <cell r="AA202">
            <v>0</v>
          </cell>
          <cell r="AB202">
            <v>0</v>
          </cell>
          <cell r="AC202">
            <v>0</v>
          </cell>
          <cell r="AD202">
            <v>0</v>
          </cell>
          <cell r="AI202">
            <v>0</v>
          </cell>
          <cell r="AJ202">
            <v>0</v>
          </cell>
          <cell r="AK202">
            <v>0</v>
          </cell>
          <cell r="AL202">
            <v>0</v>
          </cell>
          <cell r="AM202">
            <v>0</v>
          </cell>
          <cell r="AN202">
            <v>0</v>
          </cell>
          <cell r="AO202">
            <v>0</v>
          </cell>
          <cell r="AP202">
            <v>0</v>
          </cell>
          <cell r="AQ202">
            <v>0</v>
          </cell>
          <cell r="AR202">
            <v>0</v>
          </cell>
          <cell r="AW202">
            <v>2851</v>
          </cell>
          <cell r="AX202">
            <v>2851</v>
          </cell>
          <cell r="AY202">
            <v>2851</v>
          </cell>
          <cell r="AZ202">
            <v>2851</v>
          </cell>
          <cell r="BA202">
            <v>2851</v>
          </cell>
          <cell r="BB202">
            <v>2851</v>
          </cell>
          <cell r="BC202">
            <v>2851</v>
          </cell>
          <cell r="BD202">
            <v>-19958</v>
          </cell>
          <cell r="BE202">
            <v>0</v>
          </cell>
          <cell r="BF202">
            <v>0</v>
          </cell>
          <cell r="BK202">
            <v>2851</v>
          </cell>
          <cell r="BL202">
            <v>2851</v>
          </cell>
          <cell r="BM202">
            <v>2851</v>
          </cell>
          <cell r="BN202">
            <v>2851</v>
          </cell>
          <cell r="BO202">
            <v>2851</v>
          </cell>
          <cell r="BP202">
            <v>2851</v>
          </cell>
          <cell r="BQ202">
            <v>2851</v>
          </cell>
          <cell r="BR202">
            <v>-19958</v>
          </cell>
          <cell r="BS202">
            <v>0</v>
          </cell>
          <cell r="BT202">
            <v>0</v>
          </cell>
          <cell r="BU202">
            <v>0</v>
          </cell>
          <cell r="BV202">
            <v>0</v>
          </cell>
        </row>
        <row r="203">
          <cell r="F203">
            <v>0</v>
          </cell>
          <cell r="I203">
            <v>0</v>
          </cell>
          <cell r="J203">
            <v>0</v>
          </cell>
          <cell r="K203">
            <v>0</v>
          </cell>
          <cell r="L203">
            <v>0</v>
          </cell>
          <cell r="M203">
            <v>0</v>
          </cell>
          <cell r="N203">
            <v>0</v>
          </cell>
          <cell r="O203">
            <v>0</v>
          </cell>
          <cell r="P203">
            <v>0</v>
          </cell>
          <cell r="T203">
            <v>0</v>
          </cell>
          <cell r="W203">
            <v>0</v>
          </cell>
          <cell r="X203">
            <v>0</v>
          </cell>
          <cell r="Y203">
            <v>0</v>
          </cell>
          <cell r="Z203">
            <v>0</v>
          </cell>
          <cell r="AA203">
            <v>0</v>
          </cell>
          <cell r="AB203">
            <v>0</v>
          </cell>
          <cell r="AC203">
            <v>0</v>
          </cell>
          <cell r="AD203">
            <v>0</v>
          </cell>
          <cell r="AK203">
            <v>0</v>
          </cell>
          <cell r="AL203">
            <v>0</v>
          </cell>
          <cell r="AM203">
            <v>0</v>
          </cell>
          <cell r="AN203">
            <v>0</v>
          </cell>
          <cell r="AO203">
            <v>0</v>
          </cell>
          <cell r="AP203">
            <v>0</v>
          </cell>
          <cell r="AQ203">
            <v>0</v>
          </cell>
          <cell r="AR203">
            <v>0</v>
          </cell>
          <cell r="AY203">
            <v>0</v>
          </cell>
          <cell r="AZ203">
            <v>0</v>
          </cell>
          <cell r="BA203">
            <v>0</v>
          </cell>
          <cell r="BB203">
            <v>0</v>
          </cell>
          <cell r="BC203">
            <v>0</v>
          </cell>
          <cell r="BD203">
            <v>0</v>
          </cell>
          <cell r="BE203">
            <v>0</v>
          </cell>
          <cell r="BF203">
            <v>0</v>
          </cell>
          <cell r="BM203">
            <v>0</v>
          </cell>
          <cell r="BN203">
            <v>0</v>
          </cell>
          <cell r="BO203">
            <v>0</v>
          </cell>
          <cell r="BP203">
            <v>0</v>
          </cell>
          <cell r="BQ203">
            <v>0</v>
          </cell>
          <cell r="BR203">
            <v>0</v>
          </cell>
          <cell r="BS203">
            <v>0</v>
          </cell>
          <cell r="BT203">
            <v>0</v>
          </cell>
          <cell r="BU203">
            <v>0</v>
          </cell>
          <cell r="BV203">
            <v>0</v>
          </cell>
        </row>
        <row r="204">
          <cell r="F204">
            <v>-382500</v>
          </cell>
          <cell r="O204">
            <v>-382500</v>
          </cell>
          <cell r="P204">
            <v>0</v>
          </cell>
          <cell r="T204">
            <v>0</v>
          </cell>
          <cell r="AC204">
            <v>0</v>
          </cell>
          <cell r="AD204">
            <v>0</v>
          </cell>
          <cell r="AQ204">
            <v>0</v>
          </cell>
          <cell r="AR204">
            <v>0</v>
          </cell>
          <cell r="BE204">
            <v>0</v>
          </cell>
          <cell r="BF204">
            <v>0</v>
          </cell>
          <cell r="BS204">
            <v>-382500</v>
          </cell>
          <cell r="BT204">
            <v>0</v>
          </cell>
        </row>
        <row r="205">
          <cell r="F205">
            <v>250000</v>
          </cell>
          <cell r="G205">
            <v>25000</v>
          </cell>
          <cell r="H205">
            <v>25000</v>
          </cell>
          <cell r="I205">
            <v>25000</v>
          </cell>
          <cell r="J205">
            <v>25000</v>
          </cell>
          <cell r="K205">
            <v>25000</v>
          </cell>
          <cell r="L205">
            <v>25000</v>
          </cell>
          <cell r="M205">
            <v>25000</v>
          </cell>
          <cell r="N205">
            <v>25000</v>
          </cell>
          <cell r="O205">
            <v>25000</v>
          </cell>
          <cell r="P205">
            <v>25000</v>
          </cell>
          <cell r="T205">
            <v>0</v>
          </cell>
          <cell r="U205">
            <v>0</v>
          </cell>
          <cell r="V205">
            <v>0</v>
          </cell>
          <cell r="W205">
            <v>0</v>
          </cell>
          <cell r="X205">
            <v>0</v>
          </cell>
          <cell r="Y205">
            <v>0</v>
          </cell>
          <cell r="Z205">
            <v>0</v>
          </cell>
          <cell r="AA205">
            <v>0</v>
          </cell>
          <cell r="AB205">
            <v>0</v>
          </cell>
          <cell r="AC205">
            <v>0</v>
          </cell>
          <cell r="AD205">
            <v>0</v>
          </cell>
          <cell r="AI205">
            <v>0</v>
          </cell>
          <cell r="AJ205">
            <v>0</v>
          </cell>
          <cell r="AK205">
            <v>0</v>
          </cell>
          <cell r="AL205">
            <v>0</v>
          </cell>
          <cell r="AM205">
            <v>0</v>
          </cell>
          <cell r="AN205">
            <v>0</v>
          </cell>
          <cell r="AO205">
            <v>0</v>
          </cell>
          <cell r="AP205">
            <v>0</v>
          </cell>
          <cell r="AQ205">
            <v>0</v>
          </cell>
          <cell r="AR205">
            <v>0</v>
          </cell>
          <cell r="AW205">
            <v>0</v>
          </cell>
          <cell r="AX205">
            <v>0</v>
          </cell>
          <cell r="AY205">
            <v>0</v>
          </cell>
          <cell r="AZ205">
            <v>0</v>
          </cell>
          <cell r="BA205">
            <v>0</v>
          </cell>
          <cell r="BB205">
            <v>0</v>
          </cell>
          <cell r="BC205">
            <v>0</v>
          </cell>
          <cell r="BD205">
            <v>0</v>
          </cell>
          <cell r="BE205">
            <v>0</v>
          </cell>
          <cell r="BF205">
            <v>0</v>
          </cell>
          <cell r="BK205">
            <v>25000</v>
          </cell>
          <cell r="BL205">
            <v>25000</v>
          </cell>
          <cell r="BM205">
            <v>25000</v>
          </cell>
          <cell r="BN205">
            <v>25000</v>
          </cell>
          <cell r="BO205">
            <v>25000</v>
          </cell>
          <cell r="BP205">
            <v>25000</v>
          </cell>
          <cell r="BQ205">
            <v>25000</v>
          </cell>
          <cell r="BR205">
            <v>25000</v>
          </cell>
          <cell r="BS205">
            <v>25000</v>
          </cell>
          <cell r="BT205">
            <v>25000</v>
          </cell>
          <cell r="BU205">
            <v>0</v>
          </cell>
          <cell r="BV205">
            <v>0</v>
          </cell>
        </row>
        <row r="206">
          <cell r="F206">
            <v>5945000</v>
          </cell>
          <cell r="G206">
            <v>590000</v>
          </cell>
          <cell r="H206">
            <v>595000</v>
          </cell>
          <cell r="I206">
            <v>595000</v>
          </cell>
          <cell r="J206">
            <v>595000</v>
          </cell>
          <cell r="K206">
            <v>595000</v>
          </cell>
          <cell r="L206">
            <v>595000</v>
          </cell>
          <cell r="M206">
            <v>595000</v>
          </cell>
          <cell r="N206">
            <v>595000</v>
          </cell>
          <cell r="O206">
            <v>595000</v>
          </cell>
          <cell r="P206">
            <v>595000</v>
          </cell>
          <cell r="T206">
            <v>456000</v>
          </cell>
          <cell r="U206">
            <v>42000</v>
          </cell>
          <cell r="V206">
            <v>46000</v>
          </cell>
          <cell r="W206">
            <v>46000</v>
          </cell>
          <cell r="X206">
            <v>46000</v>
          </cell>
          <cell r="Y206">
            <v>46000</v>
          </cell>
          <cell r="Z206">
            <v>46000</v>
          </cell>
          <cell r="AA206">
            <v>46000</v>
          </cell>
          <cell r="AB206">
            <v>46000</v>
          </cell>
          <cell r="AC206">
            <v>46000</v>
          </cell>
          <cell r="AD206">
            <v>46000</v>
          </cell>
          <cell r="AI206">
            <v>6000</v>
          </cell>
          <cell r="AJ206">
            <v>3000</v>
          </cell>
          <cell r="AK206">
            <v>3000</v>
          </cell>
          <cell r="AL206">
            <v>3000</v>
          </cell>
          <cell r="AM206">
            <v>3000</v>
          </cell>
          <cell r="AN206">
            <v>3000</v>
          </cell>
          <cell r="AO206">
            <v>3000</v>
          </cell>
          <cell r="AP206">
            <v>3000</v>
          </cell>
          <cell r="AQ206">
            <v>3000</v>
          </cell>
          <cell r="AR206">
            <v>3000</v>
          </cell>
          <cell r="AW206">
            <v>0</v>
          </cell>
          <cell r="AX206">
            <v>0</v>
          </cell>
          <cell r="AY206">
            <v>0</v>
          </cell>
          <cell r="AZ206">
            <v>0</v>
          </cell>
          <cell r="BA206">
            <v>0</v>
          </cell>
          <cell r="BB206">
            <v>0</v>
          </cell>
          <cell r="BC206">
            <v>0</v>
          </cell>
          <cell r="BD206">
            <v>0</v>
          </cell>
          <cell r="BE206">
            <v>0</v>
          </cell>
          <cell r="BF206">
            <v>0</v>
          </cell>
          <cell r="BK206">
            <v>638000</v>
          </cell>
          <cell r="BL206">
            <v>644000</v>
          </cell>
          <cell r="BM206">
            <v>644000</v>
          </cell>
          <cell r="BN206">
            <v>644000</v>
          </cell>
          <cell r="BO206">
            <v>644000</v>
          </cell>
          <cell r="BP206">
            <v>644000</v>
          </cell>
          <cell r="BQ206">
            <v>644000</v>
          </cell>
          <cell r="BR206">
            <v>644000</v>
          </cell>
          <cell r="BS206">
            <v>644000</v>
          </cell>
          <cell r="BT206">
            <v>644000</v>
          </cell>
          <cell r="BU206">
            <v>0</v>
          </cell>
          <cell r="BV206">
            <v>0</v>
          </cell>
        </row>
        <row r="207">
          <cell r="F207">
            <v>2097000</v>
          </cell>
          <cell r="G207">
            <v>207000</v>
          </cell>
          <cell r="H207">
            <v>210000</v>
          </cell>
          <cell r="I207">
            <v>210000</v>
          </cell>
          <cell r="J207">
            <v>210000</v>
          </cell>
          <cell r="K207">
            <v>210000</v>
          </cell>
          <cell r="L207">
            <v>210000</v>
          </cell>
          <cell r="M207">
            <v>210000</v>
          </cell>
          <cell r="N207">
            <v>210000</v>
          </cell>
          <cell r="O207">
            <v>210000</v>
          </cell>
          <cell r="P207">
            <v>210000</v>
          </cell>
          <cell r="T207">
            <v>161000</v>
          </cell>
          <cell r="U207">
            <v>17000</v>
          </cell>
          <cell r="V207">
            <v>16000</v>
          </cell>
          <cell r="W207">
            <v>16000</v>
          </cell>
          <cell r="X207">
            <v>16000</v>
          </cell>
          <cell r="Y207">
            <v>16000</v>
          </cell>
          <cell r="Z207">
            <v>16000</v>
          </cell>
          <cell r="AA207">
            <v>16000</v>
          </cell>
          <cell r="AB207">
            <v>16000</v>
          </cell>
          <cell r="AC207">
            <v>16000</v>
          </cell>
          <cell r="AD207">
            <v>16000</v>
          </cell>
          <cell r="AI207">
            <v>3000</v>
          </cell>
          <cell r="AJ207">
            <v>1000</v>
          </cell>
          <cell r="AK207">
            <v>1000</v>
          </cell>
          <cell r="AL207">
            <v>1000</v>
          </cell>
          <cell r="AM207">
            <v>1000</v>
          </cell>
          <cell r="AN207">
            <v>1000</v>
          </cell>
          <cell r="AO207">
            <v>1000</v>
          </cell>
          <cell r="AP207">
            <v>1000</v>
          </cell>
          <cell r="AQ207">
            <v>1000</v>
          </cell>
          <cell r="AR207">
            <v>1000</v>
          </cell>
          <cell r="AW207">
            <v>0</v>
          </cell>
          <cell r="AX207">
            <v>0</v>
          </cell>
          <cell r="AY207">
            <v>0</v>
          </cell>
          <cell r="AZ207">
            <v>0</v>
          </cell>
          <cell r="BA207">
            <v>0</v>
          </cell>
          <cell r="BB207">
            <v>0</v>
          </cell>
          <cell r="BC207">
            <v>0</v>
          </cell>
          <cell r="BD207">
            <v>0</v>
          </cell>
          <cell r="BE207">
            <v>0</v>
          </cell>
          <cell r="BF207">
            <v>0</v>
          </cell>
          <cell r="BK207">
            <v>227000</v>
          </cell>
          <cell r="BL207">
            <v>227000</v>
          </cell>
          <cell r="BM207">
            <v>227000</v>
          </cell>
          <cell r="BN207">
            <v>227000</v>
          </cell>
          <cell r="BO207">
            <v>227000</v>
          </cell>
          <cell r="BP207">
            <v>227000</v>
          </cell>
          <cell r="BQ207">
            <v>227000</v>
          </cell>
          <cell r="BR207">
            <v>227000</v>
          </cell>
          <cell r="BS207">
            <v>227000</v>
          </cell>
          <cell r="BT207">
            <v>227000</v>
          </cell>
          <cell r="BU207">
            <v>0</v>
          </cell>
          <cell r="BV207">
            <v>0</v>
          </cell>
        </row>
        <row r="208">
          <cell r="F208">
            <v>120000</v>
          </cell>
          <cell r="T208">
            <v>0</v>
          </cell>
        </row>
        <row r="212">
          <cell r="F212">
            <v>1713016</v>
          </cell>
          <cell r="H212">
            <v>0</v>
          </cell>
          <cell r="T212">
            <v>888840</v>
          </cell>
          <cell r="AI212">
            <v>0</v>
          </cell>
          <cell r="AJ212">
            <v>0</v>
          </cell>
          <cell r="AL212">
            <v>0</v>
          </cell>
          <cell r="AM212">
            <v>0</v>
          </cell>
          <cell r="AO212">
            <v>2300</v>
          </cell>
          <cell r="AP212">
            <v>0</v>
          </cell>
          <cell r="AQ212">
            <v>2300</v>
          </cell>
          <cell r="AR212">
            <v>67019</v>
          </cell>
          <cell r="BM212">
            <v>575250</v>
          </cell>
        </row>
        <row r="213">
          <cell r="F213">
            <v>3671901</v>
          </cell>
          <cell r="G213">
            <v>0</v>
          </cell>
          <cell r="H213">
            <v>0</v>
          </cell>
          <cell r="I213">
            <v>-295676</v>
          </cell>
          <cell r="J213">
            <v>683463</v>
          </cell>
          <cell r="K213">
            <v>0</v>
          </cell>
          <cell r="L213">
            <v>683463</v>
          </cell>
          <cell r="M213">
            <v>1407606</v>
          </cell>
          <cell r="N213">
            <v>0</v>
          </cell>
          <cell r="O213">
            <v>1193045</v>
          </cell>
          <cell r="P213">
            <v>0</v>
          </cell>
          <cell r="T213">
            <v>977896</v>
          </cell>
          <cell r="U213">
            <v>0</v>
          </cell>
          <cell r="V213">
            <v>0</v>
          </cell>
          <cell r="W213">
            <v>-78744</v>
          </cell>
          <cell r="X213">
            <v>182019</v>
          </cell>
          <cell r="Y213">
            <v>0</v>
          </cell>
          <cell r="Z213">
            <v>182019</v>
          </cell>
          <cell r="AA213">
            <v>374872</v>
          </cell>
          <cell r="AB213">
            <v>0</v>
          </cell>
          <cell r="AC213">
            <v>317730</v>
          </cell>
          <cell r="AD213">
            <v>0</v>
          </cell>
          <cell r="AI213">
            <v>0</v>
          </cell>
          <cell r="AJ213">
            <v>0</v>
          </cell>
          <cell r="AK213">
            <v>-1544</v>
          </cell>
          <cell r="AL213">
            <v>3569</v>
          </cell>
          <cell r="AM213">
            <v>0</v>
          </cell>
          <cell r="AN213">
            <v>3569</v>
          </cell>
          <cell r="AO213">
            <v>7350</v>
          </cell>
          <cell r="AP213">
            <v>0</v>
          </cell>
          <cell r="AQ213">
            <v>6230</v>
          </cell>
          <cell r="AR213">
            <v>0</v>
          </cell>
          <cell r="AW213">
            <v>0</v>
          </cell>
          <cell r="AX213">
            <v>0</v>
          </cell>
          <cell r="AY213">
            <v>-10036</v>
          </cell>
          <cell r="AZ213">
            <v>23199</v>
          </cell>
          <cell r="BA213">
            <v>0</v>
          </cell>
          <cell r="BB213">
            <v>23199</v>
          </cell>
          <cell r="BC213">
            <v>47778</v>
          </cell>
          <cell r="BD213">
            <v>0</v>
          </cell>
          <cell r="BE213">
            <v>40495</v>
          </cell>
          <cell r="BF213">
            <v>0</v>
          </cell>
          <cell r="BK213">
            <v>0</v>
          </cell>
          <cell r="BL213">
            <v>0</v>
          </cell>
          <cell r="BM213">
            <v>-386000</v>
          </cell>
          <cell r="BN213">
            <v>892250</v>
          </cell>
          <cell r="BO213">
            <v>0</v>
          </cell>
          <cell r="BP213">
            <v>892250</v>
          </cell>
          <cell r="BQ213">
            <v>1837606</v>
          </cell>
          <cell r="BR213">
            <v>0</v>
          </cell>
          <cell r="BS213">
            <v>1557500</v>
          </cell>
          <cell r="BT213">
            <v>0</v>
          </cell>
          <cell r="BU213">
            <v>0</v>
          </cell>
          <cell r="BV213">
            <v>0</v>
          </cell>
        </row>
        <row r="216">
          <cell r="F216">
            <v>-280000</v>
          </cell>
          <cell r="T216">
            <v>-72000</v>
          </cell>
          <cell r="AI216">
            <v>0</v>
          </cell>
          <cell r="AJ216">
            <v>0</v>
          </cell>
          <cell r="AL216">
            <v>0</v>
          </cell>
          <cell r="AM216">
            <v>0</v>
          </cell>
          <cell r="AN216">
            <v>0</v>
          </cell>
          <cell r="AO216">
            <v>0</v>
          </cell>
          <cell r="AP216">
            <v>0</v>
          </cell>
          <cell r="AQ216">
            <v>0</v>
          </cell>
          <cell r="AR216">
            <v>0</v>
          </cell>
          <cell r="BM216">
            <v>-28000</v>
          </cell>
        </row>
        <row r="217">
          <cell r="F217">
            <v>-2820000</v>
          </cell>
          <cell r="G217">
            <v>-282000</v>
          </cell>
          <cell r="H217">
            <v>-282000</v>
          </cell>
          <cell r="I217">
            <v>-282000</v>
          </cell>
          <cell r="J217">
            <v>-282000</v>
          </cell>
          <cell r="K217">
            <v>-282000</v>
          </cell>
          <cell r="L217">
            <v>-282000</v>
          </cell>
          <cell r="M217">
            <v>-282000</v>
          </cell>
          <cell r="N217">
            <v>-282000</v>
          </cell>
          <cell r="O217">
            <v>-282000</v>
          </cell>
          <cell r="P217">
            <v>-282000</v>
          </cell>
          <cell r="T217">
            <v>-747000</v>
          </cell>
          <cell r="U217">
            <v>-83000</v>
          </cell>
          <cell r="V217">
            <v>-83000</v>
          </cell>
          <cell r="X217">
            <v>-83000</v>
          </cell>
          <cell r="Y217">
            <v>-83000</v>
          </cell>
          <cell r="Z217">
            <v>-83000</v>
          </cell>
          <cell r="AA217">
            <v>-83000</v>
          </cell>
          <cell r="AB217">
            <v>-83000</v>
          </cell>
          <cell r="AC217">
            <v>-83000</v>
          </cell>
          <cell r="AD217">
            <v>-83000</v>
          </cell>
          <cell r="AI217">
            <v>-1000</v>
          </cell>
          <cell r="AJ217">
            <v>-1000</v>
          </cell>
          <cell r="AL217">
            <v>-1000</v>
          </cell>
          <cell r="AM217">
            <v>-1000</v>
          </cell>
          <cell r="AN217">
            <v>-1000</v>
          </cell>
          <cell r="AO217">
            <v>-1000</v>
          </cell>
          <cell r="AP217">
            <v>-1000</v>
          </cell>
          <cell r="AQ217">
            <v>-1000</v>
          </cell>
          <cell r="AR217">
            <v>-1000</v>
          </cell>
          <cell r="AW217">
            <v>0</v>
          </cell>
          <cell r="AX217">
            <v>0</v>
          </cell>
          <cell r="AZ217">
            <v>0</v>
          </cell>
          <cell r="BA217">
            <v>0</v>
          </cell>
          <cell r="BB217">
            <v>0</v>
          </cell>
          <cell r="BC217">
            <v>0</v>
          </cell>
          <cell r="BD217">
            <v>0</v>
          </cell>
          <cell r="BE217">
            <v>0</v>
          </cell>
          <cell r="BF217">
            <v>-2084944</v>
          </cell>
          <cell r="BK217">
            <v>-366000</v>
          </cell>
          <cell r="BL217">
            <v>-366000</v>
          </cell>
          <cell r="BM217">
            <v>-282000</v>
          </cell>
          <cell r="BN217">
            <v>-366000</v>
          </cell>
          <cell r="BO217">
            <v>-366000</v>
          </cell>
          <cell r="BP217">
            <v>-366000</v>
          </cell>
          <cell r="BQ217">
            <v>-366000</v>
          </cell>
          <cell r="BR217">
            <v>-366000</v>
          </cell>
          <cell r="BS217">
            <v>-366000</v>
          </cell>
          <cell r="BT217">
            <v>-2450944</v>
          </cell>
          <cell r="BU217">
            <v>0</v>
          </cell>
          <cell r="BV217">
            <v>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Data"/>
      <sheetName val="PF Kwhs Reconcilement"/>
      <sheetName val="OSSC Rider Analysis"/>
      <sheetName val="ODF Report OSS Analysis"/>
      <sheetName val="Enogex &amp; Storage Costs"/>
      <sheetName val="Control and Analysis"/>
      <sheetName val="OMPA FAC"/>
      <sheetName val="Kwh Calc for FCA and Allocation"/>
      <sheetName val=" SPA FAC"/>
      <sheetName val="FERC_FCA Adj"/>
      <sheetName val="Test Year Profile"/>
      <sheetName val="Fuel and PP Components"/>
      <sheetName val="PF Fuel For Adj"/>
      <sheetName val="Fuel Alloc Loss Method"/>
      <sheetName val="PP Alloc Loss Method"/>
      <sheetName val="Not Used"/>
      <sheetName val="NA"/>
      <sheetName val="Ok FCA Per Books Test Year"/>
      <sheetName val="Ok FCA For Fuel Allocation"/>
      <sheetName val=" Fuel and PP  Allocation"/>
      <sheetName val="Comp of Per Books Fuel vs FCA"/>
      <sheetName val="Comparison of PF Fuel vs FCA "/>
      <sheetName val="Cogen Pass Thru Detail"/>
      <sheetName val="TYFCA vs PFAFCA"/>
      <sheetName val="Cogen Model Input"/>
      <sheetName val="DAP Data"/>
      <sheetName val="FCA Summaries"/>
      <sheetName val="Ok Pro Forma FCA"/>
      <sheetName val="OKLA FCA Exhibit"/>
      <sheetName val="CONOCO FCA Exhibit"/>
      <sheetName val="Conoco  Pro Forma FCA"/>
      <sheetName val="OK PF Opt Out Wind FCA"/>
      <sheetName val="Ark_ECR Adjustment"/>
      <sheetName val="PP  Allocation"/>
      <sheetName val="New Losses Comparison"/>
      <sheetName val="PP Cogen Model Input"/>
      <sheetName val="Atoka"/>
      <sheetName val="PF Summary Matrix"/>
      <sheetName val="Sch_H-2_WP_H-2-1"/>
      <sheetName val="Fuel  Weather Sch H 2-6"/>
      <sheetName val="Fuel  YEC Sch H 2-7"/>
      <sheetName val="Sch_H-2_WP_H-2-9"/>
      <sheetName val="Sch H-2 WP H-2-23"/>
      <sheetName val="PF Fuel FlowCha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Tax Summary (2)"/>
      <sheetName val="MEMO"/>
      <sheetName val="Def Tax Summary"/>
      <sheetName val="Tax Basis Additions"/>
      <sheetName val="Non-Statutory Deferred Taxes"/>
      <sheetName val="Bk Depr on AFUDC Equity"/>
      <sheetName val="Bk Depr on ITC Basis Adjustment"/>
      <sheetName val="YTD"/>
      <sheetName val="APRIL"/>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List"/>
      <sheetName val="Inputs"/>
      <sheetName val="CapStruct Raw"/>
      <sheetName val="CapStruct"/>
      <sheetName val="EOY Raw"/>
      <sheetName val="EOY"/>
      <sheetName val="CapWksht Template"/>
      <sheetName val="IBES Prices Raw"/>
      <sheetName val="IBES"/>
      <sheetName val="Dividends Raw"/>
      <sheetName val="Dividends"/>
      <sheetName val="Bond Ratings Data"/>
      <sheetName val="IBES Data Raw"/>
      <sheetName val="VLine Data Raw"/>
      <sheetName val="lnt"/>
      <sheetName val="aee"/>
      <sheetName val="cnl"/>
      <sheetName val="ede"/>
      <sheetName val="gxp"/>
      <sheetName val="he"/>
      <sheetName val="pgn"/>
      <sheetName val="psd"/>
      <sheetName val="ALK2"/>
      <sheetName val="WP1 ALK2"/>
      <sheetName val="ALK3"/>
      <sheetName val="ALK4"/>
      <sheetName val="ALK5"/>
      <sheetName val="WP1 ALK5"/>
      <sheetName val="WP2 ALK5"/>
      <sheetName val="WP3 ALK5"/>
      <sheetName val="ALK6"/>
      <sheetName val="WP1 ALK6"/>
      <sheetName val="WP2 ALK6"/>
      <sheetName val="WP3 ALK6"/>
      <sheetName val="ALK7"/>
      <sheetName val="WP1 ALK7"/>
      <sheetName val="ALK8"/>
    </sheetNames>
    <sheetDataSet>
      <sheetData sheetId="0">
        <row r="16">
          <cell r="D16" t="str">
            <v>2002 Electric Sample</v>
          </cell>
        </row>
      </sheetData>
      <sheetData sheetId="1">
        <row r="6">
          <cell r="G6">
            <v>7.6600000000000001E-2</v>
          </cell>
        </row>
      </sheetData>
      <sheetData sheetId="2" refreshError="1"/>
      <sheetData sheetId="3"/>
      <sheetData sheetId="4" refreshError="1"/>
      <sheetData sheetId="5"/>
      <sheetData sheetId="6"/>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refreshError="1">
        <row r="15">
          <cell r="A15">
            <v>0.25</v>
          </cell>
          <cell r="B15">
            <v>0.26</v>
          </cell>
          <cell r="C15">
            <v>0.27707843216140582</v>
          </cell>
          <cell r="E15">
            <v>0.13500000000000001</v>
          </cell>
          <cell r="F15">
            <v>0.14499999999999999</v>
          </cell>
          <cell r="G15">
            <v>0.15979287064959577</v>
          </cell>
        </row>
        <row r="16">
          <cell r="A16">
            <v>0.25</v>
          </cell>
          <cell r="B16">
            <v>0.26</v>
          </cell>
          <cell r="C16">
            <v>0.2722612678017049</v>
          </cell>
          <cell r="E16">
            <v>0.13500000000000001</v>
          </cell>
          <cell r="F16">
            <v>0.14499999999999999</v>
          </cell>
          <cell r="G16">
            <v>0.15557028100787743</v>
          </cell>
        </row>
        <row r="17">
          <cell r="A17">
            <v>0.25</v>
          </cell>
          <cell r="B17">
            <v>0.26</v>
          </cell>
          <cell r="C17">
            <v>0.2675278525533562</v>
          </cell>
          <cell r="E17">
            <v>0.13500000000000001</v>
          </cell>
          <cell r="F17">
            <v>0.14499999999999999</v>
          </cell>
          <cell r="G17">
            <v>0.151459274963161</v>
          </cell>
        </row>
        <row r="18">
          <cell r="A18">
            <v>0.26</v>
          </cell>
          <cell r="B18" t="e">
            <v>#REF!</v>
          </cell>
          <cell r="C18" t="e">
            <v>#REF!</v>
          </cell>
          <cell r="E18">
            <v>0.14499999999999999</v>
          </cell>
          <cell r="F18" t="e">
            <v>#REF!</v>
          </cell>
          <cell r="G18" t="e">
            <v>#REF!</v>
          </cell>
        </row>
        <row r="22">
          <cell r="B22" t="str">
            <v>Artesian Resources</v>
          </cell>
          <cell r="F22" t="str">
            <v>California Water Service</v>
          </cell>
        </row>
        <row r="24">
          <cell r="B24">
            <v>17.23</v>
          </cell>
          <cell r="F24">
            <v>36.22</v>
          </cell>
        </row>
        <row r="25">
          <cell r="B25" t="e">
            <v>#REF!</v>
          </cell>
          <cell r="F25" t="e">
            <v>#REF!</v>
          </cell>
        </row>
        <row r="26">
          <cell r="B26">
            <v>40228</v>
          </cell>
          <cell r="F26">
            <v>40228</v>
          </cell>
        </row>
        <row r="27">
          <cell r="B27" t="e">
            <v>#REF!</v>
          </cell>
          <cell r="F27" t="e">
            <v>#REF!</v>
          </cell>
        </row>
        <row r="31">
          <cell r="B31" t="str">
            <v>divid1</v>
          </cell>
          <cell r="F31" t="str">
            <v>divid1</v>
          </cell>
        </row>
        <row r="33">
          <cell r="A33">
            <v>0.1784</v>
          </cell>
          <cell r="B33">
            <v>0.18729999999999999</v>
          </cell>
          <cell r="C33">
            <v>0.20590802945286618</v>
          </cell>
          <cell r="E33">
            <v>0.29499999999999998</v>
          </cell>
          <cell r="F33">
            <v>0.29780000000000001</v>
          </cell>
          <cell r="G33">
            <v>0.32592780067353139</v>
          </cell>
        </row>
        <row r="34">
          <cell r="A34">
            <v>0.1784</v>
          </cell>
          <cell r="B34">
            <v>0.18729999999999999</v>
          </cell>
          <cell r="C34">
            <v>0.20075465037664719</v>
          </cell>
          <cell r="E34">
            <v>0.29499999999999998</v>
          </cell>
          <cell r="F34">
            <v>0.29780000000000001</v>
          </cell>
          <cell r="G34">
            <v>0.31815045573731737</v>
          </cell>
        </row>
        <row r="35">
          <cell r="A35">
            <v>0.1784</v>
          </cell>
          <cell r="B35">
            <v>0.18729999999999999</v>
          </cell>
          <cell r="C35">
            <v>0.19573024789242305</v>
          </cell>
          <cell r="E35">
            <v>0.29499999999999998</v>
          </cell>
          <cell r="F35">
            <v>0.29780000000000001</v>
          </cell>
          <cell r="G35">
            <v>0.31055869513644346</v>
          </cell>
        </row>
        <row r="36">
          <cell r="A36">
            <v>0.18729999999999999</v>
          </cell>
          <cell r="B36" t="e">
            <v>#REF!</v>
          </cell>
          <cell r="C36" t="e">
            <v>#REF!</v>
          </cell>
          <cell r="E36">
            <v>0.29499999999999998</v>
          </cell>
          <cell r="F36">
            <v>0.29780000000000001</v>
          </cell>
          <cell r="G36">
            <v>0.30314809042575175</v>
          </cell>
        </row>
        <row r="40">
          <cell r="B40" t="str">
            <v>Conecticut Water Service</v>
          </cell>
          <cell r="F40" t="str">
            <v>Middlesex Water Co.</v>
          </cell>
        </row>
        <row r="42">
          <cell r="B42">
            <v>22.24</v>
          </cell>
          <cell r="F42">
            <v>17.11</v>
          </cell>
        </row>
        <row r="43">
          <cell r="B43" t="e">
            <v>#REF!</v>
          </cell>
          <cell r="F43" t="e">
            <v>#REF!</v>
          </cell>
        </row>
        <row r="44">
          <cell r="B44">
            <v>40252</v>
          </cell>
          <cell r="F44">
            <v>40238</v>
          </cell>
        </row>
        <row r="45">
          <cell r="B45" t="e">
            <v>#REF!</v>
          </cell>
          <cell r="F45" t="e">
            <v>#REF!</v>
          </cell>
        </row>
        <row r="49">
          <cell r="B49" t="str">
            <v>divid1</v>
          </cell>
          <cell r="F49" t="str">
            <v>divid1</v>
          </cell>
        </row>
        <row r="51">
          <cell r="A51">
            <v>0.2225</v>
          </cell>
          <cell r="B51">
            <v>0.22750000000000001</v>
          </cell>
          <cell r="C51">
            <v>0.25404368837507518</v>
          </cell>
          <cell r="E51">
            <v>0.17749999999999999</v>
          </cell>
          <cell r="F51">
            <v>0.18</v>
          </cell>
          <cell r="G51">
            <v>0.2020701837833315</v>
          </cell>
        </row>
        <row r="52">
          <cell r="A52">
            <v>0.2225</v>
          </cell>
          <cell r="B52">
            <v>0.22750000000000001</v>
          </cell>
          <cell r="C52">
            <v>0.2461004374933311</v>
          </cell>
          <cell r="E52">
            <v>0.17749999999999999</v>
          </cell>
          <cell r="F52">
            <v>0.18</v>
          </cell>
          <cell r="G52">
            <v>0.19572888237416528</v>
          </cell>
        </row>
        <row r="53">
          <cell r="A53">
            <v>0.22750000000000001</v>
          </cell>
          <cell r="B53" t="e">
            <v>#REF!</v>
          </cell>
          <cell r="C53" t="e">
            <v>#REF!</v>
          </cell>
          <cell r="E53">
            <v>0.17749999999999999</v>
          </cell>
          <cell r="F53">
            <v>0.18</v>
          </cell>
          <cell r="G53">
            <v>0.18958658164292699</v>
          </cell>
        </row>
        <row r="54">
          <cell r="A54">
            <v>0.22750000000000001</v>
          </cell>
          <cell r="B54" t="e">
            <v>#REF!</v>
          </cell>
          <cell r="C54" t="e">
            <v>#REF!</v>
          </cell>
          <cell r="E54">
            <v>0.18</v>
          </cell>
          <cell r="F54" t="e">
            <v>#REF!</v>
          </cell>
          <cell r="G54" t="e">
            <v>#REF!</v>
          </cell>
        </row>
        <row r="58">
          <cell r="B58" t="str">
            <v>York Water Co.</v>
          </cell>
          <cell r="F58">
            <v>0</v>
          </cell>
        </row>
        <row r="60">
          <cell r="B60">
            <v>13.22</v>
          </cell>
          <cell r="F60">
            <v>0</v>
          </cell>
        </row>
        <row r="61">
          <cell r="B61" t="e">
            <v>#REF!</v>
          </cell>
          <cell r="F61" t="e">
            <v>#REF!</v>
          </cell>
        </row>
        <row r="62">
          <cell r="B62">
            <v>40283</v>
          </cell>
          <cell r="F62">
            <v>0</v>
          </cell>
        </row>
        <row r="63">
          <cell r="B63" t="e">
            <v>#REF!</v>
          </cell>
          <cell r="F63" t="e">
            <v>#REF!</v>
          </cell>
        </row>
        <row r="67">
          <cell r="B67" t="str">
            <v>divid1</v>
          </cell>
          <cell r="F67" t="str">
            <v>divid1</v>
          </cell>
        </row>
        <row r="69">
          <cell r="A69">
            <v>0.126</v>
          </cell>
          <cell r="B69" t="e">
            <v>#REF!</v>
          </cell>
          <cell r="C69" t="e">
            <v>#REF!</v>
          </cell>
          <cell r="E69">
            <v>0</v>
          </cell>
          <cell r="F69" t="e">
            <v>#REF!</v>
          </cell>
          <cell r="G69" t="e">
            <v>#REF!</v>
          </cell>
        </row>
        <row r="70">
          <cell r="A70">
            <v>0.126</v>
          </cell>
          <cell r="B70" t="e">
            <v>#REF!</v>
          </cell>
          <cell r="C70" t="e">
            <v>#REF!</v>
          </cell>
          <cell r="E70">
            <v>0</v>
          </cell>
          <cell r="F70" t="e">
            <v>#REF!</v>
          </cell>
          <cell r="G70" t="e">
            <v>#REF!</v>
          </cell>
        </row>
        <row r="71">
          <cell r="A71">
            <v>0.126</v>
          </cell>
          <cell r="B71" t="e">
            <v>#REF!</v>
          </cell>
          <cell r="C71" t="e">
            <v>#REF!</v>
          </cell>
          <cell r="E71">
            <v>0</v>
          </cell>
          <cell r="F71" t="e">
            <v>#REF!</v>
          </cell>
          <cell r="G71" t="e">
            <v>#REF!</v>
          </cell>
        </row>
        <row r="72">
          <cell r="A72">
            <v>0.126</v>
          </cell>
          <cell r="B72" t="e">
            <v>#REF!</v>
          </cell>
          <cell r="C72" t="e">
            <v>#REF!</v>
          </cell>
          <cell r="E72">
            <v>0</v>
          </cell>
          <cell r="F72" t="e">
            <v>#REF!</v>
          </cell>
          <cell r="G72" t="e">
            <v>#REF!</v>
          </cell>
        </row>
        <row r="76">
          <cell r="B76">
            <v>0</v>
          </cell>
          <cell r="F76">
            <v>0</v>
          </cell>
        </row>
        <row r="78">
          <cell r="B78">
            <v>0</v>
          </cell>
          <cell r="F78">
            <v>0</v>
          </cell>
        </row>
        <row r="79">
          <cell r="B79" t="e">
            <v>#REF!</v>
          </cell>
          <cell r="F79" t="e">
            <v>#REF!</v>
          </cell>
        </row>
        <row r="80">
          <cell r="B80">
            <v>0</v>
          </cell>
          <cell r="F80">
            <v>0</v>
          </cell>
        </row>
        <row r="81">
          <cell r="B81" t="e">
            <v>#REF!</v>
          </cell>
          <cell r="F81" t="e">
            <v>#REF!</v>
          </cell>
        </row>
        <row r="85">
          <cell r="B85" t="str">
            <v>divid1</v>
          </cell>
          <cell r="F85" t="str">
            <v>divid1</v>
          </cell>
        </row>
        <row r="87">
          <cell r="B87" t="e">
            <v>#REF!</v>
          </cell>
          <cell r="F87" t="e">
            <v>#REF!</v>
          </cell>
        </row>
        <row r="88">
          <cell r="B88" t="e">
            <v>#REF!</v>
          </cell>
          <cell r="F88" t="e">
            <v>#REF!</v>
          </cell>
        </row>
        <row r="89">
          <cell r="B89" t="e">
            <v>#REF!</v>
          </cell>
          <cell r="F89" t="e">
            <v>#REF!</v>
          </cell>
        </row>
        <row r="90">
          <cell r="B90" t="e">
            <v>#REF!</v>
          </cell>
          <cell r="F90" t="e">
            <v>#REF!</v>
          </cell>
        </row>
        <row r="94">
          <cell r="B94">
            <v>0</v>
          </cell>
          <cell r="F94">
            <v>0</v>
          </cell>
        </row>
        <row r="96">
          <cell r="B96">
            <v>0</v>
          </cell>
          <cell r="F96">
            <v>0</v>
          </cell>
        </row>
        <row r="97">
          <cell r="B97" t="e">
            <v>#REF!</v>
          </cell>
          <cell r="F97" t="e">
            <v>#REF!</v>
          </cell>
        </row>
        <row r="98">
          <cell r="B98">
            <v>0</v>
          </cell>
          <cell r="F98">
            <v>0</v>
          </cell>
        </row>
        <row r="99">
          <cell r="B99" t="e">
            <v>#REF!</v>
          </cell>
          <cell r="F99">
            <v>0</v>
          </cell>
        </row>
        <row r="103">
          <cell r="B103" t="str">
            <v>divid1</v>
          </cell>
          <cell r="F103" t="str">
            <v>divid1</v>
          </cell>
        </row>
        <row r="105">
          <cell r="B105" t="e">
            <v>#REF!</v>
          </cell>
          <cell r="F105">
            <v>0</v>
          </cell>
        </row>
        <row r="106">
          <cell r="B106" t="e">
            <v>#REF!</v>
          </cell>
          <cell r="F106">
            <v>0</v>
          </cell>
        </row>
        <row r="107">
          <cell r="B107" t="e">
            <v>#REF!</v>
          </cell>
          <cell r="F107">
            <v>0</v>
          </cell>
        </row>
        <row r="108">
          <cell r="B108" t="e">
            <v>#REF!</v>
          </cell>
          <cell r="F108">
            <v>0</v>
          </cell>
        </row>
        <row r="112">
          <cell r="B112">
            <v>0</v>
          </cell>
          <cell r="F112">
            <v>0</v>
          </cell>
        </row>
        <row r="114">
          <cell r="B114">
            <v>0</v>
          </cell>
          <cell r="F114">
            <v>0</v>
          </cell>
        </row>
        <row r="115">
          <cell r="B115" t="e">
            <v>#REF!</v>
          </cell>
          <cell r="F115" t="e">
            <v>#REF!</v>
          </cell>
        </row>
        <row r="116">
          <cell r="B116">
            <v>0</v>
          </cell>
          <cell r="F116">
            <v>0</v>
          </cell>
        </row>
        <row r="117">
          <cell r="B117" t="e">
            <v>#REF!</v>
          </cell>
          <cell r="F117" t="e">
            <v>#REF!</v>
          </cell>
        </row>
        <row r="121">
          <cell r="B121" t="str">
            <v>divid1</v>
          </cell>
          <cell r="F121" t="str">
            <v>divid1</v>
          </cell>
        </row>
        <row r="123">
          <cell r="B123" t="e">
            <v>#REF!</v>
          </cell>
          <cell r="F123" t="e">
            <v>#REF!</v>
          </cell>
        </row>
        <row r="124">
          <cell r="B124" t="e">
            <v>#REF!</v>
          </cell>
          <cell r="F124" t="e">
            <v>#REF!</v>
          </cell>
        </row>
        <row r="125">
          <cell r="B125" t="e">
            <v>#REF!</v>
          </cell>
          <cell r="F125" t="e">
            <v>#REF!</v>
          </cell>
        </row>
        <row r="126">
          <cell r="B126" t="e">
            <v>#REF!</v>
          </cell>
          <cell r="F126" t="e">
            <v>#REF!</v>
          </cell>
        </row>
        <row r="130">
          <cell r="B130">
            <v>0</v>
          </cell>
          <cell r="F130">
            <v>0</v>
          </cell>
        </row>
        <row r="132">
          <cell r="B132">
            <v>0</v>
          </cell>
          <cell r="F132">
            <v>0</v>
          </cell>
        </row>
        <row r="133">
          <cell r="B133" t="e">
            <v>#REF!</v>
          </cell>
          <cell r="F133" t="e">
            <v>#REF!</v>
          </cell>
        </row>
        <row r="134">
          <cell r="B134">
            <v>0</v>
          </cell>
          <cell r="F134">
            <v>0</v>
          </cell>
        </row>
        <row r="135">
          <cell r="B135" t="e">
            <v>#REF!</v>
          </cell>
          <cell r="F135" t="e">
            <v>#REF!</v>
          </cell>
        </row>
        <row r="139">
          <cell r="B139" t="str">
            <v>divid1</v>
          </cell>
          <cell r="F139" t="str">
            <v>divid1</v>
          </cell>
        </row>
        <row r="141">
          <cell r="B141" t="e">
            <v>#REF!</v>
          </cell>
          <cell r="F141" t="e">
            <v>#REF!</v>
          </cell>
        </row>
        <row r="142">
          <cell r="B142" t="e">
            <v>#REF!</v>
          </cell>
          <cell r="F142" t="e">
            <v>#REF!</v>
          </cell>
        </row>
        <row r="143">
          <cell r="B143" t="e">
            <v>#REF!</v>
          </cell>
          <cell r="F143" t="e">
            <v>#REF!</v>
          </cell>
        </row>
        <row r="144">
          <cell r="B144" t="e">
            <v>#REF!</v>
          </cell>
          <cell r="F144" t="e">
            <v>#REF!</v>
          </cell>
        </row>
        <row r="148">
          <cell r="B148">
            <v>0</v>
          </cell>
          <cell r="F148">
            <v>0</v>
          </cell>
        </row>
        <row r="150">
          <cell r="B150">
            <v>0</v>
          </cell>
          <cell r="F150">
            <v>0</v>
          </cell>
        </row>
        <row r="151">
          <cell r="B151" t="e">
            <v>#REF!</v>
          </cell>
          <cell r="F151" t="e">
            <v>#REF!</v>
          </cell>
        </row>
        <row r="152">
          <cell r="B152">
            <v>0</v>
          </cell>
          <cell r="F152">
            <v>0</v>
          </cell>
        </row>
        <row r="153">
          <cell r="B153" t="e">
            <v>#REF!</v>
          </cell>
          <cell r="F153" t="e">
            <v>#REF!</v>
          </cell>
        </row>
        <row r="157">
          <cell r="B157" t="str">
            <v>divid1</v>
          </cell>
          <cell r="F157" t="str">
            <v>divid1</v>
          </cell>
        </row>
        <row r="159">
          <cell r="B159" t="e">
            <v>#REF!</v>
          </cell>
          <cell r="F159" t="e">
            <v>#REF!</v>
          </cell>
        </row>
        <row r="160">
          <cell r="B160" t="e">
            <v>#REF!</v>
          </cell>
          <cell r="F160" t="e">
            <v>#REF!</v>
          </cell>
        </row>
        <row r="161">
          <cell r="B161" t="e">
            <v>#REF!</v>
          </cell>
          <cell r="F161" t="e">
            <v>#REF!</v>
          </cell>
        </row>
        <row r="162">
          <cell r="B162" t="e">
            <v>#REF!</v>
          </cell>
          <cell r="F162" t="e">
            <v>#REF!</v>
          </cell>
        </row>
        <row r="166">
          <cell r="B166">
            <v>0</v>
          </cell>
          <cell r="F166">
            <v>0</v>
          </cell>
        </row>
        <row r="168">
          <cell r="B168">
            <v>0</v>
          </cell>
          <cell r="F168">
            <v>0</v>
          </cell>
        </row>
        <row r="169">
          <cell r="B169" t="e">
            <v>#REF!</v>
          </cell>
          <cell r="F169" t="e">
            <v>#REF!</v>
          </cell>
        </row>
        <row r="170">
          <cell r="B170">
            <v>0</v>
          </cell>
          <cell r="F170">
            <v>0</v>
          </cell>
        </row>
        <row r="171">
          <cell r="B171" t="e">
            <v>#REF!</v>
          </cell>
          <cell r="F171" t="e">
            <v>#REF!</v>
          </cell>
        </row>
        <row r="175">
          <cell r="B175" t="str">
            <v>divid1</v>
          </cell>
          <cell r="F175" t="str">
            <v>divid1</v>
          </cell>
        </row>
        <row r="177">
          <cell r="B177" t="e">
            <v>#REF!</v>
          </cell>
          <cell r="F177" t="e">
            <v>#REF!</v>
          </cell>
        </row>
        <row r="178">
          <cell r="B178" t="e">
            <v>#REF!</v>
          </cell>
          <cell r="F178" t="e">
            <v>#REF!</v>
          </cell>
        </row>
        <row r="179">
          <cell r="B179" t="e">
            <v>#REF!</v>
          </cell>
          <cell r="F179" t="e">
            <v>#REF!</v>
          </cell>
        </row>
        <row r="180">
          <cell r="B180" t="e">
            <v>#REF!</v>
          </cell>
          <cell r="F180"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B-1 Constant DCF"/>
      <sheetName val="AEB-2 Multi-Stage DCF 1"/>
      <sheetName val="AEB-2 Multi-Stage DCF 2"/>
      <sheetName val="AEB-2 Multi-Stage DCF 3"/>
      <sheetName val="AEB-3 GDP Growth"/>
      <sheetName val="AEB-4 Beta"/>
      <sheetName val="AEB-5 CAPM 1"/>
      <sheetName val="AEB-5 CAPM 2"/>
      <sheetName val="AEB-6 Risk Premium"/>
      <sheetName val="AEB-7 Cap Ex"/>
      <sheetName val="AEB-8 Weather Norm-Decoupling"/>
      <sheetName val="AEB-9 Size Premium"/>
      <sheetName val="AEB-10 Flotation Costs"/>
      <sheetName val="AEB-11 Capital Structure"/>
    </sheetNames>
    <sheetDataSet>
      <sheetData sheetId="0"/>
      <sheetData sheetId="1"/>
      <sheetData sheetId="2"/>
      <sheetData sheetId="3"/>
      <sheetData sheetId="4">
        <row r="28">
          <cell r="E28">
            <v>5.4036400452315947E-2</v>
          </cell>
        </row>
      </sheetData>
      <sheetData sheetId="5"/>
      <sheetData sheetId="6"/>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mp Group Scenarios"/>
      <sheetName val="Schd 1_DCF Results"/>
      <sheetName val="Screening"/>
      <sheetName val="All Value Line"/>
      <sheetName val="Growth Rate"/>
      <sheetName val="Prices"/>
      <sheetName val="Dividends"/>
      <sheetName val="Business Segment"/>
      <sheetName val="Checklist"/>
      <sheetName val="Other"/>
      <sheetName val="Schd 2_CAPM Results"/>
    </sheetNames>
    <sheetDataSet>
      <sheetData sheetId="0">
        <row r="2">
          <cell r="B2">
            <v>1</v>
          </cell>
        </row>
      </sheetData>
      <sheetData sheetId="1">
        <row r="70">
          <cell r="A70" t="str">
            <v>y</v>
          </cell>
        </row>
      </sheetData>
      <sheetData sheetId="2"/>
      <sheetData sheetId="3"/>
      <sheetData sheetId="4"/>
      <sheetData sheetId="5">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row>
        <row r="3">
          <cell r="B3" t="str">
            <v>Updated:</v>
          </cell>
          <cell r="C3" t="str">
            <v>11.30.2011</v>
          </cell>
          <cell r="D3" t="str">
            <v>11.18.2011</v>
          </cell>
          <cell r="E3" t="str">
            <v>11.18.2011</v>
          </cell>
          <cell r="F3" t="str">
            <v>11.18.2011</v>
          </cell>
          <cell r="G3" t="str">
            <v>11.30.2011</v>
          </cell>
          <cell r="I3" t="str">
            <v>11.18.2011</v>
          </cell>
          <cell r="J3" t="str">
            <v>11.18.2011</v>
          </cell>
          <cell r="K3" t="str">
            <v>11.18.2011</v>
          </cell>
          <cell r="M3" t="str">
            <v>11.18.2011</v>
          </cell>
          <cell r="N3" t="str">
            <v>11.18.2011</v>
          </cell>
          <cell r="O3" t="str">
            <v>11.18.2011</v>
          </cell>
          <cell r="R3" t="str">
            <v>11.18.2011</v>
          </cell>
          <cell r="S3" t="str">
            <v>11.18.2011</v>
          </cell>
          <cell r="U3" t="str">
            <v>11.18.2011</v>
          </cell>
          <cell r="V3" t="str">
            <v>11.18.2011</v>
          </cell>
          <cell r="X3" t="str">
            <v>11.18.2011</v>
          </cell>
          <cell r="AD3" t="str">
            <v>11.18.2011</v>
          </cell>
          <cell r="AE3" t="str">
            <v>11.18.2011</v>
          </cell>
          <cell r="AF3" t="str">
            <v>11.18.2011</v>
          </cell>
        </row>
        <row r="4">
          <cell r="B4" t="str">
            <v>Ticker</v>
          </cell>
          <cell r="C4" t="str">
            <v xml:space="preserve">Zacks </v>
          </cell>
          <cell r="D4" t="str">
            <v>Value Line Book Value Growth</v>
          </cell>
          <cell r="E4" t="str">
            <v>Value Line EPS Growth</v>
          </cell>
          <cell r="F4" t="str">
            <v>Valueline Dividend Growth rate</v>
          </cell>
          <cell r="G4" t="str">
            <v>Yahoo/ First Call</v>
          </cell>
          <cell r="I4" t="str">
            <v>Payout Ratio1 ("All Div'ds to Net Prof" Projection Year 1)</v>
          </cell>
          <cell r="J4" t="str">
            <v>Payout Ratio2 ("All Div'ds to Net Prof" Projection Year 2)</v>
          </cell>
          <cell r="K4" t="str">
            <v>Payout Ratio3 ("All Div'ds to Net Prof" Projection Years 3-5)</v>
          </cell>
          <cell r="L4" t="str">
            <v>Average Retention Ratio</v>
          </cell>
          <cell r="M4" t="str">
            <v>Value Line Return on Book Value 1 ("Return on Com Eq" Projection Year 1)</v>
          </cell>
          <cell r="N4" t="str">
            <v>Value Line Return on Book Value 2 ("Return on Com Eq" Projection Year 2)</v>
          </cell>
          <cell r="O4" t="str">
            <v>Value Line Return on Book Value 3 ("Return on Com Eq" Projection Years 3-5)</v>
          </cell>
          <cell r="P4" t="str">
            <v>Average Return on Book Value</v>
          </cell>
          <cell r="Q4" t="str">
            <v>B*R</v>
          </cell>
          <cell r="R4" t="str">
            <v>Common Shares O/S Projection Year 2</v>
          </cell>
          <cell r="S4" t="str">
            <v>Common Shares O/S Projection Years 3-5</v>
          </cell>
          <cell r="T4" t="str">
            <v>Common Shares Growth Rate</v>
          </cell>
          <cell r="U4" t="str">
            <v>Est. Projection Year 1 High</v>
          </cell>
          <cell r="V4" t="str">
            <v>Est. Projection Year 1 Low</v>
          </cell>
          <cell r="W4" t="str">
            <v>Est. 2007 Mid</v>
          </cell>
          <cell r="X4" t="str">
            <v>Projection Year 2 Book Value per sh</v>
          </cell>
          <cell r="Y4" t="str">
            <v>Market/   Book Ratio</v>
          </cell>
          <cell r="Z4" t="str">
            <v>"S"</v>
          </cell>
          <cell r="AA4" t="str">
            <v>"V"</v>
          </cell>
          <cell r="AB4" t="str">
            <v>S x V</v>
          </cell>
          <cell r="AC4" t="str">
            <v>BR + SV</v>
          </cell>
          <cell r="AD4" t="str">
            <v>Earnings per share 13-15</v>
          </cell>
          <cell r="AE4" t="str">
            <v>Div'd Dec'd per share 13-15</v>
          </cell>
          <cell r="AF4" t="str">
            <v>Book value per share 13-15</v>
          </cell>
          <cell r="AG4" t="str">
            <v>"Hadaway" B</v>
          </cell>
          <cell r="AH4" t="str">
            <v>"Hadaway" R</v>
          </cell>
          <cell r="AI4" t="str">
            <v>"Hadaway" BxR</v>
          </cell>
        </row>
        <row r="6">
          <cell r="B6" t="str">
            <v>ALE</v>
          </cell>
          <cell r="C6">
            <v>0.05</v>
          </cell>
          <cell r="D6">
            <v>0.03</v>
          </cell>
          <cell r="E6">
            <v>4.4999999999999998E-2</v>
          </cell>
          <cell r="F6">
            <v>0.02</v>
          </cell>
          <cell r="G6">
            <v>6.5000000000000002E-2</v>
          </cell>
          <cell r="I6">
            <v>0.67</v>
          </cell>
          <cell r="J6">
            <v>0.68</v>
          </cell>
          <cell r="K6">
            <v>0.62</v>
          </cell>
          <cell r="L6">
            <v>0.34333333333333327</v>
          </cell>
          <cell r="M6">
            <v>0.09</v>
          </cell>
          <cell r="N6">
            <v>0.09</v>
          </cell>
          <cell r="O6">
            <v>9.5000000000000001E-2</v>
          </cell>
          <cell r="P6">
            <v>9.1666666666666674E-2</v>
          </cell>
          <cell r="Q6">
            <v>3.1472222222222221E-2</v>
          </cell>
          <cell r="R6">
            <v>38.200000000000003</v>
          </cell>
          <cell r="S6">
            <v>40</v>
          </cell>
          <cell r="T6">
            <v>9.2513190395118183E-3</v>
          </cell>
          <cell r="U6">
            <v>42.1</v>
          </cell>
          <cell r="V6">
            <v>35.5</v>
          </cell>
          <cell r="W6">
            <v>38.799999999999997</v>
          </cell>
          <cell r="X6">
            <v>29.55</v>
          </cell>
          <cell r="Y6">
            <v>1.3130287648054144</v>
          </cell>
          <cell r="Z6">
            <v>1.2147248011271016E-2</v>
          </cell>
          <cell r="AA6">
            <v>0.23840206185567003</v>
          </cell>
          <cell r="AB6">
            <v>2.8959289717591977E-3</v>
          </cell>
          <cell r="AC6">
            <v>3.4368151193981421E-2</v>
          </cell>
          <cell r="AD6">
            <v>3.25</v>
          </cell>
          <cell r="AE6">
            <v>1.95</v>
          </cell>
          <cell r="AF6">
            <v>32.75</v>
          </cell>
          <cell r="AG6">
            <v>0.4</v>
          </cell>
          <cell r="AH6">
            <v>9.9236641221374045E-2</v>
          </cell>
          <cell r="AI6">
            <v>3.9694656488549619E-2</v>
          </cell>
        </row>
        <row r="7">
          <cell r="B7" t="str">
            <v>LNT</v>
          </cell>
          <cell r="C7">
            <v>0.06</v>
          </cell>
          <cell r="D7">
            <v>0.03</v>
          </cell>
          <cell r="E7">
            <v>7.0000000000000007E-2</v>
          </cell>
          <cell r="F7">
            <v>0.06</v>
          </cell>
          <cell r="G7">
            <v>4.9000000000000002E-2</v>
          </cell>
          <cell r="I7">
            <v>0.63</v>
          </cell>
          <cell r="J7">
            <v>0.64</v>
          </cell>
          <cell r="K7">
            <v>0.61</v>
          </cell>
          <cell r="L7">
            <v>0.37333333333333341</v>
          </cell>
          <cell r="M7">
            <v>0.11</v>
          </cell>
          <cell r="N7">
            <v>0.11</v>
          </cell>
          <cell r="O7">
            <v>0.12</v>
          </cell>
          <cell r="P7">
            <v>0.11333333333333333</v>
          </cell>
          <cell r="Q7">
            <v>4.2311111111111119E-2</v>
          </cell>
          <cell r="R7">
            <v>113</v>
          </cell>
          <cell r="S7">
            <v>116</v>
          </cell>
          <cell r="T7">
            <v>5.2542297827959938E-3</v>
          </cell>
          <cell r="U7">
            <v>42.1</v>
          </cell>
          <cell r="V7">
            <v>33.9</v>
          </cell>
          <cell r="W7">
            <v>38</v>
          </cell>
          <cell r="X7">
            <v>27</v>
          </cell>
          <cell r="Y7">
            <v>1.4074074074074074</v>
          </cell>
          <cell r="Z7">
            <v>7.394841916527695E-3</v>
          </cell>
          <cell r="AA7">
            <v>0.28947368421052633</v>
          </cell>
          <cell r="AB7">
            <v>2.1406121337317011E-3</v>
          </cell>
          <cell r="AC7">
            <v>4.4451723244842818E-2</v>
          </cell>
          <cell r="AD7">
            <v>3.6</v>
          </cell>
          <cell r="AE7">
            <v>2.1</v>
          </cell>
          <cell r="AF7">
            <v>30.15</v>
          </cell>
          <cell r="AG7">
            <v>0.41666666666666663</v>
          </cell>
          <cell r="AH7">
            <v>0.11940298507462688</v>
          </cell>
          <cell r="AI7">
            <v>4.975124378109453E-2</v>
          </cell>
        </row>
        <row r="8">
          <cell r="B8" t="str">
            <v>AEE</v>
          </cell>
          <cell r="C8">
            <v>0.04</v>
          </cell>
          <cell r="D8">
            <v>1.4999999999999999E-2</v>
          </cell>
          <cell r="E8" t="str">
            <v>NA</v>
          </cell>
          <cell r="F8" t="str">
            <v>NA</v>
          </cell>
          <cell r="G8" t="str">
            <v>NA</v>
          </cell>
          <cell r="I8">
            <v>0.64</v>
          </cell>
          <cell r="J8">
            <v>0.65</v>
          </cell>
          <cell r="K8">
            <v>0.61</v>
          </cell>
          <cell r="L8">
            <v>0.3666666666666667</v>
          </cell>
          <cell r="M8">
            <v>7.0000000000000007E-2</v>
          </cell>
          <cell r="N8">
            <v>7.0000000000000007E-2</v>
          </cell>
          <cell r="O8">
            <v>7.0000000000000007E-2</v>
          </cell>
          <cell r="P8">
            <v>7.0000000000000007E-2</v>
          </cell>
          <cell r="Q8">
            <v>2.5666666666666671E-2</v>
          </cell>
          <cell r="R8">
            <v>247</v>
          </cell>
          <cell r="S8">
            <v>256</v>
          </cell>
          <cell r="T8">
            <v>7.1835000057907106E-3</v>
          </cell>
          <cell r="U8">
            <v>30.5</v>
          </cell>
          <cell r="V8">
            <v>25.5</v>
          </cell>
          <cell r="W8">
            <v>28</v>
          </cell>
          <cell r="X8">
            <v>33.450000000000003</v>
          </cell>
          <cell r="Y8">
            <v>0.83707025411061275</v>
          </cell>
          <cell r="Z8">
            <v>6.0130941752508183E-3</v>
          </cell>
          <cell r="AA8">
            <v>-0.19464285714285734</v>
          </cell>
          <cell r="AB8">
            <v>-1.1704058305398925E-3</v>
          </cell>
          <cell r="AC8">
            <v>2.4496260836126778E-2</v>
          </cell>
          <cell r="AD8">
            <v>2.5</v>
          </cell>
          <cell r="AE8">
            <v>1.54</v>
          </cell>
          <cell r="AF8">
            <v>36</v>
          </cell>
          <cell r="AG8">
            <v>0.38400000000000001</v>
          </cell>
          <cell r="AH8">
            <v>6.9444444444444448E-2</v>
          </cell>
          <cell r="AI8">
            <v>2.6666666666666668E-2</v>
          </cell>
        </row>
        <row r="9">
          <cell r="B9" t="str">
            <v>AEP</v>
          </cell>
          <cell r="C9">
            <v>0.04</v>
          </cell>
          <cell r="D9">
            <v>4.4999999999999998E-2</v>
          </cell>
          <cell r="E9">
            <v>4.4999999999999998E-2</v>
          </cell>
          <cell r="F9">
            <v>0.04</v>
          </cell>
          <cell r="G9">
            <v>3.3599999999999998E-2</v>
          </cell>
          <cell r="I9">
            <v>0.59</v>
          </cell>
          <cell r="J9">
            <v>0.57999999999999996</v>
          </cell>
          <cell r="K9">
            <v>0.55000000000000004</v>
          </cell>
          <cell r="L9">
            <v>0.42666666666666664</v>
          </cell>
          <cell r="M9">
            <v>0.105</v>
          </cell>
          <cell r="N9">
            <v>0.105</v>
          </cell>
          <cell r="O9">
            <v>0.105</v>
          </cell>
          <cell r="P9">
            <v>0.105</v>
          </cell>
          <cell r="Q9">
            <v>4.4799999999999993E-2</v>
          </cell>
          <cell r="R9">
            <v>489</v>
          </cell>
          <cell r="S9">
            <v>500</v>
          </cell>
          <cell r="T9">
            <v>4.4590338263139628E-3</v>
          </cell>
          <cell r="U9">
            <v>39</v>
          </cell>
          <cell r="V9">
            <v>33.1</v>
          </cell>
          <cell r="W9">
            <v>36.049999999999997</v>
          </cell>
          <cell r="X9">
            <v>31.05</v>
          </cell>
          <cell r="Y9">
            <v>1.1610305958132043</v>
          </cell>
          <cell r="Z9">
            <v>5.1770747001165327E-3</v>
          </cell>
          <cell r="AA9">
            <v>0.1386962552011094</v>
          </cell>
          <cell r="AB9">
            <v>7.1804087380256956E-4</v>
          </cell>
          <cell r="AC9">
            <v>4.5518040873802561E-2</v>
          </cell>
          <cell r="AD9">
            <v>3.75</v>
          </cell>
          <cell r="AE9">
            <v>2.1</v>
          </cell>
          <cell r="AF9">
            <v>36</v>
          </cell>
          <cell r="AG9">
            <v>0.43999999999999995</v>
          </cell>
          <cell r="AH9">
            <v>0.10416666666666667</v>
          </cell>
          <cell r="AI9">
            <v>4.583333333333333E-2</v>
          </cell>
        </row>
        <row r="10">
          <cell r="B10" t="str">
            <v>AVA</v>
          </cell>
          <cell r="C10">
            <v>4.7E-2</v>
          </cell>
          <cell r="D10">
            <v>0.03</v>
          </cell>
          <cell r="E10">
            <v>4.4999999999999998E-2</v>
          </cell>
          <cell r="F10">
            <v>0.09</v>
          </cell>
          <cell r="G10">
            <v>4.4999999999999998E-2</v>
          </cell>
          <cell r="I10">
            <v>0.6</v>
          </cell>
          <cell r="J10">
            <v>0.64</v>
          </cell>
          <cell r="K10">
            <v>0.68</v>
          </cell>
          <cell r="L10">
            <v>0.36</v>
          </cell>
          <cell r="M10">
            <v>0.09</v>
          </cell>
          <cell r="N10">
            <v>8.5000000000000006E-2</v>
          </cell>
          <cell r="O10">
            <v>0.09</v>
          </cell>
          <cell r="P10">
            <v>8.8333333333333333E-2</v>
          </cell>
          <cell r="Q10">
            <v>3.1800000000000002E-2</v>
          </cell>
          <cell r="R10">
            <v>59</v>
          </cell>
          <cell r="S10">
            <v>60.5</v>
          </cell>
          <cell r="T10">
            <v>5.0338114975041481E-3</v>
          </cell>
          <cell r="U10">
            <v>26.5</v>
          </cell>
          <cell r="V10">
            <v>21.1</v>
          </cell>
          <cell r="W10">
            <v>23.8</v>
          </cell>
          <cell r="X10">
            <v>21</v>
          </cell>
          <cell r="Y10">
            <v>1.1333333333333333</v>
          </cell>
          <cell r="Z10">
            <v>5.7049863638380348E-3</v>
          </cell>
          <cell r="AA10">
            <v>0.11764705882352944</v>
          </cell>
          <cell r="AB10">
            <v>6.7117486633388654E-4</v>
          </cell>
          <cell r="AC10">
            <v>3.2471174866333885E-2</v>
          </cell>
          <cell r="AD10">
            <v>2</v>
          </cell>
          <cell r="AE10">
            <v>1.4</v>
          </cell>
          <cell r="AF10">
            <v>22.75</v>
          </cell>
          <cell r="AG10">
            <v>0.30000000000000004</v>
          </cell>
          <cell r="AH10">
            <v>8.7912087912087919E-2</v>
          </cell>
          <cell r="AI10">
            <v>2.6373626373626381E-2</v>
          </cell>
        </row>
        <row r="11">
          <cell r="B11" t="str">
            <v>BKH</v>
          </cell>
          <cell r="C11">
            <v>0.05</v>
          </cell>
          <cell r="D11">
            <v>1.4999999999999999E-2</v>
          </cell>
          <cell r="E11">
            <v>8.5000000000000006E-2</v>
          </cell>
          <cell r="F11">
            <v>1.4999999999999999E-2</v>
          </cell>
          <cell r="G11">
            <v>0.04</v>
          </cell>
          <cell r="I11">
            <v>0.82</v>
          </cell>
          <cell r="J11">
            <v>0.74</v>
          </cell>
          <cell r="K11">
            <v>0.7</v>
          </cell>
          <cell r="L11">
            <v>0.2466666666666667</v>
          </cell>
          <cell r="M11">
            <v>0.06</v>
          </cell>
          <cell r="N11">
            <v>7.0000000000000007E-2</v>
          </cell>
          <cell r="O11">
            <v>7.4999999999999997E-2</v>
          </cell>
          <cell r="P11">
            <v>6.8333333333333343E-2</v>
          </cell>
          <cell r="Q11">
            <v>1.6855555555555561E-2</v>
          </cell>
          <cell r="R11">
            <v>44.25</v>
          </cell>
          <cell r="S11">
            <v>45</v>
          </cell>
          <cell r="T11">
            <v>3.3670795833371514E-3</v>
          </cell>
          <cell r="U11">
            <v>34.799999999999997</v>
          </cell>
          <cell r="V11">
            <v>25.8</v>
          </cell>
          <cell r="W11">
            <v>30.299999999999997</v>
          </cell>
          <cell r="X11">
            <v>28.6</v>
          </cell>
          <cell r="Y11">
            <v>1.0594405594405594</v>
          </cell>
          <cell r="Z11">
            <v>3.5672206774515973E-3</v>
          </cell>
          <cell r="AA11">
            <v>5.6105610561056007E-2</v>
          </cell>
          <cell r="AB11">
            <v>2.0014109411444571E-4</v>
          </cell>
          <cell r="AC11">
            <v>1.7055696649670007E-2</v>
          </cell>
          <cell r="AD11">
            <v>2.25</v>
          </cell>
          <cell r="AE11">
            <v>1.55</v>
          </cell>
          <cell r="AF11">
            <v>30.5</v>
          </cell>
          <cell r="AG11">
            <v>0.31111111111111112</v>
          </cell>
          <cell r="AH11">
            <v>7.3770491803278687E-2</v>
          </cell>
          <cell r="AI11">
            <v>2.2950819672131147E-2</v>
          </cell>
        </row>
        <row r="12">
          <cell r="B12" t="str">
            <v>CNP</v>
          </cell>
          <cell r="C12">
            <v>5.8999999999999997E-2</v>
          </cell>
          <cell r="D12">
            <v>0.1</v>
          </cell>
          <cell r="E12">
            <v>0.03</v>
          </cell>
          <cell r="F12">
            <v>0.03</v>
          </cell>
          <cell r="G12">
            <v>6.1899999999999997E-2</v>
          </cell>
          <cell r="I12">
            <v>0.66</v>
          </cell>
          <cell r="J12">
            <v>0.66</v>
          </cell>
          <cell r="K12">
            <v>0.65</v>
          </cell>
          <cell r="L12">
            <v>0.34333333333333327</v>
          </cell>
          <cell r="M12">
            <v>0.12</v>
          </cell>
          <cell r="N12">
            <v>0.12</v>
          </cell>
          <cell r="O12">
            <v>0.115</v>
          </cell>
          <cell r="P12">
            <v>0.11833333333333333</v>
          </cell>
          <cell r="Q12">
            <v>4.062777777777777E-2</v>
          </cell>
          <cell r="R12">
            <v>427</v>
          </cell>
          <cell r="S12">
            <v>430</v>
          </cell>
          <cell r="T12">
            <v>1.401219884281657E-3</v>
          </cell>
          <cell r="U12">
            <v>20.399999999999999</v>
          </cell>
          <cell r="V12">
            <v>15.1</v>
          </cell>
          <cell r="W12">
            <v>17.75</v>
          </cell>
          <cell r="X12">
            <v>10.35</v>
          </cell>
          <cell r="Y12">
            <v>1.7149758454106281</v>
          </cell>
          <cell r="Z12">
            <v>2.4030582556521171E-3</v>
          </cell>
          <cell r="AA12">
            <v>0.41690140845070423</v>
          </cell>
          <cell r="AB12">
            <v>1.0018383713704601E-3</v>
          </cell>
          <cell r="AC12">
            <v>4.162961614914823E-2</v>
          </cell>
          <cell r="AD12">
            <v>1.35</v>
          </cell>
          <cell r="AE12">
            <v>0.9</v>
          </cell>
          <cell r="AF12">
            <v>12</v>
          </cell>
          <cell r="AG12">
            <v>0.33333333333333337</v>
          </cell>
          <cell r="AH12">
            <v>0.1125</v>
          </cell>
          <cell r="AI12">
            <v>3.7500000000000006E-2</v>
          </cell>
        </row>
        <row r="13">
          <cell r="B13" t="str">
            <v>CV</v>
          </cell>
          <cell r="C13" t="str">
            <v>NA</v>
          </cell>
          <cell r="D13">
            <v>0.03</v>
          </cell>
          <cell r="E13">
            <v>0.02</v>
          </cell>
          <cell r="F13">
            <v>1.4999999999999999E-2</v>
          </cell>
          <cell r="G13">
            <v>8.8999999999999996E-2</v>
          </cell>
          <cell r="I13" t="str">
            <v>NMF</v>
          </cell>
          <cell r="J13">
            <v>0.52</v>
          </cell>
          <cell r="K13">
            <v>0.54</v>
          </cell>
          <cell r="L13">
            <v>0.47</v>
          </cell>
          <cell r="M13" t="str">
            <v>NMF</v>
          </cell>
          <cell r="N13">
            <v>0.08</v>
          </cell>
          <cell r="O13">
            <v>0.08</v>
          </cell>
          <cell r="P13">
            <v>0.08</v>
          </cell>
          <cell r="Q13">
            <v>3.7600000000000001E-2</v>
          </cell>
          <cell r="R13">
            <v>13.4</v>
          </cell>
          <cell r="S13">
            <v>13.4</v>
          </cell>
          <cell r="T13">
            <v>0</v>
          </cell>
          <cell r="U13">
            <v>36.4</v>
          </cell>
          <cell r="V13">
            <v>21</v>
          </cell>
          <cell r="W13">
            <v>28.7</v>
          </cell>
          <cell r="X13">
            <v>22</v>
          </cell>
          <cell r="Y13">
            <v>1.3045454545454545</v>
          </cell>
          <cell r="Z13">
            <v>0</v>
          </cell>
          <cell r="AA13">
            <v>0.23344947735191635</v>
          </cell>
          <cell r="AB13">
            <v>0</v>
          </cell>
          <cell r="AC13">
            <v>3.7600000000000001E-2</v>
          </cell>
          <cell r="AD13">
            <v>1.85</v>
          </cell>
          <cell r="AE13">
            <v>1</v>
          </cell>
          <cell r="AF13">
            <v>23.5</v>
          </cell>
          <cell r="AG13">
            <v>0.45945945945945954</v>
          </cell>
          <cell r="AH13">
            <v>7.8723404255319152E-2</v>
          </cell>
          <cell r="AI13">
            <v>3.6170212765957457E-2</v>
          </cell>
        </row>
        <row r="14">
          <cell r="B14" t="str">
            <v>CHG</v>
          </cell>
          <cell r="C14">
            <v>0.04</v>
          </cell>
          <cell r="D14">
            <v>0.02</v>
          </cell>
          <cell r="E14">
            <v>0.04</v>
          </cell>
          <cell r="F14">
            <v>0.01</v>
          </cell>
          <cell r="G14" t="str">
            <v>N/A</v>
          </cell>
          <cell r="I14">
            <v>0.74</v>
          </cell>
          <cell r="J14">
            <v>0.72</v>
          </cell>
          <cell r="K14">
            <v>0.67</v>
          </cell>
          <cell r="L14">
            <v>0.29000000000000004</v>
          </cell>
          <cell r="M14">
            <v>8.5000000000000006E-2</v>
          </cell>
          <cell r="N14">
            <v>8.5000000000000006E-2</v>
          </cell>
          <cell r="O14">
            <v>0.09</v>
          </cell>
          <cell r="P14">
            <v>8.666666666666667E-2</v>
          </cell>
          <cell r="Q14">
            <v>2.5133333333333337E-2</v>
          </cell>
          <cell r="R14">
            <v>15</v>
          </cell>
          <cell r="S14">
            <v>15</v>
          </cell>
          <cell r="T14">
            <v>0</v>
          </cell>
          <cell r="U14">
            <v>57.1</v>
          </cell>
          <cell r="V14">
            <v>47.4</v>
          </cell>
          <cell r="W14">
            <v>52.25</v>
          </cell>
          <cell r="X14">
            <v>35.75</v>
          </cell>
          <cell r="Y14">
            <v>1.4615384615384615</v>
          </cell>
          <cell r="Z14">
            <v>0</v>
          </cell>
          <cell r="AA14">
            <v>0.31578947368421051</v>
          </cell>
          <cell r="AB14">
            <v>0</v>
          </cell>
          <cell r="AC14">
            <v>2.5133333333333337E-2</v>
          </cell>
          <cell r="AD14">
            <v>3.35</v>
          </cell>
          <cell r="AE14">
            <v>2.2400000000000002</v>
          </cell>
          <cell r="AF14">
            <v>37.5</v>
          </cell>
          <cell r="AG14">
            <v>0.33134328358208953</v>
          </cell>
          <cell r="AH14">
            <v>8.9333333333333334E-2</v>
          </cell>
          <cell r="AI14">
            <v>2.9599999999999998E-2</v>
          </cell>
        </row>
        <row r="15">
          <cell r="B15" t="str">
            <v>CNL</v>
          </cell>
          <cell r="C15">
            <v>7.0000000000000007E-2</v>
          </cell>
          <cell r="D15">
            <v>6.5000000000000002E-2</v>
          </cell>
          <cell r="E15">
            <v>0.06</v>
          </cell>
          <cell r="F15">
            <v>9.5000000000000001E-2</v>
          </cell>
          <cell r="G15">
            <v>0.03</v>
          </cell>
          <cell r="I15">
            <v>0.45</v>
          </cell>
          <cell r="J15">
            <v>0.5</v>
          </cell>
          <cell r="K15">
            <v>0.57999999999999996</v>
          </cell>
          <cell r="L15">
            <v>0.4900000000000001</v>
          </cell>
          <cell r="M15">
            <v>0.1</v>
          </cell>
          <cell r="N15">
            <v>0.1</v>
          </cell>
          <cell r="O15">
            <v>9.5000000000000001E-2</v>
          </cell>
          <cell r="P15">
            <v>9.8333333333333342E-2</v>
          </cell>
          <cell r="Q15">
            <v>4.8183333333333349E-2</v>
          </cell>
          <cell r="R15">
            <v>60.7</v>
          </cell>
          <cell r="S15">
            <v>60.7</v>
          </cell>
          <cell r="T15">
            <v>0</v>
          </cell>
          <cell r="U15">
            <v>36.1</v>
          </cell>
          <cell r="V15">
            <v>30.1</v>
          </cell>
          <cell r="W15">
            <v>33.1</v>
          </cell>
          <cell r="X15">
            <v>24.9</v>
          </cell>
          <cell r="Y15">
            <v>1.3293172690763053</v>
          </cell>
          <cell r="Z15">
            <v>0</v>
          </cell>
          <cell r="AA15">
            <v>0.24773413897280971</v>
          </cell>
          <cell r="AB15">
            <v>0</v>
          </cell>
          <cell r="AC15">
            <v>4.8183333333333349E-2</v>
          </cell>
          <cell r="AD15">
            <v>2.75</v>
          </cell>
          <cell r="AE15">
            <v>1.6</v>
          </cell>
          <cell r="AF15">
            <v>28.5</v>
          </cell>
          <cell r="AG15">
            <v>0.4181818181818181</v>
          </cell>
          <cell r="AH15">
            <v>9.6491228070175433E-2</v>
          </cell>
          <cell r="AI15">
            <v>4.0350877192982443E-2</v>
          </cell>
        </row>
        <row r="16">
          <cell r="B16" t="str">
            <v>CMS</v>
          </cell>
          <cell r="C16">
            <v>5.5E-2</v>
          </cell>
          <cell r="D16">
            <v>0.05</v>
          </cell>
          <cell r="E16">
            <v>7.0000000000000007E-2</v>
          </cell>
          <cell r="F16">
            <v>0.14000000000000001</v>
          </cell>
          <cell r="G16">
            <v>5.9299999999999999E-2</v>
          </cell>
          <cell r="I16">
            <v>0.56000000000000005</v>
          </cell>
          <cell r="J16">
            <v>0.56999999999999995</v>
          </cell>
          <cell r="K16">
            <v>0.59</v>
          </cell>
          <cell r="L16">
            <v>0.42666666666666675</v>
          </cell>
          <cell r="M16">
            <v>0.125</v>
          </cell>
          <cell r="N16">
            <v>0.125</v>
          </cell>
          <cell r="O16">
            <v>0.125</v>
          </cell>
          <cell r="P16">
            <v>0.125</v>
          </cell>
          <cell r="Q16">
            <v>5.3333333333333344E-2</v>
          </cell>
          <cell r="R16">
            <v>254</v>
          </cell>
          <cell r="S16">
            <v>260</v>
          </cell>
          <cell r="T16">
            <v>4.6803917761835123E-3</v>
          </cell>
          <cell r="U16">
            <v>20.5</v>
          </cell>
          <cell r="V16">
            <v>17</v>
          </cell>
          <cell r="W16">
            <v>18.75</v>
          </cell>
          <cell r="X16">
            <v>12.7</v>
          </cell>
          <cell r="Y16">
            <v>1.4763779527559056</v>
          </cell>
          <cell r="Z16">
            <v>6.9100272286173907E-3</v>
          </cell>
          <cell r="AA16">
            <v>0.32266666666666666</v>
          </cell>
          <cell r="AB16">
            <v>2.2296354524338779E-3</v>
          </cell>
          <cell r="AC16">
            <v>5.5562968785767219E-2</v>
          </cell>
          <cell r="AD16">
            <v>1.75</v>
          </cell>
          <cell r="AE16">
            <v>1.1000000000000001</v>
          </cell>
          <cell r="AF16">
            <v>15</v>
          </cell>
          <cell r="AG16">
            <v>0.37142857142857133</v>
          </cell>
          <cell r="AH16">
            <v>0.11666666666666667</v>
          </cell>
          <cell r="AI16">
            <v>4.3333333333333321E-2</v>
          </cell>
        </row>
        <row r="17">
          <cell r="B17" t="str">
            <v>ED</v>
          </cell>
          <cell r="C17">
            <v>3.3000000000000002E-2</v>
          </cell>
          <cell r="D17">
            <v>2.5000000000000001E-2</v>
          </cell>
          <cell r="E17">
            <v>0.03</v>
          </cell>
          <cell r="F17">
            <v>0.01</v>
          </cell>
          <cell r="G17">
            <v>3.6900000000000002E-2</v>
          </cell>
          <cell r="I17">
            <v>0.68</v>
          </cell>
          <cell r="J17">
            <v>0.66</v>
          </cell>
          <cell r="K17">
            <v>0.63</v>
          </cell>
          <cell r="L17">
            <v>0.34333333333333327</v>
          </cell>
          <cell r="M17">
            <v>9.5000000000000001E-2</v>
          </cell>
          <cell r="N17">
            <v>0.09</v>
          </cell>
          <cell r="O17">
            <v>9.5000000000000001E-2</v>
          </cell>
          <cell r="P17">
            <v>9.3333333333333338E-2</v>
          </cell>
          <cell r="Q17">
            <v>3.2044444444444438E-2</v>
          </cell>
          <cell r="R17">
            <v>298</v>
          </cell>
          <cell r="S17">
            <v>310</v>
          </cell>
          <cell r="T17">
            <v>7.9270159282724961E-3</v>
          </cell>
          <cell r="U17">
            <v>59.9</v>
          </cell>
          <cell r="V17">
            <v>48.6</v>
          </cell>
          <cell r="W17">
            <v>54.25</v>
          </cell>
          <cell r="X17">
            <v>40.950000000000003</v>
          </cell>
          <cell r="Y17">
            <v>1.3247863247863247</v>
          </cell>
          <cell r="Z17">
            <v>1.0501602298138776E-2</v>
          </cell>
          <cell r="AA17">
            <v>0.24516129032258061</v>
          </cell>
          <cell r="AB17">
            <v>2.5745863698662802E-3</v>
          </cell>
          <cell r="AC17">
            <v>3.4619030814310718E-2</v>
          </cell>
          <cell r="AD17">
            <v>3.95</v>
          </cell>
          <cell r="AE17">
            <v>2.48</v>
          </cell>
          <cell r="AF17">
            <v>42.6</v>
          </cell>
          <cell r="AG17">
            <v>0.3721518987341772</v>
          </cell>
          <cell r="AH17">
            <v>9.2723004694835687E-2</v>
          </cell>
          <cell r="AI17">
            <v>3.4507042253521129E-2</v>
          </cell>
        </row>
        <row r="18">
          <cell r="B18" t="str">
            <v>CEG</v>
          </cell>
          <cell r="C18">
            <v>3.6999999999999998E-2</v>
          </cell>
          <cell r="D18">
            <v>6.5000000000000002E-2</v>
          </cell>
          <cell r="E18">
            <v>0.18</v>
          </cell>
          <cell r="F18" t="str">
            <v>NA</v>
          </cell>
          <cell r="G18">
            <v>3.7699999999999997E-2</v>
          </cell>
          <cell r="I18">
            <v>0.43</v>
          </cell>
          <cell r="J18">
            <v>0.43</v>
          </cell>
          <cell r="K18">
            <v>0.28999999999999998</v>
          </cell>
          <cell r="L18">
            <v>0.6166666666666667</v>
          </cell>
          <cell r="M18">
            <v>0.06</v>
          </cell>
          <cell r="N18">
            <v>5.5E-2</v>
          </cell>
          <cell r="O18">
            <v>7.4999999999999997E-2</v>
          </cell>
          <cell r="P18">
            <v>6.3333333333333339E-2</v>
          </cell>
          <cell r="Q18">
            <v>3.9055555555555559E-2</v>
          </cell>
          <cell r="R18">
            <v>202</v>
          </cell>
          <cell r="S18">
            <v>205</v>
          </cell>
          <cell r="T18">
            <v>2.952807320023787E-3</v>
          </cell>
          <cell r="U18">
            <v>40.200000000000003</v>
          </cell>
          <cell r="V18">
            <v>29.7</v>
          </cell>
          <cell r="W18">
            <v>34.950000000000003</v>
          </cell>
          <cell r="X18">
            <v>41.65</v>
          </cell>
          <cell r="Y18">
            <v>0.83913565426170478</v>
          </cell>
          <cell r="Z18">
            <v>2.4778059023969116E-3</v>
          </cell>
          <cell r="AA18">
            <v>-0.19170243204577964</v>
          </cell>
          <cell r="AB18">
            <v>-4.7500141762687564E-4</v>
          </cell>
          <cell r="AC18">
            <v>3.8580554137928685E-2</v>
          </cell>
          <cell r="AD18">
            <v>3.5</v>
          </cell>
          <cell r="AE18">
            <v>1</v>
          </cell>
          <cell r="AF18">
            <v>48</v>
          </cell>
          <cell r="AG18">
            <v>0.7142857142857143</v>
          </cell>
          <cell r="AH18">
            <v>7.2916666666666671E-2</v>
          </cell>
          <cell r="AI18">
            <v>5.2083333333333336E-2</v>
          </cell>
        </row>
        <row r="19">
          <cell r="B19" t="str">
            <v>D</v>
          </cell>
          <cell r="C19">
            <v>0.05</v>
          </cell>
          <cell r="D19">
            <v>0.06</v>
          </cell>
          <cell r="E19">
            <v>4.4999999999999998E-2</v>
          </cell>
          <cell r="F19">
            <v>0.06</v>
          </cell>
          <cell r="G19">
            <v>3.2000000000000001E-2</v>
          </cell>
          <cell r="I19">
            <v>0.71</v>
          </cell>
          <cell r="J19">
            <v>0.65</v>
          </cell>
          <cell r="K19">
            <v>0.65</v>
          </cell>
          <cell r="L19">
            <v>0.33000000000000007</v>
          </cell>
          <cell r="M19">
            <v>0.13500000000000001</v>
          </cell>
          <cell r="N19">
            <v>0.15</v>
          </cell>
          <cell r="O19">
            <v>0.14000000000000001</v>
          </cell>
          <cell r="P19">
            <v>0.14166666666666669</v>
          </cell>
          <cell r="Q19">
            <v>4.6750000000000021E-2</v>
          </cell>
          <cell r="R19">
            <v>570</v>
          </cell>
          <cell r="S19">
            <v>585</v>
          </cell>
          <cell r="T19">
            <v>5.2086151973560479E-3</v>
          </cell>
          <cell r="U19">
            <v>52.7</v>
          </cell>
          <cell r="V19">
            <v>42.1</v>
          </cell>
          <cell r="W19">
            <v>47.400000000000006</v>
          </cell>
          <cell r="X19">
            <v>22.05</v>
          </cell>
          <cell r="Y19">
            <v>2.1496598639455784</v>
          </cell>
          <cell r="Z19">
            <v>1.1196751036493273E-2</v>
          </cell>
          <cell r="AA19">
            <v>0.53481012658227844</v>
          </cell>
          <cell r="AB19">
            <v>5.9881358391372244E-3</v>
          </cell>
          <cell r="AC19">
            <v>5.2738135839137244E-2</v>
          </cell>
          <cell r="AD19">
            <v>3.75</v>
          </cell>
          <cell r="AE19">
            <v>2.4500000000000002</v>
          </cell>
          <cell r="AF19">
            <v>26.5</v>
          </cell>
          <cell r="AG19">
            <v>0.34666666666666657</v>
          </cell>
          <cell r="AH19">
            <v>0.14150943396226415</v>
          </cell>
          <cell r="AI19">
            <v>4.9056603773584888E-2</v>
          </cell>
        </row>
        <row r="20">
          <cell r="B20" t="str">
            <v>DPL</v>
          </cell>
          <cell r="C20" t="str">
            <v>NA</v>
          </cell>
          <cell r="D20">
            <v>7.0000000000000007E-2</v>
          </cell>
          <cell r="E20">
            <v>5.5E-2</v>
          </cell>
          <cell r="F20">
            <v>5.5E-2</v>
          </cell>
          <cell r="G20">
            <v>7.0000000000000007E-2</v>
          </cell>
          <cell r="I20">
            <v>0.57999999999999996</v>
          </cell>
          <cell r="J20">
            <v>0.57999999999999996</v>
          </cell>
          <cell r="K20">
            <v>0.53</v>
          </cell>
          <cell r="L20">
            <v>0.43666666666666665</v>
          </cell>
          <cell r="M20">
            <v>0.21</v>
          </cell>
          <cell r="N20">
            <v>0.21</v>
          </cell>
          <cell r="O20">
            <v>0.22</v>
          </cell>
          <cell r="P20">
            <v>0.21333333333333335</v>
          </cell>
          <cell r="Q20">
            <v>9.3155555555555561E-2</v>
          </cell>
          <cell r="R20">
            <v>115</v>
          </cell>
          <cell r="S20">
            <v>110</v>
          </cell>
          <cell r="T20">
            <v>-8.8509501835801752E-3</v>
          </cell>
          <cell r="U20">
            <v>30.5</v>
          </cell>
          <cell r="V20">
            <v>25.4</v>
          </cell>
          <cell r="W20">
            <v>27.95</v>
          </cell>
          <cell r="X20">
            <v>11.5</v>
          </cell>
          <cell r="Y20">
            <v>2.4304347826086956</v>
          </cell>
          <cell r="Z20">
            <v>-2.1511657185310076E-2</v>
          </cell>
          <cell r="AA20">
            <v>0.58855098389982108</v>
          </cell>
          <cell r="AB20">
            <v>-1.2660707001729901E-2</v>
          </cell>
          <cell r="AC20">
            <v>8.049484855382566E-2</v>
          </cell>
          <cell r="AD20">
            <v>3.05</v>
          </cell>
          <cell r="AE20">
            <v>1.6</v>
          </cell>
          <cell r="AF20">
            <v>14.1</v>
          </cell>
          <cell r="AG20">
            <v>0.47540983606557374</v>
          </cell>
          <cell r="AH20">
            <v>0.21631205673758863</v>
          </cell>
          <cell r="AI20">
            <v>0.1028368794326241</v>
          </cell>
        </row>
        <row r="21">
          <cell r="B21" t="str">
            <v>DTE</v>
          </cell>
          <cell r="C21">
            <v>4.2000000000000003E-2</v>
          </cell>
          <cell r="D21">
            <v>3.5000000000000003E-2</v>
          </cell>
          <cell r="E21">
            <v>4.4999999999999998E-2</v>
          </cell>
          <cell r="F21">
            <v>0.04</v>
          </cell>
          <cell r="G21">
            <v>3.44E-2</v>
          </cell>
          <cell r="I21">
            <v>0.63</v>
          </cell>
          <cell r="J21">
            <v>0.63</v>
          </cell>
          <cell r="K21">
            <v>0.63</v>
          </cell>
          <cell r="L21">
            <v>0.37</v>
          </cell>
          <cell r="M21">
            <v>0.09</v>
          </cell>
          <cell r="N21">
            <v>0.09</v>
          </cell>
          <cell r="O21">
            <v>0.09</v>
          </cell>
          <cell r="P21">
            <v>9.0000000000000011E-2</v>
          </cell>
          <cell r="Q21">
            <v>3.3300000000000003E-2</v>
          </cell>
          <cell r="R21">
            <v>170</v>
          </cell>
          <cell r="S21">
            <v>174</v>
          </cell>
          <cell r="T21">
            <v>4.6622068574093678E-3</v>
          </cell>
          <cell r="U21">
            <v>52.8</v>
          </cell>
          <cell r="V21">
            <v>43.2</v>
          </cell>
          <cell r="W21">
            <v>48</v>
          </cell>
          <cell r="X21">
            <v>42.3</v>
          </cell>
          <cell r="Y21">
            <v>1.1347517730496455</v>
          </cell>
          <cell r="Z21">
            <v>5.290447497769496E-3</v>
          </cell>
          <cell r="AA21">
            <v>0.11875000000000002</v>
          </cell>
          <cell r="AB21">
            <v>6.2824064036012773E-4</v>
          </cell>
          <cell r="AC21">
            <v>3.3928240640360131E-2</v>
          </cell>
          <cell r="AD21">
            <v>4.25</v>
          </cell>
          <cell r="AE21">
            <v>2.7</v>
          </cell>
          <cell r="AF21">
            <v>46.5</v>
          </cell>
          <cell r="AG21">
            <v>0.3647058823529411</v>
          </cell>
          <cell r="AH21">
            <v>9.1397849462365593E-2</v>
          </cell>
          <cell r="AI21">
            <v>3.3333333333333326E-2</v>
          </cell>
        </row>
        <row r="22">
          <cell r="B22" t="str">
            <v>DUK</v>
          </cell>
          <cell r="C22">
            <v>4.4999999999999998E-2</v>
          </cell>
          <cell r="D22">
            <v>2.5000000000000001E-2</v>
          </cell>
          <cell r="E22">
            <v>0.06</v>
          </cell>
          <cell r="F22">
            <v>0.02</v>
          </cell>
          <cell r="G22">
            <v>4.0500000000000001E-2</v>
          </cell>
          <cell r="I22">
            <v>0.7</v>
          </cell>
          <cell r="J22">
            <v>0.69</v>
          </cell>
          <cell r="K22">
            <v>0.65</v>
          </cell>
          <cell r="L22">
            <v>0.31999999999999995</v>
          </cell>
          <cell r="M22">
            <v>0.08</v>
          </cell>
          <cell r="N22">
            <v>8.5000000000000006E-2</v>
          </cell>
          <cell r="O22">
            <v>8.5000000000000006E-2</v>
          </cell>
          <cell r="P22">
            <v>8.3333333333333329E-2</v>
          </cell>
          <cell r="Q22">
            <v>2.6666666666666661E-2</v>
          </cell>
          <cell r="R22">
            <v>1336</v>
          </cell>
          <cell r="S22">
            <v>1339</v>
          </cell>
          <cell r="T22">
            <v>4.4869895418986339E-4</v>
          </cell>
          <cell r="U22">
            <v>21</v>
          </cell>
          <cell r="V22">
            <v>16.899999999999999</v>
          </cell>
          <cell r="W22">
            <v>18.95</v>
          </cell>
          <cell r="X22">
            <v>17.7</v>
          </cell>
          <cell r="Y22">
            <v>1.0706214689265536</v>
          </cell>
          <cell r="Z22">
            <v>4.8038673344055993E-4</v>
          </cell>
          <cell r="AA22">
            <v>6.5963060686015762E-2</v>
          </cell>
          <cell r="AB22">
            <v>3.1687779250696532E-5</v>
          </cell>
          <cell r="AC22">
            <v>2.6698354445917359E-2</v>
          </cell>
          <cell r="AD22">
            <v>1.65</v>
          </cell>
          <cell r="AE22">
            <v>1.07</v>
          </cell>
          <cell r="AF22">
            <v>19.25</v>
          </cell>
          <cell r="AG22">
            <v>0.35151515151515145</v>
          </cell>
          <cell r="AH22">
            <v>8.5714285714285715E-2</v>
          </cell>
          <cell r="AI22">
            <v>3.0129870129870125E-2</v>
          </cell>
        </row>
        <row r="23">
          <cell r="B23" t="str">
            <v>EIX</v>
          </cell>
          <cell r="C23">
            <v>0.05</v>
          </cell>
          <cell r="D23">
            <v>4.4999999999999998E-2</v>
          </cell>
          <cell r="E23" t="str">
            <v>NA</v>
          </cell>
          <cell r="F23">
            <v>0.02</v>
          </cell>
          <cell r="G23">
            <v>2.9000000000000001E-2</v>
          </cell>
          <cell r="I23">
            <v>0.5</v>
          </cell>
          <cell r="J23">
            <v>0.49</v>
          </cell>
          <cell r="K23">
            <v>0.46</v>
          </cell>
          <cell r="L23">
            <v>0.51666666666666661</v>
          </cell>
          <cell r="M23">
            <v>0.08</v>
          </cell>
          <cell r="N23">
            <v>8.5000000000000006E-2</v>
          </cell>
          <cell r="O23">
            <v>0.08</v>
          </cell>
          <cell r="P23">
            <v>8.1666666666666665E-2</v>
          </cell>
          <cell r="Q23">
            <v>4.2194444444444437E-2</v>
          </cell>
          <cell r="R23">
            <v>325.81</v>
          </cell>
          <cell r="S23">
            <v>325.81</v>
          </cell>
          <cell r="T23">
            <v>0</v>
          </cell>
          <cell r="U23">
            <v>40.200000000000003</v>
          </cell>
          <cell r="V23">
            <v>32.6</v>
          </cell>
          <cell r="W23">
            <v>36.400000000000006</v>
          </cell>
          <cell r="X23">
            <v>35.299999999999997</v>
          </cell>
          <cell r="Y23">
            <v>1.0311614730878189</v>
          </cell>
          <cell r="Z23">
            <v>0</v>
          </cell>
          <cell r="AA23">
            <v>3.0219780219780445E-2</v>
          </cell>
          <cell r="AB23">
            <v>0</v>
          </cell>
          <cell r="AC23">
            <v>4.2194444444444437E-2</v>
          </cell>
          <cell r="AD23">
            <v>3.25</v>
          </cell>
          <cell r="AE23">
            <v>1.4</v>
          </cell>
          <cell r="AF23">
            <v>40.25</v>
          </cell>
          <cell r="AG23">
            <v>0.56923076923076921</v>
          </cell>
          <cell r="AH23">
            <v>8.0745341614906832E-2</v>
          </cell>
          <cell r="AI23">
            <v>4.5962732919254658E-2</v>
          </cell>
        </row>
        <row r="24">
          <cell r="B24" t="str">
            <v>EE</v>
          </cell>
          <cell r="C24" t="str">
            <v>NA</v>
          </cell>
          <cell r="D24">
            <v>7.0000000000000007E-2</v>
          </cell>
          <cell r="E24">
            <v>7.4999999999999997E-2</v>
          </cell>
          <cell r="F24" t="str">
            <v>NMF</v>
          </cell>
          <cell r="G24">
            <v>3.6999999999999998E-2</v>
          </cell>
          <cell r="I24">
            <v>0.26</v>
          </cell>
          <cell r="J24">
            <v>0.39</v>
          </cell>
          <cell r="K24">
            <v>0.42</v>
          </cell>
          <cell r="L24">
            <v>0.64333333333333331</v>
          </cell>
          <cell r="M24">
            <v>0.125</v>
          </cell>
          <cell r="N24">
            <v>0.115</v>
          </cell>
          <cell r="O24">
            <v>0.115</v>
          </cell>
          <cell r="P24">
            <v>0.11833333333333333</v>
          </cell>
          <cell r="Q24">
            <v>7.612777777777778E-2</v>
          </cell>
          <cell r="R24">
            <v>40.5</v>
          </cell>
          <cell r="S24">
            <v>39</v>
          </cell>
          <cell r="T24">
            <v>-7.5196504874270875E-3</v>
          </cell>
          <cell r="U24">
            <v>35.700000000000003</v>
          </cell>
          <cell r="V24">
            <v>26.7</v>
          </cell>
          <cell r="W24">
            <v>31.200000000000003</v>
          </cell>
          <cell r="X24">
            <v>25.5</v>
          </cell>
          <cell r="Y24">
            <v>1.223529411764706</v>
          </cell>
          <cell r="Z24">
            <v>-9.2005135375578494E-3</v>
          </cell>
          <cell r="AA24">
            <v>0.18269230769230771</v>
          </cell>
          <cell r="AB24">
            <v>-1.6808630501307612E-3</v>
          </cell>
          <cell r="AC24">
            <v>7.4446914727647015E-2</v>
          </cell>
          <cell r="AD24">
            <v>2.75</v>
          </cell>
          <cell r="AE24">
            <v>1.2</v>
          </cell>
          <cell r="AF24">
            <v>25.5</v>
          </cell>
          <cell r="AG24">
            <v>0.56363636363636371</v>
          </cell>
          <cell r="AH24">
            <v>0.10784313725490197</v>
          </cell>
          <cell r="AI24">
            <v>6.0784313725490209E-2</v>
          </cell>
        </row>
        <row r="25">
          <cell r="B25" t="str">
            <v>EDE</v>
          </cell>
          <cell r="C25">
            <v>8.8999999999999996E-2</v>
          </cell>
          <cell r="D25">
            <v>0.02</v>
          </cell>
          <cell r="E25">
            <v>7.0000000000000007E-2</v>
          </cell>
          <cell r="F25" t="str">
            <v>NA</v>
          </cell>
          <cell r="G25">
            <v>0.10199999999999999</v>
          </cell>
          <cell r="I25">
            <v>0.51</v>
          </cell>
          <cell r="J25">
            <v>0.87</v>
          </cell>
          <cell r="K25">
            <v>0.7</v>
          </cell>
          <cell r="L25">
            <v>0.30666666666666664</v>
          </cell>
          <cell r="M25">
            <v>7.4999999999999997E-2</v>
          </cell>
          <cell r="N25">
            <v>7.0000000000000007E-2</v>
          </cell>
          <cell r="O25">
            <v>9.5000000000000001E-2</v>
          </cell>
          <cell r="P25">
            <v>0.08</v>
          </cell>
          <cell r="Q25">
            <v>2.4533333333333331E-2</v>
          </cell>
          <cell r="R25">
            <v>42.25</v>
          </cell>
          <cell r="S25">
            <v>43</v>
          </cell>
          <cell r="T25">
            <v>3.5253518649858151E-3</v>
          </cell>
          <cell r="U25">
            <v>23.3</v>
          </cell>
          <cell r="V25">
            <v>18</v>
          </cell>
          <cell r="W25">
            <v>20.65</v>
          </cell>
          <cell r="X25">
            <v>16.55</v>
          </cell>
          <cell r="Y25">
            <v>1.2477341389728096</v>
          </cell>
          <cell r="Z25">
            <v>4.3987018738342641E-3</v>
          </cell>
          <cell r="AA25">
            <v>0.198547215496368</v>
          </cell>
          <cell r="AB25">
            <v>8.7335000884844938E-4</v>
          </cell>
          <cell r="AC25">
            <v>2.5406683342181779E-2</v>
          </cell>
          <cell r="AD25">
            <v>1.75</v>
          </cell>
          <cell r="AE25">
            <v>1.2</v>
          </cell>
          <cell r="AF25">
            <v>17.75</v>
          </cell>
          <cell r="AG25">
            <v>0.31428571428571428</v>
          </cell>
          <cell r="AH25">
            <v>9.8591549295774641E-2</v>
          </cell>
          <cell r="AI25">
            <v>3.0985915492957743E-2</v>
          </cell>
        </row>
        <row r="26">
          <cell r="B26" t="str">
            <v>ETR</v>
          </cell>
          <cell r="C26" t="str">
            <v>NA</v>
          </cell>
          <cell r="D26">
            <v>6.5000000000000002E-2</v>
          </cell>
          <cell r="E26">
            <v>1.4999999999999999E-2</v>
          </cell>
          <cell r="F26">
            <v>2.5000000000000001E-2</v>
          </cell>
          <cell r="G26" t="str">
            <v>NA</v>
          </cell>
          <cell r="I26">
            <v>0.5</v>
          </cell>
          <cell r="J26">
            <v>0.49</v>
          </cell>
          <cell r="K26">
            <v>0.5</v>
          </cell>
          <cell r="L26">
            <v>0.50333333333333341</v>
          </cell>
          <cell r="M26">
            <v>0.13500000000000001</v>
          </cell>
          <cell r="N26">
            <v>0.13</v>
          </cell>
          <cell r="O26">
            <v>0.115</v>
          </cell>
          <cell r="P26">
            <v>0.12666666666666668</v>
          </cell>
          <cell r="Q26">
            <v>6.3755555555555565E-2</v>
          </cell>
          <cell r="R26">
            <v>172</v>
          </cell>
          <cell r="S26">
            <v>172</v>
          </cell>
          <cell r="T26">
            <v>0</v>
          </cell>
          <cell r="U26">
            <v>74.5</v>
          </cell>
          <cell r="V26">
            <v>57.6</v>
          </cell>
          <cell r="W26">
            <v>66.05</v>
          </cell>
          <cell r="X26">
            <v>53.8</v>
          </cell>
          <cell r="Y26">
            <v>1.2276951672862453</v>
          </cell>
          <cell r="Z26">
            <v>0</v>
          </cell>
          <cell r="AA26">
            <v>0.18546555639666917</v>
          </cell>
          <cell r="AB26">
            <v>0</v>
          </cell>
          <cell r="AC26">
            <v>6.3755555555555565E-2</v>
          </cell>
          <cell r="AD26">
            <v>7</v>
          </cell>
          <cell r="AE26">
            <v>3.6</v>
          </cell>
          <cell r="AF26">
            <v>65</v>
          </cell>
          <cell r="AG26">
            <v>0.48571428571428565</v>
          </cell>
          <cell r="AH26">
            <v>0.1076923076923077</v>
          </cell>
          <cell r="AI26">
            <v>5.2307692307692305E-2</v>
          </cell>
        </row>
        <row r="27">
          <cell r="B27" t="str">
            <v>EXC</v>
          </cell>
          <cell r="C27" t="str">
            <v>NA</v>
          </cell>
          <cell r="D27">
            <v>5.5E-2</v>
          </cell>
          <cell r="E27" t="str">
            <v>NA</v>
          </cell>
          <cell r="F27" t="str">
            <v>Nil</v>
          </cell>
          <cell r="G27" t="str">
            <v>NA</v>
          </cell>
          <cell r="I27">
            <v>0.56999999999999995</v>
          </cell>
          <cell r="J27">
            <v>0.72</v>
          </cell>
          <cell r="K27">
            <v>0.55000000000000004</v>
          </cell>
          <cell r="L27">
            <v>0.3866666666666666</v>
          </cell>
          <cell r="M27">
            <v>0.16500000000000001</v>
          </cell>
          <cell r="N27">
            <v>0.125</v>
          </cell>
          <cell r="O27">
            <v>0.15</v>
          </cell>
          <cell r="P27">
            <v>0.1466666666666667</v>
          </cell>
          <cell r="Q27">
            <v>5.6711111111111115E-2</v>
          </cell>
          <cell r="R27">
            <v>664</v>
          </cell>
          <cell r="S27">
            <v>630</v>
          </cell>
          <cell r="T27">
            <v>-1.0457403164982559E-2</v>
          </cell>
          <cell r="U27">
            <v>45.4</v>
          </cell>
          <cell r="V27">
            <v>39.1</v>
          </cell>
          <cell r="W27">
            <v>42.25</v>
          </cell>
          <cell r="X27">
            <v>22.9</v>
          </cell>
          <cell r="Y27">
            <v>1.8449781659388647</v>
          </cell>
          <cell r="Z27">
            <v>-1.9293680511812801E-2</v>
          </cell>
          <cell r="AA27">
            <v>0.4579881656804734</v>
          </cell>
          <cell r="AB27">
            <v>-8.8362773468302416E-3</v>
          </cell>
          <cell r="AC27">
            <v>4.7874833764280873E-2</v>
          </cell>
          <cell r="AD27">
            <v>3.75</v>
          </cell>
          <cell r="AE27">
            <v>2.1</v>
          </cell>
          <cell r="AF27">
            <v>25.75</v>
          </cell>
          <cell r="AG27">
            <v>0.43999999999999995</v>
          </cell>
          <cell r="AH27">
            <v>0.14563106796116504</v>
          </cell>
          <cell r="AI27">
            <v>6.407766990291261E-2</v>
          </cell>
        </row>
        <row r="28">
          <cell r="B28" t="str">
            <v>FE</v>
          </cell>
          <cell r="C28">
            <v>0.01</v>
          </cell>
          <cell r="D28">
            <v>0.05</v>
          </cell>
          <cell r="E28">
            <v>5.0000000000000001E-3</v>
          </cell>
          <cell r="F28">
            <v>5.0000000000000001E-3</v>
          </cell>
          <cell r="G28">
            <v>1.3299999999999999E-2</v>
          </cell>
          <cell r="I28">
            <v>0.9</v>
          </cell>
          <cell r="J28">
            <v>0.65</v>
          </cell>
          <cell r="K28">
            <v>0.63</v>
          </cell>
          <cell r="L28">
            <v>0.27333333333333332</v>
          </cell>
          <cell r="M28">
            <v>7.4999999999999997E-2</v>
          </cell>
          <cell r="N28">
            <v>0.105</v>
          </cell>
          <cell r="O28">
            <v>0.1</v>
          </cell>
          <cell r="P28">
            <v>9.3333333333333338E-2</v>
          </cell>
          <cell r="Q28">
            <v>2.5511111111111109E-2</v>
          </cell>
          <cell r="R28">
            <v>418.22</v>
          </cell>
          <cell r="S28">
            <v>418.22</v>
          </cell>
          <cell r="T28">
            <v>0</v>
          </cell>
          <cell r="U28">
            <v>46.5</v>
          </cell>
          <cell r="V28">
            <v>36.1</v>
          </cell>
          <cell r="W28">
            <v>41.3</v>
          </cell>
          <cell r="X28">
            <v>33.299999999999997</v>
          </cell>
          <cell r="Y28">
            <v>1.2402402402402402</v>
          </cell>
          <cell r="Z28">
            <v>0</v>
          </cell>
          <cell r="AA28">
            <v>0.19370460048426141</v>
          </cell>
          <cell r="AB28">
            <v>0</v>
          </cell>
          <cell r="AC28">
            <v>2.5511111111111109E-2</v>
          </cell>
          <cell r="AD28">
            <v>3.75</v>
          </cell>
          <cell r="AE28">
            <v>2.2999999999999998</v>
          </cell>
          <cell r="AF28">
            <v>37.25</v>
          </cell>
          <cell r="AG28">
            <v>0.38666666666666671</v>
          </cell>
          <cell r="AH28">
            <v>0.10067114093959731</v>
          </cell>
          <cell r="AI28">
            <v>3.8926174496644296E-2</v>
          </cell>
        </row>
        <row r="29">
          <cell r="B29" t="str">
            <v>GXP</v>
          </cell>
          <cell r="C29">
            <v>6.5000000000000002E-2</v>
          </cell>
          <cell r="D29">
            <v>0.02</v>
          </cell>
          <cell r="E29">
            <v>0.06</v>
          </cell>
          <cell r="F29" t="str">
            <v>Nil</v>
          </cell>
          <cell r="G29">
            <v>4.1000000000000002E-2</v>
          </cell>
          <cell r="I29">
            <v>0.68</v>
          </cell>
          <cell r="J29">
            <v>0.56999999999999995</v>
          </cell>
          <cell r="K29">
            <v>0.62</v>
          </cell>
          <cell r="L29">
            <v>0.37666666666666659</v>
          </cell>
          <cell r="M29">
            <v>5.5E-2</v>
          </cell>
          <cell r="N29">
            <v>6.5000000000000002E-2</v>
          </cell>
          <cell r="O29">
            <v>7.4999999999999997E-2</v>
          </cell>
          <cell r="P29">
            <v>6.5000000000000002E-2</v>
          </cell>
          <cell r="Q29">
            <v>2.4483333333333329E-2</v>
          </cell>
          <cell r="R29">
            <v>155</v>
          </cell>
          <cell r="S29">
            <v>155</v>
          </cell>
          <cell r="T29">
            <v>0</v>
          </cell>
          <cell r="U29">
            <v>21.3</v>
          </cell>
          <cell r="V29">
            <v>16.3</v>
          </cell>
          <cell r="W29">
            <v>18.8</v>
          </cell>
          <cell r="X29">
            <v>21.5</v>
          </cell>
          <cell r="Y29">
            <v>0.87441860465116283</v>
          </cell>
          <cell r="Z29">
            <v>0</v>
          </cell>
          <cell r="AA29">
            <v>-0.1436170212765957</v>
          </cell>
          <cell r="AB29">
            <v>0</v>
          </cell>
          <cell r="AC29">
            <v>2.4483333333333329E-2</v>
          </cell>
          <cell r="AD29">
            <v>1.75</v>
          </cell>
          <cell r="AE29">
            <v>1.1000000000000001</v>
          </cell>
          <cell r="AF29">
            <v>23.5</v>
          </cell>
          <cell r="AG29">
            <v>0.37142857142857133</v>
          </cell>
          <cell r="AH29">
            <v>7.4468085106382975E-2</v>
          </cell>
          <cell r="AI29">
            <v>2.7659574468085098E-2</v>
          </cell>
        </row>
        <row r="30">
          <cell r="B30" t="str">
            <v>HE</v>
          </cell>
          <cell r="C30">
            <v>8.5999999999999993E-2</v>
          </cell>
          <cell r="D30">
            <v>2.5000000000000001E-2</v>
          </cell>
          <cell r="E30">
            <v>0.11</v>
          </cell>
          <cell r="F30">
            <v>0.01</v>
          </cell>
          <cell r="G30">
            <v>0.13469999999999999</v>
          </cell>
          <cell r="I30">
            <v>0.95</v>
          </cell>
          <cell r="J30">
            <v>0.86</v>
          </cell>
          <cell r="K30">
            <v>0.67</v>
          </cell>
          <cell r="L30">
            <v>0.17333333333333334</v>
          </cell>
          <cell r="M30">
            <v>0.08</v>
          </cell>
          <cell r="N30">
            <v>0.09</v>
          </cell>
          <cell r="O30">
            <v>0.105</v>
          </cell>
          <cell r="P30">
            <v>9.166666666666666E-2</v>
          </cell>
          <cell r="Q30">
            <v>1.588888888888889E-2</v>
          </cell>
          <cell r="R30">
            <v>96</v>
          </cell>
          <cell r="S30">
            <v>108</v>
          </cell>
          <cell r="T30">
            <v>2.3836255539609663E-2</v>
          </cell>
          <cell r="U30">
            <v>26.4</v>
          </cell>
          <cell r="V30">
            <v>20.6</v>
          </cell>
          <cell r="W30">
            <v>23.5</v>
          </cell>
          <cell r="X30">
            <v>16.05</v>
          </cell>
          <cell r="Y30">
            <v>1.4641744548286604</v>
          </cell>
          <cell r="Z30">
            <v>3.4900436459864612E-2</v>
          </cell>
          <cell r="AA30">
            <v>0.31702127659574464</v>
          </cell>
          <cell r="AB30">
            <v>1.106418092025495E-2</v>
          </cell>
          <cell r="AC30">
            <v>2.6953069809143838E-2</v>
          </cell>
          <cell r="AD30">
            <v>2</v>
          </cell>
          <cell r="AE30">
            <v>1.3</v>
          </cell>
          <cell r="AF30">
            <v>18</v>
          </cell>
          <cell r="AG30">
            <v>0.35</v>
          </cell>
          <cell r="AH30">
            <v>0.1111111111111111</v>
          </cell>
          <cell r="AI30">
            <v>3.8888888888888883E-2</v>
          </cell>
        </row>
        <row r="31">
          <cell r="B31" t="str">
            <v>IDA</v>
          </cell>
          <cell r="C31">
            <v>4.7E-2</v>
          </cell>
          <cell r="D31">
            <v>0.05</v>
          </cell>
          <cell r="E31">
            <v>0.04</v>
          </cell>
          <cell r="F31">
            <v>0.04</v>
          </cell>
          <cell r="G31">
            <v>4.4999999999999998E-2</v>
          </cell>
          <cell r="I31">
            <v>0.39</v>
          </cell>
          <cell r="J31">
            <v>0.39</v>
          </cell>
          <cell r="K31">
            <v>0.45</v>
          </cell>
          <cell r="L31">
            <v>0.59000000000000008</v>
          </cell>
          <cell r="M31">
            <v>9.5000000000000001E-2</v>
          </cell>
          <cell r="N31">
            <v>0.09</v>
          </cell>
          <cell r="O31">
            <v>8.5000000000000006E-2</v>
          </cell>
          <cell r="P31">
            <v>9.0000000000000011E-2</v>
          </cell>
          <cell r="Q31">
            <v>5.3100000000000015E-2</v>
          </cell>
          <cell r="R31">
            <v>50.5</v>
          </cell>
          <cell r="S31">
            <v>51</v>
          </cell>
          <cell r="T31">
            <v>1.9724019192550735E-3</v>
          </cell>
          <cell r="U31">
            <v>40.700000000000003</v>
          </cell>
          <cell r="V31">
            <v>33.9</v>
          </cell>
          <cell r="W31">
            <v>37.299999999999997</v>
          </cell>
          <cell r="X31">
            <v>33.65</v>
          </cell>
          <cell r="Y31">
            <v>1.1084695393759287</v>
          </cell>
          <cell r="Z31">
            <v>2.1863474469008691E-3</v>
          </cell>
          <cell r="AA31">
            <v>9.7855227882037599E-2</v>
          </cell>
          <cell r="AB31">
            <v>2.1394552764579565E-4</v>
          </cell>
          <cell r="AC31">
            <v>5.331394552764581E-2</v>
          </cell>
          <cell r="AD31">
            <v>3.3</v>
          </cell>
          <cell r="AE31">
            <v>1.5</v>
          </cell>
          <cell r="AF31">
            <v>39.200000000000003</v>
          </cell>
          <cell r="AG31">
            <v>0.54545454545454541</v>
          </cell>
          <cell r="AH31">
            <v>8.4183673469387738E-2</v>
          </cell>
          <cell r="AI31">
            <v>4.5918367346938764E-2</v>
          </cell>
        </row>
        <row r="32">
          <cell r="B32" t="str">
            <v>TEG</v>
          </cell>
          <cell r="C32">
            <v>4.4999999999999998E-2</v>
          </cell>
          <cell r="D32">
            <v>1.4999999999999999E-2</v>
          </cell>
          <cell r="E32">
            <v>0.09</v>
          </cell>
          <cell r="F32" t="str">
            <v>Nil</v>
          </cell>
          <cell r="G32">
            <v>9.4E-2</v>
          </cell>
          <cell r="I32">
            <v>0.81</v>
          </cell>
          <cell r="J32">
            <v>0.77</v>
          </cell>
          <cell r="K32">
            <v>0.69</v>
          </cell>
          <cell r="L32">
            <v>0.24333333333333329</v>
          </cell>
          <cell r="M32">
            <v>0.09</v>
          </cell>
          <cell r="N32">
            <v>0.09</v>
          </cell>
          <cell r="O32">
            <v>9.5000000000000001E-2</v>
          </cell>
          <cell r="P32">
            <v>9.1666666666666674E-2</v>
          </cell>
          <cell r="Q32">
            <v>2.2305555555555554E-2</v>
          </cell>
          <cell r="R32">
            <v>78.3</v>
          </cell>
          <cell r="S32">
            <v>78.3</v>
          </cell>
          <cell r="T32">
            <v>0</v>
          </cell>
          <cell r="U32">
            <v>54</v>
          </cell>
          <cell r="V32">
            <v>42.8</v>
          </cell>
          <cell r="W32">
            <v>48.4</v>
          </cell>
          <cell r="X32">
            <v>38.65</v>
          </cell>
          <cell r="Y32">
            <v>1.2522639068564037</v>
          </cell>
          <cell r="Z32">
            <v>0</v>
          </cell>
          <cell r="AA32">
            <v>0.20144628099173556</v>
          </cell>
          <cell r="AB32">
            <v>0</v>
          </cell>
          <cell r="AC32">
            <v>2.2305555555555554E-2</v>
          </cell>
          <cell r="AD32">
            <v>4</v>
          </cell>
          <cell r="AE32">
            <v>2.72</v>
          </cell>
          <cell r="AF32">
            <v>41.75</v>
          </cell>
          <cell r="AG32">
            <v>0.31999999999999995</v>
          </cell>
          <cell r="AH32">
            <v>9.580838323353294E-2</v>
          </cell>
          <cell r="AI32">
            <v>3.0658682634730535E-2</v>
          </cell>
        </row>
        <row r="33">
          <cell r="B33" t="str">
            <v>ITC</v>
          </cell>
          <cell r="C33">
            <v>0.16500000000000001</v>
          </cell>
          <cell r="D33">
            <v>0.105</v>
          </cell>
          <cell r="E33">
            <v>0.14000000000000001</v>
          </cell>
          <cell r="F33">
            <v>5.5E-2</v>
          </cell>
          <cell r="G33">
            <v>0.18759999999999999</v>
          </cell>
          <cell r="I33">
            <v>0.41</v>
          </cell>
          <cell r="J33">
            <v>0.37</v>
          </cell>
          <cell r="K33">
            <v>0.3</v>
          </cell>
          <cell r="L33">
            <v>0.6399999999999999</v>
          </cell>
          <cell r="M33">
            <v>0.13500000000000001</v>
          </cell>
          <cell r="N33">
            <v>0.14499999999999999</v>
          </cell>
          <cell r="O33">
            <v>0.155</v>
          </cell>
          <cell r="P33">
            <v>0.14500000000000002</v>
          </cell>
          <cell r="Q33">
            <v>9.2799999999999994E-2</v>
          </cell>
          <cell r="R33">
            <v>52.75</v>
          </cell>
          <cell r="S33">
            <v>55</v>
          </cell>
          <cell r="T33">
            <v>8.3888736214607906E-3</v>
          </cell>
          <cell r="U33">
            <v>77.3</v>
          </cell>
          <cell r="V33">
            <v>61.8</v>
          </cell>
          <cell r="W33">
            <v>69.55</v>
          </cell>
          <cell r="X33">
            <v>26.4</v>
          </cell>
          <cell r="Y33">
            <v>2.6344696969696968</v>
          </cell>
          <cell r="Z33">
            <v>2.2100233347446891E-2</v>
          </cell>
          <cell r="AA33">
            <v>0.62041696621135878</v>
          </cell>
          <cell r="AB33">
            <v>1.3711359725986102E-2</v>
          </cell>
          <cell r="AC33">
            <v>0.10651135972598609</v>
          </cell>
          <cell r="AD33">
            <v>5.5</v>
          </cell>
          <cell r="AE33">
            <v>1.7</v>
          </cell>
          <cell r="AF33">
            <v>35.75</v>
          </cell>
          <cell r="AG33">
            <v>0.69090909090909092</v>
          </cell>
          <cell r="AH33">
            <v>0.15384615384615385</v>
          </cell>
          <cell r="AI33">
            <v>0.1062937062937063</v>
          </cell>
        </row>
        <row r="34">
          <cell r="B34" t="str">
            <v>MGEE</v>
          </cell>
          <cell r="C34">
            <v>0.03</v>
          </cell>
          <cell r="D34">
            <v>0.04</v>
          </cell>
          <cell r="E34">
            <v>0.04</v>
          </cell>
          <cell r="F34">
            <v>0.02</v>
          </cell>
          <cell r="G34">
            <v>0.04</v>
          </cell>
          <cell r="I34">
            <v>0.61</v>
          </cell>
          <cell r="J34">
            <v>0.6</v>
          </cell>
          <cell r="K34">
            <v>0.55000000000000004</v>
          </cell>
          <cell r="L34">
            <v>0.41333333333333333</v>
          </cell>
          <cell r="M34">
            <v>0.105</v>
          </cell>
          <cell r="N34">
            <v>9.5000000000000001E-2</v>
          </cell>
          <cell r="O34">
            <v>0.12</v>
          </cell>
          <cell r="P34">
            <v>0.10666666666666667</v>
          </cell>
          <cell r="Q34">
            <v>4.4088888888888893E-2</v>
          </cell>
          <cell r="R34">
            <v>23.2</v>
          </cell>
          <cell r="S34">
            <v>23.5</v>
          </cell>
          <cell r="T34">
            <v>2.572932820562146E-3</v>
          </cell>
          <cell r="U34">
            <v>43.5</v>
          </cell>
          <cell r="V34">
            <v>37.1</v>
          </cell>
          <cell r="W34">
            <v>40.299999999999997</v>
          </cell>
          <cell r="X34">
            <v>27.65</v>
          </cell>
          <cell r="Y34">
            <v>1.4575045207956601</v>
          </cell>
          <cell r="Z34">
            <v>3.7500612176728566E-3</v>
          </cell>
          <cell r="AA34">
            <v>0.31389578163771714</v>
          </cell>
          <cell r="AB34">
            <v>1.1771283971107106E-3</v>
          </cell>
          <cell r="AC34">
            <v>4.5266017285999605E-2</v>
          </cell>
          <cell r="AD34">
            <v>3</v>
          </cell>
          <cell r="AE34">
            <v>1.64</v>
          </cell>
          <cell r="AF34">
            <v>26.3</v>
          </cell>
          <cell r="AG34">
            <v>0.45333333333333337</v>
          </cell>
          <cell r="AH34">
            <v>0.11406844106463879</v>
          </cell>
          <cell r="AI34">
            <v>5.1711026615969588E-2</v>
          </cell>
        </row>
        <row r="35">
          <cell r="B35" t="str">
            <v>NEE</v>
          </cell>
          <cell r="C35">
            <v>6.4000000000000001E-2</v>
          </cell>
          <cell r="D35">
            <v>6.5000000000000002E-2</v>
          </cell>
          <cell r="E35">
            <v>4.4999999999999998E-2</v>
          </cell>
          <cell r="F35">
            <v>5.5E-2</v>
          </cell>
          <cell r="G35">
            <v>5.79E-2</v>
          </cell>
          <cell r="I35">
            <v>0.53</v>
          </cell>
          <cell r="J35">
            <v>0.51</v>
          </cell>
          <cell r="K35">
            <v>0.47</v>
          </cell>
          <cell r="L35">
            <v>0.4966666666666667</v>
          </cell>
          <cell r="M35">
            <v>0.115</v>
          </cell>
          <cell r="N35">
            <v>0.12</v>
          </cell>
          <cell r="O35">
            <v>0.12</v>
          </cell>
          <cell r="P35">
            <v>0.11833333333333333</v>
          </cell>
          <cell r="Q35">
            <v>5.8772222222222226E-2</v>
          </cell>
          <cell r="R35">
            <v>425</v>
          </cell>
          <cell r="S35">
            <v>420</v>
          </cell>
          <cell r="T35">
            <v>-2.3640926502944692E-3</v>
          </cell>
          <cell r="U35">
            <v>59</v>
          </cell>
          <cell r="V35">
            <v>49</v>
          </cell>
          <cell r="W35">
            <v>54</v>
          </cell>
          <cell r="X35">
            <v>38.450000000000003</v>
          </cell>
          <cell r="Y35">
            <v>1.4044213263979193</v>
          </cell>
          <cell r="Z35">
            <v>-3.3201821356541308E-3</v>
          </cell>
          <cell r="AA35">
            <v>0.28796296296296287</v>
          </cell>
          <cell r="AB35">
            <v>-9.5608948535966145E-4</v>
          </cell>
          <cell r="AC35">
            <v>5.7816132736862563E-2</v>
          </cell>
          <cell r="AD35">
            <v>5.5</v>
          </cell>
          <cell r="AE35">
            <v>2.6</v>
          </cell>
          <cell r="AF35">
            <v>46.25</v>
          </cell>
          <cell r="AG35">
            <v>0.52727272727272734</v>
          </cell>
          <cell r="AH35">
            <v>0.11891891891891893</v>
          </cell>
          <cell r="AI35">
            <v>6.2702702702702715E-2</v>
          </cell>
        </row>
        <row r="36">
          <cell r="B36" t="str">
            <v>NU</v>
          </cell>
          <cell r="C36">
            <v>7.4999999999999997E-2</v>
          </cell>
          <cell r="D36">
            <v>0.06</v>
          </cell>
          <cell r="E36">
            <v>7.4999999999999997E-2</v>
          </cell>
          <cell r="F36">
            <v>7.0000000000000007E-2</v>
          </cell>
          <cell r="G36">
            <v>7.4300000000000005E-2</v>
          </cell>
          <cell r="I36">
            <v>0.51</v>
          </cell>
          <cell r="J36">
            <v>0.48</v>
          </cell>
          <cell r="K36">
            <v>0.47</v>
          </cell>
          <cell r="L36">
            <v>0.51333333333333342</v>
          </cell>
          <cell r="M36">
            <v>9.5000000000000001E-2</v>
          </cell>
          <cell r="N36">
            <v>0.105</v>
          </cell>
          <cell r="O36">
            <v>0.105</v>
          </cell>
          <cell r="P36">
            <v>0.10166666666666667</v>
          </cell>
          <cell r="Q36">
            <v>5.2188888888888896E-2</v>
          </cell>
          <cell r="R36">
            <v>177</v>
          </cell>
          <cell r="S36">
            <v>183</v>
          </cell>
          <cell r="T36">
            <v>6.6895598707255033E-3</v>
          </cell>
          <cell r="U36">
            <v>36.5</v>
          </cell>
          <cell r="V36">
            <v>30</v>
          </cell>
          <cell r="W36">
            <v>33.25</v>
          </cell>
          <cell r="X36">
            <v>23.95</v>
          </cell>
          <cell r="Y36">
            <v>1.3883089770354906</v>
          </cell>
          <cell r="Z36">
            <v>9.2871760209445927E-3</v>
          </cell>
          <cell r="AA36">
            <v>0.27969924812030078</v>
          </cell>
          <cell r="AB36">
            <v>2.5976161502190894E-3</v>
          </cell>
          <cell r="AC36">
            <v>5.4786505039107987E-2</v>
          </cell>
          <cell r="AD36">
            <v>3</v>
          </cell>
          <cell r="AE36">
            <v>1.4</v>
          </cell>
          <cell r="AF36">
            <v>28.75</v>
          </cell>
          <cell r="AG36">
            <v>0.53333333333333344</v>
          </cell>
          <cell r="AH36">
            <v>0.10434782608695652</v>
          </cell>
          <cell r="AI36">
            <v>5.5652173913043487E-2</v>
          </cell>
        </row>
        <row r="37">
          <cell r="B37" t="str">
            <v>NST</v>
          </cell>
          <cell r="C37">
            <v>5.7000000000000002E-2</v>
          </cell>
          <cell r="D37">
            <v>5.5E-2</v>
          </cell>
          <cell r="E37">
            <v>7.0000000000000007E-2</v>
          </cell>
          <cell r="F37">
            <v>0.06</v>
          </cell>
          <cell r="G37">
            <v>4.82E-2</v>
          </cell>
          <cell r="I37">
            <v>0.68</v>
          </cell>
          <cell r="J37">
            <v>0.66</v>
          </cell>
          <cell r="K37">
            <v>0.6</v>
          </cell>
          <cell r="L37">
            <v>0.35333333333333339</v>
          </cell>
          <cell r="M37">
            <v>0.13</v>
          </cell>
          <cell r="N37">
            <v>0.14000000000000001</v>
          </cell>
          <cell r="O37">
            <v>0.15</v>
          </cell>
          <cell r="P37">
            <v>0.14000000000000001</v>
          </cell>
          <cell r="Q37">
            <v>4.946666666666668E-2</v>
          </cell>
          <cell r="R37">
            <v>101</v>
          </cell>
          <cell r="S37">
            <v>101</v>
          </cell>
          <cell r="T37">
            <v>0</v>
          </cell>
          <cell r="U37">
            <v>47.4</v>
          </cell>
          <cell r="V37">
            <v>38.9</v>
          </cell>
          <cell r="W37">
            <v>43.15</v>
          </cell>
          <cell r="X37">
            <v>20.2</v>
          </cell>
          <cell r="Y37">
            <v>2.136138613861386</v>
          </cell>
          <cell r="Z37">
            <v>0</v>
          </cell>
          <cell r="AA37">
            <v>0.53186558516801852</v>
          </cell>
          <cell r="AB37">
            <v>0</v>
          </cell>
          <cell r="AC37">
            <v>4.946666666666668E-2</v>
          </cell>
          <cell r="AD37">
            <v>3.5</v>
          </cell>
          <cell r="AE37">
            <v>2.15</v>
          </cell>
          <cell r="AF37">
            <v>24.25</v>
          </cell>
          <cell r="AG37">
            <v>0.38571428571428579</v>
          </cell>
          <cell r="AH37">
            <v>0.14432989690721648</v>
          </cell>
          <cell r="AI37">
            <v>5.5670103092783509E-2</v>
          </cell>
        </row>
        <row r="38">
          <cell r="B38" t="str">
            <v>NVE</v>
          </cell>
          <cell r="C38">
            <v>8.7999999999999995E-2</v>
          </cell>
          <cell r="D38">
            <v>0.04</v>
          </cell>
          <cell r="E38">
            <v>9.5000000000000001E-2</v>
          </cell>
          <cell r="F38">
            <v>0.11</v>
          </cell>
          <cell r="G38">
            <v>0.1048</v>
          </cell>
          <cell r="I38">
            <v>0.63</v>
          </cell>
          <cell r="J38">
            <v>0.49</v>
          </cell>
          <cell r="K38">
            <v>0.49</v>
          </cell>
          <cell r="L38">
            <v>0.46333333333333326</v>
          </cell>
          <cell r="M38">
            <v>5.5E-2</v>
          </cell>
          <cell r="N38">
            <v>7.0000000000000007E-2</v>
          </cell>
          <cell r="O38">
            <v>0.09</v>
          </cell>
          <cell r="P38">
            <v>7.166666666666667E-2</v>
          </cell>
          <cell r="Q38">
            <v>3.3205555555555551E-2</v>
          </cell>
          <cell r="R38">
            <v>242</v>
          </cell>
          <cell r="S38">
            <v>250</v>
          </cell>
          <cell r="T38">
            <v>6.5258394446618961E-3</v>
          </cell>
          <cell r="U38">
            <v>16</v>
          </cell>
          <cell r="V38">
            <v>12.3</v>
          </cell>
          <cell r="W38">
            <v>14.15</v>
          </cell>
          <cell r="X38">
            <v>15.1</v>
          </cell>
          <cell r="Y38">
            <v>0.9370860927152318</v>
          </cell>
          <cell r="Z38">
            <v>6.1152733868851542E-3</v>
          </cell>
          <cell r="AA38">
            <v>-6.7137809187279185E-2</v>
          </cell>
          <cell r="AB38">
            <v>-4.1056605777674201E-4</v>
          </cell>
          <cell r="AC38">
            <v>3.2794989497778808E-2</v>
          </cell>
          <cell r="AD38">
            <v>1.5</v>
          </cell>
          <cell r="AE38">
            <v>0.75</v>
          </cell>
          <cell r="AF38">
            <v>17.25</v>
          </cell>
          <cell r="AG38">
            <v>0.5</v>
          </cell>
          <cell r="AH38">
            <v>8.6956521739130432E-2</v>
          </cell>
          <cell r="AI38">
            <v>4.3478260869565216E-2</v>
          </cell>
        </row>
        <row r="39">
          <cell r="B39" t="str">
            <v>OGE</v>
          </cell>
          <cell r="C39">
            <v>6.8000000000000005E-2</v>
          </cell>
          <cell r="D39">
            <v>7.4999999999999997E-2</v>
          </cell>
          <cell r="E39">
            <v>6.5000000000000002E-2</v>
          </cell>
          <cell r="F39">
            <v>0.04</v>
          </cell>
          <cell r="G39">
            <v>8.2500000000000004E-2</v>
          </cell>
          <cell r="I39">
            <v>0.41</v>
          </cell>
          <cell r="J39">
            <v>0.44</v>
          </cell>
          <cell r="K39">
            <v>0.42</v>
          </cell>
          <cell r="L39">
            <v>0.57666666666666666</v>
          </cell>
          <cell r="M39">
            <v>0.14000000000000001</v>
          </cell>
          <cell r="N39">
            <v>0.125</v>
          </cell>
          <cell r="O39">
            <v>0.12</v>
          </cell>
          <cell r="P39">
            <v>0.12833333333333333</v>
          </cell>
          <cell r="Q39">
            <v>7.4005555555555547E-2</v>
          </cell>
          <cell r="R39">
            <v>98.5</v>
          </cell>
          <cell r="S39">
            <v>100</v>
          </cell>
          <cell r="T39">
            <v>3.0273006094980737E-3</v>
          </cell>
          <cell r="U39">
            <v>53.5</v>
          </cell>
          <cell r="V39">
            <v>40.6</v>
          </cell>
          <cell r="W39">
            <v>47.05</v>
          </cell>
          <cell r="X39">
            <v>27.4</v>
          </cell>
          <cell r="Y39">
            <v>1.7171532846715329</v>
          </cell>
          <cell r="Z39">
            <v>5.198339185287751E-3</v>
          </cell>
          <cell r="AA39">
            <v>0.41764080765143463</v>
          </cell>
          <cell r="AB39">
            <v>2.1710385757896769E-3</v>
          </cell>
          <cell r="AC39">
            <v>7.6176594131345227E-2</v>
          </cell>
          <cell r="AD39">
            <v>4</v>
          </cell>
          <cell r="AE39">
            <v>1.8</v>
          </cell>
          <cell r="AF39">
            <v>33.75</v>
          </cell>
          <cell r="AG39">
            <v>0.55000000000000004</v>
          </cell>
          <cell r="AH39">
            <v>0.11851851851851852</v>
          </cell>
          <cell r="AI39">
            <v>6.5185185185185193E-2</v>
          </cell>
        </row>
        <row r="40">
          <cell r="B40" t="str">
            <v>OTTR</v>
          </cell>
          <cell r="C40">
            <v>0.05</v>
          </cell>
          <cell r="D40">
            <v>1.4999999999999999E-2</v>
          </cell>
          <cell r="E40">
            <v>0.13</v>
          </cell>
          <cell r="F40">
            <v>1.4999999999999999E-2</v>
          </cell>
          <cell r="G40">
            <v>0.05</v>
          </cell>
          <cell r="I40" t="str">
            <v>NMF</v>
          </cell>
          <cell r="J40" t="str">
            <v>NMF</v>
          </cell>
          <cell r="K40">
            <v>0.92</v>
          </cell>
          <cell r="L40">
            <v>7.999999999999996E-2</v>
          </cell>
          <cell r="M40">
            <v>0.04</v>
          </cell>
          <cell r="N40">
            <v>0.05</v>
          </cell>
          <cell r="O40">
            <v>7.0000000000000007E-2</v>
          </cell>
          <cell r="P40">
            <v>5.3333333333333337E-2</v>
          </cell>
          <cell r="Q40">
            <v>4.2666666666666651E-3</v>
          </cell>
          <cell r="R40">
            <v>38</v>
          </cell>
          <cell r="S40">
            <v>42</v>
          </cell>
          <cell r="T40">
            <v>2.0218369075211573E-2</v>
          </cell>
          <cell r="U40">
            <v>23.5</v>
          </cell>
          <cell r="V40">
            <v>18.7</v>
          </cell>
          <cell r="W40">
            <v>21.1</v>
          </cell>
          <cell r="X40">
            <v>18.399999999999999</v>
          </cell>
          <cell r="Y40">
            <v>1.1467391304347827</v>
          </cell>
          <cell r="Z40">
            <v>2.3185194972117622E-2</v>
          </cell>
          <cell r="AA40">
            <v>0.12796208530805697</v>
          </cell>
          <cell r="AB40">
            <v>2.9668258969060488E-3</v>
          </cell>
          <cell r="AC40">
            <v>7.2334925635727139E-3</v>
          </cell>
          <cell r="AD40">
            <v>1.5</v>
          </cell>
          <cell r="AE40">
            <v>1.3</v>
          </cell>
          <cell r="AF40">
            <v>20.25</v>
          </cell>
          <cell r="AG40">
            <v>0.1333333333333333</v>
          </cell>
          <cell r="AH40">
            <v>7.407407407407407E-2</v>
          </cell>
          <cell r="AI40">
            <v>9.8765432098765413E-3</v>
          </cell>
        </row>
        <row r="41">
          <cell r="B41" t="str">
            <v>POM</v>
          </cell>
          <cell r="C41">
            <v>0.04</v>
          </cell>
          <cell r="D41">
            <v>0.02</v>
          </cell>
          <cell r="E41">
            <v>2.5000000000000001E-2</v>
          </cell>
          <cell r="F41">
            <v>0.01</v>
          </cell>
          <cell r="G41">
            <v>7.4999999999999997E-2</v>
          </cell>
          <cell r="I41">
            <v>0.85</v>
          </cell>
          <cell r="J41">
            <v>0.91</v>
          </cell>
          <cell r="K41">
            <v>0.71</v>
          </cell>
          <cell r="L41">
            <v>0.17666666666666675</v>
          </cell>
          <cell r="M41">
            <v>6.5000000000000002E-2</v>
          </cell>
          <cell r="N41">
            <v>0.06</v>
          </cell>
          <cell r="O41">
            <v>7.4999999999999997E-2</v>
          </cell>
          <cell r="P41">
            <v>6.6666666666666666E-2</v>
          </cell>
          <cell r="Q41">
            <v>1.1777777777777783E-2</v>
          </cell>
          <cell r="R41">
            <v>235</v>
          </cell>
          <cell r="S41">
            <v>250</v>
          </cell>
          <cell r="T41">
            <v>1.2451968893662624E-2</v>
          </cell>
          <cell r="U41">
            <v>20.399999999999999</v>
          </cell>
          <cell r="V41">
            <v>16.600000000000001</v>
          </cell>
          <cell r="W41">
            <v>18.5</v>
          </cell>
          <cell r="X41">
            <v>20</v>
          </cell>
          <cell r="Y41">
            <v>0.92500000000000004</v>
          </cell>
          <cell r="Z41">
            <v>1.1518071226637928E-2</v>
          </cell>
          <cell r="AA41">
            <v>-8.1081081081080919E-2</v>
          </cell>
          <cell r="AB41">
            <v>-9.3389766702469507E-4</v>
          </cell>
          <cell r="AC41">
            <v>1.0843880110753087E-2</v>
          </cell>
          <cell r="AD41">
            <v>1.65</v>
          </cell>
          <cell r="AE41">
            <v>1.1599999999999999</v>
          </cell>
          <cell r="AF41">
            <v>21.2</v>
          </cell>
          <cell r="AG41">
            <v>0.29696969696969699</v>
          </cell>
          <cell r="AH41">
            <v>7.783018867924528E-2</v>
          </cell>
          <cell r="AI41">
            <v>2.3113207547169813E-2</v>
          </cell>
        </row>
        <row r="42">
          <cell r="B42" t="str">
            <v>PCG</v>
          </cell>
          <cell r="C42">
            <v>0.04</v>
          </cell>
          <cell r="D42">
            <v>5.5E-2</v>
          </cell>
          <cell r="E42">
            <v>0.06</v>
          </cell>
          <cell r="F42">
            <v>4.4999999999999998E-2</v>
          </cell>
          <cell r="G42">
            <v>1.43E-2</v>
          </cell>
          <cell r="I42">
            <v>0.66</v>
          </cell>
          <cell r="J42">
            <v>0.51</v>
          </cell>
          <cell r="K42">
            <v>0.52</v>
          </cell>
          <cell r="L42">
            <v>0.43666666666666665</v>
          </cell>
          <cell r="M42">
            <v>0.09</v>
          </cell>
          <cell r="N42">
            <v>0.11</v>
          </cell>
          <cell r="O42">
            <v>0.115</v>
          </cell>
          <cell r="P42">
            <v>0.105</v>
          </cell>
          <cell r="Q42">
            <v>4.5849999999999995E-2</v>
          </cell>
          <cell r="R42">
            <v>420</v>
          </cell>
          <cell r="S42">
            <v>425</v>
          </cell>
          <cell r="T42">
            <v>2.3696948284217534E-3</v>
          </cell>
          <cell r="U42">
            <v>48</v>
          </cell>
          <cell r="V42">
            <v>37.6</v>
          </cell>
          <cell r="W42">
            <v>42.8</v>
          </cell>
          <cell r="X42">
            <v>32</v>
          </cell>
          <cell r="Y42">
            <v>1.3374999999999999</v>
          </cell>
          <cell r="Z42">
            <v>3.1694668330140949E-3</v>
          </cell>
          <cell r="AA42">
            <v>0.25233644859813076</v>
          </cell>
          <cell r="AB42">
            <v>7.997720045923414E-4</v>
          </cell>
          <cell r="AC42">
            <v>4.6649772004592339E-2</v>
          </cell>
          <cell r="AD42">
            <v>4.25</v>
          </cell>
          <cell r="AE42">
            <v>2.2000000000000002</v>
          </cell>
          <cell r="AF42">
            <v>38</v>
          </cell>
          <cell r="AG42">
            <v>0.48235294117647054</v>
          </cell>
          <cell r="AH42">
            <v>0.1118421052631579</v>
          </cell>
          <cell r="AI42">
            <v>5.3947368421052626E-2</v>
          </cell>
        </row>
        <row r="43">
          <cell r="B43" t="str">
            <v>PNW</v>
          </cell>
          <cell r="C43">
            <v>5.2999999999999999E-2</v>
          </cell>
          <cell r="D43">
            <v>2.5000000000000001E-2</v>
          </cell>
          <cell r="E43">
            <v>0.06</v>
          </cell>
          <cell r="F43">
            <v>1.4999999999999999E-2</v>
          </cell>
          <cell r="G43">
            <v>5.5800000000000002E-2</v>
          </cell>
          <cell r="I43">
            <v>0.76</v>
          </cell>
          <cell r="J43">
            <v>0.64</v>
          </cell>
          <cell r="K43">
            <v>0.65</v>
          </cell>
          <cell r="L43">
            <v>0.31666666666666676</v>
          </cell>
          <cell r="M43">
            <v>0.08</v>
          </cell>
          <cell r="N43">
            <v>0.09</v>
          </cell>
          <cell r="O43">
            <v>0.09</v>
          </cell>
          <cell r="P43">
            <v>8.666666666666667E-2</v>
          </cell>
          <cell r="Q43">
            <v>2.7444444444444455E-2</v>
          </cell>
          <cell r="R43">
            <v>110</v>
          </cell>
          <cell r="S43">
            <v>123</v>
          </cell>
          <cell r="T43">
            <v>2.2592222391916383E-2</v>
          </cell>
          <cell r="U43">
            <v>46.4</v>
          </cell>
          <cell r="V43">
            <v>37.299999999999997</v>
          </cell>
          <cell r="W43">
            <v>41.849999999999994</v>
          </cell>
          <cell r="X43">
            <v>35.6</v>
          </cell>
          <cell r="Y43">
            <v>1.1755617977528088</v>
          </cell>
          <cell r="Z43">
            <v>2.6558553570272484E-2</v>
          </cell>
          <cell r="AA43">
            <v>0.14934289127837497</v>
          </cell>
          <cell r="AB43">
            <v>3.9663311783561007E-3</v>
          </cell>
          <cell r="AC43">
            <v>3.1410775622800556E-2</v>
          </cell>
          <cell r="AD43">
            <v>3.5</v>
          </cell>
          <cell r="AE43">
            <v>2.2999999999999998</v>
          </cell>
          <cell r="AF43">
            <v>39.25</v>
          </cell>
          <cell r="AG43">
            <v>0.34285714285714286</v>
          </cell>
          <cell r="AH43">
            <v>8.9171974522292988E-2</v>
          </cell>
          <cell r="AI43">
            <v>3.0573248407643309E-2</v>
          </cell>
        </row>
        <row r="44">
          <cell r="B44" t="str">
            <v>PNM</v>
          </cell>
          <cell r="C44">
            <v>0.16700000000000001</v>
          </cell>
          <cell r="D44">
            <v>0.03</v>
          </cell>
          <cell r="E44">
            <v>0.19500000000000001</v>
          </cell>
          <cell r="F44">
            <v>7.0000000000000007E-2</v>
          </cell>
          <cell r="G44">
            <v>0.12429999999999999</v>
          </cell>
          <cell r="I44">
            <v>0.51</v>
          </cell>
          <cell r="J44">
            <v>0.5</v>
          </cell>
          <cell r="K44">
            <v>0.54</v>
          </cell>
          <cell r="L44">
            <v>0.48333333333333328</v>
          </cell>
          <cell r="M44">
            <v>5.5E-2</v>
          </cell>
          <cell r="N44">
            <v>6.5000000000000002E-2</v>
          </cell>
          <cell r="O44">
            <v>6.5000000000000002E-2</v>
          </cell>
          <cell r="P44">
            <v>6.1666666666666668E-2</v>
          </cell>
          <cell r="Q44">
            <v>2.9805555555555554E-2</v>
          </cell>
          <cell r="R44">
            <v>87</v>
          </cell>
          <cell r="S44">
            <v>87</v>
          </cell>
          <cell r="T44">
            <v>0</v>
          </cell>
          <cell r="U44">
            <v>18.100000000000001</v>
          </cell>
          <cell r="V44">
            <v>12.8</v>
          </cell>
          <cell r="W44">
            <v>15.450000000000001</v>
          </cell>
          <cell r="X44">
            <v>18.7</v>
          </cell>
          <cell r="Y44">
            <v>0.82620320855614982</v>
          </cell>
          <cell r="Z44">
            <v>0</v>
          </cell>
          <cell r="AA44">
            <v>-0.21035598705501601</v>
          </cell>
          <cell r="AB44">
            <v>0</v>
          </cell>
          <cell r="AC44">
            <v>2.9805555555555554E-2</v>
          </cell>
          <cell r="AD44">
            <v>1.5</v>
          </cell>
          <cell r="AE44">
            <v>0.8</v>
          </cell>
          <cell r="AF44">
            <v>22.3</v>
          </cell>
          <cell r="AG44">
            <v>0.46666666666666667</v>
          </cell>
          <cell r="AH44">
            <v>6.726457399103139E-2</v>
          </cell>
          <cell r="AI44">
            <v>3.1390134529147982E-2</v>
          </cell>
        </row>
        <row r="45">
          <cell r="B45" t="str">
            <v>POR</v>
          </cell>
          <cell r="C45">
            <v>0.05</v>
          </cell>
          <cell r="D45">
            <v>3.5000000000000003E-2</v>
          </cell>
          <cell r="E45">
            <v>7.4999999999999997E-2</v>
          </cell>
          <cell r="F45">
            <v>0.03</v>
          </cell>
          <cell r="G45">
            <v>5.8799999999999998E-2</v>
          </cell>
          <cell r="I45">
            <v>0.53</v>
          </cell>
          <cell r="J45">
            <v>0.52</v>
          </cell>
          <cell r="K45">
            <v>0.52</v>
          </cell>
          <cell r="L45">
            <v>0.47666666666666668</v>
          </cell>
          <cell r="M45">
            <v>0.09</v>
          </cell>
          <cell r="N45">
            <v>0.09</v>
          </cell>
          <cell r="O45">
            <v>0.09</v>
          </cell>
          <cell r="P45">
            <v>9.0000000000000011E-2</v>
          </cell>
          <cell r="Q45">
            <v>4.2900000000000008E-2</v>
          </cell>
          <cell r="R45">
            <v>75.75</v>
          </cell>
          <cell r="S45">
            <v>76.5</v>
          </cell>
          <cell r="T45">
            <v>1.9724019192550735E-3</v>
          </cell>
          <cell r="U45">
            <v>26</v>
          </cell>
          <cell r="V45">
            <v>21.3</v>
          </cell>
          <cell r="W45">
            <v>23.65</v>
          </cell>
          <cell r="X45">
            <v>22.95</v>
          </cell>
          <cell r="Y45">
            <v>1.0305010893246187</v>
          </cell>
          <cell r="Z45">
            <v>2.0325623263783218E-3</v>
          </cell>
          <cell r="AA45">
            <v>2.9598308668076112E-2</v>
          </cell>
          <cell r="AB45">
            <v>6.016040712324843E-5</v>
          </cell>
          <cell r="AC45">
            <v>4.2960160407123256E-2</v>
          </cell>
          <cell r="AD45">
            <v>2.25</v>
          </cell>
          <cell r="AE45">
            <v>1.2</v>
          </cell>
          <cell r="AF45">
            <v>25.75</v>
          </cell>
          <cell r="AG45">
            <v>0.46666666666666667</v>
          </cell>
          <cell r="AH45">
            <v>8.7378640776699032E-2</v>
          </cell>
          <cell r="AI45">
            <v>4.0776699029126215E-2</v>
          </cell>
        </row>
        <row r="46">
          <cell r="B46" t="str">
            <v>PPL</v>
          </cell>
          <cell r="C46">
            <v>0.122</v>
          </cell>
          <cell r="D46">
            <v>9.5000000000000001E-2</v>
          </cell>
          <cell r="E46">
            <v>7.0000000000000007E-2</v>
          </cell>
          <cell r="F46">
            <v>3.5000000000000003E-2</v>
          </cell>
          <cell r="G46">
            <v>3.3799999999999997E-2</v>
          </cell>
          <cell r="I46">
            <v>0.53</v>
          </cell>
          <cell r="J46">
            <v>0.52</v>
          </cell>
          <cell r="K46">
            <v>0.55000000000000004</v>
          </cell>
          <cell r="L46">
            <v>0.46666666666666667</v>
          </cell>
          <cell r="M46">
            <v>0.125</v>
          </cell>
          <cell r="N46">
            <v>0.13</v>
          </cell>
          <cell r="O46">
            <v>0.12</v>
          </cell>
          <cell r="P46">
            <v>0.125</v>
          </cell>
          <cell r="Q46">
            <v>5.8333333333333334E-2</v>
          </cell>
          <cell r="R46">
            <v>580</v>
          </cell>
          <cell r="S46">
            <v>680</v>
          </cell>
          <cell r="T46">
            <v>3.2324379535307868E-2</v>
          </cell>
          <cell r="U46">
            <v>30.3</v>
          </cell>
          <cell r="V46">
            <v>24.1</v>
          </cell>
          <cell r="W46">
            <v>27.200000000000003</v>
          </cell>
          <cell r="X46">
            <v>20.7</v>
          </cell>
          <cell r="Y46">
            <v>1.3140096618357491</v>
          </cell>
          <cell r="Z46">
            <v>4.2474547022240301E-2</v>
          </cell>
          <cell r="AA46">
            <v>0.23897058823529427</v>
          </cell>
          <cell r="AB46">
            <v>1.0150167486932432E-2</v>
          </cell>
          <cell r="AC46">
            <v>6.8483500820265761E-2</v>
          </cell>
          <cell r="AD46">
            <v>3</v>
          </cell>
          <cell r="AE46">
            <v>1.7</v>
          </cell>
          <cell r="AF46">
            <v>26</v>
          </cell>
          <cell r="AG46">
            <v>0.43333333333333335</v>
          </cell>
          <cell r="AH46">
            <v>0.11538461538461539</v>
          </cell>
          <cell r="AI46">
            <v>0.05</v>
          </cell>
        </row>
        <row r="47">
          <cell r="B47" t="str">
            <v>PGN</v>
          </cell>
          <cell r="C47">
            <v>0.04</v>
          </cell>
          <cell r="D47">
            <v>3.5000000000000003E-2</v>
          </cell>
          <cell r="E47">
            <v>3.5000000000000003E-2</v>
          </cell>
          <cell r="F47">
            <v>0.01</v>
          </cell>
          <cell r="G47">
            <v>3.2599999999999997E-2</v>
          </cell>
          <cell r="I47">
            <v>0.8</v>
          </cell>
          <cell r="J47">
            <v>0.8</v>
          </cell>
          <cell r="K47">
            <v>0.72</v>
          </cell>
          <cell r="L47">
            <v>0.22666666666666657</v>
          </cell>
          <cell r="M47">
            <v>8.5000000000000006E-2</v>
          </cell>
          <cell r="N47">
            <v>8.5000000000000006E-2</v>
          </cell>
          <cell r="O47">
            <v>0.09</v>
          </cell>
          <cell r="P47">
            <v>8.666666666666667E-2</v>
          </cell>
          <cell r="Q47">
            <v>1.9644444444444437E-2</v>
          </cell>
          <cell r="R47">
            <v>296</v>
          </cell>
          <cell r="S47">
            <v>300</v>
          </cell>
          <cell r="T47">
            <v>2.6882108427914719E-3</v>
          </cell>
          <cell r="U47">
            <v>53.8</v>
          </cell>
          <cell r="V47">
            <v>42.1</v>
          </cell>
          <cell r="W47">
            <v>47.95</v>
          </cell>
          <cell r="X47">
            <v>36.9</v>
          </cell>
          <cell r="Y47">
            <v>1.2994579945799458</v>
          </cell>
          <cell r="Z47">
            <v>3.493217070781872E-3</v>
          </cell>
          <cell r="AA47">
            <v>0.23044838373305532</v>
          </cell>
          <cell r="AB47">
            <v>8.0500622799040025E-4</v>
          </cell>
          <cell r="AC47">
            <v>2.0449450672434838E-2</v>
          </cell>
          <cell r="AD47">
            <v>3.6</v>
          </cell>
          <cell r="AE47">
            <v>2.6</v>
          </cell>
          <cell r="AF47">
            <v>40.5</v>
          </cell>
          <cell r="AG47">
            <v>0.27777777777777779</v>
          </cell>
          <cell r="AH47">
            <v>8.8888888888888892E-2</v>
          </cell>
          <cell r="AI47">
            <v>2.469135802469136E-2</v>
          </cell>
        </row>
        <row r="48">
          <cell r="B48" t="str">
            <v>PEG</v>
          </cell>
          <cell r="C48">
            <v>0.02</v>
          </cell>
          <cell r="D48">
            <v>7.4999999999999997E-2</v>
          </cell>
          <cell r="E48">
            <v>0.01</v>
          </cell>
          <cell r="F48">
            <v>1.4999999999999999E-2</v>
          </cell>
          <cell r="G48">
            <v>1.4E-2</v>
          </cell>
          <cell r="I48">
            <v>0.49</v>
          </cell>
          <cell r="J48">
            <v>0.54</v>
          </cell>
          <cell r="K48">
            <v>0.45</v>
          </cell>
          <cell r="L48">
            <v>0.5066666666666666</v>
          </cell>
          <cell r="M48">
            <v>0.13500000000000001</v>
          </cell>
          <cell r="N48">
            <v>0.12</v>
          </cell>
          <cell r="O48">
            <v>0.125</v>
          </cell>
          <cell r="P48">
            <v>0.12666666666666668</v>
          </cell>
          <cell r="Q48">
            <v>6.4177777777777778E-2</v>
          </cell>
          <cell r="R48">
            <v>505.9</v>
          </cell>
          <cell r="S48">
            <v>505.9</v>
          </cell>
          <cell r="T48">
            <v>0</v>
          </cell>
          <cell r="U48">
            <v>35.5</v>
          </cell>
          <cell r="V48">
            <v>28</v>
          </cell>
          <cell r="W48">
            <v>31.75</v>
          </cell>
          <cell r="X48">
            <v>21.45</v>
          </cell>
          <cell r="Y48">
            <v>1.4801864801864801</v>
          </cell>
          <cell r="Z48">
            <v>0</v>
          </cell>
          <cell r="AA48">
            <v>0.32440944881889766</v>
          </cell>
          <cell r="AB48">
            <v>0</v>
          </cell>
          <cell r="AC48">
            <v>6.4177777777777778E-2</v>
          </cell>
          <cell r="AD48">
            <v>3.25</v>
          </cell>
          <cell r="AE48">
            <v>1.45</v>
          </cell>
          <cell r="AF48">
            <v>26</v>
          </cell>
          <cell r="AG48">
            <v>0.55384615384615388</v>
          </cell>
          <cell r="AH48">
            <v>0.125</v>
          </cell>
          <cell r="AI48">
            <v>6.9230769230769235E-2</v>
          </cell>
        </row>
        <row r="49">
          <cell r="B49" t="str">
            <v>SCG</v>
          </cell>
          <cell r="C49">
            <v>4.2000000000000003E-2</v>
          </cell>
          <cell r="D49">
            <v>0.05</v>
          </cell>
          <cell r="E49">
            <v>0.03</v>
          </cell>
          <cell r="F49">
            <v>0.02</v>
          </cell>
          <cell r="G49">
            <v>4.5499999999999999E-2</v>
          </cell>
          <cell r="I49">
            <v>0.64</v>
          </cell>
          <cell r="J49">
            <v>0.63</v>
          </cell>
          <cell r="K49">
            <v>0.6</v>
          </cell>
          <cell r="L49">
            <v>0.37666666666666659</v>
          </cell>
          <cell r="M49">
            <v>0.1</v>
          </cell>
          <cell r="N49">
            <v>9.5000000000000001E-2</v>
          </cell>
          <cell r="O49">
            <v>0.09</v>
          </cell>
          <cell r="P49">
            <v>9.5000000000000015E-2</v>
          </cell>
          <cell r="Q49">
            <v>3.5783333333333334E-2</v>
          </cell>
          <cell r="R49">
            <v>137</v>
          </cell>
          <cell r="S49">
            <v>155</v>
          </cell>
          <cell r="T49">
            <v>2.4996131275850209E-2</v>
          </cell>
          <cell r="U49">
            <v>43.2</v>
          </cell>
          <cell r="V49">
            <v>34.6</v>
          </cell>
          <cell r="W49">
            <v>38.900000000000006</v>
          </cell>
          <cell r="X49">
            <v>32.049999999999997</v>
          </cell>
          <cell r="Y49">
            <v>1.213728549141966</v>
          </cell>
          <cell r="Z49">
            <v>3.0338518147599795E-2</v>
          </cell>
          <cell r="AA49">
            <v>0.17609254498714677</v>
          </cell>
          <cell r="AB49">
            <v>5.3423868717495859E-3</v>
          </cell>
          <cell r="AC49">
            <v>4.112572020508292E-2</v>
          </cell>
          <cell r="AD49">
            <v>3.5</v>
          </cell>
          <cell r="AE49">
            <v>2.1</v>
          </cell>
          <cell r="AF49">
            <v>37.25</v>
          </cell>
          <cell r="AG49">
            <v>0.4</v>
          </cell>
          <cell r="AH49">
            <v>9.3959731543624164E-2</v>
          </cell>
          <cell r="AI49">
            <v>3.7583892617449668E-2</v>
          </cell>
        </row>
        <row r="50">
          <cell r="B50" t="str">
            <v>SRE</v>
          </cell>
          <cell r="C50">
            <v>7.0000000000000007E-2</v>
          </cell>
          <cell r="D50">
            <v>6.5000000000000002E-2</v>
          </cell>
          <cell r="E50">
            <v>3.5000000000000003E-2</v>
          </cell>
          <cell r="F50">
            <v>0.09</v>
          </cell>
          <cell r="G50">
            <v>7.3300000000000004E-2</v>
          </cell>
          <cell r="I50">
            <v>0.45</v>
          </cell>
          <cell r="J50">
            <v>0.46</v>
          </cell>
          <cell r="K50">
            <v>0.45</v>
          </cell>
          <cell r="L50">
            <v>0.54666666666666663</v>
          </cell>
          <cell r="M50">
            <v>0.105</v>
          </cell>
          <cell r="N50">
            <v>0.105</v>
          </cell>
          <cell r="O50">
            <v>0.105</v>
          </cell>
          <cell r="P50">
            <v>0.105</v>
          </cell>
          <cell r="Q50">
            <v>5.7399999999999993E-2</v>
          </cell>
          <cell r="R50">
            <v>242</v>
          </cell>
          <cell r="S50">
            <v>246</v>
          </cell>
          <cell r="T50">
            <v>3.2841429745344985E-3</v>
          </cell>
          <cell r="U50">
            <v>56</v>
          </cell>
          <cell r="V50">
            <v>44.8</v>
          </cell>
          <cell r="W50">
            <v>50.4</v>
          </cell>
          <cell r="X50">
            <v>43.5</v>
          </cell>
          <cell r="Y50">
            <v>1.1586206896551723</v>
          </cell>
          <cell r="Z50">
            <v>3.8050759980813495E-3</v>
          </cell>
          <cell r="AA50">
            <v>0.13690476190476186</v>
          </cell>
          <cell r="AB50">
            <v>5.2093302354685122E-4</v>
          </cell>
          <cell r="AC50">
            <v>5.7920933023546846E-2</v>
          </cell>
          <cell r="AD50">
            <v>5.5</v>
          </cell>
          <cell r="AE50">
            <v>2.5</v>
          </cell>
          <cell r="AF50">
            <v>52.25</v>
          </cell>
          <cell r="AG50">
            <v>0.54545454545454541</v>
          </cell>
          <cell r="AH50">
            <v>0.10526315789473684</v>
          </cell>
          <cell r="AI50">
            <v>5.7416267942583726E-2</v>
          </cell>
        </row>
        <row r="51">
          <cell r="B51" t="str">
            <v>SO</v>
          </cell>
          <cell r="C51">
            <v>5.0999999999999997E-2</v>
          </cell>
          <cell r="D51">
            <v>5.5E-2</v>
          </cell>
          <cell r="E51">
            <v>0.06</v>
          </cell>
          <cell r="F51">
            <v>0.04</v>
          </cell>
          <cell r="G51">
            <v>5.9200000000000003E-2</v>
          </cell>
          <cell r="I51">
            <v>0.73</v>
          </cell>
          <cell r="J51">
            <v>0.72</v>
          </cell>
          <cell r="K51">
            <v>0.68</v>
          </cell>
          <cell r="L51">
            <v>0.29000000000000004</v>
          </cell>
          <cell r="M51">
            <v>0.125</v>
          </cell>
          <cell r="N51">
            <v>0.125</v>
          </cell>
          <cell r="O51">
            <v>0.13</v>
          </cell>
          <cell r="P51">
            <v>0.12666666666666668</v>
          </cell>
          <cell r="Q51">
            <v>3.673333333333334E-2</v>
          </cell>
          <cell r="R51">
            <v>870</v>
          </cell>
          <cell r="S51">
            <v>910</v>
          </cell>
          <cell r="T51">
            <v>9.0308114972208475E-3</v>
          </cell>
          <cell r="U51">
            <v>44</v>
          </cell>
          <cell r="V51">
            <v>35.700000000000003</v>
          </cell>
          <cell r="W51">
            <v>39.85</v>
          </cell>
          <cell r="X51">
            <v>21.25</v>
          </cell>
          <cell r="Y51">
            <v>1.875294117647059</v>
          </cell>
          <cell r="Z51">
            <v>1.6935427678317686E-2</v>
          </cell>
          <cell r="AA51">
            <v>0.46675031367628617</v>
          </cell>
          <cell r="AB51">
            <v>7.9046161810968386E-3</v>
          </cell>
          <cell r="AC51">
            <v>4.4637949514430175E-2</v>
          </cell>
          <cell r="AD51">
            <v>3.25</v>
          </cell>
          <cell r="AE51">
            <v>2.2000000000000002</v>
          </cell>
          <cell r="AF51">
            <v>25</v>
          </cell>
          <cell r="AG51">
            <v>0.32307692307692304</v>
          </cell>
          <cell r="AH51">
            <v>0.13</v>
          </cell>
          <cell r="AI51">
            <v>4.1999999999999996E-2</v>
          </cell>
        </row>
        <row r="52">
          <cell r="B52" t="str">
            <v>TE</v>
          </cell>
          <cell r="C52">
            <v>4.7E-2</v>
          </cell>
          <cell r="D52">
            <v>0.05</v>
          </cell>
          <cell r="E52">
            <v>0.105</v>
          </cell>
          <cell r="F52">
            <v>4.4999999999999998E-2</v>
          </cell>
          <cell r="G52">
            <v>5.4100000000000002E-2</v>
          </cell>
          <cell r="I52">
            <v>0.65</v>
          </cell>
          <cell r="J52">
            <v>0.61</v>
          </cell>
          <cell r="K52">
            <v>0.56999999999999995</v>
          </cell>
          <cell r="L52">
            <v>0.39</v>
          </cell>
          <cell r="M52">
            <v>0.125</v>
          </cell>
          <cell r="N52">
            <v>0.13</v>
          </cell>
          <cell r="O52">
            <v>0.14000000000000001</v>
          </cell>
          <cell r="P52">
            <v>0.13166666666666668</v>
          </cell>
          <cell r="Q52">
            <v>5.1350000000000007E-2</v>
          </cell>
          <cell r="R52">
            <v>217</v>
          </cell>
          <cell r="S52">
            <v>220</v>
          </cell>
          <cell r="T52">
            <v>2.7498123798321839E-3</v>
          </cell>
          <cell r="U52">
            <v>19.7</v>
          </cell>
          <cell r="V52">
            <v>15.8</v>
          </cell>
          <cell r="W52">
            <v>17.75</v>
          </cell>
          <cell r="X52">
            <v>11.1</v>
          </cell>
          <cell r="Y52">
            <v>1.5990990990990992</v>
          </cell>
          <cell r="Z52">
            <v>4.3972224992811955E-3</v>
          </cell>
          <cell r="AA52">
            <v>0.37464788732394372</v>
          </cell>
          <cell r="AB52">
            <v>1.6474101194490114E-3</v>
          </cell>
          <cell r="AC52">
            <v>5.2997410119449015E-2</v>
          </cell>
          <cell r="AD52">
            <v>1.75</v>
          </cell>
          <cell r="AE52">
            <v>1.05</v>
          </cell>
          <cell r="AF52">
            <v>13.25</v>
          </cell>
          <cell r="AG52">
            <v>0.4</v>
          </cell>
          <cell r="AH52">
            <v>0.13207547169811321</v>
          </cell>
          <cell r="AI52">
            <v>5.2830188679245285E-2</v>
          </cell>
        </row>
        <row r="53">
          <cell r="B53" t="str">
            <v>UIL</v>
          </cell>
          <cell r="C53">
            <v>0.04</v>
          </cell>
          <cell r="D53">
            <v>5.5E-2</v>
          </cell>
          <cell r="E53">
            <v>0.03</v>
          </cell>
          <cell r="F53" t="str">
            <v>Nil</v>
          </cell>
          <cell r="G53">
            <v>0.04</v>
          </cell>
          <cell r="I53">
            <v>0.87</v>
          </cell>
          <cell r="J53">
            <v>0.79</v>
          </cell>
          <cell r="K53">
            <v>0.73</v>
          </cell>
          <cell r="L53">
            <v>0.20333333333333325</v>
          </cell>
          <cell r="M53">
            <v>8.5000000000000006E-2</v>
          </cell>
          <cell r="N53">
            <v>0.09</v>
          </cell>
          <cell r="O53">
            <v>0.09</v>
          </cell>
          <cell r="P53">
            <v>8.8333333333333333E-2</v>
          </cell>
          <cell r="Q53">
            <v>1.7961111111111105E-2</v>
          </cell>
          <cell r="R53">
            <v>50</v>
          </cell>
          <cell r="S53">
            <v>50</v>
          </cell>
          <cell r="T53">
            <v>0</v>
          </cell>
          <cell r="U53">
            <v>34.9</v>
          </cell>
          <cell r="V53">
            <v>28.6</v>
          </cell>
          <cell r="W53">
            <v>31.75</v>
          </cell>
          <cell r="X53">
            <v>24.6</v>
          </cell>
          <cell r="Y53">
            <v>1.2906504065040649</v>
          </cell>
          <cell r="Z53">
            <v>0</v>
          </cell>
          <cell r="AA53">
            <v>0.22519685039370074</v>
          </cell>
          <cell r="AB53">
            <v>0</v>
          </cell>
          <cell r="AC53">
            <v>1.7961111111111105E-2</v>
          </cell>
          <cell r="AD53">
            <v>2.35</v>
          </cell>
          <cell r="AE53">
            <v>1.73</v>
          </cell>
          <cell r="AF53">
            <v>27</v>
          </cell>
          <cell r="AG53">
            <v>0.2638297872340426</v>
          </cell>
          <cell r="AH53">
            <v>8.7037037037037038E-2</v>
          </cell>
          <cell r="AI53">
            <v>2.2962962962962966E-2</v>
          </cell>
        </row>
        <row r="54">
          <cell r="B54" t="str">
            <v>UNS</v>
          </cell>
          <cell r="C54">
            <v>0.03</v>
          </cell>
          <cell r="D54">
            <v>0.05</v>
          </cell>
          <cell r="E54">
            <v>9.5000000000000001E-2</v>
          </cell>
          <cell r="F54">
            <v>0.09</v>
          </cell>
          <cell r="G54">
            <v>0.03</v>
          </cell>
          <cell r="I54">
            <v>0.62</v>
          </cell>
          <cell r="J54">
            <v>0.65</v>
          </cell>
          <cell r="K54">
            <v>0.61</v>
          </cell>
          <cell r="L54">
            <v>0.37333333333333341</v>
          </cell>
          <cell r="M54">
            <v>0.115</v>
          </cell>
          <cell r="N54">
            <v>0.115</v>
          </cell>
          <cell r="O54">
            <v>0.125</v>
          </cell>
          <cell r="P54">
            <v>0.11833333333333333</v>
          </cell>
          <cell r="Q54">
            <v>4.4177777777777788E-2</v>
          </cell>
          <cell r="R54">
            <v>37</v>
          </cell>
          <cell r="S54">
            <v>38</v>
          </cell>
          <cell r="T54">
            <v>5.3478986466832801E-3</v>
          </cell>
          <cell r="U54">
            <v>38.700000000000003</v>
          </cell>
          <cell r="V54">
            <v>33</v>
          </cell>
          <cell r="W54">
            <v>35.85</v>
          </cell>
          <cell r="X54">
            <v>24.45</v>
          </cell>
          <cell r="Y54">
            <v>1.4662576687116566</v>
          </cell>
          <cell r="Z54">
            <v>7.8413974021920504E-3</v>
          </cell>
          <cell r="AA54">
            <v>0.31799163179916323</v>
          </cell>
          <cell r="AB54">
            <v>2.4934987555087695E-3</v>
          </cell>
          <cell r="AC54">
            <v>4.6671276533286558E-2</v>
          </cell>
          <cell r="AD54">
            <v>3.4</v>
          </cell>
          <cell r="AE54">
            <v>2.08</v>
          </cell>
          <cell r="AF54">
            <v>27.65</v>
          </cell>
          <cell r="AG54">
            <v>0.38823529411764701</v>
          </cell>
          <cell r="AH54">
            <v>0.12296564195298373</v>
          </cell>
          <cell r="AI54">
            <v>4.7739602169981916E-2</v>
          </cell>
        </row>
        <row r="55">
          <cell r="B55" t="str">
            <v>VVC</v>
          </cell>
          <cell r="C55">
            <v>4.7E-2</v>
          </cell>
          <cell r="D55">
            <v>3.5000000000000003E-2</v>
          </cell>
          <cell r="E55">
            <v>5.5E-2</v>
          </cell>
          <cell r="F55">
            <v>0.03</v>
          </cell>
          <cell r="G55">
            <v>0.06</v>
          </cell>
          <cell r="I55">
            <v>0.82</v>
          </cell>
          <cell r="J55">
            <v>0.76</v>
          </cell>
          <cell r="K55">
            <v>0.7</v>
          </cell>
          <cell r="L55">
            <v>0.23999999999999988</v>
          </cell>
          <cell r="M55">
            <v>9.5000000000000001E-2</v>
          </cell>
          <cell r="N55">
            <v>0.1</v>
          </cell>
          <cell r="O55">
            <v>0.11</v>
          </cell>
          <cell r="P55">
            <v>0.10166666666666667</v>
          </cell>
          <cell r="Q55">
            <v>2.4399999999999988E-2</v>
          </cell>
          <cell r="R55">
            <v>83</v>
          </cell>
          <cell r="S55">
            <v>85</v>
          </cell>
          <cell r="T55">
            <v>4.7734866991846481E-3</v>
          </cell>
          <cell r="U55">
            <v>28.8</v>
          </cell>
          <cell r="V55">
            <v>23.7</v>
          </cell>
          <cell r="W55">
            <v>26.25</v>
          </cell>
          <cell r="X55">
            <v>18.649999999999999</v>
          </cell>
          <cell r="Y55">
            <v>1.4075067024128687</v>
          </cell>
          <cell r="Z55">
            <v>6.7187145229810731E-3</v>
          </cell>
          <cell r="AA55">
            <v>0.28952380952380952</v>
          </cell>
          <cell r="AB55">
            <v>1.9452278237964248E-3</v>
          </cell>
          <cell r="AC55">
            <v>2.6345227823796412E-2</v>
          </cell>
          <cell r="AD55">
            <v>2.2999999999999998</v>
          </cell>
          <cell r="AE55">
            <v>1.6</v>
          </cell>
          <cell r="AF55">
            <v>21.2</v>
          </cell>
          <cell r="AG55">
            <v>0.30434782608695643</v>
          </cell>
          <cell r="AH55">
            <v>0.10849056603773584</v>
          </cell>
          <cell r="AI55">
            <v>3.3018867924528288E-2</v>
          </cell>
        </row>
        <row r="56">
          <cell r="B56" t="str">
            <v>WR</v>
          </cell>
          <cell r="C56">
            <v>6.0999999999999999E-2</v>
          </cell>
          <cell r="D56">
            <v>0.02</v>
          </cell>
          <cell r="E56">
            <v>8.5000000000000006E-2</v>
          </cell>
          <cell r="F56">
            <v>0.03</v>
          </cell>
          <cell r="G56">
            <v>5.0799999999999998E-2</v>
          </cell>
          <cell r="I56">
            <v>0.76</v>
          </cell>
          <cell r="J56">
            <v>0.7</v>
          </cell>
          <cell r="K56">
            <v>0.59</v>
          </cell>
          <cell r="L56">
            <v>0.31666666666666676</v>
          </cell>
          <cell r="M56">
            <v>7.4999999999999997E-2</v>
          </cell>
          <cell r="N56">
            <v>8.5000000000000006E-2</v>
          </cell>
          <cell r="O56">
            <v>0.1</v>
          </cell>
          <cell r="P56">
            <v>8.666666666666667E-2</v>
          </cell>
          <cell r="Q56">
            <v>2.7444444444444455E-2</v>
          </cell>
          <cell r="R56">
            <v>120</v>
          </cell>
          <cell r="S56">
            <v>128</v>
          </cell>
          <cell r="T56">
            <v>1.299136822423641E-2</v>
          </cell>
          <cell r="U56">
            <v>28</v>
          </cell>
          <cell r="V56">
            <v>22.6</v>
          </cell>
          <cell r="W56">
            <v>25.3</v>
          </cell>
          <cell r="X56">
            <v>22.1</v>
          </cell>
          <cell r="Y56">
            <v>1.1447963800904977</v>
          </cell>
          <cell r="Z56">
            <v>1.487247131552856E-2</v>
          </cell>
          <cell r="AA56">
            <v>0.12648221343873511</v>
          </cell>
          <cell r="AB56">
            <v>1.8811030912921488E-3</v>
          </cell>
          <cell r="AC56">
            <v>2.9325547535736605E-2</v>
          </cell>
          <cell r="AD56">
            <v>2.4</v>
          </cell>
          <cell r="AE56">
            <v>1.44</v>
          </cell>
          <cell r="AF56">
            <v>23.45</v>
          </cell>
          <cell r="AG56">
            <v>0.4</v>
          </cell>
          <cell r="AH56">
            <v>0.1023454157782516</v>
          </cell>
          <cell r="AI56">
            <v>4.0938166311300643E-2</v>
          </cell>
        </row>
        <row r="57">
          <cell r="B57" t="str">
            <v>WEC</v>
          </cell>
          <cell r="C57">
            <v>7.4999999999999997E-2</v>
          </cell>
          <cell r="D57">
            <v>4.4999999999999998E-2</v>
          </cell>
          <cell r="E57">
            <v>8.5000000000000006E-2</v>
          </cell>
          <cell r="F57">
            <v>0.16</v>
          </cell>
          <cell r="G57">
            <v>7.8E-2</v>
          </cell>
          <cell r="I57">
            <v>0.48</v>
          </cell>
          <cell r="J57">
            <v>0.5</v>
          </cell>
          <cell r="K57">
            <v>0.59</v>
          </cell>
          <cell r="L57">
            <v>0.47666666666666668</v>
          </cell>
          <cell r="M57">
            <v>0.13</v>
          </cell>
          <cell r="N57">
            <v>0.13</v>
          </cell>
          <cell r="O57">
            <v>0.14000000000000001</v>
          </cell>
          <cell r="P57">
            <v>0.13333333333333333</v>
          </cell>
          <cell r="Q57">
            <v>6.355555555555556E-2</v>
          </cell>
          <cell r="R57">
            <v>228</v>
          </cell>
          <cell r="S57">
            <v>224</v>
          </cell>
          <cell r="T57">
            <v>-3.5336573058661891E-3</v>
          </cell>
          <cell r="U57">
            <v>32.1</v>
          </cell>
          <cell r="V57">
            <v>27</v>
          </cell>
          <cell r="W57">
            <v>29.55</v>
          </cell>
          <cell r="X57">
            <v>17.600000000000001</v>
          </cell>
          <cell r="Y57">
            <v>1.6789772727272727</v>
          </cell>
          <cell r="Z57">
            <v>-5.9329303061560167E-3</v>
          </cell>
          <cell r="AA57">
            <v>0.4043993231810491</v>
          </cell>
          <cell r="AB57">
            <v>-2.3992730002898276E-3</v>
          </cell>
          <cell r="AC57">
            <v>6.1156282555265729E-2</v>
          </cell>
          <cell r="AD57">
            <v>2.75</v>
          </cell>
          <cell r="AE57">
            <v>1.65</v>
          </cell>
          <cell r="AF57">
            <v>19.75</v>
          </cell>
          <cell r="AG57">
            <v>0.4</v>
          </cell>
          <cell r="AH57">
            <v>0.13924050632911392</v>
          </cell>
          <cell r="AI57">
            <v>5.5696202531645568E-2</v>
          </cell>
        </row>
        <row r="58">
          <cell r="B58" t="str">
            <v>XEL</v>
          </cell>
          <cell r="C58">
            <v>5.0999999999999997E-2</v>
          </cell>
          <cell r="D58">
            <v>4.4999999999999998E-2</v>
          </cell>
          <cell r="E58">
            <v>0.05</v>
          </cell>
          <cell r="F58">
            <v>0.03</v>
          </cell>
          <cell r="G58">
            <v>5.2600000000000001E-2</v>
          </cell>
          <cell r="I58">
            <v>0.59</v>
          </cell>
          <cell r="J58">
            <v>0.57999999999999996</v>
          </cell>
          <cell r="K58">
            <v>0.56000000000000005</v>
          </cell>
          <cell r="L58">
            <v>0.42333333333333334</v>
          </cell>
          <cell r="M58">
            <v>0.1</v>
          </cell>
          <cell r="N58">
            <v>0.1</v>
          </cell>
          <cell r="O58">
            <v>0.1</v>
          </cell>
          <cell r="P58">
            <v>0.10000000000000002</v>
          </cell>
          <cell r="Q58">
            <v>4.2333333333333341E-2</v>
          </cell>
          <cell r="R58">
            <v>489</v>
          </cell>
          <cell r="S58">
            <v>498</v>
          </cell>
          <cell r="T58">
            <v>3.654177797325131E-3</v>
          </cell>
          <cell r="U58">
            <v>25.8</v>
          </cell>
          <cell r="V58">
            <v>21.2</v>
          </cell>
          <cell r="W58">
            <v>23.5</v>
          </cell>
          <cell r="X58">
            <v>18.3</v>
          </cell>
          <cell r="Y58">
            <v>1.2841530054644807</v>
          </cell>
          <cell r="Z58">
            <v>4.6925234009366429E-3</v>
          </cell>
          <cell r="AA58">
            <v>0.22127659574468073</v>
          </cell>
          <cell r="AB58">
            <v>1.0383456036115119E-3</v>
          </cell>
          <cell r="AC58">
            <v>4.3371678936944852E-2</v>
          </cell>
          <cell r="AD58">
            <v>2</v>
          </cell>
          <cell r="AE58">
            <v>1.1499999999999999</v>
          </cell>
          <cell r="AF58">
            <v>21</v>
          </cell>
          <cell r="AG58">
            <v>0.42500000000000004</v>
          </cell>
          <cell r="AH58">
            <v>9.5238095238095233E-2</v>
          </cell>
          <cell r="AI58">
            <v>4.0476190476190478E-2</v>
          </cell>
        </row>
      </sheetData>
      <sheetData sheetId="6"/>
      <sheetData sheetId="7"/>
      <sheetData sheetId="8"/>
      <sheetData sheetId="9"/>
      <sheetData sheetId="10">
        <row r="7">
          <cell r="B7" t="str">
            <v>AAA</v>
          </cell>
        </row>
        <row r="8">
          <cell r="B8" t="str">
            <v>AAA-</v>
          </cell>
        </row>
        <row r="9">
          <cell r="B9" t="str">
            <v>AA+</v>
          </cell>
        </row>
        <row r="10">
          <cell r="B10" t="str">
            <v>AA</v>
          </cell>
        </row>
        <row r="11">
          <cell r="B11" t="str">
            <v>AA-</v>
          </cell>
        </row>
        <row r="12">
          <cell r="B12" t="str">
            <v>A+</v>
          </cell>
        </row>
        <row r="13">
          <cell r="B13" t="str">
            <v>A</v>
          </cell>
        </row>
        <row r="14">
          <cell r="B14" t="str">
            <v>A-</v>
          </cell>
        </row>
        <row r="15">
          <cell r="B15" t="str">
            <v>BBB+</v>
          </cell>
        </row>
        <row r="16">
          <cell r="B16" t="str">
            <v>BBB</v>
          </cell>
        </row>
        <row r="17">
          <cell r="B17" t="str">
            <v>BBB-</v>
          </cell>
        </row>
      </sheetData>
      <sheetData sheetId="1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ks data"/>
      <sheetName val="Growth Rates"/>
      <sheetName val="Prices &amp; Dividends"/>
      <sheetName val="Calculate"/>
      <sheetName val="E Dividends"/>
      <sheetName val="Cost of Equity"/>
      <sheetName val="DCF Goal Seek"/>
      <sheetName val="NCDCF Goal Seek"/>
      <sheetName val="Solver Macro"/>
      <sheetName val="Beta"/>
      <sheetName val="CAPM"/>
      <sheetName val="Rider VBA"/>
      <sheetName val="Aqua ratios"/>
      <sheetName val="water sample ratios"/>
      <sheetName val="market return"/>
    </sheetNames>
    <sheetDataSet>
      <sheetData sheetId="0" refreshError="1"/>
      <sheetData sheetId="1">
        <row r="6">
          <cell r="B6" t="str">
            <v>American States Water (AWR 029899)</v>
          </cell>
        </row>
      </sheetData>
      <sheetData sheetId="2">
        <row r="5">
          <cell r="D5">
            <v>0.224</v>
          </cell>
        </row>
      </sheetData>
      <sheetData sheetId="3">
        <row r="6">
          <cell r="G6">
            <v>0.224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2"/>
      <sheetName val="summ3"/>
      <sheetName val="pjn format"/>
      <sheetName val="E"/>
      <sheetName val="schedule m"/>
      <sheetName val="summ4"/>
      <sheetName val="rev detail"/>
      <sheetName val="revenues"/>
      <sheetName val="fuel"/>
      <sheetName val="other oper main"/>
      <sheetName val="grt"/>
      <sheetName val="proforma int"/>
      <sheetName val="dcit"/>
      <sheetName val="fit"/>
      <sheetName val="COSS Results UNBUNDLED"/>
      <sheetName val="Inputs"/>
      <sheetName val="G"/>
      <sheetName val="HQ"/>
      <sheetName val="R"/>
      <sheetName val="V"/>
      <sheetName val="summary:proforma int"/>
      <sheetName val="summary:fit"/>
    </sheetNames>
    <sheetDataSet>
      <sheetData sheetId="0">
        <row r="3">
          <cell r="A3" t="str">
            <v>POTOMAC ELECTRIC POWER COMPANY</v>
          </cell>
        </row>
        <row r="5">
          <cell r="A5" t="str">
            <v>Comparison of D.C. Revenue Requirement</v>
          </cell>
        </row>
        <row r="6">
          <cell r="A6" t="str">
            <v xml:space="preserve">December 1995 (Case 951)  vs. December 1996 (DETAIL) </v>
          </cell>
        </row>
        <row r="9">
          <cell r="J9" t="str">
            <v>Dec 95</v>
          </cell>
          <cell r="L9" t="str">
            <v>Difference</v>
          </cell>
        </row>
        <row r="10">
          <cell r="D10" t="str">
            <v>Dec 96</v>
          </cell>
          <cell r="F10" t="str">
            <v>Rev Req</v>
          </cell>
          <cell r="H10" t="str">
            <v>Dec 95</v>
          </cell>
          <cell r="J10" t="str">
            <v>Rev Req</v>
          </cell>
          <cell r="L10" t="str">
            <v>Rev Req</v>
          </cell>
        </row>
        <row r="11">
          <cell r="A11" t="str">
            <v>RATE BASE</v>
          </cell>
        </row>
        <row r="12">
          <cell r="B12" t="str">
            <v>Electric Plant in Service</v>
          </cell>
          <cell r="D12">
            <v>2535530</v>
          </cell>
          <cell r="F12">
            <v>367345</v>
          </cell>
          <cell r="H12">
            <v>2479575</v>
          </cell>
          <cell r="J12">
            <v>359238</v>
          </cell>
          <cell r="L12">
            <v>-8107</v>
          </cell>
        </row>
        <row r="13">
          <cell r="B13" t="str">
            <v>Pollution Control CWIP</v>
          </cell>
          <cell r="D13">
            <v>4115</v>
          </cell>
          <cell r="F13">
            <v>596</v>
          </cell>
          <cell r="H13">
            <v>7587</v>
          </cell>
          <cell r="J13">
            <v>1099</v>
          </cell>
          <cell r="L13">
            <v>503</v>
          </cell>
        </row>
        <row r="14">
          <cell r="B14" t="str">
            <v>Unamortized Unbilled Revenue Adj</v>
          </cell>
          <cell r="D14">
            <v>-595</v>
          </cell>
          <cell r="F14">
            <v>-86</v>
          </cell>
          <cell r="H14">
            <v>-1784</v>
          </cell>
          <cell r="J14">
            <v>-258</v>
          </cell>
          <cell r="L14">
            <v>-172</v>
          </cell>
        </row>
        <row r="15">
          <cell r="B15" t="str">
            <v>Materials &amp; Supplies</v>
          </cell>
          <cell r="D15">
            <v>56273</v>
          </cell>
          <cell r="F15">
            <v>8153</v>
          </cell>
          <cell r="H15">
            <v>59473</v>
          </cell>
          <cell r="J15">
            <v>8616</v>
          </cell>
          <cell r="L15">
            <v>463</v>
          </cell>
        </row>
        <row r="16">
          <cell r="B16" t="str">
            <v>DSM Programs (F.C. 929 vintage)</v>
          </cell>
          <cell r="D16">
            <v>18147</v>
          </cell>
          <cell r="F16">
            <v>2629</v>
          </cell>
          <cell r="H16">
            <v>20327</v>
          </cell>
          <cell r="J16">
            <v>2945</v>
          </cell>
          <cell r="L16">
            <v>316</v>
          </cell>
        </row>
        <row r="17">
          <cell r="B17" t="str">
            <v>Cash Working Capital</v>
          </cell>
          <cell r="D17">
            <v>39141</v>
          </cell>
          <cell r="F17">
            <v>5671</v>
          </cell>
          <cell r="H17">
            <v>39048</v>
          </cell>
          <cell r="J17">
            <v>5657</v>
          </cell>
          <cell r="L17">
            <v>-14</v>
          </cell>
        </row>
        <row r="18">
          <cell r="B18" t="str">
            <v>Accumulated Depreciation</v>
          </cell>
          <cell r="D18">
            <v>-693708</v>
          </cell>
          <cell r="F18">
            <v>-100504</v>
          </cell>
          <cell r="H18">
            <v>-664109</v>
          </cell>
          <cell r="J18">
            <v>-96215</v>
          </cell>
          <cell r="L18">
            <v>4289</v>
          </cell>
        </row>
        <row r="19">
          <cell r="B19" t="str">
            <v>Accumulated Amortization</v>
          </cell>
          <cell r="D19">
            <v>-5678</v>
          </cell>
          <cell r="F19">
            <v>-823</v>
          </cell>
          <cell r="H19">
            <v>-4694</v>
          </cell>
          <cell r="J19">
            <v>-680</v>
          </cell>
          <cell r="L19">
            <v>143</v>
          </cell>
        </row>
        <row r="20">
          <cell r="B20" t="str">
            <v>Accumulated Deferred Taxes</v>
          </cell>
          <cell r="D20">
            <v>-281367</v>
          </cell>
          <cell r="F20">
            <v>-40764</v>
          </cell>
          <cell r="H20">
            <v>-262891</v>
          </cell>
          <cell r="J20">
            <v>-38087</v>
          </cell>
          <cell r="L20">
            <v>2677</v>
          </cell>
        </row>
        <row r="21">
          <cell r="B21" t="str">
            <v>Customer Deposits</v>
          </cell>
          <cell r="D21">
            <v>-12814</v>
          </cell>
          <cell r="F21">
            <v>-1856</v>
          </cell>
          <cell r="H21">
            <v>-12698</v>
          </cell>
          <cell r="J21">
            <v>-1840</v>
          </cell>
          <cell r="L21">
            <v>16</v>
          </cell>
        </row>
        <row r="23">
          <cell r="B23" t="str">
            <v>TOTAL RATE BASE</v>
          </cell>
          <cell r="D23">
            <v>1659044</v>
          </cell>
          <cell r="F23">
            <v>240361</v>
          </cell>
          <cell r="H23">
            <v>1659834</v>
          </cell>
          <cell r="J23">
            <v>240475</v>
          </cell>
          <cell r="L23">
            <v>114</v>
          </cell>
        </row>
        <row r="25">
          <cell r="A25" t="str">
            <v>OPERATING REVENUE</v>
          </cell>
        </row>
        <row r="26">
          <cell r="B26" t="str">
            <v>Non-fuel base (incl 10% GRT)</v>
          </cell>
          <cell r="D26">
            <v>489726</v>
          </cell>
          <cell r="F26">
            <v>-489726</v>
          </cell>
          <cell r="H26">
            <v>480581</v>
          </cell>
          <cell r="J26">
            <v>-480581</v>
          </cell>
          <cell r="L26">
            <v>9145</v>
          </cell>
          <cell r="W26">
            <v>-9145</v>
          </cell>
          <cell r="Y26">
            <v>9145</v>
          </cell>
        </row>
        <row r="27">
          <cell r="B27" t="str">
            <v>10% GRT on Fuel In Base</v>
          </cell>
          <cell r="D27">
            <v>28143</v>
          </cell>
          <cell r="H27">
            <v>28242</v>
          </cell>
          <cell r="W27">
            <v>99</v>
          </cell>
        </row>
        <row r="28">
          <cell r="B28" t="str">
            <v xml:space="preserve">          Subtotal</v>
          </cell>
          <cell r="D28">
            <v>517869</v>
          </cell>
          <cell r="H28">
            <v>508823</v>
          </cell>
          <cell r="W28">
            <v>-9046</v>
          </cell>
        </row>
        <row r="30">
          <cell r="B30" t="str">
            <v>Fuel In Base (excl GRT)</v>
          </cell>
          <cell r="D30">
            <v>253315</v>
          </cell>
          <cell r="H30">
            <v>254200</v>
          </cell>
          <cell r="W30">
            <v>885</v>
          </cell>
          <cell r="X30" t="str">
            <v>{f}</v>
          </cell>
        </row>
        <row r="32">
          <cell r="B32" t="str">
            <v>TOTAL BASE</v>
          </cell>
          <cell r="D32">
            <v>771184</v>
          </cell>
          <cell r="H32">
            <v>763023</v>
          </cell>
          <cell r="W32">
            <v>-8161</v>
          </cell>
        </row>
        <row r="34">
          <cell r="B34" t="str">
            <v>Fuel Clause (excl GRT)</v>
          </cell>
          <cell r="D34">
            <v>-18178</v>
          </cell>
          <cell r="H34">
            <v>-21536</v>
          </cell>
          <cell r="W34">
            <v>-3358</v>
          </cell>
          <cell r="X34" t="str">
            <v>{f}</v>
          </cell>
        </row>
        <row r="35">
          <cell r="B35" t="str">
            <v>10% GRT on Fuel Clause Revenue</v>
          </cell>
          <cell r="D35">
            <v>-2020</v>
          </cell>
          <cell r="H35">
            <v>-2393</v>
          </cell>
          <cell r="W35">
            <v>-373</v>
          </cell>
        </row>
        <row r="37">
          <cell r="B37" t="str">
            <v>TOTAL FUEL CLAUSE REVENUE</v>
          </cell>
          <cell r="D37">
            <v>-20198</v>
          </cell>
          <cell r="H37">
            <v>-23929</v>
          </cell>
          <cell r="W37">
            <v>-3731</v>
          </cell>
        </row>
        <row r="38">
          <cell r="B38" t="str">
            <v xml:space="preserve"> </v>
          </cell>
          <cell r="L38" t="str">
            <v xml:space="preserve"> </v>
          </cell>
          <cell r="W38">
            <v>0</v>
          </cell>
          <cell r="Y38">
            <v>0</v>
          </cell>
        </row>
        <row r="40">
          <cell r="B40" t="str">
            <v>TOTAL SALE OF ELECTRICITY</v>
          </cell>
          <cell r="D40">
            <v>750986</v>
          </cell>
          <cell r="F40">
            <v>-489726</v>
          </cell>
          <cell r="H40">
            <v>739094</v>
          </cell>
          <cell r="L40">
            <v>9145</v>
          </cell>
          <cell r="W40">
            <v>-11892</v>
          </cell>
          <cell r="Y40">
            <v>9145</v>
          </cell>
        </row>
        <row r="42">
          <cell r="B42" t="str">
            <v>TOTAL OTHER REVENUES</v>
          </cell>
          <cell r="D42">
            <v>3810</v>
          </cell>
          <cell r="F42">
            <v>-3810</v>
          </cell>
          <cell r="H42">
            <v>3465</v>
          </cell>
          <cell r="J42">
            <v>-3465</v>
          </cell>
          <cell r="L42">
            <v>345</v>
          </cell>
          <cell r="W42">
            <v>-345</v>
          </cell>
          <cell r="Y42">
            <v>345</v>
          </cell>
        </row>
        <row r="43">
          <cell r="W43" t="str">
            <v>_</v>
          </cell>
          <cell r="Y43" t="str">
            <v>_</v>
          </cell>
        </row>
        <row r="44">
          <cell r="A44" t="str">
            <v>TOTAL OPERATING REVENUE</v>
          </cell>
          <cell r="D44">
            <v>754796</v>
          </cell>
          <cell r="F44">
            <v>-493536</v>
          </cell>
          <cell r="H44">
            <v>742559</v>
          </cell>
          <cell r="L44">
            <v>9490</v>
          </cell>
          <cell r="W44">
            <v>-12237</v>
          </cell>
          <cell r="Y44">
            <v>9490</v>
          </cell>
        </row>
        <row r="45">
          <cell r="W45" t="str">
            <v>_</v>
          </cell>
          <cell r="Y45" t="str">
            <v>_</v>
          </cell>
        </row>
        <row r="46">
          <cell r="A46" t="str">
            <v>OPERATING EXPENSES</v>
          </cell>
        </row>
        <row r="47">
          <cell r="B47" t="str">
            <v>Net Fuel &amp; Interchange</v>
          </cell>
          <cell r="D47">
            <v>186628</v>
          </cell>
          <cell r="F47">
            <v>-53899</v>
          </cell>
          <cell r="H47">
            <v>185879</v>
          </cell>
          <cell r="J47">
            <v>-51984</v>
          </cell>
          <cell r="L47">
            <v>1915</v>
          </cell>
          <cell r="W47">
            <v>-749</v>
          </cell>
          <cell r="X47" t="str">
            <v>{f}</v>
          </cell>
          <cell r="Y47">
            <v>1848</v>
          </cell>
        </row>
        <row r="48">
          <cell r="B48" t="str">
            <v>Capacity Purchase Payments</v>
          </cell>
          <cell r="D48">
            <v>48104</v>
          </cell>
          <cell r="F48">
            <v>53449</v>
          </cell>
          <cell r="H48">
            <v>50157</v>
          </cell>
          <cell r="J48">
            <v>55730</v>
          </cell>
          <cell r="L48">
            <v>2281</v>
          </cell>
          <cell r="W48">
            <v>2053</v>
          </cell>
          <cell r="Y48">
            <v>2200</v>
          </cell>
        </row>
        <row r="49">
          <cell r="B49" t="str">
            <v xml:space="preserve">                           Subtotal</v>
          </cell>
          <cell r="D49">
            <v>234732</v>
          </cell>
          <cell r="F49">
            <v>-450</v>
          </cell>
          <cell r="J49">
            <v>3746</v>
          </cell>
          <cell r="L49">
            <v>4196</v>
          </cell>
        </row>
        <row r="51">
          <cell r="B51" t="str">
            <v>Other O &amp; M</v>
          </cell>
          <cell r="D51">
            <v>127003</v>
          </cell>
          <cell r="F51">
            <v>141114</v>
          </cell>
          <cell r="H51">
            <v>121661</v>
          </cell>
          <cell r="J51">
            <v>135179</v>
          </cell>
          <cell r="L51">
            <v>-5935</v>
          </cell>
          <cell r="W51">
            <v>-5342</v>
          </cell>
          <cell r="Y51">
            <v>-5726</v>
          </cell>
        </row>
        <row r="52">
          <cell r="B52" t="str">
            <v>DSM Amortization</v>
          </cell>
          <cell r="D52">
            <v>8879</v>
          </cell>
          <cell r="F52">
            <v>9866</v>
          </cell>
          <cell r="H52">
            <v>5568</v>
          </cell>
          <cell r="J52">
            <v>6187</v>
          </cell>
          <cell r="L52">
            <v>-3679</v>
          </cell>
          <cell r="W52">
            <v>-3311</v>
          </cell>
          <cell r="Y52">
            <v>-3549</v>
          </cell>
        </row>
        <row r="53">
          <cell r="B53" t="str">
            <v>Depreciation</v>
          </cell>
          <cell r="D53">
            <v>62457</v>
          </cell>
          <cell r="F53">
            <v>69397</v>
          </cell>
          <cell r="H53">
            <v>61582</v>
          </cell>
          <cell r="J53">
            <v>68424</v>
          </cell>
          <cell r="L53">
            <v>-973</v>
          </cell>
          <cell r="W53">
            <v>-875</v>
          </cell>
          <cell r="Y53">
            <v>-938</v>
          </cell>
        </row>
        <row r="54">
          <cell r="B54" t="str">
            <v>Amortization - Other</v>
          </cell>
          <cell r="D54">
            <v>-969</v>
          </cell>
          <cell r="F54">
            <v>-1077</v>
          </cell>
          <cell r="H54">
            <v>-1043</v>
          </cell>
          <cell r="J54">
            <v>-1159</v>
          </cell>
          <cell r="L54">
            <v>-82</v>
          </cell>
          <cell r="W54">
            <v>-74</v>
          </cell>
          <cell r="Y54">
            <v>-79</v>
          </cell>
        </row>
        <row r="55">
          <cell r="B55" t="str">
            <v>Other Taxes - Excluding GRT</v>
          </cell>
          <cell r="D55">
            <v>30077</v>
          </cell>
          <cell r="F55">
            <v>33419</v>
          </cell>
          <cell r="H55">
            <v>29079</v>
          </cell>
          <cell r="J55">
            <v>32310</v>
          </cell>
          <cell r="L55">
            <v>-1109</v>
          </cell>
          <cell r="W55">
            <v>-998</v>
          </cell>
          <cell r="Y55">
            <v>-1070</v>
          </cell>
        </row>
        <row r="56">
          <cell r="B56" t="str">
            <v>Gross Receipts Tax</v>
          </cell>
          <cell r="D56">
            <v>73790</v>
          </cell>
          <cell r="F56">
            <v>-1820</v>
          </cell>
          <cell r="H56">
            <v>73876</v>
          </cell>
          <cell r="J56">
            <v>-354</v>
          </cell>
          <cell r="L56">
            <v>1466</v>
          </cell>
          <cell r="W56">
            <v>86</v>
          </cell>
          <cell r="Y56">
            <v>-1467</v>
          </cell>
        </row>
        <row r="57">
          <cell r="B57" t="str">
            <v>D.C. Income Tax</v>
          </cell>
          <cell r="D57">
            <v>15286</v>
          </cell>
          <cell r="F57">
            <v>-943</v>
          </cell>
          <cell r="H57">
            <v>17055</v>
          </cell>
          <cell r="J57">
            <v>1572</v>
          </cell>
          <cell r="L57">
            <v>2515</v>
          </cell>
          <cell r="W57">
            <v>1769</v>
          </cell>
          <cell r="Y57">
            <v>-2515</v>
          </cell>
        </row>
        <row r="58">
          <cell r="B58" t="str">
            <v>Federal Income Tax</v>
          </cell>
          <cell r="D58">
            <v>49003</v>
          </cell>
          <cell r="F58">
            <v>-3321</v>
          </cell>
          <cell r="H58">
            <v>52188</v>
          </cell>
          <cell r="J58">
            <v>4337</v>
          </cell>
          <cell r="L58">
            <v>7658</v>
          </cell>
          <cell r="W58">
            <v>3185</v>
          </cell>
          <cell r="Y58">
            <v>-7661</v>
          </cell>
        </row>
        <row r="60">
          <cell r="B60" t="str">
            <v>TOTAL OPERATING EXPENSES</v>
          </cell>
          <cell r="D60">
            <v>600258</v>
          </cell>
          <cell r="F60">
            <v>246185</v>
          </cell>
          <cell r="H60">
            <v>596002</v>
          </cell>
          <cell r="J60">
            <v>250242</v>
          </cell>
          <cell r="L60">
            <v>4057</v>
          </cell>
          <cell r="W60">
            <v>-4256</v>
          </cell>
          <cell r="Y60">
            <v>-18957</v>
          </cell>
        </row>
        <row r="62">
          <cell r="A62" t="str">
            <v>OPERATING INCOME</v>
          </cell>
          <cell r="D62">
            <v>154538</v>
          </cell>
          <cell r="F62">
            <v>-247351</v>
          </cell>
          <cell r="H62">
            <v>146557</v>
          </cell>
          <cell r="J62">
            <v>-233804</v>
          </cell>
          <cell r="L62">
            <v>13547</v>
          </cell>
          <cell r="W62">
            <v>-7981</v>
          </cell>
          <cell r="Y62">
            <v>-9467</v>
          </cell>
          <cell r="AA62">
            <v>-9873</v>
          </cell>
        </row>
        <row r="64">
          <cell r="A64" t="str">
            <v>SUBTOTAL</v>
          </cell>
          <cell r="F64">
            <v>-6990</v>
          </cell>
          <cell r="J64">
            <v>6671</v>
          </cell>
          <cell r="L64">
            <v>13661</v>
          </cell>
          <cell r="Y64">
            <v>-9467</v>
          </cell>
          <cell r="AA64">
            <v>-9873</v>
          </cell>
        </row>
        <row r="65">
          <cell r="Y65">
            <v>0</v>
          </cell>
          <cell r="AA65">
            <v>0</v>
          </cell>
        </row>
        <row r="67">
          <cell r="Y67" t="str">
            <v>_</v>
          </cell>
          <cell r="AA67" t="str">
            <v>_</v>
          </cell>
        </row>
        <row r="69">
          <cell r="A69" t="str">
            <v>CALCULATED REVENUE REQUIREMENT</v>
          </cell>
          <cell r="F69">
            <v>-7084</v>
          </cell>
          <cell r="J69">
            <v>8206</v>
          </cell>
          <cell r="L69">
            <v>15290</v>
          </cell>
          <cell r="Y69">
            <v>-9467</v>
          </cell>
          <cell r="AA69">
            <v>-9873</v>
          </cell>
        </row>
        <row r="71">
          <cell r="A71" t="str">
            <v>Unresolved difference</v>
          </cell>
          <cell r="F71">
            <v>-94</v>
          </cell>
          <cell r="J71">
            <v>1535</v>
          </cell>
          <cell r="L71">
            <v>1629</v>
          </cell>
        </row>
        <row r="81">
          <cell r="L81">
            <v>36398.59824861111</v>
          </cell>
        </row>
        <row r="82">
          <cell r="L82">
            <v>36398.59824861111</v>
          </cell>
        </row>
        <row r="83">
          <cell r="B83" t="str">
            <v>Analysis of Net Fuel &amp; Interchange</v>
          </cell>
        </row>
        <row r="85">
          <cell r="D85" t="str">
            <v>F.C. No.</v>
          </cell>
          <cell r="J85" t="str">
            <v>Revenue</v>
          </cell>
        </row>
        <row r="86">
          <cell r="D86" t="str">
            <v>939</v>
          </cell>
          <cell r="F86" t="str">
            <v>1995</v>
          </cell>
          <cell r="H86" t="str">
            <v>Difference</v>
          </cell>
          <cell r="J86" t="str">
            <v>Requirement</v>
          </cell>
        </row>
        <row r="88">
          <cell r="B88" t="str">
            <v>Net Fuel &amp; Interchange</v>
          </cell>
          <cell r="D88">
            <v>209790</v>
          </cell>
          <cell r="F88">
            <v>185879</v>
          </cell>
          <cell r="H88">
            <v>-23911</v>
          </cell>
          <cell r="J88">
            <v>-26568</v>
          </cell>
        </row>
        <row r="89">
          <cell r="B89" t="str">
            <v>Capacity purchase payments</v>
          </cell>
          <cell r="D89">
            <v>51873</v>
          </cell>
          <cell r="F89">
            <v>50157</v>
          </cell>
          <cell r="H89">
            <v>-1716</v>
          </cell>
          <cell r="J89">
            <v>-1907</v>
          </cell>
        </row>
        <row r="91">
          <cell r="B91" t="str">
            <v>Net Fuel Expense</v>
          </cell>
          <cell r="D91">
            <v>261663</v>
          </cell>
          <cell r="F91">
            <v>236036</v>
          </cell>
          <cell r="H91">
            <v>-25627</v>
          </cell>
          <cell r="J91">
            <v>-28474</v>
          </cell>
        </row>
        <row r="93">
          <cell r="B93" t="str">
            <v>Fuel Revenue</v>
          </cell>
        </row>
        <row r="94">
          <cell r="B94" t="str">
            <v xml:space="preserve">    Fuel in Base (excl GRT)</v>
          </cell>
          <cell r="D94">
            <v>253315</v>
          </cell>
          <cell r="F94">
            <v>254200</v>
          </cell>
          <cell r="H94">
            <v>885</v>
          </cell>
          <cell r="J94">
            <v>-983</v>
          </cell>
        </row>
        <row r="95">
          <cell r="B95" t="str">
            <v xml:space="preserve">    Fuel Clause (excl GRT)</v>
          </cell>
          <cell r="D95">
            <v>-18178</v>
          </cell>
          <cell r="F95">
            <v>-21536</v>
          </cell>
          <cell r="H95">
            <v>-3358</v>
          </cell>
          <cell r="J95">
            <v>3731</v>
          </cell>
        </row>
        <row r="97">
          <cell r="B97" t="str">
            <v>Net Fuel Revenue</v>
          </cell>
          <cell r="D97">
            <v>235137</v>
          </cell>
          <cell r="F97">
            <v>232664</v>
          </cell>
          <cell r="H97">
            <v>-2473</v>
          </cell>
          <cell r="J97">
            <v>2748</v>
          </cell>
        </row>
        <row r="99">
          <cell r="B99" t="str">
            <v>Difference</v>
          </cell>
          <cell r="D99">
            <v>-26526</v>
          </cell>
          <cell r="F99">
            <v>-3372</v>
          </cell>
          <cell r="H99">
            <v>23154</v>
          </cell>
          <cell r="J99">
            <v>-25727</v>
          </cell>
        </row>
        <row r="105">
          <cell r="L105">
            <v>-25727</v>
          </cell>
        </row>
        <row r="109">
          <cell r="B109" t="str">
            <v>ANALYSIS OF CHANGE IN INCOME TAXES</v>
          </cell>
          <cell r="H109">
            <v>36398.59824861111</v>
          </cell>
        </row>
        <row r="110">
          <cell r="H110">
            <v>36398.59824861111</v>
          </cell>
        </row>
        <row r="113">
          <cell r="F113" t="str">
            <v>DCIT</v>
          </cell>
          <cell r="H113" t="str">
            <v>FIT</v>
          </cell>
        </row>
        <row r="114">
          <cell r="A114" t="str">
            <v>||\027&amp;a-1R</v>
          </cell>
        </row>
        <row r="115">
          <cell r="B115" t="str">
            <v>_</v>
          </cell>
          <cell r="F115" t="str">
            <v>_</v>
          </cell>
          <cell r="H115" t="str">
            <v>_</v>
          </cell>
        </row>
        <row r="117">
          <cell r="A117" t="str">
            <v>Change in income taxes reflected in reconciliation</v>
          </cell>
          <cell r="F117">
            <v>1769</v>
          </cell>
          <cell r="H117">
            <v>3185</v>
          </cell>
        </row>
        <row r="120">
          <cell r="A120" t="str">
            <v>Known causes:</v>
          </cell>
        </row>
        <row r="122">
          <cell r="A122" t="str">
            <v>Difference in taxable income</v>
          </cell>
          <cell r="F122">
            <v>170</v>
          </cell>
          <cell r="H122">
            <v>538</v>
          </cell>
        </row>
        <row r="123">
          <cell r="A123" t="str">
            <v>Less:  amount implicitly calculated on non-taxable items</v>
          </cell>
        </row>
        <row r="124">
          <cell r="B124" t="str">
            <v xml:space="preserve">           Interest on Customer Deposits</v>
          </cell>
          <cell r="F124">
            <v>0</v>
          </cell>
          <cell r="H124">
            <v>-1</v>
          </cell>
        </row>
        <row r="125">
          <cell r="B125" t="str">
            <v xml:space="preserve">           Common Stock Issuance Costs</v>
          </cell>
          <cell r="F125">
            <v>6</v>
          </cell>
          <cell r="H125">
            <v>17</v>
          </cell>
        </row>
        <row r="126">
          <cell r="A126" t="str">
            <v>||\027&amp;a-1R</v>
          </cell>
        </row>
        <row r="127">
          <cell r="F127" t="str">
            <v>_</v>
          </cell>
          <cell r="H127" t="str">
            <v>_</v>
          </cell>
        </row>
        <row r="129">
          <cell r="B129" t="str">
            <v>Net difference in taxable income</v>
          </cell>
          <cell r="F129">
            <v>164</v>
          </cell>
          <cell r="H129">
            <v>522</v>
          </cell>
        </row>
        <row r="131">
          <cell r="B131" t="str">
            <v>Interest synchronization</v>
          </cell>
          <cell r="F131">
            <v>99</v>
          </cell>
          <cell r="H131">
            <v>311</v>
          </cell>
        </row>
        <row r="133">
          <cell r="B133" t="str">
            <v>Additional gross receipts tax</v>
          </cell>
          <cell r="F133">
            <v>135</v>
          </cell>
          <cell r="H133">
            <v>415</v>
          </cell>
        </row>
        <row r="135">
          <cell r="B135" t="str">
            <v>Permanent and flow-thru differences</v>
          </cell>
          <cell r="F135">
            <v>719</v>
          </cell>
          <cell r="H135">
            <v>4747</v>
          </cell>
        </row>
        <row r="137">
          <cell r="B137" t="str">
            <v>3.32% customer deposit interest rate</v>
          </cell>
        </row>
        <row r="139">
          <cell r="B139" t="str">
            <v>DCIT true-up</v>
          </cell>
        </row>
        <row r="141">
          <cell r="B141" t="str">
            <v>FIT 34/35% adjustments</v>
          </cell>
        </row>
        <row r="144">
          <cell r="B144" t="str">
            <v>DCIT rate change</v>
          </cell>
        </row>
        <row r="145">
          <cell r="A145" t="str">
            <v>||\027&amp;a-1R</v>
          </cell>
        </row>
        <row r="146">
          <cell r="F146" t="str">
            <v>_</v>
          </cell>
          <cell r="H146" t="str">
            <v>_</v>
          </cell>
        </row>
        <row r="148">
          <cell r="A148" t="str">
            <v>Unresolved difference</v>
          </cell>
          <cell r="F148">
            <v>652</v>
          </cell>
          <cell r="H148">
            <v>-2810</v>
          </cell>
        </row>
        <row r="152">
          <cell r="A152" t="str">
            <v>||\012</v>
          </cell>
        </row>
        <row r="162">
          <cell r="A162" t="str">
            <v>OTHER RECONCILING ITEMS</v>
          </cell>
          <cell r="D162">
            <v>36398.59824861111</v>
          </cell>
          <cell r="F162" t="str">
            <v>F.C. No.</v>
          </cell>
        </row>
        <row r="163">
          <cell r="D163">
            <v>36398.59824861111</v>
          </cell>
          <cell r="F163" t="str">
            <v>929</v>
          </cell>
          <cell r="H163" t="str">
            <v>1994</v>
          </cell>
          <cell r="L163" t="str">
            <v>Difference</v>
          </cell>
        </row>
        <row r="164">
          <cell r="A164" t="str">
            <v>||\027&amp;a-1R</v>
          </cell>
        </row>
        <row r="165">
          <cell r="F165" t="str">
            <v>_</v>
          </cell>
          <cell r="H165" t="str">
            <v>_</v>
          </cell>
          <cell r="L165" t="str">
            <v>_</v>
          </cell>
        </row>
        <row r="167">
          <cell r="A167" t="str">
            <v>Permanent &amp; Flow Through Differences for DCIT</v>
          </cell>
          <cell r="F167">
            <v>10896</v>
          </cell>
          <cell r="H167">
            <v>26589</v>
          </cell>
          <cell r="L167">
            <v>15693</v>
          </cell>
        </row>
        <row r="168">
          <cell r="A168" t="str">
            <v>||\027&amp;a-1R</v>
          </cell>
        </row>
        <row r="169">
          <cell r="L169" t="str">
            <v>_</v>
          </cell>
        </row>
        <row r="170">
          <cell r="A170" t="str">
            <v>||\027&amp;a-60V</v>
          </cell>
        </row>
        <row r="171">
          <cell r="L171" t="str">
            <v>_</v>
          </cell>
        </row>
        <row r="174">
          <cell r="A174" t="str">
            <v>Effect on DCIT</v>
          </cell>
          <cell r="L174">
            <v>719</v>
          </cell>
        </row>
        <row r="175">
          <cell r="A175" t="str">
            <v>||\027&amp;a-1R</v>
          </cell>
        </row>
        <row r="176">
          <cell r="L176" t="str">
            <v>_</v>
          </cell>
        </row>
        <row r="177">
          <cell r="A177" t="str">
            <v>||\027&amp;a-58V</v>
          </cell>
        </row>
        <row r="178">
          <cell r="L178" t="str">
            <v>_</v>
          </cell>
        </row>
        <row r="181">
          <cell r="A181" t="str">
            <v>Permanent &amp; Flow Through Differences for FIT (D.C. alloc.)</v>
          </cell>
          <cell r="F181">
            <v>-5075</v>
          </cell>
          <cell r="H181">
            <v>9207</v>
          </cell>
          <cell r="L181">
            <v>14282</v>
          </cell>
        </row>
        <row r="182">
          <cell r="A182" t="str">
            <v>||\027&amp;a-1R</v>
          </cell>
        </row>
        <row r="183">
          <cell r="L183" t="str">
            <v>_</v>
          </cell>
        </row>
        <row r="184">
          <cell r="A184" t="str">
            <v>||\027&amp;a-60V</v>
          </cell>
        </row>
        <row r="185">
          <cell r="L185" t="str">
            <v>_</v>
          </cell>
        </row>
        <row r="188">
          <cell r="A188" t="str">
            <v>Effect on FIT</v>
          </cell>
          <cell r="L188">
            <v>4747</v>
          </cell>
        </row>
        <row r="189">
          <cell r="A189" t="str">
            <v>||\027&amp;a-1R</v>
          </cell>
        </row>
        <row r="190">
          <cell r="L190" t="str">
            <v>_</v>
          </cell>
        </row>
        <row r="191">
          <cell r="A191" t="str">
            <v>||\027&amp;a-60V</v>
          </cell>
        </row>
        <row r="192">
          <cell r="L192" t="str">
            <v>_</v>
          </cell>
        </row>
        <row r="196">
          <cell r="A196" t="str">
            <v xml:space="preserve">   Removal of Implicit Tax Calculation on Non-Taxable Items</v>
          </cell>
        </row>
        <row r="197">
          <cell r="A197" t="str">
            <v>||\027&amp;a-1R</v>
          </cell>
        </row>
        <row r="198">
          <cell r="A198" t="str">
            <v>_</v>
          </cell>
          <cell r="B198" t="str">
            <v>_</v>
          </cell>
          <cell r="C198" t="str">
            <v>_</v>
          </cell>
          <cell r="D198" t="str">
            <v>_</v>
          </cell>
        </row>
        <row r="200">
          <cell r="A200" t="str">
            <v>INTEREST ON CUSTOMER DEPOSITS</v>
          </cell>
          <cell r="F200">
            <v>321</v>
          </cell>
          <cell r="H200">
            <v>324</v>
          </cell>
          <cell r="L200">
            <v>3</v>
          </cell>
        </row>
        <row r="201">
          <cell r="A201" t="str">
            <v>||\027&amp;a-1R</v>
          </cell>
        </row>
        <row r="202">
          <cell r="L202" t="str">
            <v>_</v>
          </cell>
        </row>
        <row r="203">
          <cell r="A203" t="str">
            <v>||\027&amp;a-60V</v>
          </cell>
        </row>
        <row r="204">
          <cell r="L204" t="str">
            <v>_</v>
          </cell>
        </row>
        <row r="207">
          <cell r="A207" t="str">
            <v>Effect on DCIT implicit in determination of tax change expected</v>
          </cell>
        </row>
        <row r="208">
          <cell r="B208" t="str">
            <v xml:space="preserve">    due to adjusted revenue - expense change</v>
          </cell>
          <cell r="L208">
            <v>0</v>
          </cell>
        </row>
        <row r="209">
          <cell r="A209" t="str">
            <v>||\027&amp;a-1R</v>
          </cell>
        </row>
        <row r="210">
          <cell r="L210" t="str">
            <v>_</v>
          </cell>
        </row>
        <row r="211">
          <cell r="A211" t="str">
            <v>||\027&amp;a-60V</v>
          </cell>
        </row>
        <row r="212">
          <cell r="L212" t="str">
            <v>_</v>
          </cell>
        </row>
        <row r="214">
          <cell r="A214" t="str">
            <v>Effect on FIT implicit in determination of tax change expected</v>
          </cell>
        </row>
        <row r="215">
          <cell r="B215" t="str">
            <v xml:space="preserve">    due to adjusted revenue - expense change</v>
          </cell>
          <cell r="L215">
            <v>-1</v>
          </cell>
        </row>
        <row r="216">
          <cell r="A216" t="str">
            <v>||\027&amp;a-1R</v>
          </cell>
        </row>
        <row r="217">
          <cell r="L217" t="str">
            <v>_</v>
          </cell>
        </row>
        <row r="218">
          <cell r="A218" t="str">
            <v>||\027&amp;a-60V</v>
          </cell>
        </row>
        <row r="219">
          <cell r="L219" t="str">
            <v>_</v>
          </cell>
        </row>
        <row r="224">
          <cell r="A224" t="str">
            <v>COMMON STOCK ISSUANCE COSTS</v>
          </cell>
          <cell r="F224">
            <v>54</v>
          </cell>
          <cell r="H224">
            <v>0</v>
          </cell>
          <cell r="L224">
            <v>-54</v>
          </cell>
        </row>
        <row r="225">
          <cell r="A225" t="str">
            <v>||\027&amp;a-1R</v>
          </cell>
        </row>
        <row r="226">
          <cell r="L226" t="str">
            <v>_</v>
          </cell>
        </row>
        <row r="227">
          <cell r="A227" t="str">
            <v>||\027&amp;a-60V</v>
          </cell>
        </row>
        <row r="228">
          <cell r="L228" t="str">
            <v>_</v>
          </cell>
        </row>
        <row r="231">
          <cell r="A231" t="str">
            <v>Effect on DCIT implicit in determination of tax change expected</v>
          </cell>
        </row>
        <row r="232">
          <cell r="B232" t="str">
            <v xml:space="preserve">    due to adjusted revenue - expense change</v>
          </cell>
          <cell r="L232">
            <v>6</v>
          </cell>
        </row>
        <row r="233">
          <cell r="A233" t="str">
            <v>||\027&amp;a-1R</v>
          </cell>
        </row>
        <row r="234">
          <cell r="L234" t="str">
            <v>_</v>
          </cell>
        </row>
        <row r="235">
          <cell r="A235" t="str">
            <v>||\027&amp;a-60V</v>
          </cell>
        </row>
        <row r="236">
          <cell r="L236" t="str">
            <v>_</v>
          </cell>
        </row>
        <row r="238">
          <cell r="A238" t="str">
            <v>Effect on FIT implicit in determination of tax change expected</v>
          </cell>
        </row>
        <row r="239">
          <cell r="B239" t="str">
            <v xml:space="preserve">    due to adjusted revenue - expense change</v>
          </cell>
          <cell r="L239">
            <v>17</v>
          </cell>
        </row>
        <row r="240">
          <cell r="A240" t="str">
            <v>||\027&amp;a-1R</v>
          </cell>
        </row>
        <row r="241">
          <cell r="L241" t="str">
            <v>_</v>
          </cell>
        </row>
        <row r="242">
          <cell r="A242" t="str">
            <v>||\027&amp;a-60V</v>
          </cell>
        </row>
        <row r="243">
          <cell r="L243" t="str">
            <v>_</v>
          </cell>
        </row>
        <row r="244">
          <cell r="A244" t="str">
            <v>||\012</v>
          </cell>
        </row>
        <row r="250">
          <cell r="D250" t="str">
            <v>F.C. No.</v>
          </cell>
          <cell r="F250" t="str">
            <v>F.C. No.</v>
          </cell>
          <cell r="L250" t="str">
            <v>Revenue</v>
          </cell>
          <cell r="AA250" t="str">
            <v>Int Synch</v>
          </cell>
        </row>
        <row r="251">
          <cell r="B251" t="str">
            <v xml:space="preserve">   FUNCTIONAL ANALYSIS OF SELECTED ITEMS</v>
          </cell>
          <cell r="D251" t="str">
            <v>912</v>
          </cell>
          <cell r="F251" t="str">
            <v>929</v>
          </cell>
          <cell r="H251" t="str">
            <v>Difference</v>
          </cell>
          <cell r="L251" t="str">
            <v>Requirement</v>
          </cell>
          <cell r="W251" t="str">
            <v>CT 1</v>
          </cell>
          <cell r="Y251" t="str">
            <v>CT 2</v>
          </cell>
          <cell r="AA251" t="str">
            <v>DCIT</v>
          </cell>
        </row>
        <row r="252">
          <cell r="A252" t="str">
            <v>||\027&amp;a-1R</v>
          </cell>
        </row>
        <row r="253">
          <cell r="B253" t="str">
            <v>_</v>
          </cell>
          <cell r="D253" t="str">
            <v>_</v>
          </cell>
          <cell r="F253" t="str">
            <v>_</v>
          </cell>
          <cell r="H253" t="str">
            <v>_</v>
          </cell>
          <cell r="L253" t="str">
            <v>_</v>
          </cell>
          <cell r="W253" t="str">
            <v>_</v>
          </cell>
          <cell r="Y253" t="str">
            <v>_</v>
          </cell>
          <cell r="AA253" t="str">
            <v>_</v>
          </cell>
        </row>
        <row r="255">
          <cell r="A255" t="str">
            <v>ELECTRIC PLANT IN SERVICE</v>
          </cell>
          <cell r="D255">
            <v>2535530</v>
          </cell>
          <cell r="F255">
            <v>2479575</v>
          </cell>
          <cell r="H255">
            <v>-55955</v>
          </cell>
          <cell r="L255">
            <v>-8456</v>
          </cell>
          <cell r="AA255">
            <v>234</v>
          </cell>
        </row>
        <row r="257">
          <cell r="B257" t="str">
            <v>Production</v>
          </cell>
          <cell r="D257">
            <v>735635</v>
          </cell>
          <cell r="F257">
            <v>819230</v>
          </cell>
          <cell r="H257">
            <v>83595</v>
          </cell>
          <cell r="L257">
            <v>12629</v>
          </cell>
          <cell r="W257">
            <v>721</v>
          </cell>
          <cell r="Y257">
            <v>4221</v>
          </cell>
          <cell r="AA257">
            <v>-350</v>
          </cell>
        </row>
        <row r="258">
          <cell r="B258" t="str">
            <v>Transmission</v>
          </cell>
          <cell r="D258">
            <v>251421</v>
          </cell>
          <cell r="F258">
            <v>285743</v>
          </cell>
          <cell r="H258">
            <v>34322</v>
          </cell>
          <cell r="L258">
            <v>5185</v>
          </cell>
          <cell r="W258">
            <v>-272</v>
          </cell>
          <cell r="Y258">
            <v>572</v>
          </cell>
          <cell r="AA258">
            <v>-144</v>
          </cell>
        </row>
        <row r="259">
          <cell r="B259" t="str">
            <v>Distribution</v>
          </cell>
          <cell r="D259">
            <v>888637</v>
          </cell>
          <cell r="F259">
            <v>973326</v>
          </cell>
          <cell r="H259">
            <v>84689</v>
          </cell>
          <cell r="L259">
            <v>12796</v>
          </cell>
          <cell r="W259" t="str">
            <v>-</v>
          </cell>
          <cell r="Y259" t="str">
            <v>-</v>
          </cell>
          <cell r="AA259">
            <v>-355</v>
          </cell>
        </row>
        <row r="260">
          <cell r="B260" t="str">
            <v>General</v>
          </cell>
          <cell r="D260">
            <v>128417</v>
          </cell>
          <cell r="F260">
            <v>127701</v>
          </cell>
          <cell r="H260">
            <v>-716</v>
          </cell>
          <cell r="L260">
            <v>-107</v>
          </cell>
          <cell r="W260">
            <v>33</v>
          </cell>
          <cell r="Y260">
            <v>47</v>
          </cell>
          <cell r="AA260">
            <v>3</v>
          </cell>
        </row>
        <row r="262">
          <cell r="B262" t="str">
            <v>Check</v>
          </cell>
          <cell r="D262">
            <v>2004110</v>
          </cell>
          <cell r="F262">
            <v>2206000</v>
          </cell>
          <cell r="H262">
            <v>201890</v>
          </cell>
          <cell r="L262">
            <v>30503</v>
          </cell>
          <cell r="W262">
            <v>482</v>
          </cell>
          <cell r="Y262">
            <v>4840</v>
          </cell>
          <cell r="AA262">
            <v>-846</v>
          </cell>
        </row>
        <row r="267">
          <cell r="A267" t="str">
            <v>ACCUMULATED DEPRECIATION</v>
          </cell>
          <cell r="D267">
            <v>-693708</v>
          </cell>
          <cell r="F267">
            <v>-664109</v>
          </cell>
          <cell r="H267">
            <v>29599</v>
          </cell>
          <cell r="L267">
            <v>4473</v>
          </cell>
          <cell r="AA267">
            <v>-124</v>
          </cell>
        </row>
        <row r="269">
          <cell r="B269" t="str">
            <v>Production</v>
          </cell>
          <cell r="D269">
            <v>-199863</v>
          </cell>
          <cell r="F269">
            <v>-219451</v>
          </cell>
          <cell r="H269">
            <v>-19588</v>
          </cell>
          <cell r="L269">
            <v>-2961</v>
          </cell>
          <cell r="W269">
            <v>-7</v>
          </cell>
          <cell r="Y269">
            <v>-82</v>
          </cell>
          <cell r="AA269">
            <v>81</v>
          </cell>
        </row>
        <row r="270">
          <cell r="B270" t="str">
            <v>Transmission</v>
          </cell>
          <cell r="D270">
            <v>-66783</v>
          </cell>
          <cell r="F270">
            <v>-80591</v>
          </cell>
          <cell r="H270">
            <v>-13808</v>
          </cell>
          <cell r="L270">
            <v>-2085</v>
          </cell>
          <cell r="W270">
            <v>7</v>
          </cell>
          <cell r="Y270">
            <v>-7</v>
          </cell>
          <cell r="AA270">
            <v>58</v>
          </cell>
        </row>
        <row r="271">
          <cell r="B271" t="str">
            <v>Distribution</v>
          </cell>
          <cell r="D271">
            <v>-214902</v>
          </cell>
          <cell r="F271">
            <v>-233882</v>
          </cell>
          <cell r="H271">
            <v>-18980</v>
          </cell>
          <cell r="L271">
            <v>-2868</v>
          </cell>
          <cell r="W271" t="str">
            <v>-</v>
          </cell>
          <cell r="Y271" t="str">
            <v>-</v>
          </cell>
          <cell r="AA271">
            <v>80</v>
          </cell>
        </row>
        <row r="272">
          <cell r="B272" t="str">
            <v>General</v>
          </cell>
          <cell r="D272">
            <v>-32423</v>
          </cell>
          <cell r="F272">
            <v>-41458</v>
          </cell>
          <cell r="H272">
            <v>-9035</v>
          </cell>
          <cell r="L272">
            <v>-1364</v>
          </cell>
          <cell r="W272">
            <v>-1</v>
          </cell>
          <cell r="Y272">
            <v>-2</v>
          </cell>
          <cell r="AA272">
            <v>38</v>
          </cell>
        </row>
        <row r="274">
          <cell r="B274" t="str">
            <v>Check</v>
          </cell>
          <cell r="D274">
            <v>-513971</v>
          </cell>
          <cell r="F274">
            <v>-575382</v>
          </cell>
          <cell r="H274">
            <v>-61411</v>
          </cell>
          <cell r="L274">
            <v>-9278</v>
          </cell>
          <cell r="W274">
            <v>-1</v>
          </cell>
          <cell r="Y274">
            <v>-91</v>
          </cell>
          <cell r="AA274">
            <v>257</v>
          </cell>
        </row>
        <row r="279">
          <cell r="A279" t="str">
            <v>DEPRECIATION EXPENSE</v>
          </cell>
          <cell r="D279">
            <v>62457</v>
          </cell>
          <cell r="F279">
            <v>61582</v>
          </cell>
          <cell r="H279">
            <v>-875</v>
          </cell>
          <cell r="L279">
            <v>-938</v>
          </cell>
        </row>
        <row r="281">
          <cell r="B281" t="str">
            <v>Production</v>
          </cell>
          <cell r="D281">
            <v>16437</v>
          </cell>
          <cell r="F281">
            <v>19286</v>
          </cell>
          <cell r="H281">
            <v>2849</v>
          </cell>
          <cell r="L281">
            <v>3054</v>
          </cell>
          <cell r="W281">
            <v>90</v>
          </cell>
          <cell r="Y281">
            <v>1793</v>
          </cell>
        </row>
        <row r="282">
          <cell r="B282" t="str">
            <v>Transmission</v>
          </cell>
          <cell r="D282">
            <v>5090</v>
          </cell>
          <cell r="F282">
            <v>6055</v>
          </cell>
          <cell r="H282">
            <v>965</v>
          </cell>
          <cell r="L282">
            <v>1034</v>
          </cell>
          <cell r="W282">
            <v>-88</v>
          </cell>
          <cell r="Y282">
            <v>228</v>
          </cell>
        </row>
        <row r="283">
          <cell r="B283" t="str">
            <v>Distribution</v>
          </cell>
          <cell r="D283">
            <v>21931</v>
          </cell>
          <cell r="F283">
            <v>23566</v>
          </cell>
          <cell r="H283">
            <v>1635</v>
          </cell>
          <cell r="L283">
            <v>1752</v>
          </cell>
          <cell r="W283" t="str">
            <v>-</v>
          </cell>
          <cell r="Y283" t="str">
            <v>-</v>
          </cell>
        </row>
        <row r="284">
          <cell r="B284" t="str">
            <v>General</v>
          </cell>
          <cell r="D284">
            <v>5568</v>
          </cell>
          <cell r="F284">
            <v>6383</v>
          </cell>
          <cell r="H284">
            <v>815</v>
          </cell>
          <cell r="L284">
            <v>874</v>
          </cell>
          <cell r="W284">
            <v>17</v>
          </cell>
          <cell r="Y284">
            <v>17</v>
          </cell>
        </row>
        <row r="286">
          <cell r="B286" t="str">
            <v>Check</v>
          </cell>
          <cell r="D286">
            <v>49026</v>
          </cell>
          <cell r="F286">
            <v>55290</v>
          </cell>
          <cell r="H286">
            <v>6264</v>
          </cell>
          <cell r="L286">
            <v>6714</v>
          </cell>
          <cell r="W286">
            <v>19</v>
          </cell>
          <cell r="Y286">
            <v>2038</v>
          </cell>
        </row>
        <row r="289">
          <cell r="B289" t="str">
            <v>TOTAL PER ABOVE</v>
          </cell>
          <cell r="W289">
            <v>500</v>
          </cell>
          <cell r="Y289">
            <v>6787</v>
          </cell>
        </row>
        <row r="290">
          <cell r="B290" t="str">
            <v>ADT</v>
          </cell>
          <cell r="W290">
            <v>-3</v>
          </cell>
          <cell r="Y290">
            <v>-1</v>
          </cell>
        </row>
        <row r="291">
          <cell r="B291" t="str">
            <v xml:space="preserve">TOTAL </v>
          </cell>
          <cell r="W291" t="str">
            <v xml:space="preserve">      ------</v>
          </cell>
          <cell r="Y291" t="str">
            <v xml:space="preserve">      ------</v>
          </cell>
        </row>
        <row r="292">
          <cell r="W292">
            <v>497</v>
          </cell>
          <cell r="Y292">
            <v>6786</v>
          </cell>
        </row>
        <row r="293">
          <cell r="A293" t="str">
            <v>||\012</v>
          </cell>
        </row>
        <row r="309">
          <cell r="A309" t="str">
            <v>STATION H CT-1</v>
          </cell>
        </row>
        <row r="310">
          <cell r="D310" t="str">
            <v>912</v>
          </cell>
          <cell r="F310" t="str">
            <v>8 &amp; 4</v>
          </cell>
          <cell r="H310" t="str">
            <v>Difference</v>
          </cell>
          <cell r="L310" t="str">
            <v>DCIT</v>
          </cell>
          <cell r="W310" t="str">
            <v>FIT</v>
          </cell>
          <cell r="Y310" t="str">
            <v>REV REQ</v>
          </cell>
        </row>
        <row r="311">
          <cell r="D311" t="str">
            <v>-</v>
          </cell>
          <cell r="F311" t="str">
            <v>-</v>
          </cell>
          <cell r="H311" t="str">
            <v>-</v>
          </cell>
          <cell r="L311" t="str">
            <v>-</v>
          </cell>
          <cell r="W311" t="str">
            <v>-</v>
          </cell>
          <cell r="Y311" t="str">
            <v>-</v>
          </cell>
        </row>
        <row r="312">
          <cell r="A312" t="str">
            <v>RATE BASE</v>
          </cell>
        </row>
        <row r="314">
          <cell r="A314" t="str">
            <v>SYSTEM EPIS</v>
          </cell>
        </row>
        <row r="315">
          <cell r="A315" t="str">
            <v xml:space="preserve">  Production</v>
          </cell>
          <cell r="D315">
            <v>101890</v>
          </cell>
          <cell r="F315">
            <v>110769</v>
          </cell>
        </row>
        <row r="316">
          <cell r="A316" t="str">
            <v xml:space="preserve">  Transmission</v>
          </cell>
          <cell r="D316">
            <v>28340</v>
          </cell>
          <cell r="F316">
            <v>23088</v>
          </cell>
        </row>
        <row r="317">
          <cell r="A317" t="str">
            <v xml:space="preserve">  General</v>
          </cell>
          <cell r="D317" t="str">
            <v>-</v>
          </cell>
          <cell r="F317">
            <v>466</v>
          </cell>
        </row>
        <row r="319">
          <cell r="A319" t="str">
            <v>D.C. ALLOCATED EPIS</v>
          </cell>
        </row>
        <row r="320">
          <cell r="A320" t="str">
            <v xml:space="preserve">  Production</v>
          </cell>
          <cell r="D320">
            <v>38504</v>
          </cell>
          <cell r="F320">
            <v>43300</v>
          </cell>
        </row>
        <row r="321">
          <cell r="A321" t="str">
            <v xml:space="preserve">  Transmission </v>
          </cell>
          <cell r="D321">
            <v>10710</v>
          </cell>
          <cell r="F321">
            <v>9025</v>
          </cell>
        </row>
        <row r="322">
          <cell r="A322" t="str">
            <v xml:space="preserve">  General </v>
          </cell>
          <cell r="D322" t="str">
            <v>-</v>
          </cell>
          <cell r="F322">
            <v>202</v>
          </cell>
        </row>
        <row r="323">
          <cell r="D323" t="str">
            <v>-</v>
          </cell>
          <cell r="F323" t="str">
            <v>-</v>
          </cell>
        </row>
        <row r="324">
          <cell r="D324">
            <v>49214</v>
          </cell>
          <cell r="F324">
            <v>52527</v>
          </cell>
        </row>
        <row r="325">
          <cell r="A325" t="str">
            <v>D.C. AFUDC</v>
          </cell>
        </row>
        <row r="326">
          <cell r="A326" t="str">
            <v xml:space="preserve">  Production</v>
          </cell>
          <cell r="D326">
            <v>8572</v>
          </cell>
          <cell r="F326">
            <v>8542</v>
          </cell>
        </row>
        <row r="327">
          <cell r="A327" t="str">
            <v xml:space="preserve">  Transmission </v>
          </cell>
          <cell r="D327">
            <v>1437</v>
          </cell>
          <cell r="F327">
            <v>1332</v>
          </cell>
        </row>
        <row r="328">
          <cell r="A328" t="str">
            <v xml:space="preserve">  General </v>
          </cell>
          <cell r="D328" t="str">
            <v>-</v>
          </cell>
          <cell r="F328">
            <v>20</v>
          </cell>
        </row>
        <row r="329">
          <cell r="D329" t="str">
            <v>-</v>
          </cell>
          <cell r="F329" t="str">
            <v>-</v>
          </cell>
        </row>
        <row r="330">
          <cell r="D330">
            <v>10009</v>
          </cell>
          <cell r="F330">
            <v>9894</v>
          </cell>
        </row>
        <row r="332">
          <cell r="A332" t="str">
            <v>Net EPIS</v>
          </cell>
        </row>
        <row r="333">
          <cell r="A333" t="str">
            <v xml:space="preserve">  Production</v>
          </cell>
          <cell r="D333">
            <v>47076</v>
          </cell>
          <cell r="F333">
            <v>51842</v>
          </cell>
          <cell r="H333">
            <v>4766</v>
          </cell>
          <cell r="Y333">
            <v>861</v>
          </cell>
        </row>
        <row r="334">
          <cell r="A334" t="str">
            <v xml:space="preserve">  Transmission </v>
          </cell>
          <cell r="D334">
            <v>12147</v>
          </cell>
          <cell r="F334">
            <v>10357</v>
          </cell>
          <cell r="H334">
            <v>-1790</v>
          </cell>
          <cell r="Y334">
            <v>-323</v>
          </cell>
        </row>
        <row r="335">
          <cell r="A335" t="str">
            <v xml:space="preserve">  General </v>
          </cell>
          <cell r="D335" t="str">
            <v>-</v>
          </cell>
          <cell r="F335">
            <v>222</v>
          </cell>
          <cell r="H335">
            <v>222</v>
          </cell>
          <cell r="Y335">
            <v>40</v>
          </cell>
        </row>
        <row r="336">
          <cell r="D336" t="str">
            <v>-</v>
          </cell>
          <cell r="F336" t="str">
            <v>-</v>
          </cell>
          <cell r="H336" t="str">
            <v>-</v>
          </cell>
          <cell r="Y336" t="str">
            <v>-</v>
          </cell>
        </row>
        <row r="337">
          <cell r="A337" t="str">
            <v xml:space="preserve">  Net EPIS</v>
          </cell>
          <cell r="D337">
            <v>59223</v>
          </cell>
          <cell r="F337">
            <v>62421</v>
          </cell>
          <cell r="H337">
            <v>3198</v>
          </cell>
          <cell r="Y337">
            <v>578</v>
          </cell>
        </row>
        <row r="338">
          <cell r="Y338" t="str">
            <v>=</v>
          </cell>
        </row>
        <row r="339">
          <cell r="A339" t="str">
            <v>ACCUMULATED DEPR</v>
          </cell>
        </row>
        <row r="340">
          <cell r="A340" t="str">
            <v xml:space="preserve">  Production</v>
          </cell>
          <cell r="D340">
            <v>-795</v>
          </cell>
          <cell r="F340">
            <v>-836</v>
          </cell>
          <cell r="H340">
            <v>-41</v>
          </cell>
          <cell r="Y340">
            <v>-7</v>
          </cell>
        </row>
        <row r="341">
          <cell r="A341" t="str">
            <v xml:space="preserve">  Transmission </v>
          </cell>
          <cell r="D341">
            <v>-147</v>
          </cell>
          <cell r="F341">
            <v>-107</v>
          </cell>
          <cell r="H341">
            <v>40</v>
          </cell>
          <cell r="Y341">
            <v>7</v>
          </cell>
        </row>
        <row r="342">
          <cell r="A342" t="str">
            <v xml:space="preserve">  General </v>
          </cell>
          <cell r="D342" t="str">
            <v>-</v>
          </cell>
          <cell r="F342">
            <v>-8</v>
          </cell>
          <cell r="H342">
            <v>-8</v>
          </cell>
          <cell r="Y342">
            <v>-1</v>
          </cell>
        </row>
        <row r="343">
          <cell r="D343" t="str">
            <v>-</v>
          </cell>
          <cell r="F343" t="str">
            <v>-</v>
          </cell>
          <cell r="H343" t="str">
            <v>-</v>
          </cell>
          <cell r="Y343" t="str">
            <v>-</v>
          </cell>
        </row>
        <row r="344">
          <cell r="A344" t="str">
            <v xml:space="preserve">  Accum depr</v>
          </cell>
          <cell r="D344">
            <v>-942</v>
          </cell>
          <cell r="F344">
            <v>-951</v>
          </cell>
          <cell r="H344">
            <v>-9</v>
          </cell>
          <cell r="Y344">
            <v>-1</v>
          </cell>
        </row>
        <row r="345">
          <cell r="Y345" t="str">
            <v>=</v>
          </cell>
        </row>
        <row r="347">
          <cell r="A347" t="str">
            <v>ADT  (Assume all production)</v>
          </cell>
          <cell r="D347">
            <v>2</v>
          </cell>
          <cell r="F347">
            <v>-14</v>
          </cell>
          <cell r="H347">
            <v>-16</v>
          </cell>
          <cell r="Y347">
            <v>-3</v>
          </cell>
        </row>
        <row r="348">
          <cell r="D348" t="str">
            <v>-</v>
          </cell>
          <cell r="F348" t="str">
            <v>-</v>
          </cell>
          <cell r="H348" t="str">
            <v>-</v>
          </cell>
          <cell r="Y348" t="str">
            <v>=</v>
          </cell>
        </row>
        <row r="349">
          <cell r="A349" t="str">
            <v>NET RATE BASE</v>
          </cell>
        </row>
        <row r="350">
          <cell r="A350" t="str">
            <v xml:space="preserve">  Production</v>
          </cell>
          <cell r="D350">
            <v>46283</v>
          </cell>
          <cell r="F350">
            <v>50992</v>
          </cell>
          <cell r="H350">
            <v>4709</v>
          </cell>
          <cell r="Y350">
            <v>851</v>
          </cell>
        </row>
        <row r="351">
          <cell r="A351" t="str">
            <v xml:space="preserve">  Transmission </v>
          </cell>
          <cell r="D351">
            <v>12000</v>
          </cell>
          <cell r="F351">
            <v>10250</v>
          </cell>
          <cell r="H351">
            <v>-1750</v>
          </cell>
          <cell r="Y351">
            <v>-316</v>
          </cell>
        </row>
        <row r="352">
          <cell r="A352" t="str">
            <v xml:space="preserve">  General </v>
          </cell>
          <cell r="D352" t="str">
            <v>-</v>
          </cell>
          <cell r="F352">
            <v>214</v>
          </cell>
          <cell r="H352">
            <v>214</v>
          </cell>
          <cell r="Y352">
            <v>39</v>
          </cell>
        </row>
        <row r="353">
          <cell r="D353" t="str">
            <v>-</v>
          </cell>
          <cell r="F353" t="str">
            <v>-</v>
          </cell>
          <cell r="H353" t="str">
            <v>-</v>
          </cell>
          <cell r="Y353" t="str">
            <v>-</v>
          </cell>
        </row>
        <row r="355">
          <cell r="A355" t="str">
            <v>NET ADDITION TO RATE BASE</v>
          </cell>
          <cell r="D355">
            <v>58283</v>
          </cell>
          <cell r="F355">
            <v>61456</v>
          </cell>
          <cell r="H355">
            <v>3173</v>
          </cell>
          <cell r="Y355">
            <v>574</v>
          </cell>
        </row>
        <row r="357">
          <cell r="A357" t="str">
            <v>INTEREST SYNCH:    (attribute 100% to EPIS)</v>
          </cell>
        </row>
        <row r="358">
          <cell r="B358" t="str">
            <v>wtd cost of debt (912)</v>
          </cell>
          <cell r="D358">
            <v>3.9900000000000005E-2</v>
          </cell>
          <cell r="F358">
            <v>3.9900000000000005E-2</v>
          </cell>
          <cell r="H358">
            <v>3.9900000000000005E-2</v>
          </cell>
        </row>
        <row r="360">
          <cell r="A360" t="str">
            <v xml:space="preserve">  Production</v>
          </cell>
          <cell r="D360">
            <v>1847</v>
          </cell>
          <cell r="F360">
            <v>2035</v>
          </cell>
          <cell r="H360">
            <v>188</v>
          </cell>
          <cell r="L360">
            <v>-20</v>
          </cell>
          <cell r="W360">
            <v>-57</v>
          </cell>
          <cell r="Y360">
            <v>-140</v>
          </cell>
        </row>
        <row r="361">
          <cell r="A361" t="str">
            <v xml:space="preserve">  Transmission </v>
          </cell>
          <cell r="D361">
            <v>479</v>
          </cell>
          <cell r="F361">
            <v>409</v>
          </cell>
          <cell r="H361">
            <v>-70</v>
          </cell>
          <cell r="L361">
            <v>7</v>
          </cell>
          <cell r="W361">
            <v>21</v>
          </cell>
          <cell r="Y361">
            <v>51</v>
          </cell>
        </row>
        <row r="362">
          <cell r="A362" t="str">
            <v xml:space="preserve">  General </v>
          </cell>
          <cell r="D362">
            <v>0</v>
          </cell>
          <cell r="F362">
            <v>9</v>
          </cell>
          <cell r="H362">
            <v>9</v>
          </cell>
          <cell r="L362">
            <v>-1</v>
          </cell>
          <cell r="W362">
            <v>-3</v>
          </cell>
          <cell r="Y362">
            <v>-7</v>
          </cell>
        </row>
        <row r="363">
          <cell r="D363" t="str">
            <v>-</v>
          </cell>
          <cell r="F363" t="str">
            <v>-</v>
          </cell>
          <cell r="H363" t="str">
            <v>-</v>
          </cell>
          <cell r="L363" t="str">
            <v>-</v>
          </cell>
          <cell r="W363" t="str">
            <v>-</v>
          </cell>
          <cell r="Y363" t="str">
            <v>-</v>
          </cell>
        </row>
        <row r="364">
          <cell r="D364">
            <v>2326</v>
          </cell>
          <cell r="F364">
            <v>2453</v>
          </cell>
          <cell r="H364">
            <v>127</v>
          </cell>
          <cell r="L364">
            <v>-14</v>
          </cell>
          <cell r="W364">
            <v>-39</v>
          </cell>
          <cell r="Y364">
            <v>-96</v>
          </cell>
        </row>
        <row r="365">
          <cell r="A365" t="str">
            <v>TOTAL REVENUE REQUIREMENT ASSOC W/ RATE BASE</v>
          </cell>
        </row>
        <row r="366">
          <cell r="A366" t="str">
            <v xml:space="preserve">  Production</v>
          </cell>
          <cell r="Y366">
            <v>711</v>
          </cell>
        </row>
        <row r="367">
          <cell r="A367" t="str">
            <v xml:space="preserve">  Transmission </v>
          </cell>
          <cell r="Y367">
            <v>-265</v>
          </cell>
        </row>
        <row r="368">
          <cell r="A368" t="str">
            <v xml:space="preserve">  General </v>
          </cell>
          <cell r="Y368">
            <v>32</v>
          </cell>
        </row>
        <row r="369">
          <cell r="Y369" t="str">
            <v>-</v>
          </cell>
        </row>
        <row r="370">
          <cell r="Y370">
            <v>478</v>
          </cell>
        </row>
        <row r="372">
          <cell r="A372" t="str">
            <v>Depreciation exp</v>
          </cell>
        </row>
        <row r="373">
          <cell r="A373" t="str">
            <v xml:space="preserve">  Production</v>
          </cell>
          <cell r="D373">
            <v>1589</v>
          </cell>
          <cell r="F373">
            <v>1673</v>
          </cell>
          <cell r="H373">
            <v>84</v>
          </cell>
          <cell r="Y373">
            <v>90</v>
          </cell>
        </row>
        <row r="374">
          <cell r="A374" t="str">
            <v xml:space="preserve">  Transmission </v>
          </cell>
          <cell r="D374">
            <v>295</v>
          </cell>
          <cell r="F374">
            <v>213</v>
          </cell>
          <cell r="H374">
            <v>-82</v>
          </cell>
          <cell r="Y374">
            <v>-88</v>
          </cell>
        </row>
        <row r="375">
          <cell r="A375" t="str">
            <v xml:space="preserve">  General </v>
          </cell>
          <cell r="D375" t="str">
            <v>-</v>
          </cell>
          <cell r="F375">
            <v>16</v>
          </cell>
          <cell r="H375">
            <v>16</v>
          </cell>
          <cell r="Y375">
            <v>17</v>
          </cell>
        </row>
        <row r="376">
          <cell r="D376" t="str">
            <v>-</v>
          </cell>
          <cell r="F376" t="str">
            <v>-</v>
          </cell>
          <cell r="H376" t="str">
            <v>-</v>
          </cell>
          <cell r="Y376" t="str">
            <v>-</v>
          </cell>
        </row>
        <row r="377">
          <cell r="D377">
            <v>1884</v>
          </cell>
          <cell r="F377">
            <v>1902</v>
          </cell>
          <cell r="H377">
            <v>18</v>
          </cell>
          <cell r="Y377">
            <v>19</v>
          </cell>
        </row>
        <row r="379">
          <cell r="A379" t="str">
            <v>Total revenue requirement impact with int synch</v>
          </cell>
          <cell r="Y379">
            <v>497</v>
          </cell>
        </row>
        <row r="380">
          <cell r="Y380" t="str">
            <v>=</v>
          </cell>
        </row>
        <row r="382">
          <cell r="A382" t="str">
            <v>||\012</v>
          </cell>
        </row>
        <row r="388">
          <cell r="A388" t="str">
            <v>STATION H CT-2</v>
          </cell>
        </row>
        <row r="389">
          <cell r="D389" t="str">
            <v>912</v>
          </cell>
          <cell r="F389" t="str">
            <v>8 &amp; 4</v>
          </cell>
          <cell r="H389" t="str">
            <v>Difference</v>
          </cell>
          <cell r="L389" t="str">
            <v>DCIT</v>
          </cell>
          <cell r="W389" t="str">
            <v>FIT</v>
          </cell>
          <cell r="Y389" t="str">
            <v>REV REQ</v>
          </cell>
        </row>
        <row r="390">
          <cell r="D390" t="str">
            <v>-</v>
          </cell>
          <cell r="F390" t="str">
            <v>-</v>
          </cell>
          <cell r="H390" t="str">
            <v>-</v>
          </cell>
          <cell r="L390" t="str">
            <v>-</v>
          </cell>
          <cell r="W390" t="str">
            <v>-</v>
          </cell>
          <cell r="Y390" t="str">
            <v>-</v>
          </cell>
        </row>
        <row r="391">
          <cell r="A391" t="str">
            <v>RATE BASE</v>
          </cell>
        </row>
        <row r="393">
          <cell r="A393" t="str">
            <v>SYSTEM EPIS</v>
          </cell>
        </row>
        <row r="394">
          <cell r="A394" t="str">
            <v xml:space="preserve">  Production</v>
          </cell>
          <cell r="F394">
            <v>61694</v>
          </cell>
        </row>
        <row r="395">
          <cell r="A395" t="str">
            <v xml:space="preserve">  Transmission</v>
          </cell>
          <cell r="F395">
            <v>8781</v>
          </cell>
        </row>
        <row r="396">
          <cell r="A396" t="str">
            <v xml:space="preserve">  General</v>
          </cell>
          <cell r="F396">
            <v>642</v>
          </cell>
        </row>
        <row r="398">
          <cell r="A398" t="str">
            <v>D.C. ALLOCATED EPIS</v>
          </cell>
        </row>
        <row r="399">
          <cell r="A399" t="str">
            <v xml:space="preserve">  Production</v>
          </cell>
          <cell r="F399">
            <v>24122</v>
          </cell>
        </row>
        <row r="400">
          <cell r="A400" t="str">
            <v xml:space="preserve">  Transmission </v>
          </cell>
          <cell r="F400">
            <v>3433</v>
          </cell>
        </row>
        <row r="401">
          <cell r="A401" t="str">
            <v xml:space="preserve">  General </v>
          </cell>
          <cell r="F401">
            <v>278</v>
          </cell>
        </row>
        <row r="402">
          <cell r="F402" t="str">
            <v>-</v>
          </cell>
        </row>
        <row r="403">
          <cell r="F403">
            <v>27833</v>
          </cell>
        </row>
        <row r="404">
          <cell r="A404" t="str">
            <v xml:space="preserve">D.C. AFUDC </v>
          </cell>
        </row>
        <row r="405">
          <cell r="A405" t="str">
            <v xml:space="preserve">  Production</v>
          </cell>
          <cell r="F405">
            <v>3140</v>
          </cell>
        </row>
        <row r="406">
          <cell r="A406" t="str">
            <v xml:space="preserve">  Transmission </v>
          </cell>
          <cell r="F406">
            <v>179</v>
          </cell>
        </row>
        <row r="407">
          <cell r="A407" t="str">
            <v xml:space="preserve">  General </v>
          </cell>
          <cell r="F407">
            <v>19</v>
          </cell>
        </row>
        <row r="408">
          <cell r="F408" t="str">
            <v>-</v>
          </cell>
        </row>
        <row r="409">
          <cell r="F409">
            <v>3338</v>
          </cell>
        </row>
        <row r="411">
          <cell r="A411" t="str">
            <v>D.C. CCRF</v>
          </cell>
        </row>
        <row r="412">
          <cell r="A412" t="str">
            <v xml:space="preserve">  Production</v>
          </cell>
          <cell r="F412">
            <v>593</v>
          </cell>
        </row>
        <row r="413">
          <cell r="A413" t="str">
            <v xml:space="preserve">  Transmission </v>
          </cell>
          <cell r="F413">
            <v>169</v>
          </cell>
        </row>
        <row r="414">
          <cell r="F414" t="str">
            <v>-</v>
          </cell>
        </row>
      </sheetData>
      <sheetData sheetId="1">
        <row r="2">
          <cell r="A2" t="str">
            <v>POTOMAC ELECTRIC POWER COMPANY</v>
          </cell>
        </row>
        <row r="4">
          <cell r="A4" t="str">
            <v>Comparison of D.C. Revenue Requirement</v>
          </cell>
        </row>
        <row r="5">
          <cell r="A5" t="str">
            <v>Formal Case 939 (Per Order; 12/31/94  6&amp;6)  vs. December 1995 (Actual)</v>
          </cell>
        </row>
        <row r="6">
          <cell r="J6" t="str">
            <v>Revenue</v>
          </cell>
        </row>
        <row r="7">
          <cell r="J7" t="str">
            <v>Requirement</v>
          </cell>
        </row>
        <row r="8">
          <cell r="J8" t="str">
            <v>Including Effect</v>
          </cell>
        </row>
        <row r="9">
          <cell r="D9" t="str">
            <v>F.C. 939</v>
          </cell>
          <cell r="F9" t="str">
            <v>12 Months</v>
          </cell>
          <cell r="J9" t="str">
            <v>Of Interest</v>
          </cell>
        </row>
        <row r="10">
          <cell r="D10" t="str">
            <v>Per Order</v>
          </cell>
          <cell r="F10" t="str">
            <v>Ended 12/31/95</v>
          </cell>
          <cell r="H10" t="str">
            <v>Difference</v>
          </cell>
          <cell r="J10" t="str">
            <v>Synch</v>
          </cell>
        </row>
        <row r="11">
          <cell r="A11" t="str">
            <v>RATE BASE</v>
          </cell>
        </row>
        <row r="12">
          <cell r="B12" t="str">
            <v>Electric Plant in Service</v>
          </cell>
          <cell r="D12">
            <v>2535530</v>
          </cell>
          <cell r="F12">
            <v>2479575</v>
          </cell>
          <cell r="H12">
            <v>-55955</v>
          </cell>
          <cell r="J12">
            <v>-8238</v>
          </cell>
          <cell r="L12">
            <v>242</v>
          </cell>
          <cell r="N12">
            <v>1178</v>
          </cell>
        </row>
        <row r="13">
          <cell r="B13" t="str">
            <v>Pollution Control CWIP</v>
          </cell>
          <cell r="D13">
            <v>4115</v>
          </cell>
          <cell r="F13">
            <v>7587</v>
          </cell>
          <cell r="H13">
            <v>3472</v>
          </cell>
          <cell r="J13">
            <v>511</v>
          </cell>
          <cell r="L13">
            <v>-15</v>
          </cell>
          <cell r="N13">
            <v>-73</v>
          </cell>
        </row>
        <row r="14">
          <cell r="B14" t="str">
            <v>Unamortized Unbilled Revenue Adj</v>
          </cell>
          <cell r="D14">
            <v>-595</v>
          </cell>
          <cell r="F14">
            <v>-1784</v>
          </cell>
          <cell r="H14">
            <v>-1189</v>
          </cell>
          <cell r="J14">
            <v>-175</v>
          </cell>
          <cell r="L14">
            <v>5</v>
          </cell>
          <cell r="N14">
            <v>25</v>
          </cell>
        </row>
        <row r="15">
          <cell r="B15" t="str">
            <v>Materials &amp; Supplies</v>
          </cell>
          <cell r="D15">
            <v>56273</v>
          </cell>
          <cell r="F15">
            <v>59473</v>
          </cell>
          <cell r="H15">
            <v>3200</v>
          </cell>
          <cell r="J15">
            <v>471</v>
          </cell>
          <cell r="L15">
            <v>-14</v>
          </cell>
          <cell r="N15">
            <v>-67</v>
          </cell>
        </row>
        <row r="16">
          <cell r="B16" t="str">
            <v>DSM Programs (F.C. 929 vintage)</v>
          </cell>
          <cell r="D16">
            <v>18147</v>
          </cell>
          <cell r="F16">
            <v>20327</v>
          </cell>
          <cell r="H16">
            <v>2180</v>
          </cell>
          <cell r="J16">
            <v>321</v>
          </cell>
          <cell r="L16">
            <v>-9</v>
          </cell>
          <cell r="N16">
            <v>-46</v>
          </cell>
        </row>
        <row r="17">
          <cell r="B17" t="str">
            <v>Cash Working Capital</v>
          </cell>
          <cell r="D17">
            <v>39141</v>
          </cell>
          <cell r="F17">
            <v>39048</v>
          </cell>
          <cell r="H17">
            <v>-93</v>
          </cell>
          <cell r="J17">
            <v>-14</v>
          </cell>
          <cell r="L17">
            <v>0</v>
          </cell>
          <cell r="N17">
            <v>2</v>
          </cell>
        </row>
        <row r="18">
          <cell r="B18" t="str">
            <v>Accumulated Depreciation</v>
          </cell>
          <cell r="D18">
            <v>-693708</v>
          </cell>
          <cell r="F18">
            <v>-664109</v>
          </cell>
          <cell r="H18">
            <v>29599</v>
          </cell>
          <cell r="J18">
            <v>4358</v>
          </cell>
          <cell r="L18">
            <v>-128</v>
          </cell>
          <cell r="N18">
            <v>-623</v>
          </cell>
        </row>
        <row r="19">
          <cell r="B19" t="str">
            <v>Accumulated Amortization</v>
          </cell>
          <cell r="D19">
            <v>-5678</v>
          </cell>
          <cell r="F19">
            <v>-4694</v>
          </cell>
          <cell r="H19">
            <v>984</v>
          </cell>
          <cell r="J19">
            <v>145</v>
          </cell>
          <cell r="L19">
            <v>-4</v>
          </cell>
          <cell r="N19">
            <v>-21</v>
          </cell>
        </row>
        <row r="20">
          <cell r="B20" t="str">
            <v>Accumulated Deferred Taxes</v>
          </cell>
          <cell r="D20">
            <v>-281367</v>
          </cell>
          <cell r="F20">
            <v>-262891</v>
          </cell>
          <cell r="H20">
            <v>18476</v>
          </cell>
          <cell r="J20">
            <v>2720</v>
          </cell>
          <cell r="L20">
            <v>-80</v>
          </cell>
          <cell r="N20">
            <v>-389</v>
          </cell>
        </row>
        <row r="21">
          <cell r="B21" t="str">
            <v>Customer Deposits</v>
          </cell>
          <cell r="D21">
            <v>-12814</v>
          </cell>
          <cell r="F21">
            <v>-12698</v>
          </cell>
          <cell r="H21">
            <v>116</v>
          </cell>
          <cell r="J21">
            <v>17</v>
          </cell>
          <cell r="L21">
            <v>-1</v>
          </cell>
          <cell r="N21">
            <v>-2</v>
          </cell>
        </row>
        <row r="23">
          <cell r="B23" t="str">
            <v>TOTAL RATE BASE</v>
          </cell>
          <cell r="D23">
            <v>1659044</v>
          </cell>
          <cell r="F23">
            <v>1659834</v>
          </cell>
          <cell r="H23">
            <v>790</v>
          </cell>
          <cell r="J23">
            <v>116</v>
          </cell>
          <cell r="L23">
            <v>-4</v>
          </cell>
          <cell r="N23">
            <v>-16</v>
          </cell>
        </row>
        <row r="25">
          <cell r="A25" t="str">
            <v>OPERATING REVENUE</v>
          </cell>
        </row>
        <row r="26">
          <cell r="B26" t="str">
            <v>Non-fuel base (incl 10% GRT)</v>
          </cell>
          <cell r="D26">
            <v>489726</v>
          </cell>
          <cell r="F26">
            <v>480581</v>
          </cell>
          <cell r="H26">
            <v>-9145</v>
          </cell>
          <cell r="J26">
            <v>9145</v>
          </cell>
        </row>
        <row r="27">
          <cell r="B27" t="str">
            <v>10% GRT on Fuel In Base</v>
          </cell>
          <cell r="D27">
            <v>28143</v>
          </cell>
          <cell r="F27">
            <v>28242</v>
          </cell>
          <cell r="H27">
            <v>99</v>
          </cell>
        </row>
        <row r="28">
          <cell r="B28" t="str">
            <v xml:space="preserve">          Subtotal</v>
          </cell>
          <cell r="D28">
            <v>517869</v>
          </cell>
          <cell r="F28">
            <v>508823</v>
          </cell>
          <cell r="H28">
            <v>-9046</v>
          </cell>
        </row>
        <row r="30">
          <cell r="B30" t="str">
            <v>Fuel In Base (excl GRT)</v>
          </cell>
          <cell r="D30">
            <v>253315</v>
          </cell>
          <cell r="F30">
            <v>254200</v>
          </cell>
          <cell r="H30">
            <v>885</v>
          </cell>
        </row>
        <row r="32">
          <cell r="B32" t="str">
            <v>TOTAL BASE BEFORE GRANTED INCR</v>
          </cell>
          <cell r="D32">
            <v>771184</v>
          </cell>
          <cell r="F32">
            <v>763023</v>
          </cell>
          <cell r="H32">
            <v>-8161</v>
          </cell>
        </row>
        <row r="34">
          <cell r="B34" t="str">
            <v>Fuel Clause (excl GRT)</v>
          </cell>
          <cell r="D34">
            <v>-18178</v>
          </cell>
          <cell r="F34">
            <v>-21536</v>
          </cell>
          <cell r="H34">
            <v>-3358</v>
          </cell>
        </row>
        <row r="35">
          <cell r="B35" t="str">
            <v>10% GRT on Fuel Clause Revenue</v>
          </cell>
          <cell r="D35">
            <v>-2020</v>
          </cell>
          <cell r="F35">
            <v>-2393</v>
          </cell>
          <cell r="H35">
            <v>-373</v>
          </cell>
        </row>
        <row r="37">
          <cell r="B37" t="str">
            <v>TOTAL FUEL CLAUSE REVENUE</v>
          </cell>
          <cell r="D37">
            <v>-20198</v>
          </cell>
          <cell r="F37">
            <v>-23929</v>
          </cell>
          <cell r="H37">
            <v>-3731</v>
          </cell>
        </row>
        <row r="39">
          <cell r="B39" t="str">
            <v>SALE OF ELEC BEFORE GRANTED INCR</v>
          </cell>
          <cell r="D39">
            <v>750986</v>
          </cell>
          <cell r="F39">
            <v>739094</v>
          </cell>
          <cell r="H39">
            <v>-11892</v>
          </cell>
        </row>
        <row r="41">
          <cell r="B41" t="str">
            <v>Granted increase (10% GRT)</v>
          </cell>
          <cell r="D41">
            <v>27887</v>
          </cell>
          <cell r="H41">
            <v>-27887</v>
          </cell>
          <cell r="J41">
            <v>27887</v>
          </cell>
        </row>
        <row r="43">
          <cell r="B43" t="str">
            <v>TOTAL SALE OF ELECTRICITY</v>
          </cell>
          <cell r="D43">
            <v>778873</v>
          </cell>
          <cell r="F43">
            <v>739094</v>
          </cell>
          <cell r="H43">
            <v>-39779</v>
          </cell>
          <cell r="J43">
            <v>37032</v>
          </cell>
        </row>
        <row r="45">
          <cell r="B45" t="str">
            <v>TOTAL OTHER REVENUES</v>
          </cell>
          <cell r="D45">
            <v>3810</v>
          </cell>
          <cell r="F45">
            <v>3465</v>
          </cell>
          <cell r="H45">
            <v>-345</v>
          </cell>
          <cell r="J45">
            <v>345</v>
          </cell>
        </row>
        <row r="47">
          <cell r="A47" t="str">
            <v>TOTAL OPERATING REVENUE</v>
          </cell>
          <cell r="D47">
            <v>782683</v>
          </cell>
          <cell r="F47">
            <v>742559</v>
          </cell>
          <cell r="H47">
            <v>-40124</v>
          </cell>
          <cell r="J47">
            <v>37377</v>
          </cell>
        </row>
        <row r="49">
          <cell r="A49" t="str">
            <v>OPERATING EXPENSES</v>
          </cell>
        </row>
        <row r="50">
          <cell r="B50" t="str">
            <v>Net Fuel &amp; Interchange</v>
          </cell>
          <cell r="D50">
            <v>186628</v>
          </cell>
          <cell r="F50">
            <v>185879</v>
          </cell>
          <cell r="H50">
            <v>-749</v>
          </cell>
        </row>
        <row r="51">
          <cell r="B51" t="str">
            <v>Capacity Purchase Payments</v>
          </cell>
          <cell r="D51">
            <v>48104</v>
          </cell>
          <cell r="F51">
            <v>50157</v>
          </cell>
          <cell r="H51">
            <v>2053</v>
          </cell>
        </row>
        <row r="52">
          <cell r="B52" t="str">
            <v xml:space="preserve">                           Subtotal</v>
          </cell>
          <cell r="D52">
            <v>234732</v>
          </cell>
          <cell r="F52">
            <v>236036</v>
          </cell>
          <cell r="H52">
            <v>1304</v>
          </cell>
          <cell r="J52">
            <v>4197</v>
          </cell>
        </row>
        <row r="54">
          <cell r="B54" t="str">
            <v>Other O &amp; M</v>
          </cell>
          <cell r="D54">
            <v>127003</v>
          </cell>
          <cell r="F54">
            <v>121661</v>
          </cell>
          <cell r="H54">
            <v>-5342</v>
          </cell>
          <cell r="J54">
            <v>-5936</v>
          </cell>
        </row>
        <row r="55">
          <cell r="B55" t="str">
            <v>DSM Amortization</v>
          </cell>
          <cell r="D55">
            <v>8879</v>
          </cell>
          <cell r="F55">
            <v>5568</v>
          </cell>
          <cell r="H55">
            <v>-3311</v>
          </cell>
          <cell r="J55">
            <v>-3679</v>
          </cell>
        </row>
        <row r="56">
          <cell r="B56" t="str">
            <v>Depreciation</v>
          </cell>
          <cell r="D56">
            <v>62457</v>
          </cell>
          <cell r="F56">
            <v>61582</v>
          </cell>
          <cell r="H56">
            <v>-875</v>
          </cell>
          <cell r="J56">
            <v>-972</v>
          </cell>
        </row>
        <row r="57">
          <cell r="B57" t="str">
            <v>Amortization - Other</v>
          </cell>
          <cell r="D57">
            <v>-969</v>
          </cell>
          <cell r="F57">
            <v>-1043</v>
          </cell>
          <cell r="H57">
            <v>-74</v>
          </cell>
          <cell r="J57">
            <v>-82</v>
          </cell>
        </row>
        <row r="58">
          <cell r="B58" t="str">
            <v>Other Taxes - Excluding GRT</v>
          </cell>
          <cell r="D58">
            <v>30077</v>
          </cell>
          <cell r="F58">
            <v>29079</v>
          </cell>
          <cell r="H58">
            <v>-998</v>
          </cell>
          <cell r="J58">
            <v>-1109</v>
          </cell>
        </row>
        <row r="59">
          <cell r="B59" t="str">
            <v>Gross Receipts Tax</v>
          </cell>
          <cell r="D59">
            <v>73790</v>
          </cell>
          <cell r="F59">
            <v>73876</v>
          </cell>
          <cell r="H59">
            <v>86</v>
          </cell>
          <cell r="J59">
            <v>4553</v>
          </cell>
        </row>
        <row r="60">
          <cell r="B60" t="str">
            <v>D.C. Income Tax</v>
          </cell>
          <cell r="D60">
            <v>15286</v>
          </cell>
          <cell r="F60">
            <v>17055</v>
          </cell>
          <cell r="H60">
            <v>1769</v>
          </cell>
          <cell r="J60">
            <v>1851</v>
          </cell>
        </row>
        <row r="61">
          <cell r="B61" t="str">
            <v>Federal Income Tax</v>
          </cell>
          <cell r="D61">
            <v>49003</v>
          </cell>
          <cell r="F61">
            <v>52188</v>
          </cell>
          <cell r="H61">
            <v>3185</v>
          </cell>
          <cell r="J61">
            <v>4436</v>
          </cell>
        </row>
        <row r="63">
          <cell r="B63" t="str">
            <v>TOTAL OPERATING EXPENSES</v>
          </cell>
          <cell r="D63">
            <v>600258</v>
          </cell>
          <cell r="F63">
            <v>596002</v>
          </cell>
          <cell r="H63">
            <v>-4256</v>
          </cell>
          <cell r="J63">
            <v>3259</v>
          </cell>
        </row>
        <row r="65">
          <cell r="A65" t="str">
            <v>OPERATING INCOME</v>
          </cell>
          <cell r="D65">
            <v>182425</v>
          </cell>
          <cell r="F65">
            <v>146557</v>
          </cell>
          <cell r="H65">
            <v>-35868</v>
          </cell>
          <cell r="J65">
            <v>40636</v>
          </cell>
        </row>
        <row r="67">
          <cell r="A67" t="str">
            <v>SUBTOTAL</v>
          </cell>
          <cell r="J67">
            <v>40752</v>
          </cell>
        </row>
        <row r="72">
          <cell r="A72" t="str">
            <v>CALCULATED REVENUE REQUIREMENT</v>
          </cell>
          <cell r="D72">
            <v>-60037</v>
          </cell>
          <cell r="F72">
            <v>8206</v>
          </cell>
          <cell r="J72">
            <v>8206</v>
          </cell>
        </row>
        <row r="74">
          <cell r="A74" t="str">
            <v>Unresolved difference</v>
          </cell>
          <cell r="J74">
            <v>32546</v>
          </cell>
        </row>
      </sheetData>
      <sheetData sheetId="2">
        <row r="2">
          <cell r="A2" t="str">
            <v>POTOMAC ELECTRIC POWER COMPANY</v>
          </cell>
        </row>
      </sheetData>
      <sheetData sheetId="3">
        <row r="2">
          <cell r="A2" t="str">
            <v>POTOMAC ELECTRIC POWER COMPANY</v>
          </cell>
        </row>
      </sheetData>
      <sheetData sheetId="4">
        <row r="2">
          <cell r="A2" t="str">
            <v>Calendar year 1995</v>
          </cell>
        </row>
      </sheetData>
      <sheetData sheetId="5">
        <row r="1">
          <cell r="A1" t="str">
            <v>IMPACT OF SCHEDULE "M" ITEMS</v>
          </cell>
        </row>
      </sheetData>
      <sheetData sheetId="6">
        <row r="2">
          <cell r="A2" t="str">
            <v>POTOMAC ELECTRIC POWER COMPANY</v>
          </cell>
        </row>
      </sheetData>
      <sheetData sheetId="7">
        <row r="3">
          <cell r="A3" t="str">
            <v>1998 Detail</v>
          </cell>
        </row>
      </sheetData>
      <sheetData sheetId="8">
        <row r="4">
          <cell r="C4" t="str">
            <v>GRT</v>
          </cell>
        </row>
      </sheetData>
      <sheetData sheetId="9">
        <row r="1">
          <cell r="A1" t="str">
            <v>1998 Test Year</v>
          </cell>
        </row>
      </sheetData>
      <sheetData sheetId="10">
        <row r="3">
          <cell r="A3" t="str">
            <v>ANALYSIS OF OTHER O &amp; M</v>
          </cell>
        </row>
      </sheetData>
      <sheetData sheetId="11">
        <row r="1">
          <cell r="O1" t="str">
            <v>POTOMAC ELECTRIC POWER COMPANY</v>
          </cell>
        </row>
      </sheetData>
      <sheetData sheetId="12">
        <row r="2">
          <cell r="A2" t="str">
            <v xml:space="preserve">   EFFECT OF CHANGE IN PRO-FORMA INTEREST</v>
          </cell>
        </row>
      </sheetData>
      <sheetData sheetId="13">
        <row r="2">
          <cell r="A2" t="str">
            <v>RECONCILIATION OF D.C. INCOME TAX CALCULATION</v>
          </cell>
        </row>
      </sheetData>
      <sheetData sheetId="14">
        <row r="1">
          <cell r="J1" t="str">
            <v>AJK</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ROR - (Sc 1 - p. 1)"/>
      <sheetName val="Summary of ROE (Sc 1 - p. 2)"/>
      <sheetName val="Risk Adjustment (Sc 1 - p. 3)"/>
      <sheetName val="Market Cap. (Sc 1 - p. 5)"/>
      <sheetName val="Bond Ratings"/>
      <sheetName val="Yield spreads"/>
      <sheetName val="5 yr IL Amer"/>
      <sheetName val="H2O Cap And Fin Stats (Sch4)"/>
      <sheetName val="awr 5yr"/>
      <sheetName val="wtr 5yr"/>
      <sheetName val="cwt 5yr"/>
      <sheetName val="msex 5yr"/>
      <sheetName val="sjw 5yr"/>
      <sheetName val="yorw 5yr"/>
      <sheetName val="H20 STD "/>
      <sheetName val="H20 No STD "/>
      <sheetName val="Utility Sample Fin Stats"/>
      <sheetName val="AGL 5yr"/>
      <sheetName val="LNT 5yr"/>
      <sheetName val="AEP 5yr"/>
      <sheetName val="ATO 5yr"/>
      <sheetName val="CNL 5yr"/>
      <sheetName val="ED 5yr"/>
      <sheetName val="DPL 5yr"/>
      <sheetName val="FPL 5yr"/>
      <sheetName val="HE 5yr"/>
      <sheetName val="TEG 5yr"/>
      <sheetName val="LG 5yr"/>
      <sheetName val="NJR 5yr"/>
      <sheetName val="GAS 5yr"/>
      <sheetName val="NU 5yr"/>
      <sheetName val="NWN 5yr"/>
      <sheetName val="NST 5yr"/>
      <sheetName val="PNY 5yr"/>
      <sheetName val="PNW 5yr"/>
      <sheetName val="PGN 5yr"/>
      <sheetName val="SCG 5yr"/>
      <sheetName val="SO 5yr"/>
      <sheetName val="SWX 5yr"/>
      <sheetName val="VVC 5yr"/>
      <sheetName val="WGL 5yr"/>
      <sheetName val="WEC 5yr"/>
      <sheetName val="XEL 5yr"/>
      <sheetName val="Utility Cap Struct (incl STD)"/>
      <sheetName val="DCF Summary"/>
      <sheetName val="Qtrly growth DCF"/>
      <sheetName val="Qtrly Cash Flow DCF"/>
      <sheetName val="Two-Stage DCF"/>
      <sheetName val="Three-Stage DCF"/>
      <sheetName val="EIA Ann. Outlook Table 20"/>
      <sheetName val="Market Premium (S&amp;P 500 DCF)"/>
      <sheetName val="CAPM Backup (Sc 12 - p. 2)"/>
      <sheetName val="Risk-Free Rate (Sc 12 - WP)"/>
      <sheetName val="Calculate"/>
      <sheetName val="GDP Growth"/>
      <sheetName val="Zachs Data"/>
      <sheetName val="AGL"/>
      <sheetName val="LNT"/>
      <sheetName val="AEP"/>
      <sheetName val="ATO"/>
      <sheetName val="CNL"/>
      <sheetName val="ED"/>
      <sheetName val="DPL"/>
      <sheetName val="EGN"/>
      <sheetName val="FPL"/>
      <sheetName val="HE"/>
      <sheetName val="TEG"/>
      <sheetName val="LG"/>
      <sheetName val="NJR"/>
      <sheetName val="GAS"/>
      <sheetName val="NU"/>
      <sheetName val="NWN"/>
      <sheetName val="NST"/>
      <sheetName val="PNY"/>
      <sheetName val="PNW"/>
      <sheetName val="PGN"/>
      <sheetName val="SCG"/>
      <sheetName val="SO"/>
      <sheetName val="SWX"/>
      <sheetName val="VVC"/>
      <sheetName val="WGL"/>
      <sheetName val="WEC"/>
      <sheetName val="XEL"/>
      <sheetName val="AWR"/>
      <sheetName val="WTR"/>
      <sheetName val="CWT"/>
      <sheetName val="MSEX"/>
      <sheetName val="SJW"/>
      <sheetName val="YORW"/>
      <sheetName val="Return Data"/>
      <sheetName val="S&amp;P 500 Stats"/>
      <sheetName val="DCF Goal Seek"/>
      <sheetName val="NCDCF Goal S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1">
          <cell r="C11">
            <v>0.1452</v>
          </cell>
          <cell r="G11">
            <v>0.1095</v>
          </cell>
        </row>
        <row r="29">
          <cell r="C29">
            <v>0.1191</v>
          </cell>
          <cell r="G29">
            <v>0.1348</v>
          </cell>
        </row>
        <row r="47">
          <cell r="C47">
            <v>0.1583</v>
          </cell>
          <cell r="G47">
            <v>0.12870000000000001</v>
          </cell>
        </row>
        <row r="65">
          <cell r="C65">
            <v>0.11409999999999999</v>
          </cell>
          <cell r="G65">
            <v>0.12670000000000001</v>
          </cell>
        </row>
        <row r="83">
          <cell r="C83">
            <v>0.1182</v>
          </cell>
          <cell r="G83">
            <v>0.1183</v>
          </cell>
        </row>
        <row r="101">
          <cell r="C101">
            <v>0.20910000000000001</v>
          </cell>
          <cell r="G101">
            <v>0.1019</v>
          </cell>
        </row>
        <row r="119">
          <cell r="C119">
            <v>0.1686</v>
          </cell>
        </row>
        <row r="137">
          <cell r="C137">
            <v>0.1258</v>
          </cell>
          <cell r="G137">
            <v>0.1177</v>
          </cell>
        </row>
        <row r="155">
          <cell r="C155">
            <v>0.2132</v>
          </cell>
          <cell r="G155">
            <v>0.14219999999999999</v>
          </cell>
        </row>
        <row r="173">
          <cell r="C173">
            <v>0.11559999999999999</v>
          </cell>
          <cell r="G173">
            <v>0.13189999999999999</v>
          </cell>
        </row>
        <row r="191">
          <cell r="C191">
            <v>0.14269999999999999</v>
          </cell>
          <cell r="G191">
            <v>0.1089</v>
          </cell>
        </row>
        <row r="209">
          <cell r="C209">
            <v>0.122</v>
          </cell>
          <cell r="G209">
            <v>0.1242</v>
          </cell>
        </row>
        <row r="227">
          <cell r="C227">
            <v>0.14419999999999999</v>
          </cell>
          <cell r="G227">
            <v>0.1227</v>
          </cell>
        </row>
        <row r="245">
          <cell r="C245">
            <v>0.11409999999999999</v>
          </cell>
          <cell r="G245">
            <v>0.1096</v>
          </cell>
        </row>
        <row r="263">
          <cell r="C263">
            <v>0.128</v>
          </cell>
          <cell r="G263">
            <v>0.1341</v>
          </cell>
        </row>
        <row r="281">
          <cell r="C281">
            <v>0.1154</v>
          </cell>
          <cell r="G281">
            <v>0.1202</v>
          </cell>
        </row>
        <row r="299">
          <cell r="C299">
            <v>0.12590000000000001</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H - pg 9"/>
      <sheetName val="Summary"/>
      <sheetName val="MT Rate Sum"/>
      <sheetName val="Rate 60"/>
      <sheetName val="Rate70"/>
      <sheetName val="Rate 71"/>
      <sheetName val="Rate 85"/>
      <sheetName val="Bill Comp - 60"/>
      <sheetName val="Bill Comp - 70"/>
      <sheetName val="Bill Comp - 70 _71"/>
      <sheetName val="Electric Compare"/>
      <sheetName val="Comp to NWE"/>
      <sheetName val="Comp to Energy West"/>
      <sheetName val="ROR Graph"/>
      <sheetName val="Margin Graph"/>
      <sheetName val="Margins"/>
    </sheetNames>
    <sheetDataSet>
      <sheetData sheetId="0"/>
      <sheetData sheetId="1">
        <row r="4">
          <cell r="A4" t="str">
            <v>Pro Forma 2014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2 DCF Inadequacy"/>
      <sheetName val="12.03 p1 DCF Estimates"/>
      <sheetName val="12.03 p2 Growth Estimates"/>
      <sheetName val="12.03 p3 Growth Rates"/>
      <sheetName val="12.03 wp1 Water Growth Rates"/>
      <sheetName val="12.03 wp3 Water Prices &amp; DPS"/>
      <sheetName val="12.03 wp4 Water Calculate"/>
      <sheetName val="12.03 wp5 Water E(Dividends)"/>
      <sheetName val="12.03 wp6 Water Cost of Equity"/>
      <sheetName val="12.04 CAPM Estimates"/>
      <sheetName val="12.05 R-Squareds"/>
      <sheetName val="12.06 p1 Business Risk"/>
      <sheetName val="12.06 p2 Market Cap"/>
      <sheetName val="12.07 p1 H2O Sample Decoupling"/>
      <sheetName val="12.07 P2 Util Sample Decoupling"/>
      <sheetName val="12.08 p1 Interest Coverage"/>
      <sheetName val="12.08 p2 M&amp;M"/>
      <sheetName val="12.08 p3 Hamada"/>
      <sheetName val="Trailing PE &amp; EPS Growth"/>
      <sheetName val="Utility Shares &amp; Equity"/>
      <sheetName val="S&amp;P500 2017-4 incl non-DPS"/>
      <sheetName val="DCF Goal Seek"/>
      <sheetName val="NCDCF Goal Seek"/>
    </sheetNames>
    <sheetDataSet>
      <sheetData sheetId="0" refreshError="1"/>
      <sheetData sheetId="1" refreshError="1"/>
      <sheetData sheetId="2" refreshError="1"/>
      <sheetData sheetId="3" refreshError="1"/>
      <sheetData sheetId="4">
        <row r="4">
          <cell r="A4">
            <v>1</v>
          </cell>
        </row>
      </sheetData>
      <sheetData sheetId="5">
        <row r="5">
          <cell r="D5">
            <v>0.24199999999999999</v>
          </cell>
        </row>
      </sheetData>
      <sheetData sheetId="6">
        <row r="11">
          <cell r="C11">
            <v>8.3424161185799789E-2</v>
          </cell>
        </row>
        <row r="119">
          <cell r="G119">
            <v>0</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E5" t="str">
            <v>A1</v>
          </cell>
          <cell r="F5">
            <v>15</v>
          </cell>
        </row>
        <row r="6">
          <cell r="E6" t="str">
            <v>A2</v>
          </cell>
          <cell r="F6">
            <v>14</v>
          </cell>
        </row>
        <row r="7">
          <cell r="E7" t="str">
            <v>A3</v>
          </cell>
          <cell r="F7">
            <v>13</v>
          </cell>
        </row>
        <row r="8">
          <cell r="E8" t="str">
            <v>Aa1</v>
          </cell>
          <cell r="F8">
            <v>18</v>
          </cell>
        </row>
        <row r="9">
          <cell r="E9" t="str">
            <v>Aa2</v>
          </cell>
          <cell r="F9">
            <v>17</v>
          </cell>
        </row>
        <row r="10">
          <cell r="E10" t="str">
            <v>Aa3</v>
          </cell>
          <cell r="F10">
            <v>16</v>
          </cell>
        </row>
        <row r="11">
          <cell r="E11" t="str">
            <v>Aaa</v>
          </cell>
          <cell r="F11">
            <v>19</v>
          </cell>
        </row>
        <row r="12">
          <cell r="E12" t="str">
            <v>B1</v>
          </cell>
          <cell r="F12">
            <v>6</v>
          </cell>
        </row>
        <row r="13">
          <cell r="E13" t="str">
            <v>B2</v>
          </cell>
          <cell r="F13">
            <v>5</v>
          </cell>
        </row>
        <row r="14">
          <cell r="E14" t="str">
            <v>B3</v>
          </cell>
          <cell r="F14">
            <v>4</v>
          </cell>
        </row>
        <row r="15">
          <cell r="E15" t="str">
            <v>Ba1</v>
          </cell>
          <cell r="F15">
            <v>9</v>
          </cell>
        </row>
        <row r="16">
          <cell r="E16" t="str">
            <v>Ba2</v>
          </cell>
          <cell r="F16">
            <v>8</v>
          </cell>
        </row>
        <row r="17">
          <cell r="E17" t="str">
            <v>Ba3</v>
          </cell>
          <cell r="F17">
            <v>7</v>
          </cell>
        </row>
        <row r="18">
          <cell r="E18" t="str">
            <v>Baa1</v>
          </cell>
          <cell r="F18">
            <v>12</v>
          </cell>
        </row>
        <row r="19">
          <cell r="E19" t="str">
            <v>Baa2</v>
          </cell>
          <cell r="F19">
            <v>11</v>
          </cell>
        </row>
        <row r="20">
          <cell r="E20" t="str">
            <v>Baa3</v>
          </cell>
          <cell r="F20">
            <v>10</v>
          </cell>
        </row>
        <row r="21">
          <cell r="E21" t="str">
            <v>C</v>
          </cell>
          <cell r="F21">
            <v>1</v>
          </cell>
        </row>
        <row r="22">
          <cell r="E22" t="str">
            <v>Ca</v>
          </cell>
          <cell r="F22">
            <v>2</v>
          </cell>
        </row>
        <row r="23">
          <cell r="E23" t="str">
            <v>Caa</v>
          </cell>
          <cell r="F23">
            <v>3</v>
          </cell>
        </row>
      </sheetData>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s 1-3"/>
      <sheetName val="Page 4"/>
      <sheetName val="Page 5"/>
      <sheetName val="Page 6"/>
      <sheetName val="Electric -5"/>
      <sheetName val="Pages 7-9"/>
      <sheetName val="Gas - 1"/>
      <sheetName val="Gas - 2"/>
      <sheetName val="Gas - 3"/>
      <sheetName val="Gas - 4"/>
      <sheetName val="Gas -5"/>
      <sheetName val="Gas - x"/>
      <sheetName val="Water -1"/>
      <sheetName val="Water -2"/>
      <sheetName val="Water -3"/>
      <sheetName val="Water -4"/>
      <sheetName val="P-E Ratio (WP)"/>
      <sheetName val="MP-CF (WP)"/>
      <sheetName val="MP-BV (WP)"/>
      <sheetName val="DIV-MP (WP)"/>
      <sheetName val="DIV-BV (WP)"/>
      <sheetName val="DIV-Earnings (WP)"/>
      <sheetName val="CF-Cap Spend (WP)"/>
      <sheetName val="CapSpendCashFlow"/>
      <sheetName val="2018 Data (WP)"/>
      <sheetName val="2016"/>
      <sheetName val="2017"/>
      <sheetName val="Sheet2"/>
      <sheetName val="MP"/>
      <sheetName val="CF"/>
      <sheetName val="EPS"/>
      <sheetName val="DIV"/>
      <sheetName val="CapS"/>
      <sheetName val="BV"/>
      <sheetName val="Annual Yields (WP)"/>
      <sheetName val="Implied Inflation"/>
      <sheetName val="FRED 20 yr TIPS monthly"/>
      <sheetName val="Treas 20 yr"/>
    </sheetNames>
    <sheetDataSet>
      <sheetData sheetId="0">
        <row r="1">
          <cell r="C1" t="str">
            <v>Entergy Texas, Inc.</v>
          </cell>
        </row>
      </sheetData>
      <sheetData sheetId="1" refreshError="1"/>
      <sheetData sheetId="2" refreshError="1"/>
      <sheetData sheetId="3" refreshError="1"/>
      <sheetData sheetId="4" refreshError="1"/>
      <sheetData sheetId="5" refreshError="1"/>
      <sheetData sheetId="6">
        <row r="1">
          <cell r="C1" t="str">
            <v>Enter Utility Name Here</v>
          </cell>
        </row>
      </sheetData>
      <sheetData sheetId="7" refreshError="1"/>
      <sheetData sheetId="8" refreshError="1"/>
      <sheetData sheetId="9" refreshError="1"/>
      <sheetData sheetId="10" refreshError="1"/>
      <sheetData sheetId="11" refreshError="1"/>
      <sheetData sheetId="12">
        <row r="1">
          <cell r="C1" t="str">
            <v>Enter Utility Name Here</v>
          </cell>
        </row>
      </sheetData>
      <sheetData sheetId="13" refreshError="1"/>
      <sheetData sheetId="14" refreshError="1"/>
      <sheetData sheetId="15" refreshError="1"/>
      <sheetData sheetId="16">
        <row r="5">
          <cell r="B5" t="str">
            <v>ALE</v>
          </cell>
        </row>
      </sheetData>
      <sheetData sheetId="17">
        <row r="5">
          <cell r="B5" t="str">
            <v>ALE</v>
          </cell>
        </row>
      </sheetData>
      <sheetData sheetId="18">
        <row r="5">
          <cell r="B5" t="str">
            <v>ALE</v>
          </cell>
        </row>
      </sheetData>
      <sheetData sheetId="19">
        <row r="5">
          <cell r="B5" t="str">
            <v>ALE</v>
          </cell>
        </row>
      </sheetData>
      <sheetData sheetId="20">
        <row r="5">
          <cell r="B5" t="str">
            <v>ALE</v>
          </cell>
        </row>
      </sheetData>
      <sheetData sheetId="21">
        <row r="5">
          <cell r="B5" t="str">
            <v>ALE</v>
          </cell>
        </row>
      </sheetData>
      <sheetData sheetId="22">
        <row r="5">
          <cell r="B5" t="str">
            <v>ALE</v>
          </cell>
        </row>
      </sheetData>
      <sheetData sheetId="23">
        <row r="1">
          <cell r="A1">
            <v>43290</v>
          </cell>
        </row>
      </sheetData>
      <sheetData sheetId="24">
        <row r="1">
          <cell r="D1" t="str">
            <v>April 27, May 18, and June 15, 2018.</v>
          </cell>
        </row>
      </sheetData>
      <sheetData sheetId="25" refreshError="1"/>
      <sheetData sheetId="26">
        <row r="1">
          <cell r="A1">
            <v>43272</v>
          </cell>
        </row>
      </sheetData>
      <sheetData sheetId="27" refreshError="1"/>
      <sheetData sheetId="28">
        <row r="3">
          <cell r="B3" t="str">
            <v>Ticker</v>
          </cell>
        </row>
      </sheetData>
      <sheetData sheetId="29">
        <row r="1">
          <cell r="B1">
            <v>70</v>
          </cell>
        </row>
        <row r="4">
          <cell r="A4" t="str">
            <v>Adams Resources &amp; Energy</v>
          </cell>
        </row>
      </sheetData>
      <sheetData sheetId="30">
        <row r="3">
          <cell r="B3" t="str">
            <v>Ticker</v>
          </cell>
        </row>
      </sheetData>
      <sheetData sheetId="31">
        <row r="3">
          <cell r="B3" t="str">
            <v>Ticker</v>
          </cell>
        </row>
      </sheetData>
      <sheetData sheetId="32">
        <row r="3">
          <cell r="B3" t="str">
            <v>Ticker</v>
          </cell>
        </row>
      </sheetData>
      <sheetData sheetId="33">
        <row r="3">
          <cell r="B3" t="str">
            <v>Ticker</v>
          </cell>
        </row>
      </sheetData>
      <sheetData sheetId="34">
        <row r="1">
          <cell r="E1" t="str">
            <v>June 25, 2018</v>
          </cell>
        </row>
      </sheetData>
      <sheetData sheetId="35"/>
      <sheetData sheetId="36">
        <row r="7">
          <cell r="E7">
            <v>3635</v>
          </cell>
        </row>
        <row r="8">
          <cell r="A8">
            <v>38195</v>
          </cell>
        </row>
      </sheetData>
      <sheetData sheetId="37">
        <row r="1">
          <cell r="A1" t="str">
            <v>DGS20</v>
          </cell>
        </row>
        <row r="4">
          <cell r="E4">
            <v>6457</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Format"/>
      <sheetName val="Data"/>
      <sheetName val="Download"/>
    </sheetNames>
    <sheetDataSet>
      <sheetData sheetId="0"/>
      <sheetData sheetId="1">
        <row r="1">
          <cell r="A1" t="str">
            <v>H15T1Y Index</v>
          </cell>
          <cell r="G1" t="str">
            <v>H15T3Y Index</v>
          </cell>
        </row>
        <row r="2">
          <cell r="A2" t="str">
            <v>Date</v>
          </cell>
          <cell r="B2" t="str">
            <v>PX_LAST</v>
          </cell>
          <cell r="G2" t="str">
            <v>Date</v>
          </cell>
          <cell r="H2" t="str">
            <v>PX_LAST</v>
          </cell>
        </row>
        <row r="3">
          <cell r="A3">
            <v>40908</v>
          </cell>
          <cell r="B3">
            <v>0.12</v>
          </cell>
          <cell r="G3">
            <v>40908</v>
          </cell>
          <cell r="H3">
            <v>0.39</v>
          </cell>
        </row>
        <row r="4">
          <cell r="A4">
            <v>40877</v>
          </cell>
          <cell r="B4">
            <v>0.11</v>
          </cell>
          <cell r="G4">
            <v>40877</v>
          </cell>
          <cell r="H4">
            <v>0.39</v>
          </cell>
        </row>
        <row r="5">
          <cell r="A5">
            <v>40847</v>
          </cell>
          <cell r="B5">
            <v>0.11</v>
          </cell>
          <cell r="G5">
            <v>40847</v>
          </cell>
          <cell r="H5">
            <v>0.47</v>
          </cell>
        </row>
        <row r="6">
          <cell r="A6">
            <v>40816</v>
          </cell>
          <cell r="B6">
            <v>0.1</v>
          </cell>
          <cell r="G6">
            <v>40816</v>
          </cell>
          <cell r="H6">
            <v>0.35</v>
          </cell>
        </row>
        <row r="7">
          <cell r="A7">
            <v>40786</v>
          </cell>
          <cell r="B7">
            <v>0.11</v>
          </cell>
          <cell r="G7">
            <v>40786</v>
          </cell>
          <cell r="H7">
            <v>0.38</v>
          </cell>
        </row>
        <row r="8">
          <cell r="A8">
            <v>40755</v>
          </cell>
          <cell r="B8">
            <v>0.19</v>
          </cell>
          <cell r="G8">
            <v>40755</v>
          </cell>
          <cell r="H8">
            <v>0.68</v>
          </cell>
        </row>
        <row r="9">
          <cell r="A9">
            <v>40724</v>
          </cell>
          <cell r="B9">
            <v>0.18</v>
          </cell>
          <cell r="G9">
            <v>40724</v>
          </cell>
          <cell r="H9">
            <v>0.71</v>
          </cell>
        </row>
        <row r="10">
          <cell r="A10">
            <v>40694</v>
          </cell>
          <cell r="B10">
            <v>0.19</v>
          </cell>
          <cell r="G10">
            <v>40694</v>
          </cell>
          <cell r="H10">
            <v>0.94</v>
          </cell>
        </row>
        <row r="11">
          <cell r="A11">
            <v>40663</v>
          </cell>
          <cell r="B11">
            <v>0.25</v>
          </cell>
          <cell r="G11">
            <v>40663</v>
          </cell>
          <cell r="H11">
            <v>1.21</v>
          </cell>
        </row>
        <row r="12">
          <cell r="A12">
            <v>40633</v>
          </cell>
          <cell r="B12">
            <v>0.26</v>
          </cell>
          <cell r="G12">
            <v>40633</v>
          </cell>
          <cell r="H12">
            <v>1.17</v>
          </cell>
        </row>
        <row r="13">
          <cell r="A13">
            <v>40602</v>
          </cell>
          <cell r="B13">
            <v>0.28999999999999998</v>
          </cell>
          <cell r="G13">
            <v>40602</v>
          </cell>
          <cell r="H13">
            <v>1.28</v>
          </cell>
        </row>
        <row r="14">
          <cell r="A14">
            <v>40574</v>
          </cell>
          <cell r="B14">
            <v>0.27</v>
          </cell>
          <cell r="G14">
            <v>40574</v>
          </cell>
          <cell r="H14">
            <v>1.03</v>
          </cell>
        </row>
        <row r="15">
          <cell r="A15">
            <v>40543</v>
          </cell>
          <cell r="B15">
            <v>0.28999999999999998</v>
          </cell>
          <cell r="G15">
            <v>40543</v>
          </cell>
          <cell r="H15">
            <v>0.99</v>
          </cell>
        </row>
        <row r="16">
          <cell r="A16">
            <v>40512</v>
          </cell>
          <cell r="B16">
            <v>0.25</v>
          </cell>
          <cell r="G16">
            <v>40512</v>
          </cell>
          <cell r="H16">
            <v>0.67</v>
          </cell>
        </row>
        <row r="17">
          <cell r="A17">
            <v>40482</v>
          </cell>
          <cell r="B17">
            <v>0.23</v>
          </cell>
          <cell r="G17">
            <v>40482</v>
          </cell>
          <cell r="H17">
            <v>0.56999999999999995</v>
          </cell>
        </row>
        <row r="18">
          <cell r="A18">
            <v>40451</v>
          </cell>
          <cell r="B18">
            <v>0.26</v>
          </cell>
          <cell r="G18">
            <v>40451</v>
          </cell>
          <cell r="H18">
            <v>0.75</v>
          </cell>
        </row>
        <row r="19">
          <cell r="A19">
            <v>40421</v>
          </cell>
          <cell r="B19">
            <v>0.26</v>
          </cell>
          <cell r="G19">
            <v>40421</v>
          </cell>
          <cell r="H19">
            <v>0.78</v>
          </cell>
        </row>
        <row r="20">
          <cell r="A20">
            <v>40390</v>
          </cell>
          <cell r="B20">
            <v>0.28999999999999998</v>
          </cell>
          <cell r="G20">
            <v>40390</v>
          </cell>
          <cell r="H20">
            <v>0.98</v>
          </cell>
        </row>
        <row r="21">
          <cell r="A21">
            <v>40359</v>
          </cell>
          <cell r="B21">
            <v>0.32</v>
          </cell>
          <cell r="G21">
            <v>40359</v>
          </cell>
          <cell r="H21">
            <v>1.17</v>
          </cell>
        </row>
        <row r="22">
          <cell r="A22">
            <v>40329</v>
          </cell>
          <cell r="B22">
            <v>0.37</v>
          </cell>
          <cell r="G22">
            <v>40329</v>
          </cell>
          <cell r="H22">
            <v>1.32</v>
          </cell>
        </row>
        <row r="23">
          <cell r="A23">
            <v>40298</v>
          </cell>
          <cell r="B23">
            <v>0.44</v>
          </cell>
          <cell r="G23">
            <v>40298</v>
          </cell>
          <cell r="H23">
            <v>1.6400000000000001</v>
          </cell>
        </row>
        <row r="24">
          <cell r="A24">
            <v>40268</v>
          </cell>
          <cell r="B24">
            <v>0.4</v>
          </cell>
          <cell r="G24">
            <v>40268</v>
          </cell>
          <cell r="H24">
            <v>1.51</v>
          </cell>
        </row>
        <row r="25">
          <cell r="A25">
            <v>40237</v>
          </cell>
          <cell r="B25">
            <v>0.35</v>
          </cell>
          <cell r="G25">
            <v>40237</v>
          </cell>
          <cell r="H25">
            <v>1.4</v>
          </cell>
        </row>
        <row r="26">
          <cell r="A26">
            <v>40209</v>
          </cell>
          <cell r="B26">
            <v>0.34</v>
          </cell>
          <cell r="G26">
            <v>40209</v>
          </cell>
          <cell r="H26">
            <v>1.49</v>
          </cell>
        </row>
        <row r="27">
          <cell r="A27">
            <v>40178</v>
          </cell>
          <cell r="B27">
            <v>0.37</v>
          </cell>
          <cell r="G27">
            <v>40178</v>
          </cell>
          <cell r="H27">
            <v>1.38</v>
          </cell>
        </row>
        <row r="28">
          <cell r="A28">
            <v>40147</v>
          </cell>
          <cell r="B28">
            <v>0.31</v>
          </cell>
          <cell r="G28">
            <v>40147</v>
          </cell>
          <cell r="H28">
            <v>1.32</v>
          </cell>
        </row>
        <row r="29">
          <cell r="A29">
            <v>40117</v>
          </cell>
          <cell r="B29">
            <v>0.37</v>
          </cell>
          <cell r="G29">
            <v>40117</v>
          </cell>
          <cell r="H29">
            <v>1.46</v>
          </cell>
        </row>
        <row r="30">
          <cell r="A30">
            <v>40086</v>
          </cell>
          <cell r="B30">
            <v>0.4</v>
          </cell>
          <cell r="G30">
            <v>40086</v>
          </cell>
          <cell r="H30">
            <v>1.48</v>
          </cell>
        </row>
        <row r="31">
          <cell r="A31">
            <v>40056</v>
          </cell>
          <cell r="B31">
            <v>0.46</v>
          </cell>
          <cell r="G31">
            <v>40056</v>
          </cell>
          <cell r="H31">
            <v>1.65</v>
          </cell>
        </row>
        <row r="32">
          <cell r="A32">
            <v>40025</v>
          </cell>
          <cell r="B32">
            <v>0.48</v>
          </cell>
          <cell r="G32">
            <v>40025</v>
          </cell>
          <cell r="H32">
            <v>1.55</v>
          </cell>
        </row>
        <row r="33">
          <cell r="A33">
            <v>39994</v>
          </cell>
          <cell r="B33">
            <v>0.51</v>
          </cell>
          <cell r="G33">
            <v>39994</v>
          </cell>
          <cell r="H33">
            <v>1.76</v>
          </cell>
        </row>
        <row r="34">
          <cell r="A34">
            <v>39964</v>
          </cell>
          <cell r="B34">
            <v>0.5</v>
          </cell>
          <cell r="G34">
            <v>39964</v>
          </cell>
          <cell r="H34">
            <v>1.3900000000000001</v>
          </cell>
        </row>
        <row r="35">
          <cell r="A35">
            <v>39933</v>
          </cell>
          <cell r="B35">
            <v>0.55000000000000004</v>
          </cell>
          <cell r="G35">
            <v>39933</v>
          </cell>
          <cell r="H35">
            <v>1.32</v>
          </cell>
        </row>
        <row r="36">
          <cell r="A36">
            <v>39903</v>
          </cell>
          <cell r="B36">
            <v>0.64</v>
          </cell>
          <cell r="G36">
            <v>39903</v>
          </cell>
          <cell r="H36">
            <v>1.31</v>
          </cell>
        </row>
        <row r="37">
          <cell r="A37">
            <v>39872</v>
          </cell>
          <cell r="B37">
            <v>0.62</v>
          </cell>
          <cell r="G37">
            <v>39872</v>
          </cell>
          <cell r="H37">
            <v>1.37</v>
          </cell>
        </row>
        <row r="38">
          <cell r="A38">
            <v>39844</v>
          </cell>
          <cell r="B38">
            <v>0.44</v>
          </cell>
          <cell r="G38">
            <v>39844</v>
          </cell>
          <cell r="H38">
            <v>1.1299999999999999</v>
          </cell>
        </row>
        <row r="39">
          <cell r="A39">
            <v>39813</v>
          </cell>
          <cell r="B39">
            <v>0.49</v>
          </cell>
          <cell r="G39">
            <v>39813</v>
          </cell>
          <cell r="H39">
            <v>1.07</v>
          </cell>
        </row>
        <row r="40">
          <cell r="A40">
            <v>39782</v>
          </cell>
          <cell r="B40">
            <v>1.07</v>
          </cell>
          <cell r="G40">
            <v>39782</v>
          </cell>
          <cell r="H40">
            <v>1.51</v>
          </cell>
        </row>
        <row r="41">
          <cell r="A41">
            <v>39752</v>
          </cell>
          <cell r="B41">
            <v>1.42</v>
          </cell>
          <cell r="G41">
            <v>39752</v>
          </cell>
          <cell r="H41">
            <v>1.8599999999999999</v>
          </cell>
        </row>
        <row r="42">
          <cell r="A42">
            <v>39721</v>
          </cell>
          <cell r="B42">
            <v>1.9100000000000001</v>
          </cell>
          <cell r="G42">
            <v>39721</v>
          </cell>
          <cell r="H42">
            <v>2.3199999999999998</v>
          </cell>
        </row>
        <row r="43">
          <cell r="A43">
            <v>39691</v>
          </cell>
          <cell r="B43">
            <v>2.1800000000000002</v>
          </cell>
          <cell r="G43">
            <v>39691</v>
          </cell>
          <cell r="H43">
            <v>2.7</v>
          </cell>
        </row>
        <row r="44">
          <cell r="A44">
            <v>39660</v>
          </cell>
          <cell r="B44">
            <v>2.2800000000000002</v>
          </cell>
          <cell r="G44">
            <v>39660</v>
          </cell>
          <cell r="H44">
            <v>2.87</v>
          </cell>
        </row>
        <row r="45">
          <cell r="A45">
            <v>39629</v>
          </cell>
          <cell r="B45">
            <v>2.42</v>
          </cell>
          <cell r="G45">
            <v>39629</v>
          </cell>
          <cell r="H45">
            <v>3.08</v>
          </cell>
        </row>
        <row r="46">
          <cell r="A46">
            <v>39599</v>
          </cell>
          <cell r="B46">
            <v>2.06</v>
          </cell>
          <cell r="G46">
            <v>39599</v>
          </cell>
          <cell r="H46">
            <v>2.69</v>
          </cell>
        </row>
        <row r="47">
          <cell r="A47">
            <v>39568</v>
          </cell>
          <cell r="B47">
            <v>1.74</v>
          </cell>
          <cell r="G47">
            <v>39568</v>
          </cell>
          <cell r="H47">
            <v>2.23</v>
          </cell>
        </row>
        <row r="48">
          <cell r="A48">
            <v>39538</v>
          </cell>
          <cell r="B48">
            <v>1.54</v>
          </cell>
          <cell r="G48">
            <v>39538</v>
          </cell>
          <cell r="H48">
            <v>1.8</v>
          </cell>
        </row>
        <row r="49">
          <cell r="A49">
            <v>39507</v>
          </cell>
          <cell r="B49">
            <v>2.0499999999999998</v>
          </cell>
          <cell r="G49">
            <v>39507</v>
          </cell>
          <cell r="H49">
            <v>2.19</v>
          </cell>
        </row>
        <row r="50">
          <cell r="A50">
            <v>39478</v>
          </cell>
          <cell r="B50">
            <v>2.71</v>
          </cell>
          <cell r="G50">
            <v>39478</v>
          </cell>
          <cell r="H50">
            <v>2.5099999999999998</v>
          </cell>
        </row>
        <row r="51">
          <cell r="A51">
            <v>39447</v>
          </cell>
          <cell r="B51">
            <v>3.26</v>
          </cell>
          <cell r="G51">
            <v>39447</v>
          </cell>
          <cell r="H51">
            <v>3.13</v>
          </cell>
        </row>
        <row r="52">
          <cell r="A52">
            <v>39416</v>
          </cell>
          <cell r="B52">
            <v>3.5</v>
          </cell>
          <cell r="G52">
            <v>39416</v>
          </cell>
          <cell r="H52">
            <v>3.35</v>
          </cell>
        </row>
        <row r="53">
          <cell r="A53">
            <v>39386</v>
          </cell>
          <cell r="B53">
            <v>4.0999999999999996</v>
          </cell>
          <cell r="G53">
            <v>39386</v>
          </cell>
          <cell r="H53">
            <v>4.01</v>
          </cell>
        </row>
        <row r="54">
          <cell r="A54">
            <v>39355</v>
          </cell>
          <cell r="B54">
            <v>4.1399999999999997</v>
          </cell>
          <cell r="G54">
            <v>39355</v>
          </cell>
          <cell r="H54">
            <v>4.0599999999999996</v>
          </cell>
        </row>
        <row r="55">
          <cell r="A55">
            <v>39325</v>
          </cell>
          <cell r="B55">
            <v>4.47</v>
          </cell>
          <cell r="G55">
            <v>39325</v>
          </cell>
          <cell r="H55">
            <v>4.34</v>
          </cell>
        </row>
        <row r="56">
          <cell r="A56">
            <v>39294</v>
          </cell>
          <cell r="B56">
            <v>4.96</v>
          </cell>
          <cell r="G56">
            <v>39294</v>
          </cell>
          <cell r="H56">
            <v>4.82</v>
          </cell>
        </row>
        <row r="57">
          <cell r="A57">
            <v>39263</v>
          </cell>
          <cell r="B57">
            <v>4.96</v>
          </cell>
          <cell r="G57">
            <v>39263</v>
          </cell>
          <cell r="H57">
            <v>5</v>
          </cell>
        </row>
        <row r="58">
          <cell r="A58">
            <v>39233</v>
          </cell>
          <cell r="B58">
            <v>4.91</v>
          </cell>
          <cell r="G58">
            <v>39233</v>
          </cell>
          <cell r="H58">
            <v>4.6899999999999995</v>
          </cell>
        </row>
        <row r="59">
          <cell r="A59">
            <v>39202</v>
          </cell>
          <cell r="B59">
            <v>4.93</v>
          </cell>
          <cell r="G59">
            <v>39202</v>
          </cell>
          <cell r="H59">
            <v>4.5999999999999996</v>
          </cell>
        </row>
        <row r="60">
          <cell r="A60">
            <v>39172</v>
          </cell>
          <cell r="B60">
            <v>4.92</v>
          </cell>
          <cell r="G60">
            <v>39172</v>
          </cell>
          <cell r="H60">
            <v>4.51</v>
          </cell>
        </row>
        <row r="61">
          <cell r="A61">
            <v>39141</v>
          </cell>
          <cell r="B61">
            <v>5.05</v>
          </cell>
          <cell r="G61">
            <v>39141</v>
          </cell>
          <cell r="H61">
            <v>4.75</v>
          </cell>
        </row>
        <row r="62">
          <cell r="A62">
            <v>39113</v>
          </cell>
          <cell r="B62">
            <v>5.0599999999999996</v>
          </cell>
          <cell r="G62">
            <v>39113</v>
          </cell>
          <cell r="H62">
            <v>4.79</v>
          </cell>
        </row>
        <row r="63">
          <cell r="A63">
            <v>39082</v>
          </cell>
          <cell r="B63">
            <v>4.9399999999999995</v>
          </cell>
          <cell r="G63">
            <v>39082</v>
          </cell>
          <cell r="H63">
            <v>4.58</v>
          </cell>
        </row>
        <row r="64">
          <cell r="A64">
            <v>39051</v>
          </cell>
          <cell r="B64">
            <v>5.01</v>
          </cell>
          <cell r="G64">
            <v>39051</v>
          </cell>
          <cell r="H64">
            <v>4.6399999999999997</v>
          </cell>
        </row>
        <row r="65">
          <cell r="A65">
            <v>39021</v>
          </cell>
          <cell r="B65">
            <v>5.01</v>
          </cell>
          <cell r="G65">
            <v>39021</v>
          </cell>
          <cell r="H65">
            <v>4.72</v>
          </cell>
        </row>
        <row r="66">
          <cell r="A66">
            <v>38990</v>
          </cell>
          <cell r="B66">
            <v>4.97</v>
          </cell>
          <cell r="G66">
            <v>38990</v>
          </cell>
          <cell r="H66">
            <v>4.6899999999999995</v>
          </cell>
        </row>
        <row r="67">
          <cell r="A67">
            <v>38960</v>
          </cell>
          <cell r="B67">
            <v>5.08</v>
          </cell>
          <cell r="G67">
            <v>38960</v>
          </cell>
          <cell r="H67">
            <v>4.8499999999999996</v>
          </cell>
        </row>
        <row r="68">
          <cell r="A68">
            <v>38929</v>
          </cell>
          <cell r="B68">
            <v>5.22</v>
          </cell>
          <cell r="G68">
            <v>38929</v>
          </cell>
          <cell r="H68">
            <v>5.07</v>
          </cell>
        </row>
        <row r="69">
          <cell r="A69">
            <v>38898</v>
          </cell>
          <cell r="B69">
            <v>5.16</v>
          </cell>
          <cell r="G69">
            <v>38898</v>
          </cell>
          <cell r="H69">
            <v>5.09</v>
          </cell>
        </row>
        <row r="70">
          <cell r="A70">
            <v>38868</v>
          </cell>
          <cell r="B70">
            <v>4.99</v>
          </cell>
          <cell r="G70">
            <v>38868</v>
          </cell>
          <cell r="H70">
            <v>4.97</v>
          </cell>
        </row>
        <row r="71">
          <cell r="A71">
            <v>38837</v>
          </cell>
          <cell r="B71">
            <v>4.9000000000000004</v>
          </cell>
          <cell r="G71">
            <v>38837</v>
          </cell>
          <cell r="H71">
            <v>4.8899999999999997</v>
          </cell>
        </row>
        <row r="72">
          <cell r="A72">
            <v>38807</v>
          </cell>
          <cell r="B72">
            <v>4.7699999999999996</v>
          </cell>
          <cell r="G72">
            <v>38807</v>
          </cell>
          <cell r="H72">
            <v>4.74</v>
          </cell>
        </row>
        <row r="73">
          <cell r="A73">
            <v>38776</v>
          </cell>
          <cell r="B73">
            <v>4.68</v>
          </cell>
          <cell r="G73">
            <v>38776</v>
          </cell>
          <cell r="H73">
            <v>4.6399999999999997</v>
          </cell>
        </row>
        <row r="74">
          <cell r="A74">
            <v>38748</v>
          </cell>
          <cell r="B74">
            <v>4.4400000000000004</v>
          </cell>
          <cell r="G74">
            <v>38748</v>
          </cell>
          <cell r="H74">
            <v>4.3499999999999996</v>
          </cell>
        </row>
        <row r="75">
          <cell r="A75">
            <v>38717</v>
          </cell>
          <cell r="B75">
            <v>4.3499999999999996</v>
          </cell>
          <cell r="G75">
            <v>38717</v>
          </cell>
          <cell r="H75">
            <v>4.3899999999999997</v>
          </cell>
        </row>
        <row r="76">
          <cell r="A76">
            <v>38686</v>
          </cell>
          <cell r="B76">
            <v>4.33</v>
          </cell>
          <cell r="G76">
            <v>38686</v>
          </cell>
          <cell r="H76">
            <v>4.43</v>
          </cell>
        </row>
        <row r="77">
          <cell r="A77">
            <v>38656</v>
          </cell>
          <cell r="B77">
            <v>4.18</v>
          </cell>
          <cell r="G77">
            <v>38656</v>
          </cell>
          <cell r="H77">
            <v>4.29</v>
          </cell>
        </row>
        <row r="78">
          <cell r="A78">
            <v>38625</v>
          </cell>
          <cell r="B78">
            <v>3.85</v>
          </cell>
          <cell r="G78">
            <v>38625</v>
          </cell>
          <cell r="H78">
            <v>3.96</v>
          </cell>
        </row>
        <row r="79">
          <cell r="A79">
            <v>38595</v>
          </cell>
          <cell r="B79">
            <v>3.87</v>
          </cell>
          <cell r="G79">
            <v>38595</v>
          </cell>
          <cell r="H79">
            <v>4.08</v>
          </cell>
        </row>
        <row r="80">
          <cell r="A80">
            <v>38564</v>
          </cell>
          <cell r="B80">
            <v>3.64</v>
          </cell>
          <cell r="G80">
            <v>38564</v>
          </cell>
          <cell r="H80">
            <v>3.91</v>
          </cell>
        </row>
        <row r="81">
          <cell r="A81">
            <v>38533</v>
          </cell>
          <cell r="B81">
            <v>3.36</v>
          </cell>
          <cell r="G81">
            <v>38533</v>
          </cell>
          <cell r="H81">
            <v>3.68</v>
          </cell>
        </row>
        <row r="82">
          <cell r="A82">
            <v>38503</v>
          </cell>
          <cell r="B82">
            <v>3.33</v>
          </cell>
          <cell r="G82">
            <v>38503</v>
          </cell>
          <cell r="H82">
            <v>3.7199999999999998</v>
          </cell>
        </row>
        <row r="83">
          <cell r="A83">
            <v>38472</v>
          </cell>
          <cell r="B83">
            <v>3.32</v>
          </cell>
          <cell r="G83">
            <v>38472</v>
          </cell>
          <cell r="H83">
            <v>3.79</v>
          </cell>
        </row>
        <row r="84">
          <cell r="A84">
            <v>38442</v>
          </cell>
          <cell r="B84">
            <v>3.3</v>
          </cell>
          <cell r="G84">
            <v>38442</v>
          </cell>
          <cell r="H84">
            <v>3.91</v>
          </cell>
        </row>
        <row r="85">
          <cell r="A85">
            <v>38411</v>
          </cell>
          <cell r="B85">
            <v>3.03</v>
          </cell>
          <cell r="G85">
            <v>38411</v>
          </cell>
          <cell r="H85">
            <v>3.54</v>
          </cell>
        </row>
        <row r="86">
          <cell r="A86">
            <v>38383</v>
          </cell>
          <cell r="B86">
            <v>2.86</v>
          </cell>
          <cell r="G86">
            <v>38383</v>
          </cell>
          <cell r="H86">
            <v>3.39</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2">
          <cell r="A2" t="str">
            <v>Middlesex Water Company</v>
          </cell>
        </row>
        <row r="5">
          <cell r="A5" t="str">
            <v>Proxy Group of Six</v>
          </cell>
        </row>
        <row r="6">
          <cell r="A6" t="str">
            <v>Water Companies</v>
          </cell>
          <cell r="F6" t="str">
            <v>Middlesex</v>
          </cell>
          <cell r="I6" t="str">
            <v>Proxy Group of Six</v>
          </cell>
        </row>
        <row r="7">
          <cell r="F7" t="str">
            <v>Water Company</v>
          </cell>
          <cell r="I7" t="str">
            <v>Water Companies</v>
          </cell>
        </row>
        <row r="8">
          <cell r="A8" t="str">
            <v>American Water Works Co., Inc.</v>
          </cell>
        </row>
        <row r="9">
          <cell r="A9" t="str">
            <v>Aquarion Company</v>
          </cell>
        </row>
        <row r="10">
          <cell r="A10" t="str">
            <v>Connecticut Water Service, Inc.</v>
          </cell>
        </row>
        <row r="11">
          <cell r="A11" t="str">
            <v>E'Town Corporation</v>
          </cell>
        </row>
        <row r="12">
          <cell r="A12" t="str">
            <v>Philadelphia Suburban Corp.</v>
          </cell>
        </row>
        <row r="13">
          <cell r="A13" t="str">
            <v>United Water Resources, Inc.</v>
          </cell>
        </row>
        <row r="15">
          <cell r="A15" t="str">
            <v>Average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INTERNAL REPORT"/>
      <sheetName val="FUNCTIONS"/>
      <sheetName val="UNBUNDLED"/>
      <sheetName val="SCH G-1"/>
      <sheetName val="COST OF CAPITAL"/>
      <sheetName val="O&amp;M EXPENSE (OM)"/>
      <sheetName val="MISC EXPENSES (ME)"/>
      <sheetName val="GROSS PLANT (GP)"/>
      <sheetName val="ACCUM DEPR (AD)"/>
      <sheetName val="DEPR EXP (DE)"/>
      <sheetName val="MISC RATE BASE (MRB)"/>
      <sheetName val="SUB &amp; CCT LOADS"/>
      <sheetName val="1CP&amp;AVG (CAP1SY)"/>
      <sheetName val="12CP (CAP3SY)"/>
      <sheetName val="NCP (CAP6AS)"/>
      <sheetName val="ProForma Energy (ENR1SY)"/>
      <sheetName val="SYSTEM PEAK ADJ"/>
      <sheetName val="Transmission - CPs"/>
      <sheetName val="DISTRIBUTION - NCPs"/>
      <sheetName val="PrtPgDialog"/>
      <sheetName val="PrtSumDialog"/>
      <sheetName val="UtilitiesDialog"/>
      <sheetName val="FCDialog"/>
      <sheetName val="FCPrintSched"/>
    </sheetNames>
    <sheetDataSet>
      <sheetData sheetId="0" refreshError="1"/>
      <sheetData sheetId="1" refreshError="1">
        <row r="1489">
          <cell r="AK1489">
            <v>9.64E-2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SNL Data"/>
      <sheetName val="Parent Companies"/>
      <sheetName val="NWE"/>
      <sheetName val="CNP Balance Sheet (As-Reported)"/>
    </sheetNames>
    <sheetDataSet>
      <sheetData sheetId="0"/>
      <sheetData sheetId="1"/>
      <sheetData sheetId="2">
        <row r="1">
          <cell r="A1" t="str">
            <v>ALLETE, Inc.</v>
          </cell>
        </row>
        <row r="2">
          <cell r="A2" t="str">
            <v>Alliant Energy Corporation</v>
          </cell>
        </row>
        <row r="3">
          <cell r="A3" t="str">
            <v>Ameren Corporation</v>
          </cell>
        </row>
        <row r="4">
          <cell r="A4" t="str">
            <v>American Electric Power Company, Inc.</v>
          </cell>
        </row>
        <row r="5">
          <cell r="A5" t="str">
            <v>Avista Corporation</v>
          </cell>
        </row>
        <row r="6">
          <cell r="A6" t="str">
            <v>Black Hills Corporation</v>
          </cell>
        </row>
        <row r="7">
          <cell r="A7" t="str">
            <v>CenterPoint Energy, Inc.</v>
          </cell>
        </row>
        <row r="8">
          <cell r="A8" t="str">
            <v>CMS Energy Corporation</v>
          </cell>
        </row>
        <row r="9">
          <cell r="A9" t="str">
            <v>Consolidated Edison, Inc.</v>
          </cell>
        </row>
        <row r="10">
          <cell r="A10" t="str">
            <v>Dominion Resources, Inc.</v>
          </cell>
        </row>
        <row r="11">
          <cell r="A11" t="str">
            <v>DTE Energy Company</v>
          </cell>
        </row>
        <row r="12">
          <cell r="A12" t="str">
            <v>Duke Energy Corporation</v>
          </cell>
        </row>
        <row r="13">
          <cell r="A13" t="str">
            <v>Empire District Electric Company</v>
          </cell>
        </row>
        <row r="14">
          <cell r="A14" t="str">
            <v>FirstEnergy Corp.</v>
          </cell>
        </row>
        <row r="15">
          <cell r="A15" t="str">
            <v>Great Plains Energy Inc.</v>
          </cell>
        </row>
        <row r="16">
          <cell r="A16" t="str">
            <v>IDACORP, Inc.</v>
          </cell>
        </row>
        <row r="17">
          <cell r="A17" t="str">
            <v>Northwestern Corporation</v>
          </cell>
        </row>
        <row r="18">
          <cell r="A18" t="str">
            <v>Eversource Energy</v>
          </cell>
        </row>
        <row r="19">
          <cell r="A19" t="str">
            <v>OGE Energy Corp.</v>
          </cell>
        </row>
        <row r="20">
          <cell r="A20" t="str">
            <v>Otter Tail Corporation</v>
          </cell>
        </row>
        <row r="21">
          <cell r="A21" t="str">
            <v>PG&amp;E Corporation</v>
          </cell>
        </row>
        <row r="22">
          <cell r="A22" t="str">
            <v>Pinnacle West Capital Corporation</v>
          </cell>
        </row>
        <row r="23">
          <cell r="A23" t="str">
            <v>Portland General Electric Company</v>
          </cell>
        </row>
        <row r="24">
          <cell r="A24" t="str">
            <v>SCANA Corporation</v>
          </cell>
        </row>
        <row r="25">
          <cell r="A25" t="str">
            <v>Southern Company</v>
          </cell>
        </row>
        <row r="26">
          <cell r="A26" t="str">
            <v>TECO Energy, Inc.</v>
          </cell>
        </row>
        <row r="27">
          <cell r="A27" t="str">
            <v>Westar Energy, Inc.</v>
          </cell>
        </row>
        <row r="28">
          <cell r="A28" t="str">
            <v>Xcel Energy Inc.</v>
          </cell>
        </row>
      </sheetData>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Groups"/>
      <sheetName val="Company Data Inputs"/>
      <sheetName val="Sch 2, p 1"/>
      <sheetName val="Sch 2, p 2 "/>
      <sheetName val="Sch 2, p 3"/>
      <sheetName val="Sch 3"/>
      <sheetName val="Sch 4, p1"/>
      <sheetName val="Sch 4, p 2"/>
      <sheetName val="Sch 4, p 3"/>
      <sheetName val="Sch 5"/>
      <sheetName val="Sch 6"/>
      <sheetName val="Sch 7, p1"/>
      <sheetName val="Sch 7, p 2"/>
      <sheetName val="Sch 7, p 3"/>
      <sheetName val="Sch 7, p 4"/>
      <sheetName val="Sch 8"/>
      <sheetName val="Sch 9"/>
      <sheetName val="Sch 10, p 1"/>
      <sheetName val="Sch 10, p 2"/>
      <sheetName val="Sch 11"/>
      <sheetName val="Sch 12 WP"/>
      <sheetName val="Sch 12"/>
      <sheetName val="Sch 13"/>
      <sheetName val="Sch 14"/>
      <sheetName val="p. 1"/>
    </sheetNames>
    <sheetDataSet>
      <sheetData sheetId="0">
        <row r="3">
          <cell r="B3" t="str">
            <v>UNISOURCE ENERGY CONSOLIDATED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G"/>
      <sheetName val="Sheet1 (2)"/>
      <sheetName val="with formulas"/>
      <sheetName val="Oct 14 Swaps"/>
      <sheetName val="Jun 17 Swaps"/>
      <sheetName val="T Lock"/>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G"/>
      <sheetName val="Sheet1 (2)"/>
      <sheetName val="with formulas"/>
      <sheetName val="Oct 14 Swaps"/>
      <sheetName val="Jun 17 Swaps"/>
      <sheetName val="T Lock"/>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H - pg 9"/>
      <sheetName val="Summary"/>
      <sheetName val="MT Rate Sum"/>
      <sheetName val="Rate 60"/>
      <sheetName val="Rate70"/>
      <sheetName val="Rate 71"/>
      <sheetName val="Rate 85"/>
      <sheetName val="Bill Comp - 60"/>
      <sheetName val="Bill Comp - 70"/>
      <sheetName val="Bill Comp - 70 _71"/>
      <sheetName val="Electric Compare"/>
      <sheetName val="Comp to NWE"/>
      <sheetName val="Comp to Energy West"/>
      <sheetName val="ROR Graph"/>
      <sheetName val="Margin Graph"/>
      <sheetName val="Margins"/>
    </sheetNames>
    <sheetDataSet>
      <sheetData sheetId="0"/>
      <sheetData sheetId="1">
        <row r="4">
          <cell r="A4" t="str">
            <v>Pro Forma 2014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 pres fuel"/>
      <sheetName val="proposed fuel"/>
      <sheetName val="G"/>
      <sheetName val="RES AVG"/>
      <sheetName val="RES"/>
      <sheetName val="RTM"/>
      <sheetName val="GS"/>
      <sheetName val="not used"/>
      <sheetName val="MGTLV "/>
      <sheetName val="MGTLV (a)"/>
      <sheetName val="MGT 3A"/>
      <sheetName val="MGT 3A (a)"/>
      <sheetName val="GT LV Dist"/>
      <sheetName val="GT 3A Dist"/>
      <sheetName val="GT 3B Dist"/>
      <sheetName val="MGTLV  (MAX)"/>
      <sheetName val="MGTLV (MAX) (a)"/>
      <sheetName val="MGT 3A (MAX)"/>
      <sheetName val="MGT 3A (MAX) (a)"/>
      <sheetName val="GT LV Dist (Max)"/>
      <sheetName val="GT 3A Dist (MAX)"/>
      <sheetName val="GT 3B Dist (MAX)"/>
      <sheetName val="MGTLV  (2 Part)"/>
      <sheetName val="MGTLV (2 Part) (a)"/>
      <sheetName val="MGT 3A (2 Part)"/>
      <sheetName val="MGT 3A (2 Part) (a)"/>
      <sheetName val="GT LV Dist (2 Part)"/>
      <sheetName val="GT 3A Dist (2 Part)"/>
      <sheetName val="TM RT Dist"/>
      <sheetName val="GT 3B Dist (2 Part)"/>
      <sheetName val="Surcharges"/>
      <sheetName val="Sheet1"/>
    </sheetNames>
    <sheetDataSet>
      <sheetData sheetId="0"/>
      <sheetData sheetId="1"/>
      <sheetData sheetId="2"/>
      <sheetData sheetId="3"/>
      <sheetData sheetId="4"/>
      <sheetData sheetId="5"/>
      <sheetData sheetId="6"/>
      <sheetData sheetId="7"/>
      <sheetData sheetId="8">
        <row r="49">
          <cell r="O49">
            <v>7.2959171999999999</v>
          </cell>
          <cell r="Q49">
            <v>7.2959171999999999</v>
          </cell>
          <cell r="U49">
            <v>8.642855759999998</v>
          </cell>
          <cell r="V49">
            <v>8.642855759999998</v>
          </cell>
        </row>
        <row r="53">
          <cell r="O53">
            <v>0.14915880000000001</v>
          </cell>
          <cell r="Q53">
            <v>0.12606880000000001</v>
          </cell>
          <cell r="U53">
            <v>0.1566988</v>
          </cell>
          <cell r="V53">
            <v>0.1305588</v>
          </cell>
        </row>
        <row r="54">
          <cell r="Q54">
            <v>0.12606880000000001</v>
          </cell>
          <cell r="V54">
            <v>0.1305588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F1_PG1"/>
      <sheetName val="QF1_PG2"/>
      <sheetName val="QF1_PG3"/>
    </sheetNames>
    <sheetDataSet>
      <sheetData sheetId="0" refreshError="1">
        <row r="1">
          <cell r="B1" t="str">
            <v xml:space="preserve"> </v>
          </cell>
          <cell r="F1" t="str">
            <v>DATE ISSUED</v>
          </cell>
        </row>
        <row r="2">
          <cell r="F2" t="str">
            <v>OCTOBER 23, 1995</v>
          </cell>
        </row>
        <row r="3">
          <cell r="A3" t="str">
            <v>OG&amp;E ELECTRIC SERVICES</v>
          </cell>
        </row>
        <row r="4">
          <cell r="A4" t="str">
            <v>OKLAHOMA RETAIL MONTHLY FUEL COST ADJUSTMENT REPORT</v>
          </cell>
        </row>
        <row r="5">
          <cell r="A5" t="str">
            <v>FUEL COST ADJUSTMENT TO BE APPLIED DURING</v>
          </cell>
        </row>
        <row r="6">
          <cell r="A6" t="str">
            <v>THE NOVEMBER 1995 BILLING PERIOD</v>
          </cell>
        </row>
        <row r="9">
          <cell r="A9" t="str">
            <v>(METER READING PERIODS ENDING ON NOVEMBER 1, 1995 THROUGH DECEMBER 3, 1995)</v>
          </cell>
        </row>
        <row r="11">
          <cell r="A11" t="str">
            <v>PURCHASE RATE SCHEDULE QF - 1</v>
          </cell>
        </row>
        <row r="13">
          <cell r="A13" t="str">
            <v>FUEL COST ADJUSTMENT = ( F / S - B ) + OUF</v>
          </cell>
        </row>
        <row r="14">
          <cell r="A14" t="str">
            <v>OUF = COU / (S1 x DF)</v>
          </cell>
        </row>
        <row r="17">
          <cell r="A17" t="str">
            <v>F</v>
          </cell>
          <cell r="B17" t="str">
            <v>Total Costs for Okla (+24)</v>
          </cell>
          <cell r="C17" t="str">
            <v>(39)</v>
          </cell>
          <cell r="D17" t="str">
            <v>$</v>
          </cell>
          <cell r="E17">
            <v>21584791</v>
          </cell>
        </row>
        <row r="19">
          <cell r="A19" t="str">
            <v>S</v>
          </cell>
          <cell r="B19" t="str">
            <v>Kwh Sales 2 Months Prior  (+25)</v>
          </cell>
          <cell r="C19" t="str">
            <v>(40)</v>
          </cell>
          <cell r="D19" t="str">
            <v>$</v>
          </cell>
          <cell r="E19">
            <v>1720452055</v>
          </cell>
        </row>
        <row r="21">
          <cell r="A21" t="str">
            <v>B</v>
          </cell>
          <cell r="B21" t="str">
            <v>Fuel Cost in Base Rate  (+27)</v>
          </cell>
          <cell r="C21" t="str">
            <v>(41)</v>
          </cell>
          <cell r="E21">
            <v>1.7000000000000001E-2</v>
          </cell>
        </row>
        <row r="23">
          <cell r="A23" t="str">
            <v>OSS</v>
          </cell>
          <cell r="B23" t="str">
            <v>Off System Sales Credit  (+29)</v>
          </cell>
          <cell r="C23" t="str">
            <v>(42)</v>
          </cell>
          <cell r="D23" t="str">
            <v>$</v>
          </cell>
          <cell r="E23">
            <v>0</v>
          </cell>
        </row>
        <row r="25">
          <cell r="B25" t="str">
            <v>Unadj Fuel Adj Factor for Current Month  (+30)</v>
          </cell>
          <cell r="C25" t="str">
            <v>(43)</v>
          </cell>
          <cell r="D25" t="str">
            <v>$</v>
          </cell>
          <cell r="E25">
            <v>-4.4540000000000014E-3</v>
          </cell>
        </row>
        <row r="27">
          <cell r="B27" t="str">
            <v>Cumulative Over / (Under) Amount from Prior Months</v>
          </cell>
          <cell r="C27" t="str">
            <v>(44)</v>
          </cell>
          <cell r="D27" t="str">
            <v>$</v>
          </cell>
          <cell r="E27">
            <v>-1720239</v>
          </cell>
        </row>
        <row r="29">
          <cell r="B29" t="str">
            <v>Current Month Over / (Under) Amount   (+38)</v>
          </cell>
          <cell r="C29" t="str">
            <v>(45)</v>
          </cell>
          <cell r="D29" t="str">
            <v>$</v>
          </cell>
          <cell r="E29">
            <v>3829727</v>
          </cell>
        </row>
        <row r="31">
          <cell r="A31" t="str">
            <v>COU</v>
          </cell>
          <cell r="B31" t="str">
            <v>Total Cost to date Over / (Under)  (44+45)</v>
          </cell>
          <cell r="C31" t="str">
            <v>(46)</v>
          </cell>
          <cell r="E31">
            <v>2109488</v>
          </cell>
        </row>
        <row r="33">
          <cell r="A33" t="str">
            <v>S1</v>
          </cell>
          <cell r="B33" t="str">
            <v>Kwh Sales 2 Months Ahead</v>
          </cell>
          <cell r="C33" t="str">
            <v>(47)</v>
          </cell>
          <cell r="E33">
            <v>1344914000</v>
          </cell>
        </row>
        <row r="35">
          <cell r="A35" t="str">
            <v>DF</v>
          </cell>
          <cell r="B35" t="str">
            <v>Dilution Factor</v>
          </cell>
          <cell r="C35" t="str">
            <v>(48)</v>
          </cell>
          <cell r="E35">
            <v>4</v>
          </cell>
        </row>
        <row r="37">
          <cell r="A37" t="str">
            <v>OUF</v>
          </cell>
          <cell r="B37" t="str">
            <v>Over / (Under) Cost Factor for Current Month 46 / (47 x 48)</v>
          </cell>
          <cell r="C37" t="str">
            <v>(49)</v>
          </cell>
          <cell r="D37" t="str">
            <v>$</v>
          </cell>
          <cell r="E37">
            <v>3.9212321382631156E-4</v>
          </cell>
        </row>
        <row r="41">
          <cell r="A41" t="str">
            <v>ADJ</v>
          </cell>
          <cell r="B41" t="str">
            <v>Fuel Adj for Current Month  (43 - 49)</v>
          </cell>
          <cell r="C41" t="str">
            <v>(50)</v>
          </cell>
          <cell r="D41" t="str">
            <v>$</v>
          </cell>
          <cell r="E41">
            <v>-4.8461232138263134E-3</v>
          </cell>
        </row>
      </sheetData>
      <sheetData sheetId="1" refreshError="1">
        <row r="1">
          <cell r="G1" t="str">
            <v>DATE ISSUED</v>
          </cell>
        </row>
        <row r="2">
          <cell r="G2" t="str">
            <v>OCTOBER 23, 1995</v>
          </cell>
        </row>
        <row r="3">
          <cell r="A3" t="str">
            <v>OG&amp;E ELECTRIC SERVICES</v>
          </cell>
        </row>
        <row r="4">
          <cell r="A4" t="str">
            <v>OKLAHOMA RETAIL MONTHLY FUEL COST ADJUSTMENT REPORT</v>
          </cell>
        </row>
        <row r="5">
          <cell r="A5" t="str">
            <v>FUEL COST ADJUSTMENT TO BE APPLIED DURING</v>
          </cell>
        </row>
        <row r="6">
          <cell r="A6" t="str">
            <v>THE NOVEMBER 1995 BILLING PERIOD</v>
          </cell>
        </row>
        <row r="9">
          <cell r="A9" t="str">
            <v>(METER READING PERIODS ENDING ON NOVEMBER 1, 1995 THROUGH DECEMBER 3, 1995)</v>
          </cell>
        </row>
        <row r="11">
          <cell r="A11" t="str">
            <v>PURCHASE RATE SCHEDULE QF - 1</v>
          </cell>
        </row>
        <row r="14">
          <cell r="D14" t="str">
            <v>COSTS</v>
          </cell>
          <cell r="G14" t="str">
            <v>KWH</v>
          </cell>
        </row>
        <row r="16">
          <cell r="A16" t="str">
            <v>Fuel:</v>
          </cell>
        </row>
        <row r="18">
          <cell r="A18" t="str">
            <v xml:space="preserve">          Generated</v>
          </cell>
          <cell r="C18" t="str">
            <v>$</v>
          </cell>
          <cell r="D18">
            <v>21025509</v>
          </cell>
          <cell r="G18">
            <v>1804766800</v>
          </cell>
        </row>
        <row r="19">
          <cell r="A19" t="str">
            <v xml:space="preserve">           Less: Off System Sales</v>
          </cell>
          <cell r="D19">
            <v>2272367</v>
          </cell>
          <cell r="G19">
            <v>196908007</v>
          </cell>
        </row>
        <row r="20">
          <cell r="A20" t="str">
            <v xml:space="preserve">         COST OF FUEL</v>
          </cell>
          <cell r="B20" t="str">
            <v xml:space="preserve">  (1)</v>
          </cell>
          <cell r="C20" t="str">
            <v>$</v>
          </cell>
          <cell r="D20">
            <v>18753142</v>
          </cell>
          <cell r="F20" t="str">
            <v>(4)</v>
          </cell>
          <cell r="G20">
            <v>1607858793</v>
          </cell>
        </row>
        <row r="23">
          <cell r="A23" t="str">
            <v>FUEL ADJ BEFORE OVER / (UNDER) ADJUSTMENT</v>
          </cell>
        </row>
        <row r="24">
          <cell r="A24" t="str">
            <v>Total Kwh Available for sale   (+4)</v>
          </cell>
          <cell r="F24" t="str">
            <v>(11)</v>
          </cell>
          <cell r="G24">
            <v>1607858793</v>
          </cell>
        </row>
        <row r="25">
          <cell r="A25" t="str">
            <v>Delivered as % of Total (Governor's Report)</v>
          </cell>
          <cell r="F25" t="str">
            <v>(12)</v>
          </cell>
          <cell r="G25">
            <v>0.93720000000000003</v>
          </cell>
        </row>
        <row r="26">
          <cell r="A26" t="str">
            <v>Loss Adjustment Factor</v>
          </cell>
          <cell r="F26" t="str">
            <v>(13)</v>
          </cell>
          <cell r="G26">
            <v>1.1206039999999999</v>
          </cell>
        </row>
        <row r="27">
          <cell r="A27" t="str">
            <v>kwh Losses 11 * ((1.00-12)*13)</v>
          </cell>
          <cell r="F27" t="str">
            <v>(14)</v>
          </cell>
          <cell r="G27">
            <v>113151344</v>
          </cell>
        </row>
        <row r="28">
          <cell r="A28" t="str">
            <v>Net Kwh Sold (11-14)</v>
          </cell>
          <cell r="F28" t="str">
            <v>(15)</v>
          </cell>
          <cell r="G28">
            <v>1494707449</v>
          </cell>
        </row>
        <row r="29">
          <cell r="A29" t="str">
            <v>Kwh Sold (+15)</v>
          </cell>
          <cell r="F29" t="str">
            <v>(16)</v>
          </cell>
          <cell r="G29">
            <v>1494707449</v>
          </cell>
        </row>
        <row r="30">
          <cell r="A30" t="str">
            <v>Unit Cost/Kwh Sold  (1/15)</v>
          </cell>
          <cell r="B30" t="str">
            <v>(17)</v>
          </cell>
          <cell r="C30" t="str">
            <v>$</v>
          </cell>
          <cell r="D30">
            <v>1.2546E-2</v>
          </cell>
        </row>
        <row r="31">
          <cell r="A31" t="str">
            <v>Okla Retail Kwh Sales</v>
          </cell>
          <cell r="F31" t="str">
            <v>(18)</v>
          </cell>
          <cell r="G31">
            <v>2004484116</v>
          </cell>
        </row>
        <row r="32">
          <cell r="A32" t="str">
            <v>Cogen Kwh for Okla Less Losses (See Okla Retail Fuel Cost Adj Line 20)</v>
          </cell>
          <cell r="F32" t="str">
            <v>(20)</v>
          </cell>
          <cell r="G32">
            <v>284032061</v>
          </cell>
        </row>
        <row r="33">
          <cell r="A33" t="str">
            <v>Okla Retail Kwh Sales Less Cogen &amp; PP  (18-20)</v>
          </cell>
          <cell r="F33" t="str">
            <v>(21)</v>
          </cell>
          <cell r="G33">
            <v>1720452055</v>
          </cell>
        </row>
        <row r="34">
          <cell r="A34" t="str">
            <v>Okla Fuel Less PP Costs (17*21)</v>
          </cell>
          <cell r="B34" t="str">
            <v>(22)</v>
          </cell>
          <cell r="C34" t="str">
            <v>$</v>
          </cell>
          <cell r="D34">
            <v>21584791</v>
          </cell>
        </row>
        <row r="35">
          <cell r="A35" t="str">
            <v>Cogen Costs</v>
          </cell>
          <cell r="B35" t="str">
            <v>(23)</v>
          </cell>
          <cell r="C35" t="str">
            <v>$</v>
          </cell>
          <cell r="D35">
            <v>0</v>
          </cell>
        </row>
        <row r="36">
          <cell r="A36" t="str">
            <v>Total Costs for Okla  (22+23)</v>
          </cell>
          <cell r="B36" t="str">
            <v>(24)</v>
          </cell>
          <cell r="C36" t="str">
            <v>$</v>
          </cell>
          <cell r="D36">
            <v>21584791</v>
          </cell>
        </row>
        <row r="37">
          <cell r="A37" t="str">
            <v>Okla Retail Kwh Sales Less Cogen   (18-20)</v>
          </cell>
          <cell r="F37" t="str">
            <v>(25)</v>
          </cell>
          <cell r="G37">
            <v>1720452055</v>
          </cell>
        </row>
        <row r="38">
          <cell r="A38" t="str">
            <v>Avg Okla Retail Cost (22/21)</v>
          </cell>
          <cell r="B38" t="str">
            <v>(26)</v>
          </cell>
          <cell r="C38" t="str">
            <v>$</v>
          </cell>
          <cell r="D38">
            <v>1.2546E-2</v>
          </cell>
        </row>
        <row r="39">
          <cell r="A39" t="str">
            <v>Fuel Cost in Base Rate</v>
          </cell>
          <cell r="B39" t="str">
            <v>(27)</v>
          </cell>
          <cell r="C39" t="str">
            <v>$</v>
          </cell>
          <cell r="D39">
            <v>1.7000000000000001E-2</v>
          </cell>
        </row>
        <row r="40">
          <cell r="A40" t="str">
            <v>Fuel Adj Before Adjustments (26-27)</v>
          </cell>
          <cell r="B40" t="str">
            <v>(28)</v>
          </cell>
          <cell r="C40" t="str">
            <v>$</v>
          </cell>
          <cell r="D40">
            <v>-4.4540000000000014E-3</v>
          </cell>
        </row>
        <row r="41">
          <cell r="A41" t="str">
            <v>Off System Sales Credit</v>
          </cell>
          <cell r="B41" t="str">
            <v>(29)</v>
          </cell>
          <cell r="C41" t="str">
            <v>$</v>
          </cell>
          <cell r="D41">
            <v>0</v>
          </cell>
        </row>
        <row r="43">
          <cell r="A43" t="str">
            <v>Fuel Adj Before Over/(Under) Adj  (28-29)</v>
          </cell>
          <cell r="B43" t="str">
            <v>(30)</v>
          </cell>
          <cell r="C43" t="str">
            <v>$</v>
          </cell>
          <cell r="D43">
            <v>-4.4540000000000014E-3</v>
          </cell>
        </row>
        <row r="50">
          <cell r="A50" t="str">
            <v>Page 2</v>
          </cell>
        </row>
        <row r="51">
          <cell r="A51" t="str">
            <v>JDK:jdk</v>
          </cell>
        </row>
      </sheetData>
      <sheetData sheetId="2" refreshError="1">
        <row r="1">
          <cell r="D1" t="str">
            <v>DATE ISSUED</v>
          </cell>
        </row>
        <row r="2">
          <cell r="D2" t="str">
            <v>OCTOBER 23, 1995</v>
          </cell>
        </row>
        <row r="3">
          <cell r="A3" t="str">
            <v>OG&amp;E ELECTRIC SERVICES</v>
          </cell>
        </row>
        <row r="4">
          <cell r="A4" t="str">
            <v>OKLAHOMA RETAIL MONTHLY FUEL COST ADJUSTMENT REPORT</v>
          </cell>
        </row>
        <row r="5">
          <cell r="A5" t="str">
            <v>FUEL COST ADJUSTMENT TO BE APPLIED DURING</v>
          </cell>
        </row>
        <row r="6">
          <cell r="A6" t="str">
            <v>THE NOVEMBER 1995 BILLING PERIOD</v>
          </cell>
        </row>
        <row r="9">
          <cell r="A9" t="str">
            <v>(METER READING PERIODS ENDING ON NOVEMBER 1, 1995 THROUGH DECEMBER 3, 1995)</v>
          </cell>
        </row>
        <row r="11">
          <cell r="A11" t="str">
            <v>PURCHASE RATE SCHEDULE QF - 1</v>
          </cell>
        </row>
        <row r="14">
          <cell r="A14" t="str">
            <v>MEASUREMENT OF FUEL OVER / (UNDER) 2 MONTHS PRIOR</v>
          </cell>
        </row>
        <row r="15">
          <cell r="A15" t="str">
            <v xml:space="preserve">      Oklahoma Retail Kwh Less Cogen &amp; PP   (+21)</v>
          </cell>
          <cell r="B15" t="str">
            <v>(31)</v>
          </cell>
          <cell r="D15">
            <v>1720452055</v>
          </cell>
        </row>
        <row r="17">
          <cell r="A17" t="str">
            <v xml:space="preserve">      Fuel Factor 2 Months Prior (QF-1 Page 1 Line 50)</v>
          </cell>
          <cell r="B17" t="str">
            <v>(32)</v>
          </cell>
          <cell r="C17" t="str">
            <v>$</v>
          </cell>
          <cell r="D17">
            <v>-2.2279999999999999E-3</v>
          </cell>
        </row>
        <row r="19">
          <cell r="A19" t="str">
            <v xml:space="preserve">      Fuel Factor Revenues   (31*32)</v>
          </cell>
          <cell r="B19" t="str">
            <v>(33)</v>
          </cell>
          <cell r="C19" t="str">
            <v>$</v>
          </cell>
          <cell r="D19">
            <v>-3833167</v>
          </cell>
        </row>
        <row r="21">
          <cell r="A21" t="str">
            <v xml:space="preserve">      Base Rate Revenues     (31*27)</v>
          </cell>
          <cell r="B21" t="str">
            <v>(34)</v>
          </cell>
          <cell r="C21" t="str">
            <v>$</v>
          </cell>
          <cell r="D21">
            <v>29247685</v>
          </cell>
        </row>
        <row r="23">
          <cell r="A23" t="str">
            <v xml:space="preserve">      Total Fuel Revenues      (33+34)</v>
          </cell>
          <cell r="B23" t="str">
            <v>(35)</v>
          </cell>
          <cell r="C23" t="str">
            <v>$</v>
          </cell>
          <cell r="D23">
            <v>25414518</v>
          </cell>
        </row>
        <row r="25">
          <cell r="A25" t="str">
            <v xml:space="preserve">      Total Fuel Costs Current Month  (+24)</v>
          </cell>
          <cell r="B25" t="str">
            <v>(36)</v>
          </cell>
          <cell r="C25" t="str">
            <v>$</v>
          </cell>
          <cell r="D25">
            <v>21584791</v>
          </cell>
        </row>
        <row r="27">
          <cell r="A27" t="str">
            <v xml:space="preserve">      Okla Off System Sales Credit     (29*31)</v>
          </cell>
          <cell r="B27" t="str">
            <v>(37)</v>
          </cell>
          <cell r="C27" t="str">
            <v>$</v>
          </cell>
          <cell r="D27">
            <v>0</v>
          </cell>
        </row>
        <row r="29">
          <cell r="A29" t="str">
            <v xml:space="preserve">      Over / (Under)Recovery for Month   (35-36-37)</v>
          </cell>
          <cell r="B29" t="str">
            <v>(38)</v>
          </cell>
          <cell r="C29" t="str">
            <v>$</v>
          </cell>
          <cell r="D29">
            <v>3829727</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row r="87">
          <cell r="A87">
            <v>0.27</v>
          </cell>
          <cell r="B87" t="e">
            <v>#REF!</v>
          </cell>
          <cell r="C87" t="e">
            <v>#REF!</v>
          </cell>
          <cell r="E87">
            <v>0.62</v>
          </cell>
          <cell r="F87" t="e">
            <v>#REF!</v>
          </cell>
          <cell r="G87" t="e">
            <v>#REF!</v>
          </cell>
        </row>
        <row r="88">
          <cell r="A88">
            <v>0.27</v>
          </cell>
          <cell r="B88" t="e">
            <v>#REF!</v>
          </cell>
          <cell r="C88" t="e">
            <v>#REF!</v>
          </cell>
          <cell r="E88">
            <v>0.62</v>
          </cell>
          <cell r="F88" t="e">
            <v>#REF!</v>
          </cell>
          <cell r="G88" t="e">
            <v>#REF!</v>
          </cell>
        </row>
        <row r="89">
          <cell r="A89">
            <v>0.27</v>
          </cell>
          <cell r="B89" t="e">
            <v>#REF!</v>
          </cell>
          <cell r="C89" t="e">
            <v>#REF!</v>
          </cell>
          <cell r="E89">
            <v>0.62</v>
          </cell>
          <cell r="F89" t="e">
            <v>#REF!</v>
          </cell>
          <cell r="G89" t="e">
            <v>#REF!</v>
          </cell>
        </row>
        <row r="90">
          <cell r="A90">
            <v>0.27</v>
          </cell>
          <cell r="B90" t="e">
            <v>#REF!</v>
          </cell>
          <cell r="C90" t="e">
            <v>#REF!</v>
          </cell>
          <cell r="E90">
            <v>0.62</v>
          </cell>
          <cell r="F90" t="e">
            <v>#REF!</v>
          </cell>
          <cell r="G90" t="e">
            <v>#REF!</v>
          </cell>
        </row>
        <row r="105">
          <cell r="A105">
            <v>0.47</v>
          </cell>
          <cell r="B105" t="e">
            <v>#REF!</v>
          </cell>
          <cell r="C105" t="e">
            <v>#REF!</v>
          </cell>
          <cell r="E105">
            <v>0.33500000000000002</v>
          </cell>
          <cell r="F105">
            <v>0.34</v>
          </cell>
          <cell r="G105">
            <v>0.38095279950307515</v>
          </cell>
        </row>
        <row r="106">
          <cell r="A106">
            <v>0.47</v>
          </cell>
          <cell r="B106" t="e">
            <v>#REF!</v>
          </cell>
          <cell r="C106" t="e">
            <v>#REF!</v>
          </cell>
          <cell r="E106">
            <v>0.33500000000000002</v>
          </cell>
          <cell r="F106">
            <v>0.34</v>
          </cell>
          <cell r="G106">
            <v>0.36943388121172338</v>
          </cell>
        </row>
        <row r="107">
          <cell r="A107">
            <v>0.47</v>
          </cell>
          <cell r="B107" t="e">
            <v>#REF!</v>
          </cell>
          <cell r="C107" t="e">
            <v>#REF!</v>
          </cell>
          <cell r="E107">
            <v>0.33500000000000002</v>
          </cell>
          <cell r="F107">
            <v>0.34</v>
          </cell>
          <cell r="G107">
            <v>0.35826326191902946</v>
          </cell>
        </row>
        <row r="108">
          <cell r="A108">
            <v>0.47</v>
          </cell>
          <cell r="B108" t="e">
            <v>#REF!</v>
          </cell>
          <cell r="C108" t="e">
            <v>#REF!</v>
          </cell>
          <cell r="E108">
            <v>0.34</v>
          </cell>
          <cell r="F108">
            <v>0.36312000000000005</v>
          </cell>
          <cell r="G108">
            <v>0.37105567794817562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 FY1997"/>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JH-1"/>
      <sheetName val="FJH-3 p 1"/>
      <sheetName val="ATO (WP)"/>
      <sheetName val="LG (WP)"/>
      <sheetName val="NJR (WP)"/>
      <sheetName val="NWN (WP)"/>
      <sheetName val="PNY (WP)"/>
      <sheetName val="SJI (WP)"/>
      <sheetName val="SWX (WP)"/>
      <sheetName val="WGL (WP)"/>
      <sheetName val="FJH-3 p 2"/>
      <sheetName val="FJH-4 p 1"/>
      <sheetName val="FJH-4 p 2"/>
      <sheetName val="FJH-4 p 3"/>
      <sheetName val="FJH-4 p 4"/>
      <sheetName val="FJH-4 p 5"/>
      <sheetName val="FJH-4 p 6"/>
      <sheetName val="FJH-4 p 7"/>
      <sheetName val="FJH-4 p 8"/>
      <sheetName val="FJH-4 p 9"/>
      <sheetName val="FJH-5"/>
      <sheetName val="FJH-6"/>
      <sheetName val="FJH-7"/>
      <sheetName val="Spot &amp; Mnthly Cl. Pr. (WP)"/>
      <sheetName val="FJH-8"/>
      <sheetName val="FJH-9 p 1"/>
      <sheetName val="FJH-10 p 1"/>
      <sheetName val="FJH-10 p 2"/>
      <sheetName val="FJH-10 p 4"/>
      <sheetName val="FJH-10 p 5"/>
      <sheetName val="FJH-10 p 6"/>
      <sheetName val="FJH-10 p 8"/>
      <sheetName val="FJH-10 p 9"/>
      <sheetName val="Annual Bond Yields (WP)"/>
      <sheetName val="AUS RPM Study p 1"/>
      <sheetName val="AUS RPM Study p 2"/>
      <sheetName val="AUS RPM Study p 3"/>
      <sheetName val="AUS RPM Study p 4"/>
      <sheetName val="AUS RPM Study p 5"/>
      <sheetName val="AUS RPM Study p 6"/>
      <sheetName val="AUS RPM Study p 7"/>
      <sheetName val="AUS RPM Study p 8"/>
      <sheetName val="AUS RPM Study p 9"/>
      <sheetName val="AUS RPM Study p 10"/>
      <sheetName val="AUS RPM Study p 11"/>
      <sheetName val="AUS RPM Study p 12"/>
      <sheetName val="FJH-11 p 1"/>
      <sheetName val="FJH-11 pp 2-6"/>
      <sheetName val="FJH-13 p 1"/>
      <sheetName val="FJH-13 p 2"/>
      <sheetName val="VL Appr Potential (WP)"/>
      <sheetName val="FJH-14 p 1"/>
      <sheetName val="FJH-14 p 2"/>
      <sheetName val="FJH-15 p 1"/>
      <sheetName val="FJH-15 p 2 and p 7"/>
      <sheetName val="CEM Div ylds (WP)"/>
      <sheetName val="FJH-15 p 3"/>
      <sheetName val="FJH-15 p 4"/>
      <sheetName val="FJH-15 p 5"/>
      <sheetName val="FJH-15 p 6"/>
      <sheetName val="FJH-16 p 1"/>
      <sheetName val="FJH-16 p 2"/>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A1">
            <v>40394</v>
          </cell>
        </row>
        <row r="2">
          <cell r="D2" t="str">
            <v>Average Annual Yields, "Aa" Public Utility Bonds</v>
          </cell>
          <cell r="G2" t="str">
            <v>Average Annual Yields, "A" Public Utility Bonds</v>
          </cell>
          <cell r="J2" t="str">
            <v>Average Annual Yields, "Baa" Public Utility Bonds</v>
          </cell>
        </row>
        <row r="7">
          <cell r="B7">
            <v>2009</v>
          </cell>
          <cell r="D7">
            <v>5.75</v>
          </cell>
          <cell r="G7">
            <v>6.04</v>
          </cell>
          <cell r="J7">
            <v>7.06</v>
          </cell>
        </row>
        <row r="8">
          <cell r="B8">
            <v>2008</v>
          </cell>
          <cell r="D8">
            <v>6.18</v>
          </cell>
          <cell r="G8">
            <v>6.53</v>
          </cell>
          <cell r="J8">
            <v>7.25</v>
          </cell>
        </row>
        <row r="9">
          <cell r="B9">
            <v>2007</v>
          </cell>
          <cell r="D9">
            <v>5.94</v>
          </cell>
          <cell r="G9">
            <v>6.07</v>
          </cell>
          <cell r="J9">
            <v>6.33</v>
          </cell>
        </row>
        <row r="10">
          <cell r="B10">
            <v>2006</v>
          </cell>
          <cell r="D10">
            <v>5.84</v>
          </cell>
          <cell r="G10">
            <v>6.07</v>
          </cell>
          <cell r="J10">
            <v>6.32</v>
          </cell>
        </row>
        <row r="11">
          <cell r="B11">
            <v>2005</v>
          </cell>
          <cell r="D11">
            <v>5.44</v>
          </cell>
          <cell r="G11">
            <v>5.65</v>
          </cell>
          <cell r="J11">
            <v>5.93</v>
          </cell>
        </row>
        <row r="12">
          <cell r="B12">
            <v>2004</v>
          </cell>
          <cell r="D12">
            <v>6.04</v>
          </cell>
          <cell r="G12">
            <v>6.16</v>
          </cell>
          <cell r="J12">
            <v>6.4</v>
          </cell>
        </row>
        <row r="13">
          <cell r="B13">
            <v>2003</v>
          </cell>
          <cell r="D13">
            <v>6.4</v>
          </cell>
          <cell r="G13">
            <v>6.58</v>
          </cell>
          <cell r="J13">
            <v>6.84</v>
          </cell>
        </row>
        <row r="14">
          <cell r="B14">
            <v>2002</v>
          </cell>
          <cell r="D14">
            <v>7.19</v>
          </cell>
          <cell r="G14">
            <v>7.37</v>
          </cell>
          <cell r="J14">
            <v>8.02</v>
          </cell>
        </row>
        <row r="15">
          <cell r="B15">
            <v>2001</v>
          </cell>
          <cell r="D15">
            <v>7.58</v>
          </cell>
          <cell r="G15">
            <v>7.76</v>
          </cell>
          <cell r="J15">
            <v>8.0299999999999994</v>
          </cell>
        </row>
        <row r="16">
          <cell r="B16">
            <v>2000</v>
          </cell>
          <cell r="D16">
            <v>8.06</v>
          </cell>
          <cell r="G16">
            <v>8.24</v>
          </cell>
          <cell r="J16">
            <v>8.36</v>
          </cell>
        </row>
        <row r="17">
          <cell r="B17">
            <v>1999</v>
          </cell>
          <cell r="D17">
            <v>7.51</v>
          </cell>
          <cell r="G17">
            <v>7.62</v>
          </cell>
          <cell r="J17">
            <v>7.88</v>
          </cell>
        </row>
        <row r="18">
          <cell r="B18">
            <v>1998</v>
          </cell>
          <cell r="D18">
            <v>6.91</v>
          </cell>
          <cell r="G18">
            <v>7.05</v>
          </cell>
          <cell r="J18">
            <v>7.26</v>
          </cell>
        </row>
        <row r="19">
          <cell r="B19">
            <v>1997</v>
          </cell>
          <cell r="D19">
            <v>7.54</v>
          </cell>
          <cell r="G19">
            <v>7.6</v>
          </cell>
          <cell r="J19">
            <v>7.95</v>
          </cell>
        </row>
        <row r="20">
          <cell r="B20">
            <v>1996</v>
          </cell>
          <cell r="D20">
            <v>7.57</v>
          </cell>
          <cell r="G20">
            <v>7.75</v>
          </cell>
          <cell r="J20">
            <v>8.16</v>
          </cell>
        </row>
        <row r="21">
          <cell r="B21">
            <v>1995</v>
          </cell>
          <cell r="D21">
            <v>7.77</v>
          </cell>
          <cell r="G21">
            <v>7.89</v>
          </cell>
          <cell r="J21">
            <v>8.31</v>
          </cell>
        </row>
        <row r="22">
          <cell r="B22">
            <v>1994</v>
          </cell>
          <cell r="D22">
            <v>8.2100000000000009</v>
          </cell>
          <cell r="G22">
            <v>8.31</v>
          </cell>
          <cell r="J22">
            <v>8.6300000000000008</v>
          </cell>
        </row>
        <row r="23">
          <cell r="B23">
            <v>1993</v>
          </cell>
          <cell r="D23">
            <v>7.44</v>
          </cell>
          <cell r="G23">
            <v>7.59</v>
          </cell>
          <cell r="J23">
            <v>7.91</v>
          </cell>
        </row>
        <row r="24">
          <cell r="B24">
            <v>1992</v>
          </cell>
          <cell r="D24">
            <v>8.5500000000000007</v>
          </cell>
          <cell r="G24">
            <v>8.69</v>
          </cell>
          <cell r="J24">
            <v>8.86</v>
          </cell>
        </row>
        <row r="25">
          <cell r="B25">
            <v>1991</v>
          </cell>
          <cell r="D25">
            <v>9.09</v>
          </cell>
          <cell r="G25">
            <v>9.36</v>
          </cell>
          <cell r="J25">
            <v>9.5500000000000007</v>
          </cell>
        </row>
        <row r="26">
          <cell r="B26">
            <v>1990</v>
          </cell>
          <cell r="D26">
            <v>9.65</v>
          </cell>
          <cell r="G26">
            <v>9.86</v>
          </cell>
          <cell r="J26">
            <v>10.06</v>
          </cell>
        </row>
        <row r="27">
          <cell r="B27">
            <v>1989</v>
          </cell>
          <cell r="D27">
            <v>9.56</v>
          </cell>
          <cell r="G27">
            <v>9.77</v>
          </cell>
          <cell r="J27">
            <v>9.9700000000000006</v>
          </cell>
        </row>
        <row r="28">
          <cell r="B28">
            <v>1988</v>
          </cell>
          <cell r="D28">
            <v>10.26</v>
          </cell>
          <cell r="G28">
            <v>10.49</v>
          </cell>
          <cell r="J28">
            <v>11</v>
          </cell>
        </row>
        <row r="29">
          <cell r="B29">
            <v>1987</v>
          </cell>
          <cell r="D29">
            <v>9.77</v>
          </cell>
          <cell r="G29">
            <v>10.1</v>
          </cell>
          <cell r="J29">
            <v>10.53</v>
          </cell>
        </row>
        <row r="30">
          <cell r="B30">
            <v>1986</v>
          </cell>
          <cell r="D30">
            <v>9.3000000000000007</v>
          </cell>
          <cell r="G30">
            <v>9.58</v>
          </cell>
          <cell r="J30">
            <v>10</v>
          </cell>
        </row>
        <row r="31">
          <cell r="B31">
            <v>1985</v>
          </cell>
          <cell r="D31">
            <v>12.06</v>
          </cell>
          <cell r="G31">
            <v>12.47</v>
          </cell>
          <cell r="J31">
            <v>12.96</v>
          </cell>
        </row>
        <row r="32">
          <cell r="B32">
            <v>1984</v>
          </cell>
          <cell r="D32">
            <v>13.66</v>
          </cell>
          <cell r="G32">
            <v>14.03</v>
          </cell>
          <cell r="J32">
            <v>14.53</v>
          </cell>
        </row>
        <row r="33">
          <cell r="B33">
            <v>1983</v>
          </cell>
          <cell r="D33">
            <v>12.83</v>
          </cell>
          <cell r="G33">
            <v>13.66</v>
          </cell>
          <cell r="J33">
            <v>14.2</v>
          </cell>
        </row>
        <row r="34">
          <cell r="B34">
            <v>1982</v>
          </cell>
          <cell r="D34">
            <v>14.79</v>
          </cell>
          <cell r="G34">
            <v>15.86</v>
          </cell>
          <cell r="J34">
            <v>16.45</v>
          </cell>
        </row>
        <row r="35">
          <cell r="B35">
            <v>1981</v>
          </cell>
          <cell r="D35">
            <v>15.3</v>
          </cell>
          <cell r="G35">
            <v>15.95</v>
          </cell>
          <cell r="J35">
            <v>16.600000000000001</v>
          </cell>
        </row>
        <row r="36">
          <cell r="B36">
            <v>1980</v>
          </cell>
          <cell r="D36">
            <v>13</v>
          </cell>
          <cell r="G36">
            <v>13.34</v>
          </cell>
          <cell r="J36">
            <v>13.95</v>
          </cell>
        </row>
        <row r="37">
          <cell r="B37">
            <v>1979</v>
          </cell>
          <cell r="D37">
            <v>10.220000000000001</v>
          </cell>
          <cell r="G37">
            <v>10.49</v>
          </cell>
          <cell r="J37">
            <v>10.96</v>
          </cell>
        </row>
        <row r="38">
          <cell r="B38">
            <v>1978</v>
          </cell>
          <cell r="D38">
            <v>9.1</v>
          </cell>
          <cell r="G38">
            <v>9.2899999999999991</v>
          </cell>
          <cell r="J38">
            <v>9.6199999999999992</v>
          </cell>
        </row>
        <row r="39">
          <cell r="B39">
            <v>1977</v>
          </cell>
          <cell r="D39">
            <v>8.43</v>
          </cell>
          <cell r="G39">
            <v>8.61</v>
          </cell>
          <cell r="J39">
            <v>9.06</v>
          </cell>
        </row>
        <row r="40">
          <cell r="B40">
            <v>1976</v>
          </cell>
          <cell r="D40">
            <v>8.92</v>
          </cell>
          <cell r="G40">
            <v>9.2899999999999991</v>
          </cell>
          <cell r="J40">
            <v>9.82</v>
          </cell>
        </row>
        <row r="41">
          <cell r="B41">
            <v>1975</v>
          </cell>
          <cell r="D41">
            <v>9.44</v>
          </cell>
          <cell r="G41">
            <v>10.09</v>
          </cell>
          <cell r="J41">
            <v>10.96</v>
          </cell>
        </row>
        <row r="42">
          <cell r="B42">
            <v>1974</v>
          </cell>
          <cell r="D42">
            <v>9.0399999999999991</v>
          </cell>
          <cell r="G42">
            <v>9.5</v>
          </cell>
          <cell r="J42">
            <v>9.84</v>
          </cell>
        </row>
        <row r="43">
          <cell r="B43">
            <v>1973</v>
          </cell>
          <cell r="D43">
            <v>7.72</v>
          </cell>
          <cell r="G43">
            <v>7.84</v>
          </cell>
          <cell r="J43">
            <v>8.17</v>
          </cell>
        </row>
        <row r="44">
          <cell r="B44">
            <v>1972</v>
          </cell>
          <cell r="D44">
            <v>7.6</v>
          </cell>
          <cell r="G44">
            <v>7.72</v>
          </cell>
          <cell r="J44">
            <v>8.17</v>
          </cell>
        </row>
        <row r="45">
          <cell r="B45">
            <v>1971</v>
          </cell>
          <cell r="D45">
            <v>8</v>
          </cell>
          <cell r="G45">
            <v>8.16</v>
          </cell>
          <cell r="J45">
            <v>8.6300000000000008</v>
          </cell>
        </row>
        <row r="46">
          <cell r="B46">
            <v>1970</v>
          </cell>
          <cell r="D46">
            <v>8.52</v>
          </cell>
          <cell r="G46">
            <v>8.69</v>
          </cell>
          <cell r="J46">
            <v>9.18</v>
          </cell>
        </row>
        <row r="47">
          <cell r="B47">
            <v>1969</v>
          </cell>
          <cell r="D47">
            <v>7.34</v>
          </cell>
          <cell r="G47">
            <v>7.54</v>
          </cell>
          <cell r="J47">
            <v>7.93</v>
          </cell>
        </row>
        <row r="48">
          <cell r="B48">
            <v>1968</v>
          </cell>
          <cell r="D48">
            <v>6.35</v>
          </cell>
          <cell r="G48">
            <v>6.51</v>
          </cell>
          <cell r="J48">
            <v>6.87</v>
          </cell>
        </row>
        <row r="49">
          <cell r="B49">
            <v>1967</v>
          </cell>
          <cell r="D49">
            <v>5.66</v>
          </cell>
          <cell r="G49">
            <v>5.87</v>
          </cell>
          <cell r="J49">
            <v>6.15</v>
          </cell>
        </row>
        <row r="50">
          <cell r="B50">
            <v>1966</v>
          </cell>
          <cell r="D50">
            <v>5.25</v>
          </cell>
          <cell r="G50">
            <v>5.39</v>
          </cell>
          <cell r="J50">
            <v>5.6</v>
          </cell>
        </row>
        <row r="51">
          <cell r="B51">
            <v>1965</v>
          </cell>
          <cell r="D51">
            <v>4.5199999999999996</v>
          </cell>
          <cell r="G51">
            <v>4.58</v>
          </cell>
          <cell r="J51">
            <v>4.78</v>
          </cell>
        </row>
        <row r="52">
          <cell r="B52">
            <v>1964</v>
          </cell>
          <cell r="D52">
            <v>4.4400000000000004</v>
          </cell>
          <cell r="G52">
            <v>4.5199999999999996</v>
          </cell>
          <cell r="J52">
            <v>4.74</v>
          </cell>
        </row>
        <row r="53">
          <cell r="B53">
            <v>1963</v>
          </cell>
          <cell r="D53">
            <v>4.32</v>
          </cell>
          <cell r="G53">
            <v>4.3899999999999997</v>
          </cell>
          <cell r="J53">
            <v>4.67</v>
          </cell>
        </row>
        <row r="54">
          <cell r="B54">
            <v>1962</v>
          </cell>
          <cell r="D54">
            <v>4.41</v>
          </cell>
          <cell r="G54">
            <v>4.54</v>
          </cell>
          <cell r="J54">
            <v>4.75</v>
          </cell>
        </row>
        <row r="55">
          <cell r="B55">
            <v>1961</v>
          </cell>
          <cell r="D55">
            <v>4.46</v>
          </cell>
          <cell r="G55">
            <v>4.62</v>
          </cell>
          <cell r="J55">
            <v>4.83</v>
          </cell>
        </row>
        <row r="56">
          <cell r="B56">
            <v>1960</v>
          </cell>
          <cell r="D56">
            <v>4.53</v>
          </cell>
          <cell r="G56">
            <v>4.78</v>
          </cell>
          <cell r="J56">
            <v>4.97</v>
          </cell>
        </row>
        <row r="57">
          <cell r="B57">
            <v>1959</v>
          </cell>
          <cell r="D57">
            <v>4.5599999999999996</v>
          </cell>
          <cell r="G57">
            <v>4.78</v>
          </cell>
          <cell r="J57">
            <v>4.96</v>
          </cell>
        </row>
        <row r="58">
          <cell r="B58">
            <v>1958</v>
          </cell>
          <cell r="D58">
            <v>3.92</v>
          </cell>
          <cell r="G58">
            <v>4.2</v>
          </cell>
          <cell r="J58">
            <v>4.43</v>
          </cell>
        </row>
        <row r="59">
          <cell r="B59">
            <v>1957</v>
          </cell>
          <cell r="D59">
            <v>4.03</v>
          </cell>
          <cell r="G59">
            <v>4.24</v>
          </cell>
          <cell r="J59">
            <v>4.46</v>
          </cell>
        </row>
        <row r="60">
          <cell r="B60">
            <v>1956</v>
          </cell>
          <cell r="D60">
            <v>3.43</v>
          </cell>
          <cell r="G60">
            <v>3.56</v>
          </cell>
          <cell r="J60">
            <v>3.78</v>
          </cell>
        </row>
        <row r="61">
          <cell r="B61">
            <v>1955</v>
          </cell>
          <cell r="D61">
            <v>3.13</v>
          </cell>
          <cell r="G61">
            <v>3.22</v>
          </cell>
          <cell r="J61">
            <v>3.43</v>
          </cell>
        </row>
        <row r="62">
          <cell r="B62">
            <v>1954</v>
          </cell>
          <cell r="D62">
            <v>3</v>
          </cell>
          <cell r="G62">
            <v>3.16</v>
          </cell>
          <cell r="J62">
            <v>3.51</v>
          </cell>
        </row>
        <row r="63">
          <cell r="B63">
            <v>1953</v>
          </cell>
          <cell r="D63">
            <v>3.32</v>
          </cell>
          <cell r="G63">
            <v>3.49</v>
          </cell>
          <cell r="J63">
            <v>3.73</v>
          </cell>
        </row>
        <row r="64">
          <cell r="B64">
            <v>1952</v>
          </cell>
          <cell r="D64">
            <v>3.05</v>
          </cell>
          <cell r="G64">
            <v>3.24</v>
          </cell>
          <cell r="J64">
            <v>3.53</v>
          </cell>
        </row>
        <row r="65">
          <cell r="B65">
            <v>1951</v>
          </cell>
          <cell r="D65">
            <v>2.95</v>
          </cell>
          <cell r="G65">
            <v>3.11</v>
          </cell>
          <cell r="J65">
            <v>3.39</v>
          </cell>
        </row>
        <row r="66">
          <cell r="B66">
            <v>1950</v>
          </cell>
          <cell r="D66">
            <v>2.68</v>
          </cell>
          <cell r="G66">
            <v>2.79</v>
          </cell>
          <cell r="J66">
            <v>3.18</v>
          </cell>
        </row>
        <row r="67">
          <cell r="B67">
            <v>1949</v>
          </cell>
          <cell r="D67">
            <v>2.76</v>
          </cell>
          <cell r="G67">
            <v>2.9</v>
          </cell>
          <cell r="J67">
            <v>3.28</v>
          </cell>
        </row>
        <row r="68">
          <cell r="B68">
            <v>1948</v>
          </cell>
          <cell r="D68">
            <v>2.92</v>
          </cell>
          <cell r="G68">
            <v>3.02</v>
          </cell>
          <cell r="J68">
            <v>3.36</v>
          </cell>
        </row>
        <row r="69">
          <cell r="B69">
            <v>1947</v>
          </cell>
          <cell r="D69">
            <v>2.67</v>
          </cell>
          <cell r="G69">
            <v>2.78</v>
          </cell>
          <cell r="J69">
            <v>3.08</v>
          </cell>
        </row>
        <row r="70">
          <cell r="B70">
            <v>1946</v>
          </cell>
          <cell r="D70">
            <v>2.58</v>
          </cell>
          <cell r="G70">
            <v>2.71</v>
          </cell>
          <cell r="J70">
            <v>3.03</v>
          </cell>
        </row>
        <row r="71">
          <cell r="B71">
            <v>1945</v>
          </cell>
          <cell r="D71">
            <v>2.67</v>
          </cell>
          <cell r="G71">
            <v>2.87</v>
          </cell>
          <cell r="J71">
            <v>3.39</v>
          </cell>
        </row>
        <row r="72">
          <cell r="B72">
            <v>1944</v>
          </cell>
          <cell r="D72">
            <v>2.72</v>
          </cell>
          <cell r="G72">
            <v>2.97</v>
          </cell>
          <cell r="J72">
            <v>3.52</v>
          </cell>
        </row>
        <row r="73">
          <cell r="B73">
            <v>1943</v>
          </cell>
          <cell r="D73">
            <v>2.73</v>
          </cell>
          <cell r="G73">
            <v>2.99</v>
          </cell>
          <cell r="J73">
            <v>3.58</v>
          </cell>
        </row>
        <row r="74">
          <cell r="B74">
            <v>1942</v>
          </cell>
          <cell r="D74">
            <v>2.87</v>
          </cell>
          <cell r="G74">
            <v>3.09</v>
          </cell>
          <cell r="J74">
            <v>3.73</v>
          </cell>
        </row>
        <row r="75">
          <cell r="B75">
            <v>1941</v>
          </cell>
          <cell r="D75">
            <v>2.83</v>
          </cell>
          <cell r="G75">
            <v>3.07</v>
          </cell>
          <cell r="J75">
            <v>3.84</v>
          </cell>
        </row>
        <row r="76">
          <cell r="B76">
            <v>1940</v>
          </cell>
          <cell r="D76">
            <v>2.92</v>
          </cell>
          <cell r="G76">
            <v>3.24</v>
          </cell>
          <cell r="J76">
            <v>4.05</v>
          </cell>
        </row>
        <row r="77">
          <cell r="B77">
            <v>1939</v>
          </cell>
          <cell r="D77">
            <v>3.03</v>
          </cell>
          <cell r="G77">
            <v>3.52</v>
          </cell>
          <cell r="J77">
            <v>4.5</v>
          </cell>
        </row>
        <row r="78">
          <cell r="B78">
            <v>1938</v>
          </cell>
          <cell r="D78">
            <v>3.28</v>
          </cell>
          <cell r="G78">
            <v>3.9</v>
          </cell>
          <cell r="J78">
            <v>5.26</v>
          </cell>
        </row>
        <row r="79">
          <cell r="B79">
            <v>1937</v>
          </cell>
          <cell r="D79">
            <v>3.45</v>
          </cell>
          <cell r="G79">
            <v>3.98</v>
          </cell>
          <cell r="J79">
            <v>5.09</v>
          </cell>
        </row>
        <row r="80">
          <cell r="B80">
            <v>1936</v>
          </cell>
          <cell r="D80">
            <v>3.57</v>
          </cell>
          <cell r="G80">
            <v>4.08</v>
          </cell>
          <cell r="J80">
            <v>4.67</v>
          </cell>
        </row>
        <row r="81">
          <cell r="B81">
            <v>1935</v>
          </cell>
          <cell r="D81">
            <v>4.0199999999999996</v>
          </cell>
          <cell r="G81">
            <v>4.6100000000000003</v>
          </cell>
          <cell r="J81">
            <v>5.56</v>
          </cell>
        </row>
        <row r="82">
          <cell r="B82">
            <v>1934</v>
          </cell>
          <cell r="D82">
            <v>4.66</v>
          </cell>
          <cell r="G82">
            <v>5.55</v>
          </cell>
          <cell r="J82">
            <v>7.49</v>
          </cell>
        </row>
        <row r="83">
          <cell r="B83">
            <v>1933</v>
          </cell>
          <cell r="D83">
            <v>5.0199999999999996</v>
          </cell>
          <cell r="G83">
            <v>6.32</v>
          </cell>
          <cell r="J83">
            <v>9.3800000000000008</v>
          </cell>
        </row>
        <row r="84">
          <cell r="B84">
            <v>1932</v>
          </cell>
          <cell r="D84">
            <v>5.32</v>
          </cell>
          <cell r="G84">
            <v>6.46</v>
          </cell>
          <cell r="J84">
            <v>8.7799999999999994</v>
          </cell>
        </row>
        <row r="85">
          <cell r="B85">
            <v>1931</v>
          </cell>
          <cell r="D85">
            <v>4.68</v>
          </cell>
          <cell r="G85">
            <v>5.12</v>
          </cell>
          <cell r="J85">
            <v>6.9</v>
          </cell>
        </row>
        <row r="86">
          <cell r="B86">
            <v>1930</v>
          </cell>
          <cell r="D86">
            <v>4.75</v>
          </cell>
          <cell r="G86">
            <v>5.0599999999999996</v>
          </cell>
          <cell r="J86">
            <v>5.88</v>
          </cell>
        </row>
        <row r="87">
          <cell r="B87">
            <v>1929</v>
          </cell>
          <cell r="D87">
            <v>4.91</v>
          </cell>
          <cell r="G87">
            <v>5.22</v>
          </cell>
          <cell r="J87">
            <v>5.76</v>
          </cell>
        </row>
        <row r="88">
          <cell r="B88">
            <v>1928</v>
          </cell>
          <cell r="D88">
            <v>4.68</v>
          </cell>
          <cell r="G88">
            <v>4.95</v>
          </cell>
          <cell r="J88">
            <v>5.33</v>
          </cell>
        </row>
        <row r="90">
          <cell r="B90" t="str">
            <v>Averages:</v>
          </cell>
        </row>
        <row r="92">
          <cell r="B92" t="str">
            <v>1928-2009</v>
          </cell>
          <cell r="D92">
            <v>6.3</v>
          </cell>
          <cell r="E92" t="str">
            <v>%</v>
          </cell>
          <cell r="G92">
            <v>6.59</v>
          </cell>
          <cell r="H92" t="str">
            <v>%</v>
          </cell>
          <cell r="J92">
            <v>7.11</v>
          </cell>
          <cell r="K92" t="str">
            <v>%</v>
          </cell>
        </row>
        <row r="94">
          <cell r="B94" t="str">
            <v>Std Dev:</v>
          </cell>
        </row>
        <row r="96">
          <cell r="B96" t="str">
            <v>1928-2009</v>
          </cell>
          <cell r="D96">
            <v>3.09</v>
          </cell>
          <cell r="E96" t="str">
            <v>%</v>
          </cell>
          <cell r="G96">
            <v>3.15</v>
          </cell>
          <cell r="H96" t="str">
            <v>%</v>
          </cell>
          <cell r="J96">
            <v>3.18</v>
          </cell>
          <cell r="K96" t="str">
            <v>%</v>
          </cell>
        </row>
      </sheetData>
      <sheetData sheetId="36">
        <row r="2">
          <cell r="CG2" t="str">
            <v>TOTAL</v>
          </cell>
        </row>
        <row r="3">
          <cell r="CG3" t="str">
            <v>RETURN</v>
          </cell>
        </row>
        <row r="4">
          <cell r="A4" t="str">
            <v xml:space="preserve"> S &amp; P PUBLIC UTILITY STOCKS:MONTHLY AVERAGES OF DAILY INDEXES P. 38</v>
          </cell>
          <cell r="O4" t="str">
            <v>YIELD OF THE S &amp; P PUBLIC UTILITY STOCKS</v>
          </cell>
          <cell r="AC4" t="str">
            <v>S &amp; P PUBLIC UTILITY STOCKS : MONTH ENDING PRICE INDEX P. 38</v>
          </cell>
          <cell r="AQ4" t="str">
            <v>PUBLIC UTILITY STOCKS : INCOME</v>
          </cell>
          <cell r="BE4" t="str">
            <v>PUBLIC UTILITY STOCKS : CAPITAL APPRECIATION</v>
          </cell>
          <cell r="BS4" t="str">
            <v>PUBLIC UTILITY STOCKS : TOTAL RETURNS</v>
          </cell>
          <cell r="CG4" t="str">
            <v>SUMMARY</v>
          </cell>
        </row>
        <row r="5">
          <cell r="A5" t="str">
            <v>(1941- 1943 = 10)</v>
          </cell>
          <cell r="O5" t="str">
            <v>MONTHLY AVERAGES OF WEEKLY INDEXES (PERCENT) P. 35</v>
          </cell>
          <cell r="AC5" t="str">
            <v>(1941- 1943 = 10)</v>
          </cell>
        </row>
        <row r="6">
          <cell r="CH6" t="str">
            <v>JAN</v>
          </cell>
        </row>
        <row r="7">
          <cell r="A7" t="str">
            <v>YEAR</v>
          </cell>
          <cell r="B7" t="str">
            <v>JAN</v>
          </cell>
          <cell r="C7" t="str">
            <v>FEB</v>
          </cell>
          <cell r="D7" t="str">
            <v>MAR</v>
          </cell>
          <cell r="E7" t="str">
            <v>APR</v>
          </cell>
          <cell r="F7" t="str">
            <v>MAY</v>
          </cell>
          <cell r="G7" t="str">
            <v>JUN</v>
          </cell>
          <cell r="H7" t="str">
            <v>JUL</v>
          </cell>
          <cell r="I7" t="str">
            <v>AUG</v>
          </cell>
          <cell r="J7" t="str">
            <v>SEP</v>
          </cell>
          <cell r="K7" t="str">
            <v>OCT</v>
          </cell>
          <cell r="L7" t="str">
            <v>NOV</v>
          </cell>
          <cell r="M7" t="str">
            <v>DEC</v>
          </cell>
          <cell r="O7" t="str">
            <v>YEAR</v>
          </cell>
          <cell r="P7" t="str">
            <v>JAN</v>
          </cell>
          <cell r="Q7" t="str">
            <v>FEB</v>
          </cell>
          <cell r="R7" t="str">
            <v>MAR</v>
          </cell>
          <cell r="S7" t="str">
            <v>APR</v>
          </cell>
          <cell r="T7" t="str">
            <v>MAY</v>
          </cell>
          <cell r="U7" t="str">
            <v>JUN</v>
          </cell>
          <cell r="V7" t="str">
            <v>JUL</v>
          </cell>
          <cell r="W7" t="str">
            <v>AUG</v>
          </cell>
          <cell r="X7" t="str">
            <v>SEP</v>
          </cell>
          <cell r="Y7" t="str">
            <v>OCT</v>
          </cell>
          <cell r="Z7" t="str">
            <v>NOV</v>
          </cell>
          <cell r="AA7" t="str">
            <v>DEC</v>
          </cell>
          <cell r="AC7" t="str">
            <v>YEAR</v>
          </cell>
          <cell r="AD7" t="str">
            <v>JAN</v>
          </cell>
          <cell r="AE7" t="str">
            <v>FEB</v>
          </cell>
          <cell r="AF7" t="str">
            <v>MAR</v>
          </cell>
          <cell r="AG7" t="str">
            <v>APR</v>
          </cell>
          <cell r="AH7" t="str">
            <v>MAY</v>
          </cell>
          <cell r="AI7" t="str">
            <v>JUN</v>
          </cell>
          <cell r="AJ7" t="str">
            <v>JUL</v>
          </cell>
          <cell r="AK7" t="str">
            <v>AUG</v>
          </cell>
          <cell r="AL7" t="str">
            <v>SEP</v>
          </cell>
          <cell r="AM7" t="str">
            <v>OCT</v>
          </cell>
          <cell r="AN7" t="str">
            <v>NOV</v>
          </cell>
          <cell r="AO7" t="str">
            <v>DEC</v>
          </cell>
          <cell r="AQ7" t="str">
            <v>YEAR</v>
          </cell>
          <cell r="AR7" t="str">
            <v>JAN</v>
          </cell>
          <cell r="AS7" t="str">
            <v>FEB</v>
          </cell>
          <cell r="AT7" t="str">
            <v>MAR</v>
          </cell>
          <cell r="AU7" t="str">
            <v>APR</v>
          </cell>
          <cell r="AV7" t="str">
            <v>MAY</v>
          </cell>
          <cell r="AW7" t="str">
            <v>JUN</v>
          </cell>
          <cell r="AX7" t="str">
            <v>JUL</v>
          </cell>
          <cell r="AY7" t="str">
            <v>AUG</v>
          </cell>
          <cell r="AZ7" t="str">
            <v>SEP</v>
          </cell>
          <cell r="BA7" t="str">
            <v>OCT</v>
          </cell>
          <cell r="BB7" t="str">
            <v>NOV</v>
          </cell>
          <cell r="BC7" t="str">
            <v>DEC</v>
          </cell>
          <cell r="BE7" t="str">
            <v>YEAR</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S7" t="str">
            <v>YEAR</v>
          </cell>
          <cell r="BT7" t="str">
            <v>JAN</v>
          </cell>
          <cell r="BU7" t="str">
            <v>FEB</v>
          </cell>
          <cell r="BV7" t="str">
            <v>MAR</v>
          </cell>
          <cell r="BW7" t="str">
            <v>APR</v>
          </cell>
          <cell r="BX7" t="str">
            <v>MAY</v>
          </cell>
          <cell r="BY7" t="str">
            <v>JUN</v>
          </cell>
          <cell r="BZ7" t="str">
            <v>JUL</v>
          </cell>
          <cell r="CA7" t="str">
            <v>AUG</v>
          </cell>
          <cell r="CB7" t="str">
            <v>SEP</v>
          </cell>
          <cell r="CC7" t="str">
            <v>OCT</v>
          </cell>
          <cell r="CD7" t="str">
            <v>NOV</v>
          </cell>
          <cell r="CE7" t="str">
            <v>DEC</v>
          </cell>
          <cell r="CG7" t="str">
            <v>YEAR</v>
          </cell>
          <cell r="CH7" t="str">
            <v>-DEC</v>
          </cell>
        </row>
        <row r="9">
          <cell r="A9">
            <v>1928</v>
          </cell>
          <cell r="B9">
            <v>3110</v>
          </cell>
          <cell r="C9">
            <v>3181</v>
          </cell>
          <cell r="D9">
            <v>3278</v>
          </cell>
          <cell r="E9">
            <v>3531</v>
          </cell>
          <cell r="F9">
            <v>3807</v>
          </cell>
          <cell r="G9">
            <v>3584</v>
          </cell>
          <cell r="H9">
            <v>3578</v>
          </cell>
          <cell r="I9">
            <v>3660</v>
          </cell>
          <cell r="J9">
            <v>3917</v>
          </cell>
          <cell r="K9">
            <v>3881</v>
          </cell>
          <cell r="L9">
            <v>4214</v>
          </cell>
          <cell r="M9">
            <v>4486</v>
          </cell>
          <cell r="O9">
            <v>1928</v>
          </cell>
          <cell r="P9">
            <v>390</v>
          </cell>
          <cell r="Q9">
            <v>385</v>
          </cell>
          <cell r="R9">
            <v>373</v>
          </cell>
          <cell r="S9">
            <v>346</v>
          </cell>
          <cell r="T9">
            <v>322</v>
          </cell>
          <cell r="U9">
            <v>343</v>
          </cell>
          <cell r="V9">
            <v>348</v>
          </cell>
          <cell r="W9">
            <v>339</v>
          </cell>
          <cell r="X9">
            <v>314</v>
          </cell>
          <cell r="Y9">
            <v>319</v>
          </cell>
          <cell r="Z9">
            <v>301</v>
          </cell>
          <cell r="AA9">
            <v>294</v>
          </cell>
          <cell r="AC9">
            <v>1928</v>
          </cell>
          <cell r="AD9">
            <v>3207</v>
          </cell>
          <cell r="AE9">
            <v>3171</v>
          </cell>
          <cell r="AF9">
            <v>3390</v>
          </cell>
          <cell r="AG9">
            <v>3714</v>
          </cell>
          <cell r="AH9">
            <v>3781</v>
          </cell>
          <cell r="AI9">
            <v>3619</v>
          </cell>
          <cell r="AJ9">
            <v>3581</v>
          </cell>
          <cell r="AK9">
            <v>3815</v>
          </cell>
          <cell r="AL9">
            <v>3914</v>
          </cell>
          <cell r="AM9">
            <v>3868</v>
          </cell>
          <cell r="AN9">
            <v>4688</v>
          </cell>
          <cell r="AO9">
            <v>4724</v>
          </cell>
          <cell r="AQ9">
            <v>1928</v>
          </cell>
          <cell r="AR9">
            <v>3.3E-3</v>
          </cell>
          <cell r="AS9">
            <v>3.1823225236461907E-3</v>
          </cell>
          <cell r="AT9">
            <v>3.2132187532849786E-3</v>
          </cell>
          <cell r="AU9">
            <v>3.003259587020649E-3</v>
          </cell>
          <cell r="AV9">
            <v>2.750525040387722E-3</v>
          </cell>
          <cell r="AW9">
            <v>2.7094066825354849E-3</v>
          </cell>
          <cell r="AX9">
            <v>2.8671456203371096E-3</v>
          </cell>
          <cell r="AY9">
            <v>2.8873219771013686E-3</v>
          </cell>
          <cell r="AZ9">
            <v>2.686627348186981E-3</v>
          </cell>
          <cell r="BA9">
            <v>2.6359202009879068E-3</v>
          </cell>
          <cell r="BB9">
            <v>2.7327085487762839E-3</v>
          </cell>
          <cell r="BC9">
            <v>2.3444325938566553E-3</v>
          </cell>
          <cell r="BE9">
            <v>1928</v>
          </cell>
          <cell r="BF9">
            <v>3.4200000000000001E-2</v>
          </cell>
          <cell r="BG9">
            <v>-1.1225444340505097E-2</v>
          </cell>
          <cell r="BH9">
            <v>6.9063386944181682E-2</v>
          </cell>
          <cell r="BI9">
            <v>9.5575221238938024E-2</v>
          </cell>
          <cell r="BJ9">
            <v>1.8039849219170678E-2</v>
          </cell>
          <cell r="BK9">
            <v>-4.2845807987304974E-2</v>
          </cell>
          <cell r="BL9">
            <v>-1.0500138159712624E-2</v>
          </cell>
          <cell r="BM9">
            <v>6.534487573303549E-2</v>
          </cell>
          <cell r="BN9">
            <v>2.59501965923985E-2</v>
          </cell>
          <cell r="BO9">
            <v>-1.1752682677567683E-2</v>
          </cell>
          <cell r="BP9">
            <v>0.21199586349534649</v>
          </cell>
          <cell r="BQ9">
            <v>7.6791808873719614E-3</v>
          </cell>
          <cell r="BS9">
            <v>1928</v>
          </cell>
          <cell r="BT9">
            <v>3.7499999999999999E-2</v>
          </cell>
          <cell r="BU9">
            <v>-8.0431218168589072E-3</v>
          </cell>
          <cell r="BV9">
            <v>7.2276605697466662E-2</v>
          </cell>
          <cell r="BW9">
            <v>9.8578480825958673E-2</v>
          </cell>
          <cell r="BX9">
            <v>2.0790374259558399E-2</v>
          </cell>
          <cell r="BY9">
            <v>-4.013640130476949E-2</v>
          </cell>
          <cell r="BZ9">
            <v>-7.6329925393755146E-3</v>
          </cell>
          <cell r="CA9">
            <v>6.823219771013686E-2</v>
          </cell>
          <cell r="CB9">
            <v>2.863682394058548E-2</v>
          </cell>
          <cell r="CC9">
            <v>-9.1167624765797761E-3</v>
          </cell>
          <cell r="CD9">
            <v>0.21472857204412277</v>
          </cell>
          <cell r="CE9">
            <v>1.0023613481228617E-2</v>
          </cell>
          <cell r="CG9">
            <v>1928</v>
          </cell>
          <cell r="CH9">
            <v>0.57470138586367736</v>
          </cell>
        </row>
        <row r="10">
          <cell r="A10">
            <v>1929</v>
          </cell>
          <cell r="B10">
            <v>4900</v>
          </cell>
          <cell r="C10">
            <v>5121</v>
          </cell>
          <cell r="D10">
            <v>5132</v>
          </cell>
          <cell r="E10">
            <v>5068</v>
          </cell>
          <cell r="F10">
            <v>5424</v>
          </cell>
          <cell r="G10">
            <v>6011</v>
          </cell>
          <cell r="H10">
            <v>6998</v>
          </cell>
          <cell r="I10">
            <v>7702</v>
          </cell>
          <cell r="J10">
            <v>8212</v>
          </cell>
          <cell r="K10">
            <v>6989</v>
          </cell>
          <cell r="L10">
            <v>4652</v>
          </cell>
          <cell r="M10">
            <v>4982</v>
          </cell>
          <cell r="O10">
            <v>1929</v>
          </cell>
          <cell r="P10">
            <v>266</v>
          </cell>
          <cell r="Q10">
            <v>258</v>
          </cell>
          <cell r="R10">
            <v>259</v>
          </cell>
          <cell r="S10">
            <v>265</v>
          </cell>
          <cell r="T10">
            <v>248</v>
          </cell>
          <cell r="U10">
            <v>222</v>
          </cell>
          <cell r="V10">
            <v>195</v>
          </cell>
          <cell r="W10">
            <v>178</v>
          </cell>
          <cell r="X10">
            <v>169</v>
          </cell>
          <cell r="Y10">
            <v>205</v>
          </cell>
          <cell r="Z10">
            <v>316</v>
          </cell>
          <cell r="AA10">
            <v>308</v>
          </cell>
          <cell r="AC10">
            <v>1929</v>
          </cell>
          <cell r="AD10">
            <v>5339</v>
          </cell>
          <cell r="AE10">
            <v>5204</v>
          </cell>
          <cell r="AF10">
            <v>5136</v>
          </cell>
          <cell r="AG10">
            <v>5303</v>
          </cell>
          <cell r="AH10">
            <v>5541</v>
          </cell>
          <cell r="AI10">
            <v>6737</v>
          </cell>
          <cell r="AJ10">
            <v>7335</v>
          </cell>
          <cell r="AK10">
            <v>8081</v>
          </cell>
          <cell r="AL10">
            <v>8073</v>
          </cell>
          <cell r="AM10">
            <v>5621</v>
          </cell>
          <cell r="AN10">
            <v>4808</v>
          </cell>
          <cell r="AO10">
            <v>5122</v>
          </cell>
          <cell r="AQ10">
            <v>1929</v>
          </cell>
          <cell r="AR10">
            <v>2.2992520462884565E-3</v>
          </cell>
          <cell r="AS10">
            <v>2.0622120247237308E-3</v>
          </cell>
          <cell r="AT10">
            <v>2.1284716884447858E-3</v>
          </cell>
          <cell r="AU10">
            <v>2.1790952751817236E-3</v>
          </cell>
          <cell r="AV10">
            <v>2.113822364699227E-3</v>
          </cell>
          <cell r="AW10">
            <v>2.006921133369428E-3</v>
          </cell>
          <cell r="AX10">
            <v>1.6879545791895502E-3</v>
          </cell>
          <cell r="AY10">
            <v>1.5575505566916609E-3</v>
          </cell>
          <cell r="AZ10">
            <v>1.4311636348636719E-3</v>
          </cell>
          <cell r="BA10">
            <v>1.4789473140922416E-3</v>
          </cell>
          <cell r="BB10">
            <v>2.1793749629366067E-3</v>
          </cell>
          <cell r="BC10">
            <v>2.6595535219079312E-3</v>
          </cell>
          <cell r="BE10">
            <v>1929</v>
          </cell>
          <cell r="BF10">
            <v>0.13018628281117706</v>
          </cell>
          <cell r="BG10">
            <v>-2.5285634013860303E-2</v>
          </cell>
          <cell r="BH10">
            <v>-1.3066871637202104E-2</v>
          </cell>
          <cell r="BI10">
            <v>3.2515576323987494E-2</v>
          </cell>
          <cell r="BJ10">
            <v>4.4880256458608381E-2</v>
          </cell>
          <cell r="BK10">
            <v>0.21584551524995499</v>
          </cell>
          <cell r="BL10">
            <v>8.8763544604423261E-2</v>
          </cell>
          <cell r="BM10">
            <v>0.10170415814587597</v>
          </cell>
          <cell r="BN10">
            <v>-9.8997648805843053E-4</v>
          </cell>
          <cell r="BO10">
            <v>-0.30372847764152111</v>
          </cell>
          <cell r="BP10">
            <v>-0.14463618573207615</v>
          </cell>
          <cell r="BQ10">
            <v>6.5307820299500774E-2</v>
          </cell>
          <cell r="BS10">
            <v>1929</v>
          </cell>
          <cell r="BT10">
            <v>0.1324855348574655</v>
          </cell>
          <cell r="BU10">
            <v>-2.3223421989136572E-2</v>
          </cell>
          <cell r="BV10">
            <v>-1.0938399948757319E-2</v>
          </cell>
          <cell r="BW10">
            <v>3.4694671599169218E-2</v>
          </cell>
          <cell r="BX10">
            <v>4.6994078823307611E-2</v>
          </cell>
          <cell r="BY10">
            <v>0.21785243638332441</v>
          </cell>
          <cell r="BZ10">
            <v>9.045149918361281E-2</v>
          </cell>
          <cell r="CA10">
            <v>0.10326170870256762</v>
          </cell>
          <cell r="CB10">
            <v>4.4118714680524136E-4</v>
          </cell>
          <cell r="CC10">
            <v>-0.30224953032742885</v>
          </cell>
          <cell r="CD10">
            <v>-0.14245681076913955</v>
          </cell>
          <cell r="CE10">
            <v>6.7967373821408703E-2</v>
          </cell>
          <cell r="CG10">
            <v>1929</v>
          </cell>
          <cell r="CH10">
            <v>0.11017881554844955</v>
          </cell>
        </row>
        <row r="11">
          <cell r="A11">
            <v>1930</v>
          </cell>
          <cell r="B11">
            <v>5225</v>
          </cell>
          <cell r="C11">
            <v>5756</v>
          </cell>
          <cell r="D11">
            <v>6080</v>
          </cell>
          <cell r="E11">
            <v>6653</v>
          </cell>
          <cell r="F11">
            <v>6328</v>
          </cell>
          <cell r="G11">
            <v>5600</v>
          </cell>
          <cell r="H11">
            <v>5345</v>
          </cell>
          <cell r="I11">
            <v>5190</v>
          </cell>
          <cell r="J11">
            <v>5270</v>
          </cell>
          <cell r="K11">
            <v>4566</v>
          </cell>
          <cell r="L11">
            <v>4083</v>
          </cell>
          <cell r="M11">
            <v>3792</v>
          </cell>
          <cell r="O11">
            <v>1930</v>
          </cell>
          <cell r="P11">
            <v>291</v>
          </cell>
          <cell r="Q11">
            <v>264</v>
          </cell>
          <cell r="R11">
            <v>255</v>
          </cell>
          <cell r="S11">
            <v>234</v>
          </cell>
          <cell r="T11">
            <v>250</v>
          </cell>
          <cell r="U11">
            <v>292</v>
          </cell>
          <cell r="V11">
            <v>304</v>
          </cell>
          <cell r="W11">
            <v>312</v>
          </cell>
          <cell r="X11">
            <v>304</v>
          </cell>
          <cell r="Y11">
            <v>364</v>
          </cell>
          <cell r="Z11">
            <v>410</v>
          </cell>
          <cell r="AA11">
            <v>437</v>
          </cell>
          <cell r="AC11">
            <v>1930</v>
          </cell>
          <cell r="AD11">
            <v>5488</v>
          </cell>
          <cell r="AE11">
            <v>5961</v>
          </cell>
          <cell r="AF11">
            <v>6479</v>
          </cell>
          <cell r="AG11">
            <v>6687</v>
          </cell>
          <cell r="AH11">
            <v>6516</v>
          </cell>
          <cell r="AI11">
            <v>5262</v>
          </cell>
          <cell r="AJ11">
            <v>5341</v>
          </cell>
          <cell r="AK11">
            <v>5368</v>
          </cell>
          <cell r="AL11">
            <v>4760</v>
          </cell>
          <cell r="AM11">
            <v>4357</v>
          </cell>
          <cell r="AN11">
            <v>4025</v>
          </cell>
          <cell r="AO11">
            <v>3875</v>
          </cell>
          <cell r="AQ11">
            <v>1930</v>
          </cell>
          <cell r="AR11">
            <v>2.473765130808278E-3</v>
          </cell>
          <cell r="AS11">
            <v>2.3074344023323616E-3</v>
          </cell>
          <cell r="AT11">
            <v>2.1674215735614831E-3</v>
          </cell>
          <cell r="AU11">
            <v>2.0023691927766631E-3</v>
          </cell>
          <cell r="AV11">
            <v>1.9714869647574898E-3</v>
          </cell>
          <cell r="AW11">
            <v>2.0912625332514838E-3</v>
          </cell>
          <cell r="AX11">
            <v>2.5732927910807044E-3</v>
          </cell>
          <cell r="AY11">
            <v>2.5264931660737692E-3</v>
          </cell>
          <cell r="AZ11">
            <v>2.4870839542970691E-3</v>
          </cell>
          <cell r="BA11">
            <v>2.9097058823529414E-3</v>
          </cell>
          <cell r="BB11">
            <v>3.2018016984163415E-3</v>
          </cell>
          <cell r="BC11">
            <v>3.4308571428571426E-3</v>
          </cell>
          <cell r="BE11">
            <v>1930</v>
          </cell>
          <cell r="BF11">
            <v>7.14564623194065E-2</v>
          </cell>
          <cell r="BG11">
            <v>8.6188046647230232E-2</v>
          </cell>
          <cell r="BH11">
            <v>8.68981714477437E-2</v>
          </cell>
          <cell r="BI11">
            <v>3.2103719709831724E-2</v>
          </cell>
          <cell r="BJ11">
            <v>-2.5572005383580065E-2</v>
          </cell>
          <cell r="BK11">
            <v>-0.19244935543278086</v>
          </cell>
          <cell r="BL11">
            <v>1.5013302926643934E-2</v>
          </cell>
          <cell r="BM11">
            <v>5.0552331024151798E-3</v>
          </cell>
          <cell r="BN11">
            <v>-0.11326378539493298</v>
          </cell>
          <cell r="BO11">
            <v>-8.466386554621852E-2</v>
          </cell>
          <cell r="BP11">
            <v>-7.6199219646545746E-2</v>
          </cell>
          <cell r="BQ11">
            <v>-3.7267080745341574E-2</v>
          </cell>
          <cell r="BS11">
            <v>1930</v>
          </cell>
          <cell r="BT11">
            <v>7.3930227450214783E-2</v>
          </cell>
          <cell r="BU11">
            <v>8.8495481049562591E-2</v>
          </cell>
          <cell r="BV11">
            <v>8.9065593021305178E-2</v>
          </cell>
          <cell r="BW11">
            <v>3.4106088902608384E-2</v>
          </cell>
          <cell r="BX11">
            <v>-2.3600518418822575E-2</v>
          </cell>
          <cell r="BY11">
            <v>-0.19035809289952937</v>
          </cell>
          <cell r="BZ11">
            <v>1.758659571772464E-2</v>
          </cell>
          <cell r="CA11">
            <v>7.5817262684889485E-3</v>
          </cell>
          <cell r="CB11">
            <v>-0.11077670144063591</v>
          </cell>
          <cell r="CC11">
            <v>-8.175415966386558E-2</v>
          </cell>
          <cell r="CD11">
            <v>-7.2997417948129403E-2</v>
          </cell>
          <cell r="CE11">
            <v>-3.3836223602484429E-2</v>
          </cell>
          <cell r="CG11">
            <v>1930</v>
          </cell>
          <cell r="CH11">
            <v>-0.2196390901648535</v>
          </cell>
        </row>
        <row r="12">
          <cell r="A12">
            <v>1931</v>
          </cell>
          <cell r="B12">
            <v>4003</v>
          </cell>
          <cell r="C12">
            <v>4390</v>
          </cell>
          <cell r="D12">
            <v>4731</v>
          </cell>
          <cell r="E12">
            <v>4261</v>
          </cell>
          <cell r="F12">
            <v>3911</v>
          </cell>
          <cell r="G12">
            <v>3844</v>
          </cell>
          <cell r="H12">
            <v>3984</v>
          </cell>
          <cell r="I12">
            <v>3912</v>
          </cell>
          <cell r="J12">
            <v>3332</v>
          </cell>
          <cell r="K12">
            <v>2857</v>
          </cell>
          <cell r="L12">
            <v>2933</v>
          </cell>
          <cell r="M12">
            <v>2463</v>
          </cell>
          <cell r="O12">
            <v>1931</v>
          </cell>
          <cell r="P12">
            <v>426</v>
          </cell>
          <cell r="Q12">
            <v>389</v>
          </cell>
          <cell r="R12">
            <v>360</v>
          </cell>
          <cell r="S12">
            <v>404</v>
          </cell>
          <cell r="T12">
            <v>442</v>
          </cell>
          <cell r="U12">
            <v>447</v>
          </cell>
          <cell r="V12">
            <v>433</v>
          </cell>
          <cell r="W12">
            <v>436</v>
          </cell>
          <cell r="X12">
            <v>511</v>
          </cell>
          <cell r="Y12">
            <v>574</v>
          </cell>
          <cell r="Z12">
            <v>550</v>
          </cell>
          <cell r="AA12">
            <v>660</v>
          </cell>
          <cell r="AC12">
            <v>1931</v>
          </cell>
          <cell r="AD12">
            <v>4070</v>
          </cell>
          <cell r="AE12">
            <v>4676</v>
          </cell>
          <cell r="AF12">
            <v>4550</v>
          </cell>
          <cell r="AG12">
            <v>4056</v>
          </cell>
          <cell r="AH12">
            <v>3624</v>
          </cell>
          <cell r="AI12">
            <v>4107</v>
          </cell>
          <cell r="AJ12">
            <v>3837</v>
          </cell>
          <cell r="AK12">
            <v>3921</v>
          </cell>
          <cell r="AL12">
            <v>2672</v>
          </cell>
          <cell r="AM12">
            <v>2923</v>
          </cell>
          <cell r="AN12">
            <v>2730</v>
          </cell>
          <cell r="AO12">
            <v>2366</v>
          </cell>
          <cell r="AQ12">
            <v>1931</v>
          </cell>
          <cell r="AR12">
            <v>3.6672645161290318E-3</v>
          </cell>
          <cell r="AS12">
            <v>3.4965397215397211E-3</v>
          </cell>
          <cell r="AT12">
            <v>3.0352865697177074E-3</v>
          </cell>
          <cell r="AU12">
            <v>3.1528278388278388E-3</v>
          </cell>
          <cell r="AV12">
            <v>3.5516559829059831E-3</v>
          </cell>
          <cell r="AW12">
            <v>3.9511313465783668E-3</v>
          </cell>
          <cell r="AX12">
            <v>3.5002678354029704E-3</v>
          </cell>
          <cell r="AY12">
            <v>3.7043523586135002E-3</v>
          </cell>
          <cell r="AZ12">
            <v>3.6186602057298308E-3</v>
          </cell>
          <cell r="BA12">
            <v>5.1145147205588831E-3</v>
          </cell>
          <cell r="BB12">
            <v>4.5990135705325577E-3</v>
          </cell>
          <cell r="BC12">
            <v>4.9620879120879126E-3</v>
          </cell>
          <cell r="BE12">
            <v>1931</v>
          </cell>
          <cell r="BF12">
            <v>5.0322580645161263E-2</v>
          </cell>
          <cell r="BG12">
            <v>0.14889434889434883</v>
          </cell>
          <cell r="BH12">
            <v>-2.6946107784431184E-2</v>
          </cell>
          <cell r="BI12">
            <v>-0.10857142857142854</v>
          </cell>
          <cell r="BJ12">
            <v>-0.10650887573964496</v>
          </cell>
          <cell r="BK12">
            <v>0.13327814569536423</v>
          </cell>
          <cell r="BL12">
            <v>-6.5741417092768484E-2</v>
          </cell>
          <cell r="BM12">
            <v>2.1892103205629398E-2</v>
          </cell>
          <cell r="BN12">
            <v>-0.31854118847232848</v>
          </cell>
          <cell r="BO12">
            <v>9.3937125748503103E-2</v>
          </cell>
          <cell r="BP12">
            <v>-6.6028053369825535E-2</v>
          </cell>
          <cell r="BQ12">
            <v>-0.1333333333333333</v>
          </cell>
          <cell r="BS12">
            <v>1931</v>
          </cell>
          <cell r="BT12">
            <v>5.3989845161290295E-2</v>
          </cell>
          <cell r="BU12">
            <v>0.15239088861588854</v>
          </cell>
          <cell r="BV12">
            <v>-2.3910821214713475E-2</v>
          </cell>
          <cell r="BW12">
            <v>-0.1054186007326007</v>
          </cell>
          <cell r="BX12">
            <v>-0.10295721975673898</v>
          </cell>
          <cell r="BY12">
            <v>0.1372292770419426</v>
          </cell>
          <cell r="BZ12">
            <v>-6.2241149257365513E-2</v>
          </cell>
          <cell r="CA12">
            <v>2.55964555642429E-2</v>
          </cell>
          <cell r="CB12">
            <v>-0.31492252826659867</v>
          </cell>
          <cell r="CC12">
            <v>9.905164046906198E-2</v>
          </cell>
          <cell r="CD12">
            <v>-6.1429039799292977E-2</v>
          </cell>
          <cell r="CE12">
            <v>-0.12837124542124539</v>
          </cell>
          <cell r="CG12">
            <v>1931</v>
          </cell>
          <cell r="CH12">
            <v>-0.35904000942527547</v>
          </cell>
        </row>
        <row r="13">
          <cell r="A13">
            <v>1932</v>
          </cell>
          <cell r="B13">
            <v>2410</v>
          </cell>
          <cell r="C13">
            <v>2428</v>
          </cell>
          <cell r="D13">
            <v>2488</v>
          </cell>
          <cell r="E13">
            <v>1925</v>
          </cell>
          <cell r="F13">
            <v>1723</v>
          </cell>
          <cell r="G13">
            <v>1395</v>
          </cell>
          <cell r="H13">
            <v>1448</v>
          </cell>
          <cell r="I13">
            <v>2165</v>
          </cell>
          <cell r="J13">
            <v>2413</v>
          </cell>
          <cell r="K13">
            <v>2136</v>
          </cell>
          <cell r="L13">
            <v>2114</v>
          </cell>
          <cell r="M13">
            <v>2137</v>
          </cell>
          <cell r="O13">
            <v>1932</v>
          </cell>
          <cell r="P13">
            <v>637</v>
          </cell>
          <cell r="Q13">
            <v>606</v>
          </cell>
          <cell r="R13">
            <v>574</v>
          </cell>
          <cell r="S13">
            <v>734</v>
          </cell>
          <cell r="T13">
            <v>808</v>
          </cell>
          <cell r="U13">
            <v>1021</v>
          </cell>
          <cell r="V13">
            <v>875</v>
          </cell>
          <cell r="W13">
            <v>574</v>
          </cell>
          <cell r="X13">
            <v>503</v>
          </cell>
          <cell r="Y13">
            <v>564</v>
          </cell>
          <cell r="Z13">
            <v>587</v>
          </cell>
          <cell r="AA13">
            <v>561</v>
          </cell>
          <cell r="AC13">
            <v>1932</v>
          </cell>
          <cell r="AD13">
            <v>2306</v>
          </cell>
          <cell r="AE13">
            <v>2478</v>
          </cell>
          <cell r="AF13">
            <v>2204</v>
          </cell>
          <cell r="AG13">
            <v>1854</v>
          </cell>
          <cell r="AH13">
            <v>1322</v>
          </cell>
          <cell r="AI13">
            <v>1322</v>
          </cell>
          <cell r="AJ13">
            <v>1750</v>
          </cell>
          <cell r="AK13">
            <v>2445</v>
          </cell>
          <cell r="AL13">
            <v>2369</v>
          </cell>
          <cell r="AM13">
            <v>2111</v>
          </cell>
          <cell r="AN13">
            <v>2026</v>
          </cell>
          <cell r="AO13">
            <v>2197</v>
          </cell>
          <cell r="AQ13">
            <v>1932</v>
          </cell>
          <cell r="AR13">
            <v>5.407051282051282E-3</v>
          </cell>
          <cell r="AS13">
            <v>5.3171725932350394E-3</v>
          </cell>
          <cell r="AT13">
            <v>4.8026365348399248E-3</v>
          </cell>
          <cell r="AU13">
            <v>5.3423699334543247E-3</v>
          </cell>
          <cell r="AV13">
            <v>6.2575692197051414E-3</v>
          </cell>
          <cell r="AW13">
            <v>8.9781580937972755E-3</v>
          </cell>
          <cell r="AX13">
            <v>7.9866364094805849E-3</v>
          </cell>
          <cell r="AY13">
            <v>5.9176666666666666E-3</v>
          </cell>
          <cell r="AZ13">
            <v>4.136806407634629E-3</v>
          </cell>
          <cell r="BA13">
            <v>4.2377374419586321E-3</v>
          </cell>
          <cell r="BB13">
            <v>4.8986183483341232E-3</v>
          </cell>
          <cell r="BC13">
            <v>4.9311327739387954E-3</v>
          </cell>
          <cell r="BE13">
            <v>1932</v>
          </cell>
          <cell r="BF13">
            <v>-2.5359256128486884E-2</v>
          </cell>
          <cell r="BG13">
            <v>7.4588031222896811E-2</v>
          </cell>
          <cell r="BH13">
            <v>-0.11057304277643265</v>
          </cell>
          <cell r="BI13">
            <v>-0.1588021778584392</v>
          </cell>
          <cell r="BJ13">
            <v>-0.28694714131607335</v>
          </cell>
          <cell r="BK13">
            <v>0</v>
          </cell>
          <cell r="BL13">
            <v>0.32375189107413016</v>
          </cell>
          <cell r="BM13">
            <v>0.39714285714285724</v>
          </cell>
          <cell r="BN13">
            <v>-3.1083844580777065E-2</v>
          </cell>
          <cell r="BO13">
            <v>-0.10890671169269739</v>
          </cell>
          <cell r="BP13">
            <v>-4.0265277119848397E-2</v>
          </cell>
          <cell r="BQ13">
            <v>8.4402764067127434E-2</v>
          </cell>
          <cell r="BS13">
            <v>1932</v>
          </cell>
          <cell r="BT13">
            <v>-1.9952204846435603E-2</v>
          </cell>
          <cell r="BU13">
            <v>7.9905203816131851E-2</v>
          </cell>
          <cell r="BV13">
            <v>-0.10577040624159273</v>
          </cell>
          <cell r="BW13">
            <v>-0.15345980792498487</v>
          </cell>
          <cell r="BX13">
            <v>-0.28068957209636819</v>
          </cell>
          <cell r="BY13">
            <v>8.9781580937972755E-3</v>
          </cell>
          <cell r="BZ13">
            <v>0.33173852748361077</v>
          </cell>
          <cell r="CA13">
            <v>0.4030605238095239</v>
          </cell>
          <cell r="CB13">
            <v>-2.6947038173142437E-2</v>
          </cell>
          <cell r="CC13">
            <v>-0.10466897425073876</v>
          </cell>
          <cell r="CD13">
            <v>-3.5366658771514271E-2</v>
          </cell>
          <cell r="CE13">
            <v>8.9333896841066227E-2</v>
          </cell>
          <cell r="CG13">
            <v>1932</v>
          </cell>
          <cell r="CH13">
            <v>-5.358899103346304E-3</v>
          </cell>
        </row>
        <row r="14">
          <cell r="A14">
            <v>1933</v>
          </cell>
          <cell r="B14">
            <v>2221</v>
          </cell>
          <cell r="C14">
            <v>1891</v>
          </cell>
          <cell r="D14">
            <v>1691</v>
          </cell>
          <cell r="E14">
            <v>1664</v>
          </cell>
          <cell r="F14">
            <v>2082</v>
          </cell>
          <cell r="G14">
            <v>2496</v>
          </cell>
          <cell r="H14">
            <v>2524</v>
          </cell>
          <cell r="I14">
            <v>2181</v>
          </cell>
          <cell r="J14">
            <v>1920</v>
          </cell>
          <cell r="K14">
            <v>1772</v>
          </cell>
          <cell r="L14">
            <v>1634</v>
          </cell>
          <cell r="M14">
            <v>1583</v>
          </cell>
          <cell r="O14">
            <v>1933</v>
          </cell>
          <cell r="P14">
            <v>528</v>
          </cell>
          <cell r="Q14">
            <v>610</v>
          </cell>
          <cell r="R14">
            <v>682</v>
          </cell>
          <cell r="S14">
            <v>683</v>
          </cell>
          <cell r="T14">
            <v>518</v>
          </cell>
          <cell r="U14">
            <v>412</v>
          </cell>
          <cell r="V14">
            <v>409</v>
          </cell>
          <cell r="W14">
            <v>478</v>
          </cell>
          <cell r="X14">
            <v>548</v>
          </cell>
          <cell r="Y14">
            <v>561</v>
          </cell>
          <cell r="Z14">
            <v>613</v>
          </cell>
          <cell r="AA14">
            <v>624</v>
          </cell>
          <cell r="AC14">
            <v>1933</v>
          </cell>
          <cell r="AD14">
            <v>2119</v>
          </cell>
          <cell r="AE14">
            <v>1689</v>
          </cell>
          <cell r="AF14">
            <v>1497</v>
          </cell>
          <cell r="AG14">
            <v>1882</v>
          </cell>
          <cell r="AH14">
            <v>2199</v>
          </cell>
          <cell r="AI14">
            <v>2504</v>
          </cell>
          <cell r="AJ14">
            <v>2194</v>
          </cell>
          <cell r="AK14">
            <v>2173</v>
          </cell>
          <cell r="AL14">
            <v>1782</v>
          </cell>
          <cell r="AM14">
            <v>1647</v>
          </cell>
          <cell r="AN14">
            <v>1609</v>
          </cell>
          <cell r="AO14">
            <v>1621</v>
          </cell>
          <cell r="AQ14">
            <v>1933</v>
          </cell>
          <cell r="AR14">
            <v>4.4480655439235323E-3</v>
          </cell>
          <cell r="AS14">
            <v>4.5363772219600435E-3</v>
          </cell>
          <cell r="AT14">
            <v>5.6900631537398858E-3</v>
          </cell>
          <cell r="AU14">
            <v>6.3266087731017589E-3</v>
          </cell>
          <cell r="AV14">
            <v>4.7753985122210418E-3</v>
          </cell>
          <cell r="AW14">
            <v>3.8970441109595273E-3</v>
          </cell>
          <cell r="AX14">
            <v>3.435556443024494E-3</v>
          </cell>
          <cell r="AY14">
            <v>3.9597310847766633E-3</v>
          </cell>
          <cell r="AZ14">
            <v>4.0349746893695356E-3</v>
          </cell>
          <cell r="BA14">
            <v>4.6487654320987648E-3</v>
          </cell>
          <cell r="BB14">
            <v>5.0680125480671934E-3</v>
          </cell>
          <cell r="BC14">
            <v>5.1159726538222497E-3</v>
          </cell>
          <cell r="BE14">
            <v>1933</v>
          </cell>
          <cell r="BF14">
            <v>-3.5502958579881616E-2</v>
          </cell>
          <cell r="BG14">
            <v>-0.20292590844738079</v>
          </cell>
          <cell r="BH14">
            <v>-0.11367673179396087</v>
          </cell>
          <cell r="BI14">
            <v>0.25718102872411497</v>
          </cell>
          <cell r="BJ14">
            <v>0.16843783209351759</v>
          </cell>
          <cell r="BK14">
            <v>0.13869940882219201</v>
          </cell>
          <cell r="BL14">
            <v>-0.12380191693290732</v>
          </cell>
          <cell r="BM14">
            <v>-9.571558796718338E-3</v>
          </cell>
          <cell r="BN14">
            <v>-0.17993557294063511</v>
          </cell>
          <cell r="BO14">
            <v>-7.5757575757575801E-2</v>
          </cell>
          <cell r="BP14">
            <v>-2.3072252580449315E-2</v>
          </cell>
          <cell r="BQ14">
            <v>7.4580484773150157E-3</v>
          </cell>
          <cell r="BS14">
            <v>1933</v>
          </cell>
          <cell r="BT14">
            <v>-3.1054893035958084E-2</v>
          </cell>
          <cell r="BU14">
            <v>-0.19838953122542075</v>
          </cell>
          <cell r="BV14">
            <v>-0.10798666864022098</v>
          </cell>
          <cell r="BW14">
            <v>0.26350763749721673</v>
          </cell>
          <cell r="BX14">
            <v>0.17321323060573862</v>
          </cell>
          <cell r="BY14">
            <v>0.14259645293315154</v>
          </cell>
          <cell r="BZ14">
            <v>-0.12036636048988282</v>
          </cell>
          <cell r="CA14">
            <v>-5.6118277119416747E-3</v>
          </cell>
          <cell r="CB14">
            <v>-0.17590059825126558</v>
          </cell>
          <cell r="CC14">
            <v>-7.1108810325477043E-2</v>
          </cell>
          <cell r="CD14">
            <v>-1.8004240032382123E-2</v>
          </cell>
          <cell r="CE14">
            <v>1.2574021131137265E-2</v>
          </cell>
          <cell r="CG14">
            <v>1933</v>
          </cell>
          <cell r="CH14">
            <v>-0.21869570852675213</v>
          </cell>
        </row>
        <row r="15">
          <cell r="A15">
            <v>1934</v>
          </cell>
          <cell r="B15">
            <v>1756</v>
          </cell>
          <cell r="C15">
            <v>1986</v>
          </cell>
          <cell r="D15">
            <v>1843</v>
          </cell>
          <cell r="E15">
            <v>1808</v>
          </cell>
          <cell r="F15">
            <v>1627</v>
          </cell>
          <cell r="G15">
            <v>1672</v>
          </cell>
          <cell r="H15">
            <v>1556</v>
          </cell>
          <cell r="I15">
            <v>1434</v>
          </cell>
          <cell r="J15">
            <v>1375</v>
          </cell>
          <cell r="K15">
            <v>1370</v>
          </cell>
          <cell r="L15">
            <v>1287</v>
          </cell>
          <cell r="M15">
            <v>1230</v>
          </cell>
          <cell r="O15">
            <v>1934</v>
          </cell>
          <cell r="P15">
            <v>559</v>
          </cell>
          <cell r="Q15">
            <v>494</v>
          </cell>
          <cell r="R15">
            <v>550</v>
          </cell>
          <cell r="S15">
            <v>558</v>
          </cell>
          <cell r="T15">
            <v>583</v>
          </cell>
          <cell r="U15">
            <v>544</v>
          </cell>
          <cell r="V15">
            <v>573</v>
          </cell>
          <cell r="W15">
            <v>630</v>
          </cell>
          <cell r="X15">
            <v>653</v>
          </cell>
          <cell r="Y15">
            <v>671</v>
          </cell>
          <cell r="Z15">
            <v>714</v>
          </cell>
          <cell r="AA15">
            <v>784</v>
          </cell>
          <cell r="AC15">
            <v>1934</v>
          </cell>
          <cell r="AD15">
            <v>1896</v>
          </cell>
          <cell r="AE15">
            <v>1842</v>
          </cell>
          <cell r="AF15">
            <v>1813</v>
          </cell>
          <cell r="AG15">
            <v>1741</v>
          </cell>
          <cell r="AH15">
            <v>1600</v>
          </cell>
          <cell r="AI15">
            <v>1669</v>
          </cell>
          <cell r="AJ15">
            <v>1394</v>
          </cell>
          <cell r="AK15">
            <v>1424</v>
          </cell>
          <cell r="AL15">
            <v>1430</v>
          </cell>
          <cell r="AM15">
            <v>1327</v>
          </cell>
          <cell r="AN15">
            <v>1313</v>
          </cell>
          <cell r="AO15">
            <v>1213</v>
          </cell>
          <cell r="AQ15">
            <v>1934</v>
          </cell>
          <cell r="AR15">
            <v>5.0462882994036593E-3</v>
          </cell>
          <cell r="AS15">
            <v>4.3120780590717306E-3</v>
          </cell>
          <cell r="AT15">
            <v>4.5858215707564242E-3</v>
          </cell>
          <cell r="AU15">
            <v>4.6371759514616659E-3</v>
          </cell>
          <cell r="AV15">
            <v>4.5402115642351132E-3</v>
          </cell>
          <cell r="AW15">
            <v>4.737333333333333E-3</v>
          </cell>
          <cell r="AX15">
            <v>4.4517076093469141E-3</v>
          </cell>
          <cell r="AY15">
            <v>5.4006456241033002E-3</v>
          </cell>
          <cell r="AZ15">
            <v>5.2544183052434463E-3</v>
          </cell>
          <cell r="BA15">
            <v>5.3570512820512815E-3</v>
          </cell>
          <cell r="BB15">
            <v>5.7706480783722685E-3</v>
          </cell>
          <cell r="BC15">
            <v>6.1203351104341204E-3</v>
          </cell>
          <cell r="BE15">
            <v>1934</v>
          </cell>
          <cell r="BF15">
            <v>0.16964836520666249</v>
          </cell>
          <cell r="BG15">
            <v>-2.8481012658227889E-2</v>
          </cell>
          <cell r="BH15">
            <v>-1.574375678610207E-2</v>
          </cell>
          <cell r="BI15">
            <v>-3.9713182570325412E-2</v>
          </cell>
          <cell r="BJ15">
            <v>-8.0987937966685797E-2</v>
          </cell>
          <cell r="BK15">
            <v>4.312500000000008E-2</v>
          </cell>
          <cell r="BL15">
            <v>-0.16476932294787294</v>
          </cell>
          <cell r="BM15">
            <v>2.1520803443328518E-2</v>
          </cell>
          <cell r="BN15">
            <v>4.2134831460673983E-3</v>
          </cell>
          <cell r="BO15">
            <v>-7.2027972027972065E-2</v>
          </cell>
          <cell r="BP15">
            <v>-1.0550113036925435E-2</v>
          </cell>
          <cell r="BQ15">
            <v>-7.6161462300076144E-2</v>
          </cell>
          <cell r="BS15">
            <v>1934</v>
          </cell>
          <cell r="BT15">
            <v>0.17469465350606614</v>
          </cell>
          <cell r="BU15">
            <v>-2.4168934599156158E-2</v>
          </cell>
          <cell r="BV15">
            <v>-1.1157935215345645E-2</v>
          </cell>
          <cell r="BW15">
            <v>-3.5076006618863745E-2</v>
          </cell>
          <cell r="BX15">
            <v>-7.6447726402450678E-2</v>
          </cell>
          <cell r="BY15">
            <v>4.7862333333333409E-2</v>
          </cell>
          <cell r="BZ15">
            <v>-0.16031761533852604</v>
          </cell>
          <cell r="CA15">
            <v>2.6921449067431817E-2</v>
          </cell>
          <cell r="CB15">
            <v>9.4679014513108437E-3</v>
          </cell>
          <cell r="CC15">
            <v>-6.6670920745920778E-2</v>
          </cell>
          <cell r="CD15">
            <v>-4.7794649585531663E-3</v>
          </cell>
          <cell r="CE15">
            <v>-7.0041127189642019E-2</v>
          </cell>
          <cell r="CG15">
            <v>1934</v>
          </cell>
          <cell r="CH15">
            <v>-0.20411919463866834</v>
          </cell>
        </row>
        <row r="16">
          <cell r="A16">
            <v>1935</v>
          </cell>
          <cell r="B16">
            <v>1190</v>
          </cell>
          <cell r="C16">
            <v>1086</v>
          </cell>
          <cell r="D16">
            <v>1036</v>
          </cell>
          <cell r="E16">
            <v>1241</v>
          </cell>
          <cell r="F16">
            <v>1321</v>
          </cell>
          <cell r="G16">
            <v>1465</v>
          </cell>
          <cell r="H16">
            <v>1560</v>
          </cell>
          <cell r="I16">
            <v>1788</v>
          </cell>
          <cell r="J16">
            <v>1756</v>
          </cell>
          <cell r="K16">
            <v>1789</v>
          </cell>
          <cell r="L16">
            <v>1985</v>
          </cell>
          <cell r="M16">
            <v>1964</v>
          </cell>
          <cell r="O16">
            <v>1935</v>
          </cell>
          <cell r="P16">
            <v>802</v>
          </cell>
          <cell r="Q16">
            <v>807</v>
          </cell>
          <cell r="R16">
            <v>812</v>
          </cell>
          <cell r="S16">
            <v>670</v>
          </cell>
          <cell r="T16">
            <v>621</v>
          </cell>
          <cell r="U16">
            <v>551</v>
          </cell>
          <cell r="V16">
            <v>502</v>
          </cell>
          <cell r="W16">
            <v>445</v>
          </cell>
          <cell r="X16">
            <v>449</v>
          </cell>
          <cell r="Y16">
            <v>449</v>
          </cell>
          <cell r="Z16">
            <v>408</v>
          </cell>
          <cell r="AA16">
            <v>413</v>
          </cell>
          <cell r="AC16">
            <v>1935</v>
          </cell>
          <cell r="AD16">
            <v>1177</v>
          </cell>
          <cell r="AE16">
            <v>1036</v>
          </cell>
          <cell r="AF16">
            <v>1137</v>
          </cell>
          <cell r="AG16">
            <v>1264</v>
          </cell>
          <cell r="AH16">
            <v>1397</v>
          </cell>
          <cell r="AI16">
            <v>1535</v>
          </cell>
          <cell r="AJ16">
            <v>1662</v>
          </cell>
          <cell r="AK16">
            <v>1749</v>
          </cell>
          <cell r="AL16">
            <v>1721</v>
          </cell>
          <cell r="AM16">
            <v>1925</v>
          </cell>
          <cell r="AN16">
            <v>1939</v>
          </cell>
          <cell r="AO16">
            <v>2025</v>
          </cell>
          <cell r="AQ16">
            <v>1935</v>
          </cell>
          <cell r="AR16">
            <v>6.5566089585050846E-3</v>
          </cell>
          <cell r="AS16">
            <v>6.2050552251486828E-3</v>
          </cell>
          <cell r="AT16">
            <v>6.7666666666666674E-3</v>
          </cell>
          <cell r="AU16">
            <v>6.0940340076223983E-3</v>
          </cell>
          <cell r="AV16">
            <v>5.4083662974683542E-3</v>
          </cell>
          <cell r="AW16">
            <v>4.8151694106418515E-3</v>
          </cell>
          <cell r="AX16">
            <v>4.251465798045603E-3</v>
          </cell>
          <cell r="AY16">
            <v>3.9894705174488574E-3</v>
          </cell>
          <cell r="AZ16">
            <v>3.7566418906041549E-3</v>
          </cell>
          <cell r="BA16">
            <v>3.8895070695332172E-3</v>
          </cell>
          <cell r="BB16">
            <v>3.5059740259740261E-3</v>
          </cell>
          <cell r="BC16">
            <v>3.4860409145607697E-3</v>
          </cell>
          <cell r="BE16">
            <v>1935</v>
          </cell>
          <cell r="BF16">
            <v>-2.9678483099752628E-2</v>
          </cell>
          <cell r="BG16">
            <v>-0.11979609175870853</v>
          </cell>
          <cell r="BH16">
            <v>9.7490347490347462E-2</v>
          </cell>
          <cell r="BI16">
            <v>0.11169744942832005</v>
          </cell>
          <cell r="BJ16">
            <v>0.10522151898734178</v>
          </cell>
          <cell r="BK16">
            <v>9.878310665712231E-2</v>
          </cell>
          <cell r="BL16">
            <v>8.2736156351791434E-2</v>
          </cell>
          <cell r="BM16">
            <v>5.2346570397111991E-2</v>
          </cell>
          <cell r="BN16">
            <v>-1.6009148084619729E-2</v>
          </cell>
          <cell r="BO16">
            <v>0.11853573503776871</v>
          </cell>
          <cell r="BP16">
            <v>7.2727272727273196E-3</v>
          </cell>
          <cell r="BQ16">
            <v>4.4352759154203225E-2</v>
          </cell>
          <cell r="BS16">
            <v>1935</v>
          </cell>
          <cell r="BT16">
            <v>-2.3121874141247542E-2</v>
          </cell>
          <cell r="BU16">
            <v>-0.11359103653355986</v>
          </cell>
          <cell r="BV16">
            <v>0.10425701415701413</v>
          </cell>
          <cell r="BW16">
            <v>0.11779148343594245</v>
          </cell>
          <cell r="BX16">
            <v>0.11062988528481013</v>
          </cell>
          <cell r="BY16">
            <v>0.10359827606776416</v>
          </cell>
          <cell r="BZ16">
            <v>8.6987622149837032E-2</v>
          </cell>
          <cell r="CA16">
            <v>5.6336040914560848E-2</v>
          </cell>
          <cell r="CB16">
            <v>-1.2252506194015574E-2</v>
          </cell>
          <cell r="CC16">
            <v>0.12242524210730192</v>
          </cell>
          <cell r="CD16">
            <v>1.0778701298701347E-2</v>
          </cell>
          <cell r="CE16">
            <v>4.7838800068763995E-2</v>
          </cell>
          <cell r="CG16">
            <v>1935</v>
          </cell>
          <cell r="CH16">
            <v>0.76630814399923097</v>
          </cell>
        </row>
        <row r="17">
          <cell r="A17">
            <v>1936</v>
          </cell>
          <cell r="B17">
            <v>2131</v>
          </cell>
          <cell r="C17">
            <v>2198</v>
          </cell>
          <cell r="D17">
            <v>2173</v>
          </cell>
          <cell r="E17">
            <v>2137</v>
          </cell>
          <cell r="F17">
            <v>2022</v>
          </cell>
          <cell r="G17">
            <v>2179</v>
          </cell>
          <cell r="H17">
            <v>2359</v>
          </cell>
          <cell r="I17">
            <v>2376</v>
          </cell>
          <cell r="J17">
            <v>2345</v>
          </cell>
          <cell r="K17">
            <v>2384</v>
          </cell>
          <cell r="L17">
            <v>2329</v>
          </cell>
          <cell r="M17">
            <v>2329</v>
          </cell>
          <cell r="O17">
            <v>1936</v>
          </cell>
          <cell r="P17">
            <v>408</v>
          </cell>
          <cell r="Q17">
            <v>401</v>
          </cell>
          <cell r="R17">
            <v>396</v>
          </cell>
          <cell r="S17">
            <v>407</v>
          </cell>
          <cell r="T17">
            <v>429</v>
          </cell>
          <cell r="U17">
            <v>396</v>
          </cell>
          <cell r="V17">
            <v>375</v>
          </cell>
          <cell r="W17">
            <v>392</v>
          </cell>
          <cell r="X17">
            <v>428</v>
          </cell>
          <cell r="Y17">
            <v>431</v>
          </cell>
          <cell r="Z17">
            <v>447</v>
          </cell>
          <cell r="AA17">
            <v>436</v>
          </cell>
          <cell r="AC17">
            <v>1936</v>
          </cell>
          <cell r="AD17">
            <v>2241</v>
          </cell>
          <cell r="AE17">
            <v>2157</v>
          </cell>
          <cell r="AF17">
            <v>2157</v>
          </cell>
          <cell r="AG17">
            <v>1974</v>
          </cell>
          <cell r="AH17">
            <v>2117</v>
          </cell>
          <cell r="AI17">
            <v>2184</v>
          </cell>
          <cell r="AJ17">
            <v>2397</v>
          </cell>
          <cell r="AK17">
            <v>2385</v>
          </cell>
          <cell r="AL17">
            <v>2323</v>
          </cell>
          <cell r="AM17">
            <v>2446</v>
          </cell>
          <cell r="AN17">
            <v>2396</v>
          </cell>
          <cell r="AO17">
            <v>2346</v>
          </cell>
          <cell r="AQ17">
            <v>1936</v>
          </cell>
          <cell r="AR17">
            <v>3.5779753086419754E-3</v>
          </cell>
          <cell r="AS17">
            <v>3.2775472259407999E-3</v>
          </cell>
          <cell r="AT17">
            <v>3.3244784422809459E-3</v>
          </cell>
          <cell r="AU17">
            <v>3.360218667902952E-3</v>
          </cell>
          <cell r="AV17">
            <v>3.6619300911854102E-3</v>
          </cell>
          <cell r="AW17">
            <v>3.3966461974492203E-3</v>
          </cell>
          <cell r="AX17">
            <v>3.3754006410256407E-3</v>
          </cell>
          <cell r="AY17">
            <v>3.2380475594493115E-3</v>
          </cell>
          <cell r="AZ17">
            <v>3.506848357791754E-3</v>
          </cell>
          <cell r="BA17">
            <v>3.6859807719902419E-3</v>
          </cell>
          <cell r="BB17">
            <v>3.5468213409648405E-3</v>
          </cell>
          <cell r="BC17">
            <v>3.5317334446299383E-3</v>
          </cell>
          <cell r="BE17">
            <v>1936</v>
          </cell>
          <cell r="BF17">
            <v>0.10666666666666669</v>
          </cell>
          <cell r="BG17">
            <v>-3.7483266398929072E-2</v>
          </cell>
          <cell r="BH17">
            <v>0</v>
          </cell>
          <cell r="BI17">
            <v>-8.4840055632823375E-2</v>
          </cell>
          <cell r="BJ17">
            <v>7.2441742654508534E-2</v>
          </cell>
          <cell r="BK17">
            <v>3.1648559282002831E-2</v>
          </cell>
          <cell r="BL17">
            <v>9.7527472527472625E-2</v>
          </cell>
          <cell r="BM17">
            <v>-5.0062578222778154E-3</v>
          </cell>
          <cell r="BN17">
            <v>-2.5995807127882631E-2</v>
          </cell>
          <cell r="BO17">
            <v>5.2948773138183469E-2</v>
          </cell>
          <cell r="BP17">
            <v>-2.0441537203597759E-2</v>
          </cell>
          <cell r="BQ17">
            <v>-2.086811352253759E-2</v>
          </cell>
          <cell r="BS17">
            <v>1936</v>
          </cell>
          <cell r="BT17">
            <v>0.11024464197530866</v>
          </cell>
          <cell r="BU17">
            <v>-3.4205719172988272E-2</v>
          </cell>
          <cell r="BV17">
            <v>3.3244784422809459E-3</v>
          </cell>
          <cell r="BW17">
            <v>-8.1479836964920421E-2</v>
          </cell>
          <cell r="BX17">
            <v>7.6103672745693948E-2</v>
          </cell>
          <cell r="BY17">
            <v>3.504520547945205E-2</v>
          </cell>
          <cell r="BZ17">
            <v>0.10090287316849826</v>
          </cell>
          <cell r="CA17">
            <v>-1.7682102628285038E-3</v>
          </cell>
          <cell r="CB17">
            <v>-2.2488958770090876E-2</v>
          </cell>
          <cell r="CC17">
            <v>5.663475391017371E-2</v>
          </cell>
          <cell r="CD17">
            <v>-1.6894715862632918E-2</v>
          </cell>
          <cell r="CE17">
            <v>-1.7336380077907651E-2</v>
          </cell>
          <cell r="CG17">
            <v>1936</v>
          </cell>
          <cell r="CH17">
            <v>0.20692065979000507</v>
          </cell>
        </row>
        <row r="18">
          <cell r="A18">
            <v>1937</v>
          </cell>
          <cell r="B18">
            <v>2434</v>
          </cell>
          <cell r="C18">
            <v>2343</v>
          </cell>
          <cell r="D18">
            <v>2213</v>
          </cell>
          <cell r="E18">
            <v>2062</v>
          </cell>
          <cell r="F18">
            <v>1915</v>
          </cell>
          <cell r="G18">
            <v>1794</v>
          </cell>
          <cell r="H18">
            <v>1969</v>
          </cell>
          <cell r="I18">
            <v>1946</v>
          </cell>
          <cell r="J18">
            <v>1708</v>
          </cell>
          <cell r="K18">
            <v>1510</v>
          </cell>
          <cell r="L18">
            <v>1525</v>
          </cell>
          <cell r="M18">
            <v>1468</v>
          </cell>
          <cell r="O18">
            <v>1937</v>
          </cell>
          <cell r="P18">
            <v>432</v>
          </cell>
          <cell r="Q18">
            <v>447</v>
          </cell>
          <cell r="R18">
            <v>476</v>
          </cell>
          <cell r="S18">
            <v>512</v>
          </cell>
          <cell r="T18">
            <v>552</v>
          </cell>
          <cell r="U18">
            <v>581</v>
          </cell>
          <cell r="V18">
            <v>532</v>
          </cell>
          <cell r="W18">
            <v>537</v>
          </cell>
          <cell r="X18">
            <v>603</v>
          </cell>
          <cell r="Y18">
            <v>665</v>
          </cell>
          <cell r="Z18">
            <v>654</v>
          </cell>
          <cell r="AA18">
            <v>688</v>
          </cell>
          <cell r="AC18">
            <v>1937</v>
          </cell>
          <cell r="AD18">
            <v>2383</v>
          </cell>
          <cell r="AE18">
            <v>2290</v>
          </cell>
          <cell r="AF18">
            <v>2150</v>
          </cell>
          <cell r="AG18">
            <v>1983</v>
          </cell>
          <cell r="AH18">
            <v>1872</v>
          </cell>
          <cell r="AI18">
            <v>1776</v>
          </cell>
          <cell r="AJ18">
            <v>2064</v>
          </cell>
          <cell r="AK18">
            <v>1869</v>
          </cell>
          <cell r="AL18">
            <v>1641</v>
          </cell>
          <cell r="AM18">
            <v>1548</v>
          </cell>
          <cell r="AN18">
            <v>1552</v>
          </cell>
          <cell r="AO18">
            <v>1396</v>
          </cell>
          <cell r="AQ18">
            <v>1937</v>
          </cell>
          <cell r="AR18">
            <v>3.7350383631713554E-3</v>
          </cell>
          <cell r="AS18">
            <v>3.6624737725556022E-3</v>
          </cell>
          <cell r="AT18">
            <v>3.8332896652110626E-3</v>
          </cell>
          <cell r="AU18">
            <v>4.0920310077519383E-3</v>
          </cell>
          <cell r="AV18">
            <v>4.4422592032274328E-3</v>
          </cell>
          <cell r="AW18">
            <v>4.639930555555556E-3</v>
          </cell>
          <cell r="AX18">
            <v>4.9151088588588587E-3</v>
          </cell>
          <cell r="AY18">
            <v>4.2191618217054258E-3</v>
          </cell>
          <cell r="AZ18">
            <v>4.5921348314606741E-3</v>
          </cell>
          <cell r="BA18">
            <v>5.0992788949827342E-3</v>
          </cell>
          <cell r="BB18">
            <v>5.3690245478036176E-3</v>
          </cell>
          <cell r="BC18">
            <v>5.4230240549828172E-3</v>
          </cell>
          <cell r="BE18">
            <v>1937</v>
          </cell>
          <cell r="BF18">
            <v>1.5771526001705061E-2</v>
          </cell>
          <cell r="BG18">
            <v>-3.9026437263953051E-2</v>
          </cell>
          <cell r="BH18">
            <v>-6.1135371179039333E-2</v>
          </cell>
          <cell r="BI18">
            <v>-7.7674418604651185E-2</v>
          </cell>
          <cell r="BJ18">
            <v>-5.5975794251134636E-2</v>
          </cell>
          <cell r="BK18">
            <v>-5.1282051282051322E-2</v>
          </cell>
          <cell r="BL18">
            <v>0.16216216216216206</v>
          </cell>
          <cell r="BM18">
            <v>-9.4476744186046457E-2</v>
          </cell>
          <cell r="BN18">
            <v>-0.1219903691813804</v>
          </cell>
          <cell r="BO18">
            <v>-5.6672760511882969E-2</v>
          </cell>
          <cell r="BP18">
            <v>2.5839793281654533E-3</v>
          </cell>
          <cell r="BQ18">
            <v>-0.10051546391752575</v>
          </cell>
          <cell r="BS18">
            <v>1937</v>
          </cell>
          <cell r="BT18">
            <v>1.9506564364876418E-2</v>
          </cell>
          <cell r="BU18">
            <v>-3.5363963491397449E-2</v>
          </cell>
          <cell r="BV18">
            <v>-5.7302081513828269E-2</v>
          </cell>
          <cell r="BW18">
            <v>-7.3582387596899251E-2</v>
          </cell>
          <cell r="BX18">
            <v>-5.1533535047907204E-2</v>
          </cell>
          <cell r="BY18">
            <v>-4.6642120726495769E-2</v>
          </cell>
          <cell r="BZ18">
            <v>0.16707727102102091</v>
          </cell>
          <cell r="CA18">
            <v>-9.0257582364341032E-2</v>
          </cell>
          <cell r="CB18">
            <v>-0.11739823434991972</v>
          </cell>
          <cell r="CC18">
            <v>-5.1573481616900237E-2</v>
          </cell>
          <cell r="CD18">
            <v>7.9530038759690717E-3</v>
          </cell>
          <cell r="CE18">
            <v>-9.5092439862542927E-2</v>
          </cell>
          <cell r="CG18">
            <v>1937</v>
          </cell>
          <cell r="CH18">
            <v>-0.37043317288187971</v>
          </cell>
        </row>
        <row r="19">
          <cell r="A19">
            <v>1938</v>
          </cell>
          <cell r="B19">
            <v>1430</v>
          </cell>
          <cell r="C19">
            <v>1346</v>
          </cell>
          <cell r="D19">
            <v>1268</v>
          </cell>
          <cell r="E19">
            <v>1244</v>
          </cell>
          <cell r="F19">
            <v>1350</v>
          </cell>
          <cell r="G19">
            <v>1348</v>
          </cell>
          <cell r="H19">
            <v>1524</v>
          </cell>
          <cell r="I19">
            <v>1445</v>
          </cell>
          <cell r="J19">
            <v>1349</v>
          </cell>
          <cell r="K19">
            <v>1586</v>
          </cell>
          <cell r="L19">
            <v>1602</v>
          </cell>
          <cell r="M19">
            <v>1513</v>
          </cell>
          <cell r="O19">
            <v>1938</v>
          </cell>
          <cell r="P19">
            <v>730</v>
          </cell>
          <cell r="Q19">
            <v>767</v>
          </cell>
          <cell r="R19">
            <v>819</v>
          </cell>
          <cell r="S19">
            <v>766</v>
          </cell>
          <cell r="T19">
            <v>681</v>
          </cell>
          <cell r="U19">
            <v>666</v>
          </cell>
          <cell r="V19">
            <v>600</v>
          </cell>
          <cell r="W19">
            <v>636</v>
          </cell>
          <cell r="X19">
            <v>670</v>
          </cell>
          <cell r="Y19">
            <v>572</v>
          </cell>
          <cell r="Z19">
            <v>556</v>
          </cell>
          <cell r="AA19">
            <v>588</v>
          </cell>
          <cell r="AC19">
            <v>1938</v>
          </cell>
          <cell r="AD19">
            <v>1336</v>
          </cell>
          <cell r="AE19">
            <v>1373</v>
          </cell>
          <cell r="AF19">
            <v>1092</v>
          </cell>
          <cell r="AG19">
            <v>1252</v>
          </cell>
          <cell r="AH19">
            <v>1267</v>
          </cell>
          <cell r="AI19">
            <v>1465</v>
          </cell>
          <cell r="AJ19">
            <v>1479</v>
          </cell>
          <cell r="AK19">
            <v>1389</v>
          </cell>
          <cell r="AL19">
            <v>1408</v>
          </cell>
          <cell r="AM19">
            <v>1654</v>
          </cell>
          <cell r="AN19">
            <v>1544</v>
          </cell>
          <cell r="AO19">
            <v>1597</v>
          </cell>
          <cell r="AQ19">
            <v>1938</v>
          </cell>
          <cell r="AR19">
            <v>6.231494746895893E-3</v>
          </cell>
          <cell r="AS19">
            <v>6.4395084830339315E-3</v>
          </cell>
          <cell r="AT19">
            <v>6.3030589949016752E-3</v>
          </cell>
          <cell r="AU19">
            <v>7.2718559218559221E-3</v>
          </cell>
          <cell r="AV19">
            <v>6.1192092651757186E-3</v>
          </cell>
          <cell r="AW19">
            <v>5.9048145224940805E-3</v>
          </cell>
          <cell r="AX19">
            <v>5.2013651877133105E-3</v>
          </cell>
          <cell r="AY19">
            <v>5.1781609195402298E-3</v>
          </cell>
          <cell r="AZ19">
            <v>5.422546196304296E-3</v>
          </cell>
          <cell r="BA19">
            <v>5.3692708333333327E-3</v>
          </cell>
          <cell r="BB19">
            <v>4.487666263603386E-3</v>
          </cell>
          <cell r="BC19">
            <v>4.8016191709844567E-3</v>
          </cell>
          <cell r="BE19">
            <v>1938</v>
          </cell>
          <cell r="BF19">
            <v>-4.2979942693409767E-2</v>
          </cell>
          <cell r="BG19">
            <v>2.7694610778443041E-2</v>
          </cell>
          <cell r="BH19">
            <v>-0.20466132556445737</v>
          </cell>
          <cell r="BI19">
            <v>0.14652014652014644</v>
          </cell>
          <cell r="BJ19">
            <v>1.198083067092659E-2</v>
          </cell>
          <cell r="BK19">
            <v>0.15627466456195749</v>
          </cell>
          <cell r="BL19">
            <v>9.556313993174026E-3</v>
          </cell>
          <cell r="BM19">
            <v>-6.0851926977687598E-2</v>
          </cell>
          <cell r="BN19">
            <v>1.367890568754504E-2</v>
          </cell>
          <cell r="BO19">
            <v>0.17471590909090917</v>
          </cell>
          <cell r="BP19">
            <v>-6.6505441354292594E-2</v>
          </cell>
          <cell r="BQ19">
            <v>3.4326424870466221E-2</v>
          </cell>
          <cell r="BS19">
            <v>1938</v>
          </cell>
          <cell r="BT19">
            <v>-3.6748447946513871E-2</v>
          </cell>
          <cell r="BU19">
            <v>3.413411926147697E-2</v>
          </cell>
          <cell r="BV19">
            <v>-0.19835826656955569</v>
          </cell>
          <cell r="BW19">
            <v>0.15379200244200236</v>
          </cell>
          <cell r="BX19">
            <v>1.8100039936102309E-2</v>
          </cell>
          <cell r="BY19">
            <v>0.16217947908445157</v>
          </cell>
          <cell r="BZ19">
            <v>1.4757679180887336E-2</v>
          </cell>
          <cell r="CA19">
            <v>-5.5673766058147368E-2</v>
          </cell>
          <cell r="CB19">
            <v>1.9101451883849336E-2</v>
          </cell>
          <cell r="CC19">
            <v>0.1800851799242425</v>
          </cell>
          <cell r="CD19">
            <v>-6.201777509068921E-2</v>
          </cell>
          <cell r="CE19">
            <v>3.9128044041450677E-2</v>
          </cell>
          <cell r="CG19">
            <v>1938</v>
          </cell>
          <cell r="CH19">
            <v>0.22452297127094445</v>
          </cell>
        </row>
        <row r="20">
          <cell r="A20">
            <v>1939</v>
          </cell>
          <cell r="B20">
            <v>1605</v>
          </cell>
          <cell r="C20">
            <v>1681</v>
          </cell>
          <cell r="D20">
            <v>1677</v>
          </cell>
          <cell r="E20">
            <v>1497</v>
          </cell>
          <cell r="F20">
            <v>1579</v>
          </cell>
          <cell r="G20">
            <v>1606</v>
          </cell>
          <cell r="H20">
            <v>1655</v>
          </cell>
          <cell r="I20">
            <v>1692</v>
          </cell>
          <cell r="J20">
            <v>1618</v>
          </cell>
          <cell r="K20">
            <v>1664</v>
          </cell>
          <cell r="L20">
            <v>1676</v>
          </cell>
          <cell r="M20">
            <v>1652</v>
          </cell>
          <cell r="O20">
            <v>1939</v>
          </cell>
          <cell r="P20">
            <v>553</v>
          </cell>
          <cell r="Q20">
            <v>533</v>
          </cell>
          <cell r="R20">
            <v>534</v>
          </cell>
          <cell r="S20">
            <v>600</v>
          </cell>
          <cell r="T20">
            <v>566</v>
          </cell>
          <cell r="U20">
            <v>559</v>
          </cell>
          <cell r="V20">
            <v>547</v>
          </cell>
          <cell r="W20">
            <v>533</v>
          </cell>
          <cell r="X20">
            <v>562</v>
          </cell>
          <cell r="Y20">
            <v>548</v>
          </cell>
          <cell r="Z20">
            <v>547</v>
          </cell>
          <cell r="AA20">
            <v>558</v>
          </cell>
          <cell r="AC20">
            <v>1939</v>
          </cell>
          <cell r="AD20">
            <v>1616</v>
          </cell>
          <cell r="AE20">
            <v>1738</v>
          </cell>
          <cell r="AF20">
            <v>1491</v>
          </cell>
          <cell r="AG20">
            <v>1526</v>
          </cell>
          <cell r="AH20">
            <v>1620</v>
          </cell>
          <cell r="AI20">
            <v>1544</v>
          </cell>
          <cell r="AJ20">
            <v>1723</v>
          </cell>
          <cell r="AK20">
            <v>1604</v>
          </cell>
          <cell r="AL20">
            <v>1664</v>
          </cell>
          <cell r="AM20">
            <v>1678</v>
          </cell>
          <cell r="AN20">
            <v>1644</v>
          </cell>
          <cell r="AO20">
            <v>1681</v>
          </cell>
          <cell r="AQ20">
            <v>1939</v>
          </cell>
          <cell r="AR20">
            <v>4.6314182842830303E-3</v>
          </cell>
          <cell r="AS20">
            <v>4.6203228135313539E-3</v>
          </cell>
          <cell r="AT20">
            <v>4.293814729574223E-3</v>
          </cell>
          <cell r="AU20">
            <v>5.0201207243460765E-3</v>
          </cell>
          <cell r="AV20">
            <v>4.8804827435561388E-3</v>
          </cell>
          <cell r="AW20">
            <v>4.6180761316872423E-3</v>
          </cell>
          <cell r="AX20">
            <v>4.8860373488773751E-3</v>
          </cell>
          <cell r="AY20">
            <v>4.3617527568195012E-3</v>
          </cell>
          <cell r="AZ20">
            <v>4.7242103075644214E-3</v>
          </cell>
          <cell r="BA20">
            <v>4.5666666666666668E-3</v>
          </cell>
          <cell r="BB20">
            <v>4.5529002781088601E-3</v>
          </cell>
          <cell r="BC20">
            <v>4.6726277372262769E-3</v>
          </cell>
          <cell r="BE20">
            <v>1939</v>
          </cell>
          <cell r="BF20">
            <v>1.1897307451471439E-2</v>
          </cell>
          <cell r="BG20">
            <v>7.5495049504950451E-2</v>
          </cell>
          <cell r="BH20">
            <v>-0.14211737629459154</v>
          </cell>
          <cell r="BI20">
            <v>2.3474178403755763E-2</v>
          </cell>
          <cell r="BJ20">
            <v>6.1598951507208399E-2</v>
          </cell>
          <cell r="BK20">
            <v>-4.6913580246913611E-2</v>
          </cell>
          <cell r="BL20">
            <v>0.1159326424870466</v>
          </cell>
          <cell r="BM20">
            <v>-6.9065583284968035E-2</v>
          </cell>
          <cell r="BN20">
            <v>3.7406483790523692E-2</v>
          </cell>
          <cell r="BO20">
            <v>8.4134615384614531E-3</v>
          </cell>
          <cell r="BP20">
            <v>-2.0262216924910592E-2</v>
          </cell>
          <cell r="BQ20">
            <v>2.2506082725060716E-2</v>
          </cell>
          <cell r="BS20">
            <v>1939</v>
          </cell>
          <cell r="BT20">
            <v>1.6528725735754469E-2</v>
          </cell>
          <cell r="BU20">
            <v>8.0115372318481801E-2</v>
          </cell>
          <cell r="BV20">
            <v>-0.13782356156501732</v>
          </cell>
          <cell r="BW20">
            <v>2.8494299128101839E-2</v>
          </cell>
          <cell r="BX20">
            <v>6.6479434250764538E-2</v>
          </cell>
          <cell r="BY20">
            <v>-4.2295504115226368E-2</v>
          </cell>
          <cell r="BZ20">
            <v>0.12081867983592398</v>
          </cell>
          <cell r="CA20">
            <v>-6.4703830528148529E-2</v>
          </cell>
          <cell r="CB20">
            <v>4.2130694098088117E-2</v>
          </cell>
          <cell r="CC20">
            <v>1.298012820512812E-2</v>
          </cell>
          <cell r="CD20">
            <v>-1.5709316646801731E-2</v>
          </cell>
          <cell r="CE20">
            <v>2.7178710462286995E-2</v>
          </cell>
          <cell r="CG20">
            <v>1939</v>
          </cell>
          <cell r="CH20">
            <v>0.11262513390319895</v>
          </cell>
        </row>
        <row r="21">
          <cell r="A21">
            <v>1940</v>
          </cell>
          <cell r="B21">
            <v>1697</v>
          </cell>
          <cell r="C21">
            <v>1685</v>
          </cell>
          <cell r="D21">
            <v>1634</v>
          </cell>
          <cell r="E21">
            <v>1657</v>
          </cell>
          <cell r="F21">
            <v>1456</v>
          </cell>
          <cell r="G21">
            <v>1370</v>
          </cell>
          <cell r="H21">
            <v>1488</v>
          </cell>
          <cell r="I21">
            <v>1474</v>
          </cell>
          <cell r="J21">
            <v>1468</v>
          </cell>
          <cell r="K21">
            <v>1442</v>
          </cell>
          <cell r="L21">
            <v>1388</v>
          </cell>
          <cell r="M21">
            <v>1297</v>
          </cell>
          <cell r="O21">
            <v>1940</v>
          </cell>
          <cell r="P21">
            <v>540</v>
          </cell>
          <cell r="Q21">
            <v>547</v>
          </cell>
          <cell r="R21">
            <v>557</v>
          </cell>
          <cell r="S21">
            <v>556</v>
          </cell>
          <cell r="T21">
            <v>650</v>
          </cell>
          <cell r="U21">
            <v>689</v>
          </cell>
          <cell r="V21">
            <v>628</v>
          </cell>
          <cell r="W21">
            <v>636</v>
          </cell>
          <cell r="X21">
            <v>635</v>
          </cell>
          <cell r="Y21">
            <v>651</v>
          </cell>
          <cell r="Z21">
            <v>688</v>
          </cell>
          <cell r="AA21">
            <v>734</v>
          </cell>
          <cell r="AC21">
            <v>1940</v>
          </cell>
          <cell r="AD21">
            <v>1685</v>
          </cell>
          <cell r="AE21">
            <v>1660</v>
          </cell>
          <cell r="AF21">
            <v>1668</v>
          </cell>
          <cell r="AG21">
            <v>1645</v>
          </cell>
          <cell r="AH21">
            <v>1314</v>
          </cell>
          <cell r="AI21">
            <v>1504</v>
          </cell>
          <cell r="AJ21">
            <v>1506</v>
          </cell>
          <cell r="AK21">
            <v>1484</v>
          </cell>
          <cell r="AL21">
            <v>1445</v>
          </cell>
          <cell r="AM21">
            <v>1483</v>
          </cell>
          <cell r="AN21">
            <v>1296</v>
          </cell>
          <cell r="AO21">
            <v>1308</v>
          </cell>
          <cell r="AQ21">
            <v>1940</v>
          </cell>
          <cell r="AR21">
            <v>4.5428316478286733E-3</v>
          </cell>
          <cell r="AS21">
            <v>4.5583333333333335E-3</v>
          </cell>
          <cell r="AT21">
            <v>4.5689658634538149E-3</v>
          </cell>
          <cell r="AU21">
            <v>4.6027777777777768E-3</v>
          </cell>
          <cell r="AV21">
            <v>4.7943262411347517E-3</v>
          </cell>
          <cell r="AW21">
            <v>5.986364789446981E-3</v>
          </cell>
          <cell r="AX21">
            <v>5.1776595744680853E-3</v>
          </cell>
          <cell r="AY21">
            <v>5.1873837981407708E-3</v>
          </cell>
          <cell r="AZ21">
            <v>5.2346136567834687E-3</v>
          </cell>
          <cell r="BA21">
            <v>5.413737024221453E-3</v>
          </cell>
          <cell r="BB21">
            <v>5.3660597887165654E-3</v>
          </cell>
          <cell r="BC21">
            <v>6.121386316872428E-3</v>
          </cell>
          <cell r="BE21">
            <v>1940</v>
          </cell>
          <cell r="BF21">
            <v>2.3795359904819069E-3</v>
          </cell>
          <cell r="BG21">
            <v>-1.4836795252225476E-2</v>
          </cell>
          <cell r="BH21">
            <v>4.8192771084336616E-3</v>
          </cell>
          <cell r="BI21">
            <v>-1.3788968824940073E-2</v>
          </cell>
          <cell r="BJ21">
            <v>-0.20121580547112461</v>
          </cell>
          <cell r="BK21">
            <v>0.14459665144596645</v>
          </cell>
          <cell r="BL21">
            <v>1.3297872340425343E-3</v>
          </cell>
          <cell r="BM21">
            <v>-1.4608233731739695E-2</v>
          </cell>
          <cell r="BN21">
            <v>-2.6280323450134757E-2</v>
          </cell>
          <cell r="BO21">
            <v>2.6297577854671239E-2</v>
          </cell>
          <cell r="BP21">
            <v>-0.12609575185434929</v>
          </cell>
          <cell r="BQ21">
            <v>9.2592592592593004E-3</v>
          </cell>
          <cell r="BS21">
            <v>1940</v>
          </cell>
          <cell r="BT21">
            <v>6.9223676383105802E-3</v>
          </cell>
          <cell r="BU21">
            <v>-1.0278461918892142E-2</v>
          </cell>
          <cell r="BV21">
            <v>9.3882429718874765E-3</v>
          </cell>
          <cell r="BW21">
            <v>-9.1861910471622964E-3</v>
          </cell>
          <cell r="BX21">
            <v>-0.19642147922998987</v>
          </cell>
          <cell r="BY21">
            <v>0.15058301623541342</v>
          </cell>
          <cell r="BZ21">
            <v>6.5074468085106196E-3</v>
          </cell>
          <cell r="CA21">
            <v>-9.4208499335989241E-3</v>
          </cell>
          <cell r="CB21">
            <v>-2.104570979335129E-2</v>
          </cell>
          <cell r="CC21">
            <v>3.1711314878892692E-2</v>
          </cell>
          <cell r="CD21">
            <v>-0.12072969206563272</v>
          </cell>
          <cell r="CE21">
            <v>1.5380645576131727E-2</v>
          </cell>
          <cell r="CG21">
            <v>1940</v>
          </cell>
          <cell r="CH21">
            <v>-0.17151690258773988</v>
          </cell>
        </row>
        <row r="22">
          <cell r="A22">
            <v>1941</v>
          </cell>
          <cell r="B22">
            <v>1325</v>
          </cell>
          <cell r="C22">
            <v>1240</v>
          </cell>
          <cell r="D22">
            <v>1219</v>
          </cell>
          <cell r="E22">
            <v>1148</v>
          </cell>
          <cell r="F22">
            <v>1072</v>
          </cell>
          <cell r="G22">
            <v>1082</v>
          </cell>
          <cell r="H22">
            <v>1106</v>
          </cell>
          <cell r="I22">
            <v>1091</v>
          </cell>
          <cell r="J22">
            <v>1074</v>
          </cell>
          <cell r="K22">
            <v>1016</v>
          </cell>
          <cell r="L22">
            <v>914</v>
          </cell>
          <cell r="M22">
            <v>828</v>
          </cell>
          <cell r="O22">
            <v>1941</v>
          </cell>
          <cell r="P22">
            <v>717</v>
          </cell>
          <cell r="Q22">
            <v>774</v>
          </cell>
          <cell r="R22">
            <v>786</v>
          </cell>
          <cell r="S22">
            <v>842</v>
          </cell>
          <cell r="T22">
            <v>897</v>
          </cell>
          <cell r="U22">
            <v>894</v>
          </cell>
          <cell r="V22">
            <v>837</v>
          </cell>
          <cell r="W22">
            <v>811</v>
          </cell>
          <cell r="X22">
            <v>801</v>
          </cell>
          <cell r="Y22">
            <v>889</v>
          </cell>
          <cell r="Z22">
            <v>988</v>
          </cell>
          <cell r="AA22">
            <v>989</v>
          </cell>
          <cell r="AC22">
            <v>1941</v>
          </cell>
          <cell r="AD22">
            <v>1289</v>
          </cell>
          <cell r="AE22">
            <v>1251</v>
          </cell>
          <cell r="AF22">
            <v>1208</v>
          </cell>
          <cell r="AG22">
            <v>1098</v>
          </cell>
          <cell r="AH22">
            <v>1053</v>
          </cell>
          <cell r="AI22">
            <v>1072</v>
          </cell>
          <cell r="AJ22">
            <v>1122</v>
          </cell>
          <cell r="AK22">
            <v>1093</v>
          </cell>
          <cell r="AL22">
            <v>1055</v>
          </cell>
          <cell r="AM22">
            <v>958</v>
          </cell>
          <cell r="AN22">
            <v>888</v>
          </cell>
          <cell r="AO22">
            <v>821</v>
          </cell>
          <cell r="AQ22">
            <v>1941</v>
          </cell>
          <cell r="AR22">
            <v>6.0526567278287461E-3</v>
          </cell>
          <cell r="AS22">
            <v>6.2048099301784329E-3</v>
          </cell>
          <cell r="AT22">
            <v>6.3824540367705841E-3</v>
          </cell>
          <cell r="AU22">
            <v>6.668156732891832E-3</v>
          </cell>
          <cell r="AV22">
            <v>7.2979963570127511E-3</v>
          </cell>
          <cell r="AW22">
            <v>7.6551756885090217E-3</v>
          </cell>
          <cell r="AX22">
            <v>7.1962220149253721E-3</v>
          </cell>
          <cell r="AY22">
            <v>6.571605763517529E-3</v>
          </cell>
          <cell r="AZ22">
            <v>6.5589661482159198E-3</v>
          </cell>
          <cell r="BA22">
            <v>7.134470774091628E-3</v>
          </cell>
          <cell r="BB22">
            <v>7.8551844119693816E-3</v>
          </cell>
          <cell r="BC22">
            <v>7.6847972972972972E-3</v>
          </cell>
          <cell r="BE22">
            <v>1941</v>
          </cell>
          <cell r="BF22">
            <v>-1.4525993883792054E-2</v>
          </cell>
          <cell r="BG22">
            <v>-2.948021722265326E-2</v>
          </cell>
          <cell r="BH22">
            <v>-3.437250199840125E-2</v>
          </cell>
          <cell r="BI22">
            <v>-9.1059602649006588E-2</v>
          </cell>
          <cell r="BJ22">
            <v>-4.0983606557377095E-2</v>
          </cell>
          <cell r="BK22">
            <v>1.8043684710351338E-2</v>
          </cell>
          <cell r="BL22">
            <v>4.664179104477606E-2</v>
          </cell>
          <cell r="BM22">
            <v>-2.5846702317290582E-2</v>
          </cell>
          <cell r="BN22">
            <v>-3.4766697163769456E-2</v>
          </cell>
          <cell r="BO22">
            <v>-9.1943127962085258E-2</v>
          </cell>
          <cell r="BP22">
            <v>-7.3068893528183687E-2</v>
          </cell>
          <cell r="BQ22">
            <v>-7.5450450450450401E-2</v>
          </cell>
          <cell r="BS22">
            <v>1941</v>
          </cell>
          <cell r="BT22">
            <v>-8.4733371559633092E-3</v>
          </cell>
          <cell r="BU22">
            <v>-2.3275407292474827E-2</v>
          </cell>
          <cell r="BV22">
            <v>-2.7990047961630668E-2</v>
          </cell>
          <cell r="BW22">
            <v>-8.4391445916114749E-2</v>
          </cell>
          <cell r="BX22">
            <v>-3.3685610200364341E-2</v>
          </cell>
          <cell r="BY22">
            <v>2.5698860398860358E-2</v>
          </cell>
          <cell r="BZ22">
            <v>5.3838013059701428E-2</v>
          </cell>
          <cell r="CA22">
            <v>-1.9275096553773054E-2</v>
          </cell>
          <cell r="CB22">
            <v>-2.8207731015553537E-2</v>
          </cell>
          <cell r="CC22">
            <v>-8.480865718799363E-2</v>
          </cell>
          <cell r="CD22">
            <v>-6.5213709116214311E-2</v>
          </cell>
          <cell r="CE22">
            <v>-6.776565315315311E-2</v>
          </cell>
          <cell r="CG22">
            <v>1941</v>
          </cell>
          <cell r="CH22">
            <v>-0.31571151205748949</v>
          </cell>
        </row>
        <row r="23">
          <cell r="A23">
            <v>1942</v>
          </cell>
          <cell r="B23">
            <v>854</v>
          </cell>
          <cell r="C23">
            <v>818</v>
          </cell>
          <cell r="D23">
            <v>744</v>
          </cell>
          <cell r="E23">
            <v>694</v>
          </cell>
          <cell r="F23">
            <v>718</v>
          </cell>
          <cell r="G23">
            <v>749</v>
          </cell>
          <cell r="H23">
            <v>739</v>
          </cell>
          <cell r="I23">
            <v>724</v>
          </cell>
          <cell r="J23">
            <v>734</v>
          </cell>
          <cell r="K23">
            <v>812</v>
          </cell>
          <cell r="L23">
            <v>860</v>
          </cell>
          <cell r="M23">
            <v>842</v>
          </cell>
          <cell r="O23">
            <v>1942</v>
          </cell>
          <cell r="P23">
            <v>940</v>
          </cell>
          <cell r="Q23">
            <v>974</v>
          </cell>
          <cell r="R23">
            <v>1013</v>
          </cell>
          <cell r="S23">
            <v>1094</v>
          </cell>
          <cell r="T23">
            <v>1055</v>
          </cell>
          <cell r="U23">
            <v>830</v>
          </cell>
          <cell r="V23">
            <v>799</v>
          </cell>
          <cell r="W23">
            <v>810</v>
          </cell>
          <cell r="X23">
            <v>781</v>
          </cell>
          <cell r="Y23">
            <v>692</v>
          </cell>
          <cell r="Z23">
            <v>656</v>
          </cell>
          <cell r="AA23">
            <v>680</v>
          </cell>
          <cell r="AC23">
            <v>1942</v>
          </cell>
          <cell r="AD23">
            <v>835</v>
          </cell>
          <cell r="AE23">
            <v>800</v>
          </cell>
          <cell r="AF23">
            <v>710</v>
          </cell>
          <cell r="AG23">
            <v>673</v>
          </cell>
          <cell r="AH23">
            <v>731</v>
          </cell>
          <cell r="AI23">
            <v>730</v>
          </cell>
          <cell r="AJ23">
            <v>728</v>
          </cell>
          <cell r="AK23">
            <v>725</v>
          </cell>
          <cell r="AL23">
            <v>754</v>
          </cell>
          <cell r="AM23">
            <v>852</v>
          </cell>
          <cell r="AN23">
            <v>846</v>
          </cell>
          <cell r="AO23">
            <v>869</v>
          </cell>
          <cell r="AQ23">
            <v>1942</v>
          </cell>
          <cell r="AR23">
            <v>8.1481932602517262E-3</v>
          </cell>
          <cell r="AS23">
            <v>7.9514171656686634E-3</v>
          </cell>
          <cell r="AT23">
            <v>7.8507500000000001E-3</v>
          </cell>
          <cell r="AU23">
            <v>8.9112206572769942E-3</v>
          </cell>
          <cell r="AV23">
            <v>9.3795195641406641E-3</v>
          </cell>
          <cell r="AW23">
            <v>7.0869813041495675E-3</v>
          </cell>
          <cell r="AX23">
            <v>6.740422374429224E-3</v>
          </cell>
          <cell r="AY23">
            <v>6.7129120879120879E-3</v>
          </cell>
          <cell r="AZ23">
            <v>6.589126436781609E-3</v>
          </cell>
          <cell r="BA23">
            <v>6.2102564102564112E-3</v>
          </cell>
          <cell r="BB23">
            <v>5.5179968701095459E-3</v>
          </cell>
          <cell r="BC23">
            <v>5.6398739164696616E-3</v>
          </cell>
          <cell r="BE23">
            <v>1942</v>
          </cell>
          <cell r="BF23">
            <v>1.705237515225333E-2</v>
          </cell>
          <cell r="BG23">
            <v>-4.1916167664670656E-2</v>
          </cell>
          <cell r="BH23">
            <v>-0.11250000000000004</v>
          </cell>
          <cell r="BI23">
            <v>-5.211267605633807E-2</v>
          </cell>
          <cell r="BJ23">
            <v>8.618127786032681E-2</v>
          </cell>
          <cell r="BK23">
            <v>-1.3679890560875929E-3</v>
          </cell>
          <cell r="BL23">
            <v>-2.739726027397249E-3</v>
          </cell>
          <cell r="BM23">
            <v>-4.1208791208791062E-3</v>
          </cell>
          <cell r="BN23">
            <v>4.0000000000000036E-2</v>
          </cell>
          <cell r="BO23">
            <v>0.12997347480106103</v>
          </cell>
          <cell r="BP23">
            <v>-7.0422535211267512E-3</v>
          </cell>
          <cell r="BQ23">
            <v>2.7186761229314405E-2</v>
          </cell>
          <cell r="BS23">
            <v>1942</v>
          </cell>
          <cell r="BT23">
            <v>2.5200568412505057E-2</v>
          </cell>
          <cell r="BU23">
            <v>-3.3964750499001994E-2</v>
          </cell>
          <cell r="BV23">
            <v>-0.10464925000000004</v>
          </cell>
          <cell r="BW23">
            <v>-4.3201455399061076E-2</v>
          </cell>
          <cell r="BX23">
            <v>9.5560797424467478E-2</v>
          </cell>
          <cell r="BY23">
            <v>5.7189922480619746E-3</v>
          </cell>
          <cell r="BZ23">
            <v>4.000696347031975E-3</v>
          </cell>
          <cell r="CA23">
            <v>2.5920329670329817E-3</v>
          </cell>
          <cell r="CB23">
            <v>4.6589126436781647E-2</v>
          </cell>
          <cell r="CC23">
            <v>0.13618373121131744</v>
          </cell>
          <cell r="CD23">
            <v>-1.5242566510172053E-3</v>
          </cell>
          <cell r="CE23">
            <v>3.2826635145784065E-2</v>
          </cell>
          <cell r="CG23">
            <v>1942</v>
          </cell>
          <cell r="CH23">
            <v>0.15392252380765292</v>
          </cell>
        </row>
        <row r="24">
          <cell r="A24">
            <v>1943</v>
          </cell>
          <cell r="B24">
            <v>922</v>
          </cell>
          <cell r="C24">
            <v>996</v>
          </cell>
          <cell r="D24">
            <v>1035</v>
          </cell>
          <cell r="E24">
            <v>1095</v>
          </cell>
          <cell r="F24">
            <v>1135</v>
          </cell>
          <cell r="G24">
            <v>1152</v>
          </cell>
          <cell r="H24">
            <v>1240</v>
          </cell>
          <cell r="I24">
            <v>1203</v>
          </cell>
          <cell r="J24">
            <v>1238</v>
          </cell>
          <cell r="K24">
            <v>1231</v>
          </cell>
          <cell r="L24">
            <v>1176</v>
          </cell>
          <cell r="M24">
            <v>1180</v>
          </cell>
          <cell r="O24">
            <v>1943</v>
          </cell>
          <cell r="P24">
            <v>621</v>
          </cell>
          <cell r="Q24">
            <v>568</v>
          </cell>
          <cell r="R24">
            <v>534</v>
          </cell>
          <cell r="S24">
            <v>497</v>
          </cell>
          <cell r="T24">
            <v>481</v>
          </cell>
          <cell r="U24">
            <v>475</v>
          </cell>
          <cell r="V24">
            <v>443</v>
          </cell>
          <cell r="W24">
            <v>456</v>
          </cell>
          <cell r="X24">
            <v>498</v>
          </cell>
          <cell r="Y24">
            <v>508</v>
          </cell>
          <cell r="Z24">
            <v>533</v>
          </cell>
          <cell r="AA24">
            <v>539</v>
          </cell>
          <cell r="AC24">
            <v>1943</v>
          </cell>
          <cell r="AD24">
            <v>970</v>
          </cell>
          <cell r="AE24">
            <v>1035</v>
          </cell>
          <cell r="AF24">
            <v>1073</v>
          </cell>
          <cell r="AG24">
            <v>1110</v>
          </cell>
          <cell r="AH24">
            <v>1144</v>
          </cell>
          <cell r="AI24">
            <v>1201</v>
          </cell>
          <cell r="AJ24">
            <v>1201</v>
          </cell>
          <cell r="AK24">
            <v>1209</v>
          </cell>
          <cell r="AL24">
            <v>1243</v>
          </cell>
          <cell r="AM24">
            <v>1248</v>
          </cell>
          <cell r="AN24">
            <v>1146</v>
          </cell>
          <cell r="AO24">
            <v>1207</v>
          </cell>
          <cell r="AQ24">
            <v>1943</v>
          </cell>
          <cell r="AR24">
            <v>5.4906214039125434E-3</v>
          </cell>
          <cell r="AS24">
            <v>4.8602061855670103E-3</v>
          </cell>
          <cell r="AT24">
            <v>4.45E-3</v>
          </cell>
          <cell r="AU24">
            <v>4.2265843429636534E-3</v>
          </cell>
          <cell r="AV24">
            <v>4.098611111111111E-3</v>
          </cell>
          <cell r="AW24">
            <v>3.9860139860139858E-3</v>
          </cell>
          <cell r="AX24">
            <v>3.8115459339439356E-3</v>
          </cell>
          <cell r="AY24">
            <v>3.8063280599500418E-3</v>
          </cell>
          <cell r="AZ24">
            <v>4.2495450785773369E-3</v>
          </cell>
          <cell r="BA24">
            <v>4.1924644676857069E-3</v>
          </cell>
          <cell r="BB24">
            <v>4.1854166666666663E-3</v>
          </cell>
          <cell r="BC24">
            <v>4.6249272833042464E-3</v>
          </cell>
          <cell r="BE24">
            <v>1943</v>
          </cell>
          <cell r="BF24">
            <v>0.11622554660529349</v>
          </cell>
          <cell r="BG24">
            <v>6.7010309278350499E-2</v>
          </cell>
          <cell r="BH24">
            <v>3.6714975845410613E-2</v>
          </cell>
          <cell r="BI24">
            <v>3.4482758620689724E-2</v>
          </cell>
          <cell r="BJ24">
            <v>3.063063063063054E-2</v>
          </cell>
          <cell r="BK24">
            <v>4.9825174825174789E-2</v>
          </cell>
          <cell r="BL24">
            <v>0</v>
          </cell>
          <cell r="BM24">
            <v>6.6611157368858809E-3</v>
          </cell>
          <cell r="BN24">
            <v>2.8122415219189456E-2</v>
          </cell>
          <cell r="BO24">
            <v>4.022526146419958E-3</v>
          </cell>
          <cell r="BP24">
            <v>-8.1730769230769273E-2</v>
          </cell>
          <cell r="BQ24">
            <v>5.3228621291448563E-2</v>
          </cell>
          <cell r="BS24">
            <v>1943</v>
          </cell>
          <cell r="BT24">
            <v>0.12171616800920604</v>
          </cell>
          <cell r="BU24">
            <v>7.1870515463917511E-2</v>
          </cell>
          <cell r="BV24">
            <v>4.1164975845410616E-2</v>
          </cell>
          <cell r="BW24">
            <v>3.870934296365338E-2</v>
          </cell>
          <cell r="BX24">
            <v>3.4729241741741648E-2</v>
          </cell>
          <cell r="BY24">
            <v>5.3811188811188779E-2</v>
          </cell>
          <cell r="BZ24">
            <v>3.8115459339439356E-3</v>
          </cell>
          <cell r="CA24">
            <v>1.0467443796835924E-2</v>
          </cell>
          <cell r="CB24">
            <v>3.2371960297766796E-2</v>
          </cell>
          <cell r="CC24">
            <v>8.214990614105664E-3</v>
          </cell>
          <cell r="CD24">
            <v>-7.754535256410261E-2</v>
          </cell>
          <cell r="CE24">
            <v>5.7853548574752812E-2</v>
          </cell>
          <cell r="CG24">
            <v>1943</v>
          </cell>
          <cell r="CH24">
            <v>0.46070613779373915</v>
          </cell>
        </row>
        <row r="25">
          <cell r="A25">
            <v>1944</v>
          </cell>
          <cell r="B25">
            <v>1210</v>
          </cell>
          <cell r="C25">
            <v>1218</v>
          </cell>
          <cell r="D25">
            <v>1249</v>
          </cell>
          <cell r="E25">
            <v>1225</v>
          </cell>
          <cell r="F25">
            <v>1230</v>
          </cell>
          <cell r="G25">
            <v>1275</v>
          </cell>
          <cell r="H25">
            <v>1310</v>
          </cell>
          <cell r="I25">
            <v>1337</v>
          </cell>
          <cell r="J25">
            <v>1317</v>
          </cell>
          <cell r="K25">
            <v>1346</v>
          </cell>
          <cell r="L25">
            <v>1325</v>
          </cell>
          <cell r="M25">
            <v>1329</v>
          </cell>
          <cell r="O25">
            <v>1944</v>
          </cell>
          <cell r="P25">
            <v>569</v>
          </cell>
          <cell r="Q25">
            <v>568</v>
          </cell>
          <cell r="R25">
            <v>551</v>
          </cell>
          <cell r="S25">
            <v>563</v>
          </cell>
          <cell r="T25">
            <v>556</v>
          </cell>
          <cell r="U25">
            <v>542</v>
          </cell>
          <cell r="V25">
            <v>528</v>
          </cell>
          <cell r="W25">
            <v>518</v>
          </cell>
          <cell r="X25">
            <v>528</v>
          </cell>
          <cell r="Y25">
            <v>489</v>
          </cell>
          <cell r="Z25">
            <v>503</v>
          </cell>
          <cell r="AA25">
            <v>494</v>
          </cell>
          <cell r="AC25">
            <v>1944</v>
          </cell>
          <cell r="AD25">
            <v>1214</v>
          </cell>
          <cell r="AE25">
            <v>1230</v>
          </cell>
          <cell r="AF25">
            <v>1237</v>
          </cell>
          <cell r="AG25">
            <v>1220</v>
          </cell>
          <cell r="AH25">
            <v>1251</v>
          </cell>
          <cell r="AI25">
            <v>1311</v>
          </cell>
          <cell r="AJ25">
            <v>1309</v>
          </cell>
          <cell r="AK25">
            <v>1350</v>
          </cell>
          <cell r="AL25">
            <v>1324</v>
          </cell>
          <cell r="AM25">
            <v>1337</v>
          </cell>
          <cell r="AN25">
            <v>1314</v>
          </cell>
          <cell r="AO25">
            <v>1351</v>
          </cell>
          <cell r="AQ25">
            <v>1944</v>
          </cell>
          <cell r="AR25">
            <v>4.7534520850593754E-3</v>
          </cell>
          <cell r="AS25">
            <v>4.7489291598023066E-3</v>
          </cell>
          <cell r="AT25">
            <v>4.6625948509485095E-3</v>
          </cell>
          <cell r="AU25">
            <v>4.6461533279439499E-3</v>
          </cell>
          <cell r="AV25">
            <v>4.6713114754098365E-3</v>
          </cell>
          <cell r="AW25">
            <v>4.6033173461231015E-3</v>
          </cell>
          <cell r="AX25">
            <v>4.3966437833714723E-3</v>
          </cell>
          <cell r="AY25">
            <v>4.4090017825311944E-3</v>
          </cell>
          <cell r="AZ25">
            <v>4.2924444444444451E-3</v>
          </cell>
          <cell r="BA25">
            <v>4.1427114803625383E-3</v>
          </cell>
          <cell r="BB25">
            <v>4.1540451259037643E-3</v>
          </cell>
          <cell r="BC25">
            <v>4.1636605783866056E-3</v>
          </cell>
          <cell r="BE25">
            <v>1944</v>
          </cell>
          <cell r="BF25">
            <v>5.7995028997515075E-3</v>
          </cell>
          <cell r="BG25">
            <v>1.3179571663920919E-2</v>
          </cell>
          <cell r="BH25">
            <v>5.6910569105690367E-3</v>
          </cell>
          <cell r="BI25">
            <v>-1.3742926434923253E-2</v>
          </cell>
          <cell r="BJ25">
            <v>2.5409836065573677E-2</v>
          </cell>
          <cell r="BK25">
            <v>4.7961630695443569E-2</v>
          </cell>
          <cell r="BL25">
            <v>-1.5255530129671957E-3</v>
          </cell>
          <cell r="BM25">
            <v>3.1321619556913705E-2</v>
          </cell>
          <cell r="BN25">
            <v>-1.9259259259259309E-2</v>
          </cell>
          <cell r="BO25">
            <v>9.8187311178248304E-3</v>
          </cell>
          <cell r="BP25">
            <v>-1.7202692595362779E-2</v>
          </cell>
          <cell r="BQ25">
            <v>2.8158295281582868E-2</v>
          </cell>
          <cell r="BS25">
            <v>1944</v>
          </cell>
          <cell r="BT25">
            <v>1.0552954984810882E-2</v>
          </cell>
          <cell r="BU25">
            <v>1.7928500823723225E-2</v>
          </cell>
          <cell r="BV25">
            <v>1.0353651761517545E-2</v>
          </cell>
          <cell r="BW25">
            <v>-9.0967731069793029E-3</v>
          </cell>
          <cell r="BX25">
            <v>3.0081147540983514E-2</v>
          </cell>
          <cell r="BY25">
            <v>5.2564948041566667E-2</v>
          </cell>
          <cell r="BZ25">
            <v>2.8710907704042766E-3</v>
          </cell>
          <cell r="CA25">
            <v>3.57306213394449E-2</v>
          </cell>
          <cell r="CB25">
            <v>-1.4966814814814863E-2</v>
          </cell>
          <cell r="CC25">
            <v>1.3961442598187369E-2</v>
          </cell>
          <cell r="CD25">
            <v>-1.3048647469459013E-2</v>
          </cell>
          <cell r="CE25">
            <v>3.232195585996947E-2</v>
          </cell>
          <cell r="CG25">
            <v>1944</v>
          </cell>
          <cell r="CH25">
            <v>0.18025674975118622</v>
          </cell>
        </row>
        <row r="26">
          <cell r="A26">
            <v>1945</v>
          </cell>
          <cell r="B26">
            <v>1391</v>
          </cell>
          <cell r="C26">
            <v>1478</v>
          </cell>
          <cell r="D26">
            <v>1475</v>
          </cell>
          <cell r="E26">
            <v>1531</v>
          </cell>
          <cell r="F26">
            <v>1603</v>
          </cell>
          <cell r="G26">
            <v>1685</v>
          </cell>
          <cell r="H26">
            <v>1717</v>
          </cell>
          <cell r="I26">
            <v>1683</v>
          </cell>
          <cell r="J26">
            <v>1758</v>
          </cell>
          <cell r="K26">
            <v>1865</v>
          </cell>
          <cell r="L26">
            <v>2011</v>
          </cell>
          <cell r="M26">
            <v>2005</v>
          </cell>
          <cell r="O26">
            <v>1945</v>
          </cell>
          <cell r="P26">
            <v>448</v>
          </cell>
          <cell r="Q26">
            <v>421</v>
          </cell>
          <cell r="R26">
            <v>426</v>
          </cell>
          <cell r="S26">
            <v>412</v>
          </cell>
          <cell r="T26">
            <v>393</v>
          </cell>
          <cell r="U26">
            <v>372</v>
          </cell>
          <cell r="V26">
            <v>366</v>
          </cell>
          <cell r="W26">
            <v>375</v>
          </cell>
          <cell r="X26">
            <v>354</v>
          </cell>
          <cell r="Y26">
            <v>332</v>
          </cell>
          <cell r="Z26">
            <v>309</v>
          </cell>
          <cell r="AA26">
            <v>314</v>
          </cell>
          <cell r="AC26">
            <v>1945</v>
          </cell>
          <cell r="AD26">
            <v>1413</v>
          </cell>
          <cell r="AE26">
            <v>1506</v>
          </cell>
          <cell r="AF26">
            <v>1447</v>
          </cell>
          <cell r="AG26">
            <v>1596</v>
          </cell>
          <cell r="AH26">
            <v>1618</v>
          </cell>
          <cell r="AI26">
            <v>1720</v>
          </cell>
          <cell r="AJ26">
            <v>1706</v>
          </cell>
          <cell r="AK26">
            <v>1706</v>
          </cell>
          <cell r="AL26">
            <v>1827</v>
          </cell>
          <cell r="AM26">
            <v>1939</v>
          </cell>
          <cell r="AN26">
            <v>2025</v>
          </cell>
          <cell r="AO26">
            <v>1996</v>
          </cell>
          <cell r="AQ26">
            <v>1945</v>
          </cell>
          <cell r="AR26">
            <v>3.8438687392055265E-3</v>
          </cell>
          <cell r="AS26">
            <v>3.6697216324604858E-3</v>
          </cell>
          <cell r="AT26">
            <v>3.476925630810093E-3</v>
          </cell>
          <cell r="AU26">
            <v>3.6326422483298777E-3</v>
          </cell>
          <cell r="AV26">
            <v>3.2893640350877191E-3</v>
          </cell>
          <cell r="AW26">
            <v>3.2283683559950552E-3</v>
          </cell>
          <cell r="AX26">
            <v>3.0446802325581395E-3</v>
          </cell>
          <cell r="AY26">
            <v>3.0828692848769053E-3</v>
          </cell>
          <cell r="AZ26">
            <v>3.039917936694021E-3</v>
          </cell>
          <cell r="BA26">
            <v>2.8242109104178069E-3</v>
          </cell>
          <cell r="BB26">
            <v>2.6706162970603405E-3</v>
          </cell>
          <cell r="BC26">
            <v>2.5908230452674898E-3</v>
          </cell>
          <cell r="BE26">
            <v>1945</v>
          </cell>
          <cell r="BF26">
            <v>4.5891931902294569E-2</v>
          </cell>
          <cell r="BG26">
            <v>6.5817409766454338E-2</v>
          </cell>
          <cell r="BH26">
            <v>-3.9176626826029182E-2</v>
          </cell>
          <cell r="BI26">
            <v>0.10297166551485826</v>
          </cell>
          <cell r="BJ26">
            <v>1.3784461152882121E-2</v>
          </cell>
          <cell r="BK26">
            <v>6.3040791100123617E-2</v>
          </cell>
          <cell r="BL26">
            <v>-8.1395348837208781E-3</v>
          </cell>
          <cell r="BM26">
            <v>0</v>
          </cell>
          <cell r="BN26">
            <v>7.0926143024619082E-2</v>
          </cell>
          <cell r="BO26">
            <v>6.1302681992337238E-2</v>
          </cell>
          <cell r="BP26">
            <v>4.4352759154203225E-2</v>
          </cell>
          <cell r="BQ26">
            <v>-1.4320987654320994E-2</v>
          </cell>
          <cell r="BS26">
            <v>1945</v>
          </cell>
          <cell r="BT26">
            <v>4.9735800641500093E-2</v>
          </cell>
          <cell r="BU26">
            <v>6.9487131398914825E-2</v>
          </cell>
          <cell r="BV26">
            <v>-3.5699701195219091E-2</v>
          </cell>
          <cell r="BW26">
            <v>0.10660430776318813</v>
          </cell>
          <cell r="BX26">
            <v>1.7073825187969842E-2</v>
          </cell>
          <cell r="BY26">
            <v>6.6269159456118665E-2</v>
          </cell>
          <cell r="BZ26">
            <v>-5.0948546511627385E-3</v>
          </cell>
          <cell r="CA26">
            <v>3.0828692848769053E-3</v>
          </cell>
          <cell r="CB26">
            <v>7.3966060961313099E-2</v>
          </cell>
          <cell r="CC26">
            <v>6.4126892902755042E-2</v>
          </cell>
          <cell r="CD26">
            <v>4.7023375451263567E-2</v>
          </cell>
          <cell r="CE26">
            <v>-1.1730164609053503E-2</v>
          </cell>
          <cell r="CG26">
            <v>1945</v>
          </cell>
          <cell r="CH26">
            <v>0.53325341135593507</v>
          </cell>
        </row>
        <row r="27">
          <cell r="A27">
            <v>1946</v>
          </cell>
          <cell r="B27">
            <v>2134</v>
          </cell>
          <cell r="C27">
            <v>2159</v>
          </cell>
          <cell r="D27">
            <v>2142</v>
          </cell>
          <cell r="E27">
            <v>2260</v>
          </cell>
          <cell r="F27">
            <v>2275</v>
          </cell>
          <cell r="G27">
            <v>2280</v>
          </cell>
          <cell r="H27">
            <v>2174</v>
          </cell>
          <cell r="I27">
            <v>2132</v>
          </cell>
          <cell r="J27">
            <v>1820</v>
          </cell>
          <cell r="K27">
            <v>1792</v>
          </cell>
          <cell r="L27">
            <v>1832</v>
          </cell>
          <cell r="M27">
            <v>1917</v>
          </cell>
          <cell r="O27">
            <v>1946</v>
          </cell>
          <cell r="P27">
            <v>298</v>
          </cell>
          <cell r="Q27">
            <v>298</v>
          </cell>
          <cell r="R27">
            <v>302</v>
          </cell>
          <cell r="S27">
            <v>290</v>
          </cell>
          <cell r="T27">
            <v>283</v>
          </cell>
          <cell r="U27">
            <v>287</v>
          </cell>
          <cell r="V27">
            <v>301</v>
          </cell>
          <cell r="W27">
            <v>310</v>
          </cell>
          <cell r="X27">
            <v>366</v>
          </cell>
          <cell r="Y27">
            <v>372</v>
          </cell>
          <cell r="Z27">
            <v>368</v>
          </cell>
          <cell r="AA27">
            <v>350</v>
          </cell>
          <cell r="AC27">
            <v>1946</v>
          </cell>
          <cell r="AD27">
            <v>2230</v>
          </cell>
          <cell r="AE27">
            <v>2082</v>
          </cell>
          <cell r="AF27">
            <v>2208</v>
          </cell>
          <cell r="AG27">
            <v>2277</v>
          </cell>
          <cell r="AH27">
            <v>2340</v>
          </cell>
          <cell r="AI27">
            <v>2270</v>
          </cell>
          <cell r="AJ27">
            <v>2175</v>
          </cell>
          <cell r="AK27">
            <v>2012</v>
          </cell>
          <cell r="AL27">
            <v>1795</v>
          </cell>
          <cell r="AM27">
            <v>1829</v>
          </cell>
          <cell r="AN27">
            <v>1834</v>
          </cell>
          <cell r="AO27">
            <v>1958</v>
          </cell>
          <cell r="AQ27">
            <v>1946</v>
          </cell>
          <cell r="AR27">
            <v>2.6550267201068804E-3</v>
          </cell>
          <cell r="AS27">
            <v>2.4042675635276532E-3</v>
          </cell>
          <cell r="AT27">
            <v>2.5891930835734872E-3</v>
          </cell>
          <cell r="AU27">
            <v>2.4735809178743958E-3</v>
          </cell>
          <cell r="AV27">
            <v>2.3562618943053729E-3</v>
          </cell>
          <cell r="AW27">
            <v>2.3303418803418802E-3</v>
          </cell>
          <cell r="AX27">
            <v>2.4022540381791481E-3</v>
          </cell>
          <cell r="AY27">
            <v>2.5322605363984675E-3</v>
          </cell>
          <cell r="AZ27">
            <v>2.7589463220675943E-3</v>
          </cell>
          <cell r="BA27">
            <v>3.0948189415041781E-3</v>
          </cell>
          <cell r="BB27">
            <v>3.0716967377437581E-3</v>
          </cell>
          <cell r="BC27">
            <v>3.0486641221374048E-3</v>
          </cell>
          <cell r="BE27">
            <v>1946</v>
          </cell>
          <cell r="BF27">
            <v>0.1172344689378757</v>
          </cell>
          <cell r="BG27">
            <v>-6.6367713004484297E-2</v>
          </cell>
          <cell r="BH27">
            <v>6.0518731988472574E-2</v>
          </cell>
          <cell r="BI27">
            <v>3.125E-2</v>
          </cell>
          <cell r="BJ27">
            <v>2.7667984189723382E-2</v>
          </cell>
          <cell r="BK27">
            <v>-2.9914529914529919E-2</v>
          </cell>
          <cell r="BL27">
            <v>-4.1850220264317173E-2</v>
          </cell>
          <cell r="BM27">
            <v>-7.494252873563223E-2</v>
          </cell>
          <cell r="BN27">
            <v>-0.10785288270377735</v>
          </cell>
          <cell r="BO27">
            <v>1.8941504178273005E-2</v>
          </cell>
          <cell r="BP27">
            <v>2.7337342810278553E-3</v>
          </cell>
          <cell r="BQ27">
            <v>6.7611777535441675E-2</v>
          </cell>
          <cell r="BS27">
            <v>1946</v>
          </cell>
          <cell r="BT27">
            <v>0.11988949565798258</v>
          </cell>
          <cell r="BU27">
            <v>-6.396344544095664E-2</v>
          </cell>
          <cell r="BV27">
            <v>6.3107925072046059E-2</v>
          </cell>
          <cell r="BW27">
            <v>3.3723580917874398E-2</v>
          </cell>
          <cell r="BX27">
            <v>3.0024246084028754E-2</v>
          </cell>
          <cell r="BY27">
            <v>-2.758418803418804E-2</v>
          </cell>
          <cell r="BZ27">
            <v>-3.9447966226138026E-2</v>
          </cell>
          <cell r="CA27">
            <v>-7.2410268199233768E-2</v>
          </cell>
          <cell r="CB27">
            <v>-0.10509393638170976</v>
          </cell>
          <cell r="CC27">
            <v>2.2036323119777185E-2</v>
          </cell>
          <cell r="CD27">
            <v>5.8054310187716134E-3</v>
          </cell>
          <cell r="CE27">
            <v>7.0660441657579079E-2</v>
          </cell>
          <cell r="CG27">
            <v>1946</v>
          </cell>
          <cell r="CH27">
            <v>1.2594496043282444E-2</v>
          </cell>
        </row>
        <row r="28">
          <cell r="A28">
            <v>1947</v>
          </cell>
          <cell r="B28">
            <v>1921</v>
          </cell>
          <cell r="C28">
            <v>1950</v>
          </cell>
          <cell r="D28">
            <v>1872</v>
          </cell>
          <cell r="E28">
            <v>1800</v>
          </cell>
          <cell r="F28">
            <v>1748</v>
          </cell>
          <cell r="G28">
            <v>1762</v>
          </cell>
          <cell r="H28">
            <v>1838</v>
          </cell>
          <cell r="I28">
            <v>1828</v>
          </cell>
          <cell r="J28">
            <v>1796</v>
          </cell>
          <cell r="K28">
            <v>1798</v>
          </cell>
          <cell r="L28">
            <v>1686</v>
          </cell>
          <cell r="M28">
            <v>1609</v>
          </cell>
          <cell r="O28">
            <v>1947</v>
          </cell>
          <cell r="P28">
            <v>354</v>
          </cell>
          <cell r="Q28">
            <v>353</v>
          </cell>
          <cell r="R28">
            <v>372</v>
          </cell>
          <cell r="S28">
            <v>388</v>
          </cell>
          <cell r="T28">
            <v>414</v>
          </cell>
          <cell r="U28">
            <v>415</v>
          </cell>
          <cell r="V28">
            <v>424</v>
          </cell>
          <cell r="W28">
            <v>460</v>
          </cell>
          <cell r="X28">
            <v>470</v>
          </cell>
          <cell r="Y28">
            <v>477</v>
          </cell>
          <cell r="Z28">
            <v>518</v>
          </cell>
          <cell r="AA28">
            <v>548</v>
          </cell>
          <cell r="AC28">
            <v>1947</v>
          </cell>
          <cell r="AD28">
            <v>1952</v>
          </cell>
          <cell r="AE28">
            <v>1929</v>
          </cell>
          <cell r="AF28">
            <v>1853</v>
          </cell>
          <cell r="AG28">
            <v>1788</v>
          </cell>
          <cell r="AH28">
            <v>1732</v>
          </cell>
          <cell r="AI28">
            <v>1800</v>
          </cell>
          <cell r="AJ28">
            <v>1832</v>
          </cell>
          <cell r="AK28">
            <v>1821</v>
          </cell>
          <cell r="AL28">
            <v>1788</v>
          </cell>
          <cell r="AM28">
            <v>1757</v>
          </cell>
          <cell r="AN28">
            <v>1605</v>
          </cell>
          <cell r="AO28">
            <v>1628</v>
          </cell>
          <cell r="AQ28">
            <v>1947</v>
          </cell>
          <cell r="AR28">
            <v>2.8942543411644536E-3</v>
          </cell>
          <cell r="AS28">
            <v>2.938652663934426E-3</v>
          </cell>
          <cell r="AT28">
            <v>3.0083981337480558E-3</v>
          </cell>
          <cell r="AU28">
            <v>3.140852671343767E-3</v>
          </cell>
          <cell r="AV28">
            <v>3.372818791946309E-3</v>
          </cell>
          <cell r="AW28">
            <v>3.5182351809083913E-3</v>
          </cell>
          <cell r="AX28">
            <v>3.6079259259259259E-3</v>
          </cell>
          <cell r="AY28">
            <v>3.8249636098981071E-3</v>
          </cell>
          <cell r="AZ28">
            <v>3.8628958447739334E-3</v>
          </cell>
          <cell r="BA28">
            <v>3.9972315436241608E-3</v>
          </cell>
          <cell r="BB28">
            <v>4.1422310756972112E-3</v>
          </cell>
          <cell r="BC28">
            <v>4.5780477673935619E-3</v>
          </cell>
          <cell r="BE28">
            <v>1947</v>
          </cell>
          <cell r="BF28">
            <v>-3.0643513789581078E-3</v>
          </cell>
          <cell r="BG28">
            <v>-1.1782786885245922E-2</v>
          </cell>
          <cell r="BH28">
            <v>-3.9398652151373725E-2</v>
          </cell>
          <cell r="BI28">
            <v>-3.5078251484079837E-2</v>
          </cell>
          <cell r="BJ28">
            <v>-3.1319910514541416E-2</v>
          </cell>
          <cell r="BK28">
            <v>3.9260969976905313E-2</v>
          </cell>
          <cell r="BL28">
            <v>1.777777777777767E-2</v>
          </cell>
          <cell r="BM28">
            <v>-6.0043668122270466E-3</v>
          </cell>
          <cell r="BN28">
            <v>-1.8121911037891292E-2</v>
          </cell>
          <cell r="BO28">
            <v>-1.7337807606264022E-2</v>
          </cell>
          <cell r="BP28">
            <v>-8.6511098463289748E-2</v>
          </cell>
          <cell r="BQ28">
            <v>1.4330218068535849E-2</v>
          </cell>
          <cell r="BS28">
            <v>1947</v>
          </cell>
          <cell r="BT28">
            <v>-1.7009703779365419E-4</v>
          </cell>
          <cell r="BU28">
            <v>-8.8441342213114952E-3</v>
          </cell>
          <cell r="BV28">
            <v>-3.6390254017625669E-2</v>
          </cell>
          <cell r="BW28">
            <v>-3.1937398812736072E-2</v>
          </cell>
          <cell r="BX28">
            <v>-2.7947091722595106E-2</v>
          </cell>
          <cell r="BY28">
            <v>4.2779205157813707E-2</v>
          </cell>
          <cell r="BZ28">
            <v>2.1385703703703594E-2</v>
          </cell>
          <cell r="CA28">
            <v>-2.1794032023289395E-3</v>
          </cell>
          <cell r="CB28">
            <v>-1.4259015193117359E-2</v>
          </cell>
          <cell r="CC28">
            <v>-1.3340576062639862E-2</v>
          </cell>
          <cell r="CD28">
            <v>-8.236886738759254E-2</v>
          </cell>
          <cell r="CE28">
            <v>1.890826583592941E-2</v>
          </cell>
          <cell r="CG28">
            <v>1947</v>
          </cell>
          <cell r="CH28">
            <v>-0.13157860282328859</v>
          </cell>
        </row>
        <row r="29">
          <cell r="A29">
            <v>1948</v>
          </cell>
          <cell r="B29">
            <v>1653</v>
          </cell>
          <cell r="C29">
            <v>1582</v>
          </cell>
          <cell r="D29">
            <v>1602</v>
          </cell>
          <cell r="E29">
            <v>1665</v>
          </cell>
          <cell r="F29">
            <v>1742</v>
          </cell>
          <cell r="G29">
            <v>1785</v>
          </cell>
          <cell r="H29">
            <v>1755</v>
          </cell>
          <cell r="I29">
            <v>1704</v>
          </cell>
          <cell r="J29">
            <v>1702</v>
          </cell>
          <cell r="K29">
            <v>1716</v>
          </cell>
          <cell r="L29">
            <v>1629</v>
          </cell>
          <cell r="M29">
            <v>1593</v>
          </cell>
          <cell r="O29">
            <v>1948</v>
          </cell>
          <cell r="P29">
            <v>535</v>
          </cell>
          <cell r="Q29">
            <v>562</v>
          </cell>
          <cell r="R29">
            <v>557</v>
          </cell>
          <cell r="S29">
            <v>536</v>
          </cell>
          <cell r="T29">
            <v>515</v>
          </cell>
          <cell r="U29">
            <v>501</v>
          </cell>
          <cell r="V29">
            <v>583</v>
          </cell>
          <cell r="W29">
            <v>498</v>
          </cell>
          <cell r="X29">
            <v>498</v>
          </cell>
          <cell r="Y29">
            <v>550</v>
          </cell>
          <cell r="Z29">
            <v>579</v>
          </cell>
          <cell r="AA29">
            <v>590</v>
          </cell>
          <cell r="AC29">
            <v>1948</v>
          </cell>
          <cell r="AD29">
            <v>1632</v>
          </cell>
          <cell r="AE29">
            <v>1564</v>
          </cell>
          <cell r="AF29">
            <v>1653</v>
          </cell>
          <cell r="AG29">
            <v>1672</v>
          </cell>
          <cell r="AH29">
            <v>1762</v>
          </cell>
          <cell r="AI29">
            <v>1792</v>
          </cell>
          <cell r="AJ29">
            <v>1704</v>
          </cell>
          <cell r="AK29">
            <v>1703</v>
          </cell>
          <cell r="AL29">
            <v>1684</v>
          </cell>
          <cell r="AM29">
            <v>1744</v>
          </cell>
          <cell r="AN29">
            <v>1577</v>
          </cell>
          <cell r="AO29">
            <v>1604</v>
          </cell>
          <cell r="AQ29">
            <v>1948</v>
          </cell>
          <cell r="AR29">
            <v>4.526796683046683E-3</v>
          </cell>
          <cell r="AS29">
            <v>4.5398488562091504E-3</v>
          </cell>
          <cell r="AT29">
            <v>4.7544437340153447E-3</v>
          </cell>
          <cell r="AU29">
            <v>4.4990925589836663E-3</v>
          </cell>
          <cell r="AV29">
            <v>4.471341706539074E-3</v>
          </cell>
          <cell r="AW29">
            <v>4.2294977298524402E-3</v>
          </cell>
          <cell r="AX29">
            <v>4.758021763392857E-3</v>
          </cell>
          <cell r="AY29">
            <v>4.15E-3</v>
          </cell>
          <cell r="AZ29">
            <v>4.1475631238990021E-3</v>
          </cell>
          <cell r="BA29">
            <v>4.6704275534441807E-3</v>
          </cell>
          <cell r="BB29">
            <v>4.5068377293577978E-3</v>
          </cell>
          <cell r="BC29">
            <v>4.9665504121750165E-3</v>
          </cell>
          <cell r="BE29">
            <v>1948</v>
          </cell>
          <cell r="BF29">
            <v>2.4570024570025328E-3</v>
          </cell>
          <cell r="BG29">
            <v>-4.166666666666663E-2</v>
          </cell>
          <cell r="BH29">
            <v>5.6905370843989722E-2</v>
          </cell>
          <cell r="BI29">
            <v>1.1494252873563315E-2</v>
          </cell>
          <cell r="BJ29">
            <v>5.3827751196172224E-2</v>
          </cell>
          <cell r="BK29">
            <v>1.7026106696935273E-2</v>
          </cell>
          <cell r="BL29">
            <v>-4.9107142857142905E-2</v>
          </cell>
          <cell r="BM29">
            <v>-5.8685446009387743E-4</v>
          </cell>
          <cell r="BN29">
            <v>-1.1156782149148614E-2</v>
          </cell>
          <cell r="BO29">
            <v>3.562945368171011E-2</v>
          </cell>
          <cell r="BP29">
            <v>-9.5756880733944949E-2</v>
          </cell>
          <cell r="BQ29">
            <v>1.7121116043119944E-2</v>
          </cell>
          <cell r="BS29">
            <v>1948</v>
          </cell>
          <cell r="BT29">
            <v>6.9837991400492159E-3</v>
          </cell>
          <cell r="BU29">
            <v>-3.7126817810457478E-2</v>
          </cell>
          <cell r="BV29">
            <v>6.1659814578005068E-2</v>
          </cell>
          <cell r="BW29">
            <v>1.5993345432546983E-2</v>
          </cell>
          <cell r="BX29">
            <v>5.8299092902711298E-2</v>
          </cell>
          <cell r="BY29">
            <v>2.1255604426787714E-2</v>
          </cell>
          <cell r="BZ29">
            <v>-4.4349121093750048E-2</v>
          </cell>
          <cell r="CA29">
            <v>3.5631455399061226E-3</v>
          </cell>
          <cell r="CB29">
            <v>-7.009219025249612E-3</v>
          </cell>
          <cell r="CC29">
            <v>4.0299881235154295E-2</v>
          </cell>
          <cell r="CD29">
            <v>-9.1250043004587153E-2</v>
          </cell>
          <cell r="CE29">
            <v>2.208766645529496E-2</v>
          </cell>
          <cell r="CG29">
            <v>1948</v>
          </cell>
          <cell r="CH29">
            <v>4.0138034844067194E-2</v>
          </cell>
        </row>
        <row r="30">
          <cell r="A30">
            <v>1949</v>
          </cell>
          <cell r="B30">
            <v>1654</v>
          </cell>
          <cell r="C30">
            <v>1671</v>
          </cell>
          <cell r="D30">
            <v>1699</v>
          </cell>
          <cell r="E30">
            <v>1731</v>
          </cell>
          <cell r="F30">
            <v>1752</v>
          </cell>
          <cell r="G30">
            <v>1695</v>
          </cell>
          <cell r="H30">
            <v>1744</v>
          </cell>
          <cell r="I30">
            <v>1823</v>
          </cell>
          <cell r="J30">
            <v>1875</v>
          </cell>
          <cell r="K30">
            <v>1906</v>
          </cell>
          <cell r="L30">
            <v>1925</v>
          </cell>
          <cell r="M30">
            <v>1969</v>
          </cell>
          <cell r="O30">
            <v>1949</v>
          </cell>
          <cell r="P30">
            <v>570</v>
          </cell>
          <cell r="Q30">
            <v>561</v>
          </cell>
          <cell r="R30">
            <v>559</v>
          </cell>
          <cell r="S30">
            <v>547</v>
          </cell>
          <cell r="T30">
            <v>541</v>
          </cell>
          <cell r="U30">
            <v>564</v>
          </cell>
          <cell r="V30">
            <v>572</v>
          </cell>
          <cell r="W30">
            <v>558</v>
          </cell>
          <cell r="X30">
            <v>545</v>
          </cell>
          <cell r="Y30">
            <v>585</v>
          </cell>
          <cell r="Z30">
            <v>580</v>
          </cell>
          <cell r="AA30">
            <v>566</v>
          </cell>
          <cell r="AC30">
            <v>1949</v>
          </cell>
          <cell r="AD30">
            <v>1677</v>
          </cell>
          <cell r="AE30">
            <v>1670</v>
          </cell>
          <cell r="AF30">
            <v>1723</v>
          </cell>
          <cell r="AG30">
            <v>1725</v>
          </cell>
          <cell r="AH30">
            <v>1723</v>
          </cell>
          <cell r="AI30">
            <v>1692</v>
          </cell>
          <cell r="AJ30">
            <v>1780</v>
          </cell>
          <cell r="AK30">
            <v>1833</v>
          </cell>
          <cell r="AL30">
            <v>1893</v>
          </cell>
          <cell r="AM30">
            <v>1905</v>
          </cell>
          <cell r="AN30">
            <v>1926</v>
          </cell>
          <cell r="AO30">
            <v>1993</v>
          </cell>
          <cell r="AQ30">
            <v>1949</v>
          </cell>
          <cell r="AR30">
            <v>4.8980673316708226E-3</v>
          </cell>
          <cell r="AS30">
            <v>4.6582737030411454E-3</v>
          </cell>
          <cell r="AT30">
            <v>4.7392265469061879E-3</v>
          </cell>
          <cell r="AU30">
            <v>4.5794979686593152E-3</v>
          </cell>
          <cell r="AV30">
            <v>4.5788985507246383E-3</v>
          </cell>
          <cell r="AW30">
            <v>4.6236215902495641E-3</v>
          </cell>
          <cell r="AX30">
            <v>4.9131599684791175E-3</v>
          </cell>
          <cell r="AY30">
            <v>4.7623314606741575E-3</v>
          </cell>
          <cell r="AZ30">
            <v>4.6457310420076371E-3</v>
          </cell>
          <cell r="BA30">
            <v>4.9084786053882725E-3</v>
          </cell>
          <cell r="BB30">
            <v>4.8840769903762031E-3</v>
          </cell>
          <cell r="BC30">
            <v>4.8219712703357568E-3</v>
          </cell>
          <cell r="BE30">
            <v>1949</v>
          </cell>
          <cell r="BF30">
            <v>4.5511221945137237E-2</v>
          </cell>
          <cell r="BG30">
            <v>-4.174120453190211E-3</v>
          </cell>
          <cell r="BH30">
            <v>3.1736526946107846E-2</v>
          </cell>
          <cell r="BI30">
            <v>1.1607661056296514E-3</v>
          </cell>
          <cell r="BJ30">
            <v>-1.159420289855051E-3</v>
          </cell>
          <cell r="BK30">
            <v>-1.7991874637260596E-2</v>
          </cell>
          <cell r="BL30">
            <v>5.2009456264775489E-2</v>
          </cell>
          <cell r="BM30">
            <v>2.9775280898876488E-2</v>
          </cell>
          <cell r="BN30">
            <v>3.2733224222585955E-2</v>
          </cell>
          <cell r="BO30">
            <v>6.3391442155309452E-3</v>
          </cell>
          <cell r="BP30">
            <v>1.1023622047244164E-2</v>
          </cell>
          <cell r="BQ30">
            <v>3.4787123572170398E-2</v>
          </cell>
          <cell r="BS30">
            <v>1949</v>
          </cell>
          <cell r="BT30">
            <v>5.0409289276808059E-2</v>
          </cell>
          <cell r="BU30">
            <v>4.841532498509344E-4</v>
          </cell>
          <cell r="BV30">
            <v>3.6475753493014032E-2</v>
          </cell>
          <cell r="BW30">
            <v>5.7402640742889666E-3</v>
          </cell>
          <cell r="BX30">
            <v>3.4194782608695873E-3</v>
          </cell>
          <cell r="BY30">
            <v>-1.3368253047011032E-2</v>
          </cell>
          <cell r="BZ30">
            <v>5.6922616233254605E-2</v>
          </cell>
          <cell r="CA30">
            <v>3.4537612359550648E-2</v>
          </cell>
          <cell r="CB30">
            <v>3.7378955264593589E-2</v>
          </cell>
          <cell r="CC30">
            <v>1.1247622820919217E-2</v>
          </cell>
          <cell r="CD30">
            <v>1.5907699037620366E-2</v>
          </cell>
          <cell r="CE30">
            <v>3.9609094842506153E-2</v>
          </cell>
          <cell r="CG30">
            <v>1949</v>
          </cell>
          <cell r="CH30">
            <v>0.31389333609872505</v>
          </cell>
        </row>
        <row r="31">
          <cell r="A31">
            <v>1950</v>
          </cell>
          <cell r="B31">
            <v>2020</v>
          </cell>
          <cell r="C31">
            <v>2055</v>
          </cell>
          <cell r="D31">
            <v>2092</v>
          </cell>
          <cell r="E31">
            <v>2100</v>
          </cell>
          <cell r="F31">
            <v>2123</v>
          </cell>
          <cell r="G31">
            <v>2094</v>
          </cell>
          <cell r="H31">
            <v>1890</v>
          </cell>
          <cell r="I31">
            <v>1895</v>
          </cell>
          <cell r="J31">
            <v>1918</v>
          </cell>
          <cell r="K31">
            <v>1946</v>
          </cell>
          <cell r="L31">
            <v>1927</v>
          </cell>
          <cell r="M31">
            <v>1887</v>
          </cell>
          <cell r="O31">
            <v>1950</v>
          </cell>
          <cell r="P31">
            <v>554</v>
          </cell>
          <cell r="Q31">
            <v>547</v>
          </cell>
          <cell r="R31">
            <v>538</v>
          </cell>
          <cell r="S31">
            <v>538</v>
          </cell>
          <cell r="T31">
            <v>535</v>
          </cell>
          <cell r="U31">
            <v>548</v>
          </cell>
          <cell r="V31">
            <v>608</v>
          </cell>
          <cell r="W31">
            <v>608</v>
          </cell>
          <cell r="X31">
            <v>611</v>
          </cell>
          <cell r="Y31">
            <v>600</v>
          </cell>
          <cell r="Z31">
            <v>610</v>
          </cell>
          <cell r="AA31">
            <v>640</v>
          </cell>
          <cell r="AC31">
            <v>1950</v>
          </cell>
          <cell r="AD31">
            <v>2054</v>
          </cell>
          <cell r="AE31">
            <v>2065</v>
          </cell>
          <cell r="AF31">
            <v>2073</v>
          </cell>
          <cell r="AG31">
            <v>2102</v>
          </cell>
          <cell r="AH31">
            <v>2133</v>
          </cell>
          <cell r="AI31">
            <v>1959</v>
          </cell>
          <cell r="AJ31">
            <v>1864</v>
          </cell>
          <cell r="AK31">
            <v>1883</v>
          </cell>
          <cell r="AL31">
            <v>1952</v>
          </cell>
          <cell r="AM31">
            <v>1937</v>
          </cell>
          <cell r="AN31">
            <v>1893</v>
          </cell>
          <cell r="AO31">
            <v>1942</v>
          </cell>
          <cell r="AQ31">
            <v>1950</v>
          </cell>
          <cell r="AR31">
            <v>4.6792105703294864E-3</v>
          </cell>
          <cell r="AS31">
            <v>4.5605525803310617E-3</v>
          </cell>
          <cell r="AT31">
            <v>4.541953188054882E-3</v>
          </cell>
          <cell r="AU31">
            <v>4.5417269657501208E-3</v>
          </cell>
          <cell r="AV31">
            <v>4.5028742467491277E-3</v>
          </cell>
          <cell r="AW31">
            <v>4.4831692451945612E-3</v>
          </cell>
          <cell r="AX31">
            <v>4.8882082695252673E-3</v>
          </cell>
          <cell r="AY31">
            <v>5.1509298998569384E-3</v>
          </cell>
          <cell r="AZ31">
            <v>5.1863073110285009E-3</v>
          </cell>
          <cell r="BA31">
            <v>4.9846311475409836E-3</v>
          </cell>
          <cell r="BB31">
            <v>5.0570900017208745E-3</v>
          </cell>
          <cell r="BC31">
            <v>5.3164289487585836E-3</v>
          </cell>
          <cell r="BE31">
            <v>1950</v>
          </cell>
          <cell r="BF31">
            <v>3.0607124937280572E-2</v>
          </cell>
          <cell r="BG31">
            <v>5.3554040895813504E-3</v>
          </cell>
          <cell r="BH31">
            <v>3.8740920096851372E-3</v>
          </cell>
          <cell r="BI31">
            <v>1.3989387361312167E-2</v>
          </cell>
          <cell r="BJ31">
            <v>1.4747859181731604E-2</v>
          </cell>
          <cell r="BK31">
            <v>-8.1575246132208123E-2</v>
          </cell>
          <cell r="BL31">
            <v>-4.8494129657988716E-2</v>
          </cell>
          <cell r="BM31">
            <v>1.0193133047210257E-2</v>
          </cell>
          <cell r="BN31">
            <v>3.6643653744025562E-2</v>
          </cell>
          <cell r="BO31">
            <v>-7.6844262295081567E-3</v>
          </cell>
          <cell r="BP31">
            <v>-2.271553949406302E-2</v>
          </cell>
          <cell r="BQ31">
            <v>2.5884838880084526E-2</v>
          </cell>
          <cell r="BS31">
            <v>1950</v>
          </cell>
          <cell r="BT31">
            <v>3.528633550761006E-2</v>
          </cell>
          <cell r="BU31">
            <v>9.9159566699124121E-3</v>
          </cell>
          <cell r="BV31">
            <v>8.4160451977400193E-3</v>
          </cell>
          <cell r="BW31">
            <v>1.8531114327062288E-2</v>
          </cell>
          <cell r="BX31">
            <v>1.9250733428480733E-2</v>
          </cell>
          <cell r="BY31">
            <v>-7.7092076887013555E-2</v>
          </cell>
          <cell r="BZ31">
            <v>-4.3605921388463448E-2</v>
          </cell>
          <cell r="CA31">
            <v>1.5344062947067194E-2</v>
          </cell>
          <cell r="CB31">
            <v>4.1829961055054064E-2</v>
          </cell>
          <cell r="CC31">
            <v>-2.6997950819671731E-3</v>
          </cell>
          <cell r="CD31">
            <v>-1.7658449492342146E-2</v>
          </cell>
          <cell r="CE31">
            <v>3.120126782884311E-2</v>
          </cell>
          <cell r="CG31">
            <v>1950</v>
          </cell>
          <cell r="CH31">
            <v>3.2471295432337177E-2</v>
          </cell>
        </row>
        <row r="32">
          <cell r="A32">
            <v>1951</v>
          </cell>
          <cell r="B32">
            <v>2001</v>
          </cell>
          <cell r="C32">
            <v>2034</v>
          </cell>
          <cell r="D32">
            <v>2050</v>
          </cell>
          <cell r="E32">
            <v>2016</v>
          </cell>
          <cell r="F32">
            <v>2008</v>
          </cell>
          <cell r="G32">
            <v>2005</v>
          </cell>
          <cell r="H32">
            <v>2039</v>
          </cell>
          <cell r="I32">
            <v>2080</v>
          </cell>
          <cell r="J32">
            <v>2103</v>
          </cell>
          <cell r="K32">
            <v>2110</v>
          </cell>
          <cell r="L32">
            <v>2108</v>
          </cell>
          <cell r="M32">
            <v>2148</v>
          </cell>
          <cell r="O32">
            <v>1951</v>
          </cell>
          <cell r="P32">
            <v>606</v>
          </cell>
          <cell r="Q32">
            <v>596</v>
          </cell>
          <cell r="R32">
            <v>594</v>
          </cell>
          <cell r="S32">
            <v>604</v>
          </cell>
          <cell r="T32">
            <v>606</v>
          </cell>
          <cell r="U32">
            <v>604</v>
          </cell>
          <cell r="V32">
            <v>607</v>
          </cell>
          <cell r="W32">
            <v>593</v>
          </cell>
          <cell r="X32">
            <v>575</v>
          </cell>
          <cell r="Y32">
            <v>572</v>
          </cell>
          <cell r="Z32">
            <v>574</v>
          </cell>
          <cell r="AA32">
            <v>566</v>
          </cell>
          <cell r="AC32">
            <v>1951</v>
          </cell>
          <cell r="AD32">
            <v>2017</v>
          </cell>
          <cell r="AE32">
            <v>2061</v>
          </cell>
          <cell r="AF32">
            <v>2015</v>
          </cell>
          <cell r="AG32">
            <v>2006</v>
          </cell>
          <cell r="AH32">
            <v>2009</v>
          </cell>
          <cell r="AI32">
            <v>1991</v>
          </cell>
          <cell r="AJ32">
            <v>2068</v>
          </cell>
          <cell r="AK32">
            <v>2089</v>
          </cell>
          <cell r="AL32">
            <v>2097</v>
          </cell>
          <cell r="AM32">
            <v>2093</v>
          </cell>
          <cell r="AN32">
            <v>2108</v>
          </cell>
          <cell r="AO32">
            <v>2172</v>
          </cell>
          <cell r="AQ32">
            <v>1951</v>
          </cell>
          <cell r="AR32">
            <v>5.2034243048403707E-3</v>
          </cell>
          <cell r="AS32">
            <v>5.0085275161130391E-3</v>
          </cell>
          <cell r="AT32">
            <v>4.923580786026201E-3</v>
          </cell>
          <cell r="AU32">
            <v>5.0358312655086846E-3</v>
          </cell>
          <cell r="AV32">
            <v>5.0550348953140581E-3</v>
          </cell>
          <cell r="AW32">
            <v>5.0233117637298822E-3</v>
          </cell>
          <cell r="AX32">
            <v>5.1802821027959155E-3</v>
          </cell>
          <cell r="AY32">
            <v>4.970341715022566E-3</v>
          </cell>
          <cell r="AZ32">
            <v>4.8237793202489231E-3</v>
          </cell>
          <cell r="BA32">
            <v>4.7962168176760456E-3</v>
          </cell>
          <cell r="BB32">
            <v>4.8176142697881827E-3</v>
          </cell>
          <cell r="BC32">
            <v>4.8061669829222008E-3</v>
          </cell>
          <cell r="BE32">
            <v>1951</v>
          </cell>
          <cell r="BF32">
            <v>3.8619979402677584E-2</v>
          </cell>
          <cell r="BG32">
            <v>2.1814576103123429E-2</v>
          </cell>
          <cell r="BH32">
            <v>-2.231926249393501E-2</v>
          </cell>
          <cell r="BI32">
            <v>-4.466501240694809E-3</v>
          </cell>
          <cell r="BJ32">
            <v>1.4955134596210673E-3</v>
          </cell>
          <cell r="BK32">
            <v>-8.9596814335490826E-3</v>
          </cell>
          <cell r="BL32">
            <v>3.8674033149171283E-2</v>
          </cell>
          <cell r="BM32">
            <v>1.015473887814311E-2</v>
          </cell>
          <cell r="BN32">
            <v>3.8295835327908367E-3</v>
          </cell>
          <cell r="BO32">
            <v>-1.9074868860277094E-3</v>
          </cell>
          <cell r="BP32">
            <v>7.1667462971811702E-3</v>
          </cell>
          <cell r="BQ32">
            <v>3.0360531309297834E-2</v>
          </cell>
          <cell r="BS32">
            <v>1951</v>
          </cell>
          <cell r="BT32">
            <v>4.3823403707517958E-2</v>
          </cell>
          <cell r="BU32">
            <v>2.6823103619236469E-2</v>
          </cell>
          <cell r="BV32">
            <v>-1.7395681707908811E-2</v>
          </cell>
          <cell r="BW32">
            <v>5.6933002481387562E-4</v>
          </cell>
          <cell r="BX32">
            <v>6.5505483549351253E-3</v>
          </cell>
          <cell r="BY32">
            <v>-3.9363696698192004E-3</v>
          </cell>
          <cell r="BZ32">
            <v>4.3854315251967202E-2</v>
          </cell>
          <cell r="CA32">
            <v>1.5125080593165675E-2</v>
          </cell>
          <cell r="CB32">
            <v>8.6533628530397599E-3</v>
          </cell>
          <cell r="CC32">
            <v>2.8887299316483362E-3</v>
          </cell>
          <cell r="CD32">
            <v>1.1984360566969353E-2</v>
          </cell>
          <cell r="CE32">
            <v>3.5166698292220036E-2</v>
          </cell>
          <cell r="CG32">
            <v>1951</v>
          </cell>
          <cell r="CH32">
            <v>0.18634068046249985</v>
          </cell>
        </row>
        <row r="33">
          <cell r="A33">
            <v>1952</v>
          </cell>
          <cell r="B33">
            <v>2222</v>
          </cell>
          <cell r="C33">
            <v>2239</v>
          </cell>
          <cell r="D33">
            <v>2256</v>
          </cell>
          <cell r="E33">
            <v>2239</v>
          </cell>
          <cell r="F33">
            <v>2238</v>
          </cell>
          <cell r="G33">
            <v>2251</v>
          </cell>
          <cell r="H33">
            <v>2260</v>
          </cell>
          <cell r="I33">
            <v>2306</v>
          </cell>
          <cell r="J33">
            <v>2315</v>
          </cell>
          <cell r="K33">
            <v>2293</v>
          </cell>
          <cell r="L33">
            <v>2379</v>
          </cell>
          <cell r="M33">
            <v>2432</v>
          </cell>
          <cell r="O33">
            <v>1952</v>
          </cell>
          <cell r="P33">
            <v>550</v>
          </cell>
          <cell r="Q33">
            <v>546</v>
          </cell>
          <cell r="R33">
            <v>540</v>
          </cell>
          <cell r="S33">
            <v>546</v>
          </cell>
          <cell r="T33">
            <v>546</v>
          </cell>
          <cell r="U33">
            <v>545</v>
          </cell>
          <cell r="V33">
            <v>544</v>
          </cell>
          <cell r="W33">
            <v>533</v>
          </cell>
          <cell r="X33">
            <v>536</v>
          </cell>
          <cell r="Y33">
            <v>543</v>
          </cell>
          <cell r="Z33">
            <v>523</v>
          </cell>
          <cell r="AA33">
            <v>511</v>
          </cell>
          <cell r="AC33">
            <v>1952</v>
          </cell>
          <cell r="AD33">
            <v>2228</v>
          </cell>
          <cell r="AE33">
            <v>2231</v>
          </cell>
          <cell r="AF33">
            <v>2260</v>
          </cell>
          <cell r="AG33">
            <v>2215</v>
          </cell>
          <cell r="AH33">
            <v>2247</v>
          </cell>
          <cell r="AI33">
            <v>2248</v>
          </cell>
          <cell r="AJ33">
            <v>2284</v>
          </cell>
          <cell r="AK33">
            <v>2320</v>
          </cell>
          <cell r="AL33">
            <v>2313</v>
          </cell>
          <cell r="AM33">
            <v>2326</v>
          </cell>
          <cell r="AN33">
            <v>2414</v>
          </cell>
          <cell r="AO33">
            <v>2455</v>
          </cell>
          <cell r="AQ33">
            <v>1952</v>
          </cell>
          <cell r="AR33">
            <v>4.6888428483732357E-3</v>
          </cell>
          <cell r="AS33">
            <v>4.5724640933572707E-3</v>
          </cell>
          <cell r="AT33">
            <v>4.5504258180188257E-3</v>
          </cell>
          <cell r="AU33">
            <v>4.5077212389380535E-3</v>
          </cell>
          <cell r="AV33">
            <v>4.5972460496614001E-3</v>
          </cell>
          <cell r="AW33">
            <v>4.5497515205459131E-3</v>
          </cell>
          <cell r="AX33">
            <v>4.5575326215895606E-3</v>
          </cell>
          <cell r="AY33">
            <v>4.4844497956800927E-3</v>
          </cell>
          <cell r="AZ33">
            <v>4.4570402298850578E-3</v>
          </cell>
          <cell r="BA33">
            <v>4.4858733246865541E-3</v>
          </cell>
          <cell r="BB33">
            <v>4.457641874462597E-3</v>
          </cell>
          <cell r="BC33">
            <v>4.2900856117094729E-3</v>
          </cell>
          <cell r="BE33">
            <v>1952</v>
          </cell>
          <cell r="BF33">
            <v>2.5782688766114115E-2</v>
          </cell>
          <cell r="BG33">
            <v>1.3464991023339756E-3</v>
          </cell>
          <cell r="BH33">
            <v>1.2998655311519558E-2</v>
          </cell>
          <cell r="BI33">
            <v>-1.9911504424778736E-2</v>
          </cell>
          <cell r="BJ33">
            <v>1.4446952595936757E-2</v>
          </cell>
          <cell r="BK33">
            <v>4.4503782821547766E-4</v>
          </cell>
          <cell r="BL33">
            <v>1.6014234875444844E-2</v>
          </cell>
          <cell r="BM33">
            <v>1.5761821366024442E-2</v>
          </cell>
          <cell r="BN33">
            <v>-3.0172413793103647E-3</v>
          </cell>
          <cell r="BO33">
            <v>5.6204063986164954E-3</v>
          </cell>
          <cell r="BP33">
            <v>3.7833190025795327E-2</v>
          </cell>
          <cell r="BQ33">
            <v>1.6984258492129145E-2</v>
          </cell>
          <cell r="BS33">
            <v>1952</v>
          </cell>
          <cell r="BT33">
            <v>3.047153161448735E-2</v>
          </cell>
          <cell r="BU33">
            <v>5.9189631956912464E-3</v>
          </cell>
          <cell r="BV33">
            <v>1.7549081129538385E-2</v>
          </cell>
          <cell r="BW33">
            <v>-1.5403783185840684E-2</v>
          </cell>
          <cell r="BX33">
            <v>1.9044198645598157E-2</v>
          </cell>
          <cell r="BY33">
            <v>4.9947893487613908E-3</v>
          </cell>
          <cell r="BZ33">
            <v>2.0571767497034404E-2</v>
          </cell>
          <cell r="CA33">
            <v>2.0246271161704535E-2</v>
          </cell>
          <cell r="CB33">
            <v>1.4397988505746931E-3</v>
          </cell>
          <cell r="CC33">
            <v>1.0106279723303049E-2</v>
          </cell>
          <cell r="CD33">
            <v>4.2290831900257925E-2</v>
          </cell>
          <cell r="CE33">
            <v>2.1274344103838619E-2</v>
          </cell>
          <cell r="CG33">
            <v>1952</v>
          </cell>
          <cell r="CH33">
            <v>0.19245274503415022</v>
          </cell>
        </row>
        <row r="34">
          <cell r="A34">
            <v>1953</v>
          </cell>
          <cell r="B34">
            <v>2441</v>
          </cell>
          <cell r="C34">
            <v>2450</v>
          </cell>
          <cell r="D34">
            <v>2468</v>
          </cell>
          <cell r="E34">
            <v>2386</v>
          </cell>
          <cell r="F34">
            <v>2369</v>
          </cell>
          <cell r="G34">
            <v>2265</v>
          </cell>
          <cell r="H34">
            <v>2324</v>
          </cell>
          <cell r="I34">
            <v>2389</v>
          </cell>
          <cell r="J34">
            <v>2339</v>
          </cell>
          <cell r="K34">
            <v>2422</v>
          </cell>
          <cell r="L34">
            <v>2470</v>
          </cell>
          <cell r="M34">
            <v>2517</v>
          </cell>
          <cell r="O34">
            <v>1953</v>
          </cell>
          <cell r="P34">
            <v>511</v>
          </cell>
          <cell r="Q34">
            <v>514</v>
          </cell>
          <cell r="R34">
            <v>512</v>
          </cell>
          <cell r="S34">
            <v>528</v>
          </cell>
          <cell r="T34">
            <v>538</v>
          </cell>
          <cell r="U34">
            <v>566</v>
          </cell>
          <cell r="V34">
            <v>554</v>
          </cell>
          <cell r="W34">
            <v>543</v>
          </cell>
          <cell r="X34">
            <v>560</v>
          </cell>
          <cell r="Y34">
            <v>545</v>
          </cell>
          <cell r="Z34">
            <v>536</v>
          </cell>
          <cell r="AA34">
            <v>525</v>
          </cell>
          <cell r="AC34">
            <v>1953</v>
          </cell>
          <cell r="AD34">
            <v>2470</v>
          </cell>
          <cell r="AE34">
            <v>2443</v>
          </cell>
          <cell r="AF34">
            <v>2422</v>
          </cell>
          <cell r="AG34">
            <v>2365</v>
          </cell>
          <cell r="AH34">
            <v>2360</v>
          </cell>
          <cell r="AI34">
            <v>2285</v>
          </cell>
          <cell r="AJ34">
            <v>2353</v>
          </cell>
          <cell r="AK34">
            <v>2346</v>
          </cell>
          <cell r="AL34">
            <v>2363</v>
          </cell>
          <cell r="AM34">
            <v>2449</v>
          </cell>
          <cell r="AN34">
            <v>2505</v>
          </cell>
          <cell r="AO34">
            <v>2510</v>
          </cell>
          <cell r="AQ34">
            <v>1953</v>
          </cell>
          <cell r="AR34">
            <v>4.2340495587236933E-3</v>
          </cell>
          <cell r="AS34">
            <v>4.2486504723346832E-3</v>
          </cell>
          <cell r="AT34">
            <v>4.31032883067267E-3</v>
          </cell>
          <cell r="AU34">
            <v>4.3345995045417016E-3</v>
          </cell>
          <cell r="AV34">
            <v>4.490916138125441E-3</v>
          </cell>
          <cell r="AW34">
            <v>4.5268008474576267E-3</v>
          </cell>
          <cell r="AX34">
            <v>4.6954631655725752E-3</v>
          </cell>
          <cell r="AY34">
            <v>4.5942307692307697E-3</v>
          </cell>
          <cell r="AZ34">
            <v>4.6527422563228185E-3</v>
          </cell>
          <cell r="BA34">
            <v>4.6550641839469605E-3</v>
          </cell>
          <cell r="BB34">
            <v>4.5049680141554379E-3</v>
          </cell>
          <cell r="BC34">
            <v>4.3959580838323353E-3</v>
          </cell>
          <cell r="BE34">
            <v>1953</v>
          </cell>
          <cell r="BF34">
            <v>6.109979633401208E-3</v>
          </cell>
          <cell r="BG34">
            <v>-1.0931174089068851E-2</v>
          </cell>
          <cell r="BH34">
            <v>-8.5959885386819312E-3</v>
          </cell>
          <cell r="BI34">
            <v>-2.3534269199009028E-2</v>
          </cell>
          <cell r="BJ34">
            <v>-2.1141649048626032E-3</v>
          </cell>
          <cell r="BK34">
            <v>-3.1779661016949179E-2</v>
          </cell>
          <cell r="BL34">
            <v>2.9759299781181525E-2</v>
          </cell>
          <cell r="BM34">
            <v>-2.9749256268593038E-3</v>
          </cell>
          <cell r="BN34">
            <v>7.2463768115942351E-3</v>
          </cell>
          <cell r="BO34">
            <v>3.6394413880660226E-2</v>
          </cell>
          <cell r="BP34">
            <v>2.2866476112699097E-2</v>
          </cell>
          <cell r="BQ34">
            <v>1.9960079840319889E-3</v>
          </cell>
          <cell r="BS34">
            <v>1953</v>
          </cell>
          <cell r="BT34">
            <v>1.03440291921249E-2</v>
          </cell>
          <cell r="BU34">
            <v>-6.6825236167341682E-3</v>
          </cell>
          <cell r="BV34">
            <v>-4.2856597080092613E-3</v>
          </cell>
          <cell r="BW34">
            <v>-1.9199669694467326E-2</v>
          </cell>
          <cell r="BX34">
            <v>2.3767512332628377E-3</v>
          </cell>
          <cell r="BY34">
            <v>-2.7252860169491553E-2</v>
          </cell>
          <cell r="BZ34">
            <v>3.4454762946754099E-2</v>
          </cell>
          <cell r="CA34">
            <v>1.6193051423714659E-3</v>
          </cell>
          <cell r="CB34">
            <v>1.1899119067917054E-2</v>
          </cell>
          <cell r="CC34">
            <v>4.1049478064607188E-2</v>
          </cell>
          <cell r="CD34">
            <v>2.7371444126854536E-2</v>
          </cell>
          <cell r="CE34">
            <v>6.3919660678643242E-3</v>
          </cell>
          <cell r="CG34">
            <v>1953</v>
          </cell>
          <cell r="CH34">
            <v>7.8502358067720879E-2</v>
          </cell>
        </row>
        <row r="35">
          <cell r="A35">
            <v>1954</v>
          </cell>
          <cell r="B35">
            <v>2551</v>
          </cell>
          <cell r="C35">
            <v>2590</v>
          </cell>
          <cell r="D35">
            <v>2639</v>
          </cell>
          <cell r="E35">
            <v>2675</v>
          </cell>
          <cell r="F35">
            <v>2706</v>
          </cell>
          <cell r="G35">
            <v>2728</v>
          </cell>
          <cell r="H35">
            <v>2821</v>
          </cell>
          <cell r="I35">
            <v>2882</v>
          </cell>
          <cell r="J35">
            <v>2874</v>
          </cell>
          <cell r="K35">
            <v>2819</v>
          </cell>
          <cell r="L35">
            <v>2862</v>
          </cell>
          <cell r="M35">
            <v>2941</v>
          </cell>
          <cell r="O35">
            <v>1954</v>
          </cell>
          <cell r="P35">
            <v>520</v>
          </cell>
          <cell r="Q35">
            <v>513</v>
          </cell>
          <cell r="R35">
            <v>503</v>
          </cell>
          <cell r="S35">
            <v>498</v>
          </cell>
          <cell r="T35">
            <v>492</v>
          </cell>
          <cell r="U35">
            <v>492</v>
          </cell>
          <cell r="V35">
            <v>476</v>
          </cell>
          <cell r="W35">
            <v>466</v>
          </cell>
          <cell r="X35">
            <v>474</v>
          </cell>
          <cell r="Y35">
            <v>485</v>
          </cell>
          <cell r="Z35">
            <v>482</v>
          </cell>
          <cell r="AA35">
            <v>469</v>
          </cell>
          <cell r="AC35">
            <v>1954</v>
          </cell>
          <cell r="AD35">
            <v>2581</v>
          </cell>
          <cell r="AE35">
            <v>2600</v>
          </cell>
          <cell r="AF35">
            <v>2659</v>
          </cell>
          <cell r="AG35">
            <v>2680</v>
          </cell>
          <cell r="AH35">
            <v>2738</v>
          </cell>
          <cell r="AI35">
            <v>2753</v>
          </cell>
          <cell r="AJ35">
            <v>2878</v>
          </cell>
          <cell r="AK35">
            <v>2829</v>
          </cell>
          <cell r="AL35">
            <v>2868</v>
          </cell>
          <cell r="AM35">
            <v>2751</v>
          </cell>
          <cell r="AN35">
            <v>2895</v>
          </cell>
          <cell r="AO35">
            <v>2982</v>
          </cell>
          <cell r="AQ35">
            <v>1954</v>
          </cell>
          <cell r="AR35">
            <v>4.4041168658698537E-3</v>
          </cell>
          <cell r="AS35">
            <v>4.289907012785742E-3</v>
          </cell>
          <cell r="AT35">
            <v>4.2545416666666669E-3</v>
          </cell>
          <cell r="AU35">
            <v>4.1749717939074844E-3</v>
          </cell>
          <cell r="AV35">
            <v>4.1397761194029844E-3</v>
          </cell>
          <cell r="AW35">
            <v>4.0850255661066467E-3</v>
          </cell>
          <cell r="AX35">
            <v>4.0646446301004962E-3</v>
          </cell>
          <cell r="AY35">
            <v>3.8887305999536713E-3</v>
          </cell>
          <cell r="AZ35">
            <v>4.0128313891834569E-3</v>
          </cell>
          <cell r="BA35">
            <v>3.9726144816364479E-3</v>
          </cell>
          <cell r="BB35">
            <v>4.1787350054525623E-3</v>
          </cell>
          <cell r="BC35">
            <v>3.9704346574553828E-3</v>
          </cell>
          <cell r="BE35">
            <v>1954</v>
          </cell>
          <cell r="BF35">
            <v>2.8286852589641365E-2</v>
          </cell>
          <cell r="BG35">
            <v>7.3614877954282232E-3</v>
          </cell>
          <cell r="BH35">
            <v>2.2692307692307789E-2</v>
          </cell>
          <cell r="BI35">
            <v>7.8977059044753606E-3</v>
          </cell>
          <cell r="BJ35">
            <v>2.1641791044776149E-2</v>
          </cell>
          <cell r="BK35">
            <v>5.4784514243972904E-3</v>
          </cell>
          <cell r="BL35">
            <v>4.5405012713403581E-2</v>
          </cell>
          <cell r="BM35">
            <v>-1.702571230020844E-2</v>
          </cell>
          <cell r="BN35">
            <v>1.3785790031813461E-2</v>
          </cell>
          <cell r="BO35">
            <v>-4.0794979079497917E-2</v>
          </cell>
          <cell r="BP35">
            <v>5.2344601962922566E-2</v>
          </cell>
          <cell r="BQ35">
            <v>3.0051813471502653E-2</v>
          </cell>
          <cell r="BS35">
            <v>1954</v>
          </cell>
          <cell r="BT35">
            <v>3.2690969455511219E-2</v>
          </cell>
          <cell r="BU35">
            <v>1.1651394808213965E-2</v>
          </cell>
          <cell r="BV35">
            <v>2.6946849358974456E-2</v>
          </cell>
          <cell r="BW35">
            <v>1.2072677698382845E-2</v>
          </cell>
          <cell r="BX35">
            <v>2.5781567164179134E-2</v>
          </cell>
          <cell r="BY35">
            <v>9.5634769905039371E-3</v>
          </cell>
          <cell r="BZ35">
            <v>4.946965734350408E-2</v>
          </cell>
          <cell r="CA35">
            <v>-1.3136981700254768E-2</v>
          </cell>
          <cell r="CB35">
            <v>1.7798621420996918E-2</v>
          </cell>
          <cell r="CC35">
            <v>-3.6822364597861472E-2</v>
          </cell>
          <cell r="CD35">
            <v>5.652333696837513E-2</v>
          </cell>
          <cell r="CE35">
            <v>3.4022248128958037E-2</v>
          </cell>
          <cell r="CG35">
            <v>1954</v>
          </cell>
          <cell r="CH35">
            <v>0.24724979066905051</v>
          </cell>
        </row>
        <row r="36">
          <cell r="A36">
            <v>1955</v>
          </cell>
          <cell r="B36">
            <v>2989</v>
          </cell>
          <cell r="C36">
            <v>3071</v>
          </cell>
          <cell r="D36">
            <v>3072</v>
          </cell>
          <cell r="E36">
            <v>3108</v>
          </cell>
          <cell r="F36">
            <v>3087</v>
          </cell>
          <cell r="G36">
            <v>3126</v>
          </cell>
          <cell r="H36">
            <v>3198</v>
          </cell>
          <cell r="I36">
            <v>3255</v>
          </cell>
          <cell r="J36">
            <v>3254</v>
          </cell>
          <cell r="K36">
            <v>3107</v>
          </cell>
          <cell r="L36">
            <v>3183</v>
          </cell>
          <cell r="M36">
            <v>3191</v>
          </cell>
          <cell r="O36">
            <v>1955</v>
          </cell>
          <cell r="P36">
            <v>461</v>
          </cell>
          <cell r="Q36">
            <v>458</v>
          </cell>
          <cell r="R36">
            <v>457</v>
          </cell>
          <cell r="S36">
            <v>456</v>
          </cell>
          <cell r="T36">
            <v>461</v>
          </cell>
          <cell r="U36">
            <v>458</v>
          </cell>
          <cell r="V36">
            <v>452</v>
          </cell>
          <cell r="W36">
            <v>445</v>
          </cell>
          <cell r="X36">
            <v>445</v>
          </cell>
          <cell r="Y36">
            <v>467</v>
          </cell>
          <cell r="Z36">
            <v>462</v>
          </cell>
          <cell r="AA36">
            <v>466</v>
          </cell>
          <cell r="AC36">
            <v>1955</v>
          </cell>
          <cell r="AD36">
            <v>3013</v>
          </cell>
          <cell r="AE36">
            <v>3105</v>
          </cell>
          <cell r="AF36">
            <v>3059</v>
          </cell>
          <cell r="AG36">
            <v>3109</v>
          </cell>
          <cell r="AH36">
            <v>3079</v>
          </cell>
          <cell r="AI36">
            <v>3132</v>
          </cell>
          <cell r="AJ36">
            <v>3266</v>
          </cell>
          <cell r="AK36">
            <v>3271</v>
          </cell>
          <cell r="AL36">
            <v>3164</v>
          </cell>
          <cell r="AM36">
            <v>3125</v>
          </cell>
          <cell r="AN36">
            <v>3204</v>
          </cell>
          <cell r="AO36">
            <v>3170</v>
          </cell>
          <cell r="AQ36">
            <v>1955</v>
          </cell>
          <cell r="AR36">
            <v>3.8506846635367764E-3</v>
          </cell>
          <cell r="AS36">
            <v>3.8901371833167382E-3</v>
          </cell>
          <cell r="AT36">
            <v>3.7678582930756846E-3</v>
          </cell>
          <cell r="AU36">
            <v>3.8608695652173914E-3</v>
          </cell>
          <cell r="AV36">
            <v>3.8144821486008362E-3</v>
          </cell>
          <cell r="AW36">
            <v>3.87492692432608E-3</v>
          </cell>
          <cell r="AX36">
            <v>3.8460408684546613E-3</v>
          </cell>
          <cell r="AY36">
            <v>3.6958435394978564E-3</v>
          </cell>
          <cell r="AZ36">
            <v>3.6890604300417813E-3</v>
          </cell>
          <cell r="BA36">
            <v>3.8215576274757686E-3</v>
          </cell>
          <cell r="BB36">
            <v>3.9214560000000002E-3</v>
          </cell>
          <cell r="BC36">
            <v>3.8675769870994592E-3</v>
          </cell>
          <cell r="BE36">
            <v>1955</v>
          </cell>
          <cell r="BF36">
            <v>1.0395707578806146E-2</v>
          </cell>
          <cell r="BG36">
            <v>3.0534351145038219E-2</v>
          </cell>
          <cell r="BH36">
            <v>-1.4814814814814836E-2</v>
          </cell>
          <cell r="BI36">
            <v>1.6345210853220049E-2</v>
          </cell>
          <cell r="BJ36">
            <v>-9.6494049533611959E-3</v>
          </cell>
          <cell r="BK36">
            <v>1.7213380967846748E-2</v>
          </cell>
          <cell r="BL36">
            <v>4.2784163473818637E-2</v>
          </cell>
          <cell r="BM36">
            <v>1.5309246785057962E-3</v>
          </cell>
          <cell r="BN36">
            <v>-3.2711708957505303E-2</v>
          </cell>
          <cell r="BO36">
            <v>-1.2326169405815435E-2</v>
          </cell>
          <cell r="BP36">
            <v>2.5279999999999969E-2</v>
          </cell>
          <cell r="BQ36">
            <v>-1.061173533083648E-2</v>
          </cell>
          <cell r="BS36">
            <v>1955</v>
          </cell>
          <cell r="BT36">
            <v>1.4246392242342922E-2</v>
          </cell>
          <cell r="BU36">
            <v>3.4424488328354957E-2</v>
          </cell>
          <cell r="BV36">
            <v>-1.1046956521739152E-2</v>
          </cell>
          <cell r="BW36">
            <v>2.0206080418437439E-2</v>
          </cell>
          <cell r="BX36">
            <v>-5.8349228047603601E-3</v>
          </cell>
          <cell r="BY36">
            <v>2.1088307892172829E-2</v>
          </cell>
          <cell r="BZ36">
            <v>4.6630204342273301E-2</v>
          </cell>
          <cell r="CA36">
            <v>5.226768218003653E-3</v>
          </cell>
          <cell r="CB36">
            <v>-2.9022648527463522E-2</v>
          </cell>
          <cell r="CC36">
            <v>-8.5046117783396658E-3</v>
          </cell>
          <cell r="CD36">
            <v>2.9201455999999969E-2</v>
          </cell>
          <cell r="CE36">
            <v>-6.7441583437370216E-3</v>
          </cell>
          <cell r="CG36">
            <v>1955</v>
          </cell>
          <cell r="CH36">
            <v>0.11261850079382962</v>
          </cell>
        </row>
        <row r="37">
          <cell r="A37">
            <v>1956</v>
          </cell>
          <cell r="B37">
            <v>3155</v>
          </cell>
          <cell r="C37">
            <v>3207</v>
          </cell>
          <cell r="D37">
            <v>3321</v>
          </cell>
          <cell r="E37">
            <v>3250</v>
          </cell>
          <cell r="F37">
            <v>3181</v>
          </cell>
          <cell r="G37">
            <v>3193</v>
          </cell>
          <cell r="H37">
            <v>3301</v>
          </cell>
          <cell r="I37">
            <v>3339</v>
          </cell>
          <cell r="J37">
            <v>3229</v>
          </cell>
          <cell r="K37">
            <v>3167</v>
          </cell>
          <cell r="L37">
            <v>3182</v>
          </cell>
          <cell r="M37">
            <v>3170</v>
          </cell>
          <cell r="O37">
            <v>1956</v>
          </cell>
          <cell r="P37">
            <v>472</v>
          </cell>
          <cell r="Q37">
            <v>468</v>
          </cell>
          <cell r="R37">
            <v>454</v>
          </cell>
          <cell r="S37">
            <v>468</v>
          </cell>
          <cell r="T37">
            <v>478</v>
          </cell>
          <cell r="U37">
            <v>477</v>
          </cell>
          <cell r="V37">
            <v>464</v>
          </cell>
          <cell r="W37">
            <v>459</v>
          </cell>
          <cell r="X37">
            <v>478</v>
          </cell>
          <cell r="Y37">
            <v>491</v>
          </cell>
          <cell r="Z37">
            <v>491</v>
          </cell>
          <cell r="AA37">
            <v>495</v>
          </cell>
          <cell r="AC37">
            <v>1956</v>
          </cell>
          <cell r="AD37">
            <v>3167</v>
          </cell>
          <cell r="AE37">
            <v>3211</v>
          </cell>
          <cell r="AF37">
            <v>3325</v>
          </cell>
          <cell r="AG37">
            <v>3217</v>
          </cell>
          <cell r="AH37">
            <v>3160</v>
          </cell>
          <cell r="AI37">
            <v>3214</v>
          </cell>
          <cell r="AJ37">
            <v>3370</v>
          </cell>
          <cell r="AK37">
            <v>3270</v>
          </cell>
          <cell r="AL37">
            <v>3153</v>
          </cell>
          <cell r="AM37">
            <v>3160</v>
          </cell>
          <cell r="AN37">
            <v>3156</v>
          </cell>
          <cell r="AO37">
            <v>3176</v>
          </cell>
          <cell r="AQ37">
            <v>1956</v>
          </cell>
          <cell r="AR37">
            <v>3.9147213459516305E-3</v>
          </cell>
          <cell r="AS37">
            <v>3.9492579728449637E-3</v>
          </cell>
          <cell r="AT37">
            <v>3.9129398941139832E-3</v>
          </cell>
          <cell r="AU37">
            <v>3.8120300751879697E-3</v>
          </cell>
          <cell r="AV37">
            <v>3.9387576416951607E-3</v>
          </cell>
          <cell r="AW37">
            <v>4.016511075949367E-3</v>
          </cell>
          <cell r="AX37">
            <v>3.971333748185024E-3</v>
          </cell>
          <cell r="AY37">
            <v>3.7898145400593469E-3</v>
          </cell>
          <cell r="AZ37">
            <v>3.9333893985728846E-3</v>
          </cell>
          <cell r="BA37">
            <v>4.1098345491066713E-3</v>
          </cell>
          <cell r="BB37">
            <v>4.1201529535864981E-3</v>
          </cell>
          <cell r="BC37">
            <v>4.143298479087453E-3</v>
          </cell>
          <cell r="BE37">
            <v>1956</v>
          </cell>
          <cell r="BF37">
            <v>-9.4637223974758378E-4</v>
          </cell>
          <cell r="BG37">
            <v>1.3893274392169142E-2</v>
          </cell>
          <cell r="BH37">
            <v>3.5502958579881616E-2</v>
          </cell>
          <cell r="BI37">
            <v>-3.2481203007518777E-2</v>
          </cell>
          <cell r="BJ37">
            <v>-1.7718371153248369E-2</v>
          </cell>
          <cell r="BK37">
            <v>1.70886075949368E-2</v>
          </cell>
          <cell r="BL37">
            <v>4.853764779091474E-2</v>
          </cell>
          <cell r="BM37">
            <v>-2.9673590504451064E-2</v>
          </cell>
          <cell r="BN37">
            <v>-3.5779816513761498E-2</v>
          </cell>
          <cell r="BO37">
            <v>2.220107833809104E-3</v>
          </cell>
          <cell r="BP37">
            <v>-1.2658227848101333E-3</v>
          </cell>
          <cell r="BQ37">
            <v>6.3371356147021718E-3</v>
          </cell>
          <cell r="BS37">
            <v>1956</v>
          </cell>
          <cell r="BT37">
            <v>2.9683491062040468E-3</v>
          </cell>
          <cell r="BU37">
            <v>1.7842532365014104E-2</v>
          </cell>
          <cell r="BV37">
            <v>3.9415898473995598E-2</v>
          </cell>
          <cell r="BW37">
            <v>-2.8669172932330809E-2</v>
          </cell>
          <cell r="BX37">
            <v>-1.3779613511553209E-2</v>
          </cell>
          <cell r="BY37">
            <v>2.1105118670886165E-2</v>
          </cell>
          <cell r="BZ37">
            <v>5.2508981539099761E-2</v>
          </cell>
          <cell r="CA37">
            <v>-2.5883775964391717E-2</v>
          </cell>
          <cell r="CB37">
            <v>-3.1846427115188612E-2</v>
          </cell>
          <cell r="CC37">
            <v>6.3299423829157753E-3</v>
          </cell>
          <cell r="CD37">
            <v>2.8543301687763648E-3</v>
          </cell>
          <cell r="CE37">
            <v>1.0480434093789626E-2</v>
          </cell>
          <cell r="CG37">
            <v>1956</v>
          </cell>
          <cell r="CH37">
            <v>5.0644464295759084E-2</v>
          </cell>
        </row>
        <row r="38">
          <cell r="A38">
            <v>1957</v>
          </cell>
          <cell r="B38">
            <v>3232</v>
          </cell>
          <cell r="C38">
            <v>3229</v>
          </cell>
          <cell r="D38">
            <v>3245</v>
          </cell>
          <cell r="E38">
            <v>3303</v>
          </cell>
          <cell r="F38">
            <v>3403</v>
          </cell>
          <cell r="G38">
            <v>3335</v>
          </cell>
          <cell r="H38">
            <v>3293</v>
          </cell>
          <cell r="I38">
            <v>3189</v>
          </cell>
          <cell r="J38">
            <v>3109</v>
          </cell>
          <cell r="K38">
            <v>3039</v>
          </cell>
          <cell r="L38">
            <v>3068</v>
          </cell>
          <cell r="M38">
            <v>3179</v>
          </cell>
          <cell r="O38">
            <v>1957</v>
          </cell>
          <cell r="P38">
            <v>487</v>
          </cell>
          <cell r="Q38">
            <v>491</v>
          </cell>
          <cell r="R38">
            <v>489</v>
          </cell>
          <cell r="S38">
            <v>488</v>
          </cell>
          <cell r="T38">
            <v>477</v>
          </cell>
          <cell r="U38">
            <v>485</v>
          </cell>
          <cell r="V38">
            <v>490</v>
          </cell>
          <cell r="W38">
            <v>505</v>
          </cell>
          <cell r="X38">
            <v>518</v>
          </cell>
          <cell r="Y38">
            <v>529</v>
          </cell>
          <cell r="Z38">
            <v>527</v>
          </cell>
          <cell r="AA38">
            <v>509</v>
          </cell>
          <cell r="AC38">
            <v>1957</v>
          </cell>
          <cell r="AD38">
            <v>3266</v>
          </cell>
          <cell r="AE38">
            <v>3233</v>
          </cell>
          <cell r="AF38">
            <v>3245</v>
          </cell>
          <cell r="AG38">
            <v>3362</v>
          </cell>
          <cell r="AH38">
            <v>3409</v>
          </cell>
          <cell r="AI38">
            <v>3253</v>
          </cell>
          <cell r="AJ38">
            <v>3251</v>
          </cell>
          <cell r="AK38">
            <v>3142</v>
          </cell>
          <cell r="AL38">
            <v>3085</v>
          </cell>
          <cell r="AM38">
            <v>3049</v>
          </cell>
          <cell r="AN38">
            <v>3166</v>
          </cell>
          <cell r="AO38">
            <v>3214</v>
          </cell>
          <cell r="AQ38">
            <v>1957</v>
          </cell>
          <cell r="AR38">
            <v>4.129890848026869E-3</v>
          </cell>
          <cell r="AS38">
            <v>4.0453128189426408E-3</v>
          </cell>
          <cell r="AT38">
            <v>4.0901252706464584E-3</v>
          </cell>
          <cell r="AU38">
            <v>4.1393528505392916E-3</v>
          </cell>
          <cell r="AV38">
            <v>4.0234756097560975E-3</v>
          </cell>
          <cell r="AW38">
            <v>3.9539332159968712E-3</v>
          </cell>
          <cell r="AX38">
            <v>4.1335433958397377E-3</v>
          </cell>
          <cell r="AY38">
            <v>4.1280759766225781E-3</v>
          </cell>
          <cell r="AZ38">
            <v>4.2713293019308292E-3</v>
          </cell>
          <cell r="BA38">
            <v>4.3426012965964347E-3</v>
          </cell>
          <cell r="BB38">
            <v>4.4190335629168036E-3</v>
          </cell>
          <cell r="BC38">
            <v>4.2590834912613184E-3</v>
          </cell>
          <cell r="BE38">
            <v>1957</v>
          </cell>
          <cell r="BF38">
            <v>2.8337531486146039E-2</v>
          </cell>
          <cell r="BG38">
            <v>-1.0104102878138344E-2</v>
          </cell>
          <cell r="BH38">
            <v>3.7117228580265671E-3</v>
          </cell>
          <cell r="BI38">
            <v>3.6055469953774955E-2</v>
          </cell>
          <cell r="BJ38">
            <v>1.3979773944081009E-2</v>
          </cell>
          <cell r="BK38">
            <v>-4.5761220299207928E-2</v>
          </cell>
          <cell r="BL38">
            <v>-6.148170919151319E-4</v>
          </cell>
          <cell r="BM38">
            <v>-3.3528145186096592E-2</v>
          </cell>
          <cell r="BN38">
            <v>-1.8141311266709148E-2</v>
          </cell>
          <cell r="BO38">
            <v>-1.1669367909238226E-2</v>
          </cell>
          <cell r="BP38">
            <v>3.8373237126926751E-2</v>
          </cell>
          <cell r="BQ38">
            <v>1.516108654453574E-2</v>
          </cell>
          <cell r="BS38">
            <v>1957</v>
          </cell>
          <cell r="BT38">
            <v>3.2467422334172907E-2</v>
          </cell>
          <cell r="BU38">
            <v>-6.0587900591957027E-3</v>
          </cell>
          <cell r="BV38">
            <v>7.8018481286730255E-3</v>
          </cell>
          <cell r="BW38">
            <v>4.0194822804314245E-2</v>
          </cell>
          <cell r="BX38">
            <v>1.8003249553837107E-2</v>
          </cell>
          <cell r="BY38">
            <v>-4.1807287083211055E-2</v>
          </cell>
          <cell r="BZ38">
            <v>3.5187263039246058E-3</v>
          </cell>
          <cell r="CA38">
            <v>-2.9400069209474015E-2</v>
          </cell>
          <cell r="CB38">
            <v>-1.386998196477832E-2</v>
          </cell>
          <cell r="CC38">
            <v>-7.3267666126417916E-3</v>
          </cell>
          <cell r="CD38">
            <v>4.2792270689843558E-2</v>
          </cell>
          <cell r="CE38">
            <v>1.942017003579706E-2</v>
          </cell>
          <cell r="CG38">
            <v>1957</v>
          </cell>
          <cell r="CH38">
            <v>6.3619214379225353E-2</v>
          </cell>
        </row>
        <row r="39">
          <cell r="A39">
            <v>1958</v>
          </cell>
          <cell r="B39">
            <v>3330</v>
          </cell>
          <cell r="C39">
            <v>3412</v>
          </cell>
          <cell r="D39">
            <v>3457</v>
          </cell>
          <cell r="E39">
            <v>3554</v>
          </cell>
          <cell r="F39">
            <v>3657</v>
          </cell>
          <cell r="G39">
            <v>3731</v>
          </cell>
          <cell r="H39">
            <v>3782</v>
          </cell>
          <cell r="I39">
            <v>3750</v>
          </cell>
          <cell r="J39">
            <v>3797</v>
          </cell>
          <cell r="K39">
            <v>3915</v>
          </cell>
          <cell r="L39">
            <v>4075</v>
          </cell>
          <cell r="M39">
            <v>4205</v>
          </cell>
          <cell r="O39">
            <v>1958</v>
          </cell>
          <cell r="P39">
            <v>487</v>
          </cell>
          <cell r="Q39">
            <v>480</v>
          </cell>
          <cell r="R39">
            <v>475</v>
          </cell>
          <cell r="S39">
            <v>462</v>
          </cell>
          <cell r="T39">
            <v>452</v>
          </cell>
          <cell r="U39">
            <v>444</v>
          </cell>
          <cell r="V39">
            <v>436</v>
          </cell>
          <cell r="W39">
            <v>440</v>
          </cell>
          <cell r="X39">
            <v>435</v>
          </cell>
          <cell r="Y39">
            <v>423</v>
          </cell>
          <cell r="Z39">
            <v>406</v>
          </cell>
          <cell r="AA39">
            <v>390</v>
          </cell>
          <cell r="AC39">
            <v>1958</v>
          </cell>
          <cell r="AD39">
            <v>3394</v>
          </cell>
          <cell r="AE39">
            <v>3427</v>
          </cell>
          <cell r="AF39">
            <v>3482</v>
          </cell>
          <cell r="AG39">
            <v>3648</v>
          </cell>
          <cell r="AH39">
            <v>3694</v>
          </cell>
          <cell r="AI39">
            <v>3744</v>
          </cell>
          <cell r="AJ39">
            <v>3771</v>
          </cell>
          <cell r="AK39">
            <v>3732</v>
          </cell>
          <cell r="AL39">
            <v>3842</v>
          </cell>
          <cell r="AM39">
            <v>3984</v>
          </cell>
          <cell r="AN39">
            <v>4075</v>
          </cell>
          <cell r="AO39">
            <v>4328</v>
          </cell>
          <cell r="AQ39">
            <v>1958</v>
          </cell>
          <cell r="AR39">
            <v>4.2048070939639083E-3</v>
          </cell>
          <cell r="AS39">
            <v>4.0212139068945196E-3</v>
          </cell>
          <cell r="AT39">
            <v>3.9929846318451515E-3</v>
          </cell>
          <cell r="AU39">
            <v>3.9296094198736356E-3</v>
          </cell>
          <cell r="AV39">
            <v>3.7759594298245615E-3</v>
          </cell>
          <cell r="AW39">
            <v>3.7370600974553328E-3</v>
          </cell>
          <cell r="AX39">
            <v>3.6702101139601141E-3</v>
          </cell>
          <cell r="AY39">
            <v>3.6462476796605679E-3</v>
          </cell>
          <cell r="AZ39">
            <v>3.6881363879957127E-3</v>
          </cell>
          <cell r="BA39">
            <v>3.5919768349817801E-3</v>
          </cell>
          <cell r="BB39">
            <v>3.4606132864792504E-3</v>
          </cell>
          <cell r="BC39">
            <v>3.3536809815950916E-3</v>
          </cell>
          <cell r="BE39">
            <v>1958</v>
          </cell>
          <cell r="BF39">
            <v>5.6004978220286272E-2</v>
          </cell>
          <cell r="BG39">
            <v>9.7230406599881913E-3</v>
          </cell>
          <cell r="BH39">
            <v>1.604902246863138E-2</v>
          </cell>
          <cell r="BI39">
            <v>4.7673750717978081E-2</v>
          </cell>
          <cell r="BJ39">
            <v>1.2609649122806932E-2</v>
          </cell>
          <cell r="BK39">
            <v>1.3535462912831697E-2</v>
          </cell>
          <cell r="BL39">
            <v>7.2115384615385469E-3</v>
          </cell>
          <cell r="BM39">
            <v>-1.0342084327764511E-2</v>
          </cell>
          <cell r="BN39">
            <v>2.9474812433011754E-2</v>
          </cell>
          <cell r="BO39">
            <v>3.6959916710046947E-2</v>
          </cell>
          <cell r="BP39">
            <v>2.2841365461847341E-2</v>
          </cell>
          <cell r="BQ39">
            <v>6.2085889570552055E-2</v>
          </cell>
          <cell r="BS39">
            <v>1958</v>
          </cell>
          <cell r="BT39">
            <v>6.0209785314250183E-2</v>
          </cell>
          <cell r="BU39">
            <v>1.3744254566882712E-2</v>
          </cell>
          <cell r="BV39">
            <v>2.004200710047653E-2</v>
          </cell>
          <cell r="BW39">
            <v>5.1603360137851717E-2</v>
          </cell>
          <cell r="BX39">
            <v>1.6385608552631492E-2</v>
          </cell>
          <cell r="BY39">
            <v>1.727252301028703E-2</v>
          </cell>
          <cell r="BZ39">
            <v>1.0881748575498661E-2</v>
          </cell>
          <cell r="CA39">
            <v>-6.6958366481039439E-3</v>
          </cell>
          <cell r="CB39">
            <v>3.3162948821007468E-2</v>
          </cell>
          <cell r="CC39">
            <v>4.0551893545028729E-2</v>
          </cell>
          <cell r="CD39">
            <v>2.6301978748326592E-2</v>
          </cell>
          <cell r="CE39">
            <v>6.543957055214715E-2</v>
          </cell>
          <cell r="CG39">
            <v>1958</v>
          </cell>
          <cell r="CH39">
            <v>0.40703604950133609</v>
          </cell>
        </row>
        <row r="40">
          <cell r="A40">
            <v>1959</v>
          </cell>
          <cell r="B40">
            <v>4396</v>
          </cell>
          <cell r="C40">
            <v>4371</v>
          </cell>
          <cell r="D40">
            <v>4506</v>
          </cell>
          <cell r="E40">
            <v>4512</v>
          </cell>
          <cell r="F40">
            <v>4430</v>
          </cell>
          <cell r="G40">
            <v>4258</v>
          </cell>
          <cell r="H40">
            <v>4421</v>
          </cell>
          <cell r="I40">
            <v>4515</v>
          </cell>
          <cell r="J40">
            <v>4359</v>
          </cell>
          <cell r="K40">
            <v>4411</v>
          </cell>
          <cell r="L40">
            <v>4371</v>
          </cell>
          <cell r="M40">
            <v>4431</v>
          </cell>
          <cell r="O40">
            <v>1959</v>
          </cell>
          <cell r="P40">
            <v>377</v>
          </cell>
          <cell r="Q40">
            <v>385</v>
          </cell>
          <cell r="R40">
            <v>377</v>
          </cell>
          <cell r="S40">
            <v>385</v>
          </cell>
          <cell r="T40">
            <v>392</v>
          </cell>
          <cell r="U40">
            <v>409</v>
          </cell>
          <cell r="V40">
            <v>394</v>
          </cell>
          <cell r="W40">
            <v>386</v>
          </cell>
          <cell r="X40">
            <v>399</v>
          </cell>
          <cell r="Y40">
            <v>396</v>
          </cell>
          <cell r="Z40">
            <v>399</v>
          </cell>
          <cell r="AA40">
            <v>400</v>
          </cell>
          <cell r="AC40">
            <v>1959</v>
          </cell>
          <cell r="AD40">
            <v>4372</v>
          </cell>
          <cell r="AE40">
            <v>4448</v>
          </cell>
          <cell r="AF40">
            <v>4479</v>
          </cell>
          <cell r="AG40">
            <v>4452</v>
          </cell>
          <cell r="AH40">
            <v>4384</v>
          </cell>
          <cell r="AI40">
            <v>4331</v>
          </cell>
          <cell r="AJ40">
            <v>4477</v>
          </cell>
          <cell r="AK40">
            <v>4541</v>
          </cell>
          <cell r="AL40">
            <v>4348</v>
          </cell>
          <cell r="AM40">
            <v>4402</v>
          </cell>
          <cell r="AN40">
            <v>4388</v>
          </cell>
          <cell r="AO40">
            <v>4474</v>
          </cell>
          <cell r="AQ40">
            <v>1959</v>
          </cell>
          <cell r="AR40">
            <v>3.1910274183610597E-3</v>
          </cell>
          <cell r="AS40">
            <v>3.2075994967978041E-3</v>
          </cell>
          <cell r="AT40">
            <v>3.1826326438848919E-3</v>
          </cell>
          <cell r="AU40">
            <v>3.2319714221924535E-3</v>
          </cell>
          <cell r="AV40">
            <v>3.2505241090146752E-3</v>
          </cell>
          <cell r="AW40">
            <v>3.3103748479318741E-3</v>
          </cell>
          <cell r="AX40">
            <v>3.3515623797429383E-3</v>
          </cell>
          <cell r="AY40">
            <v>3.2439691757873575E-3</v>
          </cell>
          <cell r="AZ40">
            <v>3.1917364016736402E-3</v>
          </cell>
          <cell r="BA40">
            <v>3.3478150873965042E-3</v>
          </cell>
          <cell r="BB40">
            <v>3.3015845070422534E-3</v>
          </cell>
          <cell r="BC40">
            <v>3.3659981768459431E-3</v>
          </cell>
          <cell r="BE40">
            <v>1959</v>
          </cell>
          <cell r="BF40">
            <v>1.0166358595194103E-2</v>
          </cell>
          <cell r="BG40">
            <v>1.7383348581884617E-2</v>
          </cell>
          <cell r="BH40">
            <v>6.9694244604316946E-3</v>
          </cell>
          <cell r="BI40">
            <v>-6.0281312793034614E-3</v>
          </cell>
          <cell r="BJ40">
            <v>-1.5274034141958714E-2</v>
          </cell>
          <cell r="BK40">
            <v>-1.2089416058394198E-2</v>
          </cell>
          <cell r="BL40">
            <v>3.3710459478180521E-2</v>
          </cell>
          <cell r="BM40">
            <v>1.4295287022559666E-2</v>
          </cell>
          <cell r="BN40">
            <v>-4.2501651618586211E-2</v>
          </cell>
          <cell r="BO40">
            <v>1.2419503219871286E-2</v>
          </cell>
          <cell r="BP40">
            <v>-3.180372557928246E-3</v>
          </cell>
          <cell r="BQ40">
            <v>1.9598906107566094E-2</v>
          </cell>
          <cell r="BS40">
            <v>1959</v>
          </cell>
          <cell r="BT40">
            <v>1.3357386013555163E-2</v>
          </cell>
          <cell r="BU40">
            <v>2.0590948078682419E-2</v>
          </cell>
          <cell r="BV40">
            <v>1.0152057104316586E-2</v>
          </cell>
          <cell r="BW40">
            <v>-2.7961598571110079E-3</v>
          </cell>
          <cell r="BX40">
            <v>-1.2023510032944039E-2</v>
          </cell>
          <cell r="BY40">
            <v>-8.7790412104623242E-3</v>
          </cell>
          <cell r="BZ40">
            <v>3.7062021857923462E-2</v>
          </cell>
          <cell r="CA40">
            <v>1.7539256198347022E-2</v>
          </cell>
          <cell r="CB40">
            <v>-3.9309915216912572E-2</v>
          </cell>
          <cell r="CC40">
            <v>1.576731830726779E-2</v>
          </cell>
          <cell r="CD40">
            <v>1.2121194911400741E-4</v>
          </cell>
          <cell r="CE40">
            <v>2.2964904284412037E-2</v>
          </cell>
          <cell r="CG40">
            <v>1959</v>
          </cell>
          <cell r="CH40">
            <v>7.4852697950339442E-2</v>
          </cell>
        </row>
        <row r="41">
          <cell r="A41">
            <v>1960</v>
          </cell>
          <cell r="B41">
            <v>4450</v>
          </cell>
          <cell r="C41">
            <v>4438</v>
          </cell>
          <cell r="D41">
            <v>4460</v>
          </cell>
          <cell r="E41">
            <v>4553</v>
          </cell>
          <cell r="F41">
            <v>4575</v>
          </cell>
          <cell r="G41">
            <v>4735</v>
          </cell>
          <cell r="H41">
            <v>4802</v>
          </cell>
          <cell r="I41">
            <v>4865</v>
          </cell>
          <cell r="J41">
            <v>4864</v>
          </cell>
          <cell r="K41">
            <v>4734</v>
          </cell>
          <cell r="L41">
            <v>4783</v>
          </cell>
          <cell r="M41">
            <v>4978</v>
          </cell>
          <cell r="O41">
            <v>1960</v>
          </cell>
          <cell r="P41">
            <v>403</v>
          </cell>
          <cell r="Q41">
            <v>405</v>
          </cell>
          <cell r="R41">
            <v>404</v>
          </cell>
          <cell r="S41">
            <v>396</v>
          </cell>
          <cell r="T41">
            <v>395</v>
          </cell>
          <cell r="U41">
            <v>383</v>
          </cell>
          <cell r="V41">
            <v>378</v>
          </cell>
          <cell r="W41">
            <v>375</v>
          </cell>
          <cell r="X41">
            <v>382</v>
          </cell>
          <cell r="Y41">
            <v>391</v>
          </cell>
          <cell r="Z41">
            <v>387</v>
          </cell>
          <cell r="AA41">
            <v>372</v>
          </cell>
          <cell r="AC41">
            <v>1960</v>
          </cell>
          <cell r="AD41">
            <v>4411</v>
          </cell>
          <cell r="AE41">
            <v>4476</v>
          </cell>
          <cell r="AF41">
            <v>4524</v>
          </cell>
          <cell r="AG41">
            <v>4543</v>
          </cell>
          <cell r="AH41">
            <v>4634</v>
          </cell>
          <cell r="AI41">
            <v>4808</v>
          </cell>
          <cell r="AJ41">
            <v>4745</v>
          </cell>
          <cell r="AK41">
            <v>4968</v>
          </cell>
          <cell r="AL41">
            <v>4697</v>
          </cell>
          <cell r="AM41">
            <v>4676</v>
          </cell>
          <cell r="AN41">
            <v>4841</v>
          </cell>
          <cell r="AO41">
            <v>5176</v>
          </cell>
          <cell r="AQ41">
            <v>1960</v>
          </cell>
          <cell r="AR41">
            <v>3.340318134406199E-3</v>
          </cell>
          <cell r="AS41">
            <v>3.3956585808206752E-3</v>
          </cell>
          <cell r="AT41">
            <v>3.3546321120047663E-3</v>
          </cell>
          <cell r="AU41">
            <v>3.3211538461538461E-3</v>
          </cell>
          <cell r="AV41">
            <v>3.3148525203609948E-3</v>
          </cell>
          <cell r="AW41">
            <v>3.2612303985038124E-3</v>
          </cell>
          <cell r="AX41">
            <v>3.1460690515806989E-3</v>
          </cell>
          <cell r="AY41">
            <v>3.2040305584826135E-3</v>
          </cell>
          <cell r="AZ41">
            <v>3.1166935050993025E-3</v>
          </cell>
          <cell r="BA41">
            <v>3.2840004258037048E-3</v>
          </cell>
          <cell r="BB41">
            <v>3.2987970487596235E-3</v>
          </cell>
          <cell r="BC41">
            <v>3.1877298078909315E-3</v>
          </cell>
          <cell r="BE41">
            <v>1960</v>
          </cell>
          <cell r="BF41">
            <v>-1.4081358962896751E-2</v>
          </cell>
          <cell r="BG41">
            <v>1.4735887553842586E-2</v>
          </cell>
          <cell r="BH41">
            <v>1.072386058981234E-2</v>
          </cell>
          <cell r="BI41">
            <v>4.1998231653403995E-3</v>
          </cell>
          <cell r="BJ41">
            <v>2.003081664098616E-2</v>
          </cell>
          <cell r="BK41">
            <v>3.7548554164868353E-2</v>
          </cell>
          <cell r="BL41">
            <v>-1.3103161397670537E-2</v>
          </cell>
          <cell r="BM41">
            <v>4.6996838777660699E-2</v>
          </cell>
          <cell r="BN41">
            <v>-5.4549114331723048E-2</v>
          </cell>
          <cell r="BO41">
            <v>-4.4709388971684305E-3</v>
          </cell>
          <cell r="BP41">
            <v>3.5286569717707383E-2</v>
          </cell>
          <cell r="BQ41">
            <v>6.9200578392893952E-2</v>
          </cell>
          <cell r="BS41">
            <v>1960</v>
          </cell>
          <cell r="BT41">
            <v>-1.0741040828490551E-2</v>
          </cell>
          <cell r="BU41">
            <v>1.8131546134663262E-2</v>
          </cell>
          <cell r="BV41">
            <v>1.4078492701817106E-2</v>
          </cell>
          <cell r="BW41">
            <v>7.5209770114942455E-3</v>
          </cell>
          <cell r="BX41">
            <v>2.3345669161347154E-2</v>
          </cell>
          <cell r="BY41">
            <v>4.0809784563372163E-2</v>
          </cell>
          <cell r="BZ41">
            <v>-9.9570923460898381E-3</v>
          </cell>
          <cell r="CA41">
            <v>5.020086933614331E-2</v>
          </cell>
          <cell r="CB41">
            <v>-5.1432420826623748E-2</v>
          </cell>
          <cell r="CC41">
            <v>-1.1869384713647257E-3</v>
          </cell>
          <cell r="CD41">
            <v>3.8585366766467004E-2</v>
          </cell>
          <cell r="CE41">
            <v>7.2388308200784887E-2</v>
          </cell>
          <cell r="CG41">
            <v>1960</v>
          </cell>
          <cell r="CH41">
            <v>0.20255909579249631</v>
          </cell>
        </row>
        <row r="42">
          <cell r="A42">
            <v>1961</v>
          </cell>
          <cell r="B42">
            <v>5273</v>
          </cell>
          <cell r="C42">
            <v>5564</v>
          </cell>
          <cell r="D42">
            <v>5706</v>
          </cell>
          <cell r="E42">
            <v>5909</v>
          </cell>
          <cell r="F42">
            <v>5959</v>
          </cell>
          <cell r="G42">
            <v>5843</v>
          </cell>
          <cell r="H42">
            <v>5942</v>
          </cell>
          <cell r="I42">
            <v>6119</v>
          </cell>
          <cell r="J42">
            <v>6219</v>
          </cell>
          <cell r="K42">
            <v>6415</v>
          </cell>
          <cell r="L42">
            <v>6719</v>
          </cell>
          <cell r="M42">
            <v>6577</v>
          </cell>
          <cell r="O42">
            <v>1961</v>
          </cell>
          <cell r="P42">
            <v>358</v>
          </cell>
          <cell r="Q42">
            <v>344</v>
          </cell>
          <cell r="R42">
            <v>337</v>
          </cell>
          <cell r="S42">
            <v>326</v>
          </cell>
          <cell r="T42">
            <v>323</v>
          </cell>
          <cell r="U42">
            <v>331</v>
          </cell>
          <cell r="V42">
            <v>326</v>
          </cell>
          <cell r="W42">
            <v>317</v>
          </cell>
          <cell r="X42">
            <v>314</v>
          </cell>
          <cell r="Y42">
            <v>307</v>
          </cell>
          <cell r="Z42">
            <v>295</v>
          </cell>
          <cell r="AA42">
            <v>305</v>
          </cell>
          <cell r="AC42">
            <v>1961</v>
          </cell>
          <cell r="AD42">
            <v>5481</v>
          </cell>
          <cell r="AE42">
            <v>5661</v>
          </cell>
          <cell r="AF42">
            <v>5826</v>
          </cell>
          <cell r="AG42">
            <v>5873</v>
          </cell>
          <cell r="AH42">
            <v>5935</v>
          </cell>
          <cell r="AI42">
            <v>5784</v>
          </cell>
          <cell r="AJ42">
            <v>6013</v>
          </cell>
          <cell r="AK42">
            <v>6270</v>
          </cell>
          <cell r="AL42">
            <v>6212</v>
          </cell>
          <cell r="AM42">
            <v>6494</v>
          </cell>
          <cell r="AN42">
            <v>6695</v>
          </cell>
          <cell r="AO42">
            <v>6483</v>
          </cell>
          <cell r="AQ42">
            <v>1961</v>
          </cell>
          <cell r="AR42">
            <v>3.0392420144255534E-3</v>
          </cell>
          <cell r="AS42">
            <v>2.9100772365140185E-3</v>
          </cell>
          <cell r="AT42">
            <v>2.8306571277159514E-3</v>
          </cell>
          <cell r="AU42">
            <v>2.7553696075065799E-3</v>
          </cell>
          <cell r="AV42">
            <v>2.7310815029229808E-3</v>
          </cell>
          <cell r="AW42">
            <v>2.7155756809884865E-3</v>
          </cell>
          <cell r="AX42">
            <v>2.7908771323190409E-3</v>
          </cell>
          <cell r="AY42">
            <v>2.6882352125949332E-3</v>
          </cell>
          <cell r="AZ42">
            <v>2.5953827751196172E-3</v>
          </cell>
          <cell r="BA42">
            <v>2.641936306074265E-3</v>
          </cell>
          <cell r="BB42">
            <v>2.5435081100503025E-3</v>
          </cell>
          <cell r="BC42">
            <v>2.4968695543938261E-3</v>
          </cell>
          <cell r="BE42">
            <v>1961</v>
          </cell>
          <cell r="BF42">
            <v>5.8925811437403386E-2</v>
          </cell>
          <cell r="BG42">
            <v>3.284072249589487E-2</v>
          </cell>
          <cell r="BH42">
            <v>2.9146793852676156E-2</v>
          </cell>
          <cell r="BI42">
            <v>8.0672845863372089E-3</v>
          </cell>
          <cell r="BJ42">
            <v>1.0556785288608816E-2</v>
          </cell>
          <cell r="BK42">
            <v>-2.5442291491154179E-2</v>
          </cell>
          <cell r="BL42">
            <v>3.959197786998625E-2</v>
          </cell>
          <cell r="BM42">
            <v>4.2740728421752916E-2</v>
          </cell>
          <cell r="BN42">
            <v>-9.2503987240829533E-3</v>
          </cell>
          <cell r="BO42">
            <v>4.5396007726979937E-2</v>
          </cell>
          <cell r="BP42">
            <v>3.095164767477665E-2</v>
          </cell>
          <cell r="BQ42">
            <v>-3.1665421956684092E-2</v>
          </cell>
          <cell r="BS42">
            <v>1961</v>
          </cell>
          <cell r="BT42">
            <v>6.1965053451828941E-2</v>
          </cell>
          <cell r="BU42">
            <v>3.575079973240889E-2</v>
          </cell>
          <cell r="BV42">
            <v>3.1977450980392105E-2</v>
          </cell>
          <cell r="BW42">
            <v>1.0822654193843789E-2</v>
          </cell>
          <cell r="BX42">
            <v>1.3287866791531797E-2</v>
          </cell>
          <cell r="BY42">
            <v>-2.2726715810165693E-2</v>
          </cell>
          <cell r="BZ42">
            <v>4.2382855002305292E-2</v>
          </cell>
          <cell r="CA42">
            <v>4.5428963634347848E-2</v>
          </cell>
          <cell r="CB42">
            <v>-6.6550159489633361E-3</v>
          </cell>
          <cell r="CC42">
            <v>4.8037944033054204E-2</v>
          </cell>
          <cell r="CD42">
            <v>3.3495155784826952E-2</v>
          </cell>
          <cell r="CE42">
            <v>-2.9168552402290267E-2</v>
          </cell>
          <cell r="CG42">
            <v>1961</v>
          </cell>
          <cell r="CH42">
            <v>0.29333408888403745</v>
          </cell>
        </row>
        <row r="43">
          <cell r="A43">
            <v>1962</v>
          </cell>
          <cell r="B43">
            <v>6269</v>
          </cell>
          <cell r="C43">
            <v>6370</v>
          </cell>
          <cell r="D43">
            <v>6451</v>
          </cell>
          <cell r="E43">
            <v>6386</v>
          </cell>
          <cell r="F43">
            <v>5884</v>
          </cell>
          <cell r="G43">
            <v>5332</v>
          </cell>
          <cell r="H43">
            <v>5551</v>
          </cell>
          <cell r="I43">
            <v>5696</v>
          </cell>
          <cell r="J43">
            <v>5696</v>
          </cell>
          <cell r="K43">
            <v>5563</v>
          </cell>
          <cell r="L43">
            <v>5769</v>
          </cell>
          <cell r="M43">
            <v>6024</v>
          </cell>
          <cell r="O43">
            <v>1962</v>
          </cell>
          <cell r="P43">
            <v>320</v>
          </cell>
          <cell r="Q43">
            <v>316</v>
          </cell>
          <cell r="R43">
            <v>313</v>
          </cell>
          <cell r="S43">
            <v>316</v>
          </cell>
          <cell r="T43">
            <v>346</v>
          </cell>
          <cell r="U43">
            <v>384</v>
          </cell>
          <cell r="V43">
            <v>371</v>
          </cell>
          <cell r="W43">
            <v>361</v>
          </cell>
          <cell r="X43">
            <v>362</v>
          </cell>
          <cell r="Y43">
            <v>370</v>
          </cell>
          <cell r="Z43">
            <v>354</v>
          </cell>
          <cell r="AA43">
            <v>343</v>
          </cell>
          <cell r="AC43">
            <v>1962</v>
          </cell>
          <cell r="AD43">
            <v>6229</v>
          </cell>
          <cell r="AE43">
            <v>6399</v>
          </cell>
          <cell r="AF43">
            <v>6434</v>
          </cell>
          <cell r="AG43">
            <v>6190</v>
          </cell>
          <cell r="AH43">
            <v>5609</v>
          </cell>
          <cell r="AI43">
            <v>5285</v>
          </cell>
          <cell r="AJ43">
            <v>5632</v>
          </cell>
          <cell r="AK43">
            <v>5768</v>
          </cell>
          <cell r="AL43">
            <v>5558</v>
          </cell>
          <cell r="AM43">
            <v>5533</v>
          </cell>
          <cell r="AN43">
            <v>5941</v>
          </cell>
          <cell r="AO43">
            <v>6109</v>
          </cell>
          <cell r="AQ43">
            <v>1962</v>
          </cell>
          <cell r="AR43">
            <v>2.5786415754023343E-3</v>
          </cell>
          <cell r="AS43">
            <v>2.6929416171670149E-3</v>
          </cell>
          <cell r="AT43">
            <v>2.6295293535448247E-3</v>
          </cell>
          <cell r="AU43">
            <v>2.6136877007563982E-3</v>
          </cell>
          <cell r="AV43">
            <v>2.740796984383414E-3</v>
          </cell>
          <cell r="AW43">
            <v>3.0419682652879304E-3</v>
          </cell>
          <cell r="AX43">
            <v>3.2472737306843266E-3</v>
          </cell>
          <cell r="AY43">
            <v>3.0425189393939391E-3</v>
          </cell>
          <cell r="AZ43">
            <v>2.9790106333795656E-3</v>
          </cell>
          <cell r="BA43">
            <v>3.086107112870337E-3</v>
          </cell>
          <cell r="BB43">
            <v>3.0758268570395806E-3</v>
          </cell>
          <cell r="BC43">
            <v>2.8982662851371826E-3</v>
          </cell>
          <cell r="BE43">
            <v>1962</v>
          </cell>
          <cell r="BF43">
            <v>-3.917939225667133E-2</v>
          </cell>
          <cell r="BG43">
            <v>2.7291700112377582E-2</v>
          </cell>
          <cell r="BH43">
            <v>5.4696046257227682E-3</v>
          </cell>
          <cell r="BI43">
            <v>-3.7923531240286024E-2</v>
          </cell>
          <cell r="BJ43">
            <v>-9.3861066235864321E-2</v>
          </cell>
          <cell r="BK43">
            <v>-5.776430736316629E-2</v>
          </cell>
          <cell r="BL43">
            <v>6.5657521286660359E-2</v>
          </cell>
          <cell r="BM43">
            <v>2.4147727272727293E-2</v>
          </cell>
          <cell r="BN43">
            <v>-3.6407766990291246E-2</v>
          </cell>
          <cell r="BO43">
            <v>-4.4980208708168545E-3</v>
          </cell>
          <cell r="BP43">
            <v>7.3739381890475242E-2</v>
          </cell>
          <cell r="BQ43">
            <v>2.8278067665376216E-2</v>
          </cell>
          <cell r="BS43">
            <v>1962</v>
          </cell>
          <cell r="BT43">
            <v>-3.6600750681268994E-2</v>
          </cell>
          <cell r="BU43">
            <v>2.9984641729544598E-2</v>
          </cell>
          <cell r="BV43">
            <v>8.099133979267592E-3</v>
          </cell>
          <cell r="BW43">
            <v>-3.5309843539529623E-2</v>
          </cell>
          <cell r="BX43">
            <v>-9.1120269251480909E-2</v>
          </cell>
          <cell r="BY43">
            <v>-5.472233909787836E-2</v>
          </cell>
          <cell r="BZ43">
            <v>6.8904795017344686E-2</v>
          </cell>
          <cell r="CA43">
            <v>2.7190246212121232E-2</v>
          </cell>
          <cell r="CB43">
            <v>-3.3428756356911678E-2</v>
          </cell>
          <cell r="CC43">
            <v>-1.4119137579465175E-3</v>
          </cell>
          <cell r="CD43">
            <v>7.6815208747514824E-2</v>
          </cell>
          <cell r="CE43">
            <v>3.1176333950513398E-2</v>
          </cell>
          <cell r="CG43">
            <v>1962</v>
          </cell>
          <cell r="CH43">
            <v>-2.4385525819510034E-2</v>
          </cell>
        </row>
        <row r="44">
          <cell r="A44">
            <v>1963</v>
          </cell>
          <cell r="B44">
            <v>6335</v>
          </cell>
          <cell r="C44">
            <v>6407</v>
          </cell>
          <cell r="D44">
            <v>6335</v>
          </cell>
          <cell r="E44">
            <v>6464</v>
          </cell>
          <cell r="F44">
            <v>6552</v>
          </cell>
          <cell r="G44">
            <v>6487</v>
          </cell>
          <cell r="H44">
            <v>6447</v>
          </cell>
          <cell r="I44">
            <v>6657</v>
          </cell>
          <cell r="J44">
            <v>6709</v>
          </cell>
          <cell r="K44">
            <v>6555</v>
          </cell>
          <cell r="L44">
            <v>6481</v>
          </cell>
          <cell r="M44">
            <v>6564</v>
          </cell>
          <cell r="O44">
            <v>1963</v>
          </cell>
          <cell r="P44">
            <v>330</v>
          </cell>
          <cell r="Q44">
            <v>326</v>
          </cell>
          <cell r="R44">
            <v>330</v>
          </cell>
          <cell r="S44">
            <v>324</v>
          </cell>
          <cell r="T44">
            <v>322</v>
          </cell>
          <cell r="U44">
            <v>328</v>
          </cell>
          <cell r="V44">
            <v>331</v>
          </cell>
          <cell r="W44">
            <v>323</v>
          </cell>
          <cell r="X44">
            <v>324</v>
          </cell>
          <cell r="Y44">
            <v>334</v>
          </cell>
          <cell r="Z44">
            <v>341</v>
          </cell>
          <cell r="AA44">
            <v>337</v>
          </cell>
          <cell r="AC44">
            <v>1963</v>
          </cell>
          <cell r="AD44">
            <v>6432</v>
          </cell>
          <cell r="AE44">
            <v>6282</v>
          </cell>
          <cell r="AF44">
            <v>6381</v>
          </cell>
          <cell r="AG44">
            <v>6512</v>
          </cell>
          <cell r="AH44">
            <v>6540</v>
          </cell>
          <cell r="AI44">
            <v>6442</v>
          </cell>
          <cell r="AJ44">
            <v>6503</v>
          </cell>
          <cell r="AK44">
            <v>6761</v>
          </cell>
          <cell r="AL44">
            <v>6568</v>
          </cell>
          <cell r="AM44">
            <v>6528</v>
          </cell>
          <cell r="AN44">
            <v>6456</v>
          </cell>
          <cell r="AO44">
            <v>6642</v>
          </cell>
          <cell r="AQ44">
            <v>1963</v>
          </cell>
          <cell r="AR44">
            <v>2.8517351448682274E-3</v>
          </cell>
          <cell r="AS44">
            <v>2.706107483416252E-3</v>
          </cell>
          <cell r="AT44">
            <v>2.7732012098057941E-3</v>
          </cell>
          <cell r="AU44">
            <v>2.735119887165021E-3</v>
          </cell>
          <cell r="AV44">
            <v>2.6998157248157247E-3</v>
          </cell>
          <cell r="AW44">
            <v>2.7111824668705404E-3</v>
          </cell>
          <cell r="AX44">
            <v>2.7604742316050916E-3</v>
          </cell>
          <cell r="AY44">
            <v>2.7554090419806242E-3</v>
          </cell>
          <cell r="AZ44">
            <v>2.6792338411477591E-3</v>
          </cell>
          <cell r="BA44">
            <v>2.7778242996345918E-3</v>
          </cell>
          <cell r="BB44">
            <v>2.8212073631535949E-3</v>
          </cell>
          <cell r="BC44">
            <v>2.8553128872366791E-3</v>
          </cell>
          <cell r="BE44">
            <v>1963</v>
          </cell>
          <cell r="BF44">
            <v>5.2872810607300647E-2</v>
          </cell>
          <cell r="BG44">
            <v>-2.332089552238803E-2</v>
          </cell>
          <cell r="BH44">
            <v>1.5759312320916985E-2</v>
          </cell>
          <cell r="BI44">
            <v>2.0529697539570568E-2</v>
          </cell>
          <cell r="BJ44">
            <v>4.2997542997542659E-3</v>
          </cell>
          <cell r="BK44">
            <v>-1.4984709480122316E-2</v>
          </cell>
          <cell r="BL44">
            <v>9.469108972368856E-3</v>
          </cell>
          <cell r="BM44">
            <v>3.9673996616945928E-2</v>
          </cell>
          <cell r="BN44">
            <v>-2.8546073066114452E-2</v>
          </cell>
          <cell r="BO44">
            <v>-6.0901339829476653E-3</v>
          </cell>
          <cell r="BP44">
            <v>-1.1029411764705843E-2</v>
          </cell>
          <cell r="BQ44">
            <v>2.8810408921932984E-2</v>
          </cell>
          <cell r="BS44">
            <v>1963</v>
          </cell>
          <cell r="BT44">
            <v>5.5724545752168876E-2</v>
          </cell>
          <cell r="BU44">
            <v>-2.0614788038971779E-2</v>
          </cell>
          <cell r="BV44">
            <v>1.8532513530722779E-2</v>
          </cell>
          <cell r="BW44">
            <v>2.3264817426735588E-2</v>
          </cell>
          <cell r="BX44">
            <v>6.9995700245699902E-3</v>
          </cell>
          <cell r="BY44">
            <v>-1.2273527013251776E-2</v>
          </cell>
          <cell r="BZ44">
            <v>1.2229583203973948E-2</v>
          </cell>
          <cell r="CA44">
            <v>4.2429405658926556E-2</v>
          </cell>
          <cell r="CB44">
            <v>-2.5866839224966694E-2</v>
          </cell>
          <cell r="CC44">
            <v>-3.3123096833130735E-3</v>
          </cell>
          <cell r="CD44">
            <v>-8.2082044015522482E-3</v>
          </cell>
          <cell r="CE44">
            <v>3.1665721809169663E-2</v>
          </cell>
          <cell r="CG44">
            <v>1963</v>
          </cell>
          <cell r="CH44">
            <v>0.12355850961220316</v>
          </cell>
        </row>
        <row r="45">
          <cell r="A45">
            <v>1964</v>
          </cell>
          <cell r="B45">
            <v>6726</v>
          </cell>
          <cell r="C45">
            <v>6720</v>
          </cell>
          <cell r="D45">
            <v>6678</v>
          </cell>
          <cell r="E45">
            <v>6730</v>
          </cell>
          <cell r="F45">
            <v>6729</v>
          </cell>
          <cell r="G45">
            <v>6746</v>
          </cell>
          <cell r="H45">
            <v>7035</v>
          </cell>
          <cell r="I45">
            <v>7117</v>
          </cell>
          <cell r="J45">
            <v>7207</v>
          </cell>
          <cell r="K45">
            <v>7337</v>
          </cell>
          <cell r="L45">
            <v>7439</v>
          </cell>
          <cell r="M45">
            <v>7424</v>
          </cell>
          <cell r="O45">
            <v>1964</v>
          </cell>
          <cell r="P45">
            <v>331</v>
          </cell>
          <cell r="Q45">
            <v>333</v>
          </cell>
          <cell r="R45">
            <v>337</v>
          </cell>
          <cell r="S45">
            <v>335</v>
          </cell>
          <cell r="T45">
            <v>336</v>
          </cell>
          <cell r="U45">
            <v>336</v>
          </cell>
          <cell r="V45">
            <v>323</v>
          </cell>
          <cell r="W45">
            <v>321</v>
          </cell>
          <cell r="X45">
            <v>320</v>
          </cell>
          <cell r="Y45">
            <v>316</v>
          </cell>
          <cell r="Z45">
            <v>314</v>
          </cell>
          <cell r="AA45">
            <v>318</v>
          </cell>
          <cell r="AC45">
            <v>1964</v>
          </cell>
          <cell r="AD45">
            <v>6708</v>
          </cell>
          <cell r="AE45">
            <v>6711</v>
          </cell>
          <cell r="AF45">
            <v>6669</v>
          </cell>
          <cell r="AG45">
            <v>6695</v>
          </cell>
          <cell r="AH45">
            <v>6698</v>
          </cell>
          <cell r="AI45">
            <v>6836</v>
          </cell>
          <cell r="AJ45">
            <v>7139</v>
          </cell>
          <cell r="AK45">
            <v>7142</v>
          </cell>
          <cell r="AL45">
            <v>7244</v>
          </cell>
          <cell r="AM45">
            <v>7344</v>
          </cell>
          <cell r="AN45">
            <v>7408</v>
          </cell>
          <cell r="AO45">
            <v>7452</v>
          </cell>
          <cell r="AQ45">
            <v>1964</v>
          </cell>
          <cell r="AR45">
            <v>2.7932174043962662E-3</v>
          </cell>
          <cell r="AS45">
            <v>2.7799642218246869E-3</v>
          </cell>
          <cell r="AT45">
            <v>2.7945239159588736E-3</v>
          </cell>
          <cell r="AU45">
            <v>2.817201479482181E-3</v>
          </cell>
          <cell r="AV45">
            <v>2.8142195668409259E-3</v>
          </cell>
          <cell r="AW45">
            <v>2.8200656912511198E-3</v>
          </cell>
          <cell r="AX45">
            <v>2.7700226740784086E-3</v>
          </cell>
          <cell r="AY45">
            <v>2.6667565485362097E-3</v>
          </cell>
          <cell r="AZ45">
            <v>2.6909362456828153E-3</v>
          </cell>
          <cell r="BA45">
            <v>2.6671406221240568E-3</v>
          </cell>
          <cell r="BB45">
            <v>2.6505151597676106E-3</v>
          </cell>
          <cell r="BC45">
            <v>2.6557235421166307E-3</v>
          </cell>
          <cell r="BE45">
            <v>1964</v>
          </cell>
          <cell r="BF45">
            <v>9.936766034327027E-3</v>
          </cell>
          <cell r="BG45">
            <v>4.4722719141332412E-4</v>
          </cell>
          <cell r="BH45">
            <v>-6.258381761287457E-3</v>
          </cell>
          <cell r="BI45">
            <v>3.8986354775829568E-3</v>
          </cell>
          <cell r="BJ45">
            <v>4.4809559372671615E-4</v>
          </cell>
          <cell r="BK45">
            <v>2.0603165123917577E-2</v>
          </cell>
          <cell r="BL45">
            <v>4.4324166179052105E-2</v>
          </cell>
          <cell r="BM45">
            <v>4.202269225381805E-4</v>
          </cell>
          <cell r="BN45">
            <v>1.4281713805656571E-2</v>
          </cell>
          <cell r="BO45">
            <v>1.3804527885146411E-2</v>
          </cell>
          <cell r="BP45">
            <v>8.7145969498909626E-3</v>
          </cell>
          <cell r="BQ45">
            <v>5.9395248380129662E-3</v>
          </cell>
          <cell r="BS45">
            <v>1964</v>
          </cell>
          <cell r="BT45">
            <v>1.2729983438723294E-2</v>
          </cell>
          <cell r="BU45">
            <v>3.227191413238011E-3</v>
          </cell>
          <cell r="BV45">
            <v>-3.4638578453285835E-3</v>
          </cell>
          <cell r="BW45">
            <v>6.7158369570651383E-3</v>
          </cell>
          <cell r="BX45">
            <v>3.2623151605676421E-3</v>
          </cell>
          <cell r="BY45">
            <v>2.3423230815168696E-2</v>
          </cell>
          <cell r="BZ45">
            <v>4.7094188853130513E-2</v>
          </cell>
          <cell r="CA45">
            <v>3.0869834710743902E-3</v>
          </cell>
          <cell r="CB45">
            <v>1.6972650051339386E-2</v>
          </cell>
          <cell r="CC45">
            <v>1.6471668507270467E-2</v>
          </cell>
          <cell r="CD45">
            <v>1.1365112109658574E-2</v>
          </cell>
          <cell r="CE45">
            <v>8.5952483801295977E-3</v>
          </cell>
          <cell r="CG45">
            <v>1964</v>
          </cell>
          <cell r="CH45">
            <v>0.15908816113778812</v>
          </cell>
        </row>
        <row r="46">
          <cell r="A46">
            <v>1965</v>
          </cell>
          <cell r="B46">
            <v>7587</v>
          </cell>
          <cell r="C46">
            <v>7704</v>
          </cell>
          <cell r="D46">
            <v>7692</v>
          </cell>
          <cell r="E46">
            <v>7724</v>
          </cell>
          <cell r="F46">
            <v>7750</v>
          </cell>
          <cell r="G46">
            <v>7419</v>
          </cell>
          <cell r="H46">
            <v>7463</v>
          </cell>
          <cell r="I46">
            <v>7471</v>
          </cell>
          <cell r="J46">
            <v>7610</v>
          </cell>
          <cell r="K46">
            <v>7669</v>
          </cell>
          <cell r="L46">
            <v>7672</v>
          </cell>
          <cell r="M46">
            <v>7539</v>
          </cell>
          <cell r="O46">
            <v>1965</v>
          </cell>
          <cell r="P46">
            <v>315</v>
          </cell>
          <cell r="Q46">
            <v>312</v>
          </cell>
          <cell r="R46">
            <v>315</v>
          </cell>
          <cell r="S46">
            <v>316</v>
          </cell>
          <cell r="T46">
            <v>315</v>
          </cell>
          <cell r="U46">
            <v>331</v>
          </cell>
          <cell r="V46">
            <v>331</v>
          </cell>
          <cell r="W46">
            <v>333</v>
          </cell>
          <cell r="X46">
            <v>329</v>
          </cell>
          <cell r="Y46">
            <v>327</v>
          </cell>
          <cell r="Z46">
            <v>329</v>
          </cell>
          <cell r="AA46">
            <v>339</v>
          </cell>
          <cell r="AC46">
            <v>1965</v>
          </cell>
          <cell r="AD46">
            <v>7708</v>
          </cell>
          <cell r="AE46">
            <v>7695</v>
          </cell>
          <cell r="AF46">
            <v>7680</v>
          </cell>
          <cell r="AG46">
            <v>7744</v>
          </cell>
          <cell r="AH46">
            <v>7659</v>
          </cell>
          <cell r="AI46">
            <v>7378</v>
          </cell>
          <cell r="AJ46">
            <v>7435</v>
          </cell>
          <cell r="AK46">
            <v>7486</v>
          </cell>
          <cell r="AL46">
            <v>7610</v>
          </cell>
          <cell r="AM46">
            <v>7688</v>
          </cell>
          <cell r="AN46">
            <v>7578</v>
          </cell>
          <cell r="AO46">
            <v>7551</v>
          </cell>
          <cell r="AQ46">
            <v>1965</v>
          </cell>
          <cell r="AR46">
            <v>2.6725543478260871E-3</v>
          </cell>
          <cell r="AS46">
            <v>2.5986507524649715E-3</v>
          </cell>
          <cell r="AT46">
            <v>2.6239766081871344E-3</v>
          </cell>
          <cell r="AU46">
            <v>2.648420138888889E-3</v>
          </cell>
          <cell r="AV46">
            <v>2.6270338326446281E-3</v>
          </cell>
          <cell r="AW46">
            <v>2.6718990729860293E-3</v>
          </cell>
          <cell r="AX46">
            <v>2.790111367127496E-3</v>
          </cell>
          <cell r="AY46">
            <v>2.7884364492266308E-3</v>
          </cell>
          <cell r="AZ46">
            <v>2.7870803277228605E-3</v>
          </cell>
          <cell r="BA46">
            <v>2.7461268068331144E-3</v>
          </cell>
          <cell r="BB46">
            <v>2.7359608047173084E-3</v>
          </cell>
          <cell r="BC46">
            <v>2.8104612034837691E-3</v>
          </cell>
          <cell r="BE46">
            <v>1965</v>
          </cell>
          <cell r="BF46">
            <v>3.4353193773483559E-2</v>
          </cell>
          <cell r="BG46">
            <v>-1.6865594187857047E-3</v>
          </cell>
          <cell r="BH46">
            <v>-1.9493177387914784E-3</v>
          </cell>
          <cell r="BI46">
            <v>8.3333333333333037E-3</v>
          </cell>
          <cell r="BJ46">
            <v>-1.0976239669421517E-2</v>
          </cell>
          <cell r="BK46">
            <v>-3.6688862775819286E-2</v>
          </cell>
          <cell r="BL46">
            <v>7.7256709135267165E-3</v>
          </cell>
          <cell r="BM46">
            <v>6.859448554135783E-3</v>
          </cell>
          <cell r="BN46">
            <v>1.6564253272775886E-2</v>
          </cell>
          <cell r="BO46">
            <v>1.0249671484888312E-2</v>
          </cell>
          <cell r="BP46">
            <v>-1.4308012486992761E-2</v>
          </cell>
          <cell r="BQ46">
            <v>-3.5629453681710332E-3</v>
          </cell>
          <cell r="BS46">
            <v>1965</v>
          </cell>
          <cell r="BT46">
            <v>3.7025748121309647E-2</v>
          </cell>
          <cell r="BU46">
            <v>9.120913336792668E-4</v>
          </cell>
          <cell r="BV46">
            <v>6.7465886939565602E-4</v>
          </cell>
          <cell r="BW46">
            <v>1.0981753472222192E-2</v>
          </cell>
          <cell r="BX46">
            <v>-8.3492058367768893E-3</v>
          </cell>
          <cell r="BY46">
            <v>-3.4016963702833254E-2</v>
          </cell>
          <cell r="BZ46">
            <v>1.0515782280654213E-2</v>
          </cell>
          <cell r="CA46">
            <v>9.6478850033624129E-3</v>
          </cell>
          <cell r="CB46">
            <v>1.9351333600498746E-2</v>
          </cell>
          <cell r="CC46">
            <v>1.2995798291721426E-2</v>
          </cell>
          <cell r="CD46">
            <v>-1.1572051682275451E-2</v>
          </cell>
          <cell r="CE46">
            <v>-7.5248416468726414E-4</v>
          </cell>
          <cell r="CG46">
            <v>1965</v>
          </cell>
          <cell r="CH46">
            <v>4.6676882888610383E-2</v>
          </cell>
        </row>
        <row r="47">
          <cell r="A47">
            <v>1966</v>
          </cell>
          <cell r="B47">
            <v>7450</v>
          </cell>
          <cell r="C47">
            <v>7187</v>
          </cell>
          <cell r="D47">
            <v>6921</v>
          </cell>
          <cell r="E47">
            <v>7006</v>
          </cell>
          <cell r="F47">
            <v>6849</v>
          </cell>
          <cell r="G47">
            <v>6751</v>
          </cell>
          <cell r="H47">
            <v>6730</v>
          </cell>
          <cell r="I47">
            <v>6341</v>
          </cell>
          <cell r="J47">
            <v>6311</v>
          </cell>
          <cell r="K47">
            <v>6541</v>
          </cell>
          <cell r="L47">
            <v>6882</v>
          </cell>
          <cell r="M47">
            <v>6886</v>
          </cell>
          <cell r="O47">
            <v>1966</v>
          </cell>
          <cell r="P47">
            <v>347</v>
          </cell>
          <cell r="Q47">
            <v>361</v>
          </cell>
          <cell r="R47">
            <v>378</v>
          </cell>
          <cell r="S47">
            <v>375</v>
          </cell>
          <cell r="T47">
            <v>383</v>
          </cell>
          <cell r="U47">
            <v>391</v>
          </cell>
          <cell r="V47">
            <v>393</v>
          </cell>
          <cell r="W47">
            <v>423</v>
          </cell>
          <cell r="X47">
            <v>424</v>
          </cell>
          <cell r="Y47">
            <v>413</v>
          </cell>
          <cell r="Z47">
            <v>394</v>
          </cell>
          <cell r="AA47">
            <v>398</v>
          </cell>
          <cell r="AC47">
            <v>1966</v>
          </cell>
          <cell r="AD47">
            <v>7305</v>
          </cell>
          <cell r="AE47">
            <v>6981</v>
          </cell>
          <cell r="AF47">
            <v>6928</v>
          </cell>
          <cell r="AG47">
            <v>7025</v>
          </cell>
          <cell r="AH47">
            <v>6795</v>
          </cell>
          <cell r="AI47">
            <v>6650</v>
          </cell>
          <cell r="AJ47">
            <v>6634</v>
          </cell>
          <cell r="AK47">
            <v>6031</v>
          </cell>
          <cell r="AL47">
            <v>6295</v>
          </cell>
          <cell r="AM47">
            <v>6883</v>
          </cell>
          <cell r="AN47">
            <v>6808</v>
          </cell>
          <cell r="AO47">
            <v>6935</v>
          </cell>
          <cell r="AQ47">
            <v>1966</v>
          </cell>
          <cell r="AR47">
            <v>2.8529885666357655E-3</v>
          </cell>
          <cell r="AS47">
            <v>2.9597387634040613E-3</v>
          </cell>
          <cell r="AT47">
            <v>3.122926514825956E-3</v>
          </cell>
          <cell r="AU47">
            <v>3.1601833140877597E-3</v>
          </cell>
          <cell r="AV47">
            <v>3.1117046263345193E-3</v>
          </cell>
          <cell r="AW47">
            <v>3.2372344861417708E-3</v>
          </cell>
          <cell r="AX47">
            <v>3.3143984962406016E-3</v>
          </cell>
          <cell r="AY47">
            <v>3.3693133855893882E-3</v>
          </cell>
          <cell r="AZ47">
            <v>3.6973746752887856E-3</v>
          </cell>
          <cell r="BA47">
            <v>3.5761622981202008E-3</v>
          </cell>
          <cell r="BB47">
            <v>3.2828563126543657E-3</v>
          </cell>
          <cell r="BC47">
            <v>3.3546660791226009E-3</v>
          </cell>
          <cell r="BE47">
            <v>1966</v>
          </cell>
          <cell r="BF47">
            <v>-3.2578466428287656E-2</v>
          </cell>
          <cell r="BG47">
            <v>-4.4353182751539988E-2</v>
          </cell>
          <cell r="BH47">
            <v>-7.5920355249964322E-3</v>
          </cell>
          <cell r="BI47">
            <v>1.4001154734410992E-2</v>
          </cell>
          <cell r="BJ47">
            <v>-3.2740213523131723E-2</v>
          </cell>
          <cell r="BK47">
            <v>-2.1339220014716664E-2</v>
          </cell>
          <cell r="BL47">
            <v>-2.4060150375939671E-3</v>
          </cell>
          <cell r="BM47">
            <v>-9.0895387398251426E-2</v>
          </cell>
          <cell r="BN47">
            <v>4.3773835184878207E-2</v>
          </cell>
          <cell r="BO47">
            <v>9.3407466243049964E-2</v>
          </cell>
          <cell r="BP47">
            <v>-1.089641144849629E-2</v>
          </cell>
          <cell r="BQ47">
            <v>1.865452408930679E-2</v>
          </cell>
          <cell r="BS47">
            <v>1966</v>
          </cell>
          <cell r="BT47">
            <v>-2.9725477861651889E-2</v>
          </cell>
          <cell r="BU47">
            <v>-4.1393443988135929E-2</v>
          </cell>
          <cell r="BV47">
            <v>-4.4691090101704762E-3</v>
          </cell>
          <cell r="BW47">
            <v>1.7161338048498752E-2</v>
          </cell>
          <cell r="BX47">
            <v>-2.9628508896797204E-2</v>
          </cell>
          <cell r="BY47">
            <v>-1.8101985528574893E-2</v>
          </cell>
          <cell r="BZ47">
            <v>9.0838345864663458E-4</v>
          </cell>
          <cell r="CA47">
            <v>-8.7526074012662033E-2</v>
          </cell>
          <cell r="CB47">
            <v>4.7471209860166994E-2</v>
          </cell>
          <cell r="CC47">
            <v>9.6983628541170167E-2</v>
          </cell>
          <cell r="CD47">
            <v>-7.6135551358419247E-3</v>
          </cell>
          <cell r="CE47">
            <v>2.200919016842939E-2</v>
          </cell>
          <cell r="CG47">
            <v>1966</v>
          </cell>
          <cell r="CH47">
            <v>-4.4838796334756736E-2</v>
          </cell>
        </row>
        <row r="48">
          <cell r="A48">
            <v>1967</v>
          </cell>
          <cell r="B48">
            <v>7063</v>
          </cell>
          <cell r="C48">
            <v>7045</v>
          </cell>
          <cell r="D48">
            <v>7003</v>
          </cell>
          <cell r="E48">
            <v>7170</v>
          </cell>
          <cell r="F48">
            <v>7070</v>
          </cell>
          <cell r="G48">
            <v>6739</v>
          </cell>
          <cell r="H48">
            <v>6777</v>
          </cell>
          <cell r="I48">
            <v>6803</v>
          </cell>
          <cell r="J48">
            <v>6745</v>
          </cell>
          <cell r="K48">
            <v>6493</v>
          </cell>
          <cell r="L48">
            <v>6348</v>
          </cell>
          <cell r="M48">
            <v>6461</v>
          </cell>
          <cell r="O48">
            <v>1967</v>
          </cell>
          <cell r="P48">
            <v>392</v>
          </cell>
          <cell r="Q48">
            <v>393</v>
          </cell>
          <cell r="R48">
            <v>399</v>
          </cell>
          <cell r="S48">
            <v>393</v>
          </cell>
          <cell r="T48">
            <v>403</v>
          </cell>
          <cell r="U48">
            <v>422</v>
          </cell>
          <cell r="V48">
            <v>420</v>
          </cell>
          <cell r="W48">
            <v>422</v>
          </cell>
          <cell r="X48">
            <v>427</v>
          </cell>
          <cell r="Y48">
            <v>445</v>
          </cell>
          <cell r="Z48">
            <v>459</v>
          </cell>
          <cell r="AA48">
            <v>453</v>
          </cell>
          <cell r="AC48">
            <v>1967</v>
          </cell>
          <cell r="AD48">
            <v>7100</v>
          </cell>
          <cell r="AE48">
            <v>6966</v>
          </cell>
          <cell r="AF48">
            <v>7080</v>
          </cell>
          <cell r="AG48">
            <v>7200</v>
          </cell>
          <cell r="AH48">
            <v>6812</v>
          </cell>
          <cell r="AI48">
            <v>6699</v>
          </cell>
          <cell r="AJ48">
            <v>6812</v>
          </cell>
          <cell r="AK48">
            <v>6744</v>
          </cell>
          <cell r="AL48">
            <v>6695</v>
          </cell>
          <cell r="AM48">
            <v>6288</v>
          </cell>
          <cell r="AN48">
            <v>6448</v>
          </cell>
          <cell r="AO48">
            <v>6608</v>
          </cell>
          <cell r="AQ48">
            <v>1967</v>
          </cell>
          <cell r="AR48">
            <v>3.3269598654169668E-3</v>
          </cell>
          <cell r="AS48">
            <v>3.2496302816901407E-3</v>
          </cell>
          <cell r="AT48">
            <v>3.3426607809359746E-3</v>
          </cell>
          <cell r="AU48">
            <v>3.3166313559322034E-3</v>
          </cell>
          <cell r="AV48">
            <v>3.2976967592592593E-3</v>
          </cell>
          <cell r="AW48">
            <v>3.4789807202975139E-3</v>
          </cell>
          <cell r="AX48">
            <v>3.5407523510971785E-3</v>
          </cell>
          <cell r="AY48">
            <v>3.5120204541006068E-3</v>
          </cell>
          <cell r="AZ48">
            <v>3.5588609628311586E-3</v>
          </cell>
          <cell r="BA48">
            <v>3.5964463529997511E-3</v>
          </cell>
          <cell r="BB48">
            <v>3.8614980916030534E-3</v>
          </cell>
          <cell r="BC48">
            <v>3.7826108870967746E-3</v>
          </cell>
          <cell r="BE48">
            <v>1967</v>
          </cell>
          <cell r="BF48">
            <v>2.3792357606344572E-2</v>
          </cell>
          <cell r="BG48">
            <v>-1.8873239436619671E-2</v>
          </cell>
          <cell r="BH48">
            <v>1.6365202411714019E-2</v>
          </cell>
          <cell r="BI48">
            <v>1.6949152542372836E-2</v>
          </cell>
          <cell r="BJ48">
            <v>-5.3888888888888875E-2</v>
          </cell>
          <cell r="BK48">
            <v>-1.6588373458602423E-2</v>
          </cell>
          <cell r="BL48">
            <v>1.6868189281982415E-2</v>
          </cell>
          <cell r="BM48">
            <v>-9.9823840281855203E-3</v>
          </cell>
          <cell r="BN48">
            <v>-7.2657176749703067E-3</v>
          </cell>
          <cell r="BO48">
            <v>-6.0791635548917089E-2</v>
          </cell>
          <cell r="BP48">
            <v>2.5445292620865034E-2</v>
          </cell>
          <cell r="BQ48">
            <v>2.4813895781637729E-2</v>
          </cell>
          <cell r="BS48">
            <v>1967</v>
          </cell>
          <cell r="BT48">
            <v>2.711931747176154E-2</v>
          </cell>
          <cell r="BU48">
            <v>-1.5623609154929531E-2</v>
          </cell>
          <cell r="BV48">
            <v>1.9707863192649992E-2</v>
          </cell>
          <cell r="BW48">
            <v>2.026578389830504E-2</v>
          </cell>
          <cell r="BX48">
            <v>-5.0591192129629613E-2</v>
          </cell>
          <cell r="BY48">
            <v>-1.3109392738304909E-2</v>
          </cell>
          <cell r="BZ48">
            <v>2.0408941633079596E-2</v>
          </cell>
          <cell r="CA48">
            <v>-6.4703635740849131E-3</v>
          </cell>
          <cell r="CB48">
            <v>-3.7068567121391481E-3</v>
          </cell>
          <cell r="CC48">
            <v>-5.7195189195917338E-2</v>
          </cell>
          <cell r="CD48">
            <v>2.9306790712468087E-2</v>
          </cell>
          <cell r="CE48">
            <v>2.8596506668734503E-2</v>
          </cell>
          <cell r="CG48">
            <v>1967</v>
          </cell>
          <cell r="CH48">
            <v>-6.318177817666526E-3</v>
          </cell>
        </row>
        <row r="49">
          <cell r="A49">
            <v>1968</v>
          </cell>
          <cell r="B49">
            <v>6802</v>
          </cell>
          <cell r="C49">
            <v>6561</v>
          </cell>
          <cell r="D49">
            <v>6262</v>
          </cell>
          <cell r="E49">
            <v>6366</v>
          </cell>
          <cell r="F49">
            <v>6292</v>
          </cell>
          <cell r="G49">
            <v>6521</v>
          </cell>
          <cell r="H49">
            <v>6755</v>
          </cell>
          <cell r="I49">
            <v>6660</v>
          </cell>
          <cell r="J49">
            <v>6677</v>
          </cell>
          <cell r="K49">
            <v>6693</v>
          </cell>
          <cell r="L49">
            <v>7059</v>
          </cell>
          <cell r="M49">
            <v>7054</v>
          </cell>
          <cell r="O49">
            <v>1968</v>
          </cell>
          <cell r="P49">
            <v>435</v>
          </cell>
          <cell r="Q49">
            <v>450</v>
          </cell>
          <cell r="R49">
            <v>472</v>
          </cell>
          <cell r="S49">
            <v>464</v>
          </cell>
          <cell r="T49">
            <v>472</v>
          </cell>
          <cell r="U49">
            <v>457</v>
          </cell>
          <cell r="V49">
            <v>440</v>
          </cell>
          <cell r="W49">
            <v>449</v>
          </cell>
          <cell r="X49">
            <v>449</v>
          </cell>
          <cell r="Y49">
            <v>450</v>
          </cell>
          <cell r="Z49">
            <v>428</v>
          </cell>
          <cell r="AA49">
            <v>431</v>
          </cell>
          <cell r="AC49">
            <v>1968</v>
          </cell>
          <cell r="AD49">
            <v>6638</v>
          </cell>
          <cell r="AE49">
            <v>6459</v>
          </cell>
          <cell r="AF49">
            <v>6177</v>
          </cell>
          <cell r="AG49">
            <v>6322</v>
          </cell>
          <cell r="AH49">
            <v>6258</v>
          </cell>
          <cell r="AI49">
            <v>6738</v>
          </cell>
          <cell r="AJ49">
            <v>6666</v>
          </cell>
          <cell r="AK49">
            <v>6644</v>
          </cell>
          <cell r="AL49">
            <v>6685</v>
          </cell>
          <cell r="AM49">
            <v>6717</v>
          </cell>
          <cell r="AN49">
            <v>7217</v>
          </cell>
          <cell r="AO49">
            <v>6969</v>
          </cell>
          <cell r="AQ49">
            <v>1968</v>
          </cell>
          <cell r="AR49">
            <v>3.7314240314769973E-3</v>
          </cell>
          <cell r="AS49">
            <v>3.7065004519433566E-3</v>
          </cell>
          <cell r="AT49">
            <v>3.8133663621819688E-3</v>
          </cell>
          <cell r="AU49">
            <v>3.9849765258215958E-3</v>
          </cell>
          <cell r="AV49">
            <v>3.9146683538964465E-3</v>
          </cell>
          <cell r="AW49">
            <v>3.9683831362522636E-3</v>
          </cell>
          <cell r="AX49">
            <v>3.6759176808152765E-3</v>
          </cell>
          <cell r="AY49">
            <v>3.7382988298829884E-3</v>
          </cell>
          <cell r="AZ49">
            <v>3.7602511037527599E-3</v>
          </cell>
          <cell r="BA49">
            <v>3.7544876589379206E-3</v>
          </cell>
          <cell r="BB49">
            <v>3.7482655947595651E-3</v>
          </cell>
          <cell r="BC49">
            <v>3.5105468569581076E-3</v>
          </cell>
          <cell r="BE49">
            <v>1968</v>
          </cell>
          <cell r="BF49">
            <v>4.5399515738497875E-3</v>
          </cell>
          <cell r="BG49">
            <v>-2.696595360048204E-2</v>
          </cell>
          <cell r="BH49">
            <v>-4.3660009289363644E-2</v>
          </cell>
          <cell r="BI49">
            <v>2.3474178403755763E-2</v>
          </cell>
          <cell r="BJ49">
            <v>-1.0123378677633688E-2</v>
          </cell>
          <cell r="BK49">
            <v>7.6701821668264669E-2</v>
          </cell>
          <cell r="BL49">
            <v>-1.0685663401602818E-2</v>
          </cell>
          <cell r="BM49">
            <v>-3.3003300330033403E-3</v>
          </cell>
          <cell r="BN49">
            <v>6.1709813365442567E-3</v>
          </cell>
          <cell r="BO49">
            <v>4.7868362004488407E-3</v>
          </cell>
          <cell r="BP49">
            <v>7.443799315170474E-2</v>
          </cell>
          <cell r="BQ49">
            <v>-3.4363308854094554E-2</v>
          </cell>
          <cell r="BS49">
            <v>1968</v>
          </cell>
          <cell r="BT49">
            <v>8.2713756053267844E-3</v>
          </cell>
          <cell r="BU49">
            <v>-2.3259453148538684E-2</v>
          </cell>
          <cell r="BV49">
            <v>-3.9846642927181673E-2</v>
          </cell>
          <cell r="BW49">
            <v>2.7459154929577359E-2</v>
          </cell>
          <cell r="BX49">
            <v>-6.2087103237372411E-3</v>
          </cell>
          <cell r="BY49">
            <v>8.0670204804516935E-2</v>
          </cell>
          <cell r="BZ49">
            <v>-7.009745720787542E-3</v>
          </cell>
          <cell r="CA49">
            <v>4.3796879687964816E-4</v>
          </cell>
          <cell r="CB49">
            <v>9.9312324402970158E-3</v>
          </cell>
          <cell r="CC49">
            <v>8.5413238593867614E-3</v>
          </cell>
          <cell r="CD49">
            <v>7.8186258746464302E-2</v>
          </cell>
          <cell r="CE49">
            <v>-3.0852761997136446E-2</v>
          </cell>
          <cell r="CG49">
            <v>1968</v>
          </cell>
          <cell r="CH49">
            <v>0.10320036473271621</v>
          </cell>
        </row>
        <row r="50">
          <cell r="A50">
            <v>1969</v>
          </cell>
          <cell r="B50">
            <v>6865</v>
          </cell>
          <cell r="C50">
            <v>6924</v>
          </cell>
          <cell r="D50">
            <v>6607</v>
          </cell>
          <cell r="E50">
            <v>6563</v>
          </cell>
          <cell r="F50">
            <v>6691</v>
          </cell>
          <cell r="G50">
            <v>6329</v>
          </cell>
          <cell r="H50">
            <v>6132</v>
          </cell>
          <cell r="I50">
            <v>5920</v>
          </cell>
          <cell r="J50">
            <v>5984</v>
          </cell>
          <cell r="K50">
            <v>5880</v>
          </cell>
          <cell r="L50">
            <v>5946</v>
          </cell>
          <cell r="M50">
            <v>5528</v>
          </cell>
          <cell r="O50">
            <v>1969</v>
          </cell>
          <cell r="P50">
            <v>445</v>
          </cell>
          <cell r="Q50">
            <v>440</v>
          </cell>
          <cell r="R50">
            <v>462</v>
          </cell>
          <cell r="S50">
            <v>465</v>
          </cell>
          <cell r="T50">
            <v>459</v>
          </cell>
          <cell r="U50">
            <v>483</v>
          </cell>
          <cell r="V50">
            <v>498</v>
          </cell>
          <cell r="W50">
            <v>518</v>
          </cell>
          <cell r="X50">
            <v>529</v>
          </cell>
          <cell r="Y50">
            <v>526</v>
          </cell>
          <cell r="Z50">
            <v>521</v>
          </cell>
          <cell r="AA50">
            <v>561</v>
          </cell>
          <cell r="AC50">
            <v>1969</v>
          </cell>
          <cell r="AD50">
            <v>7061</v>
          </cell>
          <cell r="AE50">
            <v>6660</v>
          </cell>
          <cell r="AF50">
            <v>6571</v>
          </cell>
          <cell r="AG50">
            <v>6637</v>
          </cell>
          <cell r="AH50">
            <v>6607</v>
          </cell>
          <cell r="AI50">
            <v>6240</v>
          </cell>
          <cell r="AJ50">
            <v>5988</v>
          </cell>
          <cell r="AK50">
            <v>5894</v>
          </cell>
          <cell r="AL50">
            <v>5648</v>
          </cell>
          <cell r="AM50">
            <v>6073</v>
          </cell>
          <cell r="AN50">
            <v>5690</v>
          </cell>
          <cell r="AO50">
            <v>5609</v>
          </cell>
          <cell r="AQ50">
            <v>1969</v>
          </cell>
          <cell r="AR50">
            <v>3.6529930166929736E-3</v>
          </cell>
          <cell r="AS50">
            <v>3.5955247132134259E-3</v>
          </cell>
          <cell r="AT50">
            <v>3.8193618618618621E-3</v>
          </cell>
          <cell r="AU50">
            <v>3.870282301019632E-3</v>
          </cell>
          <cell r="AV50">
            <v>3.8561209883983729E-3</v>
          </cell>
          <cell r="AW50">
            <v>3.8556417436052671E-3</v>
          </cell>
          <cell r="AX50">
            <v>4.0781730769230773E-3</v>
          </cell>
          <cell r="AY50">
            <v>4.2676464039189486E-3</v>
          </cell>
          <cell r="AZ50">
            <v>4.4756475511819934E-3</v>
          </cell>
          <cell r="BA50">
            <v>4.563385269121813E-3</v>
          </cell>
          <cell r="BB50">
            <v>4.2508727152972174E-3</v>
          </cell>
          <cell r="BC50">
            <v>4.541898066783831E-3</v>
          </cell>
          <cell r="BE50">
            <v>1969</v>
          </cell>
          <cell r="BF50">
            <v>1.3201320132013139E-2</v>
          </cell>
          <cell r="BG50">
            <v>-5.6790822829627552E-2</v>
          </cell>
          <cell r="BH50">
            <v>-1.3363363363363412E-2</v>
          </cell>
          <cell r="BI50">
            <v>1.0044133313042103E-2</v>
          </cell>
          <cell r="BJ50">
            <v>-4.5201145095675743E-3</v>
          </cell>
          <cell r="BK50">
            <v>-5.55471469653398E-2</v>
          </cell>
          <cell r="BL50">
            <v>-4.0384615384615352E-2</v>
          </cell>
          <cell r="BM50">
            <v>-1.5698062792251166E-2</v>
          </cell>
          <cell r="BN50">
            <v>-4.1737360027146231E-2</v>
          </cell>
          <cell r="BO50">
            <v>7.5247875354107707E-2</v>
          </cell>
          <cell r="BP50">
            <v>-6.3066029968714021E-2</v>
          </cell>
          <cell r="BQ50">
            <v>-1.4235500878734597E-2</v>
          </cell>
          <cell r="BS50">
            <v>1969</v>
          </cell>
          <cell r="BT50">
            <v>1.6854313148706113E-2</v>
          </cell>
          <cell r="BU50">
            <v>-5.3195298116414123E-2</v>
          </cell>
          <cell r="BV50">
            <v>-9.5440015015015502E-3</v>
          </cell>
          <cell r="BW50">
            <v>1.3914415614061735E-2</v>
          </cell>
          <cell r="BX50">
            <v>-6.6399352116920142E-4</v>
          </cell>
          <cell r="BY50">
            <v>-5.1691505221734532E-2</v>
          </cell>
          <cell r="BZ50">
            <v>-3.6306442307692276E-2</v>
          </cell>
          <cell r="CA50">
            <v>-1.1430416388332218E-2</v>
          </cell>
          <cell r="CB50">
            <v>-3.7261712475964236E-2</v>
          </cell>
          <cell r="CC50">
            <v>7.9811260623229519E-2</v>
          </cell>
          <cell r="CD50">
            <v>-5.8815157253416801E-2</v>
          </cell>
          <cell r="CE50">
            <v>-9.6936028119507661E-3</v>
          </cell>
          <cell r="CG50">
            <v>1969</v>
          </cell>
          <cell r="CH50">
            <v>-0.15420793493426432</v>
          </cell>
        </row>
        <row r="51">
          <cell r="A51">
            <v>1970</v>
          </cell>
          <cell r="B51">
            <v>5572</v>
          </cell>
          <cell r="C51">
            <v>5524</v>
          </cell>
          <cell r="D51">
            <v>5904</v>
          </cell>
          <cell r="E51">
            <v>5719</v>
          </cell>
          <cell r="F51">
            <v>5115</v>
          </cell>
          <cell r="G51">
            <v>4922</v>
          </cell>
          <cell r="H51">
            <v>5091</v>
          </cell>
          <cell r="I51">
            <v>5262</v>
          </cell>
          <cell r="J51">
            <v>5444</v>
          </cell>
          <cell r="K51">
            <v>5337</v>
          </cell>
          <cell r="L51">
            <v>5486</v>
          </cell>
          <cell r="M51">
            <v>5996</v>
          </cell>
          <cell r="O51">
            <v>1970</v>
          </cell>
          <cell r="P51">
            <v>561</v>
          </cell>
          <cell r="Q51">
            <v>564</v>
          </cell>
          <cell r="R51">
            <v>528</v>
          </cell>
          <cell r="S51">
            <v>548</v>
          </cell>
          <cell r="T51">
            <v>617</v>
          </cell>
          <cell r="U51">
            <v>637</v>
          </cell>
          <cell r="V51">
            <v>625</v>
          </cell>
          <cell r="W51">
            <v>603</v>
          </cell>
          <cell r="X51">
            <v>582</v>
          </cell>
          <cell r="Y51">
            <v>594</v>
          </cell>
          <cell r="Z51">
            <v>580</v>
          </cell>
          <cell r="AA51">
            <v>532</v>
          </cell>
          <cell r="AC51">
            <v>1970</v>
          </cell>
          <cell r="AD51">
            <v>5329</v>
          </cell>
          <cell r="AE51">
            <v>5864</v>
          </cell>
          <cell r="AF51">
            <v>5974</v>
          </cell>
          <cell r="AG51">
            <v>5393</v>
          </cell>
          <cell r="AH51">
            <v>5089</v>
          </cell>
          <cell r="AI51">
            <v>4767</v>
          </cell>
          <cell r="AJ51">
            <v>5204</v>
          </cell>
          <cell r="AK51">
            <v>5480</v>
          </cell>
          <cell r="AL51">
            <v>5391</v>
          </cell>
          <cell r="AM51">
            <v>5284</v>
          </cell>
          <cell r="AN51">
            <v>5773</v>
          </cell>
          <cell r="AO51">
            <v>6171</v>
          </cell>
          <cell r="AQ51">
            <v>1970</v>
          </cell>
          <cell r="AR51">
            <v>4.6441611695489391E-3</v>
          </cell>
          <cell r="AS51">
            <v>4.8719834865828485E-3</v>
          </cell>
          <cell r="AT51">
            <v>4.4300136425648017E-3</v>
          </cell>
          <cell r="AU51">
            <v>4.3717386452404869E-3</v>
          </cell>
          <cell r="AV51">
            <v>4.8766224735768589E-3</v>
          </cell>
          <cell r="AW51">
            <v>5.1341357175607519E-3</v>
          </cell>
          <cell r="AX51">
            <v>5.5623295573736103E-3</v>
          </cell>
          <cell r="AY51">
            <v>5.081004996156803E-3</v>
          </cell>
          <cell r="AZ51">
            <v>4.8181386861313865E-3</v>
          </cell>
          <cell r="BA51">
            <v>4.9004173622704504E-3</v>
          </cell>
          <cell r="BB51">
            <v>5.0181049709815805E-3</v>
          </cell>
          <cell r="BC51">
            <v>4.6045845603094864E-3</v>
          </cell>
          <cell r="BE51">
            <v>1970</v>
          </cell>
          <cell r="BF51">
            <v>-4.9919771795328916E-2</v>
          </cell>
          <cell r="BG51">
            <v>0.10039407018202295</v>
          </cell>
          <cell r="BH51">
            <v>1.8758526603001258E-2</v>
          </cell>
          <cell r="BI51">
            <v>-9.7254770672915991E-2</v>
          </cell>
          <cell r="BJ51">
            <v>-5.6369367698868911E-2</v>
          </cell>
          <cell r="BK51">
            <v>-6.3273727647867983E-2</v>
          </cell>
          <cell r="BL51">
            <v>9.1671911055170918E-2</v>
          </cell>
          <cell r="BM51">
            <v>5.303612605687924E-2</v>
          </cell>
          <cell r="BN51">
            <v>-1.6240875912408748E-2</v>
          </cell>
          <cell r="BO51">
            <v>-1.9847894639213548E-2</v>
          </cell>
          <cell r="BP51">
            <v>9.2543527630582822E-2</v>
          </cell>
          <cell r="BQ51">
            <v>6.8941624805127333E-2</v>
          </cell>
          <cell r="BS51">
            <v>1970</v>
          </cell>
          <cell r="BT51">
            <v>-4.5275610625779977E-2</v>
          </cell>
          <cell r="BU51">
            <v>0.10526605366860581</v>
          </cell>
          <cell r="BV51">
            <v>2.3188540245566061E-2</v>
          </cell>
          <cell r="BW51">
            <v>-9.2883032027675505E-2</v>
          </cell>
          <cell r="BX51">
            <v>-5.1492745225292055E-2</v>
          </cell>
          <cell r="BY51">
            <v>-5.8139591930307231E-2</v>
          </cell>
          <cell r="BZ51">
            <v>9.7234240612544529E-2</v>
          </cell>
          <cell r="CA51">
            <v>5.8117131053036043E-2</v>
          </cell>
          <cell r="CB51">
            <v>-1.142273722627736E-2</v>
          </cell>
          <cell r="CC51">
            <v>-1.4947477276943098E-2</v>
          </cell>
          <cell r="CD51">
            <v>9.7561632601564405E-2</v>
          </cell>
          <cell r="CE51">
            <v>7.3546209365436821E-2</v>
          </cell>
          <cell r="CG51">
            <v>1970</v>
          </cell>
          <cell r="CH51">
            <v>0.16558451108022787</v>
          </cell>
        </row>
        <row r="52">
          <cell r="A52">
            <v>1971</v>
          </cell>
          <cell r="B52">
            <v>6343</v>
          </cell>
          <cell r="C52">
            <v>6249</v>
          </cell>
          <cell r="D52">
            <v>6242</v>
          </cell>
          <cell r="E52">
            <v>6206</v>
          </cell>
          <cell r="F52">
            <v>5920</v>
          </cell>
          <cell r="G52">
            <v>5790</v>
          </cell>
          <cell r="H52">
            <v>6008</v>
          </cell>
          <cell r="I52">
            <v>5751</v>
          </cell>
          <cell r="J52">
            <v>5648</v>
          </cell>
          <cell r="K52">
            <v>5741</v>
          </cell>
          <cell r="L52">
            <v>5586</v>
          </cell>
          <cell r="M52">
            <v>5707</v>
          </cell>
          <cell r="O52">
            <v>1971</v>
          </cell>
          <cell r="P52">
            <v>504</v>
          </cell>
          <cell r="Q52">
            <v>511</v>
          </cell>
          <cell r="R52">
            <v>516</v>
          </cell>
          <cell r="S52">
            <v>520</v>
          </cell>
          <cell r="T52">
            <v>545</v>
          </cell>
          <cell r="U52">
            <v>556</v>
          </cell>
          <cell r="V52">
            <v>537</v>
          </cell>
          <cell r="W52">
            <v>563</v>
          </cell>
          <cell r="X52">
            <v>573</v>
          </cell>
          <cell r="Y52">
            <v>563</v>
          </cell>
          <cell r="Z52">
            <v>580</v>
          </cell>
          <cell r="AA52">
            <v>571</v>
          </cell>
          <cell r="AC52">
            <v>1971</v>
          </cell>
          <cell r="AD52">
            <v>6303</v>
          </cell>
          <cell r="AE52">
            <v>6102</v>
          </cell>
          <cell r="AF52">
            <v>6277</v>
          </cell>
          <cell r="AG52">
            <v>6031</v>
          </cell>
          <cell r="AH52">
            <v>5792</v>
          </cell>
          <cell r="AI52">
            <v>5996</v>
          </cell>
          <cell r="AJ52">
            <v>5834</v>
          </cell>
          <cell r="AK52">
            <v>5663</v>
          </cell>
          <cell r="AL52">
            <v>5553</v>
          </cell>
          <cell r="AM52">
            <v>5620</v>
          </cell>
          <cell r="AN52">
            <v>5562</v>
          </cell>
          <cell r="AO52">
            <v>5983</v>
          </cell>
          <cell r="AQ52">
            <v>1971</v>
          </cell>
          <cell r="AR52">
            <v>4.3170636849781232E-3</v>
          </cell>
          <cell r="AS52">
            <v>4.2218507060130094E-3</v>
          </cell>
          <cell r="AT52">
            <v>4.3986561783021958E-3</v>
          </cell>
          <cell r="AU52">
            <v>4.2843184111305832E-3</v>
          </cell>
          <cell r="AV52">
            <v>4.4580777096114525E-3</v>
          </cell>
          <cell r="AW52">
            <v>4.6317334254143642E-3</v>
          </cell>
          <cell r="AX52">
            <v>4.4839559706470978E-3</v>
          </cell>
          <cell r="AY52">
            <v>4.62491858073363E-3</v>
          </cell>
          <cell r="AZ52">
            <v>4.7623521101889457E-3</v>
          </cell>
          <cell r="BA52">
            <v>4.8505057326370124E-3</v>
          </cell>
          <cell r="BB52">
            <v>4.8040925266903912E-3</v>
          </cell>
          <cell r="BC52">
            <v>4.8823819369531339E-3</v>
          </cell>
          <cell r="BE52">
            <v>1971</v>
          </cell>
          <cell r="BF52">
            <v>2.1390374331550888E-2</v>
          </cell>
          <cell r="BG52">
            <v>-3.1889576392194141E-2</v>
          </cell>
          <cell r="BH52">
            <v>2.8679121599475499E-2</v>
          </cell>
          <cell r="BI52">
            <v>-3.9190696192448637E-2</v>
          </cell>
          <cell r="BJ52">
            <v>-3.9628585640855585E-2</v>
          </cell>
          <cell r="BK52">
            <v>3.5220994475138045E-2</v>
          </cell>
          <cell r="BL52">
            <v>-2.7018012008005354E-2</v>
          </cell>
          <cell r="BM52">
            <v>-2.931093589304079E-2</v>
          </cell>
          <cell r="BN52">
            <v>-1.9424333392194959E-2</v>
          </cell>
          <cell r="BO52">
            <v>1.2065550153070426E-2</v>
          </cell>
          <cell r="BP52">
            <v>-1.0320284697508897E-2</v>
          </cell>
          <cell r="BQ52">
            <v>7.5692197051420385E-2</v>
          </cell>
          <cell r="BS52">
            <v>1971</v>
          </cell>
          <cell r="BT52">
            <v>2.570743801652901E-2</v>
          </cell>
          <cell r="BU52">
            <v>-2.766772568618113E-2</v>
          </cell>
          <cell r="BV52">
            <v>3.3077777777777692E-2</v>
          </cell>
          <cell r="BW52">
            <v>-3.4906377781318054E-2</v>
          </cell>
          <cell r="BX52">
            <v>-3.5170507931244134E-2</v>
          </cell>
          <cell r="BY52">
            <v>3.9852727900552408E-2</v>
          </cell>
          <cell r="BZ52">
            <v>-2.2534056037358256E-2</v>
          </cell>
          <cell r="CA52">
            <v>-2.468601731230716E-2</v>
          </cell>
          <cell r="CB52">
            <v>-1.4661981282006013E-2</v>
          </cell>
          <cell r="CC52">
            <v>1.6916055885707437E-2</v>
          </cell>
          <cell r="CD52">
            <v>-5.5161921708185057E-3</v>
          </cell>
          <cell r="CE52">
            <v>8.0574578988373516E-2</v>
          </cell>
          <cell r="CG52">
            <v>1971</v>
          </cell>
          <cell r="CH52">
            <v>2.4075485144014364E-2</v>
          </cell>
        </row>
        <row r="53">
          <cell r="A53">
            <v>1972</v>
          </cell>
          <cell r="B53">
            <v>6019</v>
          </cell>
          <cell r="C53">
            <v>5741</v>
          </cell>
          <cell r="D53">
            <v>5773</v>
          </cell>
          <cell r="E53">
            <v>5570</v>
          </cell>
          <cell r="F53">
            <v>5494</v>
          </cell>
          <cell r="G53">
            <v>5373</v>
          </cell>
          <cell r="H53">
            <v>5347</v>
          </cell>
          <cell r="I53">
            <v>5466</v>
          </cell>
          <cell r="J53">
            <v>5536</v>
          </cell>
          <cell r="K53">
            <v>5666</v>
          </cell>
          <cell r="L53">
            <v>6116</v>
          </cell>
          <cell r="M53">
            <v>6173</v>
          </cell>
          <cell r="O53">
            <v>1972</v>
          </cell>
          <cell r="P53">
            <v>542</v>
          </cell>
          <cell r="Q53">
            <v>570</v>
          </cell>
          <cell r="R53">
            <v>571</v>
          </cell>
          <cell r="S53">
            <v>595</v>
          </cell>
          <cell r="T53">
            <v>604</v>
          </cell>
          <cell r="U53">
            <v>619</v>
          </cell>
          <cell r="V53">
            <v>621</v>
          </cell>
          <cell r="W53">
            <v>611</v>
          </cell>
          <cell r="X53">
            <v>602</v>
          </cell>
          <cell r="Y53">
            <v>584</v>
          </cell>
          <cell r="Z53">
            <v>540</v>
          </cell>
          <cell r="AA53">
            <v>538</v>
          </cell>
          <cell r="AC53">
            <v>1972</v>
          </cell>
          <cell r="AD53">
            <v>5912</v>
          </cell>
          <cell r="AE53">
            <v>5743</v>
          </cell>
          <cell r="AF53">
            <v>5695</v>
          </cell>
          <cell r="AG53">
            <v>5510</v>
          </cell>
          <cell r="AH53">
            <v>5473</v>
          </cell>
          <cell r="AI53">
            <v>5330</v>
          </cell>
          <cell r="AJ53">
            <v>5295</v>
          </cell>
          <cell r="AK53">
            <v>5571</v>
          </cell>
          <cell r="AL53">
            <v>5558</v>
          </cell>
          <cell r="AM53">
            <v>5892</v>
          </cell>
          <cell r="AN53">
            <v>6241</v>
          </cell>
          <cell r="AO53">
            <v>6105</v>
          </cell>
          <cell r="AQ53">
            <v>1972</v>
          </cell>
          <cell r="AR53">
            <v>4.5438436681709288E-3</v>
          </cell>
          <cell r="AS53">
            <v>4.6126099458728012E-3</v>
          </cell>
          <cell r="AT53">
            <v>4.7831896801903764E-3</v>
          </cell>
          <cell r="AU53">
            <v>4.8495024875621897E-3</v>
          </cell>
          <cell r="AV53">
            <v>5.0187174833635807E-3</v>
          </cell>
          <cell r="AW53">
            <v>5.0640827699616293E-3</v>
          </cell>
          <cell r="AX53">
            <v>5.1915056285178236E-3</v>
          </cell>
          <cell r="AY53">
            <v>5.2561000944287067E-3</v>
          </cell>
          <cell r="AZ53">
            <v>4.9851492849877343E-3</v>
          </cell>
          <cell r="BA53">
            <v>4.9612330574547196E-3</v>
          </cell>
          <cell r="BB53">
            <v>4.6710794297352342E-3</v>
          </cell>
          <cell r="BC53">
            <v>4.4344843240933613E-3</v>
          </cell>
          <cell r="BE53">
            <v>1972</v>
          </cell>
          <cell r="BF53">
            <v>-1.1866956376399784E-2</v>
          </cell>
          <cell r="BG53">
            <v>-2.8585926928281435E-2</v>
          </cell>
          <cell r="BH53">
            <v>-8.3580010447501518E-3</v>
          </cell>
          <cell r="BI53">
            <v>-3.2484635645302906E-2</v>
          </cell>
          <cell r="BJ53">
            <v>-6.7150635208711451E-3</v>
          </cell>
          <cell r="BK53">
            <v>-2.6128266033254133E-2</v>
          </cell>
          <cell r="BL53">
            <v>-6.5666041275797005E-3</v>
          </cell>
          <cell r="BM53">
            <v>5.2124645892351218E-2</v>
          </cell>
          <cell r="BN53">
            <v>-2.3335128343205946E-3</v>
          </cell>
          <cell r="BO53">
            <v>6.0093558834112937E-2</v>
          </cell>
          <cell r="BP53">
            <v>5.9232858112695075E-2</v>
          </cell>
          <cell r="BQ53">
            <v>-2.1791379586604709E-2</v>
          </cell>
          <cell r="BS53">
            <v>1972</v>
          </cell>
          <cell r="BT53">
            <v>-7.3231127082288554E-3</v>
          </cell>
          <cell r="BU53">
            <v>-2.3973316982408635E-2</v>
          </cell>
          <cell r="BV53">
            <v>-3.5748113645597754E-3</v>
          </cell>
          <cell r="BW53">
            <v>-2.7635133157740716E-2</v>
          </cell>
          <cell r="BX53">
            <v>-1.6963460375075644E-3</v>
          </cell>
          <cell r="BY53">
            <v>-2.1064183263292503E-2</v>
          </cell>
          <cell r="BZ53">
            <v>-1.3750984990618768E-3</v>
          </cell>
          <cell r="CA53">
            <v>5.7380745986779925E-2</v>
          </cell>
          <cell r="CB53">
            <v>2.6516364506671396E-3</v>
          </cell>
          <cell r="CC53">
            <v>6.5054791891567654E-2</v>
          </cell>
          <cell r="CD53">
            <v>6.3903937542430303E-2</v>
          </cell>
          <cell r="CE53">
            <v>-1.7356895262511347E-2</v>
          </cell>
          <cell r="CG53">
            <v>1972</v>
          </cell>
          <cell r="CH53">
            <v>8.1469985200602668E-2</v>
          </cell>
        </row>
        <row r="54">
          <cell r="A54">
            <v>1973</v>
          </cell>
          <cell r="B54">
            <v>6001</v>
          </cell>
          <cell r="C54">
            <v>5752</v>
          </cell>
          <cell r="D54">
            <v>5594</v>
          </cell>
          <cell r="E54">
            <v>5534</v>
          </cell>
          <cell r="F54">
            <v>5543</v>
          </cell>
          <cell r="G54">
            <v>5437</v>
          </cell>
          <cell r="H54">
            <v>5331</v>
          </cell>
          <cell r="I54">
            <v>5014</v>
          </cell>
          <cell r="J54">
            <v>5231</v>
          </cell>
          <cell r="K54">
            <v>5322</v>
          </cell>
          <cell r="L54">
            <v>4830</v>
          </cell>
          <cell r="M54">
            <v>4573</v>
          </cell>
          <cell r="O54">
            <v>1973</v>
          </cell>
          <cell r="P54">
            <v>556</v>
          </cell>
          <cell r="Q54">
            <v>582</v>
          </cell>
          <cell r="R54">
            <v>599</v>
          </cell>
          <cell r="S54">
            <v>604</v>
          </cell>
          <cell r="T54">
            <v>605</v>
          </cell>
          <cell r="U54">
            <v>618</v>
          </cell>
          <cell r="V54">
            <v>630</v>
          </cell>
          <cell r="W54">
            <v>676</v>
          </cell>
          <cell r="X54">
            <v>656</v>
          </cell>
          <cell r="Y54">
            <v>647</v>
          </cell>
          <cell r="Z54">
            <v>718</v>
          </cell>
          <cell r="AA54">
            <v>756</v>
          </cell>
          <cell r="AC54">
            <v>1973</v>
          </cell>
          <cell r="AD54">
            <v>5809</v>
          </cell>
          <cell r="AE54">
            <v>5645</v>
          </cell>
          <cell r="AF54">
            <v>5541</v>
          </cell>
          <cell r="AG54">
            <v>5486</v>
          </cell>
          <cell r="AH54">
            <v>5495</v>
          </cell>
          <cell r="AI54">
            <v>5375</v>
          </cell>
          <cell r="AJ54">
            <v>5240</v>
          </cell>
          <cell r="AK54">
            <v>5063</v>
          </cell>
          <cell r="AL54">
            <v>5425</v>
          </cell>
          <cell r="AM54">
            <v>5186</v>
          </cell>
          <cell r="AN54">
            <v>4549</v>
          </cell>
          <cell r="AO54">
            <v>4691</v>
          </cell>
          <cell r="AQ54">
            <v>1973</v>
          </cell>
          <cell r="AR54">
            <v>4.5544034944034941E-3</v>
          </cell>
          <cell r="AS54">
            <v>4.8024100533654674E-3</v>
          </cell>
          <cell r="AT54">
            <v>4.9465692353114843E-3</v>
          </cell>
          <cell r="AU54">
            <v>5.0269746736449497E-3</v>
          </cell>
          <cell r="AV54">
            <v>5.0940500060760721E-3</v>
          </cell>
          <cell r="AW54">
            <v>5.0956414922656958E-3</v>
          </cell>
          <cell r="AX54">
            <v>5.2070232558139541E-3</v>
          </cell>
          <cell r="AY54">
            <v>5.3903689567430021E-3</v>
          </cell>
          <cell r="AZ54">
            <v>5.6480610968464009E-3</v>
          </cell>
          <cell r="BA54">
            <v>5.2892995391705068E-3</v>
          </cell>
          <cell r="BB54">
            <v>5.5725993058233702E-3</v>
          </cell>
          <cell r="BC54">
            <v>6.3332380743020443E-3</v>
          </cell>
          <cell r="BE54">
            <v>1973</v>
          </cell>
          <cell r="BF54">
            <v>-4.8484848484848464E-2</v>
          </cell>
          <cell r="BG54">
            <v>-2.8232053709760674E-2</v>
          </cell>
          <cell r="BH54">
            <v>-1.8423383525243531E-2</v>
          </cell>
          <cell r="BI54">
            <v>-9.9260061360765262E-3</v>
          </cell>
          <cell r="BJ54">
            <v>1.6405395552314683E-3</v>
          </cell>
          <cell r="BK54">
            <v>-2.1838034576888044E-2</v>
          </cell>
          <cell r="BL54">
            <v>-2.5116279069767433E-2</v>
          </cell>
          <cell r="BM54">
            <v>-3.3778625954198449E-2</v>
          </cell>
          <cell r="BN54">
            <v>7.149911119889385E-2</v>
          </cell>
          <cell r="BO54">
            <v>-4.4055299539170534E-2</v>
          </cell>
          <cell r="BP54">
            <v>-0.12283069803316626</v>
          </cell>
          <cell r="BQ54">
            <v>3.1215651791602461E-2</v>
          </cell>
          <cell r="BS54">
            <v>1973</v>
          </cell>
          <cell r="BT54">
            <v>-4.3930444990444968E-2</v>
          </cell>
          <cell r="BU54">
            <v>-2.3429643656395206E-2</v>
          </cell>
          <cell r="BV54">
            <v>-1.3476814289932047E-2</v>
          </cell>
          <cell r="BW54">
            <v>-4.8990314624315764E-3</v>
          </cell>
          <cell r="BX54">
            <v>6.7345895613075404E-3</v>
          </cell>
          <cell r="BY54">
            <v>-1.6742393084622349E-2</v>
          </cell>
          <cell r="BZ54">
            <v>-1.9909255813953478E-2</v>
          </cell>
          <cell r="CA54">
            <v>-2.8388256997455445E-2</v>
          </cell>
          <cell r="CB54">
            <v>7.7147172295740252E-2</v>
          </cell>
          <cell r="CC54">
            <v>-3.876600000000003E-2</v>
          </cell>
          <cell r="CD54">
            <v>-0.1172580987273429</v>
          </cell>
          <cell r="CE54">
            <v>3.7548889865904503E-2</v>
          </cell>
          <cell r="CG54">
            <v>1973</v>
          </cell>
          <cell r="CH54">
            <v>-0.1806767077983169</v>
          </cell>
        </row>
        <row r="55">
          <cell r="A55">
            <v>1974</v>
          </cell>
          <cell r="B55">
            <v>4860</v>
          </cell>
          <cell r="C55">
            <v>4813</v>
          </cell>
          <cell r="D55">
            <v>4790</v>
          </cell>
          <cell r="E55">
            <v>4403</v>
          </cell>
          <cell r="F55">
            <v>3935</v>
          </cell>
          <cell r="G55">
            <v>3746</v>
          </cell>
          <cell r="H55">
            <v>3537</v>
          </cell>
          <cell r="I55">
            <v>3400</v>
          </cell>
          <cell r="J55">
            <v>3093</v>
          </cell>
          <cell r="K55">
            <v>3380</v>
          </cell>
          <cell r="L55">
            <v>3445</v>
          </cell>
          <cell r="M55">
            <v>3285</v>
          </cell>
          <cell r="O55">
            <v>1974</v>
          </cell>
          <cell r="P55">
            <v>713</v>
          </cell>
          <cell r="Q55">
            <v>722</v>
          </cell>
          <cell r="R55">
            <v>727</v>
          </cell>
          <cell r="S55">
            <v>782</v>
          </cell>
          <cell r="T55">
            <v>861</v>
          </cell>
          <cell r="U55">
            <v>902</v>
          </cell>
          <cell r="V55">
            <v>960</v>
          </cell>
          <cell r="W55">
            <v>1011</v>
          </cell>
          <cell r="X55">
            <v>1123</v>
          </cell>
          <cell r="Y55">
            <v>1035</v>
          </cell>
          <cell r="Z55">
            <v>1020</v>
          </cell>
          <cell r="AA55">
            <v>1061</v>
          </cell>
          <cell r="AC55">
            <v>1974</v>
          </cell>
          <cell r="AD55">
            <v>4858</v>
          </cell>
          <cell r="AE55">
            <v>4858</v>
          </cell>
          <cell r="AF55">
            <v>4640</v>
          </cell>
          <cell r="AG55">
            <v>4010</v>
          </cell>
          <cell r="AH55">
            <v>3788</v>
          </cell>
          <cell r="AI55">
            <v>3544</v>
          </cell>
          <cell r="AJ55">
            <v>3484</v>
          </cell>
          <cell r="AK55">
            <v>3152</v>
          </cell>
          <cell r="AL55">
            <v>3096</v>
          </cell>
          <cell r="AM55">
            <v>3438</v>
          </cell>
          <cell r="AN55">
            <v>3368</v>
          </cell>
          <cell r="AO55">
            <v>3354</v>
          </cell>
          <cell r="AQ55">
            <v>1974</v>
          </cell>
          <cell r="AR55">
            <v>6.1557237262843739E-3</v>
          </cell>
          <cell r="AS55">
            <v>5.9609338548099362E-3</v>
          </cell>
          <cell r="AT55">
            <v>5.9735316316728423E-3</v>
          </cell>
          <cell r="AU55">
            <v>6.1838110632183906E-3</v>
          </cell>
          <cell r="AV55">
            <v>7.0408042394014955E-3</v>
          </cell>
          <cell r="AW55">
            <v>7.4333245336149229E-3</v>
          </cell>
          <cell r="AX55">
            <v>7.9841986455981943E-3</v>
          </cell>
          <cell r="AY55">
            <v>8.2218714121699201E-3</v>
          </cell>
          <cell r="AZ55">
            <v>9.183161484771574E-3</v>
          </cell>
          <cell r="BA55">
            <v>9.4161821705426359E-3</v>
          </cell>
          <cell r="BB55">
            <v>8.5173065735892964E-3</v>
          </cell>
          <cell r="BC55">
            <v>8.6237752375296906E-3</v>
          </cell>
          <cell r="BE55">
            <v>1974</v>
          </cell>
          <cell r="BF55">
            <v>3.5600085269665405E-2</v>
          </cell>
          <cell r="BG55">
            <v>0</v>
          </cell>
          <cell r="BH55">
            <v>-4.4874433923425272E-2</v>
          </cell>
          <cell r="BI55">
            <v>-0.13577586206896552</v>
          </cell>
          <cell r="BJ55">
            <v>-5.5361596009975034E-2</v>
          </cell>
          <cell r="BK55">
            <v>-6.4413938753959843E-2</v>
          </cell>
          <cell r="BL55">
            <v>-1.6930022573363401E-2</v>
          </cell>
          <cell r="BM55">
            <v>-9.5292766934558015E-2</v>
          </cell>
          <cell r="BN55">
            <v>-1.7766497461928932E-2</v>
          </cell>
          <cell r="BO55">
            <v>0.11046511627906974</v>
          </cell>
          <cell r="BP55">
            <v>-2.0360674810936619E-2</v>
          </cell>
          <cell r="BQ55">
            <v>-4.1567695961994833E-3</v>
          </cell>
          <cell r="BS55">
            <v>1974</v>
          </cell>
          <cell r="BT55">
            <v>4.1755808995949779E-2</v>
          </cell>
          <cell r="BU55">
            <v>5.9609338548099362E-3</v>
          </cell>
          <cell r="BV55">
            <v>-3.8900902291752429E-2</v>
          </cell>
          <cell r="BW55">
            <v>-0.12959205100574714</v>
          </cell>
          <cell r="BX55">
            <v>-4.8320791770573537E-2</v>
          </cell>
          <cell r="BY55">
            <v>-5.6980614220344922E-2</v>
          </cell>
          <cell r="BZ55">
            <v>-8.945823927765207E-3</v>
          </cell>
          <cell r="CA55">
            <v>-8.70708955223881E-2</v>
          </cell>
          <cell r="CB55">
            <v>-8.5833359771573577E-3</v>
          </cell>
          <cell r="CC55">
            <v>0.11988129844961237</v>
          </cell>
          <cell r="CD55">
            <v>-1.1843368237347322E-2</v>
          </cell>
          <cell r="CE55">
            <v>4.4670056413302073E-3</v>
          </cell>
          <cell r="CG55">
            <v>1974</v>
          </cell>
          <cell r="CH55">
            <v>-0.21553533404849279</v>
          </cell>
        </row>
        <row r="56">
          <cell r="A56">
            <v>1975</v>
          </cell>
          <cell r="B56">
            <v>3819</v>
          </cell>
          <cell r="C56">
            <v>4037</v>
          </cell>
          <cell r="D56">
            <v>3955</v>
          </cell>
          <cell r="E56">
            <v>3819</v>
          </cell>
          <cell r="F56">
            <v>3969</v>
          </cell>
          <cell r="G56">
            <v>4367</v>
          </cell>
          <cell r="H56">
            <v>4367</v>
          </cell>
          <cell r="I56">
            <v>4061</v>
          </cell>
          <cell r="J56">
            <v>4053</v>
          </cell>
          <cell r="K56">
            <v>4259</v>
          </cell>
          <cell r="L56">
            <v>4377</v>
          </cell>
          <cell r="M56">
            <v>4325</v>
          </cell>
          <cell r="O56">
            <v>1975</v>
          </cell>
          <cell r="P56">
            <v>920</v>
          </cell>
          <cell r="Q56">
            <v>882</v>
          </cell>
          <cell r="R56">
            <v>904</v>
          </cell>
          <cell r="S56">
            <v>936</v>
          </cell>
          <cell r="T56">
            <v>901</v>
          </cell>
          <cell r="U56">
            <v>823</v>
          </cell>
          <cell r="V56">
            <v>823</v>
          </cell>
          <cell r="W56">
            <v>891</v>
          </cell>
          <cell r="X56">
            <v>891</v>
          </cell>
          <cell r="Y56">
            <v>854</v>
          </cell>
          <cell r="Z56">
            <v>824</v>
          </cell>
          <cell r="AA56">
            <v>839</v>
          </cell>
          <cell r="AC56">
            <v>1975</v>
          </cell>
          <cell r="AD56">
            <v>3961</v>
          </cell>
          <cell r="AE56">
            <v>3988</v>
          </cell>
          <cell r="AF56">
            <v>3872</v>
          </cell>
          <cell r="AG56">
            <v>3788</v>
          </cell>
          <cell r="AH56">
            <v>4086</v>
          </cell>
          <cell r="AI56">
            <v>4492</v>
          </cell>
          <cell r="AJ56">
            <v>4233</v>
          </cell>
          <cell r="AK56">
            <v>4113</v>
          </cell>
          <cell r="AL56">
            <v>4063</v>
          </cell>
          <cell r="AM56">
            <v>4320</v>
          </cell>
          <cell r="AN56">
            <v>4441</v>
          </cell>
          <cell r="AO56">
            <v>4445</v>
          </cell>
          <cell r="AQ56">
            <v>1975</v>
          </cell>
          <cell r="AR56">
            <v>8.7295766249254631E-3</v>
          </cell>
          <cell r="AS56">
            <v>7.4910249936884629E-3</v>
          </cell>
          <cell r="AT56">
            <v>7.4709963223002331E-3</v>
          </cell>
          <cell r="AU56">
            <v>7.6932334710743799E-3</v>
          </cell>
          <cell r="AV56">
            <v>7.867100052798311E-3</v>
          </cell>
          <cell r="AW56">
            <v>7.3299906183716757E-3</v>
          </cell>
          <cell r="AX56">
            <v>6.6674847877708533E-3</v>
          </cell>
          <cell r="AY56">
            <v>7.1232990786676111E-3</v>
          </cell>
          <cell r="AZ56">
            <v>7.3166849015317281E-3</v>
          </cell>
          <cell r="BA56">
            <v>7.4599762080564428E-3</v>
          </cell>
          <cell r="BB56">
            <v>6.957268518518518E-3</v>
          </cell>
          <cell r="BC56">
            <v>6.8090426330406064E-3</v>
          </cell>
          <cell r="BE56">
            <v>1975</v>
          </cell>
          <cell r="BF56">
            <v>0.18097793679189023</v>
          </cell>
          <cell r="BG56">
            <v>6.8164604897753556E-3</v>
          </cell>
          <cell r="BH56">
            <v>-2.9087261785356033E-2</v>
          </cell>
          <cell r="BI56">
            <v>-2.1694214876033069E-2</v>
          </cell>
          <cell r="BJ56">
            <v>7.8669482576557481E-2</v>
          </cell>
          <cell r="BK56">
            <v>9.9363680861478176E-2</v>
          </cell>
          <cell r="BL56">
            <v>-5.7658058771148712E-2</v>
          </cell>
          <cell r="BM56">
            <v>-2.8348688873139571E-2</v>
          </cell>
          <cell r="BN56">
            <v>-1.2156576707999078E-2</v>
          </cell>
          <cell r="BO56">
            <v>6.3253753384198808E-2</v>
          </cell>
          <cell r="BP56">
            <v>2.8009259259259345E-2</v>
          </cell>
          <cell r="BQ56">
            <v>9.0069804098180661E-4</v>
          </cell>
          <cell r="BS56">
            <v>1975</v>
          </cell>
          <cell r="BT56">
            <v>0.18970751341681569</v>
          </cell>
          <cell r="BU56">
            <v>1.4307485483463819E-2</v>
          </cell>
          <cell r="BV56">
            <v>-2.1616265463055801E-2</v>
          </cell>
          <cell r="BW56">
            <v>-1.4000981404958689E-2</v>
          </cell>
          <cell r="BX56">
            <v>8.653658262935579E-2</v>
          </cell>
          <cell r="BY56">
            <v>0.10669367147984986</v>
          </cell>
          <cell r="BZ56">
            <v>-5.0990573983377863E-2</v>
          </cell>
          <cell r="CA56">
            <v>-2.1225389794471961E-2</v>
          </cell>
          <cell r="CB56">
            <v>-4.8398918064673502E-3</v>
          </cell>
          <cell r="CC56">
            <v>7.0713729592255248E-2</v>
          </cell>
          <cell r="CD56">
            <v>3.496652777777786E-2</v>
          </cell>
          <cell r="CE56">
            <v>7.7097406740224131E-3</v>
          </cell>
          <cell r="CG56">
            <v>1975</v>
          </cell>
          <cell r="CH56">
            <v>0.44493607314755623</v>
          </cell>
        </row>
        <row r="57">
          <cell r="A57">
            <v>1976</v>
          </cell>
          <cell r="B57">
            <v>4699</v>
          </cell>
          <cell r="C57">
            <v>4722</v>
          </cell>
          <cell r="D57">
            <v>4567</v>
          </cell>
          <cell r="E57">
            <v>4607</v>
          </cell>
          <cell r="F57">
            <v>4569</v>
          </cell>
          <cell r="G57">
            <v>4561</v>
          </cell>
          <cell r="H57">
            <v>4749</v>
          </cell>
          <cell r="I57">
            <v>4881</v>
          </cell>
          <cell r="J57">
            <v>5063</v>
          </cell>
          <cell r="K57">
            <v>5018</v>
          </cell>
          <cell r="L57">
            <v>5055</v>
          </cell>
          <cell r="M57">
            <v>5301</v>
          </cell>
          <cell r="O57">
            <v>1976</v>
          </cell>
          <cell r="P57">
            <v>776</v>
          </cell>
          <cell r="Q57">
            <v>779</v>
          </cell>
          <cell r="R57">
            <v>810</v>
          </cell>
          <cell r="S57">
            <v>807</v>
          </cell>
          <cell r="T57">
            <v>817</v>
          </cell>
          <cell r="U57">
            <v>819</v>
          </cell>
          <cell r="V57">
            <v>783</v>
          </cell>
          <cell r="W57">
            <v>770</v>
          </cell>
          <cell r="X57">
            <v>748</v>
          </cell>
          <cell r="Y57">
            <v>753</v>
          </cell>
          <cell r="Z57">
            <v>754</v>
          </cell>
          <cell r="AA57">
            <v>722</v>
          </cell>
          <cell r="AC57">
            <v>1976</v>
          </cell>
          <cell r="AD57">
            <v>4812</v>
          </cell>
          <cell r="AE57">
            <v>4610</v>
          </cell>
          <cell r="AF57">
            <v>4625</v>
          </cell>
          <cell r="AG57">
            <v>4611</v>
          </cell>
          <cell r="AH57">
            <v>4516</v>
          </cell>
          <cell r="AI57">
            <v>4637</v>
          </cell>
          <cell r="AJ57">
            <v>4764</v>
          </cell>
          <cell r="AK57">
            <v>4915</v>
          </cell>
          <cell r="AL57">
            <v>5071</v>
          </cell>
          <cell r="AM57">
            <v>5029</v>
          </cell>
          <cell r="AN57">
            <v>5132</v>
          </cell>
          <cell r="AO57">
            <v>5424</v>
          </cell>
          <cell r="AQ57">
            <v>1976</v>
          </cell>
          <cell r="AR57">
            <v>6.8361904761904766E-3</v>
          </cell>
          <cell r="AS57">
            <v>6.3702514546965915E-3</v>
          </cell>
          <cell r="AT57">
            <v>6.6870390455531451E-3</v>
          </cell>
          <cell r="AU57">
            <v>6.6988270270270274E-3</v>
          </cell>
          <cell r="AV57">
            <v>6.7463185859900233E-3</v>
          </cell>
          <cell r="AW57">
            <v>6.8930081930912305E-3</v>
          </cell>
          <cell r="AX57">
            <v>6.6826018977787357E-3</v>
          </cell>
          <cell r="AY57">
            <v>6.574254827875734E-3</v>
          </cell>
          <cell r="AZ57">
            <v>6.4210308579179384E-3</v>
          </cell>
          <cell r="BA57">
            <v>6.2094162887004539E-3</v>
          </cell>
          <cell r="BB57">
            <v>6.3158182541260682E-3</v>
          </cell>
          <cell r="BC57">
            <v>6.2147992985190957E-3</v>
          </cell>
          <cell r="BE57">
            <v>1976</v>
          </cell>
          <cell r="BF57">
            <v>8.2564679415073172E-2</v>
          </cell>
          <cell r="BG57">
            <v>-4.1978387364920988E-2</v>
          </cell>
          <cell r="BH57">
            <v>3.2537960954446277E-3</v>
          </cell>
          <cell r="BI57">
            <v>-3.0270270270270627E-3</v>
          </cell>
          <cell r="BJ57">
            <v>-2.0602906094122742E-2</v>
          </cell>
          <cell r="BK57">
            <v>2.6793622674933459E-2</v>
          </cell>
          <cell r="BL57">
            <v>2.7388397670907949E-2</v>
          </cell>
          <cell r="BM57">
            <v>3.1696053736355978E-2</v>
          </cell>
          <cell r="BN57">
            <v>3.1739572736520838E-2</v>
          </cell>
          <cell r="BO57">
            <v>-8.2823900611319612E-3</v>
          </cell>
          <cell r="BP57">
            <v>2.0481208987870314E-2</v>
          </cell>
          <cell r="BQ57">
            <v>5.6897895557287637E-2</v>
          </cell>
          <cell r="BS57">
            <v>1976</v>
          </cell>
          <cell r="BT57">
            <v>8.9400869891263654E-2</v>
          </cell>
          <cell r="BU57">
            <v>-3.5608135910224395E-2</v>
          </cell>
          <cell r="BV57">
            <v>9.9408351409977728E-3</v>
          </cell>
          <cell r="BW57">
            <v>3.6717999999999647E-3</v>
          </cell>
          <cell r="BX57">
            <v>-1.3856587508132718E-2</v>
          </cell>
          <cell r="BY57">
            <v>3.3686630868024689E-2</v>
          </cell>
          <cell r="BZ57">
            <v>3.4070999568686686E-2</v>
          </cell>
          <cell r="CA57">
            <v>3.8270308564231713E-2</v>
          </cell>
          <cell r="CB57">
            <v>3.8160603594438777E-2</v>
          </cell>
          <cell r="CC57">
            <v>-2.0729737724315073E-3</v>
          </cell>
          <cell r="CD57">
            <v>2.6797027241996382E-2</v>
          </cell>
          <cell r="CE57">
            <v>6.3112694855806728E-2</v>
          </cell>
          <cell r="CG57">
            <v>1976</v>
          </cell>
          <cell r="CH57">
            <v>0.318092582602163</v>
          </cell>
        </row>
        <row r="58">
          <cell r="A58">
            <v>1977</v>
          </cell>
          <cell r="B58">
            <v>5401</v>
          </cell>
          <cell r="C58">
            <v>5288</v>
          </cell>
          <cell r="D58">
            <v>5214</v>
          </cell>
          <cell r="E58">
            <v>5257</v>
          </cell>
          <cell r="F58">
            <v>5368</v>
          </cell>
          <cell r="G58">
            <v>5529</v>
          </cell>
          <cell r="H58">
            <v>5695</v>
          </cell>
          <cell r="I58">
            <v>5542</v>
          </cell>
          <cell r="J58">
            <v>5461</v>
          </cell>
          <cell r="K58">
            <v>5426</v>
          </cell>
          <cell r="L58">
            <v>5446</v>
          </cell>
          <cell r="M58">
            <v>5454</v>
          </cell>
          <cell r="O58">
            <v>1977</v>
          </cell>
          <cell r="P58">
            <v>714</v>
          </cell>
          <cell r="Q58">
            <v>734</v>
          </cell>
          <cell r="R58">
            <v>750</v>
          </cell>
          <cell r="S58">
            <v>751</v>
          </cell>
          <cell r="T58">
            <v>742</v>
          </cell>
          <cell r="U58">
            <v>725</v>
          </cell>
          <cell r="V58">
            <v>704</v>
          </cell>
          <cell r="W58">
            <v>734</v>
          </cell>
          <cell r="X58">
            <v>746</v>
          </cell>
          <cell r="Y58">
            <v>754</v>
          </cell>
          <cell r="Z58">
            <v>757</v>
          </cell>
          <cell r="AA58">
            <v>762</v>
          </cell>
          <cell r="AC58">
            <v>1977</v>
          </cell>
          <cell r="AD58">
            <v>5411</v>
          </cell>
          <cell r="AE58">
            <v>5177</v>
          </cell>
          <cell r="AF58">
            <v>5197</v>
          </cell>
          <cell r="AG58">
            <v>5273</v>
          </cell>
          <cell r="AH58">
            <v>5351</v>
          </cell>
          <cell r="AI58">
            <v>5602</v>
          </cell>
          <cell r="AJ58">
            <v>5660</v>
          </cell>
          <cell r="AK58">
            <v>5426</v>
          </cell>
          <cell r="AL58">
            <v>5526</v>
          </cell>
          <cell r="AM58">
            <v>5328</v>
          </cell>
          <cell r="AN58">
            <v>5497</v>
          </cell>
          <cell r="AO58">
            <v>5473</v>
          </cell>
          <cell r="AQ58">
            <v>1977</v>
          </cell>
          <cell r="AR58">
            <v>5.9247695427728612E-3</v>
          </cell>
          <cell r="AS58">
            <v>5.9776258239388896E-3</v>
          </cell>
          <cell r="AT58">
            <v>6.294668727062005E-3</v>
          </cell>
          <cell r="AU58">
            <v>6.3305865563466103E-3</v>
          </cell>
          <cell r="AV58">
            <v>6.2947341804159554E-3</v>
          </cell>
          <cell r="AW58">
            <v>6.2426415623247989E-3</v>
          </cell>
          <cell r="AX58">
            <v>5.9640604545995483E-3</v>
          </cell>
          <cell r="AY58">
            <v>5.9891460541813902E-3</v>
          </cell>
          <cell r="AZ58">
            <v>6.2567668018184055E-3</v>
          </cell>
          <cell r="BA58">
            <v>6.1696284232114857E-3</v>
          </cell>
          <cell r="BB58">
            <v>6.4480449199199198E-3</v>
          </cell>
          <cell r="BC58">
            <v>6.3003274513370932E-3</v>
          </cell>
          <cell r="BE58">
            <v>1977</v>
          </cell>
          <cell r="BF58">
            <v>-2.3967551622419148E-3</v>
          </cell>
          <cell r="BG58">
            <v>-4.3245241175383531E-2</v>
          </cell>
          <cell r="BH58">
            <v>3.8632412594166166E-3</v>
          </cell>
          <cell r="BI58">
            <v>1.4623821435443496E-2</v>
          </cell>
          <cell r="BJ58">
            <v>1.4792338327327847E-2</v>
          </cell>
          <cell r="BK58">
            <v>4.6907120164455307E-2</v>
          </cell>
          <cell r="BL58">
            <v>1.0353445198143518E-2</v>
          </cell>
          <cell r="BM58">
            <v>-4.134275618374561E-2</v>
          </cell>
          <cell r="BN58">
            <v>1.8429782528566196E-2</v>
          </cell>
          <cell r="BO58">
            <v>-3.5830618892508159E-2</v>
          </cell>
          <cell r="BP58">
            <v>3.1719219219219275E-2</v>
          </cell>
          <cell r="BQ58">
            <v>-4.3660178279061324E-3</v>
          </cell>
          <cell r="BS58">
            <v>1977</v>
          </cell>
          <cell r="BT58">
            <v>3.5280143805309465E-3</v>
          </cell>
          <cell r="BU58">
            <v>-3.7267615351444641E-2</v>
          </cell>
          <cell r="BV58">
            <v>1.0157909986478621E-2</v>
          </cell>
          <cell r="BW58">
            <v>2.0954407991790106E-2</v>
          </cell>
          <cell r="BX58">
            <v>2.1087072507743804E-2</v>
          </cell>
          <cell r="BY58">
            <v>5.3149761726780105E-2</v>
          </cell>
          <cell r="BZ58">
            <v>1.6317505652743067E-2</v>
          </cell>
          <cell r="CA58">
            <v>-3.5353610129564221E-2</v>
          </cell>
          <cell r="CB58">
            <v>2.4686549330384604E-2</v>
          </cell>
          <cell r="CC58">
            <v>-2.9660990469296673E-2</v>
          </cell>
          <cell r="CD58">
            <v>3.8167264139139193E-2</v>
          </cell>
          <cell r="CE58">
            <v>1.9343096234309609E-3</v>
          </cell>
          <cell r="CG58">
            <v>1977</v>
          </cell>
          <cell r="CH58">
            <v>8.6431292151616157E-2</v>
          </cell>
        </row>
        <row r="59">
          <cell r="A59">
            <v>1978</v>
          </cell>
          <cell r="B59">
            <v>5240</v>
          </cell>
          <cell r="C59">
            <v>5160</v>
          </cell>
          <cell r="D59">
            <v>5172</v>
          </cell>
          <cell r="E59">
            <v>5216</v>
          </cell>
          <cell r="F59">
            <v>5171</v>
          </cell>
          <cell r="G59">
            <v>5225</v>
          </cell>
          <cell r="H59">
            <v>5232</v>
          </cell>
          <cell r="I59">
            <v>5335</v>
          </cell>
          <cell r="J59">
            <v>5254</v>
          </cell>
          <cell r="K59">
            <v>5128</v>
          </cell>
          <cell r="L59">
            <v>4904</v>
          </cell>
          <cell r="M59">
            <v>4932</v>
          </cell>
          <cell r="O59">
            <v>1978</v>
          </cell>
          <cell r="P59">
            <v>791</v>
          </cell>
          <cell r="Q59">
            <v>811</v>
          </cell>
          <cell r="R59">
            <v>816</v>
          </cell>
          <cell r="S59">
            <v>814</v>
          </cell>
          <cell r="T59">
            <v>828</v>
          </cell>
          <cell r="U59">
            <v>822</v>
          </cell>
          <cell r="V59">
            <v>823</v>
          </cell>
          <cell r="W59">
            <v>815</v>
          </cell>
          <cell r="X59">
            <v>831</v>
          </cell>
          <cell r="Y59">
            <v>847</v>
          </cell>
          <cell r="Z59">
            <v>898</v>
          </cell>
          <cell r="AA59">
            <v>899</v>
          </cell>
          <cell r="AC59">
            <v>1978</v>
          </cell>
          <cell r="AD59">
            <v>5147</v>
          </cell>
          <cell r="AE59">
            <v>5080</v>
          </cell>
          <cell r="AF59">
            <v>5202</v>
          </cell>
          <cell r="AG59">
            <v>5222</v>
          </cell>
          <cell r="AH59">
            <v>5209</v>
          </cell>
          <cell r="AI59">
            <v>5192</v>
          </cell>
          <cell r="AJ59">
            <v>5320</v>
          </cell>
          <cell r="AK59">
            <v>5282</v>
          </cell>
          <cell r="AL59">
            <v>5216</v>
          </cell>
          <cell r="AM59">
            <v>4823</v>
          </cell>
          <cell r="AN59">
            <v>4958</v>
          </cell>
          <cell r="AO59">
            <v>4847</v>
          </cell>
          <cell r="AQ59">
            <v>1978</v>
          </cell>
          <cell r="AR59">
            <v>6.3110420853888785E-3</v>
          </cell>
          <cell r="AS59">
            <v>6.7754031474645433E-3</v>
          </cell>
          <cell r="AT59">
            <v>6.9231496062992122E-3</v>
          </cell>
          <cell r="AU59">
            <v>6.80158913238498E-3</v>
          </cell>
          <cell r="AV59">
            <v>6.8326120260436612E-3</v>
          </cell>
          <cell r="AW59">
            <v>6.8710405068151273E-3</v>
          </cell>
          <cell r="AX59">
            <v>6.9111710323574724E-3</v>
          </cell>
          <cell r="AY59">
            <v>6.8108161027568923E-3</v>
          </cell>
          <cell r="AZ59">
            <v>6.8882904202953428E-3</v>
          </cell>
          <cell r="BA59">
            <v>6.9392510224948866E-3</v>
          </cell>
          <cell r="BB59">
            <v>7.6090123712765217E-3</v>
          </cell>
          <cell r="BC59">
            <v>7.4523799919322302E-3</v>
          </cell>
          <cell r="BE59">
            <v>1978</v>
          </cell>
          <cell r="BF59">
            <v>-5.9565137949936009E-2</v>
          </cell>
          <cell r="BG59">
            <v>-1.3017291626190031E-2</v>
          </cell>
          <cell r="BH59">
            <v>2.4015748031495976E-2</v>
          </cell>
          <cell r="BI59">
            <v>3.8446751249519018E-3</v>
          </cell>
          <cell r="BJ59">
            <v>-2.4894676369207058E-3</v>
          </cell>
          <cell r="BK59">
            <v>-3.263582261470499E-3</v>
          </cell>
          <cell r="BL59">
            <v>2.4653312788905923E-2</v>
          </cell>
          <cell r="BM59">
            <v>-7.1428571428571175E-3</v>
          </cell>
          <cell r="BN59">
            <v>-1.2495266944339223E-2</v>
          </cell>
          <cell r="BO59">
            <v>-7.5345092024539873E-2</v>
          </cell>
          <cell r="BP59">
            <v>2.7990877047480822E-2</v>
          </cell>
          <cell r="BQ59">
            <v>-2.2388059701492491E-2</v>
          </cell>
          <cell r="BS59">
            <v>1978</v>
          </cell>
          <cell r="BT59">
            <v>-5.325409586454713E-2</v>
          </cell>
          <cell r="BU59">
            <v>-6.2418884787254873E-3</v>
          </cell>
          <cell r="BV59">
            <v>3.0938897637795188E-2</v>
          </cell>
          <cell r="BW59">
            <v>1.0646264257336882E-2</v>
          </cell>
          <cell r="BX59">
            <v>4.3431443891229554E-3</v>
          </cell>
          <cell r="BY59">
            <v>3.6074582453446283E-3</v>
          </cell>
          <cell r="BZ59">
            <v>3.1564483821263395E-2</v>
          </cell>
          <cell r="CA59">
            <v>-3.3204104010022516E-4</v>
          </cell>
          <cell r="CB59">
            <v>-5.60697652404388E-3</v>
          </cell>
          <cell r="CC59">
            <v>-6.8405841002044984E-2</v>
          </cell>
          <cell r="CD59">
            <v>3.5599889418757344E-2</v>
          </cell>
          <cell r="CE59">
            <v>-1.4935679709560262E-2</v>
          </cell>
          <cell r="CG59">
            <v>1978</v>
          </cell>
          <cell r="CH59">
            <v>-3.7089803442689417E-2</v>
          </cell>
        </row>
        <row r="60">
          <cell r="A60">
            <v>1979</v>
          </cell>
          <cell r="B60">
            <v>5033</v>
          </cell>
          <cell r="C60">
            <v>5074</v>
          </cell>
          <cell r="D60">
            <v>5062</v>
          </cell>
          <cell r="E60">
            <v>5009</v>
          </cell>
          <cell r="F60">
            <v>4865</v>
          </cell>
          <cell r="G60">
            <v>5057</v>
          </cell>
          <cell r="H60">
            <v>5173</v>
          </cell>
          <cell r="I60">
            <v>5252</v>
          </cell>
          <cell r="J60">
            <v>5116</v>
          </cell>
          <cell r="K60">
            <v>4905</v>
          </cell>
          <cell r="L60">
            <v>4879</v>
          </cell>
          <cell r="M60">
            <v>5050</v>
          </cell>
          <cell r="O60">
            <v>1979</v>
          </cell>
          <cell r="P60">
            <v>893</v>
          </cell>
          <cell r="Q60">
            <v>896</v>
          </cell>
          <cell r="R60">
            <v>897</v>
          </cell>
          <cell r="S60">
            <v>909</v>
          </cell>
          <cell r="T60">
            <v>942</v>
          </cell>
          <cell r="U60">
            <v>907</v>
          </cell>
          <cell r="V60">
            <v>892</v>
          </cell>
          <cell r="W60">
            <v>888</v>
          </cell>
          <cell r="X60">
            <v>920</v>
          </cell>
          <cell r="Y60">
            <v>968</v>
          </cell>
          <cell r="Z60">
            <v>971</v>
          </cell>
          <cell r="AA60">
            <v>943</v>
          </cell>
          <cell r="AC60">
            <v>1979</v>
          </cell>
          <cell r="AD60">
            <v>5145</v>
          </cell>
          <cell r="AE60">
            <v>4998</v>
          </cell>
          <cell r="AF60">
            <v>5058</v>
          </cell>
          <cell r="AG60">
            <v>4894</v>
          </cell>
          <cell r="AH60">
            <v>4929</v>
          </cell>
          <cell r="AI60">
            <v>5081</v>
          </cell>
          <cell r="AJ60">
            <v>5216</v>
          </cell>
          <cell r="AK60">
            <v>5230</v>
          </cell>
          <cell r="AL60">
            <v>5098</v>
          </cell>
          <cell r="AM60">
            <v>4801</v>
          </cell>
          <cell r="AN60">
            <v>5053</v>
          </cell>
          <cell r="AO60">
            <v>5024</v>
          </cell>
          <cell r="AQ60">
            <v>1979</v>
          </cell>
          <cell r="AR60">
            <v>7.7272350594869681E-3</v>
          </cell>
          <cell r="AS60">
            <v>7.363628117913832E-3</v>
          </cell>
          <cell r="AT60">
            <v>7.5707182873149268E-3</v>
          </cell>
          <cell r="AU60">
            <v>7.5016162514827999E-3</v>
          </cell>
          <cell r="AV60">
            <v>7.8034838577850426E-3</v>
          </cell>
          <cell r="AW60">
            <v>7.7546138500033824E-3</v>
          </cell>
          <cell r="AX60">
            <v>7.567926261234665E-3</v>
          </cell>
          <cell r="AY60">
            <v>7.4510736196319012E-3</v>
          </cell>
          <cell r="AZ60">
            <v>7.4995538559592106E-3</v>
          </cell>
          <cell r="BA60">
            <v>7.7612789329148685E-3</v>
          </cell>
          <cell r="BB60">
            <v>8.2231288620426297E-3</v>
          </cell>
          <cell r="BC60">
            <v>7.8536677881126723E-3</v>
          </cell>
          <cell r="BE60">
            <v>1979</v>
          </cell>
          <cell r="BF60">
            <v>6.1481328656901146E-2</v>
          </cell>
          <cell r="BG60">
            <v>-2.8571428571428581E-2</v>
          </cell>
          <cell r="BH60">
            <v>1.200480192076836E-2</v>
          </cell>
          <cell r="BI60">
            <v>-3.2423882957690831E-2</v>
          </cell>
          <cell r="BJ60">
            <v>7.1516142214957945E-3</v>
          </cell>
          <cell r="BK60">
            <v>3.0837898153783794E-2</v>
          </cell>
          <cell r="BL60">
            <v>2.6569572918716755E-2</v>
          </cell>
          <cell r="BM60">
            <v>2.6840490797546135E-3</v>
          </cell>
          <cell r="BN60">
            <v>-2.5239005736137687E-2</v>
          </cell>
          <cell r="BO60">
            <v>-5.8258140447234208E-2</v>
          </cell>
          <cell r="BP60">
            <v>5.2489064778171279E-2</v>
          </cell>
          <cell r="BQ60">
            <v>-5.7391648525628725E-3</v>
          </cell>
          <cell r="BS60">
            <v>1979</v>
          </cell>
          <cell r="BT60">
            <v>6.9208563716388116E-2</v>
          </cell>
          <cell r="BU60">
            <v>-2.1207800453514749E-2</v>
          </cell>
          <cell r="BV60">
            <v>1.9575520208083286E-2</v>
          </cell>
          <cell r="BW60">
            <v>-2.4922266706208032E-2</v>
          </cell>
          <cell r="BX60">
            <v>1.4955098079280837E-2</v>
          </cell>
          <cell r="BY60">
            <v>3.8592512003787174E-2</v>
          </cell>
          <cell r="BZ60">
            <v>3.4137499179951417E-2</v>
          </cell>
          <cell r="CA60">
            <v>1.0135122699386514E-2</v>
          </cell>
          <cell r="CB60">
            <v>-1.7739451880178475E-2</v>
          </cell>
          <cell r="CC60">
            <v>-5.0496861514319341E-2</v>
          </cell>
          <cell r="CD60">
            <v>6.0712193640213907E-2</v>
          </cell>
          <cell r="CE60">
            <v>2.1145029355497998E-3</v>
          </cell>
          <cell r="CG60">
            <v>1979</v>
          </cell>
          <cell r="CH60">
            <v>0.13579344094019286</v>
          </cell>
        </row>
        <row r="61">
          <cell r="A61">
            <v>1980</v>
          </cell>
          <cell r="B61">
            <v>5026</v>
          </cell>
          <cell r="C61">
            <v>4904</v>
          </cell>
          <cell r="D61">
            <v>4540</v>
          </cell>
          <cell r="E61">
            <v>4837</v>
          </cell>
          <cell r="F61">
            <v>5063</v>
          </cell>
          <cell r="G61">
            <v>5248</v>
          </cell>
          <cell r="H61">
            <v>5282</v>
          </cell>
          <cell r="I61">
            <v>5118</v>
          </cell>
          <cell r="J61">
            <v>5110</v>
          </cell>
          <cell r="K61">
            <v>5149</v>
          </cell>
          <cell r="L61">
            <v>5208</v>
          </cell>
          <cell r="M61">
            <v>5166</v>
          </cell>
          <cell r="O61">
            <v>1980</v>
          </cell>
          <cell r="P61">
            <v>953</v>
          </cell>
          <cell r="Q61">
            <v>984</v>
          </cell>
          <cell r="R61">
            <v>1065</v>
          </cell>
          <cell r="S61">
            <v>1010</v>
          </cell>
          <cell r="T61">
            <v>967</v>
          </cell>
          <cell r="U61">
            <v>943</v>
          </cell>
          <cell r="V61">
            <v>946</v>
          </cell>
          <cell r="W61">
            <v>971</v>
          </cell>
          <cell r="X61">
            <v>967</v>
          </cell>
          <cell r="Y61">
            <v>977</v>
          </cell>
          <cell r="Z61">
            <v>965</v>
          </cell>
          <cell r="AA61">
            <v>979</v>
          </cell>
          <cell r="AC61">
            <v>1980</v>
          </cell>
          <cell r="AD61">
            <v>4973</v>
          </cell>
          <cell r="AE61">
            <v>4810</v>
          </cell>
          <cell r="AF61">
            <v>4515</v>
          </cell>
          <cell r="AG61">
            <v>5010</v>
          </cell>
          <cell r="AH61">
            <v>5131</v>
          </cell>
          <cell r="AI61">
            <v>5263</v>
          </cell>
          <cell r="AJ61">
            <v>5200</v>
          </cell>
          <cell r="AK61">
            <v>5086</v>
          </cell>
          <cell r="AL61">
            <v>4987</v>
          </cell>
          <cell r="AM61">
            <v>5082</v>
          </cell>
          <cell r="AN61">
            <v>5295</v>
          </cell>
          <cell r="AO61">
            <v>5245</v>
          </cell>
          <cell r="AQ61">
            <v>1980</v>
          </cell>
          <cell r="AR61">
            <v>7.9448281581740981E-3</v>
          </cell>
          <cell r="AS61">
            <v>8.08622561833903E-3</v>
          </cell>
          <cell r="AT61">
            <v>8.376819126819127E-3</v>
          </cell>
          <cell r="AU61">
            <v>9.016925064599484E-3</v>
          </cell>
          <cell r="AV61">
            <v>8.1435811709913517E-3</v>
          </cell>
          <cell r="AW61">
            <v>8.0375235496654325E-3</v>
          </cell>
          <cell r="AX61">
            <v>7.9117930204572803E-3</v>
          </cell>
          <cell r="AY61">
            <v>7.9640673076923074E-3</v>
          </cell>
          <cell r="AZ61">
            <v>8.0963592869314448E-3</v>
          </cell>
          <cell r="BA61">
            <v>8.4061443085355261E-3</v>
          </cell>
          <cell r="BB61">
            <v>8.2410468319559227E-3</v>
          </cell>
          <cell r="BC61">
            <v>7.9595750708215292E-3</v>
          </cell>
          <cell r="BE61">
            <v>1980</v>
          </cell>
          <cell r="BF61">
            <v>-1.0151273885350309E-2</v>
          </cell>
          <cell r="BG61">
            <v>-3.2776995777196838E-2</v>
          </cell>
          <cell r="BH61">
            <v>-6.1330561330561362E-2</v>
          </cell>
          <cell r="BI61">
            <v>0.10963455149501655</v>
          </cell>
          <cell r="BJ61">
            <v>2.415169660678651E-2</v>
          </cell>
          <cell r="BK61">
            <v>2.5725979341258975E-2</v>
          </cell>
          <cell r="BL61">
            <v>-1.1970359110773376E-2</v>
          </cell>
          <cell r="BM61">
            <v>-2.1923076923076934E-2</v>
          </cell>
          <cell r="BN61">
            <v>-1.9465198584349142E-2</v>
          </cell>
          <cell r="BO61">
            <v>1.9049528774814473E-2</v>
          </cell>
          <cell r="BP61">
            <v>4.1912632821723639E-2</v>
          </cell>
          <cell r="BQ61">
            <v>-9.4428706326723511E-3</v>
          </cell>
          <cell r="BS61">
            <v>1980</v>
          </cell>
          <cell r="BT61">
            <v>-2.2064457271762112E-3</v>
          </cell>
          <cell r="BU61">
            <v>-2.469077015885781E-2</v>
          </cell>
          <cell r="BV61">
            <v>-5.2953742203742236E-2</v>
          </cell>
          <cell r="BW61">
            <v>0.11865147655961604</v>
          </cell>
          <cell r="BX61">
            <v>3.229527777777786E-2</v>
          </cell>
          <cell r="BY61">
            <v>3.3763502890924404E-2</v>
          </cell>
          <cell r="BZ61">
            <v>-4.0585660903160962E-3</v>
          </cell>
          <cell r="CA61">
            <v>-1.3959009615384627E-2</v>
          </cell>
          <cell r="CB61">
            <v>-1.1368839297417697E-2</v>
          </cell>
          <cell r="CC61">
            <v>2.745567308335E-2</v>
          </cell>
          <cell r="CD61">
            <v>5.0153679653679561E-2</v>
          </cell>
          <cell r="CE61">
            <v>-1.4832955618508219E-3</v>
          </cell>
          <cell r="CG61">
            <v>1980</v>
          </cell>
          <cell r="CH61">
            <v>0.15082293658291501</v>
          </cell>
        </row>
        <row r="62">
          <cell r="A62">
            <v>1981</v>
          </cell>
          <cell r="B62">
            <v>5201</v>
          </cell>
          <cell r="C62">
            <v>4981</v>
          </cell>
          <cell r="D62">
            <v>5036</v>
          </cell>
          <cell r="E62">
            <v>5096</v>
          </cell>
          <cell r="F62">
            <v>5037</v>
          </cell>
          <cell r="G62">
            <v>5215</v>
          </cell>
          <cell r="H62">
            <v>5228</v>
          </cell>
          <cell r="I62">
            <v>5406</v>
          </cell>
          <cell r="J62">
            <v>5101</v>
          </cell>
          <cell r="K62">
            <v>5141</v>
          </cell>
          <cell r="L62">
            <v>5452</v>
          </cell>
          <cell r="M62">
            <v>5353</v>
          </cell>
          <cell r="O62">
            <v>1981</v>
          </cell>
          <cell r="P62">
            <v>978</v>
          </cell>
          <cell r="Q62">
            <v>1033</v>
          </cell>
          <cell r="R62">
            <v>1023</v>
          </cell>
          <cell r="S62">
            <v>1016</v>
          </cell>
          <cell r="T62">
            <v>1033</v>
          </cell>
          <cell r="U62">
            <v>1003</v>
          </cell>
          <cell r="V62">
            <v>1007</v>
          </cell>
          <cell r="W62">
            <v>978</v>
          </cell>
          <cell r="X62">
            <v>1049</v>
          </cell>
          <cell r="Y62">
            <v>1046</v>
          </cell>
          <cell r="Z62">
            <v>992</v>
          </cell>
          <cell r="AA62">
            <v>1022</v>
          </cell>
          <cell r="AC62">
            <v>1981</v>
          </cell>
          <cell r="AD62">
            <v>5105</v>
          </cell>
          <cell r="AE62">
            <v>4948</v>
          </cell>
          <cell r="AF62">
            <v>5113</v>
          </cell>
          <cell r="AG62">
            <v>5021</v>
          </cell>
          <cell r="AH62">
            <v>5124</v>
          </cell>
          <cell r="AI62">
            <v>5220</v>
          </cell>
          <cell r="AJ62">
            <v>5354</v>
          </cell>
          <cell r="AK62">
            <v>5297</v>
          </cell>
          <cell r="AL62">
            <v>5036</v>
          </cell>
          <cell r="AM62">
            <v>5302</v>
          </cell>
          <cell r="AN62">
            <v>5512</v>
          </cell>
          <cell r="AO62">
            <v>5298</v>
          </cell>
          <cell r="AQ62">
            <v>1981</v>
          </cell>
          <cell r="AR62">
            <v>8.0816301239275499E-3</v>
          </cell>
          <cell r="AS62">
            <v>8.399237675481553E-3</v>
          </cell>
          <cell r="AT62">
            <v>8.6766168148746971E-3</v>
          </cell>
          <cell r="AU62">
            <v>8.4385162005345855E-3</v>
          </cell>
          <cell r="AV62">
            <v>8.6357647878908574E-3</v>
          </cell>
          <cell r="AW62">
            <v>8.5067736794171202E-3</v>
          </cell>
          <cell r="AX62">
            <v>8.4045274584929764E-3</v>
          </cell>
          <cell r="AY62">
            <v>8.2291557713858789E-3</v>
          </cell>
          <cell r="AZ62">
            <v>8.4182068466427534E-3</v>
          </cell>
          <cell r="BA62">
            <v>8.8984081281440301E-3</v>
          </cell>
          <cell r="BB62">
            <v>8.5005406764742872E-3</v>
          </cell>
          <cell r="BC62">
            <v>8.2709935897435898E-3</v>
          </cell>
          <cell r="BE62">
            <v>1981</v>
          </cell>
          <cell r="BF62">
            <v>-2.6692087702573919E-2</v>
          </cell>
          <cell r="BG62">
            <v>-3.0754162585700295E-2</v>
          </cell>
          <cell r="BH62">
            <v>3.3346806790622407E-2</v>
          </cell>
          <cell r="BI62">
            <v>-1.7993350283590837E-2</v>
          </cell>
          <cell r="BJ62">
            <v>2.0513841864170379E-2</v>
          </cell>
          <cell r="BK62">
            <v>1.87353629976581E-2</v>
          </cell>
          <cell r="BL62">
            <v>2.5670498084291227E-2</v>
          </cell>
          <cell r="BM62">
            <v>-1.0646245797534593E-2</v>
          </cell>
          <cell r="BN62">
            <v>-4.9273173494430833E-2</v>
          </cell>
          <cell r="BO62">
            <v>5.281969817315324E-2</v>
          </cell>
          <cell r="BP62">
            <v>3.9607695209354921E-2</v>
          </cell>
          <cell r="BQ62">
            <v>-3.8824383164005827E-2</v>
          </cell>
          <cell r="BS62">
            <v>1981</v>
          </cell>
          <cell r="BT62">
            <v>-1.8610457578646371E-2</v>
          </cell>
          <cell r="BU62">
            <v>-2.2354924910218742E-2</v>
          </cell>
          <cell r="BV62">
            <v>4.2023423605497101E-2</v>
          </cell>
          <cell r="BW62">
            <v>-9.554834083056251E-3</v>
          </cell>
          <cell r="BX62">
            <v>2.9149606652061236E-2</v>
          </cell>
          <cell r="BY62">
            <v>2.7242136677075222E-2</v>
          </cell>
          <cell r="BZ62">
            <v>3.4075025542784201E-2</v>
          </cell>
          <cell r="CA62">
            <v>-2.4170900261487136E-3</v>
          </cell>
          <cell r="CB62">
            <v>-4.085496664778808E-2</v>
          </cell>
          <cell r="CC62">
            <v>6.1718106301297274E-2</v>
          </cell>
          <cell r="CD62">
            <v>4.8108235885829208E-2</v>
          </cell>
          <cell r="CE62">
            <v>-3.0553389574262235E-2</v>
          </cell>
          <cell r="CG62">
            <v>1981</v>
          </cell>
          <cell r="CH62">
            <v>0.11739438556404891</v>
          </cell>
        </row>
        <row r="63">
          <cell r="A63">
            <v>1982</v>
          </cell>
          <cell r="B63">
            <v>5181</v>
          </cell>
          <cell r="C63">
            <v>5193</v>
          </cell>
          <cell r="D63">
            <v>5233</v>
          </cell>
          <cell r="E63">
            <v>5426</v>
          </cell>
          <cell r="F63">
            <v>5488</v>
          </cell>
          <cell r="G63">
            <v>5213</v>
          </cell>
          <cell r="H63">
            <v>5187</v>
          </cell>
          <cell r="I63">
            <v>5334</v>
          </cell>
          <cell r="J63">
            <v>5648</v>
          </cell>
          <cell r="K63">
            <v>5941</v>
          </cell>
          <cell r="L63">
            <v>6008</v>
          </cell>
          <cell r="M63">
            <v>5933</v>
          </cell>
          <cell r="O63">
            <v>1982</v>
          </cell>
          <cell r="P63">
            <v>1074</v>
          </cell>
          <cell r="Q63">
            <v>1077</v>
          </cell>
          <cell r="R63">
            <v>1061</v>
          </cell>
          <cell r="S63">
            <v>1027</v>
          </cell>
          <cell r="T63">
            <v>1027</v>
          </cell>
          <cell r="U63">
            <v>1087</v>
          </cell>
          <cell r="V63">
            <v>1102</v>
          </cell>
          <cell r="W63">
            <v>1077</v>
          </cell>
          <cell r="X63">
            <v>1022</v>
          </cell>
          <cell r="Y63">
            <v>973</v>
          </cell>
          <cell r="Z63">
            <v>962</v>
          </cell>
          <cell r="AA63">
            <v>983</v>
          </cell>
          <cell r="AC63">
            <v>1982</v>
          </cell>
          <cell r="AD63">
            <v>5271</v>
          </cell>
          <cell r="AE63">
            <v>5206</v>
          </cell>
          <cell r="AF63">
            <v>5247</v>
          </cell>
          <cell r="AG63">
            <v>5488</v>
          </cell>
          <cell r="AH63">
            <v>5338</v>
          </cell>
          <cell r="AI63">
            <v>5205</v>
          </cell>
          <cell r="AJ63">
            <v>5054</v>
          </cell>
          <cell r="AK63">
            <v>5618</v>
          </cell>
          <cell r="AL63">
            <v>5599</v>
          </cell>
          <cell r="AM63">
            <v>5920</v>
          </cell>
          <cell r="AN63">
            <v>5882</v>
          </cell>
          <cell r="AO63">
            <v>6045</v>
          </cell>
          <cell r="AQ63">
            <v>1982</v>
          </cell>
          <cell r="AR63">
            <v>8.7523499433748587E-3</v>
          </cell>
          <cell r="AS63">
            <v>8.8421883892999438E-3</v>
          </cell>
          <cell r="AT63">
            <v>8.8875224100396985E-3</v>
          </cell>
          <cell r="AU63">
            <v>8.8502985833174529E-3</v>
          </cell>
          <cell r="AV63">
            <v>8.5583333333333327E-3</v>
          </cell>
          <cell r="AW63">
            <v>8.846214250031223E-3</v>
          </cell>
          <cell r="AX63">
            <v>9.151575408261288E-3</v>
          </cell>
          <cell r="AY63">
            <v>9.4722299168975062E-3</v>
          </cell>
          <cell r="AZ63">
            <v>8.5621454847513937E-3</v>
          </cell>
          <cell r="BA63">
            <v>8.6036092754658566E-3</v>
          </cell>
          <cell r="BB63">
            <v>8.1358333333333335E-3</v>
          </cell>
          <cell r="BC63">
            <v>8.26269267822736E-3</v>
          </cell>
          <cell r="BE63">
            <v>1982</v>
          </cell>
          <cell r="BF63">
            <v>-5.0962627406568872E-3</v>
          </cell>
          <cell r="BG63">
            <v>-1.2331625877442631E-2</v>
          </cell>
          <cell r="BH63">
            <v>7.8755282366500534E-3</v>
          </cell>
          <cell r="BI63">
            <v>4.5931008195159162E-2</v>
          </cell>
          <cell r="BJ63">
            <v>-2.733236151603502E-2</v>
          </cell>
          <cell r="BK63">
            <v>-2.4915698763581906E-2</v>
          </cell>
          <cell r="BL63">
            <v>-2.9010566762728174E-2</v>
          </cell>
          <cell r="BM63">
            <v>0.11159477641472093</v>
          </cell>
          <cell r="BN63">
            <v>-3.3819864720541215E-3</v>
          </cell>
          <cell r="BO63">
            <v>5.7331666368994449E-2</v>
          </cell>
          <cell r="BP63">
            <v>-6.4189189189188811E-3</v>
          </cell>
          <cell r="BQ63">
            <v>2.7711662699761996E-2</v>
          </cell>
          <cell r="BS63">
            <v>1982</v>
          </cell>
          <cell r="BT63">
            <v>3.6560872027179715E-3</v>
          </cell>
          <cell r="BU63">
            <v>-3.4894374881426875E-3</v>
          </cell>
          <cell r="BV63">
            <v>1.6763050646689752E-2</v>
          </cell>
          <cell r="BW63">
            <v>5.4781306778476618E-2</v>
          </cell>
          <cell r="BX63">
            <v>-1.8774028182701685E-2</v>
          </cell>
          <cell r="BY63">
            <v>-1.6069484513550683E-2</v>
          </cell>
          <cell r="BZ63">
            <v>-1.9858991354466886E-2</v>
          </cell>
          <cell r="CA63">
            <v>0.12106700633161843</v>
          </cell>
          <cell r="CB63">
            <v>5.1801590126972722E-3</v>
          </cell>
          <cell r="CC63">
            <v>6.5935275644460306E-2</v>
          </cell>
          <cell r="CD63">
            <v>1.7169144144144523E-3</v>
          </cell>
          <cell r="CE63">
            <v>3.5974355377989355E-2</v>
          </cell>
          <cell r="CG63">
            <v>1982</v>
          </cell>
          <cell r="CH63">
            <v>0.2652354742962828</v>
          </cell>
        </row>
        <row r="64">
          <cell r="A64">
            <v>1983</v>
          </cell>
          <cell r="B64">
            <v>6189</v>
          </cell>
          <cell r="C64">
            <v>6152</v>
          </cell>
          <cell r="D64">
            <v>6213</v>
          </cell>
          <cell r="E64">
            <v>6295</v>
          </cell>
          <cell r="F64">
            <v>6488</v>
          </cell>
          <cell r="G64">
            <v>6414</v>
          </cell>
          <cell r="H64">
            <v>6506</v>
          </cell>
          <cell r="I64">
            <v>6485</v>
          </cell>
          <cell r="J64">
            <v>6600</v>
          </cell>
          <cell r="K64">
            <v>6909</v>
          </cell>
          <cell r="L64">
            <v>6895</v>
          </cell>
          <cell r="M64">
            <v>6695</v>
          </cell>
          <cell r="O64">
            <v>1983</v>
          </cell>
          <cell r="P64">
            <v>948</v>
          </cell>
          <cell r="Q64">
            <v>960</v>
          </cell>
          <cell r="R64">
            <v>952</v>
          </cell>
          <cell r="S64">
            <v>940</v>
          </cell>
          <cell r="T64">
            <v>912</v>
          </cell>
          <cell r="U64">
            <v>930</v>
          </cell>
          <cell r="V64">
            <v>915</v>
          </cell>
          <cell r="W64">
            <v>920</v>
          </cell>
          <cell r="X64">
            <v>911</v>
          </cell>
          <cell r="Y64">
            <v>875</v>
          </cell>
          <cell r="Z64">
            <v>880</v>
          </cell>
          <cell r="AA64">
            <v>941</v>
          </cell>
          <cell r="AC64">
            <v>1983</v>
          </cell>
          <cell r="AD64">
            <v>6221</v>
          </cell>
          <cell r="AE64">
            <v>6169</v>
          </cell>
          <cell r="AF64">
            <v>6130</v>
          </cell>
          <cell r="AG64">
            <v>6431</v>
          </cell>
          <cell r="AH64">
            <v>6461</v>
          </cell>
          <cell r="AI64">
            <v>6332</v>
          </cell>
          <cell r="AJ64">
            <v>6497</v>
          </cell>
          <cell r="AK64">
            <v>6473</v>
          </cell>
          <cell r="AL64">
            <v>6711</v>
          </cell>
          <cell r="AM64">
            <v>7018</v>
          </cell>
          <cell r="AN64">
            <v>6824</v>
          </cell>
          <cell r="AO64">
            <v>6617</v>
          </cell>
          <cell r="AQ64">
            <v>1983</v>
          </cell>
          <cell r="AR64">
            <v>8.0881885856079402E-3</v>
          </cell>
          <cell r="AS64">
            <v>7.911268284841665E-3</v>
          </cell>
          <cell r="AT64">
            <v>7.9899173285783755E-3</v>
          </cell>
          <cell r="AU64">
            <v>8.0441816204458953E-3</v>
          </cell>
          <cell r="AV64">
            <v>7.6673612190950079E-3</v>
          </cell>
          <cell r="AW64">
            <v>7.6936232781303201E-3</v>
          </cell>
          <cell r="AX64">
            <v>7.8345309538850293E-3</v>
          </cell>
          <cell r="AY64">
            <v>7.652506284952028E-3</v>
          </cell>
          <cell r="AZ64">
            <v>7.7406148617333546E-3</v>
          </cell>
          <cell r="BA64">
            <v>7.5067985397109229E-3</v>
          </cell>
          <cell r="BB64">
            <v>7.2048066875653079E-3</v>
          </cell>
          <cell r="BC64">
            <v>7.6934288296209461E-3</v>
          </cell>
          <cell r="BE64">
            <v>1983</v>
          </cell>
          <cell r="BF64">
            <v>2.9114971050455019E-2</v>
          </cell>
          <cell r="BG64">
            <v>-8.3587847612923705E-3</v>
          </cell>
          <cell r="BH64">
            <v>-6.3219322418543999E-3</v>
          </cell>
          <cell r="BI64">
            <v>4.9102773246329612E-2</v>
          </cell>
          <cell r="BJ64">
            <v>4.664904369460432E-3</v>
          </cell>
          <cell r="BK64">
            <v>-1.9965949543414352E-2</v>
          </cell>
          <cell r="BL64">
            <v>2.6058117498420685E-2</v>
          </cell>
          <cell r="BM64">
            <v>-3.6940126212098301E-3</v>
          </cell>
          <cell r="BN64">
            <v>3.6768113703074201E-2</v>
          </cell>
          <cell r="BO64">
            <v>4.574579049322014E-2</v>
          </cell>
          <cell r="BP64">
            <v>-2.7643203191792587E-2</v>
          </cell>
          <cell r="BQ64">
            <v>-3.0334114888628361E-2</v>
          </cell>
          <cell r="BS64">
            <v>1983</v>
          </cell>
          <cell r="BT64">
            <v>3.7203159636062959E-2</v>
          </cell>
          <cell r="BU64">
            <v>-4.4751647645070551E-4</v>
          </cell>
          <cell r="BV64">
            <v>1.6679850867239755E-3</v>
          </cell>
          <cell r="BW64">
            <v>5.7146954866775505E-2</v>
          </cell>
          <cell r="BX64">
            <v>1.2332265588555439E-2</v>
          </cell>
          <cell r="BY64">
            <v>-1.2272326265284031E-2</v>
          </cell>
          <cell r="BZ64">
            <v>3.3892648452305718E-2</v>
          </cell>
          <cell r="CA64">
            <v>3.9584936637421979E-3</v>
          </cell>
          <cell r="CB64">
            <v>4.4508728564807559E-2</v>
          </cell>
          <cell r="CC64">
            <v>5.3252589032931064E-2</v>
          </cell>
          <cell r="CD64">
            <v>-2.0438396504227279E-2</v>
          </cell>
          <cell r="CE64">
            <v>-2.2640686059007414E-2</v>
          </cell>
          <cell r="CG64">
            <v>1983</v>
          </cell>
          <cell r="CH64">
            <v>0.20008142831247389</v>
          </cell>
        </row>
        <row r="65">
          <cell r="A65">
            <v>1984</v>
          </cell>
          <cell r="B65">
            <v>6850</v>
          </cell>
          <cell r="C65">
            <v>6625</v>
          </cell>
          <cell r="D65">
            <v>6525</v>
          </cell>
          <cell r="E65">
            <v>6434</v>
          </cell>
          <cell r="F65">
            <v>6494</v>
          </cell>
          <cell r="G65">
            <v>6400</v>
          </cell>
          <cell r="H65">
            <v>6466</v>
          </cell>
          <cell r="I65">
            <v>6811</v>
          </cell>
          <cell r="J65">
            <v>6970</v>
          </cell>
          <cell r="K65">
            <v>7202</v>
          </cell>
          <cell r="L65">
            <v>7347</v>
          </cell>
          <cell r="M65">
            <v>7443</v>
          </cell>
          <cell r="O65">
            <v>1984</v>
          </cell>
          <cell r="P65">
            <v>925</v>
          </cell>
          <cell r="Q65">
            <v>958</v>
          </cell>
          <cell r="R65">
            <v>979</v>
          </cell>
          <cell r="S65">
            <v>994</v>
          </cell>
          <cell r="T65">
            <v>982</v>
          </cell>
          <cell r="U65">
            <v>1000</v>
          </cell>
          <cell r="V65">
            <v>996</v>
          </cell>
          <cell r="W65">
            <v>953</v>
          </cell>
          <cell r="X65">
            <v>931</v>
          </cell>
          <cell r="Y65">
            <v>903</v>
          </cell>
          <cell r="Z65">
            <v>885</v>
          </cell>
          <cell r="AA65">
            <v>876</v>
          </cell>
          <cell r="AC65">
            <v>1984</v>
          </cell>
          <cell r="AD65">
            <v>6883</v>
          </cell>
          <cell r="AE65">
            <v>6547</v>
          </cell>
          <cell r="AF65">
            <v>6458</v>
          </cell>
          <cell r="AG65">
            <v>6507</v>
          </cell>
          <cell r="AH65">
            <v>6304</v>
          </cell>
          <cell r="AI65">
            <v>6294</v>
          </cell>
          <cell r="AJ65">
            <v>6513</v>
          </cell>
          <cell r="AK65">
            <v>6880</v>
          </cell>
          <cell r="AL65">
            <v>7127</v>
          </cell>
          <cell r="AM65">
            <v>7267</v>
          </cell>
          <cell r="AN65">
            <v>7409</v>
          </cell>
          <cell r="AO65">
            <v>7589</v>
          </cell>
          <cell r="AQ65">
            <v>1984</v>
          </cell>
          <cell r="AR65">
            <v>7.9797617248501332E-3</v>
          </cell>
          <cell r="AS65">
            <v>7.6840888178604299E-3</v>
          </cell>
          <cell r="AT65">
            <v>8.1309187414082794E-3</v>
          </cell>
          <cell r="AU65">
            <v>8.2525498090224008E-3</v>
          </cell>
          <cell r="AV65">
            <v>8.166984273346653E-3</v>
          </cell>
          <cell r="AW65">
            <v>8.4602368866328256E-3</v>
          </cell>
          <cell r="AX65">
            <v>8.5268191928821093E-3</v>
          </cell>
          <cell r="AY65">
            <v>8.3050348021904887E-3</v>
          </cell>
          <cell r="AZ65">
            <v>7.8598231589147288E-3</v>
          </cell>
          <cell r="BA65">
            <v>7.604188298021607E-3</v>
          </cell>
          <cell r="BB65">
            <v>7.4561889362873262E-3</v>
          </cell>
          <cell r="BC65">
            <v>7.3334997975435289E-3</v>
          </cell>
          <cell r="BE65">
            <v>1984</v>
          </cell>
          <cell r="BF65">
            <v>4.0199486171981214E-2</v>
          </cell>
          <cell r="BG65">
            <v>-4.881592328926343E-2</v>
          </cell>
          <cell r="BH65">
            <v>-1.3594012524820509E-2</v>
          </cell>
          <cell r="BI65">
            <v>7.5874883864974763E-3</v>
          </cell>
          <cell r="BJ65">
            <v>-3.1197172276010487E-2</v>
          </cell>
          <cell r="BK65">
            <v>-1.5862944162436943E-3</v>
          </cell>
          <cell r="BL65">
            <v>3.4795042897998174E-2</v>
          </cell>
          <cell r="BM65">
            <v>5.6348840779978593E-2</v>
          </cell>
          <cell r="BN65">
            <v>3.5901162790697771E-2</v>
          </cell>
          <cell r="BO65">
            <v>1.9643608811561686E-2</v>
          </cell>
          <cell r="BP65">
            <v>1.9540388055593771E-2</v>
          </cell>
          <cell r="BQ65">
            <v>2.4294776623026149E-2</v>
          </cell>
          <cell r="BS65">
            <v>1984</v>
          </cell>
          <cell r="BT65">
            <v>4.8179247896831347E-2</v>
          </cell>
          <cell r="BU65">
            <v>-4.1131834471402999E-2</v>
          </cell>
          <cell r="BV65">
            <v>-5.4630937834122296E-3</v>
          </cell>
          <cell r="BW65">
            <v>1.5840038195519879E-2</v>
          </cell>
          <cell r="BX65">
            <v>-2.3030188002663834E-2</v>
          </cell>
          <cell r="BY65">
            <v>6.8739424703891314E-3</v>
          </cell>
          <cell r="BZ65">
            <v>4.3321862090880285E-2</v>
          </cell>
          <cell r="CA65">
            <v>6.4653875582169076E-2</v>
          </cell>
          <cell r="CB65">
            <v>4.3760985949612502E-2</v>
          </cell>
          <cell r="CC65">
            <v>2.7247797109583291E-2</v>
          </cell>
          <cell r="CD65">
            <v>2.6996576991881099E-2</v>
          </cell>
          <cell r="CE65">
            <v>3.162827642056968E-2</v>
          </cell>
          <cell r="CG65">
            <v>1984</v>
          </cell>
          <cell r="CH65">
            <v>0.26035297952233472</v>
          </cell>
        </row>
        <row r="66">
          <cell r="A66">
            <v>1985</v>
          </cell>
          <cell r="B66">
            <v>7583</v>
          </cell>
          <cell r="C66">
            <v>7814</v>
          </cell>
          <cell r="D66">
            <v>7889</v>
          </cell>
          <cell r="E66">
            <v>8125</v>
          </cell>
          <cell r="F66">
            <v>8360</v>
          </cell>
          <cell r="G66">
            <v>8690</v>
          </cell>
          <cell r="H66">
            <v>8722</v>
          </cell>
          <cell r="I66">
            <v>8321</v>
          </cell>
          <cell r="J66">
            <v>8146</v>
          </cell>
          <cell r="K66">
            <v>8149</v>
          </cell>
          <cell r="L66">
            <v>8680</v>
          </cell>
          <cell r="M66">
            <v>9083</v>
          </cell>
          <cell r="O66">
            <v>1985</v>
          </cell>
          <cell r="P66">
            <v>860</v>
          </cell>
          <cell r="Q66">
            <v>835</v>
          </cell>
          <cell r="R66">
            <v>837</v>
          </cell>
          <cell r="S66">
            <v>831</v>
          </cell>
          <cell r="T66">
            <v>814</v>
          </cell>
          <cell r="U66">
            <v>784</v>
          </cell>
          <cell r="V66">
            <v>784</v>
          </cell>
          <cell r="W66">
            <v>818</v>
          </cell>
          <cell r="X66">
            <v>817</v>
          </cell>
          <cell r="Y66">
            <v>832</v>
          </cell>
          <cell r="Z66">
            <v>784</v>
          </cell>
          <cell r="AA66">
            <v>745</v>
          </cell>
          <cell r="AC66">
            <v>1985</v>
          </cell>
          <cell r="AD66">
            <v>7713</v>
          </cell>
          <cell r="AE66">
            <v>7808</v>
          </cell>
          <cell r="AF66">
            <v>8036</v>
          </cell>
          <cell r="AG66">
            <v>8146</v>
          </cell>
          <cell r="AH66">
            <v>8583</v>
          </cell>
          <cell r="AI66">
            <v>8766</v>
          </cell>
          <cell r="AJ66">
            <v>8335</v>
          </cell>
          <cell r="AK66">
            <v>8429</v>
          </cell>
          <cell r="AL66">
            <v>7934</v>
          </cell>
          <cell r="AM66">
            <v>8384</v>
          </cell>
          <cell r="AN66">
            <v>8765</v>
          </cell>
          <cell r="AO66">
            <v>9317</v>
          </cell>
          <cell r="AQ66">
            <v>1985</v>
          </cell>
          <cell r="AR66">
            <v>7.1610005710018897E-3</v>
          </cell>
          <cell r="AS66">
            <v>7.0494511430917502E-3</v>
          </cell>
          <cell r="AT66">
            <v>7.0473584784836061E-3</v>
          </cell>
          <cell r="AU66">
            <v>7.0016954952712793E-3</v>
          </cell>
          <cell r="AV66">
            <v>6.9615353138554707E-3</v>
          </cell>
          <cell r="AW66">
            <v>6.6147811565497689E-3</v>
          </cell>
          <cell r="AX66">
            <v>6.5005399650163512E-3</v>
          </cell>
          <cell r="AY66">
            <v>6.8052169566086788E-3</v>
          </cell>
          <cell r="AZ66">
            <v>6.5797465100644603E-3</v>
          </cell>
          <cell r="BA66">
            <v>7.1212167044786157E-3</v>
          </cell>
          <cell r="BB66">
            <v>6.7639949109414756E-3</v>
          </cell>
          <cell r="BC66">
            <v>6.4335757748621401E-3</v>
          </cell>
          <cell r="BE66">
            <v>1985</v>
          </cell>
          <cell r="BF66">
            <v>1.6339438661220118E-2</v>
          </cell>
          <cell r="BG66">
            <v>1.2316867626085859E-2</v>
          </cell>
          <cell r="BH66">
            <v>2.9200819672131173E-2</v>
          </cell>
          <cell r="BI66">
            <v>1.3688402190144444E-2</v>
          </cell>
          <cell r="BJ66">
            <v>5.3645961207954729E-2</v>
          </cell>
          <cell r="BK66">
            <v>2.1321216357916839E-2</v>
          </cell>
          <cell r="BL66">
            <v>-4.9167237052247348E-2</v>
          </cell>
          <cell r="BM66">
            <v>1.127774445110985E-2</v>
          </cell>
          <cell r="BN66">
            <v>-5.8725827500296646E-2</v>
          </cell>
          <cell r="BO66">
            <v>5.6717922863624981E-2</v>
          </cell>
          <cell r="BP66">
            <v>4.5443702290076438E-2</v>
          </cell>
          <cell r="BQ66">
            <v>6.2977752424415279E-2</v>
          </cell>
          <cell r="BS66">
            <v>1985</v>
          </cell>
          <cell r="BT66">
            <v>2.3500439232222007E-2</v>
          </cell>
          <cell r="BU66">
            <v>1.9366318769177611E-2</v>
          </cell>
          <cell r="BV66">
            <v>3.6248178150614777E-2</v>
          </cell>
          <cell r="BW66">
            <v>2.0690097685415722E-2</v>
          </cell>
          <cell r="BX66">
            <v>6.0607496521810203E-2</v>
          </cell>
          <cell r="BY66">
            <v>2.7935997514466609E-2</v>
          </cell>
          <cell r="BZ66">
            <v>-4.2666697087230997E-2</v>
          </cell>
          <cell r="CA66">
            <v>1.8082961407718527E-2</v>
          </cell>
          <cell r="CB66">
            <v>-5.2146080990232185E-2</v>
          </cell>
          <cell r="CC66">
            <v>6.3839139568103595E-2</v>
          </cell>
          <cell r="CD66">
            <v>5.2207697201017915E-2</v>
          </cell>
          <cell r="CE66">
            <v>6.9411328199277422E-2</v>
          </cell>
          <cell r="CG66">
            <v>1985</v>
          </cell>
          <cell r="CH66">
            <v>0.33047502748149915</v>
          </cell>
        </row>
        <row r="67">
          <cell r="A67">
            <v>1986</v>
          </cell>
          <cell r="B67">
            <v>9206</v>
          </cell>
          <cell r="C67">
            <v>9751</v>
          </cell>
          <cell r="D67">
            <v>10527</v>
          </cell>
          <cell r="E67">
            <v>10378</v>
          </cell>
          <cell r="F67">
            <v>10239</v>
          </cell>
          <cell r="G67">
            <v>10665</v>
          </cell>
          <cell r="H67">
            <v>11213</v>
          </cell>
          <cell r="I67">
            <v>11853</v>
          </cell>
          <cell r="J67">
            <v>11311</v>
          </cell>
          <cell r="K67">
            <v>11081</v>
          </cell>
          <cell r="L67">
            <v>11410</v>
          </cell>
          <cell r="M67">
            <v>11552</v>
          </cell>
          <cell r="O67">
            <v>1986</v>
          </cell>
          <cell r="P67">
            <v>742</v>
          </cell>
          <cell r="Q67">
            <v>711</v>
          </cell>
          <cell r="R67">
            <v>678</v>
          </cell>
          <cell r="S67">
            <v>668</v>
          </cell>
          <cell r="T67">
            <v>681</v>
          </cell>
          <cell r="U67">
            <v>660</v>
          </cell>
          <cell r="V67">
            <v>628</v>
          </cell>
          <cell r="W67">
            <v>597</v>
          </cell>
          <cell r="X67">
            <v>614</v>
          </cell>
          <cell r="Y67">
            <v>637</v>
          </cell>
          <cell r="Z67">
            <v>619</v>
          </cell>
          <cell r="AA67">
            <v>613</v>
          </cell>
          <cell r="AC67">
            <v>1986</v>
          </cell>
          <cell r="AD67">
            <v>9533</v>
          </cell>
          <cell r="AE67">
            <v>10069</v>
          </cell>
          <cell r="AF67">
            <v>10527</v>
          </cell>
          <cell r="AG67">
            <v>10119</v>
          </cell>
          <cell r="AH67">
            <v>10593</v>
          </cell>
          <cell r="AI67">
            <v>11167</v>
          </cell>
          <cell r="AJ67">
            <v>11424</v>
          </cell>
          <cell r="AK67">
            <v>12374</v>
          </cell>
          <cell r="AL67">
            <v>10909</v>
          </cell>
          <cell r="AM67">
            <v>11401</v>
          </cell>
          <cell r="AN67">
            <v>11582</v>
          </cell>
          <cell r="AO67">
            <v>11229</v>
          </cell>
          <cell r="AQ67">
            <v>1986</v>
          </cell>
          <cell r="AR67">
            <v>6.1096669171049334E-3</v>
          </cell>
          <cell r="AS67">
            <v>6.0604924997377527E-3</v>
          </cell>
          <cell r="AT67">
            <v>5.9069967226139638E-3</v>
          </cell>
          <cell r="AU67">
            <v>5.4878756214179411E-3</v>
          </cell>
          <cell r="AV67">
            <v>5.7422991402312487E-3</v>
          </cell>
          <cell r="AW67">
            <v>5.5373831775700939E-3</v>
          </cell>
          <cell r="AX67">
            <v>5.2548908987791404E-3</v>
          </cell>
          <cell r="AY67">
            <v>5.1618237920168075E-3</v>
          </cell>
          <cell r="AZ67">
            <v>4.6771146489952044E-3</v>
          </cell>
          <cell r="BA67">
            <v>5.3920287530173855E-3</v>
          </cell>
          <cell r="BB67">
            <v>5.1624053445604194E-3</v>
          </cell>
          <cell r="BC67">
            <v>5.0951015944281355E-3</v>
          </cell>
          <cell r="BE67">
            <v>1986</v>
          </cell>
          <cell r="BF67">
            <v>2.3183428142105722E-2</v>
          </cell>
          <cell r="BG67">
            <v>5.6225742158816816E-2</v>
          </cell>
          <cell r="BH67">
            <v>4.548614559539188E-2</v>
          </cell>
          <cell r="BI67">
            <v>-3.8757480763750407E-2</v>
          </cell>
          <cell r="BJ67">
            <v>4.6842573376815855E-2</v>
          </cell>
          <cell r="BK67">
            <v>5.4186727083923358E-2</v>
          </cell>
          <cell r="BL67">
            <v>2.3014238380943963E-2</v>
          </cell>
          <cell r="BM67">
            <v>8.3158263305322055E-2</v>
          </cell>
          <cell r="BN67">
            <v>-0.11839340552771938</v>
          </cell>
          <cell r="BO67">
            <v>4.5100375836465201E-2</v>
          </cell>
          <cell r="BP67">
            <v>1.5875800368388759E-2</v>
          </cell>
          <cell r="BQ67">
            <v>-3.0478328440683766E-2</v>
          </cell>
          <cell r="BS67">
            <v>1986</v>
          </cell>
          <cell r="BT67">
            <v>2.9293095059210655E-2</v>
          </cell>
          <cell r="BU67">
            <v>6.2286234658554568E-2</v>
          </cell>
          <cell r="BV67">
            <v>5.1393142318005847E-2</v>
          </cell>
          <cell r="BW67">
            <v>-3.3269605142332466E-2</v>
          </cell>
          <cell r="BX67">
            <v>5.2584872517047104E-2</v>
          </cell>
          <cell r="BY67">
            <v>5.9724110261493449E-2</v>
          </cell>
          <cell r="BZ67">
            <v>2.8269129279723103E-2</v>
          </cell>
          <cell r="CA67">
            <v>8.8320087097338865E-2</v>
          </cell>
          <cell r="CB67">
            <v>-0.11371629087872417</v>
          </cell>
          <cell r="CC67">
            <v>5.0492404589482585E-2</v>
          </cell>
          <cell r="CD67">
            <v>2.103820571294918E-2</v>
          </cell>
          <cell r="CE67">
            <v>-2.538322684625563E-2</v>
          </cell>
          <cell r="CG67">
            <v>1986</v>
          </cell>
          <cell r="CH67">
            <v>0.28530461296281118</v>
          </cell>
        </row>
        <row r="68">
          <cell r="A68">
            <v>1987</v>
          </cell>
          <cell r="B68">
            <v>12009</v>
          </cell>
          <cell r="C68">
            <v>11987</v>
          </cell>
          <cell r="D68">
            <v>11765</v>
          </cell>
          <cell r="E68">
            <v>10997</v>
          </cell>
          <cell r="F68">
            <v>10806</v>
          </cell>
          <cell r="G68">
            <v>11263</v>
          </cell>
          <cell r="H68">
            <v>11093</v>
          </cell>
          <cell r="I68">
            <v>11770</v>
          </cell>
          <cell r="J68">
            <v>11498</v>
          </cell>
          <cell r="K68">
            <v>11173</v>
          </cell>
          <cell r="L68">
            <v>10649</v>
          </cell>
          <cell r="M68">
            <v>10236</v>
          </cell>
          <cell r="O68">
            <v>1987</v>
          </cell>
          <cell r="P68">
            <v>588</v>
          </cell>
          <cell r="Q68">
            <v>595</v>
          </cell>
          <cell r="R68">
            <v>600</v>
          </cell>
          <cell r="S68">
            <v>668</v>
          </cell>
          <cell r="T68">
            <v>689</v>
          </cell>
          <cell r="U68">
            <v>664</v>
          </cell>
          <cell r="V68">
            <v>669</v>
          </cell>
          <cell r="W68">
            <v>630</v>
          </cell>
          <cell r="X68">
            <v>642</v>
          </cell>
          <cell r="Y68">
            <v>660</v>
          </cell>
          <cell r="Z68">
            <v>695</v>
          </cell>
          <cell r="AA68">
            <v>719</v>
          </cell>
          <cell r="AC68">
            <v>1987</v>
          </cell>
          <cell r="AD68">
            <v>12275</v>
          </cell>
          <cell r="AE68">
            <v>11846</v>
          </cell>
          <cell r="AF68">
            <v>11563</v>
          </cell>
          <cell r="AG68">
            <v>11023</v>
          </cell>
          <cell r="AH68">
            <v>10891</v>
          </cell>
          <cell r="AI68">
            <v>11307</v>
          </cell>
          <cell r="AJ68">
            <v>11217</v>
          </cell>
          <cell r="AK68">
            <v>11747</v>
          </cell>
          <cell r="AL68">
            <v>11711</v>
          </cell>
          <cell r="AM68">
            <v>10825</v>
          </cell>
          <cell r="AN68">
            <v>10163</v>
          </cell>
          <cell r="AO68">
            <v>10212</v>
          </cell>
          <cell r="AQ68">
            <v>1987</v>
          </cell>
          <cell r="AR68">
            <v>5.2403686882180065E-3</v>
          </cell>
          <cell r="AS68">
            <v>4.8419993211133733E-3</v>
          </cell>
          <cell r="AT68">
            <v>4.9658112443018735E-3</v>
          </cell>
          <cell r="AU68">
            <v>5.2941825939058496E-3</v>
          </cell>
          <cell r="AV68">
            <v>5.6286355801505941E-3</v>
          </cell>
          <cell r="AW68">
            <v>5.7223334251522663E-3</v>
          </cell>
          <cell r="AX68">
            <v>5.4694857168125941E-3</v>
          </cell>
          <cell r="AY68">
            <v>5.5088258892752075E-3</v>
          </cell>
          <cell r="AZ68">
            <v>5.2365965778496636E-3</v>
          </cell>
          <cell r="BA68">
            <v>5.247331568610708E-3</v>
          </cell>
          <cell r="BB68">
            <v>5.6975019245573523E-3</v>
          </cell>
          <cell r="BC68">
            <v>6.0347043195906717E-3</v>
          </cell>
          <cell r="BE68">
            <v>1987</v>
          </cell>
          <cell r="BF68">
            <v>9.3151660878083575E-2</v>
          </cell>
          <cell r="BG68">
            <v>-3.4949083503055034E-2</v>
          </cell>
          <cell r="BH68">
            <v>-2.3889920648320073E-2</v>
          </cell>
          <cell r="BI68">
            <v>-4.6700683213698913E-2</v>
          </cell>
          <cell r="BJ68">
            <v>-1.1974961444252918E-2</v>
          </cell>
          <cell r="BK68">
            <v>3.8196676154623077E-2</v>
          </cell>
          <cell r="BL68">
            <v>-7.9596710002652893E-3</v>
          </cell>
          <cell r="BM68">
            <v>4.7249710261210609E-2</v>
          </cell>
          <cell r="BN68">
            <v>-3.0646122414232924E-3</v>
          </cell>
          <cell r="BO68">
            <v>-7.565536674921014E-2</v>
          </cell>
          <cell r="BP68">
            <v>-6.1154734411085432E-2</v>
          </cell>
          <cell r="BQ68">
            <v>4.82141100068878E-3</v>
          </cell>
          <cell r="BS68">
            <v>1987</v>
          </cell>
          <cell r="BT68">
            <v>9.8392029566301581E-2</v>
          </cell>
          <cell r="BU68">
            <v>-3.0107084181941662E-2</v>
          </cell>
          <cell r="BV68">
            <v>-1.8924109404018199E-2</v>
          </cell>
          <cell r="BW68">
            <v>-4.1406500619793063E-2</v>
          </cell>
          <cell r="BX68">
            <v>-6.3463258641023243E-3</v>
          </cell>
          <cell r="BY68">
            <v>4.3919009579775341E-2</v>
          </cell>
          <cell r="BZ68">
            <v>-2.4901852834526951E-3</v>
          </cell>
          <cell r="CA68">
            <v>5.2758536150485813E-2</v>
          </cell>
          <cell r="CB68">
            <v>2.1719843364263712E-3</v>
          </cell>
          <cell r="CC68">
            <v>-7.0408035180599432E-2</v>
          </cell>
          <cell r="CD68">
            <v>-5.5457232486528077E-2</v>
          </cell>
          <cell r="CE68">
            <v>1.0856115320279452E-2</v>
          </cell>
          <cell r="CG68">
            <v>1987</v>
          </cell>
          <cell r="CH68">
            <v>-2.9240544542750824E-2</v>
          </cell>
        </row>
        <row r="69">
          <cell r="A69">
            <v>1988</v>
          </cell>
          <cell r="B69">
            <v>10613</v>
          </cell>
          <cell r="C69">
            <v>11067</v>
          </cell>
          <cell r="D69">
            <v>10724</v>
          </cell>
          <cell r="E69">
            <v>10412</v>
          </cell>
          <cell r="F69">
            <v>10311</v>
          </cell>
          <cell r="G69">
            <v>10986</v>
          </cell>
          <cell r="H69">
            <v>10849</v>
          </cell>
          <cell r="I69">
            <v>10789</v>
          </cell>
          <cell r="J69">
            <v>10967</v>
          </cell>
          <cell r="K69">
            <v>11300</v>
          </cell>
          <cell r="L69">
            <v>11170</v>
          </cell>
          <cell r="M69">
            <v>11302</v>
          </cell>
          <cell r="O69">
            <v>1988</v>
          </cell>
          <cell r="P69">
            <v>704</v>
          </cell>
          <cell r="Q69">
            <v>673</v>
          </cell>
          <cell r="R69">
            <v>699</v>
          </cell>
          <cell r="S69">
            <v>730</v>
          </cell>
          <cell r="T69">
            <v>744</v>
          </cell>
          <cell r="U69">
            <v>696</v>
          </cell>
          <cell r="V69">
            <v>716</v>
          </cell>
          <cell r="W69">
            <v>720</v>
          </cell>
          <cell r="X69">
            <v>709</v>
          </cell>
          <cell r="Y69">
            <v>701</v>
          </cell>
          <cell r="Z69">
            <v>704</v>
          </cell>
          <cell r="AA69">
            <v>698</v>
          </cell>
          <cell r="AC69">
            <v>1988</v>
          </cell>
          <cell r="AD69">
            <v>11327</v>
          </cell>
          <cell r="AE69">
            <v>11066</v>
          </cell>
          <cell r="AF69">
            <v>10421</v>
          </cell>
          <cell r="AG69">
            <v>10377</v>
          </cell>
          <cell r="AH69">
            <v>10790</v>
          </cell>
          <cell r="AI69">
            <v>11066</v>
          </cell>
          <cell r="AJ69">
            <v>11021</v>
          </cell>
          <cell r="AK69">
            <v>10805</v>
          </cell>
          <cell r="AL69">
            <v>11186</v>
          </cell>
          <cell r="AM69">
            <v>11413</v>
          </cell>
          <cell r="AN69">
            <v>11258</v>
          </cell>
          <cell r="AO69">
            <v>11264</v>
          </cell>
          <cell r="AQ69">
            <v>1988</v>
          </cell>
          <cell r="AR69">
            <v>6.0970361666013847E-3</v>
          </cell>
          <cell r="AS69">
            <v>5.4795996292045556E-3</v>
          </cell>
          <cell r="AT69">
            <v>5.6449756009398161E-3</v>
          </cell>
          <cell r="AU69">
            <v>6.0780795189201283E-3</v>
          </cell>
          <cell r="AV69">
            <v>6.1605666377565768E-3</v>
          </cell>
          <cell r="AW69">
            <v>5.9053568118628361E-3</v>
          </cell>
          <cell r="AX69">
            <v>5.8496626302789326E-3</v>
          </cell>
          <cell r="AY69">
            <v>5.8736956718991014E-3</v>
          </cell>
          <cell r="AZ69">
            <v>5.9969173222273629E-3</v>
          </cell>
          <cell r="BA69">
            <v>5.9012009058942733E-3</v>
          </cell>
          <cell r="BB69">
            <v>5.7417564765326083E-3</v>
          </cell>
          <cell r="BC69">
            <v>5.8394001302777285E-3</v>
          </cell>
          <cell r="BE69">
            <v>1988</v>
          </cell>
          <cell r="BF69">
            <v>0.10918527222875052</v>
          </cell>
          <cell r="BG69">
            <v>-2.3042288337600469E-2</v>
          </cell>
          <cell r="BH69">
            <v>-5.8286643773721281E-2</v>
          </cell>
          <cell r="BI69">
            <v>-4.2222435466845454E-3</v>
          </cell>
          <cell r="BJ69">
            <v>3.9799556711959116E-2</v>
          </cell>
          <cell r="BK69">
            <v>2.5579240037071349E-2</v>
          </cell>
          <cell r="BL69">
            <v>-4.0665100307247792E-3</v>
          </cell>
          <cell r="BM69">
            <v>-1.9598947463932537E-2</v>
          </cell>
          <cell r="BN69">
            <v>3.5261453031004253E-2</v>
          </cell>
          <cell r="BO69">
            <v>2.0293223672447791E-2</v>
          </cell>
          <cell r="BP69">
            <v>-1.3581004118110918E-2</v>
          </cell>
          <cell r="BQ69">
            <v>5.3295434357791827E-4</v>
          </cell>
          <cell r="BS69">
            <v>1988</v>
          </cell>
          <cell r="BT69">
            <v>0.1152823083953519</v>
          </cell>
          <cell r="BU69">
            <v>-1.7562688708395915E-2</v>
          </cell>
          <cell r="BV69">
            <v>-5.2641668172781465E-2</v>
          </cell>
          <cell r="BW69">
            <v>1.855835972235583E-3</v>
          </cell>
          <cell r="BX69">
            <v>4.5960123349715692E-2</v>
          </cell>
          <cell r="BY69">
            <v>3.1484596848934183E-2</v>
          </cell>
          <cell r="BZ69">
            <v>1.7831525995541534E-3</v>
          </cell>
          <cell r="CA69">
            <v>-1.3725251792033436E-2</v>
          </cell>
          <cell r="CB69">
            <v>4.1258370353231613E-2</v>
          </cell>
          <cell r="CC69">
            <v>2.6194424578342063E-2</v>
          </cell>
          <cell r="CD69">
            <v>-7.8392476415783084E-3</v>
          </cell>
          <cell r="CE69">
            <v>6.3723544738556468E-3</v>
          </cell>
          <cell r="CG69">
            <v>1988</v>
          </cell>
          <cell r="CH69">
            <v>0.1827353634522757</v>
          </cell>
        </row>
        <row r="70">
          <cell r="A70">
            <v>1989</v>
          </cell>
          <cell r="B70">
            <v>11437</v>
          </cell>
          <cell r="C70">
            <v>11688</v>
          </cell>
          <cell r="D70">
            <v>11665</v>
          </cell>
          <cell r="E70">
            <v>11991</v>
          </cell>
          <cell r="F70">
            <v>12774</v>
          </cell>
          <cell r="G70">
            <v>13350</v>
          </cell>
          <cell r="H70">
            <v>13722</v>
          </cell>
          <cell r="I70">
            <v>14047</v>
          </cell>
          <cell r="J70">
            <v>14098</v>
          </cell>
          <cell r="K70">
            <v>14271</v>
          </cell>
          <cell r="L70">
            <v>14337</v>
          </cell>
          <cell r="M70">
            <v>15218</v>
          </cell>
          <cell r="O70">
            <v>1989</v>
          </cell>
          <cell r="P70">
            <v>699</v>
          </cell>
          <cell r="Q70">
            <v>692</v>
          </cell>
          <cell r="R70">
            <v>706</v>
          </cell>
          <cell r="S70">
            <v>695</v>
          </cell>
          <cell r="T70">
            <v>662</v>
          </cell>
          <cell r="U70">
            <v>635</v>
          </cell>
          <cell r="V70">
            <v>620</v>
          </cell>
          <cell r="W70">
            <v>611</v>
          </cell>
          <cell r="X70">
            <v>605</v>
          </cell>
          <cell r="Y70">
            <v>595</v>
          </cell>
          <cell r="Z70">
            <v>593</v>
          </cell>
          <cell r="AA70">
            <v>553</v>
          </cell>
          <cell r="AC70">
            <v>1989</v>
          </cell>
          <cell r="AD70">
            <v>11841</v>
          </cell>
          <cell r="AE70">
            <v>11519</v>
          </cell>
          <cell r="AF70">
            <v>11760</v>
          </cell>
          <cell r="AG70">
            <v>12436</v>
          </cell>
          <cell r="AH70">
            <v>13087</v>
          </cell>
          <cell r="AI70">
            <v>13227</v>
          </cell>
          <cell r="AJ70">
            <v>14219</v>
          </cell>
          <cell r="AK70">
            <v>14067</v>
          </cell>
          <cell r="AL70">
            <v>14235</v>
          </cell>
          <cell r="AM70">
            <v>14228</v>
          </cell>
          <cell r="AN70">
            <v>14635</v>
          </cell>
          <cell r="AO70">
            <v>15634</v>
          </cell>
          <cell r="AQ70">
            <v>1989</v>
          </cell>
          <cell r="AR70">
            <v>5.9144642223011371E-3</v>
          </cell>
          <cell r="AS70">
            <v>5.6921543788531377E-3</v>
          </cell>
          <cell r="AT70">
            <v>5.9579028850884046E-3</v>
          </cell>
          <cell r="AU70">
            <v>5.9054315476190474E-3</v>
          </cell>
          <cell r="AV70">
            <v>5.6666050176905755E-3</v>
          </cell>
          <cell r="AW70">
            <v>5.3980094750515784E-3</v>
          </cell>
          <cell r="AX70">
            <v>5.3600211688213505E-3</v>
          </cell>
          <cell r="AY70">
            <v>5.0300753686382069E-3</v>
          </cell>
          <cell r="AZ70">
            <v>5.0527771853747542E-3</v>
          </cell>
          <cell r="BA70">
            <v>4.9708728486125746E-3</v>
          </cell>
          <cell r="BB70">
            <v>4.9795245290975548E-3</v>
          </cell>
          <cell r="BC70">
            <v>4.7919109440838171E-3</v>
          </cell>
          <cell r="BE70">
            <v>1989</v>
          </cell>
          <cell r="BF70">
            <v>5.1225142045454586E-2</v>
          </cell>
          <cell r="BG70">
            <v>-2.7193649185035085E-2</v>
          </cell>
          <cell r="BH70">
            <v>2.0921955030818618E-2</v>
          </cell>
          <cell r="BI70">
            <v>5.7482993197278898E-2</v>
          </cell>
          <cell r="BJ70">
            <v>5.2348021871984507E-2</v>
          </cell>
          <cell r="BK70">
            <v>1.0697638878276239E-2</v>
          </cell>
          <cell r="BL70">
            <v>7.4998109926665224E-2</v>
          </cell>
          <cell r="BM70">
            <v>-1.0689921935438496E-2</v>
          </cell>
          <cell r="BN70">
            <v>1.1942844956280618E-2</v>
          </cell>
          <cell r="BO70">
            <v>-4.9174569722509887E-4</v>
          </cell>
          <cell r="BP70">
            <v>2.8605566488614009E-2</v>
          </cell>
          <cell r="BQ70">
            <v>6.8261018107277138E-2</v>
          </cell>
          <cell r="BS70">
            <v>1989</v>
          </cell>
          <cell r="BT70">
            <v>5.7139606267755723E-2</v>
          </cell>
          <cell r="BU70">
            <v>-2.1501494806181947E-2</v>
          </cell>
          <cell r="BV70">
            <v>2.6879857915907024E-2</v>
          </cell>
          <cell r="BW70">
            <v>6.3388424744897948E-2</v>
          </cell>
          <cell r="BX70">
            <v>5.8014626889675083E-2</v>
          </cell>
          <cell r="BY70">
            <v>1.6095648353327816E-2</v>
          </cell>
          <cell r="BZ70">
            <v>8.0358131095486576E-2</v>
          </cell>
          <cell r="CA70">
            <v>-5.6598465668002886E-3</v>
          </cell>
          <cell r="CB70">
            <v>1.6995622141655373E-2</v>
          </cell>
          <cell r="CC70">
            <v>4.4791271513874758E-3</v>
          </cell>
          <cell r="CD70">
            <v>3.3585091017711566E-2</v>
          </cell>
          <cell r="CE70">
            <v>7.305292905136096E-2</v>
          </cell>
          <cell r="CG70">
            <v>1989</v>
          </cell>
          <cell r="CH70">
            <v>0.47795237873354202</v>
          </cell>
        </row>
        <row r="71">
          <cell r="A71">
            <v>1990</v>
          </cell>
          <cell r="B71">
            <v>14604</v>
          </cell>
          <cell r="C71">
            <v>14099</v>
          </cell>
          <cell r="D71">
            <v>14192</v>
          </cell>
          <cell r="E71">
            <v>14089</v>
          </cell>
          <cell r="F71">
            <v>14366</v>
          </cell>
          <cell r="G71">
            <v>14352</v>
          </cell>
          <cell r="H71">
            <v>13786</v>
          </cell>
          <cell r="I71">
            <v>13276</v>
          </cell>
          <cell r="J71">
            <v>13033</v>
          </cell>
          <cell r="K71">
            <v>13791</v>
          </cell>
          <cell r="L71">
            <v>14158</v>
          </cell>
          <cell r="M71">
            <v>14446</v>
          </cell>
          <cell r="O71">
            <v>1990</v>
          </cell>
          <cell r="P71">
            <v>558</v>
          </cell>
          <cell r="Q71">
            <v>584</v>
          </cell>
          <cell r="R71">
            <v>584</v>
          </cell>
          <cell r="S71">
            <v>592</v>
          </cell>
          <cell r="T71">
            <v>578</v>
          </cell>
          <cell r="U71">
            <v>576</v>
          </cell>
          <cell r="V71">
            <v>603</v>
          </cell>
          <cell r="W71">
            <v>617</v>
          </cell>
          <cell r="X71">
            <v>636</v>
          </cell>
          <cell r="Y71">
            <v>602</v>
          </cell>
          <cell r="Z71">
            <v>589</v>
          </cell>
          <cell r="AA71">
            <v>573</v>
          </cell>
          <cell r="AC71">
            <v>1990</v>
          </cell>
          <cell r="AD71">
            <v>14302</v>
          </cell>
          <cell r="AE71">
            <v>14078</v>
          </cell>
          <cell r="AF71">
            <v>14272</v>
          </cell>
          <cell r="AG71">
            <v>13652</v>
          </cell>
          <cell r="AH71">
            <v>14513</v>
          </cell>
          <cell r="AI71">
            <v>14139</v>
          </cell>
          <cell r="AJ71">
            <v>14024</v>
          </cell>
          <cell r="AK71">
            <v>12844</v>
          </cell>
          <cell r="AL71">
            <v>13302</v>
          </cell>
          <cell r="AM71">
            <v>14101</v>
          </cell>
          <cell r="AN71">
            <v>14304</v>
          </cell>
          <cell r="AO71">
            <v>14359</v>
          </cell>
          <cell r="AQ71">
            <v>1990</v>
          </cell>
          <cell r="AR71">
            <v>4.3436484584879111E-3</v>
          </cell>
          <cell r="AS71">
            <v>4.7975900806414024E-3</v>
          </cell>
          <cell r="AT71">
            <v>4.9060756736278837E-3</v>
          </cell>
          <cell r="AU71">
            <v>4.8700766068759341E-3</v>
          </cell>
          <cell r="AV71">
            <v>5.068578474460397E-3</v>
          </cell>
          <cell r="AW71">
            <v>4.7467511885895403E-3</v>
          </cell>
          <cell r="AX71">
            <v>4.8995438149798433E-3</v>
          </cell>
          <cell r="AY71">
            <v>4.867424890663624E-3</v>
          </cell>
          <cell r="AZ71">
            <v>5.37798972282778E-3</v>
          </cell>
          <cell r="BA71">
            <v>5.2010863028116071E-3</v>
          </cell>
          <cell r="BB71">
            <v>4.9281741247665647E-3</v>
          </cell>
          <cell r="BC71">
            <v>4.8224028243847878E-3</v>
          </cell>
          <cell r="BE71">
            <v>1990</v>
          </cell>
          <cell r="BF71">
            <v>-8.5198925418958682E-2</v>
          </cell>
          <cell r="BG71">
            <v>-1.5662145154523799E-2</v>
          </cell>
          <cell r="BH71">
            <v>1.3780366529336563E-2</v>
          </cell>
          <cell r="BI71">
            <v>-4.344170403587444E-2</v>
          </cell>
          <cell r="BJ71">
            <v>6.306768239085847E-2</v>
          </cell>
          <cell r="BK71">
            <v>-2.5769999310962577E-2</v>
          </cell>
          <cell r="BL71">
            <v>-8.1335313671405673E-3</v>
          </cell>
          <cell r="BM71">
            <v>-8.4141471762692488E-2</v>
          </cell>
          <cell r="BN71">
            <v>3.5658673310495104E-2</v>
          </cell>
          <cell r="BO71">
            <v>6.0066155465343662E-2</v>
          </cell>
          <cell r="BP71">
            <v>1.4396142117580224E-2</v>
          </cell>
          <cell r="BQ71">
            <v>3.8450782997763167E-3</v>
          </cell>
          <cell r="BS71">
            <v>1990</v>
          </cell>
          <cell r="BT71">
            <v>-8.0855276960470776E-2</v>
          </cell>
          <cell r="BU71">
            <v>-1.0864555073882396E-2</v>
          </cell>
          <cell r="BV71">
            <v>1.8686442202964448E-2</v>
          </cell>
          <cell r="BW71">
            <v>-3.8571627428998508E-2</v>
          </cell>
          <cell r="BX71">
            <v>6.8136260865318862E-2</v>
          </cell>
          <cell r="BY71">
            <v>-2.1023248122373037E-2</v>
          </cell>
          <cell r="BZ71">
            <v>-3.2339875521607241E-3</v>
          </cell>
          <cell r="CA71">
            <v>-7.9274046872028867E-2</v>
          </cell>
          <cell r="CB71">
            <v>4.1036663033322887E-2</v>
          </cell>
          <cell r="CC71">
            <v>6.5267241768155265E-2</v>
          </cell>
          <cell r="CD71">
            <v>1.932431624234679E-2</v>
          </cell>
          <cell r="CE71">
            <v>8.6674811241611045E-3</v>
          </cell>
          <cell r="CG71">
            <v>1990</v>
          </cell>
          <cell r="CH71">
            <v>-2.5672932216477373E-2</v>
          </cell>
        </row>
        <row r="72">
          <cell r="A72">
            <v>1991</v>
          </cell>
          <cell r="B72">
            <v>13838</v>
          </cell>
          <cell r="C72">
            <v>14319</v>
          </cell>
          <cell r="D72">
            <v>14284</v>
          </cell>
          <cell r="E72">
            <v>14313</v>
          </cell>
          <cell r="F72">
            <v>13866</v>
          </cell>
          <cell r="G72">
            <v>13573</v>
          </cell>
          <cell r="H72">
            <v>13775</v>
          </cell>
          <cell r="I72">
            <v>14088</v>
          </cell>
          <cell r="J72">
            <v>14284</v>
          </cell>
          <cell r="K72">
            <v>14454</v>
          </cell>
          <cell r="L72">
            <v>14666</v>
          </cell>
          <cell r="M72">
            <v>14881</v>
          </cell>
          <cell r="O72">
            <v>1991</v>
          </cell>
          <cell r="P72">
            <v>607</v>
          </cell>
          <cell r="Q72">
            <v>584</v>
          </cell>
          <cell r="R72">
            <v>588</v>
          </cell>
          <cell r="S72">
            <v>588</v>
          </cell>
          <cell r="T72">
            <v>609</v>
          </cell>
          <cell r="U72">
            <v>623</v>
          </cell>
          <cell r="V72">
            <v>611</v>
          </cell>
          <cell r="W72">
            <v>599</v>
          </cell>
          <cell r="X72">
            <v>595</v>
          </cell>
          <cell r="Y72">
            <v>587</v>
          </cell>
          <cell r="Z72">
            <v>580</v>
          </cell>
          <cell r="AA72">
            <v>571</v>
          </cell>
          <cell r="AC72">
            <v>1991</v>
          </cell>
          <cell r="AD72">
            <v>13856</v>
          </cell>
          <cell r="AE72">
            <v>14270</v>
          </cell>
          <cell r="AF72">
            <v>14482</v>
          </cell>
          <cell r="AG72">
            <v>14178</v>
          </cell>
          <cell r="AH72">
            <v>13923</v>
          </cell>
          <cell r="AI72">
            <v>13658</v>
          </cell>
          <cell r="AJ72">
            <v>14008</v>
          </cell>
          <cell r="AK72">
            <v>14300</v>
          </cell>
          <cell r="AL72">
            <v>14518</v>
          </cell>
          <cell r="AM72">
            <v>14737</v>
          </cell>
          <cell r="AN72">
            <v>14522</v>
          </cell>
          <cell r="AO72">
            <v>15516</v>
          </cell>
          <cell r="AQ72">
            <v>1991</v>
          </cell>
          <cell r="AR72">
            <v>4.8747974557188283E-3</v>
          </cell>
          <cell r="AS72">
            <v>5.0292869515011548E-3</v>
          </cell>
          <cell r="AT72">
            <v>4.9048072880168185E-3</v>
          </cell>
          <cell r="AU72">
            <v>4.8428186714542191E-3</v>
          </cell>
          <cell r="AV72">
            <v>4.9633199322894625E-3</v>
          </cell>
          <cell r="AW72">
            <v>5.0611571979219038E-3</v>
          </cell>
          <cell r="AX72">
            <v>5.1352839605603553E-3</v>
          </cell>
          <cell r="AY72">
            <v>5.0201741861793259E-3</v>
          </cell>
          <cell r="AZ72">
            <v>4.9527855477855482E-3</v>
          </cell>
          <cell r="BA72">
            <v>4.8701026312164206E-3</v>
          </cell>
          <cell r="BB72">
            <v>4.8100472733030239E-3</v>
          </cell>
          <cell r="BC72">
            <v>4.8759646283799297E-3</v>
          </cell>
          <cell r="BE72">
            <v>1991</v>
          </cell>
          <cell r="BF72">
            <v>-3.5030294588759614E-2</v>
          </cell>
          <cell r="BG72">
            <v>2.9878752886836057E-2</v>
          </cell>
          <cell r="BH72">
            <v>1.4856341976173804E-2</v>
          </cell>
          <cell r="BI72">
            <v>-2.099157574920596E-2</v>
          </cell>
          <cell r="BJ72">
            <v>-1.7985611510791366E-2</v>
          </cell>
          <cell r="BK72">
            <v>-1.9033254327372018E-2</v>
          </cell>
          <cell r="BL72">
            <v>2.5626006735978812E-2</v>
          </cell>
          <cell r="BM72">
            <v>2.0845231296402034E-2</v>
          </cell>
          <cell r="BN72">
            <v>1.5244755244755215E-2</v>
          </cell>
          <cell r="BO72">
            <v>1.5084722413555518E-2</v>
          </cell>
          <cell r="BP72">
            <v>-1.458912940218493E-2</v>
          </cell>
          <cell r="BQ72">
            <v>6.8447872193912573E-2</v>
          </cell>
          <cell r="BS72">
            <v>1991</v>
          </cell>
          <cell r="BT72">
            <v>-3.0155497133040787E-2</v>
          </cell>
          <cell r="BU72">
            <v>3.4908039838337214E-2</v>
          </cell>
          <cell r="BV72">
            <v>1.9761149264190623E-2</v>
          </cell>
          <cell r="BW72">
            <v>-1.6148757077751742E-2</v>
          </cell>
          <cell r="BX72">
            <v>-1.3022291578501904E-2</v>
          </cell>
          <cell r="BY72">
            <v>-1.3972097129450113E-2</v>
          </cell>
          <cell r="BZ72">
            <v>3.0761290696539167E-2</v>
          </cell>
          <cell r="CA72">
            <v>2.5865405482581358E-2</v>
          </cell>
          <cell r="CB72">
            <v>2.0197540792540762E-2</v>
          </cell>
          <cell r="CC72">
            <v>1.9954825044771939E-2</v>
          </cell>
          <cell r="CD72">
            <v>-9.7790821288819066E-3</v>
          </cell>
          <cell r="CE72">
            <v>7.3323836822292501E-2</v>
          </cell>
          <cell r="CG72">
            <v>1991</v>
          </cell>
          <cell r="CH72">
            <v>0.14605348011329666</v>
          </cell>
        </row>
        <row r="73">
          <cell r="A73">
            <v>1992</v>
          </cell>
          <cell r="B73">
            <v>14970</v>
          </cell>
          <cell r="C73">
            <v>14306</v>
          </cell>
          <cell r="D73">
            <v>13945</v>
          </cell>
          <cell r="E73">
            <v>14161</v>
          </cell>
          <cell r="F73">
            <v>14725</v>
          </cell>
          <cell r="G73">
            <v>14679</v>
          </cell>
          <cell r="H73">
            <v>15370</v>
          </cell>
          <cell r="I73">
            <v>15743</v>
          </cell>
          <cell r="J73">
            <v>15536</v>
          </cell>
          <cell r="K73">
            <v>15426</v>
          </cell>
          <cell r="L73">
            <v>15212</v>
          </cell>
          <cell r="M73">
            <v>15718</v>
          </cell>
          <cell r="O73">
            <v>1992</v>
          </cell>
          <cell r="P73">
            <v>572</v>
          </cell>
          <cell r="Q73">
            <v>599</v>
          </cell>
          <cell r="R73">
            <v>616</v>
          </cell>
          <cell r="S73">
            <v>608</v>
          </cell>
          <cell r="T73">
            <v>580</v>
          </cell>
          <cell r="U73">
            <v>584</v>
          </cell>
          <cell r="V73">
            <v>558</v>
          </cell>
          <cell r="W73">
            <v>547</v>
          </cell>
          <cell r="X73">
            <v>549</v>
          </cell>
          <cell r="Y73">
            <v>552</v>
          </cell>
          <cell r="Z73">
            <v>560</v>
          </cell>
          <cell r="AA73">
            <v>544</v>
          </cell>
          <cell r="AC73">
            <v>1992</v>
          </cell>
          <cell r="AD73">
            <v>14613</v>
          </cell>
          <cell r="AE73">
            <v>14143</v>
          </cell>
          <cell r="AF73">
            <v>13868</v>
          </cell>
          <cell r="AG73">
            <v>14690</v>
          </cell>
          <cell r="AH73">
            <v>14598</v>
          </cell>
          <cell r="AI73">
            <v>14733</v>
          </cell>
          <cell r="AJ73">
            <v>15825</v>
          </cell>
          <cell r="AK73">
            <v>15636</v>
          </cell>
          <cell r="AL73">
            <v>15679</v>
          </cell>
          <cell r="AM73">
            <v>15461</v>
          </cell>
          <cell r="AN73">
            <v>15367</v>
          </cell>
          <cell r="AO73">
            <v>15846</v>
          </cell>
          <cell r="AQ73">
            <v>1992</v>
          </cell>
          <cell r="AR73">
            <v>4.5989301366331529E-3</v>
          </cell>
          <cell r="AS73">
            <v>4.8867982846324057E-3</v>
          </cell>
          <cell r="AT73">
            <v>5.0614673925852604E-3</v>
          </cell>
          <cell r="AU73">
            <v>5.1737140659551964E-3</v>
          </cell>
          <cell r="AV73">
            <v>4.8448491036986617E-3</v>
          </cell>
          <cell r="AW73">
            <v>4.8936703658035352E-3</v>
          </cell>
          <cell r="AX73">
            <v>4.8510486662594176E-3</v>
          </cell>
          <cell r="AY73">
            <v>4.5347135334386519E-3</v>
          </cell>
          <cell r="AZ73">
            <v>4.5457405986185726E-3</v>
          </cell>
          <cell r="BA73">
            <v>4.5257733273805726E-3</v>
          </cell>
          <cell r="BB73">
            <v>4.591509820408339E-3</v>
          </cell>
          <cell r="BC73">
            <v>4.6368798941454634E-3</v>
          </cell>
          <cell r="BE73">
            <v>1992</v>
          </cell>
          <cell r="BF73">
            <v>-5.8197989172467102E-2</v>
          </cell>
          <cell r="BG73">
            <v>-3.2163142407445444E-2</v>
          </cell>
          <cell r="BH73">
            <v>-1.944424803789857E-2</v>
          </cell>
          <cell r="BI73">
            <v>5.9273146812806488E-2</v>
          </cell>
          <cell r="BJ73">
            <v>-6.2627637848876594E-3</v>
          </cell>
          <cell r="BK73">
            <v>9.2478421701602809E-3</v>
          </cell>
          <cell r="BL73">
            <v>7.4119323966605588E-2</v>
          </cell>
          <cell r="BM73">
            <v>-1.1943127962085298E-2</v>
          </cell>
          <cell r="BN73">
            <v>2.7500639549757899E-3</v>
          </cell>
          <cell r="BO73">
            <v>-1.3903947955864582E-2</v>
          </cell>
          <cell r="BP73">
            <v>-6.079813724856109E-3</v>
          </cell>
          <cell r="BQ73">
            <v>3.1170690440554427E-2</v>
          </cell>
          <cell r="BS73">
            <v>1992</v>
          </cell>
          <cell r="BT73">
            <v>-5.3599059035833951E-2</v>
          </cell>
          <cell r="BU73">
            <v>-2.7276344122813038E-2</v>
          </cell>
          <cell r="BV73">
            <v>-1.4382780645313311E-2</v>
          </cell>
          <cell r="BW73">
            <v>6.4446860878761683E-2</v>
          </cell>
          <cell r="BX73">
            <v>-1.4179146811889977E-3</v>
          </cell>
          <cell r="BY73">
            <v>1.4141512535963817E-2</v>
          </cell>
          <cell r="BZ73">
            <v>7.8970372632865007E-2</v>
          </cell>
          <cell r="CA73">
            <v>-7.4084144286466463E-3</v>
          </cell>
          <cell r="CB73">
            <v>7.2958045535943625E-3</v>
          </cell>
          <cell r="CC73">
            <v>-9.3781746284840092E-3</v>
          </cell>
          <cell r="CD73">
            <v>-1.48830390444777E-3</v>
          </cell>
          <cell r="CE73">
            <v>3.580757033469989E-2</v>
          </cell>
          <cell r="CG73">
            <v>1992</v>
          </cell>
          <cell r="CH73">
            <v>8.1076689380070066E-2</v>
          </cell>
        </row>
        <row r="74">
          <cell r="A74">
            <v>1993</v>
          </cell>
          <cell r="B74">
            <v>15979</v>
          </cell>
          <cell r="C74">
            <v>16641</v>
          </cell>
          <cell r="D74">
            <v>17048</v>
          </cell>
          <cell r="E74">
            <v>17227</v>
          </cell>
          <cell r="F74">
            <v>16751</v>
          </cell>
          <cell r="G74">
            <v>17165</v>
          </cell>
          <cell r="H74">
            <v>17650</v>
          </cell>
          <cell r="I74">
            <v>18006</v>
          </cell>
          <cell r="J74">
            <v>18676</v>
          </cell>
          <cell r="K74">
            <v>18350</v>
          </cell>
          <cell r="L74">
            <v>17543</v>
          </cell>
          <cell r="M74">
            <v>17443</v>
          </cell>
          <cell r="O74">
            <v>1993</v>
          </cell>
          <cell r="P74">
            <v>537</v>
          </cell>
          <cell r="Q74">
            <v>515</v>
          </cell>
          <cell r="R74">
            <v>499</v>
          </cell>
          <cell r="S74">
            <v>498</v>
          </cell>
          <cell r="T74">
            <v>510</v>
          </cell>
          <cell r="U74">
            <v>502</v>
          </cell>
          <cell r="V74">
            <v>490</v>
          </cell>
          <cell r="W74">
            <v>483</v>
          </cell>
          <cell r="X74">
            <v>465</v>
          </cell>
          <cell r="Y74">
            <v>469</v>
          </cell>
          <cell r="Z74">
            <v>492</v>
          </cell>
          <cell r="AA74">
            <v>496</v>
          </cell>
          <cell r="AC74">
            <v>1993</v>
          </cell>
          <cell r="AD74">
            <v>16024</v>
          </cell>
          <cell r="AE74">
            <v>17107</v>
          </cell>
          <cell r="AF74">
            <v>17345</v>
          </cell>
          <cell r="AG74">
            <v>17227</v>
          </cell>
          <cell r="AH74">
            <v>16827</v>
          </cell>
          <cell r="AI74">
            <v>17534</v>
          </cell>
          <cell r="AJ74">
            <v>17858</v>
          </cell>
          <cell r="AK74">
            <v>18649</v>
          </cell>
          <cell r="AL74">
            <v>18539</v>
          </cell>
          <cell r="AM74">
            <v>18428</v>
          </cell>
          <cell r="AN74">
            <v>17422</v>
          </cell>
          <cell r="AO74">
            <v>17258</v>
          </cell>
          <cell r="AQ74">
            <v>1993</v>
          </cell>
          <cell r="AR74">
            <v>4.5125599520383693E-3</v>
          </cell>
          <cell r="AS74">
            <v>4.4569161882176732E-3</v>
          </cell>
          <cell r="AT74">
            <v>4.1439917382747804E-3</v>
          </cell>
          <cell r="AU74">
            <v>4.1217670798501015E-3</v>
          </cell>
          <cell r="AV74">
            <v>4.1325680617635106E-3</v>
          </cell>
          <cell r="AW74">
            <v>4.267362968245478E-3</v>
          </cell>
          <cell r="AX74">
            <v>4.1103475153036004E-3</v>
          </cell>
          <cell r="AY74">
            <v>4.058357598835256E-3</v>
          </cell>
          <cell r="AZ74">
            <v>3.8806102203871517E-3</v>
          </cell>
          <cell r="BA74">
            <v>3.8684889512199503E-3</v>
          </cell>
          <cell r="BB74">
            <v>3.9030985456913391E-3</v>
          </cell>
          <cell r="BC74">
            <v>4.1383155397390278E-3</v>
          </cell>
          <cell r="BE74">
            <v>1993</v>
          </cell>
          <cell r="BF74">
            <v>1.1233118768143369E-2</v>
          </cell>
          <cell r="BG74">
            <v>6.75861208187718E-2</v>
          </cell>
          <cell r="BH74">
            <v>1.3912433506751531E-2</v>
          </cell>
          <cell r="BI74">
            <v>-6.803113289132301E-3</v>
          </cell>
          <cell r="BJ74">
            <v>-2.3219364950368582E-2</v>
          </cell>
          <cell r="BK74">
            <v>4.2015807927735294E-2</v>
          </cell>
          <cell r="BL74">
            <v>1.8478384852286922E-2</v>
          </cell>
          <cell r="BM74">
            <v>4.4293873894053037E-2</v>
          </cell>
          <cell r="BN74">
            <v>-5.8984395946163337E-3</v>
          </cell>
          <cell r="BO74">
            <v>-5.9873779599762811E-3</v>
          </cell>
          <cell r="BP74">
            <v>-5.4590840026047305E-2</v>
          </cell>
          <cell r="BQ74">
            <v>-9.4133853748133989E-3</v>
          </cell>
          <cell r="BS74">
            <v>1993</v>
          </cell>
          <cell r="BT74">
            <v>1.574567872018174E-2</v>
          </cell>
          <cell r="BU74">
            <v>7.2043037006989469E-2</v>
          </cell>
          <cell r="BV74">
            <v>1.8056425245026313E-2</v>
          </cell>
          <cell r="BW74">
            <v>-2.6813462092821995E-3</v>
          </cell>
          <cell r="BX74">
            <v>-1.9086796888605071E-2</v>
          </cell>
          <cell r="BY74">
            <v>4.6283170895980774E-2</v>
          </cell>
          <cell r="BZ74">
            <v>2.2588732367590521E-2</v>
          </cell>
          <cell r="CA74">
            <v>4.8352231492888295E-2</v>
          </cell>
          <cell r="CB74">
            <v>-2.017829374229182E-3</v>
          </cell>
          <cell r="CC74">
            <v>-2.1188890087563308E-3</v>
          </cell>
          <cell r="CD74">
            <v>-5.0687741480355965E-2</v>
          </cell>
          <cell r="CE74">
            <v>-5.275069835074371E-3</v>
          </cell>
          <cell r="CG74">
            <v>1993</v>
          </cell>
          <cell r="CH74">
            <v>0.14394387710675538</v>
          </cell>
        </row>
        <row r="75">
          <cell r="A75">
            <v>1994</v>
          </cell>
          <cell r="B75">
            <v>16870</v>
          </cell>
          <cell r="C75">
            <v>16441</v>
          </cell>
          <cell r="D75">
            <v>16097</v>
          </cell>
          <cell r="E75">
            <v>15757</v>
          </cell>
          <cell r="F75">
            <v>15374</v>
          </cell>
          <cell r="G75">
            <v>15541</v>
          </cell>
          <cell r="H75">
            <v>15509</v>
          </cell>
          <cell r="I75">
            <v>15841</v>
          </cell>
          <cell r="J75">
            <v>15202</v>
          </cell>
          <cell r="K75">
            <v>15089</v>
          </cell>
          <cell r="L75">
            <v>14990</v>
          </cell>
          <cell r="M75">
            <v>15120</v>
          </cell>
          <cell r="O75">
            <v>1994</v>
          </cell>
          <cell r="P75">
            <v>516</v>
          </cell>
          <cell r="Q75">
            <v>529</v>
          </cell>
          <cell r="R75">
            <v>544</v>
          </cell>
          <cell r="S75">
            <v>573</v>
          </cell>
          <cell r="T75">
            <v>586</v>
          </cell>
          <cell r="U75">
            <v>577</v>
          </cell>
          <cell r="V75">
            <v>577</v>
          </cell>
          <cell r="W75">
            <v>563</v>
          </cell>
          <cell r="X75">
            <v>586</v>
          </cell>
          <cell r="Y75">
            <v>594</v>
          </cell>
          <cell r="Z75">
            <v>596</v>
          </cell>
          <cell r="AA75">
            <v>590</v>
          </cell>
          <cell r="AC75">
            <v>1994</v>
          </cell>
          <cell r="AD75">
            <v>17310</v>
          </cell>
          <cell r="AE75">
            <v>16256</v>
          </cell>
          <cell r="AF75">
            <v>15633</v>
          </cell>
          <cell r="AG75">
            <v>15943</v>
          </cell>
          <cell r="AH75">
            <v>15441</v>
          </cell>
          <cell r="AI75">
            <v>15399</v>
          </cell>
          <cell r="AJ75">
            <v>15843</v>
          </cell>
          <cell r="AK75">
            <v>15724</v>
          </cell>
          <cell r="AL75">
            <v>15250</v>
          </cell>
          <cell r="AM75">
            <v>15307</v>
          </cell>
          <cell r="AN75">
            <v>15009</v>
          </cell>
          <cell r="AO75">
            <v>15012</v>
          </cell>
          <cell r="AQ75">
            <v>1994</v>
          </cell>
          <cell r="AR75">
            <v>4.2033259937420322E-3</v>
          </cell>
          <cell r="AS75">
            <v>4.1870253225495865E-3</v>
          </cell>
          <cell r="AT75">
            <v>4.4889927821522308E-3</v>
          </cell>
          <cell r="AU75">
            <v>4.8128750079959063E-3</v>
          </cell>
          <cell r="AV75">
            <v>4.7090489033849757E-3</v>
          </cell>
          <cell r="AW75">
            <v>4.8394733717591698E-3</v>
          </cell>
          <cell r="AX75">
            <v>4.8426808017836658E-3</v>
          </cell>
          <cell r="AY75">
            <v>4.6910743966841299E-3</v>
          </cell>
          <cell r="AZ75">
            <v>4.7212180954803703E-3</v>
          </cell>
          <cell r="BA75">
            <v>4.8977409836065576E-3</v>
          </cell>
          <cell r="BB75">
            <v>4.8638095860281793E-3</v>
          </cell>
          <cell r="BC75">
            <v>4.9530281830901454E-3</v>
          </cell>
          <cell r="BE75">
            <v>1994</v>
          </cell>
          <cell r="BF75">
            <v>3.0130953760574286E-3</v>
          </cell>
          <cell r="BG75">
            <v>-6.0889659156556863E-2</v>
          </cell>
          <cell r="BH75">
            <v>-3.8324311023621993E-2</v>
          </cell>
          <cell r="BI75">
            <v>1.9829847118275401E-2</v>
          </cell>
          <cell r="BJ75">
            <v>-3.1487173054004947E-2</v>
          </cell>
          <cell r="BK75">
            <v>-2.720031086069552E-3</v>
          </cell>
          <cell r="BL75">
            <v>2.8833041106565371E-2</v>
          </cell>
          <cell r="BM75">
            <v>-7.5112036861705311E-3</v>
          </cell>
          <cell r="BN75">
            <v>-3.0145001271940974E-2</v>
          </cell>
          <cell r="BO75">
            <v>3.7377049180327138E-3</v>
          </cell>
          <cell r="BP75">
            <v>-1.9468217155549694E-2</v>
          </cell>
          <cell r="BQ75">
            <v>1.9988007195692603E-4</v>
          </cell>
          <cell r="BS75">
            <v>1994</v>
          </cell>
          <cell r="BT75">
            <v>7.2164213697994608E-3</v>
          </cell>
          <cell r="BU75">
            <v>-5.6702633834007275E-2</v>
          </cell>
          <cell r="BV75">
            <v>-3.3835318241469764E-2</v>
          </cell>
          <cell r="BW75">
            <v>2.4642722126271308E-2</v>
          </cell>
          <cell r="BX75">
            <v>-2.6778124150619972E-2</v>
          </cell>
          <cell r="BY75">
            <v>2.1194422856896178E-3</v>
          </cell>
          <cell r="BZ75">
            <v>3.3675721908349041E-2</v>
          </cell>
          <cell r="CA75">
            <v>-2.8201292894864012E-3</v>
          </cell>
          <cell r="CB75">
            <v>-2.5423783176460605E-2</v>
          </cell>
          <cell r="CC75">
            <v>8.6354459016392722E-3</v>
          </cell>
          <cell r="CD75">
            <v>-1.4604407569521515E-2</v>
          </cell>
          <cell r="CE75">
            <v>5.1529082550470715E-3</v>
          </cell>
          <cell r="CG75">
            <v>1994</v>
          </cell>
          <cell r="CH75">
            <v>-7.9387238778824032E-2</v>
          </cell>
        </row>
        <row r="76">
          <cell r="A76">
            <v>1995</v>
          </cell>
          <cell r="B76">
            <v>15387</v>
          </cell>
          <cell r="C76">
            <v>16017</v>
          </cell>
          <cell r="D76">
            <v>15817</v>
          </cell>
          <cell r="E76">
            <v>16223</v>
          </cell>
          <cell r="F76">
            <v>16413</v>
          </cell>
          <cell r="G76">
            <v>16758</v>
          </cell>
          <cell r="H76">
            <v>16949</v>
          </cell>
          <cell r="I76">
            <v>17215</v>
          </cell>
          <cell r="J76">
            <v>17898</v>
          </cell>
          <cell r="K76">
            <v>18649</v>
          </cell>
          <cell r="L76">
            <v>18922</v>
          </cell>
          <cell r="M76">
            <v>19753</v>
          </cell>
          <cell r="O76">
            <v>1995</v>
          </cell>
          <cell r="P76">
            <v>584</v>
          </cell>
          <cell r="Q76">
            <v>559</v>
          </cell>
          <cell r="R76">
            <v>568</v>
          </cell>
          <cell r="S76">
            <v>555</v>
          </cell>
          <cell r="T76">
            <v>548</v>
          </cell>
          <cell r="U76">
            <v>538</v>
          </cell>
          <cell r="V76">
            <v>533</v>
          </cell>
          <cell r="W76">
            <v>524</v>
          </cell>
          <cell r="X76">
            <v>505</v>
          </cell>
          <cell r="Y76">
            <v>482</v>
          </cell>
          <cell r="Z76">
            <v>483</v>
          </cell>
          <cell r="AA76">
            <v>463</v>
          </cell>
          <cell r="AC76">
            <v>1995</v>
          </cell>
          <cell r="AD76">
            <v>16107</v>
          </cell>
          <cell r="AE76">
            <v>16009</v>
          </cell>
          <cell r="AF76">
            <v>15838</v>
          </cell>
          <cell r="AG76">
            <v>16341</v>
          </cell>
          <cell r="AH76">
            <v>16783</v>
          </cell>
          <cell r="AI76">
            <v>16786</v>
          </cell>
          <cell r="AJ76">
            <v>17139</v>
          </cell>
          <cell r="AK76">
            <v>17410</v>
          </cell>
          <cell r="AL76">
            <v>18446</v>
          </cell>
          <cell r="AM76">
            <v>18809</v>
          </cell>
          <cell r="AN76">
            <v>18990</v>
          </cell>
          <cell r="AO76">
            <v>20258</v>
          </cell>
          <cell r="AQ76">
            <v>1995</v>
          </cell>
          <cell r="AR76">
            <v>4.9882360778044227E-3</v>
          </cell>
          <cell r="AS76">
            <v>4.6323042776432611E-3</v>
          </cell>
          <cell r="AT76">
            <v>4.6765652653715621E-3</v>
          </cell>
          <cell r="AU76">
            <v>4.7374273898219471E-3</v>
          </cell>
          <cell r="AV76">
            <v>4.5867878342818677E-3</v>
          </cell>
          <cell r="AW76">
            <v>4.4766549484597509E-3</v>
          </cell>
          <cell r="AX76">
            <v>4.4847973509670762E-3</v>
          </cell>
          <cell r="AY76">
            <v>4.3860299122858194E-3</v>
          </cell>
          <cell r="AZ76">
            <v>4.3262923607122342E-3</v>
          </cell>
          <cell r="BA76">
            <v>4.0608704687556466E-3</v>
          </cell>
          <cell r="BB76">
            <v>4.0491812430219574E-3</v>
          </cell>
          <cell r="BC76">
            <v>4.0133574688432511E-3</v>
          </cell>
          <cell r="BE76">
            <v>1995</v>
          </cell>
          <cell r="BF76">
            <v>7.2941646682653793E-2</v>
          </cell>
          <cell r="BG76">
            <v>-6.084311169056944E-3</v>
          </cell>
          <cell r="BH76">
            <v>-1.0681491660940678E-2</v>
          </cell>
          <cell r="BI76">
            <v>3.1759060487435375E-2</v>
          </cell>
          <cell r="BJ76">
            <v>2.704852824184556E-2</v>
          </cell>
          <cell r="BK76">
            <v>1.7875230888408922E-4</v>
          </cell>
          <cell r="BL76">
            <v>2.102942928631002E-2</v>
          </cell>
          <cell r="BM76">
            <v>1.5811891008810308E-2</v>
          </cell>
          <cell r="BN76">
            <v>5.9506031016657079E-2</v>
          </cell>
          <cell r="BO76">
            <v>1.9679063211536452E-2</v>
          </cell>
          <cell r="BP76">
            <v>9.6230527938752086E-3</v>
          </cell>
          <cell r="BQ76">
            <v>6.6771985255397626E-2</v>
          </cell>
          <cell r="BS76">
            <v>1995</v>
          </cell>
          <cell r="BT76">
            <v>7.7929882760458216E-2</v>
          </cell>
          <cell r="BU76">
            <v>-1.4520068914136829E-3</v>
          </cell>
          <cell r="BV76">
            <v>-6.0049263955691164E-3</v>
          </cell>
          <cell r="BW76">
            <v>3.6496487877257323E-2</v>
          </cell>
          <cell r="BX76">
            <v>3.1635316076127427E-2</v>
          </cell>
          <cell r="BY76">
            <v>4.6554072573438401E-3</v>
          </cell>
          <cell r="BZ76">
            <v>2.5514226637277097E-2</v>
          </cell>
          <cell r="CA76">
            <v>2.0197920921096128E-2</v>
          </cell>
          <cell r="CB76">
            <v>6.3832323377369313E-2</v>
          </cell>
          <cell r="CC76">
            <v>2.3739933680292098E-2</v>
          </cell>
          <cell r="CD76">
            <v>1.3672234036897166E-2</v>
          </cell>
          <cell r="CE76">
            <v>7.0785342724240877E-2</v>
          </cell>
          <cell r="CG76">
            <v>1995</v>
          </cell>
          <cell r="CH76">
            <v>0.42148986345089368</v>
          </cell>
        </row>
        <row r="77">
          <cell r="A77">
            <v>1996</v>
          </cell>
          <cell r="B77">
            <v>20257</v>
          </cell>
          <cell r="C77">
            <v>20443</v>
          </cell>
          <cell r="D77">
            <v>19248</v>
          </cell>
          <cell r="E77">
            <v>19025</v>
          </cell>
          <cell r="F77">
            <v>19291</v>
          </cell>
          <cell r="G77">
            <v>19072</v>
          </cell>
          <cell r="H77">
            <v>19071</v>
          </cell>
          <cell r="I77">
            <v>18997</v>
          </cell>
          <cell r="J77">
            <v>18867</v>
          </cell>
          <cell r="K77">
            <v>19332</v>
          </cell>
          <cell r="L77">
            <v>20145</v>
          </cell>
          <cell r="M77">
            <v>19831</v>
          </cell>
          <cell r="O77">
            <v>1996</v>
          </cell>
          <cell r="P77">
            <v>454</v>
          </cell>
          <cell r="Q77">
            <v>451</v>
          </cell>
          <cell r="R77">
            <v>477</v>
          </cell>
          <cell r="S77">
            <v>484</v>
          </cell>
          <cell r="T77">
            <v>477</v>
          </cell>
          <cell r="U77">
            <v>487</v>
          </cell>
          <cell r="V77">
            <v>531</v>
          </cell>
          <cell r="W77">
            <v>533</v>
          </cell>
          <cell r="X77">
            <v>538</v>
          </cell>
          <cell r="Y77">
            <v>525</v>
          </cell>
          <cell r="Z77">
            <v>505</v>
          </cell>
          <cell r="AA77">
            <v>505</v>
          </cell>
          <cell r="AC77">
            <v>1996</v>
          </cell>
          <cell r="AD77">
            <v>20443</v>
          </cell>
          <cell r="AE77">
            <v>19558</v>
          </cell>
          <cell r="AF77">
            <v>19084</v>
          </cell>
          <cell r="AG77">
            <v>19217</v>
          </cell>
          <cell r="AH77">
            <v>19092</v>
          </cell>
          <cell r="AI77">
            <v>19808</v>
          </cell>
          <cell r="AJ77">
            <v>18478</v>
          </cell>
          <cell r="AK77">
            <v>18786</v>
          </cell>
          <cell r="AL77">
            <v>18880</v>
          </cell>
          <cell r="AM77">
            <v>19755</v>
          </cell>
          <cell r="AN77">
            <v>20086</v>
          </cell>
          <cell r="AO77">
            <v>19881</v>
          </cell>
          <cell r="AQ77">
            <v>1996</v>
          </cell>
          <cell r="AR77">
            <v>3.7831465758383521E-3</v>
          </cell>
          <cell r="AS77">
            <v>3.7583333333333336E-3</v>
          </cell>
          <cell r="AT77">
            <v>3.9119950915226503E-3</v>
          </cell>
          <cell r="AU77">
            <v>4.0208638999510932E-3</v>
          </cell>
          <cell r="AV77">
            <v>3.9903067596399021E-3</v>
          </cell>
          <cell r="AW77">
            <v>4.0540819889657098E-3</v>
          </cell>
          <cell r="AX77">
            <v>4.2603581886106624E-3</v>
          </cell>
          <cell r="AY77">
            <v>4.5664217808565142E-3</v>
          </cell>
          <cell r="AZ77">
            <v>4.5026642180347066E-3</v>
          </cell>
          <cell r="BA77">
            <v>4.4797404661016949E-3</v>
          </cell>
          <cell r="BB77">
            <v>4.2914135661857753E-3</v>
          </cell>
          <cell r="BC77">
            <v>4.1549068173520531E-3</v>
          </cell>
          <cell r="BE77">
            <v>1996</v>
          </cell>
          <cell r="BF77">
            <v>9.1321946885181138E-3</v>
          </cell>
          <cell r="BG77">
            <v>-4.3291102088734545E-2</v>
          </cell>
          <cell r="BH77">
            <v>-2.4235606912772267E-2</v>
          </cell>
          <cell r="BI77">
            <v>6.9691888492977583E-3</v>
          </cell>
          <cell r="BJ77">
            <v>-6.5046573346516645E-3</v>
          </cell>
          <cell r="BK77">
            <v>3.7502618897967688E-2</v>
          </cell>
          <cell r="BL77">
            <v>-6.7144588045234266E-2</v>
          </cell>
          <cell r="BM77">
            <v>1.6668470613702802E-2</v>
          </cell>
          <cell r="BN77">
            <v>5.0037261790694121E-3</v>
          </cell>
          <cell r="BO77">
            <v>4.6345338983050821E-2</v>
          </cell>
          <cell r="BP77">
            <v>1.6755251834978502E-2</v>
          </cell>
          <cell r="BQ77">
            <v>-1.0206113711042519E-2</v>
          </cell>
          <cell r="BS77">
            <v>1996</v>
          </cell>
          <cell r="BT77">
            <v>1.2915341264356466E-2</v>
          </cell>
          <cell r="BU77">
            <v>-3.953276875540121E-2</v>
          </cell>
          <cell r="BV77">
            <v>-2.0323611821249615E-2</v>
          </cell>
          <cell r="BW77">
            <v>1.0990052749248851E-2</v>
          </cell>
          <cell r="BX77">
            <v>-2.5143505750117624E-3</v>
          </cell>
          <cell r="BY77">
            <v>4.1556700886933397E-2</v>
          </cell>
          <cell r="BZ77">
            <v>-6.2884229856623605E-2</v>
          </cell>
          <cell r="CA77">
            <v>2.1234892394559314E-2</v>
          </cell>
          <cell r="CB77">
            <v>9.5063903971041187E-3</v>
          </cell>
          <cell r="CC77">
            <v>5.0825079449152516E-2</v>
          </cell>
          <cell r="CD77">
            <v>2.1046665401164278E-2</v>
          </cell>
          <cell r="CE77">
            <v>-6.0512068936904662E-3</v>
          </cell>
          <cell r="CG77">
            <v>1996</v>
          </cell>
          <cell r="CH77">
            <v>3.1437206561902631E-2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B5" t="str">
            <v>A</v>
          </cell>
          <cell r="C5">
            <v>16</v>
          </cell>
        </row>
        <row r="6">
          <cell r="B6" t="str">
            <v>A-</v>
          </cell>
          <cell r="C6">
            <v>15</v>
          </cell>
        </row>
        <row r="7">
          <cell r="B7" t="str">
            <v>A+</v>
          </cell>
          <cell r="C7">
            <v>17</v>
          </cell>
        </row>
        <row r="8">
          <cell r="B8" t="str">
            <v>AA</v>
          </cell>
          <cell r="C8">
            <v>19</v>
          </cell>
        </row>
        <row r="9">
          <cell r="B9" t="str">
            <v>AA-</v>
          </cell>
          <cell r="C9">
            <v>18</v>
          </cell>
        </row>
        <row r="10">
          <cell r="B10" t="str">
            <v>AA+</v>
          </cell>
          <cell r="C10">
            <v>20</v>
          </cell>
        </row>
        <row r="11">
          <cell r="B11" t="str">
            <v>AAA</v>
          </cell>
          <cell r="C11">
            <v>21</v>
          </cell>
        </row>
        <row r="12">
          <cell r="B12" t="str">
            <v>B</v>
          </cell>
          <cell r="C12">
            <v>7</v>
          </cell>
        </row>
        <row r="13">
          <cell r="B13" t="str">
            <v>B-</v>
          </cell>
          <cell r="C13">
            <v>6</v>
          </cell>
        </row>
        <row r="14">
          <cell r="B14" t="str">
            <v>B+</v>
          </cell>
          <cell r="C14">
            <v>8</v>
          </cell>
        </row>
        <row r="15">
          <cell r="B15" t="str">
            <v>BB</v>
          </cell>
          <cell r="C15">
            <v>10</v>
          </cell>
        </row>
        <row r="16">
          <cell r="B16" t="str">
            <v>BB-</v>
          </cell>
          <cell r="C16">
            <v>9</v>
          </cell>
        </row>
        <row r="17">
          <cell r="B17" t="str">
            <v>BB+</v>
          </cell>
          <cell r="C17">
            <v>11</v>
          </cell>
        </row>
        <row r="18">
          <cell r="B18" t="str">
            <v>BBB</v>
          </cell>
          <cell r="C18">
            <v>13</v>
          </cell>
        </row>
        <row r="19">
          <cell r="B19" t="str">
            <v>BBB-</v>
          </cell>
          <cell r="C19">
            <v>12</v>
          </cell>
        </row>
        <row r="20">
          <cell r="B20" t="str">
            <v>BBB+</v>
          </cell>
          <cell r="C20">
            <v>14</v>
          </cell>
        </row>
        <row r="21">
          <cell r="B21" t="str">
            <v>C</v>
          </cell>
          <cell r="C21">
            <v>1</v>
          </cell>
        </row>
        <row r="22">
          <cell r="B22" t="str">
            <v>CC</v>
          </cell>
          <cell r="C22">
            <v>2</v>
          </cell>
        </row>
        <row r="23">
          <cell r="B23" t="str">
            <v>CCC</v>
          </cell>
          <cell r="C23">
            <v>4</v>
          </cell>
        </row>
        <row r="24">
          <cell r="B24" t="str">
            <v>CCC-</v>
          </cell>
          <cell r="C24">
            <v>3</v>
          </cell>
        </row>
        <row r="25">
          <cell r="B25" t="str">
            <v>CCC+</v>
          </cell>
          <cell r="C25">
            <v>5</v>
          </cell>
        </row>
        <row r="26">
          <cell r="B26" t="str">
            <v>NR</v>
          </cell>
          <cell r="C26">
            <v>0</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_G"/>
      <sheetName val="WP_G6"/>
      <sheetName val="WP_G14"/>
      <sheetName val="WP_G15"/>
      <sheetName val="WP_G-16"/>
      <sheetName val="WP_G-17"/>
      <sheetName val="WP_G-18a"/>
      <sheetName val="WP_G-18b"/>
      <sheetName val="WP_H1"/>
      <sheetName val="WP_H1.1"/>
      <sheetName val="WP_H1.2"/>
      <sheetName val="WP_H3"/>
      <sheetName val="WP_H3-1"/>
      <sheetName val="WP_H4"/>
      <sheetName val="WP_H4.1"/>
      <sheetName val="WP_H4.2"/>
      <sheetName val="WP_H4.3"/>
      <sheetName val="WP_H4.4"/>
      <sheetName val="WP_H4.5"/>
      <sheetName val="WP_H4.6"/>
      <sheetName val="WP_H5"/>
      <sheetName val="WP_H6"/>
      <sheetName val="WP_H7"/>
      <sheetName val="WP_H8"/>
      <sheetName val="WP_H8.1"/>
      <sheetName val="WP_H8.2"/>
      <sheetName val="WP_H9"/>
      <sheetName val="WP_H9.1"/>
      <sheetName val="WP_H9.2"/>
      <sheetName val="WP_H10"/>
      <sheetName val="WP_H10.1"/>
      <sheetName val="WP_H10.2"/>
      <sheetName val="WP_H11"/>
      <sheetName val="WP_H12"/>
      <sheetName val="WP_H13"/>
      <sheetName val="WP_H14"/>
      <sheetName val="WP_H15"/>
      <sheetName val="WP_H16"/>
      <sheetName val="WP_H17"/>
      <sheetName val="WP_H18"/>
      <sheetName val="WP_H19"/>
      <sheetName val="WP_H20"/>
      <sheetName val="WP_H21"/>
      <sheetName val="WP_H22"/>
      <sheetName val="WP_I1"/>
      <sheetName val="WP_I2"/>
      <sheetName val="WP_I3"/>
      <sheetName val="WP_J1"/>
      <sheetName val="WP_J2"/>
      <sheetName val="WP_J3"/>
      <sheetName val="WP_J4"/>
      <sheetName val="WP_J5"/>
      <sheetName val="WP_J6"/>
      <sheetName val="SECT_K"/>
      <sheetName val="SECT_L"/>
      <sheetName val="SECT_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Section H - Operating Income Statement</v>
          </cell>
        </row>
        <row r="3">
          <cell r="B3" t="str">
            <v>W/P H-9</v>
          </cell>
        </row>
        <row r="4">
          <cell r="A4" t="str">
            <v>OKLAHOMA GAS AND ELECTRIC SERVICES</v>
          </cell>
        </row>
        <row r="5">
          <cell r="A5" t="str">
            <v>DIRECTORS' FEES &amp; EXECUTIVE SALARIES &amp; EXPENSES</v>
          </cell>
        </row>
        <row r="6">
          <cell r="A6" t="str">
            <v>TEST YEAR ENDING DECEMBER 31, 1995</v>
          </cell>
        </row>
        <row r="7">
          <cell r="A7" t="str">
            <v>CAUSE NO. PUD  960000116</v>
          </cell>
        </row>
        <row r="10">
          <cell r="B10" t="str">
            <v>Line</v>
          </cell>
          <cell r="F10" t="str">
            <v>Fees &amp;</v>
          </cell>
          <cell r="H10" t="str">
            <v>Incentive</v>
          </cell>
          <cell r="J10" t="str">
            <v>Restricted</v>
          </cell>
        </row>
        <row r="11">
          <cell r="B11" t="str">
            <v>No.</v>
          </cell>
          <cell r="D11" t="str">
            <v>Description</v>
          </cell>
          <cell r="F11" t="str">
            <v>Salaries</v>
          </cell>
          <cell r="H11" t="str">
            <v>Compensation</v>
          </cell>
          <cell r="J11" t="str">
            <v>Stock</v>
          </cell>
          <cell r="L11" t="str">
            <v>Expenses</v>
          </cell>
        </row>
        <row r="13">
          <cell r="B13" t="str">
            <v>1.</v>
          </cell>
          <cell r="D13" t="str">
            <v>Herbert H Champlin</v>
          </cell>
          <cell r="F13">
            <v>34000</v>
          </cell>
          <cell r="L13">
            <v>1495</v>
          </cell>
        </row>
        <row r="14">
          <cell r="D14" t="str">
            <v>William E Durrett</v>
          </cell>
          <cell r="F14">
            <v>35000</v>
          </cell>
        </row>
        <row r="15">
          <cell r="D15" t="str">
            <v>Martha W Griffin</v>
          </cell>
          <cell r="F15">
            <v>34000</v>
          </cell>
          <cell r="L15">
            <v>1740</v>
          </cell>
        </row>
        <row r="16">
          <cell r="D16" t="str">
            <v>Hugh Hembree</v>
          </cell>
          <cell r="F16">
            <v>30000</v>
          </cell>
          <cell r="L16">
            <v>2074</v>
          </cell>
        </row>
        <row r="17">
          <cell r="D17" t="str">
            <v>Donald S Kennedy</v>
          </cell>
          <cell r="F17">
            <v>8000</v>
          </cell>
        </row>
        <row r="18">
          <cell r="D18" t="str">
            <v>Wayne A Parker</v>
          </cell>
          <cell r="F18">
            <v>24000</v>
          </cell>
        </row>
        <row r="19">
          <cell r="D19" t="str">
            <v>John F Snodgrass</v>
          </cell>
          <cell r="F19">
            <v>31000</v>
          </cell>
          <cell r="L19">
            <v>1329</v>
          </cell>
        </row>
        <row r="20">
          <cell r="D20" t="str">
            <v>John A Taylor</v>
          </cell>
          <cell r="F20">
            <v>35000</v>
          </cell>
          <cell r="L20">
            <v>407</v>
          </cell>
        </row>
        <row r="21">
          <cell r="D21" t="str">
            <v>Ronald White</v>
          </cell>
          <cell r="F21">
            <v>31000</v>
          </cell>
        </row>
        <row r="24">
          <cell r="D24" t="str">
            <v>J G Harlow jr</v>
          </cell>
          <cell r="F24">
            <v>500000</v>
          </cell>
          <cell r="H24">
            <v>183000</v>
          </cell>
          <cell r="J24">
            <v>149972</v>
          </cell>
          <cell r="L24">
            <v>6850</v>
          </cell>
        </row>
        <row r="25">
          <cell r="D25" t="str">
            <v>Patrick J Ryan</v>
          </cell>
          <cell r="F25">
            <v>295000</v>
          </cell>
          <cell r="H25">
            <v>63130</v>
          </cell>
          <cell r="J25">
            <v>58968</v>
          </cell>
          <cell r="L25">
            <v>5218</v>
          </cell>
        </row>
        <row r="26">
          <cell r="D26" t="str">
            <v>S E Moore</v>
          </cell>
          <cell r="F26">
            <v>212000</v>
          </cell>
          <cell r="H26">
            <v>58591</v>
          </cell>
          <cell r="J26">
            <v>52974</v>
          </cell>
          <cell r="L26">
            <v>1912</v>
          </cell>
        </row>
        <row r="27">
          <cell r="D27" t="str">
            <v>A M Strecker</v>
          </cell>
          <cell r="F27">
            <v>200000</v>
          </cell>
          <cell r="H27">
            <v>46800</v>
          </cell>
          <cell r="J27">
            <v>39974</v>
          </cell>
          <cell r="L27">
            <v>602</v>
          </cell>
        </row>
        <row r="28">
          <cell r="D28" t="str">
            <v>J T Coffman</v>
          </cell>
          <cell r="F28">
            <v>127500</v>
          </cell>
          <cell r="H28">
            <v>31720</v>
          </cell>
          <cell r="J28">
            <v>25475</v>
          </cell>
          <cell r="L28">
            <v>3758</v>
          </cell>
        </row>
        <row r="29">
          <cell r="D29" t="str">
            <v>J R Hatfield</v>
          </cell>
          <cell r="F29">
            <v>127500</v>
          </cell>
          <cell r="H29">
            <v>29835</v>
          </cell>
          <cell r="J29">
            <v>25475</v>
          </cell>
          <cell r="L29">
            <v>1902</v>
          </cell>
        </row>
        <row r="30">
          <cell r="D30" t="str">
            <v>D L Young</v>
          </cell>
          <cell r="F30">
            <v>120000</v>
          </cell>
          <cell r="H30">
            <v>25894</v>
          </cell>
          <cell r="J30">
            <v>23976</v>
          </cell>
          <cell r="L30">
            <v>2050</v>
          </cell>
        </row>
        <row r="31">
          <cell r="D31" t="str">
            <v>M D Bowen jr</v>
          </cell>
          <cell r="F31">
            <v>119167</v>
          </cell>
          <cell r="H31">
            <v>28548</v>
          </cell>
          <cell r="J31">
            <v>23814</v>
          </cell>
          <cell r="L31">
            <v>3474</v>
          </cell>
        </row>
        <row r="32">
          <cell r="D32" t="str">
            <v>M G Davis</v>
          </cell>
          <cell r="F32">
            <v>118000</v>
          </cell>
          <cell r="H32">
            <v>25680</v>
          </cell>
          <cell r="J32">
            <v>23571</v>
          </cell>
        </row>
        <row r="33">
          <cell r="D33" t="str">
            <v>D R Rowlett</v>
          </cell>
          <cell r="F33">
            <v>94167</v>
          </cell>
          <cell r="H33">
            <v>15960</v>
          </cell>
          <cell r="J33">
            <v>18833</v>
          </cell>
          <cell r="L33">
            <v>1053</v>
          </cell>
        </row>
        <row r="34">
          <cell r="D34" t="str">
            <v>I B Elliott</v>
          </cell>
          <cell r="F34">
            <v>94333</v>
          </cell>
          <cell r="H34">
            <v>16128</v>
          </cell>
          <cell r="J34">
            <v>9396</v>
          </cell>
          <cell r="L34">
            <v>763</v>
          </cell>
        </row>
        <row r="37">
          <cell r="D37" t="str">
            <v>B G Anthony</v>
          </cell>
          <cell r="F37">
            <v>104772</v>
          </cell>
          <cell r="J37">
            <v>8384</v>
          </cell>
          <cell r="L37">
            <v>7579</v>
          </cell>
        </row>
        <row r="38">
          <cell r="D38" t="str">
            <v>T C Vincent</v>
          </cell>
          <cell r="F38">
            <v>104472</v>
          </cell>
          <cell r="J38">
            <v>8384</v>
          </cell>
          <cell r="L38">
            <v>1091</v>
          </cell>
        </row>
        <row r="39">
          <cell r="D39" t="str">
            <v>W L Wylie</v>
          </cell>
          <cell r="F39">
            <v>104472</v>
          </cell>
          <cell r="J39">
            <v>8384</v>
          </cell>
          <cell r="L39">
            <v>5126</v>
          </cell>
        </row>
        <row r="40">
          <cell r="D40" t="str">
            <v>P M Dean</v>
          </cell>
          <cell r="F40">
            <v>104472</v>
          </cell>
          <cell r="J40">
            <v>6278</v>
          </cell>
          <cell r="L40">
            <v>7328</v>
          </cell>
        </row>
        <row r="41">
          <cell r="D41" t="str">
            <v>O W Beasley</v>
          </cell>
          <cell r="F41">
            <v>103712</v>
          </cell>
          <cell r="J41">
            <v>5184</v>
          </cell>
          <cell r="L41">
            <v>3143</v>
          </cell>
        </row>
        <row r="42">
          <cell r="D42" t="str">
            <v>T L Henry</v>
          </cell>
          <cell r="F42">
            <v>102340</v>
          </cell>
          <cell r="J42">
            <v>5103</v>
          </cell>
          <cell r="L42">
            <v>3483</v>
          </cell>
        </row>
        <row r="43">
          <cell r="D43" t="str">
            <v>J R Helton</v>
          </cell>
          <cell r="F43">
            <v>101980</v>
          </cell>
          <cell r="J43">
            <v>5103</v>
          </cell>
          <cell r="L43">
            <v>8777</v>
          </cell>
        </row>
        <row r="44">
          <cell r="D44" t="str">
            <v>R P Schmid</v>
          </cell>
          <cell r="F44">
            <v>95820</v>
          </cell>
          <cell r="J44">
            <v>9599</v>
          </cell>
          <cell r="L44">
            <v>4449</v>
          </cell>
        </row>
        <row r="45">
          <cell r="D45" t="str">
            <v>J E Wilson *</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_Factors &amp; Rates"/>
      <sheetName val="Index"/>
      <sheetName val="SCH_B1"/>
      <sheetName val="SCH_B2"/>
      <sheetName val="SCH_B2.1"/>
      <sheetName val="SCH_B2.2"/>
      <sheetName val="SCH_B2.3"/>
      <sheetName val="SCH_B2.4"/>
      <sheetName val="SCH_B3"/>
      <sheetName val="SCH_B4_P forma Adjs list"/>
      <sheetName val="SCH_C1"/>
      <sheetName val="SCH_C2"/>
      <sheetName val="SCH_C2.1"/>
      <sheetName val="SCH_D1A"/>
      <sheetName val="SCH_D2"/>
      <sheetName val="SCH_D2.1"/>
      <sheetName val="SCH_E1"/>
      <sheetName val="SCH_F1"/>
      <sheetName val="SCH_F-2"/>
      <sheetName val="SCH_F-3"/>
      <sheetName val="SCH_G"/>
      <sheetName val="SCH_H1"/>
      <sheetName val="SCH_H2"/>
      <sheetName val="SCH_H3"/>
      <sheetName val="SCH_I1"/>
      <sheetName val="SCH_I1_1"/>
      <sheetName val="SCH_J1 &amp; J2"/>
      <sheetName val="SCH_J3"/>
      <sheetName val="SCH_J4"/>
      <sheetName val="SCH_B4_Adjs list"/>
      <sheetName val="SCH_C3 Adjs List"/>
      <sheetName val="SCH_D1"/>
      <sheetName val="SCH_D3 Adjs list"/>
      <sheetName val="Sheet1"/>
      <sheetName val="SCH_B3.1"/>
      <sheetName val="SCH_C1-a"/>
      <sheetName val="SCH_I1a"/>
      <sheetName val="SCH_J1"/>
    </sheetNames>
    <sheetDataSet>
      <sheetData sheetId="0"/>
      <sheetData sheetId="1"/>
      <sheetData sheetId="2" refreshError="1">
        <row r="2">
          <cell r="B2" t="str">
            <v>SCHEDULE B - 1</v>
          </cell>
        </row>
        <row r="4">
          <cell r="B4" t="str">
            <v>OKLAHOMA GAS AND ELECTRIC SERVICES</v>
          </cell>
        </row>
        <row r="5">
          <cell r="B5" t="str">
            <v>REVENUE REQUIREMENT</v>
          </cell>
        </row>
        <row r="6">
          <cell r="B6" t="str">
            <v>TEST YEAR ENDING SEPTEMBER 30, 2001</v>
          </cell>
        </row>
        <row r="7">
          <cell r="B7" t="str">
            <v>CAUSE NO. PUD  200100455</v>
          </cell>
        </row>
        <row r="10">
          <cell r="B10" t="str">
            <v>Line</v>
          </cell>
        </row>
        <row r="11">
          <cell r="B11" t="str">
            <v>No.</v>
          </cell>
          <cell r="D11" t="str">
            <v>Description</v>
          </cell>
          <cell r="F11" t="str">
            <v>Reference</v>
          </cell>
        </row>
        <row r="13">
          <cell r="B13" t="str">
            <v>1.</v>
          </cell>
          <cell r="D13" t="str">
            <v>Pro Forma Rate Base</v>
          </cell>
          <cell r="F13" t="str">
            <v>Sch B-2</v>
          </cell>
        </row>
        <row r="15">
          <cell r="B15" t="str">
            <v>2.</v>
          </cell>
          <cell r="D15" t="str">
            <v>Rate of Return</v>
          </cell>
          <cell r="F15" t="str">
            <v>Sch F-1</v>
          </cell>
        </row>
        <row r="17">
          <cell r="B17" t="str">
            <v>3.</v>
          </cell>
          <cell r="D17" t="str">
            <v>Return on Rate Base</v>
          </cell>
          <cell r="F17" t="str">
            <v>1 times 2</v>
          </cell>
        </row>
        <row r="19">
          <cell r="B19" t="str">
            <v>4.</v>
          </cell>
          <cell r="D19" t="str">
            <v>Operating Efficiency Allowance</v>
          </cell>
          <cell r="F19" t="str">
            <v>1 times .383</v>
          </cell>
        </row>
        <row r="21">
          <cell r="B21" t="str">
            <v>5.</v>
          </cell>
          <cell r="D21" t="str">
            <v>Operating Income Required</v>
          </cell>
          <cell r="F21" t="str">
            <v>3 plus 4</v>
          </cell>
        </row>
        <row r="23">
          <cell r="B23" t="str">
            <v>6.</v>
          </cell>
          <cell r="D23" t="str">
            <v>Pro Forma Operating Income</v>
          </cell>
          <cell r="F23" t="str">
            <v>Sch H-1</v>
          </cell>
        </row>
        <row r="25">
          <cell r="B25" t="str">
            <v>7.</v>
          </cell>
          <cell r="D25" t="str">
            <v>Difference</v>
          </cell>
          <cell r="F25" t="str">
            <v>5 minus 6</v>
          </cell>
        </row>
        <row r="27">
          <cell r="B27" t="str">
            <v>8.</v>
          </cell>
          <cell r="D27" t="str">
            <v>Income Tax Gross Up Factor</v>
          </cell>
        </row>
        <row r="29">
          <cell r="B29" t="str">
            <v>9.</v>
          </cell>
          <cell r="D29" t="str">
            <v>Revenue Change</v>
          </cell>
          <cell r="F29" t="str">
            <v>7 times 8</v>
          </cell>
        </row>
      </sheetData>
      <sheetData sheetId="3"/>
      <sheetData sheetId="4"/>
      <sheetData sheetId="5"/>
      <sheetData sheetId="6"/>
      <sheetData sheetId="7"/>
      <sheetData sheetId="8" refreshError="1">
        <row r="2">
          <cell r="B2" t="str">
            <v>SCHEDULE   B - 3</v>
          </cell>
        </row>
        <row r="4">
          <cell r="B4" t="str">
            <v>OKLAHOMA GAS AND ELECTRIC SERVICES</v>
          </cell>
        </row>
        <row r="5">
          <cell r="B5" t="str">
            <v>ADJUSTMENTS TO RATE BASE</v>
          </cell>
        </row>
        <row r="6">
          <cell r="B6" t="str">
            <v>TEST YEAR ENDING SEPTEMBER 30, 2001</v>
          </cell>
        </row>
        <row r="7">
          <cell r="B7" t="str">
            <v>CAUSE NO. PUD  200100455</v>
          </cell>
        </row>
        <row r="11">
          <cell r="B11" t="str">
            <v>Line</v>
          </cell>
        </row>
        <row r="12">
          <cell r="B12" t="str">
            <v>No.</v>
          </cell>
          <cell r="D12" t="str">
            <v>Description</v>
          </cell>
          <cell r="F12" t="str">
            <v>Ref.</v>
          </cell>
        </row>
        <row r="14">
          <cell r="D14" t="str">
            <v>Plant in Service</v>
          </cell>
        </row>
        <row r="15">
          <cell r="B15" t="str">
            <v>1.</v>
          </cell>
          <cell r="D15" t="str">
            <v>Utility Plant</v>
          </cell>
          <cell r="F15" t="str">
            <v>Sch C-1</v>
          </cell>
        </row>
        <row r="17">
          <cell r="B17" t="str">
            <v>2.</v>
          </cell>
          <cell r="D17" t="str">
            <v>Accumulated Depreciation</v>
          </cell>
          <cell r="F17" t="str">
            <v>Sch D-1</v>
          </cell>
        </row>
        <row r="19">
          <cell r="B19" t="str">
            <v>3.</v>
          </cell>
          <cell r="D19" t="str">
            <v>Plant held for future use</v>
          </cell>
          <cell r="F19" t="str">
            <v>Sch C-1</v>
          </cell>
        </row>
        <row r="21">
          <cell r="B21" t="str">
            <v>4.</v>
          </cell>
          <cell r="D21" t="str">
            <v>Net Plant</v>
          </cell>
        </row>
        <row r="23">
          <cell r="B23" t="str">
            <v>5.</v>
          </cell>
          <cell r="D23" t="str">
            <v>Other Rate Base Investment</v>
          </cell>
        </row>
        <row r="24">
          <cell r="D24" t="str">
            <v>Cash Working Capital</v>
          </cell>
          <cell r="F24" t="str">
            <v>Sch E-1</v>
          </cell>
        </row>
        <row r="26">
          <cell r="B26" t="str">
            <v>6.</v>
          </cell>
          <cell r="D26" t="str">
            <v>Prepayments</v>
          </cell>
          <cell r="F26" t="str">
            <v>Sch B 2-1</v>
          </cell>
        </row>
        <row r="28">
          <cell r="B28" t="str">
            <v>7.</v>
          </cell>
          <cell r="D28" t="str">
            <v>Material &amp; Supplies</v>
          </cell>
          <cell r="F28" t="str">
            <v>Sch B 2-1</v>
          </cell>
        </row>
        <row r="30">
          <cell r="B30" t="str">
            <v>8.</v>
          </cell>
          <cell r="D30" t="str">
            <v>Fuel Inventories</v>
          </cell>
          <cell r="F30" t="str">
            <v>Sch B 2-1</v>
          </cell>
        </row>
        <row r="32">
          <cell r="B32" t="str">
            <v>9.</v>
          </cell>
          <cell r="D32" t="str">
            <v>Gas in Storage</v>
          </cell>
          <cell r="F32" t="str">
            <v>Sch B 2-1</v>
          </cell>
        </row>
        <row r="34">
          <cell r="B34" t="str">
            <v>10.</v>
          </cell>
          <cell r="D34" t="str">
            <v>Other</v>
          </cell>
        </row>
        <row r="36">
          <cell r="B36" t="str">
            <v>11.</v>
          </cell>
          <cell r="D36" t="str">
            <v>Rate Base Additions &amp; Reductions</v>
          </cell>
        </row>
        <row r="37">
          <cell r="D37" t="str">
            <v>Accum Deferred Inc Taxes</v>
          </cell>
          <cell r="F37" t="str">
            <v>Sch B 2-2</v>
          </cell>
        </row>
        <row r="39">
          <cell r="B39" t="str">
            <v>13.</v>
          </cell>
          <cell r="D39" t="str">
            <v>Regulatory Assets</v>
          </cell>
          <cell r="F39" t="str">
            <v>Sch B 2-4</v>
          </cell>
        </row>
        <row r="41">
          <cell r="B41" t="str">
            <v>14.</v>
          </cell>
          <cell r="D41" t="str">
            <v>Regulatory Liabilities</v>
          </cell>
          <cell r="F41" t="str">
            <v>Sch B 2-4</v>
          </cell>
        </row>
      </sheetData>
      <sheetData sheetId="9"/>
      <sheetData sheetId="10"/>
      <sheetData sheetId="11" refreshError="1">
        <row r="2">
          <cell r="B2" t="str">
            <v>SCHEDULE   C - 2</v>
          </cell>
        </row>
        <row r="4">
          <cell r="A4" t="str">
            <v>OKLAHOMA GAS AND ELECTRIC SERVICES</v>
          </cell>
        </row>
        <row r="5">
          <cell r="A5" t="str">
            <v>ADJUSTMENTS TO PLANT IN SERVICE</v>
          </cell>
        </row>
        <row r="6">
          <cell r="A6" t="str">
            <v>TEST YEAR ENDING SEPTEMBER 30, 2001</v>
          </cell>
        </row>
        <row r="7">
          <cell r="A7" t="str">
            <v>CAUSE NO. PUD  200100455</v>
          </cell>
        </row>
        <row r="8">
          <cell r="D8" t="str">
            <v xml:space="preserve">   &lt;&lt;&lt;</v>
          </cell>
          <cell r="E8" t="str">
            <v xml:space="preserve">  shows where data was entered in last rate case ….  Fyi only</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CWIP</v>
          </cell>
        </row>
        <row r="19">
          <cell r="B19" t="str">
            <v>5.</v>
          </cell>
          <cell r="F19" t="str">
            <v>TOTAL INTANGIBLE PLANT</v>
          </cell>
        </row>
        <row r="21">
          <cell r="F21" t="str">
            <v xml:space="preserve">            PRODUCTION PLANT</v>
          </cell>
        </row>
        <row r="22">
          <cell r="F22" t="str">
            <v xml:space="preserve">   STEAM PRODUCTION</v>
          </cell>
        </row>
        <row r="23">
          <cell r="B23" t="str">
            <v>6.</v>
          </cell>
          <cell r="D23">
            <v>310</v>
          </cell>
          <cell r="F23" t="str">
            <v>Land and Land Rights</v>
          </cell>
        </row>
        <row r="24">
          <cell r="B24" t="str">
            <v>7.</v>
          </cell>
          <cell r="D24">
            <v>311</v>
          </cell>
          <cell r="F24" t="str">
            <v>Structures and Improvements</v>
          </cell>
        </row>
        <row r="25">
          <cell r="B25" t="str">
            <v>8.</v>
          </cell>
          <cell r="D25">
            <v>312</v>
          </cell>
          <cell r="F25" t="str">
            <v>Boiler Plant Equipment</v>
          </cell>
        </row>
        <row r="26">
          <cell r="B26" t="str">
            <v>9.</v>
          </cell>
          <cell r="D26">
            <v>313</v>
          </cell>
          <cell r="F26" t="str">
            <v>Engines and Engine-Driven Generators</v>
          </cell>
        </row>
        <row r="27">
          <cell r="B27" t="str">
            <v>10.</v>
          </cell>
          <cell r="D27">
            <v>314</v>
          </cell>
          <cell r="F27" t="str">
            <v>Turbogenerator Units</v>
          </cell>
        </row>
        <row r="28">
          <cell r="B28" t="str">
            <v>11.</v>
          </cell>
          <cell r="D28">
            <v>315</v>
          </cell>
          <cell r="F28" t="str">
            <v>Accessory Electric Equipment</v>
          </cell>
        </row>
        <row r="29">
          <cell r="B29" t="str">
            <v>12.</v>
          </cell>
          <cell r="D29">
            <v>316</v>
          </cell>
          <cell r="F29" t="str">
            <v>Miscellaneous Power Plant Equipment</v>
          </cell>
        </row>
        <row r="30">
          <cell r="B30" t="str">
            <v>13.</v>
          </cell>
          <cell r="F30" t="str">
            <v>TOTAL STEAM PRODUCTION</v>
          </cell>
        </row>
        <row r="32">
          <cell r="F32" t="str">
            <v xml:space="preserve">   OTHER PRODUCTION</v>
          </cell>
        </row>
        <row r="33">
          <cell r="B33" t="str">
            <v>14.</v>
          </cell>
          <cell r="D33">
            <v>340</v>
          </cell>
          <cell r="F33" t="str">
            <v>Land and Land Rights</v>
          </cell>
        </row>
        <row r="34">
          <cell r="B34" t="str">
            <v>15.</v>
          </cell>
          <cell r="D34">
            <v>341</v>
          </cell>
          <cell r="F34" t="str">
            <v>Structures and Improvements</v>
          </cell>
        </row>
        <row r="35">
          <cell r="B35" t="str">
            <v>16.</v>
          </cell>
          <cell r="D35">
            <v>342</v>
          </cell>
          <cell r="F35" t="str">
            <v>Fuel Holders, Producers and Accessories</v>
          </cell>
        </row>
        <row r="36">
          <cell r="B36" t="str">
            <v>17.</v>
          </cell>
          <cell r="D36">
            <v>343</v>
          </cell>
          <cell r="F36" t="str">
            <v>Prime movers</v>
          </cell>
        </row>
        <row r="37">
          <cell r="B37" t="str">
            <v>18.</v>
          </cell>
          <cell r="D37">
            <v>344</v>
          </cell>
          <cell r="F37" t="str">
            <v>Generators</v>
          </cell>
        </row>
        <row r="38">
          <cell r="B38" t="str">
            <v>19.</v>
          </cell>
          <cell r="D38">
            <v>345</v>
          </cell>
          <cell r="F38" t="str">
            <v>Accessory Electric Equipment</v>
          </cell>
        </row>
        <row r="39">
          <cell r="B39" t="str">
            <v>20.</v>
          </cell>
          <cell r="D39">
            <v>346</v>
          </cell>
          <cell r="F39" t="str">
            <v>Miscellaneous Power Plant Equipment</v>
          </cell>
        </row>
        <row r="40">
          <cell r="B40" t="str">
            <v>21.</v>
          </cell>
          <cell r="F40" t="str">
            <v>TOTAL OTHER PRODUCTION</v>
          </cell>
        </row>
        <row r="42">
          <cell r="B42" t="str">
            <v>22.</v>
          </cell>
          <cell r="F42" t="str">
            <v>CWIP</v>
          </cell>
        </row>
      </sheetData>
      <sheetData sheetId="12"/>
      <sheetData sheetId="13"/>
      <sheetData sheetId="14" refreshError="1">
        <row r="2">
          <cell r="B2" t="str">
            <v>SCHEDULE   D - 2</v>
          </cell>
        </row>
        <row r="4">
          <cell r="A4" t="str">
            <v>OKLAHOMA GAS AND ELECTRIC SERVICES</v>
          </cell>
        </row>
        <row r="5">
          <cell r="A5" t="str">
            <v>ADJUSTMENTS TO ACCUMULATED PROVISION FOR DEPRECIATION, AMORTIZATION AND DEPLETION</v>
          </cell>
        </row>
        <row r="6">
          <cell r="A6" t="str">
            <v>TEST YEAR ENDING SEPTEMBER 30, 2001</v>
          </cell>
        </row>
        <row r="7">
          <cell r="A7" t="str">
            <v>CAUSE NO. PUD  200100455</v>
          </cell>
        </row>
        <row r="12">
          <cell r="B12" t="str">
            <v>Line</v>
          </cell>
        </row>
        <row r="13">
          <cell r="B13" t="str">
            <v>No.</v>
          </cell>
          <cell r="D13" t="str">
            <v>Account</v>
          </cell>
          <cell r="F13" t="str">
            <v xml:space="preserve">Plant </v>
          </cell>
        </row>
        <row r="14">
          <cell r="F14" t="str">
            <v xml:space="preserve">            INTANGIBLE PLANT</v>
          </cell>
        </row>
        <row r="15">
          <cell r="B15" t="str">
            <v>1.</v>
          </cell>
          <cell r="D15">
            <v>301</v>
          </cell>
          <cell r="F15" t="str">
            <v xml:space="preserve">Organization </v>
          </cell>
        </row>
        <row r="16">
          <cell r="B16" t="str">
            <v>2.</v>
          </cell>
          <cell r="D16">
            <v>302</v>
          </cell>
          <cell r="F16" t="str">
            <v>Franchise and Consents</v>
          </cell>
        </row>
        <row r="17">
          <cell r="B17" t="str">
            <v>3.</v>
          </cell>
          <cell r="D17">
            <v>303</v>
          </cell>
          <cell r="F17" t="str">
            <v>Miscellaneous Intangible Plant</v>
          </cell>
        </row>
        <row r="18">
          <cell r="B18" t="str">
            <v>4.</v>
          </cell>
          <cell r="F18" t="str">
            <v>TOTAL INTANGIBLE PLANT</v>
          </cell>
        </row>
        <row r="20">
          <cell r="F20" t="str">
            <v xml:space="preserve">            PRODUCTION PLANT</v>
          </cell>
        </row>
        <row r="21">
          <cell r="F21" t="str">
            <v xml:space="preserve">   STEAM PRODUCTION</v>
          </cell>
        </row>
        <row r="22">
          <cell r="B22" t="str">
            <v>5.</v>
          </cell>
          <cell r="D22">
            <v>310</v>
          </cell>
          <cell r="F22" t="str">
            <v>Land and Land Rights</v>
          </cell>
        </row>
        <row r="23">
          <cell r="B23" t="str">
            <v>6.</v>
          </cell>
          <cell r="D23">
            <v>311</v>
          </cell>
          <cell r="F23" t="str">
            <v>Structures and Improvements</v>
          </cell>
        </row>
        <row r="24">
          <cell r="B24" t="str">
            <v>7.</v>
          </cell>
          <cell r="D24">
            <v>312</v>
          </cell>
          <cell r="F24" t="str">
            <v>Boiler Plant Equipment</v>
          </cell>
        </row>
        <row r="25">
          <cell r="B25" t="str">
            <v>8.</v>
          </cell>
          <cell r="D25">
            <v>313</v>
          </cell>
          <cell r="F25" t="str">
            <v>Engines and Engine-Driven Generators</v>
          </cell>
        </row>
        <row r="26">
          <cell r="B26" t="str">
            <v>9.</v>
          </cell>
          <cell r="D26">
            <v>314</v>
          </cell>
          <cell r="F26" t="str">
            <v>Turbogenerator Units</v>
          </cell>
        </row>
        <row r="27">
          <cell r="B27" t="str">
            <v>10.</v>
          </cell>
          <cell r="D27">
            <v>315</v>
          </cell>
          <cell r="F27" t="str">
            <v>Accessory Electric Equipment</v>
          </cell>
        </row>
        <row r="28">
          <cell r="B28" t="str">
            <v>11.</v>
          </cell>
          <cell r="D28">
            <v>316</v>
          </cell>
          <cell r="F28" t="str">
            <v>Miscellaneous Power Plant Equipment</v>
          </cell>
        </row>
        <row r="29">
          <cell r="B29" t="str">
            <v>12.</v>
          </cell>
          <cell r="F29" t="str">
            <v>TOTAL STEAM PRODUCTION</v>
          </cell>
        </row>
        <row r="31">
          <cell r="F31" t="str">
            <v xml:space="preserve">   OTHER PRODUCTION</v>
          </cell>
        </row>
        <row r="32">
          <cell r="B32" t="str">
            <v>13.</v>
          </cell>
          <cell r="D32">
            <v>340</v>
          </cell>
          <cell r="F32" t="str">
            <v>Land and Land Rights</v>
          </cell>
        </row>
        <row r="33">
          <cell r="B33" t="str">
            <v>14.</v>
          </cell>
          <cell r="D33">
            <v>341</v>
          </cell>
          <cell r="F33" t="str">
            <v>Structures and Improvements</v>
          </cell>
        </row>
        <row r="34">
          <cell r="B34" t="str">
            <v>15.</v>
          </cell>
          <cell r="D34">
            <v>342</v>
          </cell>
          <cell r="F34" t="str">
            <v>Fuel Holders, Producers and Accessories</v>
          </cell>
        </row>
        <row r="35">
          <cell r="B35" t="str">
            <v>16.</v>
          </cell>
          <cell r="D35">
            <v>343</v>
          </cell>
          <cell r="F35" t="str">
            <v>Prime movers</v>
          </cell>
        </row>
        <row r="36">
          <cell r="B36" t="str">
            <v>17.</v>
          </cell>
          <cell r="D36">
            <v>344</v>
          </cell>
          <cell r="F36" t="str">
            <v>Generators</v>
          </cell>
        </row>
        <row r="37">
          <cell r="B37" t="str">
            <v>18.</v>
          </cell>
          <cell r="D37">
            <v>345</v>
          </cell>
          <cell r="F37" t="str">
            <v>Accessory Electric Equipment</v>
          </cell>
        </row>
        <row r="38">
          <cell r="B38" t="str">
            <v>19.</v>
          </cell>
          <cell r="D38">
            <v>346</v>
          </cell>
          <cell r="F38" t="str">
            <v>Miscellaneous Power Plant Equipment</v>
          </cell>
        </row>
        <row r="39">
          <cell r="B39" t="str">
            <v>20.</v>
          </cell>
          <cell r="F39" t="str">
            <v>TOTAL OTHER PRODUCTION</v>
          </cell>
        </row>
        <row r="41">
          <cell r="B41" t="str">
            <v>21.</v>
          </cell>
          <cell r="F41" t="str">
            <v>TOTAL PRODUCTION PLANT</v>
          </cell>
        </row>
      </sheetData>
      <sheetData sheetId="15"/>
      <sheetData sheetId="16"/>
      <sheetData sheetId="17"/>
      <sheetData sheetId="18"/>
      <sheetData sheetId="19"/>
      <sheetData sheetId="20"/>
      <sheetData sheetId="21"/>
      <sheetData sheetId="22" refreshError="1">
        <row r="2">
          <cell r="B2" t="str">
            <v>SCHEDULE  H - 2</v>
          </cell>
        </row>
        <row r="4">
          <cell r="B4" t="str">
            <v>OKLAHOMA GAS AND ELECTRIC SERVICES</v>
          </cell>
        </row>
        <row r="5">
          <cell r="B5" t="str">
            <v>OPERATING INCOME PRO FORMA ADJUSTMENTS</v>
          </cell>
        </row>
        <row r="6">
          <cell r="B6" t="str">
            <v>TEST YEAR ENDING SEPTEMBER 30, 2001</v>
          </cell>
        </row>
        <row r="7">
          <cell r="B7" t="str">
            <v>CAUSE NO. PUD  200100455</v>
          </cell>
        </row>
        <row r="11">
          <cell r="F11" t="str">
            <v>Total</v>
          </cell>
        </row>
        <row r="12">
          <cell r="B12" t="str">
            <v>Line</v>
          </cell>
          <cell r="F12" t="str">
            <v>Company</v>
          </cell>
        </row>
        <row r="13">
          <cell r="B13" t="str">
            <v>No.</v>
          </cell>
          <cell r="D13" t="str">
            <v>Description</v>
          </cell>
          <cell r="F13" t="str">
            <v>Per Books</v>
          </cell>
        </row>
        <row r="15">
          <cell r="B15" t="str">
            <v>1.</v>
          </cell>
          <cell r="D15" t="str">
            <v>Operating Revenue:</v>
          </cell>
        </row>
        <row r="16">
          <cell r="B16" t="str">
            <v>2.</v>
          </cell>
          <cell r="D16" t="str">
            <v xml:space="preserve">     Electric </v>
          </cell>
          <cell r="F16">
            <v>1149203275</v>
          </cell>
        </row>
        <row r="17">
          <cell r="B17" t="str">
            <v>3.</v>
          </cell>
          <cell r="D17" t="str">
            <v xml:space="preserve">     Other</v>
          </cell>
          <cell r="F17">
            <v>19083683</v>
          </cell>
        </row>
        <row r="19">
          <cell r="B19" t="str">
            <v>4.</v>
          </cell>
          <cell r="D19" t="str">
            <v>Total Operating Revenue</v>
          </cell>
          <cell r="F19">
            <v>0</v>
          </cell>
        </row>
        <row r="21">
          <cell r="B21" t="str">
            <v>5.</v>
          </cell>
          <cell r="D21" t="str">
            <v>Operating Expenses:</v>
          </cell>
        </row>
        <row r="22">
          <cell r="B22" t="str">
            <v>6.</v>
          </cell>
          <cell r="D22" t="str">
            <v xml:space="preserve">     Fuel</v>
          </cell>
          <cell r="F22">
            <v>304775108</v>
          </cell>
        </row>
        <row r="23">
          <cell r="B23" t="str">
            <v>7.</v>
          </cell>
          <cell r="D23" t="str">
            <v xml:space="preserve">     Purchased Power</v>
          </cell>
          <cell r="F23">
            <v>216597409</v>
          </cell>
        </row>
        <row r="24">
          <cell r="B24" t="str">
            <v>8.</v>
          </cell>
          <cell r="D24" t="str">
            <v xml:space="preserve">     Other O&amp;M</v>
          </cell>
          <cell r="F24">
            <v>249872967</v>
          </cell>
        </row>
        <row r="25">
          <cell r="B25" t="str">
            <v>9.</v>
          </cell>
          <cell r="D25" t="str">
            <v xml:space="preserve">     Depreciation</v>
          </cell>
          <cell r="F25">
            <v>110718649</v>
          </cell>
        </row>
        <row r="26">
          <cell r="B26" t="str">
            <v>10.</v>
          </cell>
          <cell r="D26" t="str">
            <v xml:space="preserve">     Misc. Taxes</v>
          </cell>
          <cell r="F26">
            <v>101895</v>
          </cell>
        </row>
        <row r="27">
          <cell r="B27" t="str">
            <v>11.</v>
          </cell>
          <cell r="D27" t="str">
            <v xml:space="preserve">     Property Taxes</v>
          </cell>
          <cell r="F27">
            <v>33272491</v>
          </cell>
        </row>
        <row r="28">
          <cell r="B28" t="str">
            <v>12.</v>
          </cell>
          <cell r="D28" t="str">
            <v xml:space="preserve">     Payroll Taxes</v>
          </cell>
          <cell r="F28">
            <v>6615366</v>
          </cell>
        </row>
        <row r="30">
          <cell r="B30" t="str">
            <v>13.</v>
          </cell>
          <cell r="D30" t="str">
            <v>Total Operating Expenses</v>
          </cell>
          <cell r="F30">
            <v>0</v>
          </cell>
        </row>
        <row r="32">
          <cell r="B32" t="str">
            <v>14.</v>
          </cell>
          <cell r="D32" t="str">
            <v>Operating Income Before Income Tax</v>
          </cell>
          <cell r="F32">
            <v>0</v>
          </cell>
        </row>
        <row r="34">
          <cell r="B34" t="str">
            <v>15.</v>
          </cell>
          <cell r="D34" t="str">
            <v>Less: Income Tax</v>
          </cell>
          <cell r="F34">
            <v>0</v>
          </cell>
        </row>
        <row r="36">
          <cell r="B36" t="str">
            <v>16.</v>
          </cell>
          <cell r="D36" t="str">
            <v>Operating Income</v>
          </cell>
          <cell r="F36">
            <v>0</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Proxy Group"/>
      <sheetName val="Schedule MPG-5"/>
      <sheetName val="Schedule MPG-6"/>
      <sheetName val="Schedule MPG-7"/>
      <sheetName val="Schedule MPG-8"/>
      <sheetName val="Schedule MPG-9ab"/>
      <sheetName val="Schedule MPG-10"/>
      <sheetName val="Schedule MPG-11"/>
      <sheetName val="Schedule MPG-12"/>
      <sheetName val=" Schedule MPG-18"/>
      <sheetName val="Schedule MPG-19"/>
      <sheetName val="Schedule MPG-21"/>
      <sheetName val="MI Data (WP)"/>
      <sheetName val="VL Data (WP)"/>
      <sheetName val="Growth Rate LU (WP)"/>
      <sheetName val="Stock Prices (WP)"/>
      <sheetName val="Credit Ratings (WP)"/>
      <sheetName val="___snlqueryparms"/>
      <sheetName val="___snlqueryparms2"/>
      <sheetName val="Company List"/>
      <sheetName val="___snlofficequeries"/>
    </sheetNames>
    <sheetDataSet>
      <sheetData sheetId="0" refreshError="1"/>
      <sheetData sheetId="1">
        <row r="1">
          <cell r="B1" t="str">
            <v>Delmarva Power &amp; Light Company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A6" t="str">
            <v>ALE</v>
          </cell>
          <cell r="B6" t="str">
            <v>ALLETE, Inc.</v>
          </cell>
          <cell r="C6">
            <v>4022309</v>
          </cell>
          <cell r="D6">
            <v>54.852076149633497</v>
          </cell>
          <cell r="E6" t="str">
            <v>BBB+</v>
          </cell>
          <cell r="F6" t="str">
            <v>A3</v>
          </cell>
          <cell r="G6">
            <v>54.852076149633497</v>
          </cell>
          <cell r="H6" t="str">
            <v>BBB+</v>
          </cell>
          <cell r="I6" t="str">
            <v>A3</v>
          </cell>
        </row>
        <row r="7">
          <cell r="A7" t="str">
            <v>LNT</v>
          </cell>
          <cell r="B7" t="str">
            <v>Alliant Energy Corporation</v>
          </cell>
          <cell r="C7">
            <v>4057038</v>
          </cell>
          <cell r="D7">
            <v>44.3077911499145</v>
          </cell>
          <cell r="E7" t="str">
            <v>A-</v>
          </cell>
          <cell r="F7" t="str">
            <v>Baa1</v>
          </cell>
          <cell r="G7">
            <v>44.3077911499145</v>
          </cell>
          <cell r="H7" t="str">
            <v>A-</v>
          </cell>
          <cell r="I7" t="str">
            <v>Baa1</v>
          </cell>
        </row>
        <row r="8">
          <cell r="A8" t="str">
            <v>AEE</v>
          </cell>
          <cell r="B8" t="str">
            <v>Ameren Corporation</v>
          </cell>
          <cell r="C8">
            <v>4007308</v>
          </cell>
          <cell r="D8">
            <v>47.105245705948697</v>
          </cell>
          <cell r="E8" t="str">
            <v>BBB+</v>
          </cell>
          <cell r="F8" t="str">
            <v>Baa1</v>
          </cell>
          <cell r="G8">
            <v>47.105245705948697</v>
          </cell>
          <cell r="H8" t="str">
            <v>BBB+</v>
          </cell>
          <cell r="I8" t="str">
            <v>Baa1</v>
          </cell>
        </row>
        <row r="9">
          <cell r="A9" t="str">
            <v>AEP</v>
          </cell>
          <cell r="B9" t="str">
            <v>American Electric Power Company, Inc.</v>
          </cell>
          <cell r="C9">
            <v>4006321</v>
          </cell>
          <cell r="D9">
            <v>43.826678422975199</v>
          </cell>
          <cell r="E9" t="str">
            <v>A-</v>
          </cell>
          <cell r="F9" t="str">
            <v>Baa1</v>
          </cell>
          <cell r="G9">
            <v>43.826678422975199</v>
          </cell>
          <cell r="H9" t="str">
            <v>A-</v>
          </cell>
          <cell r="I9" t="str">
            <v>Baa1</v>
          </cell>
        </row>
        <row r="10">
          <cell r="A10" t="str">
            <v>AVA</v>
          </cell>
          <cell r="B10" t="str">
            <v>Avista Corporation</v>
          </cell>
          <cell r="C10">
            <v>4057075</v>
          </cell>
          <cell r="D10">
            <v>47.079220120233202</v>
          </cell>
          <cell r="E10" t="str">
            <v>BBB</v>
          </cell>
          <cell r="F10" t="str">
            <v>Baa1</v>
          </cell>
          <cell r="G10">
            <v>47.079220120233202</v>
          </cell>
          <cell r="H10" t="str">
            <v>BBB</v>
          </cell>
          <cell r="I10" t="str">
            <v>Baa1</v>
          </cell>
        </row>
        <row r="11">
          <cell r="A11" t="str">
            <v>BKH</v>
          </cell>
          <cell r="B11" t="str">
            <v>Black Hills Corporation</v>
          </cell>
          <cell r="C11">
            <v>4010420</v>
          </cell>
          <cell r="D11">
            <v>31.985964233875801</v>
          </cell>
          <cell r="E11" t="str">
            <v>BBB</v>
          </cell>
          <cell r="F11" t="str">
            <v>Baa2</v>
          </cell>
          <cell r="G11">
            <v>31.985964233875801</v>
          </cell>
          <cell r="H11" t="str">
            <v>BBB</v>
          </cell>
          <cell r="I11" t="str">
            <v>Baa2</v>
          </cell>
        </row>
        <row r="12">
          <cell r="A12" t="str">
            <v>CNP</v>
          </cell>
          <cell r="B12" t="str">
            <v>CenterPoint Energy, Inc.</v>
          </cell>
          <cell r="C12">
            <v>4074390</v>
          </cell>
          <cell r="D12">
            <v>28.708927978758702</v>
          </cell>
          <cell r="E12" t="str">
            <v>A-</v>
          </cell>
          <cell r="F12" t="str">
            <v>Baa1</v>
          </cell>
          <cell r="G12">
            <v>28.708927978758702</v>
          </cell>
          <cell r="H12" t="str">
            <v>A-</v>
          </cell>
          <cell r="I12" t="str">
            <v>Baa1</v>
          </cell>
        </row>
        <row r="13">
          <cell r="A13" t="str">
            <v>CMS</v>
          </cell>
          <cell r="B13" t="str">
            <v>CMS Energy Corporation</v>
          </cell>
          <cell r="C13">
            <v>4004172</v>
          </cell>
          <cell r="D13">
            <v>29.691426975705099</v>
          </cell>
          <cell r="E13" t="str">
            <v>BBB+</v>
          </cell>
          <cell r="F13" t="str">
            <v>Baa1</v>
          </cell>
          <cell r="G13">
            <v>29.691426975705099</v>
          </cell>
          <cell r="H13" t="str">
            <v>BBB+</v>
          </cell>
          <cell r="I13" t="str">
            <v>Baa1</v>
          </cell>
        </row>
        <row r="14">
          <cell r="A14" t="str">
            <v>ED</v>
          </cell>
          <cell r="B14" t="str">
            <v>Consolidated Edison, Inc.</v>
          </cell>
          <cell r="C14">
            <v>4057041</v>
          </cell>
          <cell r="D14">
            <v>47.444916379081498</v>
          </cell>
          <cell r="E14" t="str">
            <v>A-</v>
          </cell>
          <cell r="F14" t="str">
            <v>A3</v>
          </cell>
          <cell r="G14">
            <v>47.444916379081498</v>
          </cell>
          <cell r="H14" t="str">
            <v>A-</v>
          </cell>
          <cell r="I14" t="str">
            <v>A3</v>
          </cell>
        </row>
        <row r="15">
          <cell r="A15" t="str">
            <v>D</v>
          </cell>
          <cell r="B15" t="str">
            <v>Dominion Energy, Inc.</v>
          </cell>
          <cell r="C15">
            <v>4001616</v>
          </cell>
          <cell r="D15">
            <v>28.121690574756901</v>
          </cell>
          <cell r="E15" t="str">
            <v>BBB+</v>
          </cell>
          <cell r="F15" t="str">
            <v>Baa2</v>
          </cell>
          <cell r="G15">
            <v>28.121690574756901</v>
          </cell>
          <cell r="H15" t="str">
            <v>BBB+</v>
          </cell>
          <cell r="I15" t="str">
            <v>Baa2</v>
          </cell>
        </row>
        <row r="16">
          <cell r="A16" t="str">
            <v>DTE</v>
          </cell>
          <cell r="B16" t="str">
            <v>DTE Energy Company</v>
          </cell>
          <cell r="C16">
            <v>4057044</v>
          </cell>
          <cell r="D16">
            <v>42.342935012452401</v>
          </cell>
          <cell r="E16" t="str">
            <v>BBB+</v>
          </cell>
          <cell r="F16" t="str">
            <v>Baa1</v>
          </cell>
          <cell r="G16">
            <v>42.342935012452401</v>
          </cell>
          <cell r="H16" t="str">
            <v>BBB+</v>
          </cell>
          <cell r="I16" t="str">
            <v>Baa1</v>
          </cell>
        </row>
        <row r="17">
          <cell r="A17" t="str">
            <v>EE</v>
          </cell>
          <cell r="B17" t="str">
            <v>El Paso Electric Company</v>
          </cell>
          <cell r="C17">
            <v>4056994</v>
          </cell>
          <cell r="D17">
            <v>44.129817064304703</v>
          </cell>
          <cell r="E17" t="str">
            <v>BBB</v>
          </cell>
          <cell r="F17" t="str">
            <v>Baa1</v>
          </cell>
          <cell r="G17">
            <v>44.129817064304703</v>
          </cell>
          <cell r="H17" t="str">
            <v>BBB</v>
          </cell>
          <cell r="I17" t="str">
            <v>Baa1</v>
          </cell>
        </row>
        <row r="18">
          <cell r="A18" t="str">
            <v>ES</v>
          </cell>
          <cell r="B18" t="str">
            <v>Eversource Energy</v>
          </cell>
          <cell r="C18">
            <v>4057052</v>
          </cell>
          <cell r="D18">
            <v>49.5272439665261</v>
          </cell>
          <cell r="E18" t="str">
            <v>A+</v>
          </cell>
          <cell r="F18" t="str">
            <v>Baa1</v>
          </cell>
          <cell r="G18">
            <v>49.5272439665261</v>
          </cell>
          <cell r="H18" t="str">
            <v>A+</v>
          </cell>
          <cell r="I18" t="str">
            <v>Baa1</v>
          </cell>
        </row>
        <row r="19">
          <cell r="A19" t="str">
            <v>HE</v>
          </cell>
          <cell r="B19" t="str">
            <v>Hawaiian Electric Industries, Inc.</v>
          </cell>
          <cell r="C19">
            <v>1031123</v>
          </cell>
          <cell r="D19">
            <v>54.102561082075802</v>
          </cell>
          <cell r="E19" t="str">
            <v>BBB-</v>
          </cell>
          <cell r="G19">
            <v>54.102561082075802</v>
          </cell>
          <cell r="H19" t="str">
            <v>BBB-</v>
          </cell>
          <cell r="I19" t="str">
            <v>N/A</v>
          </cell>
        </row>
        <row r="20">
          <cell r="A20" t="str">
            <v>IDA</v>
          </cell>
          <cell r="B20" t="str">
            <v>IDACORP, Inc.</v>
          </cell>
          <cell r="C20">
            <v>4056949</v>
          </cell>
          <cell r="D20">
            <v>54.871776842997697</v>
          </cell>
          <cell r="E20" t="str">
            <v>BBB</v>
          </cell>
          <cell r="F20" t="str">
            <v>Baa1</v>
          </cell>
          <cell r="G20">
            <v>54.871776842997697</v>
          </cell>
          <cell r="H20" t="str">
            <v>BBB</v>
          </cell>
          <cell r="I20" t="str">
            <v>Baa1</v>
          </cell>
        </row>
        <row r="21">
          <cell r="A21" t="str">
            <v>NWE</v>
          </cell>
          <cell r="B21" t="str">
            <v>NorthWestern Corporation</v>
          </cell>
          <cell r="C21">
            <v>4057053</v>
          </cell>
          <cell r="D21">
            <v>44.149565636061403</v>
          </cell>
          <cell r="E21" t="str">
            <v>BBB</v>
          </cell>
          <cell r="F21" t="str">
            <v>Baa1</v>
          </cell>
          <cell r="G21">
            <v>44.149565636061403</v>
          </cell>
          <cell r="H21" t="str">
            <v>BBB</v>
          </cell>
          <cell r="I21" t="str">
            <v>Baa1</v>
          </cell>
        </row>
        <row r="22">
          <cell r="A22" t="str">
            <v>OGE</v>
          </cell>
          <cell r="B22" t="str">
            <v>OGE Energy Corp.</v>
          </cell>
          <cell r="C22">
            <v>4057055</v>
          </cell>
          <cell r="D22">
            <v>54.572537833769097</v>
          </cell>
          <cell r="E22" t="str">
            <v>A-</v>
          </cell>
          <cell r="F22" t="str">
            <v>(P)A3</v>
          </cell>
          <cell r="G22">
            <v>54.572537833769097</v>
          </cell>
          <cell r="H22" t="str">
            <v>A-</v>
          </cell>
          <cell r="I22" t="str">
            <v>A3</v>
          </cell>
        </row>
        <row r="23">
          <cell r="A23" t="str">
            <v>OTTR</v>
          </cell>
          <cell r="B23" t="str">
            <v>Otter Tail Corporation</v>
          </cell>
          <cell r="C23">
            <v>4057017</v>
          </cell>
          <cell r="D23">
            <v>53.542826414729497</v>
          </cell>
          <cell r="E23" t="str">
            <v>BBB</v>
          </cell>
          <cell r="F23" t="str">
            <v>Baa2</v>
          </cell>
          <cell r="G23">
            <v>53.542826414729497</v>
          </cell>
          <cell r="H23" t="str">
            <v>BBB</v>
          </cell>
          <cell r="I23" t="str">
            <v>Baa2</v>
          </cell>
        </row>
        <row r="24">
          <cell r="A24" t="str">
            <v>PNW</v>
          </cell>
          <cell r="B24" t="str">
            <v>Pinnacle West Capital Corporation</v>
          </cell>
          <cell r="C24">
            <v>4056951</v>
          </cell>
          <cell r="D24">
            <v>51.875544619988801</v>
          </cell>
          <cell r="E24" t="str">
            <v>A-</v>
          </cell>
          <cell r="F24" t="str">
            <v>A3</v>
          </cell>
          <cell r="G24">
            <v>51.875544619988801</v>
          </cell>
          <cell r="H24" t="str">
            <v>A-</v>
          </cell>
          <cell r="I24" t="str">
            <v>A3</v>
          </cell>
        </row>
        <row r="25">
          <cell r="A25" t="str">
            <v>PNM</v>
          </cell>
          <cell r="B25" t="str">
            <v>PNM Resources, Inc.</v>
          </cell>
          <cell r="C25">
            <v>4006880</v>
          </cell>
          <cell r="D25">
            <v>37.778889336467799</v>
          </cell>
          <cell r="E25" t="str">
            <v>BBB+</v>
          </cell>
          <cell r="F25" t="str">
            <v>Baa3</v>
          </cell>
          <cell r="G25">
            <v>37.778889336467799</v>
          </cell>
          <cell r="H25" t="str">
            <v>BBB+</v>
          </cell>
          <cell r="I25" t="str">
            <v>Baa3</v>
          </cell>
        </row>
        <row r="26">
          <cell r="A26" t="str">
            <v>POR</v>
          </cell>
          <cell r="B26" t="str">
            <v>Portland General Electric Company</v>
          </cell>
          <cell r="C26">
            <v>4057019</v>
          </cell>
          <cell r="D26">
            <v>49.936088623774999</v>
          </cell>
          <cell r="E26" t="str">
            <v>BBB</v>
          </cell>
          <cell r="F26" t="str">
            <v>A3</v>
          </cell>
          <cell r="G26">
            <v>49.936088623774999</v>
          </cell>
          <cell r="H26" t="str">
            <v>BBB</v>
          </cell>
          <cell r="I26" t="str">
            <v>A3</v>
          </cell>
        </row>
        <row r="27">
          <cell r="A27" t="str">
            <v>SCG</v>
          </cell>
          <cell r="B27" t="str">
            <v>SCANA Corporation</v>
          </cell>
          <cell r="C27">
            <v>4057061</v>
          </cell>
          <cell r="D27">
            <v>43.516266342353298</v>
          </cell>
          <cell r="E27" t="str">
            <v>BBB</v>
          </cell>
          <cell r="F27" t="str">
            <v>Ba1</v>
          </cell>
          <cell r="G27">
            <v>43.516266342353298</v>
          </cell>
          <cell r="H27" t="str">
            <v>BBB</v>
          </cell>
          <cell r="I27" t="str">
            <v>Ba1</v>
          </cell>
        </row>
        <row r="28">
          <cell r="A28" t="str">
            <v>SO</v>
          </cell>
          <cell r="B28" t="str">
            <v>Southern Company</v>
          </cell>
          <cell r="C28">
            <v>4004298</v>
          </cell>
          <cell r="D28">
            <v>33.298812389880403</v>
          </cell>
          <cell r="E28" t="str">
            <v>A-</v>
          </cell>
          <cell r="F28" t="str">
            <v>Baa2</v>
          </cell>
          <cell r="G28">
            <v>33.298812389880403</v>
          </cell>
          <cell r="H28" t="str">
            <v>A-</v>
          </cell>
          <cell r="I28" t="str">
            <v>Baa2</v>
          </cell>
        </row>
        <row r="29">
          <cell r="A29" t="str">
            <v>WEC</v>
          </cell>
          <cell r="B29" t="str">
            <v>WEC Energy Group, Inc.</v>
          </cell>
          <cell r="C29">
            <v>4009725</v>
          </cell>
          <cell r="D29">
            <v>46.665412472956397</v>
          </cell>
          <cell r="E29" t="str">
            <v>A-</v>
          </cell>
          <cell r="F29" t="str">
            <v>A3</v>
          </cell>
          <cell r="G29">
            <v>46.665412472956397</v>
          </cell>
          <cell r="H29" t="str">
            <v>A-</v>
          </cell>
          <cell r="I29" t="str">
            <v>A3</v>
          </cell>
        </row>
        <row r="30">
          <cell r="A30" t="str">
            <v>XEL</v>
          </cell>
          <cell r="B30" t="str">
            <v>Xcel Energy Inc.</v>
          </cell>
          <cell r="C30">
            <v>4025308</v>
          </cell>
          <cell r="D30">
            <v>42.612257248706797</v>
          </cell>
          <cell r="E30" t="str">
            <v>A-</v>
          </cell>
          <cell r="F30" t="str">
            <v>A3</v>
          </cell>
          <cell r="G30">
            <v>42.612257248706797</v>
          </cell>
          <cell r="H30" t="str">
            <v>A-</v>
          </cell>
          <cell r="I30" t="str">
            <v>A3</v>
          </cell>
        </row>
        <row r="31">
          <cell r="G31" t="str">
            <v>N/A</v>
          </cell>
          <cell r="H31" t="str">
            <v>N/A</v>
          </cell>
          <cell r="I31" t="str">
            <v>N/A</v>
          </cell>
        </row>
        <row r="32">
          <cell r="G32" t="str">
            <v>N/A</v>
          </cell>
          <cell r="H32" t="str">
            <v>N/A</v>
          </cell>
          <cell r="I32" t="str">
            <v>N/A</v>
          </cell>
        </row>
        <row r="33">
          <cell r="G33" t="str">
            <v>N/A</v>
          </cell>
          <cell r="H33" t="str">
            <v>N/A</v>
          </cell>
          <cell r="I33" t="str">
            <v>N/A</v>
          </cell>
        </row>
        <row r="34">
          <cell r="G34" t="str">
            <v>N/A</v>
          </cell>
          <cell r="H34" t="str">
            <v>N/A</v>
          </cell>
          <cell r="I34" t="str">
            <v>N/A</v>
          </cell>
        </row>
        <row r="35">
          <cell r="G35" t="str">
            <v>N/A</v>
          </cell>
          <cell r="H35" t="str">
            <v>N/A</v>
          </cell>
          <cell r="I35" t="str">
            <v>N/A</v>
          </cell>
        </row>
        <row r="36">
          <cell r="G36" t="str">
            <v>N/A</v>
          </cell>
          <cell r="H36" t="str">
            <v>N/A</v>
          </cell>
          <cell r="I36" t="str">
            <v>N/A</v>
          </cell>
        </row>
        <row r="37">
          <cell r="G37" t="str">
            <v>N/A</v>
          </cell>
          <cell r="H37" t="str">
            <v>N/A</v>
          </cell>
          <cell r="I37" t="str">
            <v>N/A</v>
          </cell>
        </row>
        <row r="38">
          <cell r="G38" t="str">
            <v>N/A</v>
          </cell>
          <cell r="H38" t="str">
            <v>N/A</v>
          </cell>
          <cell r="I38" t="str">
            <v>N/A</v>
          </cell>
        </row>
        <row r="39">
          <cell r="G39" t="str">
            <v>N/A</v>
          </cell>
          <cell r="H39" t="str">
            <v>N/A</v>
          </cell>
          <cell r="I39" t="str">
            <v>N/A</v>
          </cell>
        </row>
        <row r="40">
          <cell r="G40" t="str">
            <v>N/A</v>
          </cell>
          <cell r="H40" t="str">
            <v>N/A</v>
          </cell>
          <cell r="I40" t="str">
            <v>N/A</v>
          </cell>
        </row>
        <row r="41">
          <cell r="G41" t="str">
            <v>N/A</v>
          </cell>
          <cell r="H41" t="str">
            <v>N/A</v>
          </cell>
          <cell r="I41" t="str">
            <v>N/A</v>
          </cell>
        </row>
        <row r="42">
          <cell r="G42" t="str">
            <v>N/A</v>
          </cell>
          <cell r="H42" t="str">
            <v>N/A</v>
          </cell>
          <cell r="I42" t="str">
            <v>N/A</v>
          </cell>
        </row>
        <row r="43">
          <cell r="G43" t="str">
            <v>N/A</v>
          </cell>
          <cell r="H43" t="str">
            <v>N/A</v>
          </cell>
          <cell r="I43" t="str">
            <v>N/A</v>
          </cell>
        </row>
        <row r="44">
          <cell r="G44" t="str">
            <v>N/A</v>
          </cell>
          <cell r="H44" t="str">
            <v>N/A</v>
          </cell>
          <cell r="I44" t="str">
            <v>N/A</v>
          </cell>
        </row>
        <row r="45">
          <cell r="G45" t="str">
            <v>N/A</v>
          </cell>
          <cell r="H45" t="str">
            <v>N/A</v>
          </cell>
          <cell r="I45" t="str">
            <v>N/A</v>
          </cell>
        </row>
        <row r="46">
          <cell r="G46" t="str">
            <v>N/A</v>
          </cell>
          <cell r="H46" t="str">
            <v>N/A</v>
          </cell>
          <cell r="I46" t="str">
            <v>N/A</v>
          </cell>
        </row>
        <row r="47">
          <cell r="G47" t="str">
            <v>N/A</v>
          </cell>
          <cell r="H47" t="str">
            <v>N/A</v>
          </cell>
          <cell r="I47" t="str">
            <v>N/A</v>
          </cell>
        </row>
        <row r="48">
          <cell r="G48" t="str">
            <v>N/A</v>
          </cell>
          <cell r="H48" t="str">
            <v>N/A</v>
          </cell>
          <cell r="I48" t="str">
            <v>N/A</v>
          </cell>
        </row>
        <row r="49">
          <cell r="G49" t="str">
            <v>N/A</v>
          </cell>
          <cell r="H49" t="str">
            <v>N/A</v>
          </cell>
          <cell r="I49" t="str">
            <v>N/A</v>
          </cell>
        </row>
        <row r="50">
          <cell r="G50" t="str">
            <v>N/A</v>
          </cell>
          <cell r="H50" t="str">
            <v>N/A</v>
          </cell>
          <cell r="I50" t="str">
            <v>N/A</v>
          </cell>
        </row>
        <row r="51">
          <cell r="G51" t="str">
            <v>N/A</v>
          </cell>
          <cell r="H51" t="str">
            <v>N/A</v>
          </cell>
          <cell r="I51" t="str">
            <v>N/A</v>
          </cell>
        </row>
        <row r="52">
          <cell r="G52" t="str">
            <v>N/A</v>
          </cell>
          <cell r="H52" t="str">
            <v>N/A</v>
          </cell>
          <cell r="I52" t="str">
            <v>N/A</v>
          </cell>
        </row>
        <row r="53">
          <cell r="G53" t="str">
            <v>N/A</v>
          </cell>
          <cell r="H53" t="str">
            <v>N/A</v>
          </cell>
          <cell r="I53" t="str">
            <v>N/A</v>
          </cell>
        </row>
      </sheetData>
      <sheetData sheetId="14" refreshError="1"/>
      <sheetData sheetId="15" refreshError="1"/>
      <sheetData sheetId="16" refreshError="1"/>
      <sheetData sheetId="17">
        <row r="4">
          <cell r="B4">
            <v>21</v>
          </cell>
        </row>
      </sheetData>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FIT Activity   {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workbookViewId="0"/>
  </sheetViews>
  <sheetFormatPr defaultRowHeight="12.75"/>
  <sheetData>
    <row r="1" spans="1:1">
      <c r="A1" t="s">
        <v>4041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H14"/>
  <sheetViews>
    <sheetView view="pageBreakPreview" zoomScale="85" zoomScaleNormal="100" zoomScaleSheetLayoutView="85" workbookViewId="0">
      <selection sqref="A1:E1"/>
    </sheetView>
  </sheetViews>
  <sheetFormatPr defaultColWidth="9" defaultRowHeight="15.75"/>
  <cols>
    <col min="1" max="1" width="18.85546875" style="3" customWidth="1"/>
    <col min="2" max="2" width="6.5703125" style="3" customWidth="1"/>
    <col min="3" max="3" width="9.5703125" style="3" customWidth="1"/>
    <col min="4" max="4" width="17" style="3" customWidth="1"/>
    <col min="5" max="5" width="3.85546875" style="3" customWidth="1"/>
    <col min="6" max="6" width="2.5703125" style="3" customWidth="1"/>
    <col min="7" max="7" width="17" style="3" customWidth="1"/>
    <col min="8" max="8" width="3" style="3" customWidth="1"/>
    <col min="9" max="10" width="2.5703125" style="3" customWidth="1"/>
    <col min="11" max="11" width="11.5703125" style="3" customWidth="1"/>
    <col min="12" max="13" width="2.5703125" style="3" customWidth="1"/>
    <col min="14" max="16384" width="9" style="3"/>
  </cols>
  <sheetData>
    <row r="1" spans="1:8">
      <c r="A1" s="1004" t="str">
        <f>Input!G28</f>
        <v>Peoples Gas System</v>
      </c>
      <c r="B1" s="1004"/>
      <c r="C1" s="1004"/>
      <c r="D1" s="1004"/>
      <c r="E1" s="1004"/>
      <c r="F1" s="647"/>
      <c r="G1" s="647"/>
      <c r="H1" s="647"/>
    </row>
    <row r="2" spans="1:8">
      <c r="A2" s="1005" t="s">
        <v>2214</v>
      </c>
      <c r="B2" s="1005"/>
      <c r="C2" s="1005"/>
      <c r="D2" s="1005"/>
      <c r="E2" s="1005"/>
    </row>
    <row r="3" spans="1:8">
      <c r="A3" s="1006" t="str">
        <f>Input!I29</f>
        <v>Utility Proxy Group</v>
      </c>
      <c r="B3" s="1006"/>
      <c r="C3" s="1006"/>
      <c r="D3" s="1006"/>
      <c r="E3" s="1006"/>
      <c r="F3" s="104"/>
      <c r="G3" s="104"/>
      <c r="H3" s="104"/>
    </row>
    <row r="5" spans="1:8" ht="83.25" customHeight="1">
      <c r="D5" s="1003" t="str">
        <f>Input!I30</f>
        <v>Proxy Group of Six Natural Gas Companies</v>
      </c>
      <c r="E5" s="1003"/>
    </row>
    <row r="6" spans="1:8" ht="48.75" customHeight="1">
      <c r="A6" s="12" t="s">
        <v>2196</v>
      </c>
      <c r="D6" s="7">
        <f>IFERROR('4.2 Ind. PRPM Results'!P21*100,"NA")</f>
        <v>12.02</v>
      </c>
      <c r="E6" s="72" t="s">
        <v>18</v>
      </c>
    </row>
    <row r="8" spans="1:8" ht="70.5" customHeight="1">
      <c r="A8" s="12" t="s">
        <v>228</v>
      </c>
      <c r="D8" s="80">
        <f>IFERROR('4.3 Risk Premium Summary'!G23,"NA")</f>
        <v>11.059999999999999</v>
      </c>
      <c r="E8" s="72" t="s">
        <v>18</v>
      </c>
    </row>
    <row r="10" spans="1:8" ht="16.5" thickBot="1">
      <c r="C10" s="3" t="s">
        <v>80</v>
      </c>
      <c r="D10" s="71">
        <f>IFERROR(ROUND(AVERAGE(D6:D8),2),"NA")</f>
        <v>11.54</v>
      </c>
      <c r="E10" s="72" t="s">
        <v>18</v>
      </c>
    </row>
    <row r="11" spans="1:8" ht="16.5" thickTop="1"/>
    <row r="12" spans="1:8">
      <c r="A12" s="10" t="s">
        <v>94</v>
      </c>
    </row>
    <row r="13" spans="1:8">
      <c r="A13" s="230" t="s">
        <v>95</v>
      </c>
      <c r="B13" s="3" t="s">
        <v>4398</v>
      </c>
    </row>
    <row r="14" spans="1:8">
      <c r="A14" s="230" t="s">
        <v>96</v>
      </c>
      <c r="B14" s="3" t="s">
        <v>4432</v>
      </c>
    </row>
  </sheetData>
  <mergeCells count="4">
    <mergeCell ref="D5:E5"/>
    <mergeCell ref="A1:E1"/>
    <mergeCell ref="A2:E2"/>
    <mergeCell ref="A3:E3"/>
  </mergeCells>
  <printOptions horizontalCentered="1"/>
  <pageMargins left="0.7" right="0.7" top="0.75" bottom="0.75" header="0.3" footer="0.3"/>
  <pageSetup orientation="portrait" horizontalDpi="4294967293"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28"/>
  <sheetViews>
    <sheetView view="pageBreakPreview" zoomScale="85" zoomScaleNormal="100" zoomScaleSheetLayoutView="85" workbookViewId="0"/>
  </sheetViews>
  <sheetFormatPr defaultColWidth="9" defaultRowHeight="15.75"/>
  <cols>
    <col min="1" max="1" width="9" style="122"/>
    <col min="2" max="2" width="39" style="122" bestFit="1" customWidth="1"/>
    <col min="3" max="3" width="2.7109375" style="122" customWidth="1"/>
    <col min="4" max="4" width="12.28515625" style="122" customWidth="1"/>
    <col min="5" max="5" width="2.7109375" style="122" customWidth="1"/>
    <col min="6" max="6" width="11.5703125" style="122" customWidth="1"/>
    <col min="7" max="7" width="2.7109375" style="122" customWidth="1"/>
    <col min="8" max="8" width="16.85546875" style="122" customWidth="1"/>
    <col min="9" max="9" width="2.7109375" style="122" customWidth="1"/>
    <col min="10" max="10" width="12" style="122" customWidth="1"/>
    <col min="11" max="11" width="2.7109375" style="122" customWidth="1"/>
    <col min="12" max="12" width="13.28515625" style="122" customWidth="1"/>
    <col min="13" max="13" width="2.7109375" style="122" customWidth="1"/>
    <col min="14" max="14" width="12.5703125" style="122" customWidth="1"/>
    <col min="15" max="15" width="2.7109375" style="122" customWidth="1"/>
    <col min="16" max="16" width="10.5703125" style="122" customWidth="1"/>
    <col min="17" max="17" width="4" style="122" customWidth="1"/>
    <col min="18" max="18" width="10" style="122" bestFit="1" customWidth="1"/>
    <col min="19" max="19" width="18.7109375" style="122" customWidth="1"/>
    <col min="20" max="20" width="9" style="122"/>
    <col min="21" max="21" width="10.28515625" style="122" bestFit="1" customWidth="1"/>
    <col min="22" max="22" width="13" style="122" bestFit="1" customWidth="1"/>
    <col min="23" max="16384" width="9" style="122"/>
  </cols>
  <sheetData>
    <row r="1" spans="1:20">
      <c r="B1" s="1007" t="str">
        <f>Input!G28</f>
        <v>Peoples Gas System</v>
      </c>
      <c r="C1" s="1007"/>
      <c r="D1" s="1007"/>
      <c r="E1" s="1007"/>
      <c r="F1" s="1007"/>
      <c r="G1" s="1007"/>
      <c r="H1" s="1007"/>
      <c r="I1" s="1007"/>
      <c r="J1" s="1007"/>
      <c r="K1" s="1007"/>
      <c r="L1" s="1007"/>
      <c r="M1" s="1007"/>
      <c r="N1" s="1007"/>
      <c r="O1" s="1007"/>
      <c r="P1" s="1007"/>
      <c r="Q1" s="1007"/>
    </row>
    <row r="2" spans="1:20">
      <c r="B2" s="1008" t="s">
        <v>1339</v>
      </c>
      <c r="C2" s="1008"/>
      <c r="D2" s="1008"/>
      <c r="E2" s="1008"/>
      <c r="F2" s="1008"/>
      <c r="G2" s="1008"/>
      <c r="H2" s="1008"/>
      <c r="I2" s="1008"/>
      <c r="J2" s="1008"/>
      <c r="K2" s="1008"/>
      <c r="L2" s="1008"/>
      <c r="M2" s="1008"/>
      <c r="N2" s="1008"/>
      <c r="O2" s="1008"/>
      <c r="P2" s="1008"/>
      <c r="Q2" s="1008"/>
    </row>
    <row r="3" spans="1:20">
      <c r="B3" s="1007" t="s">
        <v>1340</v>
      </c>
      <c r="C3" s="1007"/>
      <c r="D3" s="1007"/>
      <c r="E3" s="1007"/>
      <c r="F3" s="1007"/>
      <c r="G3" s="1007"/>
      <c r="H3" s="1007"/>
      <c r="I3" s="1007"/>
      <c r="J3" s="1007"/>
      <c r="K3" s="1007"/>
      <c r="L3" s="1007"/>
      <c r="M3" s="1007"/>
      <c r="N3" s="1007"/>
      <c r="O3" s="1007"/>
      <c r="P3" s="1007"/>
      <c r="Q3" s="1007"/>
    </row>
    <row r="6" spans="1:20">
      <c r="D6" s="87" t="s">
        <v>1337</v>
      </c>
      <c r="E6" s="87"/>
      <c r="F6" s="87" t="s">
        <v>1336</v>
      </c>
      <c r="G6" s="87"/>
      <c r="H6" s="87" t="s">
        <v>1335</v>
      </c>
      <c r="I6" s="87"/>
      <c r="J6" s="87" t="s">
        <v>1341</v>
      </c>
      <c r="K6" s="87"/>
      <c r="L6" s="87" t="s">
        <v>1342</v>
      </c>
      <c r="M6" s="87"/>
      <c r="N6" s="87" t="s">
        <v>1345</v>
      </c>
      <c r="O6" s="87"/>
      <c r="P6" s="87" t="s">
        <v>1346</v>
      </c>
    </row>
    <row r="7" spans="1:20">
      <c r="D7" s="87"/>
      <c r="E7" s="87"/>
      <c r="F7" s="87"/>
      <c r="G7" s="87"/>
      <c r="H7" s="87"/>
      <c r="I7" s="87"/>
      <c r="J7" s="87"/>
      <c r="K7" s="87"/>
      <c r="L7" s="87"/>
      <c r="M7" s="87"/>
      <c r="N7" s="87"/>
      <c r="O7" s="87"/>
      <c r="P7" s="87"/>
    </row>
    <row r="8" spans="1:20" ht="63">
      <c r="B8" s="237" t="str">
        <f>Input!I30</f>
        <v>Proxy Group of Six Natural Gas Companies</v>
      </c>
      <c r="D8" s="462" t="s">
        <v>1344</v>
      </c>
      <c r="E8" s="238"/>
      <c r="F8" s="462" t="s">
        <v>1343</v>
      </c>
      <c r="G8" s="238"/>
      <c r="H8" s="462" t="s">
        <v>2327</v>
      </c>
      <c r="I8" s="238"/>
      <c r="J8" s="462" t="s">
        <v>196</v>
      </c>
      <c r="K8" s="238"/>
      <c r="L8" s="462" t="s">
        <v>2328</v>
      </c>
      <c r="M8" s="238"/>
      <c r="N8" s="462" t="s">
        <v>2329</v>
      </c>
      <c r="O8" s="238"/>
      <c r="P8" s="462" t="s">
        <v>4134</v>
      </c>
    </row>
    <row r="10" spans="1:20">
      <c r="A10" s="122" t="str">
        <f>'4.5 Bond Ratings'!A13</f>
        <v>ATO</v>
      </c>
      <c r="B10" s="239" t="str">
        <f>'Proxy Data Lookup'!B3</f>
        <v>Atmos Energy Corporation</v>
      </c>
      <c r="D10" s="239">
        <f>HLOOKUP(A10,'PRPM WP1'!$A$1:$M$1176,1171,FALSE)</f>
        <v>3.4214079671306117E-3</v>
      </c>
      <c r="F10" s="239">
        <f>HLOOKUP(A10,'PRPM WP1'!$A$1:$M$1176,1173,FALSE)</f>
        <v>5.5674698899313502E-3</v>
      </c>
      <c r="H10" s="239">
        <f t="shared" ref="H10:H15" si="0">AVERAGE(D10)</f>
        <v>3.4214079671306117E-3</v>
      </c>
      <c r="J10" s="84">
        <f>HLOOKUP(A10,'PRPM WP1'!$A$1:$M$1176,1175,FALSE)</f>
        <v>2.2554940000000001</v>
      </c>
      <c r="L10" s="239">
        <f t="shared" ref="L10:L15" si="1">ROUND((1+(H10*J10))^12-1,4)</f>
        <v>9.6600000000000005E-2</v>
      </c>
      <c r="N10" s="323">
        <f>'MRP WP1'!F$37/100</f>
        <v>3.9100000000000003E-2</v>
      </c>
      <c r="P10" s="240">
        <f>N10 + L10</f>
        <v>0.13570000000000002</v>
      </c>
      <c r="T10" s="236"/>
    </row>
    <row r="11" spans="1:20">
      <c r="A11" s="122" t="str">
        <f>'4.5 Bond Ratings'!A14</f>
        <v>NJR</v>
      </c>
      <c r="B11" s="239" t="str">
        <f>'Proxy Data Lookup'!B4</f>
        <v>New Jersey Resources Corporation</v>
      </c>
      <c r="D11" s="239">
        <f>HLOOKUP(A11,'PRPM WP1'!$A$1:$M$1176,1171,FALSE)</f>
        <v>3.8969337988025553E-3</v>
      </c>
      <c r="E11" s="241"/>
      <c r="F11" s="239">
        <f>HLOOKUP(A11,'PRPM WP1'!$A$1:$M$1176,1173,FALSE)</f>
        <v>6.6201482413446502E-3</v>
      </c>
      <c r="G11" s="241"/>
      <c r="H11" s="239">
        <f t="shared" si="0"/>
        <v>3.8969337988025553E-3</v>
      </c>
      <c r="I11" s="241"/>
      <c r="J11" s="84">
        <f>HLOOKUP(A11,'PRPM WP1'!$A$1:$M$1176,1175,FALSE)</f>
        <v>2.1388259999999999</v>
      </c>
      <c r="K11" s="241"/>
      <c r="L11" s="239">
        <f t="shared" si="1"/>
        <v>0.1047</v>
      </c>
      <c r="M11" s="241"/>
      <c r="N11" s="323">
        <f>'MRP WP1'!F$37/100</f>
        <v>3.9100000000000003E-2</v>
      </c>
      <c r="O11" s="241"/>
      <c r="P11" s="240">
        <f>N11 + L11</f>
        <v>0.14380000000000001</v>
      </c>
      <c r="T11" s="236"/>
    </row>
    <row r="12" spans="1:20">
      <c r="A12" s="122" t="str">
        <f>'4.5 Bond Ratings'!A15</f>
        <v>NI</v>
      </c>
      <c r="B12" s="239" t="str">
        <f>'Proxy Data Lookup'!B5</f>
        <v>NiSource Inc.</v>
      </c>
      <c r="D12" s="239">
        <f>HLOOKUP(A12,'PRPM WP1'!$A$1:$M$1176,1171,FALSE)</f>
        <v>4.8549820240255722E-3</v>
      </c>
      <c r="F12" s="239">
        <f>HLOOKUP(A12,'PRPM WP1'!$A$1:$M$1176,1173,FALSE)</f>
        <v>6.3570725045669898E-3</v>
      </c>
      <c r="H12" s="239">
        <f t="shared" si="0"/>
        <v>4.8549820240255722E-3</v>
      </c>
      <c r="J12" s="84">
        <f>HLOOKUP(A12,'PRPM WP1'!$A$1:$M$1176,1175,FALSE)</f>
        <v>0.83002699999999996</v>
      </c>
      <c r="L12" s="239">
        <f t="shared" si="1"/>
        <v>4.9399999999999999E-2</v>
      </c>
      <c r="N12" s="323">
        <f>'MRP WP1'!F$37/100</f>
        <v>3.9100000000000003E-2</v>
      </c>
      <c r="P12" s="240">
        <f>N12 + L12</f>
        <v>8.8499999999999995E-2</v>
      </c>
      <c r="R12" s="323"/>
      <c r="T12" s="236"/>
    </row>
    <row r="13" spans="1:20">
      <c r="A13" s="122" t="str">
        <f>'4.5 Bond Ratings'!A16</f>
        <v>NWN</v>
      </c>
      <c r="B13" s="239" t="str">
        <f>'Proxy Data Lookup'!B6</f>
        <v>Northwest Natural Holding Company</v>
      </c>
      <c r="D13" s="239">
        <f>HLOOKUP(A13,'PRPM WP1'!$A$1:$M$1176,1171,FALSE)</f>
        <v>3.3196893354845531E-3</v>
      </c>
      <c r="F13" s="239">
        <f>HLOOKUP(A13,'PRPM WP1'!$A$1:$M$1176,1173,FALSE)</f>
        <v>5.3204378313175902E-3</v>
      </c>
      <c r="H13" s="239">
        <f t="shared" si="0"/>
        <v>3.3196893354845531E-3</v>
      </c>
      <c r="J13" s="84">
        <f>HLOOKUP(A13,'PRPM WP1'!$A$1:$M$1176,1175,FALSE)</f>
        <v>1.484569</v>
      </c>
      <c r="L13" s="239">
        <f t="shared" si="1"/>
        <v>6.08E-2</v>
      </c>
      <c r="N13" s="323">
        <f>'MRP WP1'!F$37/100</f>
        <v>3.9100000000000003E-2</v>
      </c>
      <c r="P13" s="240">
        <f>N13 + L13</f>
        <v>9.9900000000000003E-2</v>
      </c>
      <c r="R13" s="239"/>
      <c r="T13" s="236"/>
    </row>
    <row r="14" spans="1:20">
      <c r="A14" s="122" t="str">
        <f>'4.5 Bond Ratings'!A17</f>
        <v>OGS</v>
      </c>
      <c r="B14" s="239" t="str">
        <f>'Proxy Data Lookup'!B7</f>
        <v>ONE Gas, Inc.</v>
      </c>
      <c r="D14" s="239">
        <f>HLOOKUP(A14,'PRPM WP1'!$A$1:$M$1176,1171,FALSE)</f>
        <v>3.7201554010693025E-3</v>
      </c>
      <c r="F14" s="239">
        <f>HLOOKUP(A14,'PRPM WP1'!$A$1:$M$1176,1173,FALSE)</f>
        <v>6.3138681967106003E-3</v>
      </c>
      <c r="H14" s="239">
        <f t="shared" si="0"/>
        <v>3.7201554010693025E-3</v>
      </c>
      <c r="J14" s="84">
        <f>HLOOKUP(A14,'PRPM WP1'!$A$1:$M$1176,1175,FALSE)</f>
        <v>3.291407</v>
      </c>
      <c r="L14" s="239">
        <f t="shared" si="1"/>
        <v>0.15720000000000001</v>
      </c>
      <c r="N14" s="323">
        <f>'MRP WP1'!F$37/100</f>
        <v>3.9100000000000003E-2</v>
      </c>
      <c r="P14" s="737" t="s">
        <v>4057</v>
      </c>
      <c r="R14" s="239"/>
      <c r="T14" s="236"/>
    </row>
    <row r="15" spans="1:20">
      <c r="A15" s="122" t="str">
        <f>'4.5 Bond Ratings'!A18</f>
        <v>SR</v>
      </c>
      <c r="B15" s="239" t="str">
        <f>'Proxy Data Lookup'!B8</f>
        <v>Spire Inc.</v>
      </c>
      <c r="D15" s="239">
        <f>HLOOKUP(A15,'PRPM WP1'!$A$1:$M$1176,1171,FALSE)</f>
        <v>7.0575935178436092E-3</v>
      </c>
      <c r="F15" s="239">
        <f>HLOOKUP(A15,'PRPM WP1'!$A$1:$M$1176,1173,FALSE)</f>
        <v>5.01182904834229E-3</v>
      </c>
      <c r="H15" s="239">
        <f t="shared" si="0"/>
        <v>7.0575935178436092E-3</v>
      </c>
      <c r="J15" s="84">
        <f>HLOOKUP(A15,'PRPM WP1'!$A$1:$M$1176,1175,FALSE)</f>
        <v>0.94654400000000005</v>
      </c>
      <c r="L15" s="239">
        <f t="shared" si="1"/>
        <v>8.3199999999999996E-2</v>
      </c>
      <c r="N15" s="323">
        <f>'MRP WP1'!F$37/100</f>
        <v>3.9100000000000003E-2</v>
      </c>
      <c r="P15" s="240">
        <f>N15 + L15</f>
        <v>0.12229999999999999</v>
      </c>
      <c r="R15" s="239"/>
      <c r="T15" s="236"/>
    </row>
    <row r="16" spans="1:20">
      <c r="D16" s="239"/>
      <c r="P16" s="463"/>
    </row>
    <row r="17" spans="2:23" ht="16.5" thickBot="1">
      <c r="D17" s="239"/>
      <c r="N17" s="242" t="s">
        <v>80</v>
      </c>
      <c r="P17" s="243">
        <f>AVERAGE(P10:P15)</f>
        <v>0.11803999999999999</v>
      </c>
    </row>
    <row r="18" spans="2:23" ht="16.5" thickTop="1">
      <c r="D18" s="51" t="s">
        <v>4187</v>
      </c>
      <c r="N18" s="242"/>
    </row>
    <row r="19" spans="2:23" ht="16.5" thickBot="1">
      <c r="N19" s="242" t="s">
        <v>183</v>
      </c>
      <c r="P19" s="243">
        <f>MEDIAN(P10:P15)</f>
        <v>0.12229999999999999</v>
      </c>
    </row>
    <row r="20" spans="2:23" ht="16.5" thickTop="1">
      <c r="P20" s="239"/>
    </row>
    <row r="21" spans="2:23" ht="16.5" thickBot="1">
      <c r="N21" s="10" t="s">
        <v>1376</v>
      </c>
      <c r="P21" s="243">
        <f>ROUND(AVERAGE(P17:P19),4)</f>
        <v>0.1202</v>
      </c>
    </row>
    <row r="22" spans="2:23" ht="16.5" thickTop="1">
      <c r="B22" s="242" t="s">
        <v>94</v>
      </c>
    </row>
    <row r="23" spans="2:23" ht="51" customHeight="1">
      <c r="B23" s="244" t="s">
        <v>95</v>
      </c>
      <c r="D23" s="1009" t="s">
        <v>4233</v>
      </c>
      <c r="E23" s="1009"/>
      <c r="F23" s="1009"/>
      <c r="G23" s="1009"/>
      <c r="H23" s="1009"/>
      <c r="I23" s="1009"/>
      <c r="J23" s="1009"/>
      <c r="K23" s="1009"/>
      <c r="L23" s="1009"/>
      <c r="M23" s="1009"/>
      <c r="N23" s="1009"/>
      <c r="O23" s="1009"/>
      <c r="P23" s="1009"/>
    </row>
    <row r="24" spans="2:23">
      <c r="B24" s="244" t="s">
        <v>96</v>
      </c>
      <c r="D24" s="1010" t="s">
        <v>4596</v>
      </c>
      <c r="E24" s="1010"/>
      <c r="F24" s="1010"/>
      <c r="G24" s="1010"/>
      <c r="H24" s="1010"/>
      <c r="I24" s="1010"/>
      <c r="J24" s="1010"/>
      <c r="K24" s="1010"/>
      <c r="L24" s="1010"/>
      <c r="M24" s="1010"/>
      <c r="N24" s="1010"/>
      <c r="O24" s="1010"/>
      <c r="P24" s="1010"/>
    </row>
    <row r="25" spans="2:23" ht="18">
      <c r="B25" s="341" t="s">
        <v>97</v>
      </c>
      <c r="D25" s="496" t="s">
        <v>4218</v>
      </c>
    </row>
    <row r="26" spans="2:23">
      <c r="B26" s="244" t="s">
        <v>98</v>
      </c>
      <c r="D26" s="686" t="s">
        <v>4505</v>
      </c>
      <c r="T26" s="239"/>
      <c r="U26" s="239"/>
      <c r="V26" s="239"/>
    </row>
    <row r="27" spans="2:23">
      <c r="B27" s="341" t="s">
        <v>110</v>
      </c>
      <c r="D27" s="496" t="s">
        <v>2197</v>
      </c>
    </row>
    <row r="28" spans="2:23" ht="30" customHeight="1">
      <c r="B28" s="228"/>
      <c r="D28" s="325"/>
      <c r="E28" s="325"/>
      <c r="F28" s="325"/>
      <c r="G28" s="325"/>
      <c r="H28" s="325"/>
      <c r="I28" s="325"/>
      <c r="J28" s="325"/>
      <c r="K28" s="325"/>
      <c r="L28" s="325"/>
      <c r="M28" s="325"/>
      <c r="N28" s="325"/>
      <c r="O28" s="325"/>
      <c r="P28" s="325"/>
      <c r="Q28" s="325"/>
      <c r="U28" s="239"/>
      <c r="V28" s="239"/>
      <c r="W28" s="239"/>
    </row>
  </sheetData>
  <mergeCells count="5">
    <mergeCell ref="B1:Q1"/>
    <mergeCell ref="B2:Q2"/>
    <mergeCell ref="B3:Q3"/>
    <mergeCell ref="D23:P23"/>
    <mergeCell ref="D24:P24"/>
  </mergeCells>
  <printOptions horizontalCentered="1"/>
  <pageMargins left="0.7" right="0.7" top="0.75" bottom="0.75" header="0.3" footer="0.3"/>
  <pageSetup scale="62" orientation="portrait" horizontalDpi="4294967294"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29"/>
  <sheetViews>
    <sheetView view="pageBreakPreview" zoomScale="85" zoomScaleNormal="100" zoomScaleSheetLayoutView="85" workbookViewId="0">
      <selection activeCell="C26" sqref="C26:H26"/>
    </sheetView>
  </sheetViews>
  <sheetFormatPr defaultColWidth="12.28515625" defaultRowHeight="15.75"/>
  <cols>
    <col min="1" max="1" width="9.85546875" style="13" customWidth="1"/>
    <col min="2" max="2" width="6" style="13" customWidth="1"/>
    <col min="3" max="5" width="12.28515625" style="13" customWidth="1"/>
    <col min="6" max="6" width="8.5703125" style="13" customWidth="1"/>
    <col min="7" max="7" width="14" style="13" customWidth="1"/>
    <col min="8" max="9" width="5" style="13" customWidth="1"/>
    <col min="10" max="16384" width="12.28515625" style="13"/>
  </cols>
  <sheetData>
    <row r="1" spans="1:10">
      <c r="A1" s="14" t="str">
        <f>Input!G28</f>
        <v>Peoples Gas System</v>
      </c>
      <c r="B1" s="14"/>
      <c r="C1" s="14"/>
      <c r="D1" s="14"/>
      <c r="E1" s="14"/>
      <c r="F1" s="14"/>
      <c r="G1" s="14"/>
      <c r="H1" s="14"/>
      <c r="I1" s="296"/>
    </row>
    <row r="2" spans="1:10">
      <c r="A2" s="15" t="s">
        <v>123</v>
      </c>
      <c r="B2" s="15"/>
      <c r="C2" s="15"/>
      <c r="D2" s="15"/>
      <c r="E2" s="15"/>
      <c r="F2" s="15"/>
      <c r="G2" s="15"/>
      <c r="H2" s="15"/>
      <c r="I2" s="52"/>
    </row>
    <row r="3" spans="1:10">
      <c r="A3" s="15" t="s">
        <v>124</v>
      </c>
      <c r="B3" s="15"/>
      <c r="C3" s="15"/>
      <c r="D3" s="15"/>
      <c r="E3" s="15"/>
      <c r="F3" s="15"/>
      <c r="G3" s="15"/>
      <c r="H3" s="15"/>
      <c r="I3" s="52"/>
    </row>
    <row r="4" spans="1:10">
      <c r="A4" s="14" t="s">
        <v>125</v>
      </c>
      <c r="B4" s="14"/>
      <c r="C4" s="14"/>
      <c r="D4" s="14"/>
      <c r="E4" s="14"/>
      <c r="F4" s="14"/>
      <c r="G4" s="14"/>
      <c r="H4" s="14"/>
      <c r="I4" s="52"/>
    </row>
    <row r="6" spans="1:10" ht="67.5" customHeight="1">
      <c r="A6" s="321" t="s">
        <v>92</v>
      </c>
      <c r="B6" s="321"/>
      <c r="G6" s="1011" t="str">
        <f>'4.5 Bond Ratings'!B11</f>
        <v>Proxy Group of Six Natural Gas Companies</v>
      </c>
      <c r="H6" s="1011"/>
    </row>
    <row r="7" spans="1:10">
      <c r="A7" s="16"/>
      <c r="B7" s="16"/>
    </row>
    <row r="9" spans="1:10">
      <c r="A9" s="16" t="s">
        <v>93</v>
      </c>
      <c r="B9" s="16"/>
      <c r="C9" s="13" t="s">
        <v>126</v>
      </c>
    </row>
    <row r="10" spans="1:10">
      <c r="A10" s="16"/>
      <c r="B10" s="16"/>
      <c r="C10" s="13" t="s">
        <v>127</v>
      </c>
      <c r="G10" s="56">
        <f>'MRP WP1'!$M$37</f>
        <v>5.05</v>
      </c>
      <c r="H10" s="21" t="s">
        <v>18</v>
      </c>
      <c r="J10" s="56"/>
    </row>
    <row r="11" spans="1:10">
      <c r="A11" s="16"/>
      <c r="B11" s="16"/>
    </row>
    <row r="12" spans="1:10">
      <c r="A12" s="16" t="s">
        <v>99</v>
      </c>
      <c r="B12" s="16"/>
      <c r="C12" s="13" t="s">
        <v>128</v>
      </c>
    </row>
    <row r="13" spans="1:10">
      <c r="A13" s="16"/>
      <c r="B13" s="16"/>
      <c r="C13" s="13" t="s">
        <v>129</v>
      </c>
    </row>
    <row r="14" spans="1:10">
      <c r="A14" s="16"/>
      <c r="B14" s="16"/>
      <c r="C14" s="13" t="s">
        <v>3929</v>
      </c>
    </row>
    <row r="15" spans="1:10">
      <c r="A15" s="16"/>
      <c r="B15" s="16"/>
      <c r="C15" s="13" t="s">
        <v>4237</v>
      </c>
      <c r="G15" s="22">
        <f>'4.4 Moody''s Bond Yields'!I21</f>
        <v>0.83000000000000007</v>
      </c>
      <c r="H15" s="21"/>
      <c r="J15" s="56"/>
    </row>
    <row r="16" spans="1:10">
      <c r="A16" s="16"/>
      <c r="B16" s="16"/>
    </row>
    <row r="17" spans="1:11">
      <c r="A17" s="16" t="s">
        <v>100</v>
      </c>
      <c r="B17" s="16"/>
      <c r="C17" s="13" t="s">
        <v>3930</v>
      </c>
    </row>
    <row r="18" spans="1:11">
      <c r="A18" s="16"/>
      <c r="B18" s="16"/>
      <c r="C18" s="13" t="s">
        <v>130</v>
      </c>
      <c r="G18" s="56">
        <f>SUM(G10:G15)</f>
        <v>5.88</v>
      </c>
      <c r="H18" s="24" t="s">
        <v>18</v>
      </c>
      <c r="J18" s="56"/>
      <c r="K18" s="24"/>
    </row>
    <row r="19" spans="1:11">
      <c r="A19" s="16"/>
      <c r="B19" s="16"/>
    </row>
    <row r="20" spans="1:11">
      <c r="A20" s="25" t="s">
        <v>104</v>
      </c>
      <c r="B20" s="16"/>
      <c r="C20" s="13" t="s">
        <v>4385</v>
      </c>
      <c r="G20" s="471">
        <f>'4.7 ERP Determination'!$E$25</f>
        <v>5.18</v>
      </c>
      <c r="H20" s="24"/>
      <c r="J20" s="56"/>
    </row>
    <row r="21" spans="1:11">
      <c r="A21" s="16"/>
      <c r="B21" s="16"/>
    </row>
    <row r="22" spans="1:11">
      <c r="A22" s="25" t="s">
        <v>105</v>
      </c>
      <c r="B22" s="16"/>
      <c r="C22" s="13" t="s">
        <v>131</v>
      </c>
    </row>
    <row r="23" spans="1:11" ht="16.5" thickBot="1">
      <c r="A23" s="16"/>
      <c r="B23" s="16"/>
      <c r="C23" s="13" t="s">
        <v>132</v>
      </c>
      <c r="G23" s="26">
        <f>SUM(G18:G20)</f>
        <v>11.059999999999999</v>
      </c>
      <c r="H23" s="24" t="s">
        <v>18</v>
      </c>
      <c r="J23" s="23"/>
      <c r="K23" s="24"/>
    </row>
    <row r="24" spans="1:11" ht="16.5" thickTop="1">
      <c r="A24" s="16"/>
      <c r="B24" s="16"/>
    </row>
    <row r="25" spans="1:11">
      <c r="A25" s="16"/>
      <c r="B25" s="16"/>
    </row>
    <row r="26" spans="1:11" ht="48" customHeight="1">
      <c r="A26" s="27" t="s">
        <v>101</v>
      </c>
      <c r="B26" s="28" t="s">
        <v>95</v>
      </c>
      <c r="C26" s="988" t="s">
        <v>4445</v>
      </c>
      <c r="D26" s="988"/>
      <c r="E26" s="988"/>
      <c r="F26" s="988"/>
      <c r="G26" s="988"/>
      <c r="H26" s="988"/>
    </row>
    <row r="27" spans="1:11" ht="48.75" customHeight="1">
      <c r="A27" s="30"/>
      <c r="B27" s="31" t="s">
        <v>96</v>
      </c>
      <c r="C27" s="988" t="str">
        <f>CONCATENATE("The average yield spread of A2 rated public utility bonds over Aaa rated corporate bonds of ",TEXT('4.4 Moody''s Bond Yields'!I21,"#0.00"),"% from page 4 of this Document.")</f>
        <v>The average yield spread of A2 rated public utility bonds over Aaa rated corporate bonds of 0.83% from page 4 of this Document.</v>
      </c>
      <c r="D27" s="988"/>
      <c r="E27" s="988"/>
      <c r="F27" s="988"/>
      <c r="G27" s="988"/>
      <c r="H27" s="988"/>
    </row>
    <row r="28" spans="1:11" ht="19.5" customHeight="1">
      <c r="B28" s="31" t="s">
        <v>97</v>
      </c>
      <c r="C28" s="988" t="s">
        <v>4433</v>
      </c>
      <c r="D28" s="988"/>
      <c r="E28" s="988"/>
      <c r="F28" s="988"/>
      <c r="G28" s="988"/>
      <c r="H28" s="988"/>
    </row>
    <row r="29" spans="1:11" ht="15" customHeight="1"/>
  </sheetData>
  <mergeCells count="4">
    <mergeCell ref="G6:H6"/>
    <mergeCell ref="C28:H28"/>
    <mergeCell ref="C26:H26"/>
    <mergeCell ref="C27:H27"/>
  </mergeCells>
  <phoneticPr fontId="0" type="noConversion"/>
  <printOptions horizontalCentered="1"/>
  <pageMargins left="0.7" right="0.7" top="0.75" bottom="0.75" header="0.3" footer="0.3"/>
  <pageSetup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M31"/>
  <sheetViews>
    <sheetView view="pageBreakPreview" zoomScale="85" zoomScaleNormal="100" zoomScaleSheetLayoutView="85" workbookViewId="0">
      <selection sqref="A1:K1"/>
    </sheetView>
  </sheetViews>
  <sheetFormatPr defaultColWidth="12.28515625" defaultRowHeight="15.75"/>
  <cols>
    <col min="1" max="1" width="13.28515625" style="13" customWidth="1"/>
    <col min="2" max="2" width="3.28515625" style="13" customWidth="1"/>
    <col min="3" max="3" width="12.28515625" style="13" customWidth="1"/>
    <col min="4" max="4" width="4" style="13" customWidth="1"/>
    <col min="5" max="5" width="3.28515625" style="13" customWidth="1"/>
    <col min="6" max="6" width="12" style="13" customWidth="1"/>
    <col min="7" max="7" width="3.28515625" style="13" customWidth="1"/>
    <col min="8" max="8" width="2.85546875" style="13" customWidth="1"/>
    <col min="9" max="9" width="12.85546875" style="13" customWidth="1"/>
    <col min="10" max="10" width="3.28515625" style="13" bestFit="1" customWidth="1"/>
    <col min="11" max="11" width="3" style="13" customWidth="1"/>
    <col min="12" max="12" width="12.28515625" style="13" customWidth="1"/>
    <col min="13" max="13" width="7" style="13" bestFit="1" customWidth="1"/>
    <col min="14" max="21" width="12.28515625" style="13" customWidth="1"/>
    <col min="22" max="16384" width="12.28515625" style="13"/>
  </cols>
  <sheetData>
    <row r="1" spans="1:13">
      <c r="A1" s="989" t="str">
        <f>Input!G28</f>
        <v>Peoples Gas System</v>
      </c>
      <c r="B1" s="989"/>
      <c r="C1" s="989"/>
      <c r="D1" s="989"/>
      <c r="E1" s="989"/>
      <c r="F1" s="989"/>
      <c r="G1" s="989"/>
      <c r="H1" s="989"/>
      <c r="I1" s="989"/>
      <c r="J1" s="989"/>
      <c r="K1" s="989"/>
      <c r="L1" s="17"/>
      <c r="M1" s="17"/>
    </row>
    <row r="2" spans="1:13">
      <c r="A2" s="1012" t="s">
        <v>1329</v>
      </c>
      <c r="B2" s="1012"/>
      <c r="C2" s="1012"/>
      <c r="D2" s="1012"/>
      <c r="E2" s="1012"/>
      <c r="F2" s="1012"/>
      <c r="G2" s="1012"/>
      <c r="H2" s="1012"/>
      <c r="I2" s="1012"/>
      <c r="J2" s="1012"/>
      <c r="K2" s="1012"/>
    </row>
    <row r="3" spans="1:13">
      <c r="A3" s="989" t="s">
        <v>1330</v>
      </c>
      <c r="B3" s="989"/>
      <c r="C3" s="989"/>
      <c r="D3" s="989"/>
      <c r="E3" s="989"/>
      <c r="F3" s="989"/>
      <c r="G3" s="989"/>
      <c r="H3" s="989"/>
      <c r="I3" s="989"/>
      <c r="J3" s="989"/>
      <c r="K3" s="989"/>
      <c r="L3" s="17"/>
      <c r="M3" s="17"/>
    </row>
    <row r="4" spans="1:13">
      <c r="A4" s="14"/>
      <c r="B4" s="14"/>
      <c r="C4" s="14"/>
      <c r="D4" s="14"/>
      <c r="E4" s="14"/>
      <c r="F4" s="15"/>
      <c r="G4" s="15"/>
      <c r="H4" s="15"/>
      <c r="I4" s="15"/>
    </row>
    <row r="5" spans="1:13" ht="15" customHeight="1">
      <c r="A5" s="14"/>
      <c r="B5" s="14"/>
      <c r="C5" s="14"/>
      <c r="D5" s="14"/>
      <c r="E5" s="14"/>
      <c r="F5" s="15"/>
      <c r="G5" s="15"/>
      <c r="H5" s="15"/>
      <c r="I5" s="15"/>
    </row>
    <row r="6" spans="1:13">
      <c r="A6" s="14" t="s">
        <v>4135</v>
      </c>
      <c r="B6" s="14"/>
      <c r="C6" s="14"/>
      <c r="D6" s="14"/>
      <c r="E6" s="14"/>
      <c r="F6" s="14"/>
      <c r="G6" s="14"/>
      <c r="H6" s="14"/>
      <c r="I6" s="14"/>
      <c r="J6" s="14"/>
      <c r="K6" s="14"/>
      <c r="L6" s="17"/>
      <c r="M6" s="17"/>
    </row>
    <row r="7" spans="1:13">
      <c r="A7" s="321"/>
      <c r="B7" s="321"/>
      <c r="C7" s="321"/>
      <c r="D7" s="321"/>
      <c r="E7" s="321"/>
      <c r="F7" s="321"/>
      <c r="G7" s="321"/>
      <c r="H7" s="321"/>
      <c r="I7" s="321"/>
      <c r="J7" s="321"/>
      <c r="K7" s="321"/>
      <c r="L7" s="321"/>
      <c r="M7" s="321"/>
    </row>
    <row r="8" spans="1:13">
      <c r="A8" s="321"/>
      <c r="B8" s="321"/>
      <c r="C8" s="1012" t="s">
        <v>1337</v>
      </c>
      <c r="D8" s="1012"/>
      <c r="E8" s="16"/>
      <c r="F8" s="1012" t="s">
        <v>1336</v>
      </c>
      <c r="G8" s="1012"/>
      <c r="H8" s="16"/>
      <c r="I8" s="1012" t="s">
        <v>1335</v>
      </c>
      <c r="J8" s="1012"/>
    </row>
    <row r="10" spans="1:13" s="16" customFormat="1" ht="50.25" customHeight="1">
      <c r="A10" s="357"/>
      <c r="C10" s="1013" t="s">
        <v>1331</v>
      </c>
      <c r="D10" s="1013"/>
      <c r="E10" s="57"/>
      <c r="F10" s="1013" t="s">
        <v>3931</v>
      </c>
      <c r="G10" s="1013"/>
      <c r="H10" s="78"/>
      <c r="I10" s="1013" t="s">
        <v>3932</v>
      </c>
      <c r="J10" s="1013"/>
    </row>
    <row r="11" spans="1:13" s="16" customFormat="1">
      <c r="A11" s="357"/>
      <c r="C11" s="78"/>
      <c r="D11" s="78"/>
      <c r="E11" s="57"/>
      <c r="F11" s="78"/>
      <c r="G11" s="78"/>
      <c r="H11" s="78"/>
      <c r="I11" s="78"/>
      <c r="J11" s="78"/>
    </row>
    <row r="12" spans="1:13">
      <c r="A12" s="358">
        <f>'Market Data'!B1</f>
        <v>44926</v>
      </c>
      <c r="C12" s="83">
        <f>'Market Data'!B4</f>
        <v>4.41</v>
      </c>
      <c r="D12" s="13" t="s">
        <v>18</v>
      </c>
      <c r="E12" s="103"/>
      <c r="F12" s="83">
        <f>'Market Data'!B2</f>
        <v>5.27</v>
      </c>
      <c r="G12" s="13" t="s">
        <v>18</v>
      </c>
      <c r="H12" s="103"/>
      <c r="I12" s="83">
        <f>'Market Data'!B3</f>
        <v>5.56</v>
      </c>
      <c r="J12" s="13" t="s">
        <v>18</v>
      </c>
    </row>
    <row r="13" spans="1:13">
      <c r="A13" s="358">
        <f>'Market Data'!C1</f>
        <v>44895</v>
      </c>
      <c r="C13" s="83">
        <f>'Market Data'!C4</f>
        <v>4.9000000000000004</v>
      </c>
      <c r="D13" s="20"/>
      <c r="E13" s="20"/>
      <c r="F13" s="83">
        <f>'Market Data'!C2</f>
        <v>5.75</v>
      </c>
      <c r="G13" s="83"/>
      <c r="H13" s="83"/>
      <c r="I13" s="83">
        <f>'Market Data'!C3</f>
        <v>6.05</v>
      </c>
      <c r="J13" s="23"/>
    </row>
    <row r="14" spans="1:13">
      <c r="A14" s="358">
        <f>'Market Data'!D1</f>
        <v>44864</v>
      </c>
      <c r="C14" s="225">
        <f>'Market Data'!D4</f>
        <v>5.0999999999999996</v>
      </c>
      <c r="D14" s="20"/>
      <c r="E14" s="20"/>
      <c r="F14" s="225">
        <f>'Market Data'!D2</f>
        <v>5.88</v>
      </c>
      <c r="G14" s="83"/>
      <c r="H14" s="83"/>
      <c r="I14" s="225">
        <f>'Market Data'!D3</f>
        <v>6.18</v>
      </c>
      <c r="J14" s="23"/>
    </row>
    <row r="16" spans="1:13" ht="16.5" thickBot="1">
      <c r="A16" s="13" t="s">
        <v>80</v>
      </c>
      <c r="C16" s="359">
        <f>ROUND(AVERAGE(C12:C14),2)</f>
        <v>4.8</v>
      </c>
      <c r="D16" s="13" t="s">
        <v>18</v>
      </c>
      <c r="F16" s="359">
        <f>ROUND(AVERAGE(F12:F14),2)</f>
        <v>5.63</v>
      </c>
      <c r="G16" s="13" t="s">
        <v>18</v>
      </c>
      <c r="I16" s="359">
        <f>ROUND(AVERAGE(I12:I14),2)</f>
        <v>5.93</v>
      </c>
      <c r="J16" s="13" t="s">
        <v>18</v>
      </c>
    </row>
    <row r="17" spans="1:13" ht="16.5" thickTop="1"/>
    <row r="18" spans="1:13">
      <c r="A18" s="989" t="s">
        <v>1332</v>
      </c>
      <c r="B18" s="989"/>
      <c r="C18" s="989"/>
      <c r="D18" s="989"/>
      <c r="E18" s="989"/>
      <c r="F18" s="989"/>
      <c r="G18" s="989"/>
      <c r="H18" s="989"/>
      <c r="I18" s="989"/>
      <c r="J18" s="989"/>
      <c r="K18" s="989"/>
      <c r="L18" s="17"/>
      <c r="M18" s="17"/>
    </row>
    <row r="19" spans="1:13">
      <c r="L19" s="321"/>
    </row>
    <row r="20" spans="1:13">
      <c r="A20" s="122" t="s">
        <v>3933</v>
      </c>
    </row>
    <row r="21" spans="1:13" ht="16.5" thickBot="1">
      <c r="A21" s="122"/>
      <c r="I21" s="359">
        <f>F16-C16</f>
        <v>0.83000000000000007</v>
      </c>
      <c r="J21" s="360" t="s">
        <v>1333</v>
      </c>
    </row>
    <row r="22" spans="1:13" ht="16.5" thickTop="1">
      <c r="A22" s="122"/>
    </row>
    <row r="23" spans="1:13">
      <c r="A23" s="122" t="s">
        <v>3934</v>
      </c>
    </row>
    <row r="24" spans="1:13" ht="16.5" thickBot="1">
      <c r="I24" s="359">
        <f>ROUND(I16-F16,2)</f>
        <v>0.3</v>
      </c>
      <c r="J24" s="21" t="s">
        <v>1334</v>
      </c>
    </row>
    <row r="25" spans="1:13" ht="16.5" thickTop="1">
      <c r="L25" s="56"/>
      <c r="M25" s="21"/>
    </row>
    <row r="26" spans="1:13">
      <c r="A26" s="18" t="s">
        <v>94</v>
      </c>
      <c r="L26" s="56"/>
      <c r="M26" s="21"/>
    </row>
    <row r="27" spans="1:13">
      <c r="A27" s="69" t="s">
        <v>95</v>
      </c>
      <c r="B27" s="13" t="s">
        <v>3960</v>
      </c>
      <c r="L27" s="56"/>
      <c r="M27" s="21"/>
    </row>
    <row r="28" spans="1:13">
      <c r="A28" s="69" t="s">
        <v>96</v>
      </c>
      <c r="B28" s="13" t="s">
        <v>1338</v>
      </c>
      <c r="I28" s="645"/>
      <c r="L28" s="56"/>
      <c r="M28" s="21"/>
    </row>
    <row r="30" spans="1:13">
      <c r="A30" s="13" t="s">
        <v>146</v>
      </c>
    </row>
    <row r="31" spans="1:13">
      <c r="A31" s="221" t="s">
        <v>4222</v>
      </c>
    </row>
  </sheetData>
  <mergeCells count="10">
    <mergeCell ref="A18:K18"/>
    <mergeCell ref="A1:K1"/>
    <mergeCell ref="A2:K2"/>
    <mergeCell ref="A3:K3"/>
    <mergeCell ref="C10:D10"/>
    <mergeCell ref="F10:G10"/>
    <mergeCell ref="I8:J8"/>
    <mergeCell ref="I10:J10"/>
    <mergeCell ref="C8:D8"/>
    <mergeCell ref="F8:G8"/>
  </mergeCells>
  <phoneticPr fontId="0" type="noConversion"/>
  <printOptions horizontalCentered="1"/>
  <pageMargins left="0.7" right="0.7" top="0.75" bottom="0.75" header="0.3" footer="0.3"/>
  <pageSetup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67"/>
  <sheetViews>
    <sheetView view="pageBreakPreview" zoomScale="85" zoomScaleNormal="100" zoomScaleSheetLayoutView="85" workbookViewId="0"/>
  </sheetViews>
  <sheetFormatPr defaultColWidth="9" defaultRowHeight="15.75"/>
  <cols>
    <col min="1" max="1" width="9" style="13"/>
    <col min="2" max="2" width="39" style="13" bestFit="1" customWidth="1"/>
    <col min="3" max="3" width="4.28515625" style="13" customWidth="1"/>
    <col min="4" max="4" width="2.7109375" style="13" customWidth="1"/>
    <col min="5" max="5" width="13" style="13" customWidth="1"/>
    <col min="6" max="6" width="2.7109375" style="13" customWidth="1"/>
    <col min="7" max="7" width="15.28515625" style="13" customWidth="1"/>
    <col min="8" max="8" width="2.7109375" style="13" customWidth="1"/>
    <col min="9" max="9" width="14" style="13" bestFit="1" customWidth="1"/>
    <col min="10" max="10" width="2.7109375" style="13" customWidth="1"/>
    <col min="11" max="11" width="16.28515625" style="13" customWidth="1"/>
    <col min="12" max="16384" width="9" style="13"/>
  </cols>
  <sheetData>
    <row r="1" spans="1:18">
      <c r="B1" s="989" t="str">
        <f>Input!G28</f>
        <v>Peoples Gas System</v>
      </c>
      <c r="C1" s="989"/>
      <c r="D1" s="989"/>
      <c r="E1" s="989"/>
      <c r="F1" s="989"/>
      <c r="G1" s="989"/>
      <c r="H1" s="989"/>
      <c r="I1" s="989"/>
      <c r="J1" s="989"/>
      <c r="K1" s="989"/>
      <c r="L1" s="52"/>
      <c r="M1" s="52"/>
      <c r="N1" s="52"/>
      <c r="O1" s="52"/>
      <c r="P1" s="52"/>
      <c r="Q1" s="52"/>
      <c r="R1" s="52"/>
    </row>
    <row r="2" spans="1:18">
      <c r="B2" s="1012" t="s">
        <v>1358</v>
      </c>
      <c r="C2" s="1012"/>
      <c r="D2" s="1012"/>
      <c r="E2" s="1012"/>
      <c r="F2" s="1012"/>
      <c r="G2" s="1012"/>
      <c r="H2" s="1012"/>
      <c r="I2" s="1012"/>
      <c r="J2" s="1012"/>
      <c r="K2" s="1012"/>
      <c r="L2" s="52"/>
      <c r="M2" s="52"/>
      <c r="N2" s="52"/>
      <c r="O2" s="52"/>
      <c r="P2" s="52"/>
      <c r="Q2" s="52"/>
      <c r="R2" s="52"/>
    </row>
    <row r="3" spans="1:18">
      <c r="B3" s="989" t="str">
        <f>Input!I29</f>
        <v>Utility Proxy Group</v>
      </c>
      <c r="C3" s="1012"/>
      <c r="D3" s="1012"/>
      <c r="E3" s="1012"/>
      <c r="F3" s="1012"/>
      <c r="G3" s="1012"/>
      <c r="H3" s="1012"/>
      <c r="I3" s="1012"/>
      <c r="J3" s="1012"/>
      <c r="K3" s="1012"/>
      <c r="L3" s="52"/>
      <c r="M3" s="52"/>
      <c r="N3" s="52"/>
      <c r="O3" s="52"/>
      <c r="P3" s="52"/>
      <c r="Q3" s="52"/>
      <c r="R3" s="52"/>
    </row>
    <row r="4" spans="1:18">
      <c r="B4" s="16"/>
      <c r="C4" s="16"/>
      <c r="D4" s="16"/>
      <c r="E4" s="16"/>
      <c r="F4" s="16"/>
      <c r="G4" s="16"/>
      <c r="H4" s="16"/>
      <c r="I4" s="16"/>
      <c r="J4" s="16"/>
      <c r="K4" s="16"/>
      <c r="L4" s="52"/>
      <c r="M4" s="52"/>
      <c r="N4" s="52"/>
      <c r="O4" s="52"/>
      <c r="P4" s="52"/>
      <c r="Q4" s="52"/>
      <c r="R4" s="52"/>
    </row>
    <row r="6" spans="1:18">
      <c r="E6" s="60" t="s">
        <v>140</v>
      </c>
      <c r="F6" s="60"/>
      <c r="G6" s="61"/>
      <c r="I6" s="1014" t="s">
        <v>141</v>
      </c>
      <c r="J6" s="1014"/>
      <c r="K6" s="1014"/>
    </row>
    <row r="7" spans="1:18" ht="15" customHeight="1">
      <c r="E7" s="60" t="s">
        <v>1356</v>
      </c>
      <c r="F7" s="60"/>
      <c r="G7" s="61"/>
      <c r="I7" s="60" t="s">
        <v>1356</v>
      </c>
      <c r="J7" s="60"/>
      <c r="K7" s="60"/>
    </row>
    <row r="8" spans="1:18">
      <c r="C8" s="52"/>
      <c r="D8" s="52"/>
      <c r="E8" s="62" t="str">
        <f>TEXT(Input!E2,"mmmm yyyy")</f>
        <v>December 2022</v>
      </c>
      <c r="F8" s="60"/>
      <c r="G8" s="61"/>
      <c r="I8" s="62" t="str">
        <f>E8</f>
        <v>December 2022</v>
      </c>
      <c r="J8" s="60"/>
      <c r="K8" s="60"/>
      <c r="L8" s="52"/>
      <c r="M8" s="52"/>
      <c r="N8" s="52"/>
      <c r="O8" s="52"/>
      <c r="P8" s="52"/>
      <c r="Q8" s="52"/>
      <c r="R8" s="52"/>
    </row>
    <row r="9" spans="1:18">
      <c r="C9" s="52"/>
      <c r="D9" s="52"/>
      <c r="G9" s="54"/>
      <c r="H9" s="52"/>
      <c r="L9" s="52"/>
      <c r="M9" s="52"/>
      <c r="N9" s="52"/>
      <c r="O9" s="52"/>
      <c r="P9" s="52"/>
      <c r="Q9" s="52"/>
      <c r="R9" s="52"/>
    </row>
    <row r="10" spans="1:18" ht="15" customHeight="1">
      <c r="B10" s="52"/>
      <c r="C10" s="52"/>
      <c r="D10" s="52"/>
      <c r="E10" s="16"/>
      <c r="G10" s="63"/>
      <c r="I10" s="16"/>
      <c r="K10" s="16"/>
      <c r="L10" s="52"/>
      <c r="M10" s="52"/>
      <c r="N10" s="52"/>
      <c r="O10" s="52"/>
      <c r="P10" s="52"/>
      <c r="Q10" s="52"/>
      <c r="R10" s="52"/>
    </row>
    <row r="11" spans="1:18" ht="47.25">
      <c r="B11" s="453" t="str">
        <f>'5.1 CAPM'!B7</f>
        <v>Proxy Group of Six Natural Gas Companies</v>
      </c>
      <c r="C11" s="454"/>
      <c r="D11" s="454"/>
      <c r="E11" s="455" t="s">
        <v>2955</v>
      </c>
      <c r="F11" s="17"/>
      <c r="G11" s="456" t="s">
        <v>2956</v>
      </c>
      <c r="H11" s="17"/>
      <c r="I11" s="455" t="str">
        <f>E11</f>
        <v>Long-Term Issuer Rating (1)</v>
      </c>
      <c r="J11" s="17"/>
      <c r="K11" s="456" t="s">
        <v>2956</v>
      </c>
      <c r="L11" s="454"/>
      <c r="M11" s="454"/>
      <c r="N11" s="454"/>
      <c r="O11" s="454"/>
      <c r="P11" s="454"/>
      <c r="Q11" s="454"/>
      <c r="R11" s="454"/>
    </row>
    <row r="12" spans="1:18" ht="15.75" customHeight="1">
      <c r="B12" s="19"/>
      <c r="C12" s="19"/>
      <c r="D12" s="454"/>
      <c r="E12" s="16"/>
      <c r="F12" s="16"/>
      <c r="G12" s="63"/>
      <c r="H12" s="16"/>
      <c r="I12" s="16"/>
      <c r="J12" s="16"/>
      <c r="K12" s="67"/>
      <c r="L12" s="454"/>
      <c r="M12" s="123"/>
      <c r="N12" s="123"/>
      <c r="O12" s="91"/>
      <c r="P12" s="454"/>
      <c r="Q12" s="454"/>
      <c r="R12" s="454"/>
    </row>
    <row r="13" spans="1:18" ht="15.75" customHeight="1">
      <c r="A13" s="13" t="str">
        <f>'5.1 CAPM'!A9</f>
        <v>ATO</v>
      </c>
      <c r="B13" s="545" t="str">
        <f>'Proxy Data Lookup'!B3</f>
        <v>Atmos Energy Corporation</v>
      </c>
      <c r="C13" s="92"/>
      <c r="D13" s="64"/>
      <c r="E13" s="16" t="str">
        <f>'Proxy Data Lookup'!O3</f>
        <v>A1</v>
      </c>
      <c r="F13" s="16"/>
      <c r="G13" s="65">
        <f>IFERROR(INDEX('4.6 Moody''s_S&amp;P numbericl'!D$6:D$26,MATCH('4.5 Bond Ratings'!E13,'4.6 Moody''s_S&amp;P numbericl'!B$6:B$26,0)), " - -")</f>
        <v>5</v>
      </c>
      <c r="H13" s="16"/>
      <c r="I13" s="16" t="str">
        <f>'Proxy Data Lookup'!N3</f>
        <v>A-</v>
      </c>
      <c r="J13" s="16"/>
      <c r="K13" s="65">
        <f>IFERROR(INDEX('4.6 Moody''s_S&amp;P numbericl'!H$6:H$26,MATCH('4.5 Bond Ratings'!I13,'4.6 Moody''s_S&amp;P numbericl'!F$6:F$26,0)), " - -")</f>
        <v>7</v>
      </c>
      <c r="M13" s="457"/>
      <c r="N13" s="457"/>
    </row>
    <row r="14" spans="1:18" ht="15.75" customHeight="1">
      <c r="A14" s="13" t="str">
        <f>'5.1 CAPM'!A10</f>
        <v>NJR</v>
      </c>
      <c r="B14" s="545" t="str">
        <f>'Proxy Data Lookup'!B4</f>
        <v>New Jersey Resources Corporation</v>
      </c>
      <c r="C14" s="92"/>
      <c r="D14" s="64"/>
      <c r="E14" s="16" t="str">
        <f>'Proxy Data Lookup'!O4</f>
        <v>A1</v>
      </c>
      <c r="F14" s="16"/>
      <c r="G14" s="65">
        <f>IFERROR(INDEX('4.6 Moody''s_S&amp;P numbericl'!D$6:D$26,MATCH('4.5 Bond Ratings'!E14,'4.6 Moody''s_S&amp;P numbericl'!B$6:B$26,0)), " - -")</f>
        <v>5</v>
      </c>
      <c r="H14" s="16"/>
      <c r="I14" s="16" t="str">
        <f>'Proxy Data Lookup'!N4</f>
        <v>NR</v>
      </c>
      <c r="J14" s="16"/>
      <c r="K14" s="65" t="str">
        <f>IFERROR(INDEX('4.6 Moody''s_S&amp;P numbericl'!H$6:H$26,MATCH('4.5 Bond Ratings'!I14,'4.6 Moody''s_S&amp;P numbericl'!F$6:F$26,0)), " - -")</f>
        <v xml:space="preserve"> - -</v>
      </c>
      <c r="M14" s="457"/>
      <c r="N14" s="457"/>
    </row>
    <row r="15" spans="1:18" ht="15.75" customHeight="1">
      <c r="A15" s="13" t="str">
        <f>'5.1 CAPM'!A11</f>
        <v>NI</v>
      </c>
      <c r="B15" s="545" t="str">
        <f>'Proxy Data Lookup'!B5</f>
        <v>NiSource Inc.</v>
      </c>
      <c r="C15" s="92"/>
      <c r="D15" s="64"/>
      <c r="E15" s="16" t="str">
        <f>'Proxy Data Lookup'!O5</f>
        <v>Baa1</v>
      </c>
      <c r="F15" s="16"/>
      <c r="G15" s="65">
        <f>IFERROR(INDEX('4.6 Moody''s_S&amp;P numbericl'!D$6:D$26,MATCH('4.5 Bond Ratings'!E15,'4.6 Moody''s_S&amp;P numbericl'!B$6:B$26,0)), " - -")</f>
        <v>8</v>
      </c>
      <c r="H15" s="16"/>
      <c r="I15" s="16" t="str">
        <f>'Proxy Data Lookup'!N5</f>
        <v>BBB+</v>
      </c>
      <c r="J15" s="16"/>
      <c r="K15" s="65">
        <f>IFERROR(INDEX('4.6 Moody''s_S&amp;P numbericl'!H$6:H$26,MATCH('4.5 Bond Ratings'!I15,'4.6 Moody''s_S&amp;P numbericl'!F$6:F$26,0)), " - -")</f>
        <v>8</v>
      </c>
      <c r="M15" s="457"/>
      <c r="N15" s="457"/>
    </row>
    <row r="16" spans="1:18" ht="15.75" customHeight="1">
      <c r="A16" s="13" t="str">
        <f>'5.1 CAPM'!A12</f>
        <v>NWN</v>
      </c>
      <c r="B16" s="545" t="str">
        <f>'Proxy Data Lookup'!B6</f>
        <v>Northwest Natural Holding Company</v>
      </c>
      <c r="C16" s="92"/>
      <c r="D16" s="64"/>
      <c r="E16" s="16" t="str">
        <f>'Proxy Data Lookup'!O6</f>
        <v>Baa1</v>
      </c>
      <c r="F16" s="16"/>
      <c r="G16" s="65">
        <f>IFERROR(INDEX('4.6 Moody''s_S&amp;P numbericl'!D$6:D$26,MATCH('4.5 Bond Ratings'!E16,'4.6 Moody''s_S&amp;P numbericl'!B$6:B$26,0)), " - -")</f>
        <v>8</v>
      </c>
      <c r="H16" s="16"/>
      <c r="I16" s="16" t="str">
        <f>'Proxy Data Lookup'!N6</f>
        <v>A+</v>
      </c>
      <c r="J16" s="16"/>
      <c r="K16" s="65">
        <f>IFERROR(INDEX('4.6 Moody''s_S&amp;P numbericl'!H$6:H$26,MATCH('4.5 Bond Ratings'!I16,'4.6 Moody''s_S&amp;P numbericl'!F$6:F$26,0)), " - -")</f>
        <v>5</v>
      </c>
      <c r="M16" s="457"/>
      <c r="N16" s="457"/>
    </row>
    <row r="17" spans="1:14" ht="15.75" customHeight="1">
      <c r="A17" s="13" t="str">
        <f>'5.1 CAPM'!A13</f>
        <v>OGS</v>
      </c>
      <c r="B17" s="545" t="str">
        <f>'Proxy Data Lookup'!B7</f>
        <v>ONE Gas, Inc.</v>
      </c>
      <c r="C17" s="92"/>
      <c r="D17" s="64"/>
      <c r="E17" s="16" t="str">
        <f>'Proxy Data Lookup'!O7</f>
        <v>A3</v>
      </c>
      <c r="F17" s="16"/>
      <c r="G17" s="65">
        <f>IFERROR(INDEX('4.6 Moody''s_S&amp;P numbericl'!D$6:D$26,MATCH('4.5 Bond Ratings'!E17,'4.6 Moody''s_S&amp;P numbericl'!B$6:B$26,0)), " - -")</f>
        <v>7</v>
      </c>
      <c r="H17" s="16"/>
      <c r="I17" s="16" t="str">
        <f>'Proxy Data Lookup'!N7</f>
        <v>A-</v>
      </c>
      <c r="J17" s="16"/>
      <c r="K17" s="65">
        <f>IFERROR(INDEX('4.6 Moody''s_S&amp;P numbericl'!H$6:H$26,MATCH('4.5 Bond Ratings'!I17,'4.6 Moody''s_S&amp;P numbericl'!F$6:F$26,0)), " - -")</f>
        <v>7</v>
      </c>
      <c r="M17" s="457"/>
      <c r="N17" s="457"/>
    </row>
    <row r="18" spans="1:14" ht="15.75" customHeight="1">
      <c r="A18" s="13" t="str">
        <f>'5.1 CAPM'!A14</f>
        <v>SR</v>
      </c>
      <c r="B18" s="545" t="str">
        <f>'Proxy Data Lookup'!B8</f>
        <v>Spire Inc.</v>
      </c>
      <c r="C18" s="92"/>
      <c r="D18" s="64"/>
      <c r="E18" s="16" t="str">
        <f>'Proxy Data Lookup'!O8</f>
        <v>A1/A2</v>
      </c>
      <c r="F18" s="16"/>
      <c r="G18" s="65">
        <v>5.5</v>
      </c>
      <c r="H18" s="16"/>
      <c r="I18" s="16" t="str">
        <f>'Proxy Data Lookup'!N8</f>
        <v>A-</v>
      </c>
      <c r="J18" s="16"/>
      <c r="K18" s="65">
        <f>IFERROR(INDEX('4.6 Moody''s_S&amp;P numbericl'!H$6:H$26,MATCH('4.5 Bond Ratings'!I18,'4.6 Moody''s_S&amp;P numbericl'!F$6:F$26,0)), " - -")</f>
        <v>7</v>
      </c>
      <c r="M18" s="457"/>
      <c r="N18" s="457"/>
    </row>
    <row r="19" spans="1:14" ht="15.75" customHeight="1">
      <c r="B19" s="64"/>
      <c r="C19" s="92"/>
      <c r="E19" s="458"/>
      <c r="F19" s="16"/>
      <c r="G19" s="459"/>
      <c r="H19" s="16"/>
      <c r="I19" s="458"/>
      <c r="J19" s="16"/>
      <c r="K19" s="459"/>
    </row>
    <row r="20" spans="1:14" ht="15.75" customHeight="1" thickBot="1">
      <c r="B20" s="460"/>
      <c r="C20" s="461" t="s">
        <v>80</v>
      </c>
      <c r="D20" s="460"/>
      <c r="E20" s="94" t="s">
        <v>189</v>
      </c>
      <c r="F20" s="460"/>
      <c r="G20" s="93">
        <f>ROUND(AVERAGE(G12:G19),1)</f>
        <v>6.4</v>
      </c>
      <c r="H20" s="16"/>
      <c r="I20" s="94" t="s">
        <v>193</v>
      </c>
      <c r="J20" s="16"/>
      <c r="K20" s="93">
        <f>ROUND(AVERAGE(K12:K19),1)</f>
        <v>6.8</v>
      </c>
    </row>
    <row r="21" spans="1:14" ht="15.75" customHeight="1" thickTop="1">
      <c r="C21" s="66"/>
      <c r="D21" s="66"/>
      <c r="E21" s="66"/>
      <c r="F21" s="66"/>
      <c r="G21" s="16"/>
      <c r="H21" s="16"/>
      <c r="I21" s="64"/>
      <c r="J21" s="16"/>
      <c r="K21" s="16"/>
      <c r="M21" s="74"/>
    </row>
    <row r="22" spans="1:14" ht="15.75" customHeight="1">
      <c r="B22" s="68" t="s">
        <v>94</v>
      </c>
      <c r="C22" s="66"/>
      <c r="D22" s="66"/>
      <c r="E22" s="66"/>
      <c r="F22" s="66"/>
      <c r="G22" s="16"/>
      <c r="H22" s="16"/>
      <c r="I22" s="64"/>
      <c r="J22" s="16"/>
      <c r="K22" s="16"/>
      <c r="M22" s="74"/>
    </row>
    <row r="23" spans="1:14" ht="30" customHeight="1">
      <c r="B23" s="469" t="s">
        <v>95</v>
      </c>
      <c r="C23" s="988" t="s">
        <v>2957</v>
      </c>
      <c r="D23" s="988"/>
      <c r="E23" s="988"/>
      <c r="F23" s="988"/>
      <c r="G23" s="988"/>
      <c r="H23" s="988"/>
      <c r="I23" s="988"/>
      <c r="J23" s="988"/>
      <c r="K23" s="988"/>
    </row>
    <row r="24" spans="1:14" ht="15" customHeight="1">
      <c r="B24" s="95" t="s">
        <v>96</v>
      </c>
      <c r="C24" s="96" t="s">
        <v>4434</v>
      </c>
      <c r="D24" s="96"/>
      <c r="E24" s="66"/>
      <c r="F24" s="66"/>
      <c r="G24" s="66"/>
      <c r="H24" s="66"/>
      <c r="I24" s="66"/>
      <c r="J24" s="66"/>
      <c r="K24" s="66"/>
    </row>
    <row r="25" spans="1:14">
      <c r="G25" s="16"/>
      <c r="H25" s="16"/>
      <c r="I25" s="64"/>
      <c r="J25" s="16"/>
      <c r="K25" s="16"/>
    </row>
    <row r="26" spans="1:14">
      <c r="B26" s="18" t="s">
        <v>197</v>
      </c>
      <c r="C26" s="13" t="s">
        <v>4235</v>
      </c>
      <c r="G26" s="16"/>
      <c r="H26" s="16"/>
      <c r="I26" s="64"/>
      <c r="J26" s="16"/>
      <c r="K26" s="16"/>
    </row>
    <row r="27" spans="1:14">
      <c r="C27" s="13" t="s">
        <v>4236</v>
      </c>
      <c r="G27" s="16"/>
      <c r="H27" s="16"/>
      <c r="I27" s="64"/>
      <c r="J27" s="16"/>
      <c r="K27" s="16"/>
    </row>
    <row r="28" spans="1:14">
      <c r="G28" s="16"/>
      <c r="H28" s="16"/>
      <c r="I28" s="64"/>
      <c r="J28" s="16"/>
      <c r="K28" s="16"/>
    </row>
    <row r="29" spans="1:14">
      <c r="G29" s="16"/>
      <c r="H29" s="16"/>
      <c r="I29" s="64"/>
      <c r="J29" s="16"/>
      <c r="K29" s="16"/>
    </row>
    <row r="30" spans="1:14">
      <c r="G30" s="16"/>
      <c r="H30" s="16"/>
      <c r="I30" s="64"/>
      <c r="J30" s="16"/>
      <c r="K30" s="16"/>
    </row>
    <row r="31" spans="1:14">
      <c r="G31" s="16"/>
      <c r="H31" s="16"/>
      <c r="I31" s="64"/>
      <c r="J31" s="16"/>
      <c r="K31" s="16"/>
    </row>
    <row r="32" spans="1:14">
      <c r="G32" s="16"/>
      <c r="H32" s="16"/>
      <c r="I32" s="64"/>
      <c r="J32" s="16"/>
      <c r="K32" s="16"/>
    </row>
    <row r="33" spans="7:11">
      <c r="G33" s="16"/>
      <c r="H33" s="16"/>
      <c r="I33" s="64"/>
      <c r="J33" s="16"/>
      <c r="K33" s="16"/>
    </row>
    <row r="34" spans="7:11">
      <c r="G34" s="16"/>
      <c r="H34" s="16"/>
      <c r="I34" s="64"/>
      <c r="J34" s="16"/>
      <c r="K34" s="16"/>
    </row>
    <row r="35" spans="7:11">
      <c r="G35" s="16"/>
      <c r="H35" s="16"/>
      <c r="I35" s="64"/>
      <c r="J35" s="16"/>
      <c r="K35" s="16"/>
    </row>
    <row r="36" spans="7:11">
      <c r="G36" s="16"/>
      <c r="H36" s="16"/>
      <c r="I36" s="64"/>
      <c r="J36" s="16"/>
      <c r="K36" s="16"/>
    </row>
    <row r="37" spans="7:11">
      <c r="G37" s="16"/>
      <c r="H37" s="16"/>
      <c r="I37" s="64"/>
      <c r="J37" s="16"/>
      <c r="K37" s="16"/>
    </row>
    <row r="38" spans="7:11">
      <c r="G38" s="16"/>
      <c r="H38" s="16"/>
      <c r="I38" s="64"/>
      <c r="J38" s="16"/>
      <c r="K38" s="16"/>
    </row>
    <row r="39" spans="7:11">
      <c r="G39" s="16"/>
      <c r="H39" s="16"/>
      <c r="I39" s="64"/>
      <c r="J39" s="16"/>
      <c r="K39" s="16"/>
    </row>
    <row r="40" spans="7:11">
      <c r="G40" s="16"/>
      <c r="H40" s="16"/>
      <c r="I40" s="64"/>
      <c r="J40" s="16"/>
      <c r="K40" s="16"/>
    </row>
    <row r="41" spans="7:11">
      <c r="G41" s="16"/>
      <c r="H41" s="16"/>
      <c r="I41" s="64"/>
      <c r="J41" s="16"/>
      <c r="K41" s="16"/>
    </row>
    <row r="42" spans="7:11">
      <c r="G42" s="16"/>
      <c r="H42" s="16"/>
      <c r="I42" s="64"/>
      <c r="J42" s="16"/>
      <c r="K42" s="16"/>
    </row>
    <row r="43" spans="7:11">
      <c r="G43" s="16"/>
      <c r="H43" s="16"/>
      <c r="I43" s="64"/>
      <c r="J43" s="16"/>
      <c r="K43" s="16"/>
    </row>
    <row r="44" spans="7:11">
      <c r="G44" s="16"/>
      <c r="H44" s="16"/>
      <c r="I44" s="64"/>
      <c r="J44" s="16"/>
      <c r="K44" s="16"/>
    </row>
    <row r="45" spans="7:11">
      <c r="G45" s="16"/>
      <c r="H45" s="16"/>
      <c r="I45" s="64"/>
      <c r="J45" s="16"/>
      <c r="K45" s="16"/>
    </row>
    <row r="46" spans="7:11">
      <c r="G46" s="16"/>
      <c r="H46" s="16"/>
      <c r="I46" s="64"/>
      <c r="J46" s="16"/>
      <c r="K46" s="16"/>
    </row>
    <row r="47" spans="7:11">
      <c r="G47" s="16"/>
      <c r="H47" s="16"/>
      <c r="I47" s="64"/>
      <c r="J47" s="16"/>
      <c r="K47" s="16"/>
    </row>
    <row r="48" spans="7:11">
      <c r="G48" s="16"/>
      <c r="H48" s="16"/>
      <c r="I48" s="64"/>
      <c r="J48" s="16"/>
      <c r="K48" s="16"/>
    </row>
    <row r="49" spans="3:11">
      <c r="G49" s="16"/>
      <c r="H49" s="16"/>
      <c r="I49" s="64"/>
      <c r="J49" s="16"/>
      <c r="K49" s="16"/>
    </row>
    <row r="50" spans="3:11">
      <c r="C50" s="52"/>
      <c r="D50" s="52"/>
      <c r="E50" s="52"/>
      <c r="F50" s="52"/>
      <c r="G50" s="16"/>
      <c r="H50" s="16"/>
      <c r="I50" s="64"/>
      <c r="J50" s="16"/>
      <c r="K50" s="16"/>
    </row>
    <row r="51" spans="3:11">
      <c r="C51" s="52"/>
      <c r="D51" s="52"/>
      <c r="E51" s="52"/>
      <c r="F51" s="52"/>
      <c r="G51" s="16"/>
      <c r="H51" s="16"/>
      <c r="I51" s="64"/>
      <c r="J51" s="16"/>
      <c r="K51" s="16"/>
    </row>
    <row r="52" spans="3:11">
      <c r="C52" s="52"/>
      <c r="D52" s="52"/>
      <c r="E52" s="52"/>
      <c r="F52" s="52"/>
      <c r="G52" s="16"/>
      <c r="H52" s="16"/>
      <c r="I52" s="64"/>
      <c r="J52" s="16"/>
      <c r="K52" s="16"/>
    </row>
    <row r="53" spans="3:11">
      <c r="C53" s="52"/>
      <c r="D53" s="52"/>
      <c r="E53" s="52"/>
      <c r="F53" s="52"/>
      <c r="G53" s="16"/>
      <c r="H53" s="16"/>
      <c r="I53" s="64"/>
      <c r="J53" s="16"/>
      <c r="K53" s="16"/>
    </row>
    <row r="54" spans="3:11">
      <c r="C54" s="52"/>
      <c r="D54" s="52"/>
      <c r="E54" s="52"/>
      <c r="F54" s="52"/>
      <c r="G54" s="16"/>
      <c r="H54" s="16"/>
      <c r="I54" s="64"/>
      <c r="J54" s="16"/>
      <c r="K54" s="16"/>
    </row>
    <row r="55" spans="3:11">
      <c r="C55" s="52"/>
      <c r="D55" s="52"/>
      <c r="E55" s="52"/>
      <c r="F55" s="52"/>
      <c r="G55" s="16"/>
      <c r="H55" s="16"/>
      <c r="I55" s="64"/>
      <c r="J55" s="16"/>
      <c r="K55" s="16"/>
    </row>
    <row r="56" spans="3:11">
      <c r="C56" s="52"/>
      <c r="D56" s="52"/>
      <c r="E56" s="52"/>
      <c r="F56" s="52"/>
      <c r="G56" s="16"/>
      <c r="H56" s="16"/>
      <c r="I56" s="64"/>
      <c r="J56" s="16"/>
      <c r="K56" s="16"/>
    </row>
    <row r="57" spans="3:11">
      <c r="C57" s="52"/>
      <c r="D57" s="52"/>
      <c r="E57" s="52"/>
      <c r="F57" s="52"/>
      <c r="G57" s="16"/>
      <c r="H57" s="16"/>
      <c r="I57" s="64"/>
      <c r="J57" s="16"/>
      <c r="K57" s="16"/>
    </row>
    <row r="58" spans="3:11">
      <c r="C58" s="52"/>
      <c r="D58" s="52"/>
      <c r="E58" s="52"/>
      <c r="F58" s="52"/>
      <c r="G58" s="16"/>
      <c r="H58" s="16"/>
      <c r="I58" s="64"/>
      <c r="J58" s="16"/>
      <c r="K58" s="16"/>
    </row>
    <row r="59" spans="3:11">
      <c r="C59" s="52"/>
      <c r="D59" s="52"/>
      <c r="E59" s="52"/>
      <c r="F59" s="52"/>
      <c r="G59" s="16"/>
      <c r="H59" s="16"/>
      <c r="I59" s="64"/>
      <c r="J59" s="16"/>
      <c r="K59" s="16"/>
    </row>
    <row r="60" spans="3:11">
      <c r="C60" s="52"/>
      <c r="D60" s="52"/>
      <c r="E60" s="52"/>
      <c r="F60" s="52"/>
      <c r="G60" s="16"/>
      <c r="H60" s="16"/>
      <c r="I60" s="64"/>
      <c r="J60" s="16"/>
      <c r="K60" s="16"/>
    </row>
    <row r="61" spans="3:11">
      <c r="C61" s="18"/>
      <c r="D61" s="52"/>
      <c r="E61" s="52"/>
      <c r="F61" s="52"/>
      <c r="G61" s="16"/>
      <c r="H61" s="16"/>
      <c r="I61" s="64"/>
      <c r="J61" s="16"/>
      <c r="K61" s="16"/>
    </row>
    <row r="62" spans="3:11">
      <c r="C62" s="52"/>
      <c r="D62" s="52"/>
      <c r="E62" s="52"/>
      <c r="F62" s="52"/>
      <c r="G62" s="16"/>
      <c r="H62" s="16"/>
      <c r="I62" s="64"/>
      <c r="J62" s="16"/>
      <c r="K62" s="16"/>
    </row>
    <row r="63" spans="3:11">
      <c r="C63" s="52"/>
      <c r="D63" s="52"/>
      <c r="E63" s="52"/>
      <c r="F63" s="52"/>
      <c r="G63" s="16"/>
      <c r="H63" s="16"/>
      <c r="I63" s="64"/>
      <c r="J63" s="16"/>
      <c r="K63" s="16"/>
    </row>
    <row r="64" spans="3:11">
      <c r="C64" s="52"/>
      <c r="D64" s="52"/>
      <c r="E64" s="52"/>
      <c r="F64" s="52"/>
      <c r="G64" s="16"/>
      <c r="H64" s="16"/>
      <c r="I64" s="64"/>
      <c r="J64" s="16"/>
      <c r="K64" s="16"/>
    </row>
    <row r="65" spans="3:11">
      <c r="C65" s="52"/>
      <c r="D65" s="52"/>
      <c r="E65" s="52"/>
      <c r="F65" s="52"/>
      <c r="G65" s="16"/>
      <c r="H65" s="16"/>
      <c r="I65" s="64"/>
      <c r="J65" s="16"/>
      <c r="K65" s="16"/>
    </row>
    <row r="66" spans="3:11">
      <c r="C66" s="52"/>
      <c r="D66" s="52"/>
      <c r="E66" s="52"/>
      <c r="F66" s="52"/>
      <c r="G66" s="16"/>
      <c r="H66" s="16"/>
      <c r="I66" s="64"/>
      <c r="J66" s="16"/>
      <c r="K66" s="16"/>
    </row>
    <row r="67" spans="3:11">
      <c r="C67" s="52"/>
      <c r="D67" s="52"/>
      <c r="E67" s="52"/>
      <c r="F67" s="52"/>
      <c r="G67" s="16"/>
      <c r="H67" s="16"/>
      <c r="I67" s="64"/>
      <c r="J67" s="16"/>
      <c r="K67" s="16"/>
    </row>
    <row r="68" spans="3:11">
      <c r="C68" s="52"/>
      <c r="D68" s="52"/>
      <c r="E68" s="52"/>
      <c r="F68" s="52"/>
      <c r="G68" s="16"/>
      <c r="H68" s="16"/>
      <c r="I68" s="64"/>
      <c r="J68" s="16"/>
      <c r="K68" s="16"/>
    </row>
    <row r="69" spans="3:11">
      <c r="C69" s="52"/>
      <c r="D69" s="52"/>
      <c r="E69" s="52"/>
      <c r="F69" s="52"/>
      <c r="G69" s="16"/>
      <c r="H69" s="16"/>
      <c r="I69" s="64"/>
      <c r="J69" s="16"/>
      <c r="K69" s="16"/>
    </row>
    <row r="70" spans="3:11">
      <c r="C70" s="52"/>
      <c r="D70" s="52"/>
      <c r="E70" s="52"/>
      <c r="F70" s="52"/>
      <c r="G70" s="16"/>
      <c r="H70" s="16"/>
      <c r="I70" s="64"/>
      <c r="J70" s="16"/>
      <c r="K70" s="16"/>
    </row>
    <row r="71" spans="3:11">
      <c r="C71" s="52"/>
      <c r="D71" s="52"/>
      <c r="E71" s="52"/>
      <c r="F71" s="52"/>
      <c r="G71" s="16"/>
      <c r="H71" s="16"/>
      <c r="I71" s="64"/>
      <c r="J71" s="16"/>
      <c r="K71" s="16"/>
    </row>
    <row r="72" spans="3:11">
      <c r="C72" s="52"/>
      <c r="D72" s="52"/>
      <c r="E72" s="52"/>
      <c r="F72" s="52"/>
      <c r="G72" s="16"/>
      <c r="H72" s="16"/>
      <c r="I72" s="64"/>
      <c r="J72" s="16"/>
      <c r="K72" s="16"/>
    </row>
    <row r="73" spans="3:11">
      <c r="C73" s="52"/>
      <c r="D73" s="52"/>
      <c r="E73" s="52"/>
      <c r="F73" s="52"/>
      <c r="G73" s="16"/>
      <c r="H73" s="16"/>
      <c r="I73" s="64"/>
      <c r="J73" s="16"/>
      <c r="K73" s="16"/>
    </row>
    <row r="74" spans="3:11">
      <c r="C74" s="52"/>
      <c r="D74" s="52"/>
      <c r="E74" s="52"/>
      <c r="F74" s="52"/>
      <c r="G74" s="16"/>
      <c r="H74" s="16"/>
      <c r="I74" s="64"/>
      <c r="J74" s="16"/>
      <c r="K74" s="16"/>
    </row>
    <row r="75" spans="3:11">
      <c r="C75" s="52"/>
      <c r="D75" s="52"/>
      <c r="E75" s="52"/>
      <c r="F75" s="52"/>
      <c r="G75" s="16"/>
      <c r="H75" s="16"/>
      <c r="I75" s="64"/>
      <c r="J75" s="16"/>
      <c r="K75" s="16"/>
    </row>
    <row r="76" spans="3:11">
      <c r="C76" s="52"/>
      <c r="D76" s="52"/>
      <c r="E76" s="52"/>
      <c r="F76" s="52"/>
      <c r="G76" s="16"/>
      <c r="H76" s="16"/>
      <c r="I76" s="64"/>
      <c r="J76" s="16"/>
      <c r="K76" s="16"/>
    </row>
    <row r="77" spans="3:11">
      <c r="C77" s="52"/>
      <c r="D77" s="52"/>
      <c r="E77" s="52"/>
      <c r="F77" s="52"/>
      <c r="G77" s="16"/>
      <c r="H77" s="16"/>
      <c r="I77" s="64"/>
      <c r="J77" s="16"/>
      <c r="K77" s="16"/>
    </row>
    <row r="78" spans="3:11">
      <c r="C78" s="52"/>
      <c r="D78" s="52"/>
      <c r="E78" s="52"/>
      <c r="F78" s="52"/>
      <c r="G78" s="16"/>
      <c r="H78" s="16"/>
      <c r="I78" s="64"/>
      <c r="J78" s="16"/>
      <c r="K78" s="16"/>
    </row>
    <row r="79" spans="3:11">
      <c r="C79" s="52"/>
      <c r="D79" s="52"/>
      <c r="E79" s="52"/>
      <c r="F79" s="52"/>
      <c r="G79" s="16"/>
      <c r="H79" s="16"/>
      <c r="I79" s="64"/>
      <c r="J79" s="16"/>
      <c r="K79" s="16"/>
    </row>
    <row r="80" spans="3:11">
      <c r="C80" s="52"/>
      <c r="D80" s="52"/>
      <c r="E80" s="52"/>
      <c r="F80" s="52"/>
      <c r="G80" s="16"/>
      <c r="H80" s="16"/>
      <c r="I80" s="64"/>
      <c r="J80" s="16"/>
      <c r="K80" s="16"/>
    </row>
    <row r="81" spans="3:11">
      <c r="C81" s="52"/>
      <c r="D81" s="52"/>
      <c r="E81" s="52"/>
      <c r="F81" s="52"/>
      <c r="G81" s="16"/>
      <c r="H81" s="16"/>
      <c r="I81" s="64"/>
      <c r="J81" s="16"/>
      <c r="K81" s="16"/>
    </row>
    <row r="82" spans="3:11">
      <c r="G82" s="16"/>
      <c r="H82" s="16"/>
      <c r="I82" s="64"/>
      <c r="J82" s="16"/>
      <c r="K82" s="16"/>
    </row>
    <row r="83" spans="3:11">
      <c r="G83" s="16"/>
      <c r="H83" s="16"/>
      <c r="I83" s="64"/>
      <c r="J83" s="16"/>
      <c r="K83" s="16"/>
    </row>
    <row r="84" spans="3:11">
      <c r="G84" s="16"/>
      <c r="H84" s="16"/>
      <c r="I84" s="64"/>
      <c r="J84" s="16"/>
      <c r="K84" s="16"/>
    </row>
    <row r="85" spans="3:11">
      <c r="G85" s="16"/>
      <c r="H85" s="16"/>
      <c r="I85" s="64"/>
      <c r="J85" s="16"/>
      <c r="K85" s="16"/>
    </row>
    <row r="86" spans="3:11">
      <c r="G86" s="16"/>
      <c r="H86" s="16"/>
      <c r="I86" s="64"/>
      <c r="J86" s="16"/>
      <c r="K86" s="16"/>
    </row>
    <row r="87" spans="3:11">
      <c r="G87" s="16"/>
      <c r="H87" s="16"/>
      <c r="I87" s="64"/>
      <c r="J87" s="16"/>
      <c r="K87" s="16"/>
    </row>
    <row r="88" spans="3:11">
      <c r="G88" s="16"/>
      <c r="H88" s="16"/>
      <c r="I88" s="64"/>
      <c r="J88" s="16"/>
      <c r="K88" s="16"/>
    </row>
    <row r="89" spans="3:11">
      <c r="G89" s="16"/>
      <c r="H89" s="16"/>
      <c r="I89" s="64"/>
      <c r="J89" s="16"/>
      <c r="K89" s="16"/>
    </row>
    <row r="90" spans="3:11">
      <c r="G90" s="16"/>
      <c r="H90" s="16"/>
      <c r="I90" s="64"/>
      <c r="J90" s="16"/>
      <c r="K90" s="16"/>
    </row>
    <row r="91" spans="3:11">
      <c r="G91" s="16"/>
      <c r="H91" s="16"/>
      <c r="I91" s="64"/>
      <c r="J91" s="16"/>
      <c r="K91" s="16"/>
    </row>
    <row r="92" spans="3:11">
      <c r="G92" s="16"/>
      <c r="H92" s="16"/>
      <c r="I92" s="64"/>
      <c r="J92" s="16"/>
      <c r="K92" s="16"/>
    </row>
    <row r="93" spans="3:11">
      <c r="G93" s="16"/>
      <c r="H93" s="16"/>
      <c r="I93" s="64"/>
      <c r="J93" s="16"/>
      <c r="K93" s="16"/>
    </row>
    <row r="94" spans="3:11">
      <c r="G94" s="16"/>
      <c r="H94" s="16"/>
      <c r="I94" s="64"/>
      <c r="J94" s="16"/>
      <c r="K94" s="16"/>
    </row>
    <row r="95" spans="3:11">
      <c r="G95" s="16"/>
      <c r="H95" s="16"/>
      <c r="I95" s="64"/>
      <c r="J95" s="16"/>
      <c r="K95" s="16"/>
    </row>
    <row r="96" spans="3:11">
      <c r="G96" s="16"/>
      <c r="H96" s="16"/>
      <c r="I96" s="64"/>
      <c r="J96" s="16"/>
      <c r="K96" s="16"/>
    </row>
    <row r="97" spans="7:11">
      <c r="G97" s="16"/>
      <c r="H97" s="16"/>
      <c r="I97" s="64"/>
      <c r="J97" s="16"/>
      <c r="K97" s="16"/>
    </row>
    <row r="98" spans="7:11">
      <c r="G98" s="16"/>
      <c r="H98" s="16"/>
      <c r="I98" s="64"/>
      <c r="J98" s="16"/>
      <c r="K98" s="16"/>
    </row>
    <row r="99" spans="7:11">
      <c r="G99" s="16"/>
      <c r="H99" s="16"/>
      <c r="I99" s="64"/>
      <c r="J99" s="16"/>
      <c r="K99" s="16"/>
    </row>
    <row r="100" spans="7:11">
      <c r="G100" s="16"/>
      <c r="H100" s="16"/>
      <c r="I100" s="64"/>
      <c r="J100" s="16"/>
      <c r="K100" s="16"/>
    </row>
    <row r="101" spans="7:11">
      <c r="G101" s="16"/>
      <c r="H101" s="16"/>
      <c r="I101" s="64"/>
      <c r="J101" s="16"/>
      <c r="K101" s="16"/>
    </row>
    <row r="102" spans="7:11">
      <c r="G102" s="16"/>
      <c r="H102" s="16"/>
      <c r="I102" s="64"/>
      <c r="J102" s="16"/>
      <c r="K102" s="16"/>
    </row>
    <row r="103" spans="7:11">
      <c r="G103" s="16"/>
      <c r="H103" s="16"/>
      <c r="I103" s="64"/>
      <c r="J103" s="16"/>
      <c r="K103" s="16"/>
    </row>
    <row r="104" spans="7:11">
      <c r="G104" s="16"/>
      <c r="H104" s="16"/>
      <c r="I104" s="64"/>
      <c r="J104" s="16"/>
      <c r="K104" s="16"/>
    </row>
    <row r="105" spans="7:11">
      <c r="G105" s="16"/>
      <c r="H105" s="16"/>
      <c r="I105" s="64"/>
      <c r="J105" s="16"/>
      <c r="K105" s="16"/>
    </row>
    <row r="106" spans="7:11">
      <c r="G106" s="16"/>
      <c r="H106" s="16"/>
      <c r="I106" s="64"/>
      <c r="J106" s="16"/>
      <c r="K106" s="16"/>
    </row>
    <row r="107" spans="7:11">
      <c r="G107" s="16"/>
      <c r="H107" s="16"/>
      <c r="I107" s="64"/>
      <c r="J107" s="16"/>
      <c r="K107" s="16"/>
    </row>
    <row r="108" spans="7:11">
      <c r="G108" s="16"/>
      <c r="H108" s="16"/>
      <c r="I108" s="64"/>
      <c r="J108" s="16"/>
      <c r="K108" s="16"/>
    </row>
    <row r="109" spans="7:11">
      <c r="G109" s="16"/>
      <c r="H109" s="16"/>
      <c r="I109" s="64"/>
      <c r="J109" s="16"/>
      <c r="K109" s="16"/>
    </row>
    <row r="110" spans="7:11">
      <c r="G110" s="16"/>
      <c r="H110" s="16"/>
      <c r="I110" s="64"/>
      <c r="J110" s="16"/>
      <c r="K110" s="16"/>
    </row>
    <row r="111" spans="7:11">
      <c r="G111" s="16"/>
      <c r="H111" s="16"/>
      <c r="I111" s="64"/>
      <c r="J111" s="16"/>
      <c r="K111" s="16"/>
    </row>
    <row r="112" spans="7:11">
      <c r="G112" s="16"/>
      <c r="H112" s="16"/>
      <c r="I112" s="64"/>
      <c r="J112" s="16"/>
      <c r="K112" s="16"/>
    </row>
    <row r="113" spans="7:11">
      <c r="G113" s="16"/>
      <c r="H113" s="16"/>
      <c r="I113" s="64"/>
      <c r="J113" s="16"/>
      <c r="K113" s="16"/>
    </row>
    <row r="114" spans="7:11">
      <c r="G114" s="16"/>
      <c r="H114" s="16"/>
      <c r="I114" s="64"/>
      <c r="J114" s="16"/>
      <c r="K114" s="16"/>
    </row>
    <row r="115" spans="7:11">
      <c r="G115" s="16"/>
      <c r="H115" s="16"/>
      <c r="I115" s="64"/>
      <c r="J115" s="16"/>
      <c r="K115" s="16"/>
    </row>
    <row r="116" spans="7:11">
      <c r="G116" s="16"/>
      <c r="H116" s="16"/>
      <c r="I116" s="64"/>
      <c r="J116" s="16"/>
      <c r="K116" s="16"/>
    </row>
    <row r="117" spans="7:11">
      <c r="G117" s="16"/>
      <c r="H117" s="16"/>
      <c r="I117" s="64"/>
      <c r="J117" s="16"/>
      <c r="K117" s="16"/>
    </row>
    <row r="118" spans="7:11">
      <c r="G118" s="16"/>
      <c r="H118" s="16"/>
      <c r="I118" s="64"/>
      <c r="J118" s="16"/>
      <c r="K118" s="16"/>
    </row>
    <row r="119" spans="7:11">
      <c r="G119" s="16"/>
      <c r="H119" s="16"/>
      <c r="I119" s="64"/>
      <c r="J119" s="16"/>
      <c r="K119" s="16"/>
    </row>
    <row r="120" spans="7:11">
      <c r="G120" s="16"/>
      <c r="H120" s="16"/>
      <c r="I120" s="64"/>
      <c r="J120" s="16"/>
      <c r="K120" s="16"/>
    </row>
    <row r="121" spans="7:11">
      <c r="G121" s="16"/>
      <c r="H121" s="16"/>
      <c r="I121" s="64"/>
      <c r="J121" s="16"/>
      <c r="K121" s="16"/>
    </row>
    <row r="122" spans="7:11">
      <c r="G122" s="16"/>
      <c r="H122" s="16"/>
      <c r="I122" s="64"/>
      <c r="J122" s="16"/>
      <c r="K122" s="16"/>
    </row>
    <row r="123" spans="7:11">
      <c r="G123" s="16"/>
      <c r="H123" s="16"/>
      <c r="I123" s="64"/>
      <c r="J123" s="16"/>
      <c r="K123" s="16"/>
    </row>
    <row r="124" spans="7:11">
      <c r="G124" s="16"/>
      <c r="H124" s="16"/>
      <c r="I124" s="64"/>
      <c r="J124" s="16"/>
      <c r="K124" s="16"/>
    </row>
    <row r="125" spans="7:11">
      <c r="G125" s="16"/>
      <c r="H125" s="16"/>
      <c r="I125" s="64"/>
      <c r="J125" s="16"/>
      <c r="K125" s="16"/>
    </row>
    <row r="126" spans="7:11">
      <c r="G126" s="16"/>
      <c r="H126" s="16"/>
      <c r="I126" s="64"/>
      <c r="J126" s="16"/>
      <c r="K126" s="16"/>
    </row>
    <row r="127" spans="7:11">
      <c r="G127" s="16"/>
      <c r="H127" s="16"/>
      <c r="I127" s="64"/>
      <c r="J127" s="16"/>
      <c r="K127" s="16"/>
    </row>
    <row r="128" spans="7:11">
      <c r="G128" s="16"/>
      <c r="H128" s="16"/>
      <c r="I128" s="64"/>
      <c r="J128" s="16"/>
      <c r="K128" s="16"/>
    </row>
    <row r="129" spans="7:11">
      <c r="G129" s="16"/>
      <c r="H129" s="16"/>
      <c r="I129" s="64"/>
      <c r="J129" s="16"/>
      <c r="K129" s="16"/>
    </row>
    <row r="130" spans="7:11">
      <c r="G130" s="16"/>
      <c r="H130" s="16"/>
      <c r="I130" s="64"/>
      <c r="J130" s="16"/>
      <c r="K130" s="16"/>
    </row>
    <row r="131" spans="7:11">
      <c r="G131" s="16"/>
      <c r="H131" s="16"/>
      <c r="I131" s="64"/>
      <c r="J131" s="16"/>
      <c r="K131" s="16"/>
    </row>
    <row r="132" spans="7:11">
      <c r="G132" s="16"/>
      <c r="H132" s="16"/>
      <c r="I132" s="64"/>
      <c r="J132" s="16"/>
      <c r="K132" s="16"/>
    </row>
    <row r="133" spans="7:11">
      <c r="G133" s="16"/>
      <c r="H133" s="16"/>
      <c r="I133" s="64"/>
      <c r="J133" s="16"/>
      <c r="K133" s="16"/>
    </row>
    <row r="134" spans="7:11">
      <c r="G134" s="16"/>
      <c r="H134" s="16"/>
      <c r="I134" s="64"/>
      <c r="J134" s="16"/>
      <c r="K134" s="16"/>
    </row>
    <row r="135" spans="7:11">
      <c r="G135" s="16"/>
      <c r="H135" s="16"/>
      <c r="I135" s="64"/>
      <c r="J135" s="16"/>
      <c r="K135" s="16"/>
    </row>
    <row r="136" spans="7:11">
      <c r="G136" s="16"/>
      <c r="H136" s="16"/>
      <c r="I136" s="64"/>
      <c r="J136" s="16"/>
      <c r="K136" s="16"/>
    </row>
    <row r="137" spans="7:11">
      <c r="G137" s="16"/>
      <c r="H137" s="16"/>
      <c r="I137" s="64"/>
      <c r="J137" s="16"/>
      <c r="K137" s="16"/>
    </row>
    <row r="138" spans="7:11">
      <c r="G138" s="16"/>
      <c r="H138" s="16"/>
      <c r="I138" s="64"/>
      <c r="J138" s="16"/>
      <c r="K138" s="16"/>
    </row>
    <row r="139" spans="7:11">
      <c r="G139" s="16"/>
      <c r="H139" s="16"/>
      <c r="I139" s="64"/>
      <c r="J139" s="16"/>
      <c r="K139" s="16"/>
    </row>
    <row r="140" spans="7:11">
      <c r="G140" s="16"/>
      <c r="H140" s="16"/>
      <c r="I140" s="64"/>
      <c r="J140" s="16"/>
      <c r="K140" s="16"/>
    </row>
    <row r="141" spans="7:11">
      <c r="G141" s="16"/>
      <c r="H141" s="16"/>
      <c r="I141" s="64"/>
      <c r="J141" s="16"/>
      <c r="K141" s="16"/>
    </row>
    <row r="142" spans="7:11">
      <c r="G142" s="16"/>
      <c r="H142" s="16"/>
      <c r="I142" s="64"/>
      <c r="J142" s="16"/>
      <c r="K142" s="16"/>
    </row>
    <row r="143" spans="7:11">
      <c r="G143" s="16"/>
      <c r="H143" s="16"/>
      <c r="I143" s="64"/>
      <c r="J143" s="16"/>
      <c r="K143" s="16"/>
    </row>
    <row r="144" spans="7:11">
      <c r="G144" s="16"/>
      <c r="H144" s="16"/>
      <c r="I144" s="64"/>
      <c r="J144" s="16"/>
      <c r="K144" s="16"/>
    </row>
    <row r="145" spans="7:11">
      <c r="G145" s="16"/>
      <c r="H145" s="16"/>
      <c r="I145" s="64"/>
      <c r="J145" s="16"/>
      <c r="K145" s="16"/>
    </row>
    <row r="146" spans="7:11">
      <c r="G146" s="16"/>
      <c r="H146" s="16"/>
      <c r="I146" s="64"/>
      <c r="J146" s="16"/>
      <c r="K146" s="16"/>
    </row>
    <row r="147" spans="7:11">
      <c r="G147" s="16"/>
      <c r="H147" s="16"/>
      <c r="I147" s="64"/>
      <c r="J147" s="16"/>
      <c r="K147" s="16"/>
    </row>
    <row r="148" spans="7:11">
      <c r="G148" s="16"/>
      <c r="H148" s="16"/>
      <c r="I148" s="64"/>
      <c r="J148" s="16"/>
      <c r="K148" s="16"/>
    </row>
    <row r="149" spans="7:11">
      <c r="G149" s="16"/>
      <c r="H149" s="16"/>
      <c r="I149" s="64"/>
      <c r="J149" s="16"/>
      <c r="K149" s="16"/>
    </row>
    <row r="150" spans="7:11">
      <c r="G150" s="16"/>
      <c r="H150" s="16"/>
      <c r="I150" s="64"/>
      <c r="J150" s="16"/>
      <c r="K150" s="16"/>
    </row>
    <row r="151" spans="7:11">
      <c r="G151" s="16"/>
      <c r="H151" s="16"/>
      <c r="I151" s="64"/>
      <c r="J151" s="16"/>
      <c r="K151" s="16"/>
    </row>
    <row r="152" spans="7:11">
      <c r="G152" s="16"/>
      <c r="H152" s="16"/>
      <c r="I152" s="64"/>
      <c r="J152" s="16"/>
      <c r="K152" s="16"/>
    </row>
    <row r="153" spans="7:11">
      <c r="G153" s="16"/>
      <c r="H153" s="16"/>
      <c r="I153" s="64"/>
      <c r="J153" s="16"/>
      <c r="K153" s="16"/>
    </row>
    <row r="154" spans="7:11">
      <c r="G154" s="16"/>
      <c r="H154" s="16"/>
      <c r="I154" s="64"/>
      <c r="J154" s="16"/>
      <c r="K154" s="16"/>
    </row>
    <row r="155" spans="7:11">
      <c r="G155" s="16"/>
      <c r="H155" s="16"/>
      <c r="I155" s="64"/>
      <c r="J155" s="16"/>
      <c r="K155" s="16"/>
    </row>
    <row r="156" spans="7:11">
      <c r="G156" s="16"/>
      <c r="H156" s="16"/>
      <c r="I156" s="64"/>
      <c r="J156" s="16"/>
      <c r="K156" s="16"/>
    </row>
    <row r="157" spans="7:11">
      <c r="G157" s="16"/>
      <c r="H157" s="16"/>
      <c r="I157" s="64"/>
      <c r="J157" s="16"/>
      <c r="K157" s="16"/>
    </row>
    <row r="158" spans="7:11">
      <c r="G158" s="16"/>
      <c r="H158" s="16"/>
      <c r="I158" s="64"/>
      <c r="J158" s="16"/>
      <c r="K158" s="16"/>
    </row>
    <row r="159" spans="7:11">
      <c r="G159" s="16"/>
      <c r="H159" s="16"/>
      <c r="I159" s="64"/>
      <c r="J159" s="16"/>
      <c r="K159" s="16"/>
    </row>
    <row r="160" spans="7:11">
      <c r="G160" s="16"/>
      <c r="H160" s="16"/>
      <c r="I160" s="64"/>
      <c r="J160" s="16"/>
      <c r="K160" s="16"/>
    </row>
    <row r="161" spans="7:11">
      <c r="G161" s="16"/>
      <c r="H161" s="16"/>
      <c r="I161" s="64"/>
      <c r="J161" s="16"/>
      <c r="K161" s="16"/>
    </row>
    <row r="162" spans="7:11">
      <c r="G162" s="16"/>
      <c r="H162" s="16"/>
      <c r="I162" s="64"/>
      <c r="J162" s="16"/>
      <c r="K162" s="16"/>
    </row>
    <row r="163" spans="7:11">
      <c r="G163" s="16"/>
      <c r="H163" s="16"/>
      <c r="I163" s="64"/>
      <c r="J163" s="16"/>
      <c r="K163" s="16"/>
    </row>
    <row r="164" spans="7:11">
      <c r="G164" s="16"/>
      <c r="H164" s="16"/>
      <c r="I164" s="64"/>
      <c r="J164" s="16"/>
      <c r="K164" s="16"/>
    </row>
    <row r="165" spans="7:11">
      <c r="G165" s="16"/>
      <c r="H165" s="16"/>
      <c r="I165" s="64"/>
      <c r="J165" s="16"/>
      <c r="K165" s="16"/>
    </row>
    <row r="166" spans="7:11">
      <c r="G166" s="16"/>
      <c r="H166" s="16"/>
      <c r="I166" s="64"/>
      <c r="J166" s="16"/>
      <c r="K166" s="16"/>
    </row>
    <row r="167" spans="7:11">
      <c r="G167" s="16"/>
      <c r="H167" s="16"/>
      <c r="I167" s="64"/>
      <c r="J167" s="16"/>
      <c r="K167" s="16"/>
    </row>
  </sheetData>
  <mergeCells count="5">
    <mergeCell ref="B1:K1"/>
    <mergeCell ref="B2:K2"/>
    <mergeCell ref="B3:K3"/>
    <mergeCell ref="I6:K6"/>
    <mergeCell ref="C23:K23"/>
  </mergeCells>
  <phoneticPr fontId="0" type="noConversion"/>
  <printOptions horizontalCentered="1"/>
  <pageMargins left="0.7" right="0.7" top="0.75" bottom="0.75" header="0.3" footer="0.3"/>
  <pageSetup scale="81" orientation="portrait"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6"/>
  <sheetViews>
    <sheetView view="pageBreakPreview" zoomScale="90" zoomScaleNormal="100" zoomScaleSheetLayoutView="90" workbookViewId="0"/>
  </sheetViews>
  <sheetFormatPr defaultColWidth="8.85546875" defaultRowHeight="12.75"/>
  <cols>
    <col min="1" max="1" width="8.85546875" style="108"/>
    <col min="2" max="2" width="15.5703125" style="108" customWidth="1"/>
    <col min="3" max="3" width="8" style="108" customWidth="1"/>
    <col min="4" max="4" width="15.85546875" style="108" customWidth="1"/>
    <col min="5" max="5" width="8" style="108" customWidth="1"/>
    <col min="6" max="6" width="15.5703125" style="108" customWidth="1"/>
    <col min="7" max="7" width="8.85546875" style="108"/>
    <col min="8" max="8" width="14.28515625" style="108" customWidth="1"/>
    <col min="9" max="9" width="8.85546875" style="108"/>
    <col min="10" max="10" width="10.5703125" style="108" bestFit="1" customWidth="1"/>
    <col min="11" max="16384" width="8.85546875" style="108"/>
  </cols>
  <sheetData>
    <row r="1" spans="1:8">
      <c r="B1" s="1015" t="s">
        <v>1380</v>
      </c>
      <c r="C1" s="1015"/>
      <c r="D1" s="1015"/>
      <c r="E1" s="1015"/>
      <c r="F1" s="1015"/>
    </row>
    <row r="2" spans="1:8">
      <c r="B2" s="1015" t="s">
        <v>1381</v>
      </c>
      <c r="C2" s="1015"/>
      <c r="D2" s="1015"/>
      <c r="E2" s="1015"/>
      <c r="F2" s="1015"/>
    </row>
    <row r="3" spans="1:8">
      <c r="A3" s="109"/>
      <c r="B3" s="109"/>
      <c r="C3" s="109"/>
      <c r="D3" s="109"/>
      <c r="E3" s="109"/>
      <c r="F3" s="109"/>
    </row>
    <row r="4" spans="1:8" ht="26.25">
      <c r="A4" s="112"/>
      <c r="B4" s="110" t="s">
        <v>1378</v>
      </c>
      <c r="D4" s="110" t="s">
        <v>1382</v>
      </c>
      <c r="F4" s="110" t="s">
        <v>1379</v>
      </c>
      <c r="H4" s="110" t="str">
        <f>D4</f>
        <v>Numerical Bond Weighting</v>
      </c>
    </row>
    <row r="5" spans="1:8" ht="15.75">
      <c r="A5" s="112"/>
      <c r="F5" s="111"/>
    </row>
    <row r="6" spans="1:8" ht="15.75">
      <c r="B6" s="111" t="s">
        <v>1361</v>
      </c>
      <c r="D6" s="111">
        <v>1</v>
      </c>
      <c r="F6" s="111" t="s">
        <v>1368</v>
      </c>
      <c r="G6" s="112"/>
      <c r="H6" s="111">
        <f>IF(D6="","",D6)</f>
        <v>1</v>
      </c>
    </row>
    <row r="7" spans="1:8" ht="15.75">
      <c r="B7" s="111"/>
      <c r="D7" s="111"/>
      <c r="F7" s="111"/>
      <c r="G7" s="112"/>
      <c r="H7" s="111" t="str">
        <f t="shared" ref="H7:H26" si="0">IF(D7="","",D7)</f>
        <v/>
      </c>
    </row>
    <row r="8" spans="1:8" ht="15.75">
      <c r="B8" s="111" t="s">
        <v>1362</v>
      </c>
      <c r="D8" s="111">
        <v>2</v>
      </c>
      <c r="F8" s="111" t="s">
        <v>1369</v>
      </c>
      <c r="G8" s="112"/>
      <c r="H8" s="111">
        <f t="shared" si="0"/>
        <v>2</v>
      </c>
    </row>
    <row r="9" spans="1:8" ht="15.75">
      <c r="B9" s="111" t="s">
        <v>1363</v>
      </c>
      <c r="D9" s="111">
        <v>3</v>
      </c>
      <c r="F9" s="111" t="s">
        <v>1313</v>
      </c>
      <c r="G9" s="112"/>
      <c r="H9" s="111">
        <f t="shared" si="0"/>
        <v>3</v>
      </c>
    </row>
    <row r="10" spans="1:8" ht="15.75">
      <c r="B10" s="111" t="s">
        <v>1364</v>
      </c>
      <c r="D10" s="111">
        <v>4</v>
      </c>
      <c r="F10" s="111" t="s">
        <v>1370</v>
      </c>
      <c r="G10" s="112"/>
      <c r="H10" s="111">
        <f t="shared" si="0"/>
        <v>4</v>
      </c>
    </row>
    <row r="11" spans="1:8" ht="15.75">
      <c r="B11" s="111"/>
      <c r="D11" s="111"/>
      <c r="F11" s="111"/>
      <c r="G11" s="112"/>
      <c r="H11" s="111" t="str">
        <f t="shared" si="0"/>
        <v/>
      </c>
    </row>
    <row r="12" spans="1:8" ht="15.75">
      <c r="B12" s="111" t="s">
        <v>191</v>
      </c>
      <c r="D12" s="111">
        <v>5</v>
      </c>
      <c r="F12" s="111" t="s">
        <v>190</v>
      </c>
      <c r="G12" s="112"/>
      <c r="H12" s="111">
        <f t="shared" si="0"/>
        <v>5</v>
      </c>
    </row>
    <row r="13" spans="1:8" ht="15.75">
      <c r="B13" s="111" t="s">
        <v>189</v>
      </c>
      <c r="D13" s="111">
        <v>6</v>
      </c>
      <c r="F13" s="111" t="s">
        <v>192</v>
      </c>
      <c r="G13" s="112"/>
      <c r="H13" s="111">
        <f t="shared" si="0"/>
        <v>6</v>
      </c>
    </row>
    <row r="14" spans="1:8" ht="15.75">
      <c r="B14" s="111" t="s">
        <v>219</v>
      </c>
      <c r="D14" s="111">
        <v>7</v>
      </c>
      <c r="F14" s="111" t="s">
        <v>193</v>
      </c>
      <c r="G14" s="112"/>
      <c r="H14" s="111">
        <f t="shared" si="0"/>
        <v>7</v>
      </c>
    </row>
    <row r="15" spans="1:8" ht="15.75">
      <c r="B15" s="111"/>
      <c r="D15" s="111"/>
      <c r="F15" s="111"/>
      <c r="G15" s="112"/>
      <c r="H15" s="111" t="str">
        <f t="shared" si="0"/>
        <v/>
      </c>
    </row>
    <row r="16" spans="1:8" ht="15.75">
      <c r="B16" s="111" t="s">
        <v>224</v>
      </c>
      <c r="D16" s="111">
        <v>8</v>
      </c>
      <c r="F16" s="111" t="s">
        <v>223</v>
      </c>
      <c r="G16" s="112"/>
      <c r="H16" s="111">
        <f t="shared" si="0"/>
        <v>8</v>
      </c>
    </row>
    <row r="17" spans="2:8" ht="15.75">
      <c r="B17" s="111" t="s">
        <v>225</v>
      </c>
      <c r="D17" s="111">
        <v>9</v>
      </c>
      <c r="F17" s="111" t="s">
        <v>222</v>
      </c>
      <c r="G17" s="112"/>
      <c r="H17" s="111">
        <f t="shared" si="0"/>
        <v>9</v>
      </c>
    </row>
    <row r="18" spans="2:8" ht="15.75">
      <c r="B18" s="111" t="s">
        <v>220</v>
      </c>
      <c r="D18" s="111">
        <v>10</v>
      </c>
      <c r="F18" s="111" t="s">
        <v>221</v>
      </c>
      <c r="G18" s="112"/>
      <c r="H18" s="111">
        <f t="shared" si="0"/>
        <v>10</v>
      </c>
    </row>
    <row r="19" spans="2:8" ht="15.75">
      <c r="B19" s="111"/>
      <c r="D19" s="111"/>
      <c r="F19" s="111"/>
      <c r="G19" s="112"/>
      <c r="H19" s="111" t="str">
        <f t="shared" si="0"/>
        <v/>
      </c>
    </row>
    <row r="20" spans="2:8" ht="15.75">
      <c r="B20" s="111" t="s">
        <v>1305</v>
      </c>
      <c r="D20" s="111">
        <v>11</v>
      </c>
      <c r="F20" s="111" t="s">
        <v>1304</v>
      </c>
      <c r="G20" s="112"/>
      <c r="H20" s="111">
        <f t="shared" si="0"/>
        <v>11</v>
      </c>
    </row>
    <row r="21" spans="2:8" ht="15.75">
      <c r="B21" s="111" t="s">
        <v>227</v>
      </c>
      <c r="D21" s="111">
        <v>12</v>
      </c>
      <c r="F21" s="111" t="s">
        <v>1303</v>
      </c>
      <c r="G21" s="112"/>
      <c r="H21" s="111">
        <f t="shared" si="0"/>
        <v>12</v>
      </c>
    </row>
    <row r="22" spans="2:8" ht="15.75">
      <c r="B22" s="111" t="s">
        <v>1365</v>
      </c>
      <c r="D22" s="111">
        <v>13</v>
      </c>
      <c r="F22" s="111" t="s">
        <v>1371</v>
      </c>
      <c r="G22" s="112"/>
      <c r="H22" s="111">
        <f t="shared" si="0"/>
        <v>13</v>
      </c>
    </row>
    <row r="23" spans="2:8" ht="15.75">
      <c r="B23" s="111"/>
      <c r="D23" s="111"/>
      <c r="F23" s="111"/>
      <c r="G23" s="112"/>
      <c r="H23" s="111" t="str">
        <f t="shared" si="0"/>
        <v/>
      </c>
    </row>
    <row r="24" spans="2:8" ht="15.75">
      <c r="B24" s="111" t="s">
        <v>226</v>
      </c>
      <c r="D24" s="111">
        <v>14</v>
      </c>
      <c r="F24" s="111" t="s">
        <v>1372</v>
      </c>
      <c r="G24" s="112"/>
      <c r="H24" s="111">
        <f t="shared" si="0"/>
        <v>14</v>
      </c>
    </row>
    <row r="25" spans="2:8" ht="15.75">
      <c r="B25" s="111" t="s">
        <v>1366</v>
      </c>
      <c r="D25" s="111">
        <v>15</v>
      </c>
      <c r="F25" s="111" t="s">
        <v>1373</v>
      </c>
      <c r="G25" s="112"/>
      <c r="H25" s="111">
        <f t="shared" si="0"/>
        <v>15</v>
      </c>
    </row>
    <row r="26" spans="2:8" ht="15.75">
      <c r="B26" s="111" t="s">
        <v>1367</v>
      </c>
      <c r="D26" s="111">
        <v>16</v>
      </c>
      <c r="F26" s="111" t="s">
        <v>1374</v>
      </c>
      <c r="G26" s="112"/>
      <c r="H26" s="111">
        <f t="shared" si="0"/>
        <v>16</v>
      </c>
    </row>
  </sheetData>
  <mergeCells count="2">
    <mergeCell ref="B1:F1"/>
    <mergeCell ref="B2:F2"/>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H76"/>
  <sheetViews>
    <sheetView view="pageBreakPreview" zoomScale="85" zoomScaleNormal="100" zoomScaleSheetLayoutView="85" workbookViewId="0"/>
  </sheetViews>
  <sheetFormatPr defaultColWidth="12.28515625" defaultRowHeight="15.75"/>
  <cols>
    <col min="1" max="1" width="8.5703125" style="13" bestFit="1" customWidth="1"/>
    <col min="2" max="2" width="4.5703125" style="13" customWidth="1"/>
    <col min="3" max="3" width="33" style="13" customWidth="1"/>
    <col min="4" max="4" width="5.5703125" style="13" customWidth="1"/>
    <col min="5" max="5" width="16.7109375" style="13" customWidth="1"/>
    <col min="6" max="6" width="3.28515625" style="13" customWidth="1"/>
    <col min="7" max="7" width="8" style="13" customWidth="1"/>
    <col min="8" max="16384" width="12.28515625" style="13"/>
  </cols>
  <sheetData>
    <row r="1" spans="1:8">
      <c r="A1" s="14" t="str">
        <f>Input!G28</f>
        <v>Peoples Gas System</v>
      </c>
      <c r="B1" s="14"/>
      <c r="C1" s="14"/>
      <c r="D1" s="14"/>
      <c r="E1" s="488"/>
      <c r="F1" s="488"/>
      <c r="G1" s="52"/>
    </row>
    <row r="2" spans="1:8">
      <c r="A2" s="15" t="s">
        <v>4220</v>
      </c>
      <c r="B2" s="15"/>
      <c r="C2" s="15"/>
      <c r="D2" s="15"/>
      <c r="E2" s="488"/>
      <c r="F2" s="488"/>
      <c r="G2" s="52"/>
    </row>
    <row r="3" spans="1:8">
      <c r="A3" s="14" t="str">
        <f>Input!I29</f>
        <v>Utility Proxy Group</v>
      </c>
      <c r="B3" s="14"/>
      <c r="C3" s="14"/>
      <c r="D3" s="14"/>
      <c r="E3" s="490"/>
      <c r="F3" s="490"/>
      <c r="G3" s="66"/>
    </row>
    <row r="4" spans="1:8">
      <c r="A4" s="16"/>
      <c r="B4" s="16"/>
      <c r="C4" s="16"/>
      <c r="D4" s="16"/>
      <c r="E4" s="66"/>
      <c r="F4" s="66"/>
      <c r="G4" s="66"/>
    </row>
    <row r="5" spans="1:8" ht="15" customHeight="1">
      <c r="A5" s="1012"/>
      <c r="B5" s="1005"/>
      <c r="C5" s="1005"/>
      <c r="D5" s="1005"/>
    </row>
    <row r="6" spans="1:8" ht="65.25" customHeight="1">
      <c r="A6" s="57" t="s">
        <v>122</v>
      </c>
      <c r="B6" s="16"/>
      <c r="D6" s="54"/>
      <c r="E6" s="1011" t="str">
        <f>'4.8-4.9 Beta Adjusted ERP'!E7</f>
        <v>Proxy Group of Six Natural Gas Companies</v>
      </c>
      <c r="F6" s="1011"/>
      <c r="G6" s="19"/>
    </row>
    <row r="7" spans="1:8">
      <c r="A7" s="58"/>
      <c r="B7" s="16"/>
      <c r="D7" s="54"/>
    </row>
    <row r="8" spans="1:8">
      <c r="B8" s="16"/>
      <c r="D8" s="54"/>
    </row>
    <row r="9" spans="1:8">
      <c r="A9" s="16" t="s">
        <v>93</v>
      </c>
      <c r="B9" s="16"/>
      <c r="C9" s="13" t="s">
        <v>112</v>
      </c>
      <c r="D9" s="54"/>
    </row>
    <row r="10" spans="1:8">
      <c r="B10" s="16"/>
      <c r="C10" s="13" t="s">
        <v>113</v>
      </c>
      <c r="D10" s="54"/>
    </row>
    <row r="11" spans="1:8">
      <c r="B11" s="16"/>
      <c r="C11" s="13" t="s">
        <v>114</v>
      </c>
      <c r="D11" s="54"/>
    </row>
    <row r="12" spans="1:8">
      <c r="B12" s="16"/>
      <c r="C12" s="13" t="s">
        <v>115</v>
      </c>
      <c r="D12" s="54"/>
      <c r="E12" s="34">
        <f>'4.8-4.9 Beta Adjusted ERP'!E27</f>
        <v>6.5</v>
      </c>
      <c r="F12" s="35" t="s">
        <v>18</v>
      </c>
      <c r="G12" s="21"/>
      <c r="H12" s="56"/>
    </row>
    <row r="13" spans="1:8">
      <c r="B13" s="16"/>
      <c r="D13" s="54"/>
      <c r="E13" s="34"/>
      <c r="F13" s="34"/>
    </row>
    <row r="14" spans="1:8">
      <c r="A14" s="16" t="s">
        <v>99</v>
      </c>
      <c r="B14" s="16"/>
      <c r="C14" s="13" t="s">
        <v>116</v>
      </c>
      <c r="D14" s="54"/>
      <c r="E14" s="34"/>
      <c r="F14" s="34"/>
    </row>
    <row r="15" spans="1:8">
      <c r="B15" s="16"/>
      <c r="C15" s="13" t="s">
        <v>117</v>
      </c>
      <c r="D15" s="54"/>
      <c r="E15" s="34"/>
      <c r="F15" s="34"/>
    </row>
    <row r="16" spans="1:8">
      <c r="B16" s="16"/>
      <c r="C16" s="13" t="s">
        <v>118</v>
      </c>
      <c r="D16" s="54"/>
      <c r="E16" s="34"/>
      <c r="F16" s="34"/>
    </row>
    <row r="17" spans="1:8">
      <c r="B17" s="16"/>
      <c r="C17" s="13" t="s">
        <v>119</v>
      </c>
      <c r="D17" s="54"/>
      <c r="E17" s="34"/>
      <c r="F17" s="34"/>
    </row>
    <row r="18" spans="1:8">
      <c r="B18" s="16"/>
      <c r="C18" s="13" t="s">
        <v>120</v>
      </c>
      <c r="D18" s="54"/>
      <c r="E18" s="34">
        <f>'4.12 S&amp;P RPM Study Returns'!E19</f>
        <v>4.32</v>
      </c>
      <c r="F18" s="34"/>
      <c r="H18" s="34"/>
    </row>
    <row r="19" spans="1:8">
      <c r="B19" s="16"/>
      <c r="D19" s="54"/>
      <c r="E19" s="34"/>
      <c r="F19" s="34"/>
    </row>
    <row r="20" spans="1:8">
      <c r="A20" s="25" t="s">
        <v>100</v>
      </c>
      <c r="B20" s="16"/>
      <c r="C20" s="13" t="s">
        <v>2786</v>
      </c>
      <c r="D20" s="54"/>
      <c r="E20" s="34"/>
      <c r="F20" s="34"/>
    </row>
    <row r="21" spans="1:8">
      <c r="B21" s="16"/>
      <c r="C21" s="221" t="s">
        <v>2787</v>
      </c>
      <c r="D21" s="54"/>
      <c r="E21" s="34"/>
      <c r="F21" s="34"/>
    </row>
    <row r="22" spans="1:8">
      <c r="B22" s="16"/>
      <c r="C22" s="221" t="s">
        <v>4607</v>
      </c>
      <c r="D22" s="54"/>
      <c r="E22" s="34"/>
      <c r="F22" s="34"/>
    </row>
    <row r="23" spans="1:8">
      <c r="B23" s="16"/>
      <c r="C23" s="452" t="s">
        <v>4395</v>
      </c>
      <c r="D23" s="54"/>
      <c r="E23" s="451">
        <f>'4.13 Past Rate Cases Gas'!AF21</f>
        <v>4.707552636716648</v>
      </c>
      <c r="F23" s="34"/>
      <c r="G23" s="56"/>
      <c r="H23" s="34"/>
    </row>
    <row r="24" spans="1:8">
      <c r="B24" s="16"/>
      <c r="D24" s="54"/>
      <c r="E24" s="34"/>
      <c r="F24" s="34"/>
    </row>
    <row r="25" spans="1:8" ht="16.5" thickBot="1">
      <c r="A25" s="25" t="s">
        <v>104</v>
      </c>
      <c r="B25" s="16"/>
      <c r="C25" s="13" t="s">
        <v>121</v>
      </c>
      <c r="D25" s="54"/>
      <c r="E25" s="41">
        <f>ROUND(AVERAGE(E12:E23),2)</f>
        <v>5.18</v>
      </c>
      <c r="F25" s="34" t="s">
        <v>18</v>
      </c>
      <c r="H25" s="56"/>
    </row>
    <row r="26" spans="1:8" ht="16.5" thickTop="1">
      <c r="B26" s="16"/>
      <c r="D26" s="54"/>
    </row>
    <row r="27" spans="1:8">
      <c r="B27" s="16"/>
      <c r="D27" s="54"/>
    </row>
    <row r="28" spans="1:8">
      <c r="A28" s="18" t="s">
        <v>101</v>
      </c>
      <c r="B28" s="16" t="s">
        <v>95</v>
      </c>
      <c r="C28" s="13" t="s">
        <v>4435</v>
      </c>
      <c r="D28" s="54"/>
    </row>
    <row r="29" spans="1:8">
      <c r="A29" s="18"/>
      <c r="B29" s="16" t="s">
        <v>96</v>
      </c>
      <c r="C29" s="13" t="s">
        <v>4436</v>
      </c>
      <c r="D29" s="54"/>
    </row>
    <row r="30" spans="1:8">
      <c r="B30" s="25" t="s">
        <v>97</v>
      </c>
      <c r="C30" s="13" t="s">
        <v>4437</v>
      </c>
      <c r="D30" s="54"/>
    </row>
    <row r="31" spans="1:8">
      <c r="B31" s="16"/>
      <c r="D31" s="54"/>
    </row>
    <row r="32" spans="1:8">
      <c r="B32" s="16"/>
      <c r="D32" s="54"/>
    </row>
    <row r="33" spans="2:4">
      <c r="B33" s="16"/>
      <c r="D33" s="54"/>
    </row>
    <row r="34" spans="2:4">
      <c r="B34" s="16"/>
      <c r="D34" s="54"/>
    </row>
    <row r="35" spans="2:4">
      <c r="B35" s="16"/>
      <c r="D35" s="54"/>
    </row>
    <row r="36" spans="2:4">
      <c r="B36" s="16"/>
      <c r="D36" s="54"/>
    </row>
    <row r="37" spans="2:4">
      <c r="B37" s="16"/>
      <c r="D37" s="54"/>
    </row>
    <row r="38" spans="2:4">
      <c r="B38" s="16"/>
      <c r="D38" s="54"/>
    </row>
    <row r="39" spans="2:4">
      <c r="B39" s="16"/>
      <c r="D39" s="54"/>
    </row>
    <row r="40" spans="2:4">
      <c r="B40" s="16"/>
      <c r="D40" s="54"/>
    </row>
    <row r="41" spans="2:4">
      <c r="B41" s="16"/>
      <c r="D41" s="54"/>
    </row>
    <row r="42" spans="2:4">
      <c r="B42" s="16"/>
      <c r="D42" s="54"/>
    </row>
    <row r="43" spans="2:4">
      <c r="B43" s="16"/>
      <c r="D43" s="54"/>
    </row>
    <row r="44" spans="2:4">
      <c r="B44" s="16"/>
      <c r="D44" s="54"/>
    </row>
    <row r="45" spans="2:4">
      <c r="B45" s="16"/>
      <c r="D45" s="54"/>
    </row>
    <row r="46" spans="2:4">
      <c r="B46" s="16"/>
      <c r="D46" s="54"/>
    </row>
    <row r="47" spans="2:4">
      <c r="B47" s="16"/>
      <c r="D47" s="54"/>
    </row>
    <row r="48" spans="2:4">
      <c r="B48" s="16"/>
      <c r="D48" s="54"/>
    </row>
    <row r="49" spans="2:4">
      <c r="B49" s="16"/>
      <c r="D49" s="54"/>
    </row>
    <row r="50" spans="2:4">
      <c r="B50" s="16"/>
      <c r="D50" s="54"/>
    </row>
    <row r="51" spans="2:4">
      <c r="B51" s="16"/>
      <c r="D51" s="54"/>
    </row>
    <row r="52" spans="2:4">
      <c r="B52" s="16"/>
      <c r="D52" s="54"/>
    </row>
    <row r="53" spans="2:4">
      <c r="B53" s="16"/>
      <c r="D53" s="54"/>
    </row>
    <row r="54" spans="2:4">
      <c r="B54" s="16"/>
      <c r="D54" s="54"/>
    </row>
    <row r="55" spans="2:4">
      <c r="B55" s="16"/>
      <c r="D55" s="54"/>
    </row>
    <row r="56" spans="2:4">
      <c r="B56" s="16"/>
      <c r="D56" s="54"/>
    </row>
    <row r="57" spans="2:4">
      <c r="B57" s="16"/>
      <c r="D57" s="54"/>
    </row>
    <row r="58" spans="2:4">
      <c r="B58" s="16"/>
      <c r="D58" s="54"/>
    </row>
    <row r="59" spans="2:4">
      <c r="B59" s="16"/>
      <c r="D59" s="54"/>
    </row>
    <row r="60" spans="2:4">
      <c r="B60" s="16"/>
      <c r="D60" s="54"/>
    </row>
    <row r="61" spans="2:4">
      <c r="B61" s="16"/>
      <c r="D61" s="54"/>
    </row>
    <row r="62" spans="2:4">
      <c r="B62" s="16"/>
      <c r="D62" s="54"/>
    </row>
    <row r="63" spans="2:4">
      <c r="B63" s="16"/>
      <c r="D63" s="54"/>
    </row>
    <row r="64" spans="2:4">
      <c r="B64" s="16"/>
      <c r="D64" s="54"/>
    </row>
    <row r="65" spans="2:4">
      <c r="B65" s="16"/>
      <c r="D65" s="54"/>
    </row>
    <row r="66" spans="2:4">
      <c r="B66" s="16"/>
      <c r="D66" s="54"/>
    </row>
    <row r="67" spans="2:4">
      <c r="B67" s="16"/>
      <c r="D67" s="54"/>
    </row>
    <row r="68" spans="2:4">
      <c r="B68" s="16"/>
      <c r="D68" s="54"/>
    </row>
    <row r="69" spans="2:4">
      <c r="B69" s="16"/>
      <c r="D69" s="54"/>
    </row>
    <row r="70" spans="2:4">
      <c r="B70" s="16"/>
      <c r="D70" s="54"/>
    </row>
    <row r="71" spans="2:4">
      <c r="B71" s="16"/>
      <c r="D71" s="54"/>
    </row>
    <row r="72" spans="2:4">
      <c r="B72" s="16"/>
      <c r="D72" s="54"/>
    </row>
    <row r="73" spans="2:4">
      <c r="B73" s="16"/>
      <c r="D73" s="54"/>
    </row>
    <row r="74" spans="2:4">
      <c r="B74" s="16"/>
      <c r="D74" s="54"/>
    </row>
    <row r="75" spans="2:4">
      <c r="B75" s="16"/>
      <c r="D75" s="54"/>
    </row>
    <row r="76" spans="2:4">
      <c r="B76" s="16"/>
      <c r="D76" s="54"/>
    </row>
  </sheetData>
  <mergeCells count="2">
    <mergeCell ref="E6:F6"/>
    <mergeCell ref="A5:D5"/>
  </mergeCells>
  <phoneticPr fontId="0" type="noConversion"/>
  <printOptions horizontalCentered="1"/>
  <pageMargins left="0.7" right="0.7" top="0.75" bottom="0.75" header="0.3" footer="0.3"/>
  <pageSetup orientation="portrait" horizontalDpi="4294967293"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73"/>
  <sheetViews>
    <sheetView view="pageBreakPreview" zoomScale="85" zoomScaleNormal="100" zoomScaleSheetLayoutView="85" workbookViewId="0"/>
  </sheetViews>
  <sheetFormatPr defaultColWidth="12.28515625" defaultRowHeight="15.75"/>
  <cols>
    <col min="1" max="1" width="9.85546875" style="13" customWidth="1"/>
    <col min="2" max="2" width="5" style="13" customWidth="1"/>
    <col min="3" max="3" width="45.85546875" style="13" customWidth="1"/>
    <col min="4" max="4" width="6" style="13" customWidth="1"/>
    <col min="5" max="5" width="17.42578125" style="13" customWidth="1"/>
    <col min="6" max="6" width="3" style="13" customWidth="1"/>
    <col min="7" max="7" width="18.5703125" style="13" customWidth="1"/>
    <col min="8" max="16384" width="12.28515625" style="13"/>
  </cols>
  <sheetData>
    <row r="1" spans="1:7">
      <c r="A1" s="14" t="str">
        <f>Input!G28</f>
        <v>Peoples Gas System</v>
      </c>
      <c r="B1" s="14"/>
      <c r="C1" s="14"/>
      <c r="D1" s="14"/>
      <c r="E1" s="14"/>
      <c r="F1" s="14"/>
      <c r="G1" s="66"/>
    </row>
    <row r="2" spans="1:7">
      <c r="A2" s="15" t="s">
        <v>102</v>
      </c>
      <c r="B2" s="15"/>
      <c r="C2" s="15"/>
      <c r="D2" s="15"/>
      <c r="E2" s="15"/>
      <c r="F2" s="15"/>
      <c r="G2" s="66"/>
    </row>
    <row r="3" spans="1:7">
      <c r="A3" s="15" t="s">
        <v>2215</v>
      </c>
      <c r="B3" s="15"/>
      <c r="C3" s="15"/>
      <c r="D3" s="15"/>
      <c r="E3" s="15"/>
      <c r="F3" s="15"/>
      <c r="G3" s="66"/>
    </row>
    <row r="4" spans="1:7">
      <c r="A4" s="14" t="str">
        <f>Input!I29</f>
        <v>Utility Proxy Group</v>
      </c>
      <c r="B4" s="14"/>
      <c r="C4" s="14"/>
      <c r="D4" s="14"/>
      <c r="E4" s="14"/>
      <c r="F4" s="14"/>
      <c r="G4" s="66"/>
    </row>
    <row r="5" spans="1:7">
      <c r="A5" s="16"/>
      <c r="B5" s="5"/>
      <c r="C5" s="5"/>
      <c r="D5" s="5"/>
      <c r="E5" s="5"/>
      <c r="F5" s="5"/>
      <c r="G5" s="66"/>
    </row>
    <row r="6" spans="1:7" ht="15" customHeight="1">
      <c r="E6" s="15"/>
    </row>
    <row r="7" spans="1:7" ht="52.5" customHeight="1">
      <c r="A7" s="321" t="s">
        <v>92</v>
      </c>
      <c r="C7" s="33" t="str">
        <f>'7.5 CEM Beta Adjusted RP'!C7</f>
        <v>Equity Risk Premium Measure</v>
      </c>
      <c r="E7" s="1016" t="str">
        <f>Input!I30</f>
        <v>Proxy Group of Six Natural Gas Companies</v>
      </c>
      <c r="F7" s="1016"/>
    </row>
    <row r="9" spans="1:7">
      <c r="B9" s="17" t="s">
        <v>4559</v>
      </c>
    </row>
    <row r="11" spans="1:7">
      <c r="A11" s="16" t="s">
        <v>93</v>
      </c>
      <c r="C11" s="34" t="s">
        <v>4560</v>
      </c>
      <c r="D11" s="34"/>
      <c r="E11" s="34">
        <f>('Market Data'!B10-'Market Data'!B11)*100</f>
        <v>6.13</v>
      </c>
      <c r="F11" s="35" t="s">
        <v>18</v>
      </c>
    </row>
    <row r="12" spans="1:7">
      <c r="C12" s="34"/>
      <c r="D12" s="34"/>
      <c r="F12" s="34"/>
    </row>
    <row r="13" spans="1:7">
      <c r="A13" s="16" t="s">
        <v>99</v>
      </c>
      <c r="C13" s="34" t="s">
        <v>4561</v>
      </c>
      <c r="D13" s="34"/>
      <c r="E13" s="34">
        <f>'MRP ERP WP'!$AK$42*100</f>
        <v>7.2582293456286067</v>
      </c>
      <c r="F13" s="35"/>
    </row>
    <row r="14" spans="1:7">
      <c r="C14" s="34"/>
      <c r="D14" s="34"/>
      <c r="F14" s="34"/>
    </row>
    <row r="15" spans="1:7">
      <c r="A15" s="16" t="s">
        <v>100</v>
      </c>
      <c r="C15" s="34" t="s">
        <v>4562</v>
      </c>
      <c r="D15" s="34"/>
      <c r="E15" s="34">
        <f>'PRPM WP1'!J1177*100</f>
        <v>9.760807335589238</v>
      </c>
      <c r="F15" s="34"/>
    </row>
    <row r="16" spans="1:7">
      <c r="A16" s="16"/>
      <c r="C16" s="34"/>
      <c r="D16" s="34"/>
      <c r="F16" s="34"/>
    </row>
    <row r="17" spans="1:8" ht="31.5">
      <c r="A17" s="38" t="s">
        <v>104</v>
      </c>
      <c r="C17" s="37" t="s">
        <v>4141</v>
      </c>
      <c r="D17" s="34"/>
      <c r="E17" s="34">
        <f>'MRP WP1'!$M$22*100-'MRP WP1'!$M$37</f>
        <v>11.530000000000001</v>
      </c>
      <c r="F17" s="35"/>
    </row>
    <row r="18" spans="1:8">
      <c r="A18" s="38"/>
      <c r="C18" s="37"/>
      <c r="D18" s="34"/>
      <c r="F18" s="35"/>
    </row>
    <row r="19" spans="1:8" ht="31.5">
      <c r="A19" s="38" t="s">
        <v>105</v>
      </c>
      <c r="C19" s="37" t="s">
        <v>4142</v>
      </c>
      <c r="D19" s="34"/>
      <c r="E19" s="34">
        <f>('MRP WP3'!H504*100)-'MRP WP1'!M37</f>
        <v>10.621050750081153</v>
      </c>
      <c r="F19" s="35"/>
      <c r="G19" s="34"/>
    </row>
    <row r="20" spans="1:8">
      <c r="A20" s="38"/>
      <c r="C20" s="37"/>
      <c r="D20" s="34"/>
      <c r="F20" s="35"/>
    </row>
    <row r="21" spans="1:8" ht="31.5">
      <c r="A21" s="36" t="s">
        <v>106</v>
      </c>
      <c r="C21" s="37" t="s">
        <v>4143</v>
      </c>
      <c r="D21" s="34"/>
      <c r="E21" s="451">
        <f>'MRP WP2'!Q504*100-'MRP WP1'!M37</f>
        <v>6.008401239764015</v>
      </c>
      <c r="F21" s="35"/>
      <c r="G21" s="34"/>
      <c r="H21" s="34"/>
    </row>
    <row r="22" spans="1:8">
      <c r="C22" s="34"/>
      <c r="D22" s="34"/>
      <c r="F22" s="34"/>
    </row>
    <row r="23" spans="1:8">
      <c r="A23" s="25" t="s">
        <v>108</v>
      </c>
      <c r="C23" s="39" t="s">
        <v>2330</v>
      </c>
      <c r="D23" s="34"/>
      <c r="E23" s="56">
        <f>ROUND(AVERAGE(E11:E21),2)</f>
        <v>8.5500000000000007</v>
      </c>
      <c r="F23" s="35" t="s">
        <v>18</v>
      </c>
      <c r="H23" s="34"/>
    </row>
    <row r="24" spans="1:8">
      <c r="C24" s="34"/>
      <c r="D24" s="34"/>
      <c r="F24" s="34"/>
    </row>
    <row r="25" spans="1:8">
      <c r="A25" s="38" t="s">
        <v>109</v>
      </c>
      <c r="C25" s="34" t="s">
        <v>4144</v>
      </c>
      <c r="D25" s="34"/>
      <c r="E25" s="440">
        <f>'5.1 CAPM'!H20</f>
        <v>0.76</v>
      </c>
      <c r="F25" s="34"/>
    </row>
    <row r="26" spans="1:8">
      <c r="C26" s="34"/>
      <c r="D26" s="34"/>
      <c r="F26" s="34"/>
    </row>
    <row r="27" spans="1:8" ht="16.5" thickBot="1">
      <c r="A27" s="25" t="s">
        <v>2195</v>
      </c>
      <c r="C27" s="34" t="s">
        <v>107</v>
      </c>
      <c r="D27" s="34"/>
      <c r="E27" s="41">
        <f>ROUND(E23*E25,2)</f>
        <v>6.5</v>
      </c>
      <c r="F27" s="34" t="s">
        <v>18</v>
      </c>
      <c r="H27" s="56"/>
    </row>
    <row r="28" spans="1:8" ht="16.5" thickTop="1">
      <c r="C28" s="34"/>
      <c r="D28" s="34"/>
      <c r="E28" s="34"/>
      <c r="F28" s="34"/>
    </row>
    <row r="29" spans="1:8">
      <c r="A29" s="367" t="s">
        <v>4438</v>
      </c>
      <c r="C29" s="34"/>
      <c r="D29" s="34"/>
      <c r="E29" s="34"/>
      <c r="F29" s="34"/>
    </row>
    <row r="30" spans="1:8">
      <c r="C30" s="34"/>
      <c r="D30" s="34"/>
      <c r="E30" s="34"/>
      <c r="F30" s="34"/>
    </row>
    <row r="31" spans="1:8">
      <c r="B31" s="27" t="s">
        <v>101</v>
      </c>
      <c r="C31" s="34"/>
      <c r="D31" s="34"/>
      <c r="E31" s="34"/>
      <c r="F31" s="34"/>
    </row>
    <row r="32" spans="1:8" ht="68.25" customHeight="1">
      <c r="B32" s="29" t="s">
        <v>95</v>
      </c>
      <c r="C32" s="988" t="str">
        <f>CONCATENATE("Based on the arithmetic mean historical monthly returns on large company common stocks from Kroll 2022 SBBI® Yearbook minus the arithmetic mean monthly yield of Moody's average Aaa and Aa corporate bonds from 1928-2021.")</f>
        <v>Based on the arithmetic mean historical monthly returns on large company common stocks from Kroll 2022 SBBI® Yearbook minus the arithmetic mean monthly yield of Moody's average Aaa and Aa corporate bonds from 1928-2021.</v>
      </c>
      <c r="D32" s="988"/>
      <c r="E32" s="988"/>
      <c r="F32" s="988"/>
    </row>
    <row r="33" spans="1:6" ht="13.5" customHeight="1">
      <c r="B33" s="29"/>
      <c r="C33" s="435"/>
      <c r="D33" s="435"/>
      <c r="E33" s="435"/>
      <c r="F33" s="435"/>
    </row>
    <row r="34" spans="1:6" ht="69.75" customHeight="1">
      <c r="A34" s="29"/>
      <c r="B34" s="55" t="s">
        <v>96</v>
      </c>
      <c r="C34" s="1017" t="s">
        <v>4394</v>
      </c>
      <c r="D34" s="1017"/>
      <c r="E34" s="1017"/>
      <c r="F34" s="1017"/>
    </row>
    <row r="35" spans="1:6" ht="13.5" customHeight="1">
      <c r="A35" s="29"/>
      <c r="B35" s="55"/>
      <c r="C35" s="322"/>
      <c r="D35" s="322"/>
      <c r="E35" s="322"/>
      <c r="F35" s="322"/>
    </row>
    <row r="36" spans="1:6" ht="101.25" customHeight="1">
      <c r="A36" s="29"/>
      <c r="B36" s="55" t="s">
        <v>97</v>
      </c>
      <c r="C36" s="1017" t="s">
        <v>4597</v>
      </c>
      <c r="D36" s="1017"/>
      <c r="E36" s="1017"/>
      <c r="F36" s="1017"/>
    </row>
    <row r="37" spans="1:6" ht="15.75" customHeight="1">
      <c r="A37" s="29"/>
      <c r="B37" s="55"/>
      <c r="C37" s="322"/>
      <c r="D37" s="322"/>
      <c r="E37" s="322"/>
      <c r="F37" s="322"/>
    </row>
    <row r="38" spans="1:6" ht="84.75" customHeight="1">
      <c r="A38" s="29"/>
      <c r="B38" s="55" t="s">
        <v>98</v>
      </c>
      <c r="C38" s="1017" t="str">
        <f>CONCATENATE("The equity risk premium based on the Value Line Summary and Index is derived by subtracting the average consensus forecast of Aaa corporate bonds of ",TEXT('MRP WP1'!M37,"#0.00"),"% (from page 3 of this Document) from the projected 3-5 year total annual market return of ",TEXT('MRP WP1'!M22*100,"#0.00"),"% (described fully in note 1 on page 2 of Document No. 5).")</f>
        <v>The equity risk premium based on the Value Line Summary and Index is derived by subtracting the average consensus forecast of Aaa corporate bonds of 5.05% (from page 3 of this Document) from the projected 3-5 year total annual market return of 16.58% (described fully in note 1 on page 2 of Document No. 5).</v>
      </c>
      <c r="D38" s="1017"/>
      <c r="E38" s="1017"/>
      <c r="F38" s="1017"/>
    </row>
    <row r="39" spans="1:6" ht="12.75" customHeight="1">
      <c r="A39" s="29"/>
      <c r="B39" s="55"/>
      <c r="C39" s="322"/>
      <c r="D39" s="322"/>
      <c r="E39" s="322"/>
      <c r="F39" s="322"/>
    </row>
    <row r="40" spans="1:6" ht="96" customHeight="1">
      <c r="A40" s="29"/>
      <c r="B40" s="55" t="s">
        <v>110</v>
      </c>
      <c r="C40" s="1017" t="str">
        <f>_xlfn.CONCAT("Using data from Value Line for the S&amp;P 500, an expected total return of ",TEXT('MRP WP3'!H504*100,"#0.00"),"% was derived based upon expected dividend yields and long-term earnings growth estimates as a proxy for capital appreciation.  Subtracting the average consensus forecast of Aaa corporate bonds of ",TEXT('MRP WP1'!M37,"#0.00"),"% results in an expected equity risk premium of ",TEXT(E19,"#0.00"),"%.")</f>
        <v>Using data from Value Line for the S&amp;P 500, an expected total return of 15.67% was derived based upon expected dividend yields and long-term earnings growth estimates as a proxy for capital appreciation.  Subtracting the average consensus forecast of Aaa corporate bonds of 5.05% results in an expected equity risk premium of 10.62%.</v>
      </c>
      <c r="D40" s="1017"/>
      <c r="E40" s="1017"/>
      <c r="F40" s="1017"/>
    </row>
    <row r="41" spans="1:6" ht="12.75" customHeight="1">
      <c r="A41" s="29"/>
      <c r="B41" s="55"/>
      <c r="C41" s="322"/>
      <c r="D41" s="322"/>
      <c r="E41" s="322"/>
      <c r="F41" s="322"/>
    </row>
    <row r="42" spans="1:6" ht="92.25" customHeight="1">
      <c r="A42" s="29"/>
      <c r="B42" s="55" t="s">
        <v>111</v>
      </c>
      <c r="C42" s="1017" t="str">
        <f>_xlfn.CONCAT("Using data from Bloomberg for the S&amp;P 500, an expected total return of ",TEXT('MRP WP2'!Q504*100,"#0.00"),"% was derived based upon expected dividend yields and long-term earnings growth estimates as a proxy for capital appreciation.  Subtracting the average consensus forecast of Aaa corporate bonds of ",TEXT('MRP WP1'!M37,"#0.00"),"% results in an expected equity risk premium of ",TEXT(E21,"#0.00"),"%.")</f>
        <v>Using data from Bloomberg for the S&amp;P 500, an expected total return of 11.06% was derived based upon expected dividend yields and long-term earnings growth estimates as a proxy for capital appreciation.  Subtracting the average consensus forecast of Aaa corporate bonds of 5.05% results in an expected equity risk premium of 6.01%.</v>
      </c>
      <c r="D42" s="1017"/>
      <c r="E42" s="1017"/>
      <c r="F42" s="1017"/>
    </row>
    <row r="43" spans="1:6" ht="16.5" customHeight="1">
      <c r="A43" s="29"/>
      <c r="B43" s="55"/>
      <c r="C43" s="322"/>
      <c r="D43" s="322"/>
      <c r="E43" s="322"/>
      <c r="F43" s="322"/>
    </row>
    <row r="44" spans="1:6" ht="18.75" customHeight="1">
      <c r="A44" s="29"/>
      <c r="B44" s="55" t="s">
        <v>2161</v>
      </c>
      <c r="C44" s="1018" t="s">
        <v>4446</v>
      </c>
      <c r="D44" s="1018"/>
      <c r="E44" s="1018"/>
      <c r="F44" s="1018"/>
    </row>
    <row r="45" spans="1:6">
      <c r="C45" s="34"/>
      <c r="D45" s="34"/>
      <c r="E45" s="34"/>
      <c r="F45" s="34"/>
    </row>
    <row r="46" spans="1:6">
      <c r="B46" s="13" t="s">
        <v>151</v>
      </c>
      <c r="C46" s="34"/>
      <c r="D46" s="34"/>
      <c r="E46" s="34"/>
      <c r="F46" s="34"/>
    </row>
    <row r="47" spans="1:6">
      <c r="C47" s="1017" t="s">
        <v>4393</v>
      </c>
      <c r="D47" s="1017"/>
      <c r="E47" s="1017"/>
      <c r="F47" s="1017"/>
    </row>
    <row r="48" spans="1:6">
      <c r="C48" s="1017" t="s">
        <v>4223</v>
      </c>
      <c r="D48" s="1017"/>
      <c r="E48" s="1017"/>
      <c r="F48" s="1017"/>
    </row>
    <row r="49" spans="3:6">
      <c r="C49" s="1017" t="str">
        <f>'MRP WP1'!C68</f>
        <v>Blue Chip Financial Forecasts December 2, 2022 and January 1, 2022.</v>
      </c>
      <c r="D49" s="1017"/>
      <c r="E49" s="1017"/>
      <c r="F49" s="1017"/>
    </row>
    <row r="50" spans="3:6">
      <c r="C50" s="34" t="s">
        <v>4222</v>
      </c>
      <c r="D50" s="34"/>
      <c r="E50" s="34"/>
      <c r="F50" s="34"/>
    </row>
    <row r="51" spans="3:6">
      <c r="C51" s="34"/>
      <c r="D51" s="34"/>
      <c r="E51" s="34"/>
      <c r="F51" s="34"/>
    </row>
    <row r="52" spans="3:6">
      <c r="C52" s="34"/>
      <c r="D52" s="34"/>
      <c r="E52" s="34"/>
      <c r="F52" s="34"/>
    </row>
    <row r="53" spans="3:6">
      <c r="C53" s="34"/>
      <c r="D53" s="34"/>
      <c r="E53" s="34"/>
      <c r="F53" s="34"/>
    </row>
    <row r="54" spans="3:6">
      <c r="C54" s="34"/>
      <c r="D54" s="34"/>
      <c r="E54" s="34"/>
      <c r="F54" s="34"/>
    </row>
    <row r="55" spans="3:6">
      <c r="C55" s="34"/>
      <c r="D55" s="34"/>
      <c r="E55" s="34"/>
      <c r="F55" s="34"/>
    </row>
    <row r="56" spans="3:6">
      <c r="C56" s="34"/>
      <c r="D56" s="34"/>
      <c r="E56" s="34"/>
      <c r="F56" s="34"/>
    </row>
    <row r="57" spans="3:6">
      <c r="C57" s="34"/>
      <c r="D57" s="34"/>
      <c r="E57" s="34"/>
      <c r="F57" s="34"/>
    </row>
    <row r="58" spans="3:6">
      <c r="C58" s="34"/>
      <c r="D58" s="34"/>
      <c r="E58" s="34"/>
      <c r="F58" s="34"/>
    </row>
    <row r="59" spans="3:6">
      <c r="C59" s="34"/>
      <c r="D59" s="34"/>
      <c r="E59" s="34"/>
      <c r="F59" s="34"/>
    </row>
    <row r="60" spans="3:6">
      <c r="C60" s="34"/>
      <c r="D60" s="34"/>
      <c r="E60" s="34"/>
      <c r="F60" s="34"/>
    </row>
    <row r="61" spans="3:6">
      <c r="C61" s="34"/>
      <c r="D61" s="34"/>
      <c r="E61" s="34"/>
      <c r="F61" s="34"/>
    </row>
    <row r="62" spans="3:6">
      <c r="C62" s="34"/>
      <c r="D62" s="34"/>
      <c r="E62" s="34"/>
      <c r="F62" s="34"/>
    </row>
    <row r="63" spans="3:6">
      <c r="C63" s="34"/>
      <c r="D63" s="34"/>
      <c r="E63" s="34"/>
      <c r="F63" s="34"/>
    </row>
    <row r="64" spans="3:6">
      <c r="C64" s="34"/>
      <c r="D64" s="34"/>
      <c r="E64" s="34"/>
      <c r="F64" s="34"/>
    </row>
    <row r="65" spans="3:6">
      <c r="C65" s="34"/>
      <c r="D65" s="34"/>
      <c r="E65" s="34"/>
      <c r="F65" s="34"/>
    </row>
    <row r="66" spans="3:6">
      <c r="C66" s="34"/>
      <c r="D66" s="34"/>
      <c r="E66" s="34"/>
      <c r="F66" s="34"/>
    </row>
    <row r="67" spans="3:6">
      <c r="C67" s="34"/>
      <c r="D67" s="34"/>
      <c r="E67" s="34"/>
      <c r="F67" s="34"/>
    </row>
    <row r="68" spans="3:6">
      <c r="C68" s="34"/>
      <c r="D68" s="34"/>
      <c r="E68" s="34"/>
      <c r="F68" s="34"/>
    </row>
    <row r="69" spans="3:6">
      <c r="C69" s="34"/>
      <c r="D69" s="34"/>
      <c r="E69" s="34"/>
      <c r="F69" s="34"/>
    </row>
    <row r="70" spans="3:6">
      <c r="C70" s="34"/>
      <c r="D70" s="34"/>
      <c r="E70" s="34"/>
      <c r="F70" s="34"/>
    </row>
    <row r="71" spans="3:6">
      <c r="C71" s="34"/>
      <c r="D71" s="34"/>
      <c r="E71" s="34"/>
      <c r="F71" s="34"/>
    </row>
    <row r="72" spans="3:6">
      <c r="C72" s="34"/>
      <c r="D72" s="34"/>
      <c r="E72" s="34"/>
      <c r="F72" s="34"/>
    </row>
    <row r="73" spans="3:6">
      <c r="C73" s="34"/>
      <c r="D73" s="34"/>
      <c r="E73" s="34"/>
      <c r="F73" s="34"/>
    </row>
  </sheetData>
  <mergeCells count="11">
    <mergeCell ref="E7:F7"/>
    <mergeCell ref="C32:F32"/>
    <mergeCell ref="C34:F34"/>
    <mergeCell ref="C36:F36"/>
    <mergeCell ref="C49:F49"/>
    <mergeCell ref="C38:F38"/>
    <mergeCell ref="C48:F48"/>
    <mergeCell ref="C47:F47"/>
    <mergeCell ref="C44:F44"/>
    <mergeCell ref="C40:F40"/>
    <mergeCell ref="C42:F42"/>
  </mergeCells>
  <phoneticPr fontId="0" type="noConversion"/>
  <printOptions horizontalCentered="1"/>
  <pageMargins left="0.7" right="0.7" top="0.75" bottom="0.75" header="0.3" footer="0.3"/>
  <pageSetup scale="85" orientation="portrait" horizontalDpi="4294967293" r:id="rId1"/>
  <headerFooter alignWithMargins="0"/>
  <rowBreaks count="2" manualBreakCount="2">
    <brk id="30" max="9" man="1"/>
    <brk id="5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35"/>
  <sheetViews>
    <sheetView view="pageBreakPreview" zoomScale="85" zoomScaleNormal="100" zoomScaleSheetLayoutView="85" workbookViewId="0">
      <selection sqref="A1:F1"/>
    </sheetView>
  </sheetViews>
  <sheetFormatPr defaultColWidth="12.28515625" defaultRowHeight="15.75"/>
  <cols>
    <col min="1" max="1" width="14" style="13" customWidth="1"/>
    <col min="2" max="2" width="4.28515625" style="13" bestFit="1" customWidth="1"/>
    <col min="3" max="3" width="43" style="13" customWidth="1"/>
    <col min="4" max="4" width="5.28515625" style="13" customWidth="1"/>
    <col min="5" max="5" width="18.28515625" style="13" customWidth="1"/>
    <col min="6" max="6" width="3.28515625" style="13" bestFit="1" customWidth="1"/>
    <col min="7" max="16384" width="12.28515625" style="13"/>
  </cols>
  <sheetData>
    <row r="1" spans="1:7">
      <c r="A1" s="989" t="str">
        <f>Input!G28</f>
        <v>Peoples Gas System</v>
      </c>
      <c r="B1" s="989"/>
      <c r="C1" s="989"/>
      <c r="D1" s="989"/>
      <c r="E1" s="989"/>
      <c r="F1" s="989"/>
    </row>
    <row r="2" spans="1:7">
      <c r="A2" s="1012" t="s">
        <v>2244</v>
      </c>
      <c r="B2" s="1012"/>
      <c r="C2" s="1012"/>
      <c r="D2" s="1012"/>
      <c r="E2" s="1012"/>
      <c r="F2" s="1012"/>
    </row>
    <row r="3" spans="1:7">
      <c r="A3" s="1012" t="s">
        <v>2246</v>
      </c>
      <c r="B3" s="1012"/>
      <c r="C3" s="1012"/>
      <c r="D3" s="1012"/>
      <c r="E3" s="1012"/>
      <c r="F3" s="1012"/>
    </row>
    <row r="4" spans="1:7">
      <c r="A4" s="989" t="s">
        <v>2245</v>
      </c>
      <c r="B4" s="989"/>
      <c r="C4" s="989"/>
      <c r="D4" s="989"/>
      <c r="E4" s="989"/>
      <c r="F4" s="989"/>
    </row>
    <row r="7" spans="1:7" ht="30.75" customHeight="1">
      <c r="A7" s="321" t="s">
        <v>92</v>
      </c>
      <c r="B7" s="1020" t="s">
        <v>2243</v>
      </c>
      <c r="C7" s="1020"/>
      <c r="E7" s="1019" t="s">
        <v>2242</v>
      </c>
      <c r="F7" s="1019"/>
    </row>
    <row r="8" spans="1:7">
      <c r="G8" s="166"/>
    </row>
    <row r="9" spans="1:7">
      <c r="A9" s="36" t="s">
        <v>93</v>
      </c>
      <c r="C9" s="13" t="s">
        <v>154</v>
      </c>
      <c r="E9" s="374">
        <f>('Market Data'!B12-'Market Data'!B13)*100</f>
        <v>4.2799999999999994</v>
      </c>
      <c r="F9" s="21" t="s">
        <v>18</v>
      </c>
      <c r="G9" s="166"/>
    </row>
    <row r="10" spans="1:7">
      <c r="A10" s="79"/>
      <c r="G10" s="166"/>
    </row>
    <row r="11" spans="1:7" ht="33" customHeight="1">
      <c r="A11" s="36" t="s">
        <v>99</v>
      </c>
      <c r="C11" s="19" t="s">
        <v>4136</v>
      </c>
      <c r="E11" s="23">
        <f>'MRP ERP WP'!AU42*100</f>
        <v>4.8011535468872779</v>
      </c>
    </row>
    <row r="12" spans="1:7">
      <c r="A12" s="79"/>
      <c r="C12" s="19"/>
      <c r="E12" s="23"/>
    </row>
    <row r="13" spans="1:7" ht="31.5">
      <c r="A13" s="36" t="s">
        <v>100</v>
      </c>
      <c r="C13" s="19" t="s">
        <v>4137</v>
      </c>
      <c r="E13" s="23">
        <f>ROUND('PRPM WP1'!I1177*100,2)</f>
        <v>5.56</v>
      </c>
    </row>
    <row r="14" spans="1:7">
      <c r="A14" s="36"/>
      <c r="B14" s="113"/>
      <c r="C14" s="113"/>
      <c r="E14" s="23"/>
    </row>
    <row r="15" spans="1:7" ht="47.25">
      <c r="A15" s="38" t="s">
        <v>104</v>
      </c>
      <c r="C15" s="19" t="s">
        <v>4138</v>
      </c>
      <c r="E15" s="23">
        <f>ROUND(('ERP WP 2'!H34*100)-'4.3 Risk Premium Summary'!G18,2)</f>
        <v>3.62</v>
      </c>
      <c r="F15" s="21"/>
    </row>
    <row r="16" spans="1:7">
      <c r="A16" s="38"/>
      <c r="C16" s="19"/>
      <c r="E16" s="23"/>
    </row>
    <row r="17" spans="1:7" ht="47.25" customHeight="1">
      <c r="A17" s="38" t="s">
        <v>105</v>
      </c>
      <c r="C17" s="19" t="s">
        <v>4139</v>
      </c>
      <c r="E17" s="22">
        <f>ROUND('ERP WP1'!O33*100-'4.3 Risk Premium Summary'!G18,2)</f>
        <v>3.32</v>
      </c>
      <c r="F17" s="21"/>
    </row>
    <row r="18" spans="1:7">
      <c r="A18" s="38"/>
      <c r="G18" s="56"/>
    </row>
    <row r="19" spans="1:7" ht="15" customHeight="1" thickBot="1">
      <c r="A19" s="38" t="s">
        <v>106</v>
      </c>
      <c r="C19" s="19" t="s">
        <v>4140</v>
      </c>
      <c r="E19" s="375">
        <f>ROUND(AVERAGE(E9:E17),2)</f>
        <v>4.32</v>
      </c>
      <c r="F19" s="21" t="s">
        <v>18</v>
      </c>
    </row>
    <row r="20" spans="1:7" ht="16.5" thickTop="1"/>
    <row r="22" spans="1:7" ht="87.75" customHeight="1">
      <c r="A22" s="27" t="s">
        <v>101</v>
      </c>
      <c r="B22" s="29" t="s">
        <v>95</v>
      </c>
      <c r="C22" s="988" t="s">
        <v>4366</v>
      </c>
      <c r="D22" s="988"/>
      <c r="E22" s="988"/>
      <c r="F22" s="988"/>
    </row>
    <row r="23" spans="1:7" ht="12.75" customHeight="1">
      <c r="A23" s="27"/>
      <c r="B23" s="29"/>
      <c r="C23" s="435"/>
      <c r="D23" s="435"/>
      <c r="E23" s="435"/>
      <c r="F23" s="435"/>
    </row>
    <row r="24" spans="1:7" ht="52.5" customHeight="1">
      <c r="A24" s="30"/>
      <c r="B24" s="29" t="s">
        <v>96</v>
      </c>
      <c r="C24" s="988" t="s">
        <v>4367</v>
      </c>
      <c r="D24" s="988"/>
      <c r="E24" s="988"/>
      <c r="F24" s="988"/>
    </row>
    <row r="25" spans="1:7" ht="12.75" customHeight="1">
      <c r="A25" s="30"/>
      <c r="B25" s="29"/>
      <c r="C25" s="435"/>
      <c r="D25" s="435"/>
      <c r="E25" s="435"/>
      <c r="F25" s="435"/>
    </row>
    <row r="26" spans="1:7" ht="68.25" customHeight="1">
      <c r="A26" s="27"/>
      <c r="B26" s="55" t="s">
        <v>97</v>
      </c>
      <c r="C26" s="988" t="str">
        <f>CONCATENATE("The Predictive Risk Premium Model (PRPM) is applied to the risk premium of the monthly total returns of the S&amp;P Utility Index and the monthly yields on Moody's A2 rated public utility bonds from January 1928 - ",Input!$G$25,".")</f>
        <v>The Predictive Risk Premium Model (PRPM) is applied to the risk premium of the monthly total returns of the S&amp;P Utility Index and the monthly yields on Moody's A2 rated public utility bonds from January 1928 - December 2022.</v>
      </c>
      <c r="D26" s="988"/>
      <c r="E26" s="988"/>
      <c r="F26" s="988"/>
    </row>
    <row r="27" spans="1:7" ht="12.75" customHeight="1">
      <c r="A27" s="27"/>
      <c r="B27" s="55"/>
      <c r="C27" s="435"/>
      <c r="D27" s="435"/>
      <c r="E27" s="435"/>
      <c r="F27" s="435"/>
    </row>
    <row r="28" spans="1:7" ht="99" customHeight="1">
      <c r="A28" s="27"/>
      <c r="B28" s="47" t="s">
        <v>98</v>
      </c>
      <c r="C28" s="988" t="str">
        <f>"Using data from Value Line for the S&amp;P Utilities Index, an expected return of "&amp;TEXT(ROUND('ERP WP 2'!H34*100,2),"#0.00")&amp;"% was derived based on expected dividend yields and long-term growth estimates as a proxy for market appreciation. Subtracting the expected A2 rated public utility bond yield of "&amp;'4.3 Risk Premium Summary'!G18&amp;"%, calculated on line 3 of page 3 of this Schedule results in an equity risk premium of "&amp;'4.12 S&amp;P RPM Study Returns'!E15&amp;"%. ("&amp;TEXT(ROUND('ERP WP 2'!H34*100,2),"#0.00")&amp;"% - "&amp;'4.3 Risk Premium Summary'!G18&amp;"% = "&amp;'4.12 S&amp;P RPM Study Returns'!E15&amp;"%)"</f>
        <v>Using data from Value Line for the S&amp;P Utilities Index, an expected return of 9.50% was derived based on expected dividend yields and long-term growth estimates as a proxy for market appreciation. Subtracting the expected A2 rated public utility bond yield of 5.88%, calculated on line 3 of page 3 of this Schedule results in an equity risk premium of 3.62%. (9.50% - 5.88% = 3.62%)</v>
      </c>
      <c r="D28" s="988"/>
      <c r="E28" s="988"/>
      <c r="F28" s="988"/>
      <c r="G28" s="544"/>
    </row>
    <row r="29" spans="1:7" ht="16.5" customHeight="1">
      <c r="A29" s="27"/>
      <c r="B29" s="47"/>
      <c r="C29" s="435"/>
      <c r="D29" s="435"/>
      <c r="E29" s="435"/>
      <c r="F29" s="435"/>
      <c r="G29" s="544"/>
    </row>
    <row r="30" spans="1:7" ht="97.5" customHeight="1">
      <c r="B30" s="47" t="s">
        <v>110</v>
      </c>
      <c r="C30" s="988" t="str">
        <f>"Using data from Bloomberg Services for the S&amp;P Utilities Index, an expected return of "&amp;TEXT(ROUND('ERP WP1'!O33*100,2),"#0.00")&amp;"% was derived based on expected dividend yields and long-term growth estimates as a proxy for market appreciation. Subtracting the expected A2 rated public utility bond yield of "&amp;'4.3 Risk Premium Summary'!G18&amp;"%, calculated on line 3 of page 3 of this Schedule results in an equity risk premium of "&amp;'4.12 S&amp;P RPM Study Returns'!E17&amp;"%. ("&amp;TEXT(ROUND('ERP WP1'!O33*100,2),"#0.00")&amp;"% - "&amp;'4.3 Risk Premium Summary'!G18&amp;"% = "&amp;'4.12 S&amp;P RPM Study Returns'!E17&amp;"%)"</f>
        <v>Using data from Bloomberg Services for the S&amp;P Utilities Index, an expected return of 9.20% was derived based on expected dividend yields and long-term growth estimates as a proxy for market appreciation. Subtracting the expected A2 rated public utility bond yield of 5.88%, calculated on line 3 of page 3 of this Schedule results in an equity risk premium of 3.32%. (9.20% - 5.88% = 3.32%)</v>
      </c>
      <c r="D30" s="988"/>
      <c r="E30" s="988"/>
      <c r="F30" s="988"/>
    </row>
    <row r="31" spans="1:7" ht="14.25" customHeight="1">
      <c r="B31" s="47"/>
      <c r="C31" s="435"/>
      <c r="D31" s="435"/>
      <c r="E31" s="435"/>
      <c r="F31" s="435"/>
    </row>
    <row r="32" spans="1:7" ht="21.75" customHeight="1">
      <c r="B32" s="47" t="s">
        <v>111</v>
      </c>
      <c r="C32" s="29" t="s">
        <v>2332</v>
      </c>
    </row>
    <row r="33" spans="2:6">
      <c r="B33" s="47"/>
      <c r="C33" s="988"/>
      <c r="D33" s="988"/>
      <c r="E33" s="988"/>
      <c r="F33" s="988"/>
    </row>
    <row r="34" spans="2:6" ht="60" customHeight="1">
      <c r="B34" s="47"/>
    </row>
    <row r="35" spans="2:6" ht="15" customHeight="1">
      <c r="B35" s="21"/>
      <c r="D35" s="64"/>
      <c r="E35" s="64"/>
      <c r="F35" s="64"/>
    </row>
  </sheetData>
  <mergeCells count="12">
    <mergeCell ref="C33:F33"/>
    <mergeCell ref="C30:F30"/>
    <mergeCell ref="C28:F28"/>
    <mergeCell ref="A1:F1"/>
    <mergeCell ref="A2:F2"/>
    <mergeCell ref="A3:F3"/>
    <mergeCell ref="A4:F4"/>
    <mergeCell ref="E7:F7"/>
    <mergeCell ref="B7:C7"/>
    <mergeCell ref="C22:F22"/>
    <mergeCell ref="C24:F24"/>
    <mergeCell ref="C26:F26"/>
  </mergeCells>
  <phoneticPr fontId="0" type="noConversion"/>
  <printOptions horizontalCentered="1"/>
  <pageMargins left="0.7" right="0.7" top="0.75" bottom="0.75" header="0.3" footer="0.3"/>
  <pageSetup scale="75"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ummaryBelow="0" summaryRight="0"/>
  </sheetPr>
  <dimension ref="A1:AI1464"/>
  <sheetViews>
    <sheetView view="pageBreakPreview" topLeftCell="R1" zoomScale="70" zoomScaleNormal="80" zoomScaleSheetLayoutView="70" workbookViewId="0">
      <selection activeCell="Z1" sqref="Z1"/>
    </sheetView>
  </sheetViews>
  <sheetFormatPr defaultColWidth="9" defaultRowHeight="12.75"/>
  <cols>
    <col min="1" max="1" width="25" style="273" bestFit="1" customWidth="1"/>
    <col min="2" max="2" width="30.28515625" style="273" bestFit="1" customWidth="1"/>
    <col min="3" max="3" width="30" style="273" bestFit="1" customWidth="1"/>
    <col min="4" max="4" width="11.5703125" style="273" bestFit="1" customWidth="1"/>
    <col min="5" max="5" width="13" style="273" bestFit="1" customWidth="1"/>
    <col min="6" max="6" width="12" style="273" customWidth="1"/>
    <col min="7" max="7" width="17.5703125" style="273" bestFit="1" customWidth="1"/>
    <col min="8" max="8" width="12.5703125" style="273" bestFit="1" customWidth="1"/>
    <col min="9" max="9" width="19" style="273" bestFit="1" customWidth="1"/>
    <col min="10" max="10" width="12" style="273" customWidth="1"/>
    <col min="11" max="11" width="15.28515625" style="273" customWidth="1"/>
    <col min="12" max="12" width="11.85546875" style="273" bestFit="1" customWidth="1"/>
    <col min="13" max="13" width="9" style="273"/>
    <col min="14" max="14" width="25" style="273" customWidth="1"/>
    <col min="15" max="15" width="9.7109375" style="273" customWidth="1"/>
    <col min="16" max="16" width="9" style="273" customWidth="1"/>
    <col min="17" max="17" width="14" style="273" bestFit="1" customWidth="1"/>
    <col min="18" max="19" width="13" style="273" bestFit="1" customWidth="1"/>
    <col min="20" max="23" width="13.7109375" style="273" bestFit="1" customWidth="1"/>
    <col min="24" max="25" width="9" style="273"/>
    <col min="26" max="26" width="9.28515625" style="273" customWidth="1"/>
    <col min="27" max="27" width="9" style="273"/>
    <col min="28" max="29" width="9" style="273" customWidth="1"/>
    <col min="30" max="30" width="13" style="273" customWidth="1"/>
    <col min="31" max="31" width="9" style="273" customWidth="1"/>
    <col min="32" max="32" width="13" style="273" customWidth="1"/>
    <col min="33" max="33" width="3.28515625" style="273" bestFit="1" customWidth="1"/>
    <col min="34" max="16384" width="9" style="273"/>
  </cols>
  <sheetData>
    <row r="1" spans="1:33" ht="18">
      <c r="A1" s="294" t="s">
        <v>2788</v>
      </c>
      <c r="O1" t="s">
        <v>2162</v>
      </c>
      <c r="P1"/>
      <c r="Q1"/>
      <c r="R1"/>
      <c r="S1"/>
      <c r="T1"/>
      <c r="U1"/>
      <c r="V1"/>
      <c r="W1"/>
      <c r="Z1" s="197" t="str">
        <f>Input!G28</f>
        <v>Peoples Gas System</v>
      </c>
      <c r="AA1" s="197"/>
      <c r="AB1" s="197"/>
      <c r="AC1" s="197"/>
      <c r="AD1" s="197"/>
      <c r="AE1" s="197"/>
      <c r="AF1" s="197"/>
      <c r="AG1" s="197"/>
    </row>
    <row r="2" spans="1:33" ht="16.5" thickBot="1">
      <c r="O2"/>
      <c r="P2"/>
      <c r="Q2"/>
      <c r="R2"/>
      <c r="S2"/>
      <c r="T2"/>
      <c r="U2"/>
      <c r="V2"/>
      <c r="W2"/>
      <c r="Z2" s="197" t="s">
        <v>2789</v>
      </c>
      <c r="AA2" s="197"/>
      <c r="AB2" s="197"/>
      <c r="AC2" s="197"/>
      <c r="AD2" s="197"/>
      <c r="AE2" s="197"/>
      <c r="AF2" s="197"/>
      <c r="AG2" s="197"/>
    </row>
    <row r="3" spans="1:33" ht="13.5" customHeight="1" thickBot="1">
      <c r="A3" s="293" t="s">
        <v>2790</v>
      </c>
      <c r="O3" s="107" t="s">
        <v>2163</v>
      </c>
      <c r="P3" s="107"/>
      <c r="Q3"/>
      <c r="R3"/>
      <c r="S3"/>
      <c r="T3"/>
      <c r="U3"/>
      <c r="V3"/>
      <c r="W3"/>
      <c r="Z3" s="197" t="s">
        <v>4221</v>
      </c>
      <c r="AA3" s="197"/>
      <c r="AB3" s="197"/>
      <c r="AC3" s="197"/>
      <c r="AD3" s="197"/>
      <c r="AE3" s="197"/>
      <c r="AF3" s="197"/>
      <c r="AG3" s="197"/>
    </row>
    <row r="4" spans="1:33" ht="16.5" thickBot="1">
      <c r="F4" s="1021" t="s">
        <v>2791</v>
      </c>
      <c r="G4" s="1021"/>
      <c r="H4" s="1021"/>
      <c r="I4" s="1021"/>
      <c r="J4" s="1021"/>
      <c r="K4" s="1021"/>
      <c r="O4" t="s">
        <v>2172</v>
      </c>
      <c r="P4">
        <v>0.93493158456930059</v>
      </c>
      <c r="Q4"/>
      <c r="R4"/>
      <c r="S4"/>
      <c r="T4"/>
      <c r="U4"/>
      <c r="V4"/>
      <c r="W4"/>
      <c r="Z4" s="196"/>
      <c r="AA4" s="196"/>
      <c r="AB4" s="196"/>
      <c r="AC4" s="196"/>
      <c r="AD4" s="196"/>
      <c r="AE4" s="196"/>
      <c r="AF4" s="196"/>
      <c r="AG4" s="196"/>
    </row>
    <row r="5" spans="1:33" ht="39">
      <c r="A5" s="292" t="s">
        <v>2792</v>
      </c>
      <c r="B5" s="292" t="s">
        <v>158</v>
      </c>
      <c r="C5" s="291" t="s">
        <v>2793</v>
      </c>
      <c r="D5" s="291" t="s">
        <v>2794</v>
      </c>
      <c r="E5" s="291" t="s">
        <v>2795</v>
      </c>
      <c r="F5" s="291" t="s">
        <v>147</v>
      </c>
      <c r="G5" s="291" t="s">
        <v>2796</v>
      </c>
      <c r="H5" s="290" t="s">
        <v>2797</v>
      </c>
      <c r="I5" s="290" t="s">
        <v>2798</v>
      </c>
      <c r="J5" s="290" t="s">
        <v>2799</v>
      </c>
      <c r="K5" s="290" t="s">
        <v>2800</v>
      </c>
      <c r="O5" t="s">
        <v>2173</v>
      </c>
      <c r="P5">
        <v>0.87409706782526331</v>
      </c>
      <c r="Q5"/>
      <c r="R5"/>
      <c r="S5"/>
      <c r="T5"/>
      <c r="U5"/>
      <c r="V5"/>
      <c r="W5"/>
      <c r="Z5" s="196"/>
      <c r="AA5" s="196"/>
      <c r="AB5" s="196"/>
      <c r="AC5" s="196"/>
      <c r="AD5" s="196"/>
      <c r="AE5" s="196"/>
      <c r="AF5" s="196"/>
      <c r="AG5" s="196"/>
    </row>
    <row r="6" spans="1:33" ht="15.75">
      <c r="A6" s="275" t="s">
        <v>2801</v>
      </c>
      <c r="B6" s="275" t="s">
        <v>3089</v>
      </c>
      <c r="C6" s="275" t="s">
        <v>3909</v>
      </c>
      <c r="D6" s="275" t="s">
        <v>3056</v>
      </c>
      <c r="E6" s="275" t="s">
        <v>2802</v>
      </c>
      <c r="F6" s="278">
        <v>29223</v>
      </c>
      <c r="G6" s="275" t="s">
        <v>2803</v>
      </c>
      <c r="H6" s="276">
        <v>12.55</v>
      </c>
      <c r="I6" s="276">
        <v>51.81</v>
      </c>
      <c r="J6" s="276">
        <v>11.89</v>
      </c>
      <c r="K6" s="276">
        <f t="shared" ref="K6:K69" si="0">H6-J6</f>
        <v>0.66000000000000014</v>
      </c>
      <c r="L6" s="335"/>
      <c r="O6" t="s">
        <v>2174</v>
      </c>
      <c r="P6">
        <v>0.87394277501622564</v>
      </c>
      <c r="Q6"/>
      <c r="R6"/>
      <c r="S6"/>
      <c r="T6"/>
      <c r="U6"/>
      <c r="V6"/>
      <c r="W6"/>
      <c r="Z6" s="196"/>
      <c r="AA6" s="196"/>
      <c r="AB6" s="196"/>
      <c r="AC6" s="196"/>
      <c r="AD6" s="196"/>
      <c r="AE6" s="196"/>
      <c r="AF6" s="196"/>
      <c r="AG6" s="196"/>
    </row>
    <row r="7" spans="1:33" ht="15.75">
      <c r="A7" s="275" t="s">
        <v>2804</v>
      </c>
      <c r="B7" s="275" t="s">
        <v>4373</v>
      </c>
      <c r="C7" s="275" t="s">
        <v>3908</v>
      </c>
      <c r="D7" s="275" t="s">
        <v>3056</v>
      </c>
      <c r="E7" s="275" t="s">
        <v>2802</v>
      </c>
      <c r="F7" s="278">
        <v>29224</v>
      </c>
      <c r="G7" s="275" t="s">
        <v>2803</v>
      </c>
      <c r="H7" s="276">
        <v>13.75</v>
      </c>
      <c r="I7" s="276">
        <v>35.1</v>
      </c>
      <c r="J7" s="276">
        <v>11.89</v>
      </c>
      <c r="K7" s="276">
        <f t="shared" si="0"/>
        <v>1.8599999999999994</v>
      </c>
      <c r="L7" s="335"/>
      <c r="O7" t="s">
        <v>2175</v>
      </c>
      <c r="P7">
        <v>0.76454890307022638</v>
      </c>
      <c r="Q7"/>
      <c r="R7"/>
      <c r="S7"/>
      <c r="T7"/>
      <c r="U7"/>
      <c r="V7"/>
      <c r="W7"/>
      <c r="Z7" s="196"/>
      <c r="AA7" s="196"/>
      <c r="AB7" s="196"/>
      <c r="AC7" s="196"/>
      <c r="AD7" s="196"/>
      <c r="AE7" s="196"/>
      <c r="AF7" s="196"/>
      <c r="AG7" s="196"/>
    </row>
    <row r="8" spans="1:33" ht="16.5" thickBot="1">
      <c r="A8" s="275" t="s">
        <v>2805</v>
      </c>
      <c r="B8" s="275" t="s">
        <v>3079</v>
      </c>
      <c r="C8" s="275" t="s">
        <v>3907</v>
      </c>
      <c r="D8" s="275" t="s">
        <v>3056</v>
      </c>
      <c r="E8" s="275" t="s">
        <v>2802</v>
      </c>
      <c r="F8" s="278">
        <v>29234</v>
      </c>
      <c r="G8" s="275" t="s">
        <v>2803</v>
      </c>
      <c r="H8" s="276">
        <v>13.2</v>
      </c>
      <c r="I8" s="276">
        <v>36.6</v>
      </c>
      <c r="J8" s="276">
        <v>11.89</v>
      </c>
      <c r="K8" s="276">
        <f t="shared" si="0"/>
        <v>1.3099999999999987</v>
      </c>
      <c r="L8" s="335"/>
      <c r="O8" s="105" t="s">
        <v>2176</v>
      </c>
      <c r="P8" s="105">
        <v>818</v>
      </c>
      <c r="Q8"/>
      <c r="R8"/>
      <c r="S8"/>
      <c r="T8"/>
      <c r="U8"/>
      <c r="V8"/>
      <c r="W8"/>
      <c r="Z8" s="196"/>
      <c r="AA8" s="196"/>
      <c r="AB8" s="196"/>
      <c r="AC8" s="196"/>
      <c r="AD8" s="196"/>
      <c r="AE8" s="196"/>
      <c r="AF8" s="196"/>
      <c r="AG8" s="196"/>
    </row>
    <row r="9" spans="1:33" ht="15.75">
      <c r="A9" s="275" t="s">
        <v>2806</v>
      </c>
      <c r="B9" s="275" t="s">
        <v>3081</v>
      </c>
      <c r="C9" s="275" t="s">
        <v>3906</v>
      </c>
      <c r="D9" s="275" t="s">
        <v>3056</v>
      </c>
      <c r="E9" s="275" t="s">
        <v>2802</v>
      </c>
      <c r="F9" s="278">
        <v>29238</v>
      </c>
      <c r="G9" s="275" t="s">
        <v>2803</v>
      </c>
      <c r="H9" s="276">
        <v>14</v>
      </c>
      <c r="I9" s="276">
        <v>35.090000000000003</v>
      </c>
      <c r="J9" s="276">
        <v>12.15</v>
      </c>
      <c r="K9" s="276">
        <f t="shared" si="0"/>
        <v>1.8499999999999996</v>
      </c>
      <c r="L9" s="335"/>
      <c r="O9"/>
      <c r="P9"/>
      <c r="Q9"/>
      <c r="R9"/>
      <c r="S9"/>
      <c r="T9"/>
      <c r="U9"/>
      <c r="V9"/>
      <c r="W9"/>
      <c r="Z9" s="196"/>
      <c r="AA9" s="196"/>
      <c r="AB9" s="196"/>
      <c r="AC9" s="196"/>
      <c r="AD9" s="196"/>
      <c r="AE9" s="196"/>
      <c r="AF9" s="196"/>
      <c r="AG9" s="196"/>
    </row>
    <row r="10" spans="1:33" ht="16.5" thickBot="1">
      <c r="A10" s="275" t="s">
        <v>2807</v>
      </c>
      <c r="B10" s="275" t="s">
        <v>3136</v>
      </c>
      <c r="C10" s="275" t="s">
        <v>3905</v>
      </c>
      <c r="D10" s="275" t="s">
        <v>3056</v>
      </c>
      <c r="E10" s="275" t="s">
        <v>2802</v>
      </c>
      <c r="F10" s="278">
        <v>29251</v>
      </c>
      <c r="G10" s="275" t="s">
        <v>2803</v>
      </c>
      <c r="H10" s="276">
        <v>12.61</v>
      </c>
      <c r="I10" s="276">
        <v>52</v>
      </c>
      <c r="J10" s="276">
        <v>12.15</v>
      </c>
      <c r="K10" s="276">
        <f t="shared" si="0"/>
        <v>0.45999999999999908</v>
      </c>
      <c r="L10" s="335"/>
      <c r="O10" t="s">
        <v>2177</v>
      </c>
      <c r="P10"/>
      <c r="Q10"/>
      <c r="R10"/>
      <c r="S10"/>
      <c r="T10"/>
      <c r="U10"/>
      <c r="V10"/>
      <c r="W10"/>
      <c r="Z10" s="196"/>
      <c r="AA10" s="196"/>
      <c r="AB10" s="196"/>
      <c r="AC10" s="196"/>
      <c r="AD10" s="196"/>
      <c r="AE10" s="196"/>
      <c r="AF10" s="196"/>
      <c r="AG10" s="196"/>
    </row>
    <row r="11" spans="1:33" ht="15.75">
      <c r="A11" s="275" t="s">
        <v>2808</v>
      </c>
      <c r="B11" s="275" t="s">
        <v>3409</v>
      </c>
      <c r="C11" s="275" t="s">
        <v>3904</v>
      </c>
      <c r="D11" s="275" t="s">
        <v>3056</v>
      </c>
      <c r="E11" s="275" t="s">
        <v>2802</v>
      </c>
      <c r="F11" s="278">
        <v>29259</v>
      </c>
      <c r="G11" s="275" t="s">
        <v>2803</v>
      </c>
      <c r="H11" s="276">
        <v>14.5</v>
      </c>
      <c r="I11" s="276">
        <v>49.31</v>
      </c>
      <c r="J11" s="276">
        <v>12.15</v>
      </c>
      <c r="K11" s="276">
        <f t="shared" si="0"/>
        <v>2.3499999999999996</v>
      </c>
      <c r="L11" s="335"/>
      <c r="O11" s="106"/>
      <c r="P11" s="106" t="s">
        <v>2178</v>
      </c>
      <c r="Q11" s="106" t="s">
        <v>2179</v>
      </c>
      <c r="R11" s="106" t="s">
        <v>1916</v>
      </c>
      <c r="S11" s="106" t="s">
        <v>1728</v>
      </c>
      <c r="T11" s="106" t="s">
        <v>2180</v>
      </c>
      <c r="U11"/>
      <c r="V11"/>
      <c r="W11"/>
      <c r="Z11" s="196"/>
      <c r="AA11" s="196"/>
      <c r="AB11" s="196"/>
      <c r="AC11" s="196"/>
      <c r="AD11" s="196"/>
      <c r="AE11" s="196"/>
      <c r="AF11" s="196"/>
      <c r="AG11" s="196"/>
    </row>
    <row r="12" spans="1:33" ht="15.75">
      <c r="A12" s="275" t="s">
        <v>2809</v>
      </c>
      <c r="B12" s="275" t="s">
        <v>2810</v>
      </c>
      <c r="C12" s="275" t="s">
        <v>3903</v>
      </c>
      <c r="D12" s="275" t="s">
        <v>3056</v>
      </c>
      <c r="E12" s="275" t="s">
        <v>2802</v>
      </c>
      <c r="F12" s="278">
        <v>29265</v>
      </c>
      <c r="G12" s="275" t="s">
        <v>2803</v>
      </c>
      <c r="H12" s="276">
        <v>13</v>
      </c>
      <c r="I12" s="276">
        <v>40</v>
      </c>
      <c r="J12" s="276">
        <v>12.15</v>
      </c>
      <c r="K12" s="276">
        <f t="shared" si="0"/>
        <v>0.84999999999999964</v>
      </c>
      <c r="L12" s="335"/>
      <c r="O12" t="s">
        <v>2181</v>
      </c>
      <c r="P12">
        <v>1</v>
      </c>
      <c r="Q12">
        <v>3311.4981491549188</v>
      </c>
      <c r="R12">
        <v>3311.4981491549188</v>
      </c>
      <c r="S12">
        <v>5665.1834474791967</v>
      </c>
      <c r="T12">
        <v>0</v>
      </c>
      <c r="U12"/>
      <c r="V12"/>
      <c r="W12"/>
      <c r="Z12" s="196"/>
      <c r="AA12" s="196"/>
      <c r="AB12" s="196"/>
      <c r="AC12" s="196"/>
      <c r="AD12" s="196"/>
      <c r="AE12" s="196"/>
      <c r="AF12" s="196"/>
      <c r="AG12" s="196"/>
    </row>
    <row r="13" spans="1:33" ht="15.75">
      <c r="A13" s="275" t="s">
        <v>2809</v>
      </c>
      <c r="B13" s="275" t="s">
        <v>3142</v>
      </c>
      <c r="C13" s="275" t="s">
        <v>3902</v>
      </c>
      <c r="D13" s="275" t="s">
        <v>3056</v>
      </c>
      <c r="E13" s="275" t="s">
        <v>2802</v>
      </c>
      <c r="F13" s="278">
        <v>29266</v>
      </c>
      <c r="G13" s="275" t="s">
        <v>2803</v>
      </c>
      <c r="H13" s="276">
        <v>13</v>
      </c>
      <c r="I13" s="276">
        <v>41.2</v>
      </c>
      <c r="J13" s="276">
        <v>12.21</v>
      </c>
      <c r="K13" s="276">
        <f t="shared" si="0"/>
        <v>0.78999999999999915</v>
      </c>
      <c r="L13" s="335"/>
      <c r="O13" t="s">
        <v>2182</v>
      </c>
      <c r="P13">
        <v>816</v>
      </c>
      <c r="Q13">
        <v>476.98058055168326</v>
      </c>
      <c r="R13">
        <v>0.5845350251858864</v>
      </c>
      <c r="S13"/>
      <c r="T13"/>
      <c r="U13"/>
      <c r="V13"/>
      <c r="W13"/>
      <c r="Z13" s="196"/>
      <c r="AA13" s="196"/>
      <c r="AB13" s="196"/>
      <c r="AC13" s="196"/>
      <c r="AD13" s="196"/>
      <c r="AE13" s="196"/>
      <c r="AF13" s="196"/>
      <c r="AG13" s="196"/>
    </row>
    <row r="14" spans="1:33" ht="16.5" thickBot="1">
      <c r="A14" s="275" t="s">
        <v>2811</v>
      </c>
      <c r="B14" s="275" t="s">
        <v>2812</v>
      </c>
      <c r="C14" s="275" t="s">
        <v>3901</v>
      </c>
      <c r="D14" s="275" t="s">
        <v>3056</v>
      </c>
      <c r="E14" s="275" t="s">
        <v>2802</v>
      </c>
      <c r="F14" s="278">
        <v>29280</v>
      </c>
      <c r="G14" s="275" t="s">
        <v>2803</v>
      </c>
      <c r="H14" s="276">
        <v>14</v>
      </c>
      <c r="I14" s="276">
        <v>38.5</v>
      </c>
      <c r="J14" s="276">
        <v>12.21</v>
      </c>
      <c r="K14" s="276">
        <f t="shared" si="0"/>
        <v>1.7899999999999991</v>
      </c>
      <c r="L14" s="335"/>
      <c r="O14" s="105" t="s">
        <v>86</v>
      </c>
      <c r="P14" s="105">
        <v>817</v>
      </c>
      <c r="Q14" s="105">
        <v>3788.4787297066023</v>
      </c>
      <c r="R14" s="105"/>
      <c r="S14" s="105"/>
      <c r="T14" s="105"/>
      <c r="U14"/>
      <c r="V14"/>
      <c r="W14"/>
      <c r="Z14" s="196"/>
      <c r="AA14" s="196"/>
      <c r="AB14" s="196"/>
      <c r="AC14" s="196"/>
      <c r="AD14" s="196"/>
      <c r="AE14" s="196"/>
      <c r="AF14" s="196"/>
      <c r="AG14" s="196"/>
    </row>
    <row r="15" spans="1:33" ht="16.5" thickBot="1">
      <c r="A15" s="275" t="s">
        <v>2813</v>
      </c>
      <c r="B15" s="275" t="s">
        <v>3385</v>
      </c>
      <c r="C15" s="275" t="s">
        <v>3900</v>
      </c>
      <c r="D15" s="275" t="s">
        <v>3056</v>
      </c>
      <c r="E15" s="275" t="s">
        <v>2802</v>
      </c>
      <c r="F15" s="278">
        <v>29285</v>
      </c>
      <c r="G15" s="275" t="s">
        <v>2803</v>
      </c>
      <c r="H15" s="276">
        <v>14</v>
      </c>
      <c r="I15" s="276">
        <v>33.65</v>
      </c>
      <c r="J15" s="276">
        <v>12.21</v>
      </c>
      <c r="K15" s="276">
        <f t="shared" si="0"/>
        <v>1.7899999999999991</v>
      </c>
      <c r="L15" s="335"/>
      <c r="O15"/>
      <c r="P15"/>
      <c r="Q15"/>
      <c r="R15"/>
      <c r="S15"/>
      <c r="T15"/>
      <c r="U15"/>
      <c r="V15"/>
      <c r="W15"/>
      <c r="Z15" s="196"/>
      <c r="AA15" s="196"/>
      <c r="AB15" s="196"/>
      <c r="AC15" s="196"/>
      <c r="AD15" s="196"/>
      <c r="AE15" s="196"/>
      <c r="AF15" s="196"/>
      <c r="AG15" s="196"/>
    </row>
    <row r="16" spans="1:33" ht="15.75">
      <c r="A16" s="275" t="s">
        <v>2811</v>
      </c>
      <c r="B16" s="275" t="s">
        <v>2814</v>
      </c>
      <c r="C16" s="275" t="s">
        <v>3899</v>
      </c>
      <c r="D16" s="275" t="s">
        <v>3056</v>
      </c>
      <c r="E16" s="275" t="s">
        <v>2802</v>
      </c>
      <c r="F16" s="278">
        <v>29287</v>
      </c>
      <c r="G16" s="275" t="s">
        <v>2803</v>
      </c>
      <c r="H16" s="276">
        <v>13.5</v>
      </c>
      <c r="I16" s="276">
        <v>44.69</v>
      </c>
      <c r="J16" s="276">
        <v>12.21</v>
      </c>
      <c r="K16" s="276">
        <f t="shared" si="0"/>
        <v>1.2899999999999991</v>
      </c>
      <c r="L16" s="335"/>
      <c r="O16" s="106"/>
      <c r="P16" s="106" t="s">
        <v>2183</v>
      </c>
      <c r="Q16" s="106" t="s">
        <v>2175</v>
      </c>
      <c r="R16" s="106" t="s">
        <v>2184</v>
      </c>
      <c r="S16" s="106" t="s">
        <v>2185</v>
      </c>
      <c r="T16" s="106" t="s">
        <v>2186</v>
      </c>
      <c r="U16" s="106" t="s">
        <v>2187</v>
      </c>
      <c r="V16" s="106" t="s">
        <v>2188</v>
      </c>
      <c r="W16" s="106" t="s">
        <v>2189</v>
      </c>
      <c r="Z16" s="196"/>
      <c r="AA16" s="196"/>
      <c r="AB16" s="196"/>
      <c r="AC16" s="196"/>
      <c r="AD16" s="196"/>
      <c r="AE16" s="196"/>
      <c r="AF16" s="196"/>
      <c r="AG16" s="196"/>
    </row>
    <row r="17" spans="1:35" ht="16.5" customHeight="1">
      <c r="A17" s="275" t="s">
        <v>2811</v>
      </c>
      <c r="B17" s="275" t="s">
        <v>4014</v>
      </c>
      <c r="C17" s="275" t="s">
        <v>3898</v>
      </c>
      <c r="D17" s="275" t="s">
        <v>3056</v>
      </c>
      <c r="E17" s="275" t="s">
        <v>2802</v>
      </c>
      <c r="F17" s="278">
        <v>29294</v>
      </c>
      <c r="G17" s="275" t="s">
        <v>2803</v>
      </c>
      <c r="H17" s="276">
        <v>14</v>
      </c>
      <c r="I17" s="276">
        <v>42.1</v>
      </c>
      <c r="J17" s="276">
        <v>12.21</v>
      </c>
      <c r="K17" s="276">
        <f t="shared" si="0"/>
        <v>1.7899999999999991</v>
      </c>
      <c r="L17" s="335"/>
      <c r="O17" t="s">
        <v>2190</v>
      </c>
      <c r="P17" s="514">
        <v>7.5669952762013377</v>
      </c>
      <c r="Q17">
        <v>6.8233493180595781E-2</v>
      </c>
      <c r="R17">
        <v>110.89854737721734</v>
      </c>
      <c r="S17">
        <v>0</v>
      </c>
      <c r="T17">
        <v>7.4330614293922457</v>
      </c>
      <c r="U17">
        <v>7.7009291230104298</v>
      </c>
      <c r="V17">
        <v>7.4330614293922457</v>
      </c>
      <c r="W17">
        <v>7.7009291230104298</v>
      </c>
      <c r="Z17" s="196"/>
      <c r="AA17" s="196"/>
      <c r="AB17" s="196"/>
      <c r="AC17" s="196"/>
      <c r="AD17" s="196"/>
      <c r="AE17" s="196"/>
      <c r="AF17" s="196"/>
      <c r="AG17" s="196"/>
    </row>
    <row r="18" spans="1:35" ht="16.5" thickBot="1">
      <c r="A18" s="275" t="s">
        <v>2811</v>
      </c>
      <c r="B18" s="275" t="s">
        <v>2815</v>
      </c>
      <c r="C18" s="275" t="s">
        <v>3897</v>
      </c>
      <c r="D18" s="275" t="s">
        <v>3056</v>
      </c>
      <c r="E18" s="275" t="s">
        <v>2802</v>
      </c>
      <c r="F18" s="278">
        <v>29307</v>
      </c>
      <c r="G18" s="275" t="s">
        <v>2803</v>
      </c>
      <c r="H18" s="276">
        <v>12.69</v>
      </c>
      <c r="I18" s="276">
        <v>39.25</v>
      </c>
      <c r="J18" s="276">
        <v>13.23</v>
      </c>
      <c r="K18" s="276">
        <f t="shared" si="0"/>
        <v>-0.54000000000000092</v>
      </c>
      <c r="L18" s="335"/>
      <c r="O18" s="105" t="s">
        <v>2799</v>
      </c>
      <c r="P18" s="515">
        <v>-0.4862997686198452</v>
      </c>
      <c r="Q18" s="105">
        <v>6.4609603248208117E-3</v>
      </c>
      <c r="R18" s="105">
        <v>-75.26741291873391</v>
      </c>
      <c r="S18" s="105">
        <v>0</v>
      </c>
      <c r="T18" s="105">
        <v>-0.49898182885225689</v>
      </c>
      <c r="U18" s="105">
        <v>-0.4736177083874335</v>
      </c>
      <c r="V18" s="105">
        <v>-0.49898182885225689</v>
      </c>
      <c r="W18" s="105">
        <v>-0.4736177083874335</v>
      </c>
      <c r="Z18" s="196"/>
      <c r="AA18" s="196"/>
      <c r="AB18" s="196"/>
      <c r="AC18" s="196"/>
      <c r="AD18" s="196"/>
      <c r="AE18" s="196"/>
      <c r="AF18" s="196"/>
      <c r="AG18" s="196"/>
    </row>
    <row r="19" spans="1:35" ht="15.75">
      <c r="A19" s="275" t="s">
        <v>2816</v>
      </c>
      <c r="B19" s="275" t="s">
        <v>2817</v>
      </c>
      <c r="C19" s="275" t="s">
        <v>3896</v>
      </c>
      <c r="D19" s="275" t="s">
        <v>3056</v>
      </c>
      <c r="E19" s="275" t="s">
        <v>2802</v>
      </c>
      <c r="F19" s="278">
        <v>29340</v>
      </c>
      <c r="G19" s="275" t="s">
        <v>2803</v>
      </c>
      <c r="H19" s="276">
        <v>12.5</v>
      </c>
      <c r="I19" s="276">
        <v>36.5</v>
      </c>
      <c r="J19" s="276">
        <v>14.59</v>
      </c>
      <c r="K19" s="276">
        <f t="shared" si="0"/>
        <v>-2.09</v>
      </c>
      <c r="L19" s="335"/>
      <c r="O19"/>
      <c r="P19"/>
      <c r="Q19"/>
      <c r="R19"/>
      <c r="S19"/>
      <c r="T19"/>
      <c r="U19"/>
      <c r="V19"/>
      <c r="W19"/>
      <c r="Z19" s="196"/>
      <c r="AA19" s="196"/>
      <c r="AB19" s="196"/>
      <c r="AC19" s="196"/>
      <c r="AD19" s="196"/>
      <c r="AE19" s="196"/>
      <c r="AF19" s="196"/>
      <c r="AG19" s="196"/>
    </row>
    <row r="20" spans="1:35" ht="63">
      <c r="A20" s="275" t="s">
        <v>2818</v>
      </c>
      <c r="B20" s="275" t="s">
        <v>4374</v>
      </c>
      <c r="C20" s="275" t="s">
        <v>3895</v>
      </c>
      <c r="D20" s="275" t="s">
        <v>3056</v>
      </c>
      <c r="E20" s="275" t="s">
        <v>2802</v>
      </c>
      <c r="F20" s="278">
        <v>29348</v>
      </c>
      <c r="G20" s="275" t="s">
        <v>2803</v>
      </c>
      <c r="H20" s="276">
        <v>14.27</v>
      </c>
      <c r="I20" s="276">
        <v>34.24</v>
      </c>
      <c r="J20" s="276">
        <v>14.59</v>
      </c>
      <c r="K20" s="276">
        <f t="shared" si="0"/>
        <v>-0.32000000000000028</v>
      </c>
      <c r="L20" s="335"/>
      <c r="O20"/>
      <c r="P20"/>
      <c r="Q20"/>
      <c r="R20"/>
      <c r="S20"/>
      <c r="T20"/>
      <c r="U20"/>
      <c r="V20"/>
      <c r="W20"/>
      <c r="Z20" s="342" t="s">
        <v>2826</v>
      </c>
      <c r="AA20" s="199"/>
      <c r="AB20" s="342" t="s">
        <v>2827</v>
      </c>
      <c r="AC20" s="199"/>
      <c r="AD20" s="200" t="s">
        <v>3935</v>
      </c>
      <c r="AE20" s="199"/>
      <c r="AF20" s="200" t="s">
        <v>2828</v>
      </c>
      <c r="AG20" s="196"/>
    </row>
    <row r="21" spans="1:35" ht="15.75">
      <c r="A21" s="275" t="s">
        <v>2819</v>
      </c>
      <c r="B21" s="275" t="s">
        <v>2820</v>
      </c>
      <c r="C21" s="275" t="s">
        <v>3894</v>
      </c>
      <c r="D21" s="275" t="s">
        <v>3056</v>
      </c>
      <c r="E21" s="275" t="s">
        <v>2802</v>
      </c>
      <c r="F21" s="278">
        <v>29349</v>
      </c>
      <c r="G21" s="275" t="s">
        <v>2803</v>
      </c>
      <c r="H21" s="276">
        <v>13.75</v>
      </c>
      <c r="I21" s="276">
        <v>35.909999999999997</v>
      </c>
      <c r="J21" s="276">
        <v>14.59</v>
      </c>
      <c r="K21" s="276">
        <f t="shared" si="0"/>
        <v>-0.83999999999999986</v>
      </c>
      <c r="L21" s="335"/>
      <c r="O21"/>
      <c r="P21"/>
      <c r="Q21"/>
      <c r="R21"/>
      <c r="S21"/>
      <c r="T21"/>
      <c r="U21"/>
      <c r="V21"/>
      <c r="W21"/>
      <c r="Z21" s="500">
        <f>P17</f>
        <v>7.5669952762013377</v>
      </c>
      <c r="AA21" s="204" t="s">
        <v>18</v>
      </c>
      <c r="AB21" s="196">
        <f>P18</f>
        <v>-0.4862997686198452</v>
      </c>
      <c r="AC21" s="196"/>
      <c r="AD21" s="343">
        <f>'4.3 Risk Premium Summary'!G18</f>
        <v>5.88</v>
      </c>
      <c r="AE21" s="204" t="s">
        <v>18</v>
      </c>
      <c r="AF21" s="343">
        <f>AB21*AD21+Z21</f>
        <v>4.707552636716648</v>
      </c>
      <c r="AG21" s="204" t="s">
        <v>18</v>
      </c>
    </row>
    <row r="22" spans="1:35" ht="15.75">
      <c r="A22" s="275" t="s">
        <v>2821</v>
      </c>
      <c r="B22" s="275" t="s">
        <v>3073</v>
      </c>
      <c r="C22" s="275" t="s">
        <v>3893</v>
      </c>
      <c r="D22" s="275" t="s">
        <v>3056</v>
      </c>
      <c r="E22" s="275" t="s">
        <v>2802</v>
      </c>
      <c r="F22" s="278">
        <v>29360</v>
      </c>
      <c r="G22" s="275" t="s">
        <v>2803</v>
      </c>
      <c r="H22" s="276">
        <v>15.5</v>
      </c>
      <c r="I22" s="276">
        <v>44.87</v>
      </c>
      <c r="J22" s="276">
        <v>14.59</v>
      </c>
      <c r="K22" s="276">
        <f t="shared" si="0"/>
        <v>0.91000000000000014</v>
      </c>
      <c r="L22" s="335"/>
      <c r="O22"/>
      <c r="P22"/>
      <c r="Q22"/>
      <c r="R22"/>
      <c r="S22"/>
      <c r="T22"/>
      <c r="U22"/>
      <c r="V22"/>
      <c r="W22"/>
      <c r="Z22" s="196"/>
      <c r="AA22" s="196"/>
      <c r="AB22" s="196"/>
      <c r="AC22" s="196"/>
      <c r="AD22" s="196"/>
      <c r="AE22" s="196"/>
      <c r="AF22" s="196"/>
      <c r="AG22" s="196"/>
    </row>
    <row r="23" spans="1:35" ht="15.75">
      <c r="A23" s="275" t="s">
        <v>2822</v>
      </c>
      <c r="B23" s="275" t="s">
        <v>2823</v>
      </c>
      <c r="C23" s="275" t="s">
        <v>3892</v>
      </c>
      <c r="D23" s="275" t="s">
        <v>3056</v>
      </c>
      <c r="E23" s="275" t="s">
        <v>2802</v>
      </c>
      <c r="F23" s="278">
        <v>29368</v>
      </c>
      <c r="G23" s="275" t="s">
        <v>2803</v>
      </c>
      <c r="H23" s="276">
        <v>14.6</v>
      </c>
      <c r="I23" s="276">
        <v>35.799999999999997</v>
      </c>
      <c r="J23" s="276">
        <v>14.29</v>
      </c>
      <c r="K23" s="276">
        <f t="shared" si="0"/>
        <v>0.3100000000000005</v>
      </c>
      <c r="L23" s="335"/>
      <c r="O23"/>
      <c r="P23"/>
      <c r="Q23"/>
      <c r="R23"/>
      <c r="S23"/>
      <c r="T23"/>
      <c r="U23"/>
      <c r="V23"/>
      <c r="W23"/>
      <c r="Z23" s="196"/>
      <c r="AA23" s="196"/>
      <c r="AB23" s="196"/>
      <c r="AC23" s="196"/>
      <c r="AD23" s="196"/>
      <c r="AE23" s="196"/>
      <c r="AF23" s="196"/>
      <c r="AG23" s="196"/>
    </row>
    <row r="24" spans="1:35" ht="15.75">
      <c r="A24" s="275" t="s">
        <v>2824</v>
      </c>
      <c r="B24" s="275" t="s">
        <v>2825</v>
      </c>
      <c r="C24" s="275" t="s">
        <v>3891</v>
      </c>
      <c r="D24" s="275" t="s">
        <v>3056</v>
      </c>
      <c r="E24" s="275" t="s">
        <v>2802</v>
      </c>
      <c r="F24" s="278">
        <v>29370</v>
      </c>
      <c r="G24" s="275" t="s">
        <v>2803</v>
      </c>
      <c r="H24" s="276">
        <v>16</v>
      </c>
      <c r="I24" s="276">
        <v>37.21</v>
      </c>
      <c r="J24" s="276">
        <v>14.29</v>
      </c>
      <c r="K24" s="276">
        <f t="shared" si="0"/>
        <v>1.7100000000000009</v>
      </c>
      <c r="L24" s="335"/>
      <c r="O24"/>
      <c r="P24"/>
      <c r="Q24"/>
      <c r="R24"/>
      <c r="S24"/>
      <c r="T24"/>
      <c r="U24"/>
      <c r="V24"/>
      <c r="W24"/>
      <c r="Z24" s="196" t="s">
        <v>94</v>
      </c>
      <c r="AA24" s="196"/>
      <c r="AB24" s="196"/>
      <c r="AC24" s="196"/>
      <c r="AD24" s="196"/>
      <c r="AE24" s="196"/>
      <c r="AF24" s="196"/>
      <c r="AG24" s="196"/>
    </row>
    <row r="25" spans="1:35" ht="15.75">
      <c r="A25" s="275" t="s">
        <v>2805</v>
      </c>
      <c r="B25" s="275" t="s">
        <v>2829</v>
      </c>
      <c r="C25" s="275" t="s">
        <v>3890</v>
      </c>
      <c r="D25" s="275" t="s">
        <v>3056</v>
      </c>
      <c r="E25" s="275" t="s">
        <v>2802</v>
      </c>
      <c r="F25" s="278">
        <v>29382</v>
      </c>
      <c r="G25" s="275" t="s">
        <v>2803</v>
      </c>
      <c r="H25" s="276">
        <v>13.78</v>
      </c>
      <c r="I25" s="276">
        <v>38.5</v>
      </c>
      <c r="J25" s="276">
        <v>14.29</v>
      </c>
      <c r="K25" s="276">
        <f t="shared" si="0"/>
        <v>-0.50999999999999979</v>
      </c>
      <c r="L25" s="335"/>
      <c r="O25"/>
      <c r="P25"/>
      <c r="Q25"/>
      <c r="R25"/>
      <c r="S25"/>
      <c r="T25"/>
      <c r="U25"/>
      <c r="V25"/>
      <c r="W25"/>
      <c r="Z25" s="426" t="s">
        <v>95</v>
      </c>
      <c r="AA25" s="344" t="s">
        <v>4439</v>
      </c>
      <c r="AB25" s="344"/>
      <c r="AC25" s="344"/>
      <c r="AD25" s="344"/>
      <c r="AE25" s="344"/>
      <c r="AF25" s="344"/>
      <c r="AG25" s="344"/>
      <c r="AI25" s="289"/>
    </row>
    <row r="26" spans="1:35" ht="15.75">
      <c r="A26" s="275" t="s">
        <v>2830</v>
      </c>
      <c r="B26" s="275" t="s">
        <v>3157</v>
      </c>
      <c r="C26" s="275" t="s">
        <v>4368</v>
      </c>
      <c r="D26" s="275" t="s">
        <v>3056</v>
      </c>
      <c r="E26" s="275" t="s">
        <v>2802</v>
      </c>
      <c r="F26" s="278">
        <v>29397</v>
      </c>
      <c r="G26" s="275" t="s">
        <v>2803</v>
      </c>
      <c r="H26" s="276">
        <v>14.25</v>
      </c>
      <c r="I26" s="276">
        <v>41.76</v>
      </c>
      <c r="J26" s="276">
        <v>12.74</v>
      </c>
      <c r="K26" s="276">
        <f t="shared" si="0"/>
        <v>1.5099999999999998</v>
      </c>
      <c r="L26" s="335"/>
      <c r="O26"/>
      <c r="P26"/>
      <c r="Q26"/>
      <c r="R26"/>
      <c r="S26"/>
      <c r="T26"/>
      <c r="U26"/>
      <c r="V26"/>
      <c r="W26"/>
      <c r="Z26" s="344"/>
      <c r="AA26" s="344"/>
      <c r="AB26" s="344"/>
      <c r="AC26" s="344"/>
      <c r="AD26" s="344"/>
      <c r="AE26" s="344"/>
      <c r="AF26" s="344"/>
      <c r="AG26" s="344"/>
    </row>
    <row r="27" spans="1:35" ht="15.75">
      <c r="A27" s="275" t="s">
        <v>2818</v>
      </c>
      <c r="B27" s="275" t="s">
        <v>4015</v>
      </c>
      <c r="C27" s="275" t="s">
        <v>3889</v>
      </c>
      <c r="D27" s="275" t="s">
        <v>3056</v>
      </c>
      <c r="E27" s="275" t="s">
        <v>2802</v>
      </c>
      <c r="F27" s="278">
        <v>29411</v>
      </c>
      <c r="G27" s="275" t="s">
        <v>2803</v>
      </c>
      <c r="H27" s="276">
        <v>14.51</v>
      </c>
      <c r="I27" s="276">
        <v>53.69</v>
      </c>
      <c r="J27" s="276">
        <v>12.74</v>
      </c>
      <c r="K27" s="276">
        <f t="shared" si="0"/>
        <v>1.7699999999999996</v>
      </c>
      <c r="L27" s="335"/>
      <c r="O27"/>
      <c r="P27"/>
      <c r="Q27"/>
      <c r="R27"/>
      <c r="S27"/>
      <c r="T27"/>
      <c r="U27"/>
      <c r="V27"/>
      <c r="W27"/>
      <c r="Z27" s="344" t="s">
        <v>4224</v>
      </c>
      <c r="AA27" s="344"/>
      <c r="AB27" s="344"/>
      <c r="AC27" s="344"/>
      <c r="AD27" s="344"/>
      <c r="AE27" s="344"/>
      <c r="AF27" s="344"/>
      <c r="AG27" s="344"/>
      <c r="AI27" s="289"/>
    </row>
    <row r="28" spans="1:35">
      <c r="A28" s="275" t="s">
        <v>2831</v>
      </c>
      <c r="B28" s="275" t="s">
        <v>4016</v>
      </c>
      <c r="C28" s="275" t="s">
        <v>3888</v>
      </c>
      <c r="D28" s="275" t="s">
        <v>3056</v>
      </c>
      <c r="E28" s="275" t="s">
        <v>2802</v>
      </c>
      <c r="F28" s="278">
        <v>29419</v>
      </c>
      <c r="G28" s="275" t="s">
        <v>2803</v>
      </c>
      <c r="H28" s="276">
        <v>12.9</v>
      </c>
      <c r="I28" s="276">
        <v>42</v>
      </c>
      <c r="J28" s="276">
        <v>12.4</v>
      </c>
      <c r="K28" s="276">
        <f t="shared" si="0"/>
        <v>0.5</v>
      </c>
      <c r="L28" s="335"/>
      <c r="O28"/>
      <c r="P28"/>
      <c r="Q28"/>
      <c r="R28"/>
      <c r="S28"/>
      <c r="T28"/>
      <c r="U28"/>
      <c r="V28"/>
      <c r="W28"/>
    </row>
    <row r="29" spans="1:35">
      <c r="A29" s="275" t="s">
        <v>2811</v>
      </c>
      <c r="B29" s="275" t="s">
        <v>4017</v>
      </c>
      <c r="C29" s="275" t="s">
        <v>3887</v>
      </c>
      <c r="D29" s="275" t="s">
        <v>3056</v>
      </c>
      <c r="E29" s="275" t="s">
        <v>2802</v>
      </c>
      <c r="F29" s="278">
        <v>29420</v>
      </c>
      <c r="G29" s="275" t="s">
        <v>2803</v>
      </c>
      <c r="H29" s="276">
        <v>13.8</v>
      </c>
      <c r="I29" s="276">
        <v>39.9</v>
      </c>
      <c r="J29" s="276">
        <v>12.4</v>
      </c>
      <c r="K29" s="276">
        <f t="shared" si="0"/>
        <v>1.4000000000000004</v>
      </c>
      <c r="L29" s="335"/>
      <c r="O29"/>
      <c r="P29"/>
      <c r="Q29"/>
      <c r="R29"/>
      <c r="S29"/>
      <c r="T29"/>
      <c r="U29"/>
      <c r="V29"/>
      <c r="W29"/>
    </row>
    <row r="30" spans="1:35">
      <c r="A30" s="275" t="s">
        <v>2811</v>
      </c>
      <c r="B30" s="275" t="s">
        <v>2832</v>
      </c>
      <c r="C30" s="275" t="s">
        <v>3886</v>
      </c>
      <c r="D30" s="275" t="s">
        <v>3056</v>
      </c>
      <c r="E30" s="275" t="s">
        <v>2802</v>
      </c>
      <c r="F30" s="278">
        <v>29424</v>
      </c>
      <c r="G30" s="275" t="s">
        <v>2803</v>
      </c>
      <c r="H30" s="276">
        <v>14.1</v>
      </c>
      <c r="I30" s="276">
        <v>39.9</v>
      </c>
      <c r="J30" s="276">
        <v>12.4</v>
      </c>
      <c r="K30" s="276">
        <f t="shared" si="0"/>
        <v>1.6999999999999993</v>
      </c>
      <c r="L30" s="335"/>
      <c r="O30"/>
      <c r="P30"/>
      <c r="Q30"/>
      <c r="R30"/>
      <c r="S30"/>
      <c r="T30"/>
      <c r="U30"/>
      <c r="V30"/>
      <c r="W30"/>
    </row>
    <row r="31" spans="1:35">
      <c r="A31" s="275" t="s">
        <v>2813</v>
      </c>
      <c r="B31" s="275" t="s">
        <v>3385</v>
      </c>
      <c r="C31" s="275" t="s">
        <v>3885</v>
      </c>
      <c r="D31" s="275" t="s">
        <v>3056</v>
      </c>
      <c r="E31" s="275" t="s">
        <v>2802</v>
      </c>
      <c r="F31" s="278">
        <v>29425</v>
      </c>
      <c r="G31" s="275" t="s">
        <v>2803</v>
      </c>
      <c r="H31" s="276">
        <v>14.19</v>
      </c>
      <c r="I31" s="276">
        <v>32.51</v>
      </c>
      <c r="J31" s="276">
        <v>12.4</v>
      </c>
      <c r="K31" s="276">
        <f t="shared" si="0"/>
        <v>1.7899999999999991</v>
      </c>
      <c r="L31" s="335"/>
      <c r="O31"/>
      <c r="P31"/>
      <c r="Q31"/>
      <c r="R31"/>
      <c r="S31"/>
      <c r="T31"/>
      <c r="U31"/>
      <c r="V31"/>
      <c r="W31"/>
    </row>
    <row r="32" spans="1:35">
      <c r="A32" s="275" t="s">
        <v>2816</v>
      </c>
      <c r="B32" s="275" t="s">
        <v>2817</v>
      </c>
      <c r="C32" s="275" t="s">
        <v>3884</v>
      </c>
      <c r="D32" s="275" t="s">
        <v>3056</v>
      </c>
      <c r="E32" s="275" t="s">
        <v>2802</v>
      </c>
      <c r="F32" s="278">
        <v>29434</v>
      </c>
      <c r="G32" s="275" t="s">
        <v>2803</v>
      </c>
      <c r="H32" s="276">
        <v>12.5</v>
      </c>
      <c r="I32" s="276">
        <v>36.44</v>
      </c>
      <c r="J32" s="276">
        <v>12.4</v>
      </c>
      <c r="K32" s="276">
        <f t="shared" si="0"/>
        <v>9.9999999999999645E-2</v>
      </c>
      <c r="L32" s="335"/>
      <c r="O32"/>
      <c r="P32"/>
      <c r="Q32"/>
      <c r="R32"/>
      <c r="S32"/>
      <c r="T32"/>
      <c r="U32"/>
      <c r="V32"/>
      <c r="W32"/>
    </row>
    <row r="33" spans="1:23">
      <c r="A33" s="275" t="s">
        <v>2833</v>
      </c>
      <c r="B33" s="275" t="s">
        <v>2834</v>
      </c>
      <c r="C33" s="275" t="s">
        <v>3883</v>
      </c>
      <c r="D33" s="275" t="s">
        <v>3056</v>
      </c>
      <c r="E33" s="275" t="s">
        <v>2802</v>
      </c>
      <c r="F33" s="278">
        <v>29444</v>
      </c>
      <c r="G33" s="275" t="s">
        <v>2803</v>
      </c>
      <c r="H33" s="276">
        <v>14.85</v>
      </c>
      <c r="I33" s="276">
        <v>36.619999999999997</v>
      </c>
      <c r="J33" s="276">
        <v>12.4</v>
      </c>
      <c r="K33" s="276">
        <f t="shared" si="0"/>
        <v>2.4499999999999993</v>
      </c>
      <c r="L33" s="335"/>
      <c r="O33" s="305"/>
      <c r="P33" s="305"/>
      <c r="Q33" s="305"/>
      <c r="R33" s="305"/>
      <c r="S33" s="305"/>
      <c r="T33" s="305"/>
      <c r="U33"/>
      <c r="V33"/>
      <c r="W33"/>
    </row>
    <row r="34" spans="1:23">
      <c r="A34" s="275" t="s">
        <v>2804</v>
      </c>
      <c r="B34" s="275" t="s">
        <v>4014</v>
      </c>
      <c r="C34" s="275" t="s">
        <v>3882</v>
      </c>
      <c r="D34" s="275" t="s">
        <v>3056</v>
      </c>
      <c r="E34" s="275" t="s">
        <v>2802</v>
      </c>
      <c r="F34" s="278">
        <v>29461</v>
      </c>
      <c r="G34" s="275" t="s">
        <v>2803</v>
      </c>
      <c r="H34" s="276">
        <v>14</v>
      </c>
      <c r="I34" s="276">
        <v>44.5</v>
      </c>
      <c r="J34" s="276">
        <v>12.15</v>
      </c>
      <c r="K34" s="276">
        <f t="shared" si="0"/>
        <v>1.8499999999999996</v>
      </c>
      <c r="L34" s="335"/>
      <c r="O34"/>
      <c r="P34"/>
      <c r="Q34"/>
      <c r="R34"/>
      <c r="S34"/>
      <c r="T34"/>
      <c r="U34"/>
      <c r="V34"/>
      <c r="W34"/>
    </row>
    <row r="35" spans="1:23">
      <c r="A35" s="275" t="s">
        <v>2811</v>
      </c>
      <c r="B35" s="275" t="s">
        <v>3623</v>
      </c>
      <c r="C35" s="275" t="s">
        <v>3881</v>
      </c>
      <c r="D35" s="275" t="s">
        <v>3056</v>
      </c>
      <c r="E35" s="275" t="s">
        <v>2802</v>
      </c>
      <c r="F35" s="278">
        <v>29468</v>
      </c>
      <c r="G35" s="275" t="s">
        <v>2803</v>
      </c>
      <c r="H35" s="276">
        <v>14</v>
      </c>
      <c r="I35" s="276">
        <v>41.14</v>
      </c>
      <c r="J35" s="276">
        <v>12.15</v>
      </c>
      <c r="K35" s="276">
        <f t="shared" si="0"/>
        <v>1.8499999999999996</v>
      </c>
      <c r="L35" s="335"/>
      <c r="O35"/>
      <c r="P35"/>
      <c r="Q35"/>
      <c r="R35"/>
      <c r="S35"/>
      <c r="T35"/>
      <c r="U35"/>
      <c r="V35"/>
      <c r="W35"/>
    </row>
    <row r="36" spans="1:23">
      <c r="A36" s="275" t="s">
        <v>2835</v>
      </c>
      <c r="B36" s="275" t="s">
        <v>2836</v>
      </c>
      <c r="C36" s="275" t="s">
        <v>3880</v>
      </c>
      <c r="D36" s="275" t="s">
        <v>3056</v>
      </c>
      <c r="E36" s="275" t="s">
        <v>2802</v>
      </c>
      <c r="F36" s="278">
        <v>29488</v>
      </c>
      <c r="G36" s="275" t="s">
        <v>2803</v>
      </c>
      <c r="H36" s="276">
        <v>15</v>
      </c>
      <c r="I36" s="276">
        <v>36.43</v>
      </c>
      <c r="J36" s="276">
        <v>12.66</v>
      </c>
      <c r="K36" s="276">
        <f t="shared" si="0"/>
        <v>2.34</v>
      </c>
      <c r="L36" s="335"/>
      <c r="O36"/>
      <c r="P36"/>
      <c r="Q36"/>
      <c r="R36"/>
      <c r="S36"/>
      <c r="T36"/>
      <c r="U36"/>
      <c r="V36"/>
      <c r="W36"/>
    </row>
    <row r="37" spans="1:23">
      <c r="A37" s="275" t="s">
        <v>2830</v>
      </c>
      <c r="B37" s="275" t="s">
        <v>4018</v>
      </c>
      <c r="C37" s="275" t="s">
        <v>3879</v>
      </c>
      <c r="D37" s="275" t="s">
        <v>3056</v>
      </c>
      <c r="E37" s="275" t="s">
        <v>2802</v>
      </c>
      <c r="F37" s="278">
        <v>29503</v>
      </c>
      <c r="G37" s="275" t="s">
        <v>2803</v>
      </c>
      <c r="H37" s="276">
        <v>14.5</v>
      </c>
      <c r="I37" s="276">
        <v>35.119999999999997</v>
      </c>
      <c r="J37" s="276">
        <v>12.66</v>
      </c>
      <c r="K37" s="276">
        <f t="shared" si="0"/>
        <v>1.8399999999999999</v>
      </c>
      <c r="L37" s="335"/>
      <c r="O37"/>
      <c r="P37"/>
      <c r="Q37"/>
      <c r="R37"/>
      <c r="S37"/>
      <c r="T37"/>
      <c r="U37"/>
      <c r="V37"/>
      <c r="W37"/>
    </row>
    <row r="38" spans="1:23">
      <c r="A38" s="275" t="s">
        <v>2830</v>
      </c>
      <c r="B38" s="275" t="s">
        <v>4018</v>
      </c>
      <c r="C38" s="275" t="s">
        <v>3878</v>
      </c>
      <c r="D38" s="275" t="s">
        <v>3056</v>
      </c>
      <c r="E38" s="275" t="s">
        <v>2802</v>
      </c>
      <c r="F38" s="278">
        <v>29503</v>
      </c>
      <c r="G38" s="275" t="s">
        <v>2803</v>
      </c>
      <c r="H38" s="276">
        <v>14.5</v>
      </c>
      <c r="I38" s="276">
        <v>37.1</v>
      </c>
      <c r="J38" s="276">
        <v>12.66</v>
      </c>
      <c r="K38" s="276">
        <f t="shared" si="0"/>
        <v>1.8399999999999999</v>
      </c>
      <c r="L38" s="335"/>
      <c r="O38" s="305"/>
      <c r="P38" s="305"/>
      <c r="Q38" s="305"/>
      <c r="R38" s="305"/>
      <c r="S38" s="305"/>
      <c r="T38" s="305"/>
      <c r="U38" s="305"/>
      <c r="V38" s="305"/>
      <c r="W38" s="305"/>
    </row>
    <row r="39" spans="1:23">
      <c r="A39" s="275" t="s">
        <v>2837</v>
      </c>
      <c r="B39" s="275" t="s">
        <v>3094</v>
      </c>
      <c r="C39" s="275" t="s">
        <v>3876</v>
      </c>
      <c r="D39" s="275" t="s">
        <v>3056</v>
      </c>
      <c r="E39" s="275" t="s">
        <v>2802</v>
      </c>
      <c r="F39" s="278">
        <v>29521</v>
      </c>
      <c r="G39" s="275" t="s">
        <v>2803</v>
      </c>
      <c r="H39" s="276">
        <v>15.2</v>
      </c>
      <c r="I39" s="276">
        <v>34.68</v>
      </c>
      <c r="J39" s="276">
        <v>13.29</v>
      </c>
      <c r="K39" s="276">
        <f t="shared" si="0"/>
        <v>1.9100000000000001</v>
      </c>
      <c r="L39" s="335"/>
      <c r="O39"/>
      <c r="P39"/>
      <c r="Q39"/>
      <c r="R39"/>
      <c r="S39"/>
      <c r="T39"/>
      <c r="U39"/>
      <c r="V39"/>
      <c r="W39"/>
    </row>
    <row r="40" spans="1:23">
      <c r="A40" s="275" t="s">
        <v>2837</v>
      </c>
      <c r="B40" s="275" t="s">
        <v>3094</v>
      </c>
      <c r="C40" s="275" t="s">
        <v>3877</v>
      </c>
      <c r="D40" s="275" t="s">
        <v>3056</v>
      </c>
      <c r="E40" s="275" t="s">
        <v>2802</v>
      </c>
      <c r="F40" s="278">
        <v>29521</v>
      </c>
      <c r="G40" s="275" t="s">
        <v>2803</v>
      </c>
      <c r="H40" s="276">
        <v>15.2</v>
      </c>
      <c r="I40" s="276">
        <v>34.68</v>
      </c>
      <c r="J40" s="276">
        <v>13.29</v>
      </c>
      <c r="K40" s="276">
        <f t="shared" si="0"/>
        <v>1.9100000000000001</v>
      </c>
      <c r="L40" s="335"/>
      <c r="O40"/>
      <c r="P40"/>
      <c r="Q40"/>
      <c r="R40"/>
      <c r="S40"/>
      <c r="T40"/>
      <c r="U40"/>
      <c r="V40"/>
      <c r="W40"/>
    </row>
    <row r="41" spans="1:23">
      <c r="A41" s="275" t="s">
        <v>2831</v>
      </c>
      <c r="B41" s="275" t="s">
        <v>4019</v>
      </c>
      <c r="C41" s="275" t="s">
        <v>3874</v>
      </c>
      <c r="D41" s="275" t="s">
        <v>3056</v>
      </c>
      <c r="E41" s="275" t="s">
        <v>2802</v>
      </c>
      <c r="F41" s="278">
        <v>29522</v>
      </c>
      <c r="G41" s="275" t="s">
        <v>2803</v>
      </c>
      <c r="H41" s="276">
        <v>13</v>
      </c>
      <c r="I41" s="276">
        <v>52</v>
      </c>
      <c r="J41" s="276">
        <v>13.29</v>
      </c>
      <c r="K41" s="276">
        <f t="shared" si="0"/>
        <v>-0.28999999999999915</v>
      </c>
      <c r="L41" s="335"/>
      <c r="O41"/>
      <c r="P41"/>
      <c r="Q41"/>
      <c r="R41"/>
      <c r="S41"/>
      <c r="T41"/>
      <c r="U41"/>
      <c r="V41"/>
      <c r="W41"/>
    </row>
    <row r="42" spans="1:23">
      <c r="A42" s="275" t="s">
        <v>2838</v>
      </c>
      <c r="B42" s="275" t="s">
        <v>3075</v>
      </c>
      <c r="C42" s="275" t="s">
        <v>3875</v>
      </c>
      <c r="D42" s="275" t="s">
        <v>3056</v>
      </c>
      <c r="E42" s="275" t="s">
        <v>2802</v>
      </c>
      <c r="F42" s="278">
        <v>29522</v>
      </c>
      <c r="G42" s="275" t="s">
        <v>2803</v>
      </c>
      <c r="H42" s="276">
        <v>12</v>
      </c>
      <c r="I42" s="276">
        <v>50.96</v>
      </c>
      <c r="J42" s="276">
        <v>13.29</v>
      </c>
      <c r="K42" s="276">
        <f t="shared" si="0"/>
        <v>-1.2899999999999991</v>
      </c>
      <c r="L42" s="335"/>
      <c r="O42"/>
      <c r="P42"/>
      <c r="Q42"/>
      <c r="R42"/>
      <c r="S42"/>
      <c r="T42"/>
      <c r="U42"/>
      <c r="V42"/>
      <c r="W42"/>
    </row>
    <row r="43" spans="1:23">
      <c r="A43" s="275" t="s">
        <v>2833</v>
      </c>
      <c r="B43" s="275" t="s">
        <v>3119</v>
      </c>
      <c r="C43" s="275" t="s">
        <v>3873</v>
      </c>
      <c r="D43" s="275" t="s">
        <v>3056</v>
      </c>
      <c r="E43" s="275" t="s">
        <v>2802</v>
      </c>
      <c r="F43" s="278">
        <v>29525</v>
      </c>
      <c r="G43" s="275" t="s">
        <v>2803</v>
      </c>
      <c r="H43" s="276">
        <v>14.5</v>
      </c>
      <c r="I43" s="276">
        <v>31.7</v>
      </c>
      <c r="J43" s="276">
        <v>13.29</v>
      </c>
      <c r="K43" s="276">
        <f t="shared" si="0"/>
        <v>1.2100000000000009</v>
      </c>
      <c r="L43" s="335"/>
      <c r="O43"/>
      <c r="P43"/>
      <c r="Q43"/>
      <c r="R43"/>
      <c r="S43"/>
      <c r="T43"/>
      <c r="U43"/>
      <c r="V43"/>
      <c r="W43"/>
    </row>
    <row r="44" spans="1:23">
      <c r="A44" s="275" t="s">
        <v>2837</v>
      </c>
      <c r="B44" s="275" t="s">
        <v>2839</v>
      </c>
      <c r="C44" s="275" t="s">
        <v>3872</v>
      </c>
      <c r="D44" s="275" t="s">
        <v>3056</v>
      </c>
      <c r="E44" s="275" t="s">
        <v>2802</v>
      </c>
      <c r="F44" s="278">
        <v>29529</v>
      </c>
      <c r="G44" s="275" t="s">
        <v>2803</v>
      </c>
      <c r="H44" s="276">
        <v>15</v>
      </c>
      <c r="I44" s="276">
        <v>37.35</v>
      </c>
      <c r="J44" s="276">
        <v>13.29</v>
      </c>
      <c r="K44" s="276">
        <f t="shared" si="0"/>
        <v>1.7100000000000009</v>
      </c>
      <c r="L44" s="335"/>
      <c r="O44"/>
      <c r="P44"/>
      <c r="Q44"/>
      <c r="R44"/>
      <c r="S44"/>
      <c r="T44"/>
      <c r="U44"/>
      <c r="V44"/>
      <c r="W44"/>
    </row>
    <row r="45" spans="1:23">
      <c r="A45" s="275" t="s">
        <v>2830</v>
      </c>
      <c r="B45" s="275" t="s">
        <v>4020</v>
      </c>
      <c r="C45" s="275" t="s">
        <v>3871</v>
      </c>
      <c r="D45" s="275" t="s">
        <v>3056</v>
      </c>
      <c r="E45" s="275" t="s">
        <v>2802</v>
      </c>
      <c r="F45" s="278">
        <v>29531</v>
      </c>
      <c r="G45" s="275" t="s">
        <v>2803</v>
      </c>
      <c r="H45" s="276">
        <v>14.35</v>
      </c>
      <c r="I45" s="276">
        <v>42.2</v>
      </c>
      <c r="J45" s="276">
        <v>13.29</v>
      </c>
      <c r="K45" s="276">
        <f t="shared" si="0"/>
        <v>1.0600000000000005</v>
      </c>
      <c r="L45" s="335"/>
      <c r="O45"/>
      <c r="P45"/>
      <c r="Q45"/>
      <c r="R45"/>
      <c r="S45"/>
      <c r="T45"/>
      <c r="U45"/>
      <c r="V45"/>
      <c r="W45"/>
    </row>
    <row r="46" spans="1:23">
      <c r="A46" s="275" t="s">
        <v>2840</v>
      </c>
      <c r="B46" s="275" t="s">
        <v>3079</v>
      </c>
      <c r="C46" s="275" t="s">
        <v>3870</v>
      </c>
      <c r="D46" s="275" t="s">
        <v>3056</v>
      </c>
      <c r="E46" s="275" t="s">
        <v>2802</v>
      </c>
      <c r="F46" s="278">
        <v>29535</v>
      </c>
      <c r="G46" s="275" t="s">
        <v>2803</v>
      </c>
      <c r="H46" s="276">
        <v>13.25</v>
      </c>
      <c r="I46" s="276">
        <v>40.1</v>
      </c>
      <c r="J46" s="276">
        <v>13.29</v>
      </c>
      <c r="K46" s="276">
        <f t="shared" si="0"/>
        <v>-3.9999999999999147E-2</v>
      </c>
      <c r="L46" s="335"/>
      <c r="O46"/>
      <c r="P46"/>
      <c r="Q46"/>
      <c r="R46"/>
      <c r="S46"/>
      <c r="T46"/>
      <c r="U46"/>
      <c r="V46"/>
      <c r="W46"/>
    </row>
    <row r="47" spans="1:23">
      <c r="A47" s="275" t="s">
        <v>2838</v>
      </c>
      <c r="B47" s="275" t="s">
        <v>2841</v>
      </c>
      <c r="C47" s="275" t="s">
        <v>3869</v>
      </c>
      <c r="D47" s="275" t="s">
        <v>3056</v>
      </c>
      <c r="E47" s="275" t="s">
        <v>2802</v>
      </c>
      <c r="F47" s="278">
        <v>29542</v>
      </c>
      <c r="G47" s="275" t="s">
        <v>2803</v>
      </c>
      <c r="H47" s="276">
        <v>15.5</v>
      </c>
      <c r="I47" s="276">
        <v>38.659999999999997</v>
      </c>
      <c r="J47" s="276">
        <v>13.54</v>
      </c>
      <c r="K47" s="276">
        <f t="shared" si="0"/>
        <v>1.9600000000000009</v>
      </c>
      <c r="L47" s="335"/>
      <c r="O47" s="306"/>
      <c r="P47" s="306"/>
      <c r="Q47"/>
      <c r="R47"/>
      <c r="S47"/>
      <c r="T47"/>
      <c r="U47"/>
      <c r="V47"/>
      <c r="W47"/>
    </row>
    <row r="48" spans="1:23">
      <c r="A48" s="275" t="s">
        <v>2842</v>
      </c>
      <c r="B48" s="275" t="s">
        <v>2843</v>
      </c>
      <c r="C48" s="275" t="s">
        <v>3868</v>
      </c>
      <c r="D48" s="275" t="s">
        <v>3056</v>
      </c>
      <c r="E48" s="275" t="s">
        <v>2802</v>
      </c>
      <c r="F48" s="278">
        <v>29544</v>
      </c>
      <c r="G48" s="275" t="s">
        <v>2803</v>
      </c>
      <c r="H48" s="276">
        <v>13.5</v>
      </c>
      <c r="I48" s="276">
        <v>34.270000000000003</v>
      </c>
      <c r="J48" s="276">
        <v>13.54</v>
      </c>
      <c r="K48" s="276">
        <f t="shared" si="0"/>
        <v>-3.9999999999999147E-2</v>
      </c>
      <c r="L48" s="335"/>
      <c r="O48"/>
      <c r="P48"/>
      <c r="Q48"/>
      <c r="R48"/>
      <c r="S48"/>
      <c r="T48"/>
      <c r="U48"/>
      <c r="V48"/>
      <c r="W48"/>
    </row>
    <row r="49" spans="1:23">
      <c r="A49" s="275" t="s">
        <v>2844</v>
      </c>
      <c r="B49" s="275" t="s">
        <v>3084</v>
      </c>
      <c r="C49" s="275" t="s">
        <v>3867</v>
      </c>
      <c r="D49" s="275" t="s">
        <v>3056</v>
      </c>
      <c r="E49" s="275" t="s">
        <v>2802</v>
      </c>
      <c r="F49" s="278">
        <v>29560</v>
      </c>
      <c r="G49" s="275" t="s">
        <v>2803</v>
      </c>
      <c r="H49" s="276">
        <v>14.6</v>
      </c>
      <c r="I49" s="276">
        <v>39.65</v>
      </c>
      <c r="J49" s="276">
        <v>13.54</v>
      </c>
      <c r="K49" s="276">
        <f t="shared" si="0"/>
        <v>1.0600000000000005</v>
      </c>
      <c r="L49" s="335"/>
      <c r="O49"/>
      <c r="P49"/>
      <c r="Q49"/>
      <c r="R49"/>
      <c r="S49"/>
      <c r="T49"/>
      <c r="U49"/>
      <c r="V49"/>
      <c r="W49"/>
    </row>
    <row r="50" spans="1:23">
      <c r="A50" s="275" t="s">
        <v>2845</v>
      </c>
      <c r="B50" s="275" t="s">
        <v>3575</v>
      </c>
      <c r="C50" s="275" t="s">
        <v>3866</v>
      </c>
      <c r="D50" s="275" t="s">
        <v>3056</v>
      </c>
      <c r="E50" s="275" t="s">
        <v>2802</v>
      </c>
      <c r="F50" s="278">
        <v>29563</v>
      </c>
      <c r="G50" s="275" t="s">
        <v>2803</v>
      </c>
      <c r="H50" s="276">
        <v>16.399999999999999</v>
      </c>
      <c r="I50" s="276">
        <v>49.1</v>
      </c>
      <c r="J50" s="276">
        <v>13.54</v>
      </c>
      <c r="K50" s="276">
        <f t="shared" si="0"/>
        <v>2.8599999999999994</v>
      </c>
      <c r="L50" s="335"/>
      <c r="O50"/>
      <c r="P50"/>
      <c r="Q50"/>
      <c r="R50"/>
      <c r="S50"/>
      <c r="T50"/>
      <c r="U50"/>
      <c r="V50"/>
      <c r="W50"/>
    </row>
    <row r="51" spans="1:23">
      <c r="A51" s="275" t="s">
        <v>2822</v>
      </c>
      <c r="B51" s="275" t="s">
        <v>2823</v>
      </c>
      <c r="C51" s="275" t="s">
        <v>3865</v>
      </c>
      <c r="D51" s="275" t="s">
        <v>3056</v>
      </c>
      <c r="E51" s="275" t="s">
        <v>2802</v>
      </c>
      <c r="F51" s="278">
        <v>29567</v>
      </c>
      <c r="G51" s="275" t="s">
        <v>2803</v>
      </c>
      <c r="H51" s="276">
        <v>15.45</v>
      </c>
      <c r="I51" s="276">
        <v>34.619999999999997</v>
      </c>
      <c r="J51" s="276">
        <v>13.54</v>
      </c>
      <c r="K51" s="276">
        <f t="shared" si="0"/>
        <v>1.9100000000000001</v>
      </c>
      <c r="L51" s="335"/>
      <c r="O51"/>
      <c r="P51"/>
      <c r="Q51"/>
      <c r="R51"/>
      <c r="S51"/>
      <c r="T51"/>
      <c r="U51"/>
      <c r="V51"/>
      <c r="W51"/>
    </row>
    <row r="52" spans="1:23">
      <c r="A52" s="275" t="s">
        <v>2801</v>
      </c>
      <c r="B52" s="275" t="s">
        <v>3139</v>
      </c>
      <c r="C52" s="275" t="s">
        <v>3863</v>
      </c>
      <c r="D52" s="275" t="s">
        <v>3056</v>
      </c>
      <c r="E52" s="275" t="s">
        <v>2802</v>
      </c>
      <c r="F52" s="278">
        <v>29572</v>
      </c>
      <c r="G52" s="275" t="s">
        <v>2803</v>
      </c>
      <c r="H52" s="276">
        <v>14.4</v>
      </c>
      <c r="I52" s="276">
        <v>39.5</v>
      </c>
      <c r="J52" s="276">
        <v>14.01</v>
      </c>
      <c r="K52" s="276">
        <f t="shared" si="0"/>
        <v>0.39000000000000057</v>
      </c>
      <c r="L52" s="335"/>
      <c r="O52"/>
      <c r="P52"/>
      <c r="Q52"/>
      <c r="R52"/>
      <c r="S52"/>
      <c r="T52"/>
      <c r="U52"/>
      <c r="V52"/>
      <c r="W52"/>
    </row>
    <row r="53" spans="1:23">
      <c r="A53" s="275" t="s">
        <v>2801</v>
      </c>
      <c r="B53" s="275" t="s">
        <v>4021</v>
      </c>
      <c r="C53" s="275" t="s">
        <v>3864</v>
      </c>
      <c r="D53" s="275" t="s">
        <v>3056</v>
      </c>
      <c r="E53" s="275" t="s">
        <v>2802</v>
      </c>
      <c r="F53" s="278">
        <v>29572</v>
      </c>
      <c r="G53" s="275" t="s">
        <v>2803</v>
      </c>
      <c r="H53" s="276">
        <v>14.2</v>
      </c>
      <c r="I53" s="276">
        <v>40.020000000000003</v>
      </c>
      <c r="J53" s="276">
        <v>14.01</v>
      </c>
      <c r="K53" s="276">
        <f t="shared" si="0"/>
        <v>0.1899999999999995</v>
      </c>
      <c r="L53" s="335"/>
      <c r="O53"/>
      <c r="P53"/>
      <c r="Q53"/>
      <c r="R53"/>
      <c r="S53"/>
      <c r="T53"/>
      <c r="U53"/>
      <c r="V53"/>
      <c r="W53"/>
    </row>
    <row r="54" spans="1:23">
      <c r="A54" s="275" t="s">
        <v>2809</v>
      </c>
      <c r="B54" s="275" t="s">
        <v>3142</v>
      </c>
      <c r="C54" s="275" t="s">
        <v>3862</v>
      </c>
      <c r="D54" s="275" t="s">
        <v>3056</v>
      </c>
      <c r="E54" s="275" t="s">
        <v>2802</v>
      </c>
      <c r="F54" s="278">
        <v>29573</v>
      </c>
      <c r="G54" s="275" t="s">
        <v>2803</v>
      </c>
      <c r="H54" s="276">
        <v>14</v>
      </c>
      <c r="I54" s="276">
        <v>42.2</v>
      </c>
      <c r="J54" s="276">
        <v>14.01</v>
      </c>
      <c r="K54" s="276">
        <f t="shared" si="0"/>
        <v>-9.9999999999997868E-3</v>
      </c>
      <c r="L54" s="335"/>
      <c r="O54"/>
      <c r="P54"/>
      <c r="Q54"/>
      <c r="R54"/>
      <c r="S54"/>
      <c r="T54"/>
      <c r="U54"/>
      <c r="V54"/>
      <c r="W54"/>
    </row>
    <row r="55" spans="1:23">
      <c r="A55" s="275" t="s">
        <v>2846</v>
      </c>
      <c r="B55" s="275" t="s">
        <v>2847</v>
      </c>
      <c r="C55" s="275" t="s">
        <v>3861</v>
      </c>
      <c r="D55" s="275" t="s">
        <v>3056</v>
      </c>
      <c r="E55" s="275" t="s">
        <v>2802</v>
      </c>
      <c r="F55" s="278">
        <v>29577</v>
      </c>
      <c r="G55" s="275" t="s">
        <v>2803</v>
      </c>
      <c r="H55" s="276">
        <v>13.45</v>
      </c>
      <c r="I55" s="276">
        <v>39.46</v>
      </c>
      <c r="J55" s="276">
        <v>14.01</v>
      </c>
      <c r="K55" s="276">
        <f t="shared" si="0"/>
        <v>-0.5600000000000005</v>
      </c>
      <c r="L55" s="335"/>
      <c r="O55" s="305"/>
      <c r="P55" s="305"/>
      <c r="Q55" s="305"/>
      <c r="R55" s="305"/>
      <c r="S55" s="305"/>
      <c r="T55" s="305"/>
      <c r="U55"/>
      <c r="V55"/>
      <c r="W55"/>
    </row>
    <row r="56" spans="1:23">
      <c r="A56" s="275" t="s">
        <v>2811</v>
      </c>
      <c r="B56" s="275" t="s">
        <v>4014</v>
      </c>
      <c r="C56" s="275" t="s">
        <v>3860</v>
      </c>
      <c r="D56" s="275" t="s">
        <v>3056</v>
      </c>
      <c r="E56" s="275" t="s">
        <v>2802</v>
      </c>
      <c r="F56" s="278">
        <v>29581</v>
      </c>
      <c r="G56" s="275" t="s">
        <v>2803</v>
      </c>
      <c r="H56" s="276">
        <v>14</v>
      </c>
      <c r="I56" s="276">
        <v>42.6</v>
      </c>
      <c r="J56" s="276">
        <v>14.01</v>
      </c>
      <c r="K56" s="276">
        <f t="shared" si="0"/>
        <v>-9.9999999999997868E-3</v>
      </c>
      <c r="L56" s="335"/>
      <c r="O56"/>
      <c r="P56"/>
      <c r="Q56"/>
      <c r="R56"/>
      <c r="S56"/>
      <c r="T56"/>
      <c r="U56"/>
      <c r="V56"/>
      <c r="W56"/>
    </row>
    <row r="57" spans="1:23">
      <c r="A57" s="275" t="s">
        <v>2844</v>
      </c>
      <c r="B57" s="275" t="s">
        <v>2848</v>
      </c>
      <c r="C57" s="275" t="s">
        <v>3859</v>
      </c>
      <c r="D57" s="275" t="s">
        <v>3056</v>
      </c>
      <c r="E57" s="275" t="s">
        <v>2802</v>
      </c>
      <c r="F57" s="278">
        <v>29585</v>
      </c>
      <c r="G57" s="275" t="s">
        <v>2803</v>
      </c>
      <c r="H57" s="276">
        <v>14.5</v>
      </c>
      <c r="I57" s="276">
        <v>36.25</v>
      </c>
      <c r="J57" s="276">
        <v>14.01</v>
      </c>
      <c r="K57" s="276">
        <f t="shared" si="0"/>
        <v>0.49000000000000021</v>
      </c>
      <c r="L57" s="335"/>
      <c r="O57"/>
      <c r="P57"/>
      <c r="Q57"/>
      <c r="R57"/>
      <c r="S57"/>
      <c r="T57"/>
      <c r="U57"/>
      <c r="V57"/>
      <c r="W57"/>
    </row>
    <row r="58" spans="1:23">
      <c r="A58" s="275" t="s">
        <v>2801</v>
      </c>
      <c r="B58" s="275" t="s">
        <v>2849</v>
      </c>
      <c r="C58" s="275" t="s">
        <v>3858</v>
      </c>
      <c r="D58" s="275" t="s">
        <v>3056</v>
      </c>
      <c r="E58" s="275" t="s">
        <v>2802</v>
      </c>
      <c r="F58" s="278">
        <v>29593</v>
      </c>
      <c r="G58" s="275" t="s">
        <v>2803</v>
      </c>
      <c r="H58" s="276">
        <v>14.3</v>
      </c>
      <c r="I58" s="276">
        <v>35.56</v>
      </c>
      <c r="J58" s="276">
        <v>14.01</v>
      </c>
      <c r="K58" s="276">
        <f t="shared" si="0"/>
        <v>0.29000000000000092</v>
      </c>
      <c r="L58" s="335"/>
      <c r="O58"/>
      <c r="P58"/>
      <c r="Q58"/>
      <c r="R58"/>
      <c r="S58"/>
      <c r="T58"/>
      <c r="U58"/>
      <c r="V58"/>
      <c r="W58"/>
    </row>
    <row r="59" spans="1:23">
      <c r="A59" s="275" t="s">
        <v>2850</v>
      </c>
      <c r="B59" s="275" t="s">
        <v>3361</v>
      </c>
      <c r="C59" s="275" t="s">
        <v>3857</v>
      </c>
      <c r="D59" s="275" t="s">
        <v>3056</v>
      </c>
      <c r="E59" s="275" t="s">
        <v>2802</v>
      </c>
      <c r="F59" s="278">
        <v>29598</v>
      </c>
      <c r="G59" s="275" t="s">
        <v>2803</v>
      </c>
      <c r="H59" s="276">
        <v>14.95</v>
      </c>
      <c r="I59" s="276">
        <v>37.590000000000003</v>
      </c>
      <c r="J59" s="276">
        <v>14.01</v>
      </c>
      <c r="K59" s="276">
        <f t="shared" si="0"/>
        <v>0.9399999999999995</v>
      </c>
      <c r="L59" s="335"/>
      <c r="O59"/>
      <c r="P59"/>
      <c r="Q59"/>
      <c r="R59"/>
      <c r="S59"/>
      <c r="T59"/>
      <c r="U59"/>
      <c r="V59"/>
      <c r="W59"/>
    </row>
    <row r="60" spans="1:23">
      <c r="A60" s="275" t="s">
        <v>2842</v>
      </c>
      <c r="B60" s="275" t="s">
        <v>2834</v>
      </c>
      <c r="C60" s="275" t="s">
        <v>3856</v>
      </c>
      <c r="D60" s="275" t="s">
        <v>3056</v>
      </c>
      <c r="E60" s="275" t="s">
        <v>2802</v>
      </c>
      <c r="F60" s="278">
        <v>29612</v>
      </c>
      <c r="G60" s="275" t="s">
        <v>2803</v>
      </c>
      <c r="H60" s="276">
        <v>15.25</v>
      </c>
      <c r="I60" s="276">
        <v>36.020000000000003</v>
      </c>
      <c r="J60" s="276">
        <v>14.66</v>
      </c>
      <c r="K60" s="276">
        <f t="shared" si="0"/>
        <v>0.58999999999999986</v>
      </c>
      <c r="L60" s="335"/>
      <c r="O60" s="305"/>
      <c r="P60" s="305"/>
      <c r="Q60" s="305"/>
      <c r="R60" s="305"/>
      <c r="S60" s="305"/>
      <c r="T60" s="305"/>
      <c r="U60" s="305"/>
      <c r="V60" s="305"/>
      <c r="W60" s="305"/>
    </row>
    <row r="61" spans="1:23">
      <c r="A61" s="275" t="s">
        <v>2851</v>
      </c>
      <c r="B61" s="275" t="s">
        <v>3105</v>
      </c>
      <c r="C61" s="275" t="s">
        <v>3855</v>
      </c>
      <c r="D61" s="275" t="s">
        <v>3056</v>
      </c>
      <c r="E61" s="275" t="s">
        <v>2802</v>
      </c>
      <c r="F61" s="278">
        <v>29616</v>
      </c>
      <c r="G61" s="275" t="s">
        <v>2803</v>
      </c>
      <c r="H61" s="276">
        <v>13.25</v>
      </c>
      <c r="I61" s="276">
        <v>34.4</v>
      </c>
      <c r="J61" s="276">
        <v>14.66</v>
      </c>
      <c r="K61" s="276">
        <f t="shared" si="0"/>
        <v>-1.4100000000000001</v>
      </c>
      <c r="L61" s="335"/>
      <c r="O61"/>
      <c r="P61"/>
      <c r="Q61"/>
      <c r="R61"/>
      <c r="S61"/>
      <c r="T61"/>
      <c r="U61"/>
      <c r="V61"/>
      <c r="W61"/>
    </row>
    <row r="62" spans="1:23">
      <c r="A62" s="275" t="s">
        <v>2808</v>
      </c>
      <c r="B62" s="275" t="s">
        <v>3409</v>
      </c>
      <c r="C62" s="275" t="s">
        <v>3854</v>
      </c>
      <c r="D62" s="275" t="s">
        <v>3056</v>
      </c>
      <c r="E62" s="275" t="s">
        <v>2802</v>
      </c>
      <c r="F62" s="278">
        <v>29628</v>
      </c>
      <c r="G62" s="275" t="s">
        <v>2803</v>
      </c>
      <c r="H62" s="276">
        <v>14.5</v>
      </c>
      <c r="I62" s="276">
        <v>48.94</v>
      </c>
      <c r="J62" s="276">
        <v>14.66</v>
      </c>
      <c r="K62" s="276">
        <f t="shared" si="0"/>
        <v>-0.16000000000000014</v>
      </c>
      <c r="L62" s="335"/>
      <c r="O62"/>
      <c r="P62"/>
      <c r="Q62"/>
      <c r="R62"/>
      <c r="S62"/>
      <c r="T62"/>
      <c r="U62"/>
      <c r="V62"/>
      <c r="W62"/>
    </row>
    <row r="63" spans="1:23">
      <c r="A63" s="275" t="s">
        <v>2808</v>
      </c>
      <c r="B63" s="275" t="s">
        <v>3129</v>
      </c>
      <c r="C63" s="275" t="s">
        <v>3853</v>
      </c>
      <c r="D63" s="275" t="s">
        <v>3056</v>
      </c>
      <c r="E63" s="275" t="s">
        <v>2802</v>
      </c>
      <c r="F63" s="278">
        <v>29637</v>
      </c>
      <c r="G63" s="275" t="s">
        <v>2803</v>
      </c>
      <c r="H63" s="276">
        <v>14.5</v>
      </c>
      <c r="I63" s="276">
        <v>55.03</v>
      </c>
      <c r="J63" s="276">
        <v>14.27</v>
      </c>
      <c r="K63" s="276">
        <f t="shared" si="0"/>
        <v>0.23000000000000043</v>
      </c>
      <c r="L63" s="335"/>
      <c r="O63"/>
      <c r="P63"/>
      <c r="Q63"/>
      <c r="R63"/>
      <c r="S63"/>
      <c r="T63"/>
      <c r="U63"/>
      <c r="V63"/>
      <c r="W63"/>
    </row>
    <row r="64" spans="1:23">
      <c r="A64" s="275" t="s">
        <v>2811</v>
      </c>
      <c r="B64" s="275" t="s">
        <v>2812</v>
      </c>
      <c r="C64" s="275" t="s">
        <v>3852</v>
      </c>
      <c r="D64" s="275" t="s">
        <v>3056</v>
      </c>
      <c r="E64" s="275" t="s">
        <v>2802</v>
      </c>
      <c r="F64" s="278">
        <v>29657</v>
      </c>
      <c r="G64" s="275" t="s">
        <v>2803</v>
      </c>
      <c r="H64" s="276">
        <v>15.65</v>
      </c>
      <c r="I64" s="276">
        <v>39.5</v>
      </c>
      <c r="J64" s="276">
        <v>14.27</v>
      </c>
      <c r="K64" s="276">
        <f t="shared" si="0"/>
        <v>1.3800000000000008</v>
      </c>
      <c r="L64" s="335"/>
      <c r="O64"/>
      <c r="P64"/>
      <c r="Q64"/>
      <c r="R64"/>
      <c r="S64"/>
      <c r="T64"/>
      <c r="U64"/>
      <c r="V64"/>
      <c r="W64"/>
    </row>
    <row r="65" spans="1:23">
      <c r="A65" s="275" t="s">
        <v>2801</v>
      </c>
      <c r="B65" s="275" t="s">
        <v>2849</v>
      </c>
      <c r="C65" s="275" t="s">
        <v>3851</v>
      </c>
      <c r="D65" s="275" t="s">
        <v>3056</v>
      </c>
      <c r="E65" s="275" t="s">
        <v>2802</v>
      </c>
      <c r="F65" s="278">
        <v>29670</v>
      </c>
      <c r="G65" s="275" t="s">
        <v>2803</v>
      </c>
      <c r="H65" s="276">
        <v>15.3</v>
      </c>
      <c r="I65" s="276">
        <v>37.6</v>
      </c>
      <c r="J65" s="276">
        <v>14.68</v>
      </c>
      <c r="K65" s="276">
        <f t="shared" si="0"/>
        <v>0.62000000000000099</v>
      </c>
      <c r="L65" s="335"/>
      <c r="O65"/>
      <c r="P65"/>
      <c r="Q65"/>
      <c r="R65"/>
      <c r="S65"/>
      <c r="T65"/>
      <c r="U65"/>
      <c r="V65"/>
      <c r="W65"/>
    </row>
    <row r="66" spans="1:23">
      <c r="A66" s="275" t="s">
        <v>2838</v>
      </c>
      <c r="B66" s="275" t="s">
        <v>2954</v>
      </c>
      <c r="C66" s="275" t="s">
        <v>3850</v>
      </c>
      <c r="D66" s="275" t="s">
        <v>3056</v>
      </c>
      <c r="E66" s="275" t="s">
        <v>2802</v>
      </c>
      <c r="F66" s="278">
        <v>29685</v>
      </c>
      <c r="G66" s="275" t="s">
        <v>2803</v>
      </c>
      <c r="H66" s="276">
        <v>15</v>
      </c>
      <c r="I66" s="276">
        <v>30.16</v>
      </c>
      <c r="J66" s="276">
        <v>14.68</v>
      </c>
      <c r="K66" s="276">
        <f t="shared" si="0"/>
        <v>0.32000000000000028</v>
      </c>
      <c r="L66" s="335"/>
    </row>
    <row r="67" spans="1:23">
      <c r="A67" s="275" t="s">
        <v>2842</v>
      </c>
      <c r="B67" s="275" t="s">
        <v>3769</v>
      </c>
      <c r="C67" s="275" t="s">
        <v>3848</v>
      </c>
      <c r="D67" s="275" t="s">
        <v>3056</v>
      </c>
      <c r="E67" s="275" t="s">
        <v>2802</v>
      </c>
      <c r="F67" s="278">
        <v>29705</v>
      </c>
      <c r="G67" s="275" t="s">
        <v>2803</v>
      </c>
      <c r="H67" s="276">
        <v>14.25</v>
      </c>
      <c r="I67" s="276">
        <v>37.17</v>
      </c>
      <c r="J67" s="276">
        <v>15.13</v>
      </c>
      <c r="K67" s="276">
        <f t="shared" si="0"/>
        <v>-0.88000000000000078</v>
      </c>
      <c r="L67" s="335"/>
    </row>
    <row r="68" spans="1:23">
      <c r="A68" s="275" t="s">
        <v>2846</v>
      </c>
      <c r="B68" s="275" t="s">
        <v>4022</v>
      </c>
      <c r="C68" s="275" t="s">
        <v>3849</v>
      </c>
      <c r="D68" s="275" t="s">
        <v>3056</v>
      </c>
      <c r="E68" s="275" t="s">
        <v>2802</v>
      </c>
      <c r="F68" s="278">
        <v>29705</v>
      </c>
      <c r="G68" s="275" t="s">
        <v>2803</v>
      </c>
      <c r="H68" s="276">
        <v>13.5</v>
      </c>
      <c r="I68" s="276">
        <v>46.11</v>
      </c>
      <c r="J68" s="276">
        <v>15.13</v>
      </c>
      <c r="K68" s="276">
        <f t="shared" si="0"/>
        <v>-1.6300000000000008</v>
      </c>
      <c r="L68" s="335"/>
    </row>
    <row r="69" spans="1:23">
      <c r="A69" s="275" t="s">
        <v>2824</v>
      </c>
      <c r="B69" s="275" t="s">
        <v>3094</v>
      </c>
      <c r="C69" s="275" t="s">
        <v>3846</v>
      </c>
      <c r="D69" s="275" t="s">
        <v>3056</v>
      </c>
      <c r="E69" s="275" t="s">
        <v>2802</v>
      </c>
      <c r="F69" s="278">
        <v>29706</v>
      </c>
      <c r="G69" s="275" t="s">
        <v>2803</v>
      </c>
      <c r="H69" s="276">
        <v>15</v>
      </c>
      <c r="I69" s="276" t="s">
        <v>1447</v>
      </c>
      <c r="J69" s="276">
        <v>15.13</v>
      </c>
      <c r="K69" s="276">
        <f t="shared" si="0"/>
        <v>-0.13000000000000078</v>
      </c>
      <c r="L69" s="335"/>
    </row>
    <row r="70" spans="1:23">
      <c r="A70" s="275" t="s">
        <v>2816</v>
      </c>
      <c r="B70" s="275" t="s">
        <v>2852</v>
      </c>
      <c r="C70" s="275" t="s">
        <v>3847</v>
      </c>
      <c r="D70" s="275" t="s">
        <v>3056</v>
      </c>
      <c r="E70" s="275" t="s">
        <v>2802</v>
      </c>
      <c r="F70" s="278">
        <v>29706</v>
      </c>
      <c r="G70" s="275" t="s">
        <v>2803</v>
      </c>
      <c r="H70" s="276">
        <v>13.6</v>
      </c>
      <c r="I70" s="276">
        <v>34.56</v>
      </c>
      <c r="J70" s="276">
        <v>15.13</v>
      </c>
      <c r="K70" s="276">
        <f t="shared" ref="K70:K133" si="1">H70-J70</f>
        <v>-1.5300000000000011</v>
      </c>
      <c r="L70" s="335"/>
    </row>
    <row r="71" spans="1:23">
      <c r="A71" s="275" t="s">
        <v>2809</v>
      </c>
      <c r="B71" s="275" t="s">
        <v>2853</v>
      </c>
      <c r="C71" s="275" t="s">
        <v>3845</v>
      </c>
      <c r="D71" s="275" t="s">
        <v>3056</v>
      </c>
      <c r="E71" s="275" t="s">
        <v>2802</v>
      </c>
      <c r="F71" s="278">
        <v>29727</v>
      </c>
      <c r="G71" s="275" t="s">
        <v>2803</v>
      </c>
      <c r="H71" s="276">
        <v>14</v>
      </c>
      <c r="I71" s="276">
        <v>38.200000000000003</v>
      </c>
      <c r="J71" s="276">
        <v>15.25</v>
      </c>
      <c r="K71" s="276">
        <f t="shared" si="1"/>
        <v>-1.25</v>
      </c>
      <c r="L71" s="335"/>
    </row>
    <row r="72" spans="1:23">
      <c r="A72" s="275" t="s">
        <v>2801</v>
      </c>
      <c r="B72" s="275" t="s">
        <v>2817</v>
      </c>
      <c r="C72" s="275" t="s">
        <v>3844</v>
      </c>
      <c r="D72" s="275" t="s">
        <v>3056</v>
      </c>
      <c r="E72" s="275" t="s">
        <v>2802</v>
      </c>
      <c r="F72" s="278">
        <v>29740</v>
      </c>
      <c r="G72" s="275" t="s">
        <v>2803</v>
      </c>
      <c r="H72" s="276">
        <v>14.67</v>
      </c>
      <c r="I72" s="276">
        <v>35.799999999999997</v>
      </c>
      <c r="J72" s="276">
        <v>15.25</v>
      </c>
      <c r="K72" s="276">
        <f t="shared" si="1"/>
        <v>-0.58000000000000007</v>
      </c>
      <c r="L72" s="335"/>
    </row>
    <row r="73" spans="1:23">
      <c r="A73" s="275" t="s">
        <v>2821</v>
      </c>
      <c r="B73" s="275" t="s">
        <v>3073</v>
      </c>
      <c r="C73" s="275" t="s">
        <v>3843</v>
      </c>
      <c r="D73" s="275" t="s">
        <v>3056</v>
      </c>
      <c r="E73" s="275" t="s">
        <v>2802</v>
      </c>
      <c r="F73" s="278">
        <v>29759</v>
      </c>
      <c r="G73" s="275" t="s">
        <v>2803</v>
      </c>
      <c r="H73" s="276">
        <v>16</v>
      </c>
      <c r="I73" s="276">
        <v>35.520000000000003</v>
      </c>
      <c r="J73" s="276">
        <v>16.12</v>
      </c>
      <c r="K73" s="276">
        <f t="shared" si="1"/>
        <v>-0.12000000000000099</v>
      </c>
      <c r="L73" s="335"/>
    </row>
    <row r="74" spans="1:23">
      <c r="A74" s="275" t="s">
        <v>2809</v>
      </c>
      <c r="B74" s="275" t="s">
        <v>2854</v>
      </c>
      <c r="C74" s="275" t="s">
        <v>3842</v>
      </c>
      <c r="D74" s="275" t="s">
        <v>3056</v>
      </c>
      <c r="E74" s="275" t="s">
        <v>2802</v>
      </c>
      <c r="F74" s="278">
        <v>29762</v>
      </c>
      <c r="G74" s="275" t="s">
        <v>2803</v>
      </c>
      <c r="H74" s="276">
        <v>14.75</v>
      </c>
      <c r="I74" s="276">
        <v>39.4</v>
      </c>
      <c r="J74" s="276">
        <v>16.12</v>
      </c>
      <c r="K74" s="276">
        <f t="shared" si="1"/>
        <v>-1.370000000000001</v>
      </c>
      <c r="L74" s="335"/>
    </row>
    <row r="75" spans="1:23">
      <c r="A75" s="275" t="s">
        <v>3392</v>
      </c>
      <c r="B75" s="275" t="s">
        <v>3059</v>
      </c>
      <c r="C75" s="275" t="s">
        <v>3841</v>
      </c>
      <c r="D75" s="275" t="s">
        <v>3056</v>
      </c>
      <c r="E75" s="275" t="s">
        <v>2802</v>
      </c>
      <c r="F75" s="278">
        <v>29769</v>
      </c>
      <c r="G75" s="275" t="s">
        <v>2803</v>
      </c>
      <c r="H75" s="276">
        <v>14</v>
      </c>
      <c r="I75" s="276">
        <v>37.19</v>
      </c>
      <c r="J75" s="276">
        <v>16.12</v>
      </c>
      <c r="K75" s="276">
        <f t="shared" si="1"/>
        <v>-2.120000000000001</v>
      </c>
      <c r="L75" s="335"/>
    </row>
    <row r="76" spans="1:23">
      <c r="A76" s="275" t="s">
        <v>2811</v>
      </c>
      <c r="B76" s="275" t="s">
        <v>4017</v>
      </c>
      <c r="C76" s="275" t="s">
        <v>3840</v>
      </c>
      <c r="D76" s="275" t="s">
        <v>3056</v>
      </c>
      <c r="E76" s="275" t="s">
        <v>2802</v>
      </c>
      <c r="F76" s="278">
        <v>29777</v>
      </c>
      <c r="G76" s="275" t="s">
        <v>2803</v>
      </c>
      <c r="H76" s="276">
        <v>16</v>
      </c>
      <c r="I76" s="276">
        <v>40.15</v>
      </c>
      <c r="J76" s="276">
        <v>16.12</v>
      </c>
      <c r="K76" s="276">
        <f t="shared" si="1"/>
        <v>-0.12000000000000099</v>
      </c>
      <c r="L76" s="335"/>
    </row>
    <row r="77" spans="1:23">
      <c r="A77" s="275" t="s">
        <v>2811</v>
      </c>
      <c r="B77" s="275" t="s">
        <v>2855</v>
      </c>
      <c r="C77" s="275" t="s">
        <v>3839</v>
      </c>
      <c r="D77" s="275" t="s">
        <v>3056</v>
      </c>
      <c r="E77" s="275" t="s">
        <v>2802</v>
      </c>
      <c r="F77" s="278">
        <v>29781</v>
      </c>
      <c r="G77" s="275" t="s">
        <v>2803</v>
      </c>
      <c r="H77" s="276">
        <v>16.899999999999999</v>
      </c>
      <c r="I77" s="276">
        <v>38.04</v>
      </c>
      <c r="J77" s="276">
        <v>16.12</v>
      </c>
      <c r="K77" s="276">
        <f t="shared" si="1"/>
        <v>0.77999999999999758</v>
      </c>
      <c r="L77" s="335"/>
    </row>
    <row r="78" spans="1:23">
      <c r="A78" s="275" t="s">
        <v>2856</v>
      </c>
      <c r="B78" s="275" t="s">
        <v>3292</v>
      </c>
      <c r="C78" s="275" t="s">
        <v>3838</v>
      </c>
      <c r="D78" s="275" t="s">
        <v>3056</v>
      </c>
      <c r="E78" s="275" t="s">
        <v>2802</v>
      </c>
      <c r="F78" s="278">
        <v>29788</v>
      </c>
      <c r="G78" s="275" t="s">
        <v>2803</v>
      </c>
      <c r="H78" s="276">
        <v>15.78</v>
      </c>
      <c r="I78" s="276">
        <v>54</v>
      </c>
      <c r="J78" s="276">
        <v>15.79</v>
      </c>
      <c r="K78" s="276">
        <f t="shared" si="1"/>
        <v>-9.9999999999997868E-3</v>
      </c>
      <c r="L78" s="335"/>
    </row>
    <row r="79" spans="1:23">
      <c r="A79" s="275" t="s">
        <v>2858</v>
      </c>
      <c r="B79" s="275" t="s">
        <v>2859</v>
      </c>
      <c r="C79" s="275" t="s">
        <v>3836</v>
      </c>
      <c r="D79" s="275" t="s">
        <v>3056</v>
      </c>
      <c r="E79" s="275" t="s">
        <v>2802</v>
      </c>
      <c r="F79" s="278">
        <v>29794</v>
      </c>
      <c r="G79" s="275" t="s">
        <v>2803</v>
      </c>
      <c r="H79" s="276">
        <v>15.5</v>
      </c>
      <c r="I79" s="276">
        <v>47.5</v>
      </c>
      <c r="J79" s="276">
        <v>15.79</v>
      </c>
      <c r="K79" s="276">
        <f t="shared" si="1"/>
        <v>-0.28999999999999915</v>
      </c>
      <c r="L79" s="335"/>
    </row>
    <row r="80" spans="1:23">
      <c r="A80" s="275" t="s">
        <v>2857</v>
      </c>
      <c r="B80" s="275" t="s">
        <v>4023</v>
      </c>
      <c r="C80" s="275" t="s">
        <v>3837</v>
      </c>
      <c r="D80" s="275" t="s">
        <v>3056</v>
      </c>
      <c r="E80" s="275" t="s">
        <v>2802</v>
      </c>
      <c r="F80" s="278">
        <v>29794</v>
      </c>
      <c r="G80" s="275" t="s">
        <v>2803</v>
      </c>
      <c r="H80" s="276">
        <v>13.77</v>
      </c>
      <c r="I80" s="276">
        <v>41.46</v>
      </c>
      <c r="J80" s="276">
        <v>15.79</v>
      </c>
      <c r="K80" s="276">
        <f t="shared" si="1"/>
        <v>-2.0199999999999996</v>
      </c>
      <c r="L80" s="335"/>
    </row>
    <row r="81" spans="1:12">
      <c r="A81" s="275" t="s">
        <v>2816</v>
      </c>
      <c r="B81" s="275" t="s">
        <v>2817</v>
      </c>
      <c r="C81" s="275" t="s">
        <v>3834</v>
      </c>
      <c r="D81" s="275" t="s">
        <v>3056</v>
      </c>
      <c r="E81" s="275" t="s">
        <v>2802</v>
      </c>
      <c r="F81" s="278">
        <v>29798</v>
      </c>
      <c r="G81" s="275" t="s">
        <v>2803</v>
      </c>
      <c r="H81" s="276">
        <v>14.2</v>
      </c>
      <c r="I81" s="276">
        <v>40.01</v>
      </c>
      <c r="J81" s="276">
        <v>15.79</v>
      </c>
      <c r="K81" s="276">
        <f t="shared" si="1"/>
        <v>-1.5899999999999999</v>
      </c>
      <c r="L81" s="335"/>
    </row>
    <row r="82" spans="1:12">
      <c r="A82" s="275" t="s">
        <v>2816</v>
      </c>
      <c r="B82" s="275" t="s">
        <v>2817</v>
      </c>
      <c r="C82" s="275" t="s">
        <v>3835</v>
      </c>
      <c r="D82" s="275" t="s">
        <v>3056</v>
      </c>
      <c r="E82" s="275" t="s">
        <v>2802</v>
      </c>
      <c r="F82" s="278">
        <v>29798</v>
      </c>
      <c r="G82" s="275" t="s">
        <v>2803</v>
      </c>
      <c r="H82" s="276">
        <v>13.5</v>
      </c>
      <c r="I82" s="276">
        <v>39.4</v>
      </c>
      <c r="J82" s="276">
        <v>15.79</v>
      </c>
      <c r="K82" s="276">
        <f t="shared" si="1"/>
        <v>-2.2899999999999991</v>
      </c>
      <c r="L82" s="335"/>
    </row>
    <row r="83" spans="1:12">
      <c r="A83" s="275" t="s">
        <v>2818</v>
      </c>
      <c r="B83" s="275" t="s">
        <v>4015</v>
      </c>
      <c r="C83" s="275" t="s">
        <v>3831</v>
      </c>
      <c r="D83" s="275" t="s">
        <v>3056</v>
      </c>
      <c r="E83" s="275" t="s">
        <v>2802</v>
      </c>
      <c r="F83" s="278">
        <v>29810</v>
      </c>
      <c r="G83" s="275" t="s">
        <v>2803</v>
      </c>
      <c r="H83" s="276">
        <v>14.41</v>
      </c>
      <c r="I83" s="276">
        <v>57.6</v>
      </c>
      <c r="J83" s="276">
        <v>15.79</v>
      </c>
      <c r="K83" s="276">
        <f t="shared" si="1"/>
        <v>-1.379999999999999</v>
      </c>
      <c r="L83" s="335"/>
    </row>
    <row r="84" spans="1:12">
      <c r="A84" s="275" t="s">
        <v>2818</v>
      </c>
      <c r="B84" s="275" t="s">
        <v>4024</v>
      </c>
      <c r="C84" s="275" t="s">
        <v>3833</v>
      </c>
      <c r="D84" s="275" t="s">
        <v>3056</v>
      </c>
      <c r="E84" s="275" t="s">
        <v>2802</v>
      </c>
      <c r="F84" s="278">
        <v>29810</v>
      </c>
      <c r="G84" s="275" t="s">
        <v>2803</v>
      </c>
      <c r="H84" s="276">
        <v>13.72</v>
      </c>
      <c r="I84" s="276">
        <v>48.32</v>
      </c>
      <c r="J84" s="276">
        <v>15.79</v>
      </c>
      <c r="K84" s="276">
        <f t="shared" si="1"/>
        <v>-2.0699999999999985</v>
      </c>
      <c r="L84" s="335"/>
    </row>
    <row r="85" spans="1:12">
      <c r="A85" s="275" t="s">
        <v>2818</v>
      </c>
      <c r="B85" s="275" t="s">
        <v>4024</v>
      </c>
      <c r="C85" s="275" t="s">
        <v>3832</v>
      </c>
      <c r="D85" s="275" t="s">
        <v>3056</v>
      </c>
      <c r="E85" s="275" t="s">
        <v>2802</v>
      </c>
      <c r="F85" s="278">
        <v>29810</v>
      </c>
      <c r="G85" s="275" t="s">
        <v>2803</v>
      </c>
      <c r="H85" s="276">
        <v>13.72</v>
      </c>
      <c r="I85" s="276">
        <v>48.32</v>
      </c>
      <c r="J85" s="276">
        <v>15.79</v>
      </c>
      <c r="K85" s="276">
        <f t="shared" si="1"/>
        <v>-2.0699999999999985</v>
      </c>
      <c r="L85" s="335"/>
    </row>
    <row r="86" spans="1:12">
      <c r="A86" s="275" t="s">
        <v>2830</v>
      </c>
      <c r="B86" s="275" t="s">
        <v>4020</v>
      </c>
      <c r="C86" s="275" t="s">
        <v>3830</v>
      </c>
      <c r="D86" s="275" t="s">
        <v>3056</v>
      </c>
      <c r="E86" s="275" t="s">
        <v>2802</v>
      </c>
      <c r="F86" s="278">
        <v>29823</v>
      </c>
      <c r="G86" s="275" t="s">
        <v>2803</v>
      </c>
      <c r="H86" s="276">
        <v>15.45</v>
      </c>
      <c r="I86" s="276">
        <v>39.9</v>
      </c>
      <c r="J86" s="276">
        <v>16.07</v>
      </c>
      <c r="K86" s="276">
        <f t="shared" si="1"/>
        <v>-0.62000000000000099</v>
      </c>
      <c r="L86" s="335"/>
    </row>
    <row r="87" spans="1:12">
      <c r="A87" s="275" t="s">
        <v>2857</v>
      </c>
      <c r="B87" s="275" t="s">
        <v>3129</v>
      </c>
      <c r="C87" s="275" t="s">
        <v>3829</v>
      </c>
      <c r="D87" s="275" t="s">
        <v>3056</v>
      </c>
      <c r="E87" s="275" t="s">
        <v>2802</v>
      </c>
      <c r="F87" s="278">
        <v>29825</v>
      </c>
      <c r="G87" s="275" t="s">
        <v>2803</v>
      </c>
      <c r="H87" s="276">
        <v>14.43</v>
      </c>
      <c r="I87" s="276">
        <v>52.87</v>
      </c>
      <c r="J87" s="276">
        <v>16.07</v>
      </c>
      <c r="K87" s="276">
        <f t="shared" si="1"/>
        <v>-1.6400000000000006</v>
      </c>
      <c r="L87" s="335"/>
    </row>
    <row r="88" spans="1:12">
      <c r="A88" s="275" t="s">
        <v>2837</v>
      </c>
      <c r="B88" s="275" t="s">
        <v>2839</v>
      </c>
      <c r="C88" s="275" t="s">
        <v>3828</v>
      </c>
      <c r="D88" s="275" t="s">
        <v>3056</v>
      </c>
      <c r="E88" s="275" t="s">
        <v>2802</v>
      </c>
      <c r="F88" s="278">
        <v>29826</v>
      </c>
      <c r="G88" s="275" t="s">
        <v>2803</v>
      </c>
      <c r="H88" s="276">
        <v>15</v>
      </c>
      <c r="I88" s="276">
        <v>35.1</v>
      </c>
      <c r="J88" s="276">
        <v>16.07</v>
      </c>
      <c r="K88" s="276">
        <f t="shared" si="1"/>
        <v>-1.0700000000000003</v>
      </c>
      <c r="L88" s="335"/>
    </row>
    <row r="89" spans="1:12">
      <c r="A89" s="275" t="s">
        <v>2842</v>
      </c>
      <c r="B89" s="275" t="s">
        <v>2843</v>
      </c>
      <c r="C89" s="275" t="s">
        <v>3827</v>
      </c>
      <c r="D89" s="275" t="s">
        <v>3056</v>
      </c>
      <c r="E89" s="275" t="s">
        <v>2802</v>
      </c>
      <c r="F89" s="278">
        <v>29853</v>
      </c>
      <c r="G89" s="275" t="s">
        <v>2803</v>
      </c>
      <c r="H89" s="276">
        <v>16.25</v>
      </c>
      <c r="I89" s="276">
        <v>35</v>
      </c>
      <c r="J89" s="276">
        <v>16.45</v>
      </c>
      <c r="K89" s="276">
        <f t="shared" si="1"/>
        <v>-0.19999999999999929</v>
      </c>
      <c r="L89" s="335"/>
    </row>
    <row r="90" spans="1:12">
      <c r="A90" s="275" t="s">
        <v>2809</v>
      </c>
      <c r="B90" s="275" t="s">
        <v>4025</v>
      </c>
      <c r="C90" s="275" t="s">
        <v>3826</v>
      </c>
      <c r="D90" s="275" t="s">
        <v>3056</v>
      </c>
      <c r="E90" s="275" t="s">
        <v>2802</v>
      </c>
      <c r="F90" s="278">
        <v>29858</v>
      </c>
      <c r="G90" s="275" t="s">
        <v>2803</v>
      </c>
      <c r="H90" s="276">
        <v>14.5</v>
      </c>
      <c r="I90" s="276">
        <v>38</v>
      </c>
      <c r="J90" s="276">
        <v>16.45</v>
      </c>
      <c r="K90" s="276">
        <f t="shared" si="1"/>
        <v>-1.9499999999999993</v>
      </c>
      <c r="L90" s="335"/>
    </row>
    <row r="91" spans="1:12">
      <c r="A91" s="275" t="s">
        <v>2818</v>
      </c>
      <c r="B91" s="275" t="s">
        <v>4374</v>
      </c>
      <c r="C91" s="275" t="s">
        <v>3825</v>
      </c>
      <c r="D91" s="275" t="s">
        <v>3056</v>
      </c>
      <c r="E91" s="275" t="s">
        <v>2802</v>
      </c>
      <c r="F91" s="278">
        <v>29859</v>
      </c>
      <c r="G91" s="275" t="s">
        <v>2803</v>
      </c>
      <c r="H91" s="276">
        <v>15.94</v>
      </c>
      <c r="I91" s="276">
        <v>36.74</v>
      </c>
      <c r="J91" s="276">
        <v>16.45</v>
      </c>
      <c r="K91" s="276">
        <f t="shared" si="1"/>
        <v>-0.50999999999999979</v>
      </c>
      <c r="L91" s="335"/>
    </row>
    <row r="92" spans="1:12">
      <c r="A92" s="275" t="s">
        <v>2860</v>
      </c>
      <c r="B92" s="275" t="s">
        <v>3063</v>
      </c>
      <c r="C92" s="275" t="s">
        <v>3824</v>
      </c>
      <c r="D92" s="275" t="s">
        <v>3056</v>
      </c>
      <c r="E92" s="275" t="s">
        <v>2802</v>
      </c>
      <c r="F92" s="278">
        <v>29861</v>
      </c>
      <c r="G92" s="275" t="s">
        <v>2803</v>
      </c>
      <c r="H92" s="276">
        <v>14.8</v>
      </c>
      <c r="I92" s="276">
        <v>38.58</v>
      </c>
      <c r="J92" s="276">
        <v>16.45</v>
      </c>
      <c r="K92" s="276">
        <f t="shared" si="1"/>
        <v>-1.6499999999999986</v>
      </c>
      <c r="L92" s="335"/>
    </row>
    <row r="93" spans="1:12">
      <c r="A93" s="275" t="s">
        <v>2861</v>
      </c>
      <c r="B93" s="275" t="s">
        <v>3328</v>
      </c>
      <c r="C93" s="275" t="s">
        <v>3823</v>
      </c>
      <c r="D93" s="275" t="s">
        <v>3056</v>
      </c>
      <c r="E93" s="275" t="s">
        <v>2802</v>
      </c>
      <c r="F93" s="278">
        <v>29871</v>
      </c>
      <c r="G93" s="275" t="s">
        <v>2803</v>
      </c>
      <c r="H93" s="276">
        <v>16.25</v>
      </c>
      <c r="I93" s="276">
        <v>50.14</v>
      </c>
      <c r="J93" s="276">
        <v>16.45</v>
      </c>
      <c r="K93" s="276">
        <f t="shared" si="1"/>
        <v>-0.19999999999999929</v>
      </c>
      <c r="L93" s="335"/>
    </row>
    <row r="94" spans="1:12">
      <c r="A94" s="275" t="s">
        <v>2811</v>
      </c>
      <c r="B94" s="275" t="s">
        <v>2832</v>
      </c>
      <c r="C94" s="275" t="s">
        <v>3820</v>
      </c>
      <c r="D94" s="275" t="s">
        <v>3056</v>
      </c>
      <c r="E94" s="275" t="s">
        <v>2802</v>
      </c>
      <c r="F94" s="278">
        <v>29879</v>
      </c>
      <c r="G94" s="275" t="s">
        <v>2803</v>
      </c>
      <c r="H94" s="276">
        <v>17</v>
      </c>
      <c r="I94" s="276">
        <v>39.659999999999997</v>
      </c>
      <c r="J94" s="276">
        <v>17.03</v>
      </c>
      <c r="K94" s="276">
        <f t="shared" si="1"/>
        <v>-3.0000000000001137E-2</v>
      </c>
      <c r="L94" s="335"/>
    </row>
    <row r="95" spans="1:12">
      <c r="A95" s="275" t="s">
        <v>2811</v>
      </c>
      <c r="B95" s="275" t="s">
        <v>3623</v>
      </c>
      <c r="C95" s="275" t="s">
        <v>3821</v>
      </c>
      <c r="D95" s="275" t="s">
        <v>3056</v>
      </c>
      <c r="E95" s="275" t="s">
        <v>2802</v>
      </c>
      <c r="F95" s="278">
        <v>29879</v>
      </c>
      <c r="G95" s="275" t="s">
        <v>2803</v>
      </c>
      <c r="H95" s="276">
        <v>16.5</v>
      </c>
      <c r="I95" s="276">
        <v>39.22</v>
      </c>
      <c r="J95" s="276">
        <v>17.03</v>
      </c>
      <c r="K95" s="276">
        <f t="shared" si="1"/>
        <v>-0.53000000000000114</v>
      </c>
      <c r="L95" s="335"/>
    </row>
    <row r="96" spans="1:12">
      <c r="A96" s="275" t="s">
        <v>2833</v>
      </c>
      <c r="B96" s="275" t="s">
        <v>2834</v>
      </c>
      <c r="C96" s="275" t="s">
        <v>3822</v>
      </c>
      <c r="D96" s="275" t="s">
        <v>3056</v>
      </c>
      <c r="E96" s="275" t="s">
        <v>2802</v>
      </c>
      <c r="F96" s="278">
        <v>29879</v>
      </c>
      <c r="G96" s="275" t="s">
        <v>2803</v>
      </c>
      <c r="H96" s="276">
        <v>15.25</v>
      </c>
      <c r="I96" s="276">
        <v>40</v>
      </c>
      <c r="J96" s="276">
        <v>17.03</v>
      </c>
      <c r="K96" s="276">
        <f t="shared" si="1"/>
        <v>-1.7800000000000011</v>
      </c>
      <c r="L96" s="335"/>
    </row>
    <row r="97" spans="1:12">
      <c r="A97" s="275" t="s">
        <v>2838</v>
      </c>
      <c r="B97" s="275" t="s">
        <v>3129</v>
      </c>
      <c r="C97" s="275" t="s">
        <v>3819</v>
      </c>
      <c r="D97" s="275" t="s">
        <v>3056</v>
      </c>
      <c r="E97" s="275" t="s">
        <v>2802</v>
      </c>
      <c r="F97" s="278">
        <v>29885</v>
      </c>
      <c r="G97" s="275" t="s">
        <v>2803</v>
      </c>
      <c r="H97" s="276">
        <v>13.5</v>
      </c>
      <c r="I97" s="276">
        <v>55.33</v>
      </c>
      <c r="J97" s="276">
        <v>17.03</v>
      </c>
      <c r="K97" s="276">
        <f t="shared" si="1"/>
        <v>-3.5300000000000011</v>
      </c>
      <c r="L97" s="335"/>
    </row>
    <row r="98" spans="1:12">
      <c r="A98" s="275" t="s">
        <v>2824</v>
      </c>
      <c r="B98" s="275" t="s">
        <v>2825</v>
      </c>
      <c r="C98" s="275" t="s">
        <v>3818</v>
      </c>
      <c r="D98" s="275" t="s">
        <v>3056</v>
      </c>
      <c r="E98" s="275" t="s">
        <v>2802</v>
      </c>
      <c r="F98" s="278">
        <v>29888</v>
      </c>
      <c r="G98" s="275" t="s">
        <v>2803</v>
      </c>
      <c r="H98" s="276">
        <v>16.5</v>
      </c>
      <c r="I98" s="276">
        <v>40.35</v>
      </c>
      <c r="J98" s="276">
        <v>17.03</v>
      </c>
      <c r="K98" s="276">
        <f t="shared" si="1"/>
        <v>-0.53000000000000114</v>
      </c>
      <c r="L98" s="335"/>
    </row>
    <row r="99" spans="1:12">
      <c r="A99" s="275" t="s">
        <v>2813</v>
      </c>
      <c r="B99" s="275" t="s">
        <v>3385</v>
      </c>
      <c r="C99" s="275" t="s">
        <v>3817</v>
      </c>
      <c r="D99" s="275" t="s">
        <v>3056</v>
      </c>
      <c r="E99" s="275" t="s">
        <v>2802</v>
      </c>
      <c r="F99" s="278">
        <v>29894</v>
      </c>
      <c r="G99" s="275" t="s">
        <v>2803</v>
      </c>
      <c r="H99" s="276">
        <v>15.33</v>
      </c>
      <c r="I99" s="276">
        <v>32.630000000000003</v>
      </c>
      <c r="J99" s="276">
        <v>17.03</v>
      </c>
      <c r="K99" s="276">
        <f t="shared" si="1"/>
        <v>-1.7000000000000011</v>
      </c>
      <c r="L99" s="335"/>
    </row>
    <row r="100" spans="1:12">
      <c r="A100" s="275" t="s">
        <v>2816</v>
      </c>
      <c r="B100" s="275" t="s">
        <v>2817</v>
      </c>
      <c r="C100" s="275" t="s">
        <v>3816</v>
      </c>
      <c r="D100" s="275" t="s">
        <v>3056</v>
      </c>
      <c r="E100" s="275" t="s">
        <v>2802</v>
      </c>
      <c r="F100" s="278">
        <v>29896</v>
      </c>
      <c r="G100" s="275" t="s">
        <v>2803</v>
      </c>
      <c r="H100" s="276">
        <v>15.17</v>
      </c>
      <c r="I100" s="276">
        <v>37.1</v>
      </c>
      <c r="J100" s="276">
        <v>17.03</v>
      </c>
      <c r="K100" s="276">
        <f t="shared" si="1"/>
        <v>-1.8600000000000012</v>
      </c>
      <c r="L100" s="335"/>
    </row>
    <row r="101" spans="1:12">
      <c r="A101" s="275" t="s">
        <v>2830</v>
      </c>
      <c r="B101" s="275" t="s">
        <v>4018</v>
      </c>
      <c r="C101" s="275" t="s">
        <v>3814</v>
      </c>
      <c r="D101" s="275" t="s">
        <v>3056</v>
      </c>
      <c r="E101" s="275" t="s">
        <v>2802</v>
      </c>
      <c r="F101" s="278">
        <v>29915</v>
      </c>
      <c r="G101" s="275" t="s">
        <v>2803</v>
      </c>
      <c r="H101" s="276">
        <v>16.100000000000001</v>
      </c>
      <c r="I101" s="276">
        <v>33.520000000000003</v>
      </c>
      <c r="J101" s="276">
        <v>17.260000000000002</v>
      </c>
      <c r="K101" s="276">
        <f t="shared" si="1"/>
        <v>-1.1600000000000001</v>
      </c>
      <c r="L101" s="335"/>
    </row>
    <row r="102" spans="1:12">
      <c r="A102" s="275" t="s">
        <v>2830</v>
      </c>
      <c r="B102" s="275" t="s">
        <v>4018</v>
      </c>
      <c r="C102" s="275" t="s">
        <v>3813</v>
      </c>
      <c r="D102" s="275" t="s">
        <v>3056</v>
      </c>
      <c r="E102" s="275" t="s">
        <v>2802</v>
      </c>
      <c r="F102" s="278">
        <v>29915</v>
      </c>
      <c r="G102" s="275" t="s">
        <v>2803</v>
      </c>
      <c r="H102" s="276">
        <v>16.100000000000001</v>
      </c>
      <c r="I102" s="276">
        <v>36.74</v>
      </c>
      <c r="J102" s="276">
        <v>17.260000000000002</v>
      </c>
      <c r="K102" s="276">
        <f t="shared" si="1"/>
        <v>-1.1600000000000001</v>
      </c>
      <c r="L102" s="335"/>
    </row>
    <row r="103" spans="1:12">
      <c r="A103" s="275" t="s">
        <v>2842</v>
      </c>
      <c r="B103" s="275" t="s">
        <v>2834</v>
      </c>
      <c r="C103" s="275" t="s">
        <v>3815</v>
      </c>
      <c r="D103" s="275" t="s">
        <v>3056</v>
      </c>
      <c r="E103" s="275" t="s">
        <v>2802</v>
      </c>
      <c r="F103" s="278">
        <v>29915</v>
      </c>
      <c r="G103" s="275" t="s">
        <v>2803</v>
      </c>
      <c r="H103" s="276">
        <v>15.25</v>
      </c>
      <c r="I103" s="276">
        <v>38</v>
      </c>
      <c r="J103" s="276">
        <v>17.260000000000002</v>
      </c>
      <c r="K103" s="276">
        <f t="shared" si="1"/>
        <v>-2.0100000000000016</v>
      </c>
      <c r="L103" s="335"/>
    </row>
    <row r="104" spans="1:12">
      <c r="A104" s="275" t="s">
        <v>2824</v>
      </c>
      <c r="B104" s="275" t="s">
        <v>3094</v>
      </c>
      <c r="C104" s="275" t="s">
        <v>3812</v>
      </c>
      <c r="D104" s="275" t="s">
        <v>3056</v>
      </c>
      <c r="E104" s="275" t="s">
        <v>2802</v>
      </c>
      <c r="F104" s="278">
        <v>29920</v>
      </c>
      <c r="G104" s="275" t="s">
        <v>2803</v>
      </c>
      <c r="H104" s="276">
        <v>16.75</v>
      </c>
      <c r="I104" s="276">
        <v>35.6</v>
      </c>
      <c r="J104" s="276">
        <v>17.260000000000002</v>
      </c>
      <c r="K104" s="276">
        <f t="shared" si="1"/>
        <v>-0.51000000000000156</v>
      </c>
      <c r="L104" s="335"/>
    </row>
    <row r="105" spans="1:12">
      <c r="A105" s="275" t="s">
        <v>2811</v>
      </c>
      <c r="B105" s="275" t="s">
        <v>2815</v>
      </c>
      <c r="C105" s="275" t="s">
        <v>3810</v>
      </c>
      <c r="D105" s="275" t="s">
        <v>3056</v>
      </c>
      <c r="E105" s="275" t="s">
        <v>2802</v>
      </c>
      <c r="F105" s="278">
        <v>29921</v>
      </c>
      <c r="G105" s="275" t="s">
        <v>2803</v>
      </c>
      <c r="H105" s="276">
        <v>16</v>
      </c>
      <c r="I105" s="276">
        <v>43.11</v>
      </c>
      <c r="J105" s="276">
        <v>17.260000000000002</v>
      </c>
      <c r="K105" s="276">
        <f t="shared" si="1"/>
        <v>-1.2600000000000016</v>
      </c>
      <c r="L105" s="335"/>
    </row>
    <row r="106" spans="1:12">
      <c r="A106" s="275" t="s">
        <v>2822</v>
      </c>
      <c r="B106" s="275" t="s">
        <v>2823</v>
      </c>
      <c r="C106" s="275" t="s">
        <v>3811</v>
      </c>
      <c r="D106" s="275" t="s">
        <v>3056</v>
      </c>
      <c r="E106" s="275" t="s">
        <v>2802</v>
      </c>
      <c r="F106" s="278">
        <v>29921</v>
      </c>
      <c r="G106" s="275" t="s">
        <v>2803</v>
      </c>
      <c r="H106" s="276">
        <v>15.7</v>
      </c>
      <c r="I106" s="276">
        <v>39.090000000000003</v>
      </c>
      <c r="J106" s="276">
        <v>17.260000000000002</v>
      </c>
      <c r="K106" s="276">
        <f t="shared" si="1"/>
        <v>-1.5600000000000023</v>
      </c>
      <c r="L106" s="335"/>
    </row>
    <row r="107" spans="1:12">
      <c r="A107" s="275" t="s">
        <v>2862</v>
      </c>
      <c r="B107" s="275" t="s">
        <v>2863</v>
      </c>
      <c r="C107" s="275" t="s">
        <v>3809</v>
      </c>
      <c r="D107" s="275" t="s">
        <v>3056</v>
      </c>
      <c r="E107" s="275" t="s">
        <v>2802</v>
      </c>
      <c r="F107" s="278">
        <v>29935</v>
      </c>
      <c r="G107" s="275" t="s">
        <v>2803</v>
      </c>
      <c r="H107" s="276">
        <v>15.81</v>
      </c>
      <c r="I107" s="276">
        <v>36.06</v>
      </c>
      <c r="J107" s="276">
        <v>16.420000000000002</v>
      </c>
      <c r="K107" s="276">
        <f t="shared" si="1"/>
        <v>-0.61000000000000121</v>
      </c>
      <c r="L107" s="335"/>
    </row>
    <row r="108" spans="1:12">
      <c r="A108" s="275" t="s">
        <v>2806</v>
      </c>
      <c r="B108" s="275" t="s">
        <v>3081</v>
      </c>
      <c r="C108" s="275" t="s">
        <v>3807</v>
      </c>
      <c r="D108" s="275" t="s">
        <v>3056</v>
      </c>
      <c r="E108" s="275" t="s">
        <v>2802</v>
      </c>
      <c r="F108" s="278">
        <v>29942</v>
      </c>
      <c r="G108" s="275" t="s">
        <v>2803</v>
      </c>
      <c r="H108" s="276">
        <v>16</v>
      </c>
      <c r="I108" s="276">
        <v>38.369999999999997</v>
      </c>
      <c r="J108" s="276">
        <v>16.420000000000002</v>
      </c>
      <c r="K108" s="276">
        <f t="shared" si="1"/>
        <v>-0.42000000000000171</v>
      </c>
      <c r="L108" s="335"/>
    </row>
    <row r="109" spans="1:12">
      <c r="A109" s="275" t="s">
        <v>2811</v>
      </c>
      <c r="B109" s="275" t="s">
        <v>4014</v>
      </c>
      <c r="C109" s="275" t="s">
        <v>3808</v>
      </c>
      <c r="D109" s="275" t="s">
        <v>3056</v>
      </c>
      <c r="E109" s="275" t="s">
        <v>2802</v>
      </c>
      <c r="F109" s="278">
        <v>29942</v>
      </c>
      <c r="G109" s="275" t="s">
        <v>2803</v>
      </c>
      <c r="H109" s="276">
        <v>15.7</v>
      </c>
      <c r="I109" s="276">
        <v>43</v>
      </c>
      <c r="J109" s="276">
        <v>16.420000000000002</v>
      </c>
      <c r="K109" s="276">
        <f t="shared" si="1"/>
        <v>-0.72000000000000242</v>
      </c>
      <c r="L109" s="335"/>
    </row>
    <row r="110" spans="1:12">
      <c r="A110" s="275" t="s">
        <v>2844</v>
      </c>
      <c r="B110" s="275" t="s">
        <v>2848</v>
      </c>
      <c r="C110" s="275" t="s">
        <v>3805</v>
      </c>
      <c r="D110" s="275" t="s">
        <v>3056</v>
      </c>
      <c r="E110" s="275" t="s">
        <v>2802</v>
      </c>
      <c r="F110" s="278">
        <v>29950</v>
      </c>
      <c r="G110" s="275" t="s">
        <v>2803</v>
      </c>
      <c r="H110" s="276">
        <v>16.25</v>
      </c>
      <c r="I110" s="276">
        <v>37.25</v>
      </c>
      <c r="J110" s="276">
        <v>16.420000000000002</v>
      </c>
      <c r="K110" s="276">
        <f t="shared" si="1"/>
        <v>-0.17000000000000171</v>
      </c>
      <c r="L110" s="335"/>
    </row>
    <row r="111" spans="1:12">
      <c r="A111" s="275" t="s">
        <v>2844</v>
      </c>
      <c r="B111" s="275" t="s">
        <v>2864</v>
      </c>
      <c r="C111" s="275" t="s">
        <v>3806</v>
      </c>
      <c r="D111" s="275" t="s">
        <v>3056</v>
      </c>
      <c r="E111" s="275" t="s">
        <v>2802</v>
      </c>
      <c r="F111" s="278">
        <v>29950</v>
      </c>
      <c r="G111" s="275" t="s">
        <v>2803</v>
      </c>
      <c r="H111" s="276">
        <v>16</v>
      </c>
      <c r="I111" s="276">
        <v>41</v>
      </c>
      <c r="J111" s="276">
        <v>16.420000000000002</v>
      </c>
      <c r="K111" s="276">
        <f t="shared" si="1"/>
        <v>-0.42000000000000171</v>
      </c>
      <c r="L111" s="335"/>
    </row>
    <row r="112" spans="1:12">
      <c r="A112" s="275" t="s">
        <v>2835</v>
      </c>
      <c r="B112" s="275" t="s">
        <v>2836</v>
      </c>
      <c r="C112" s="275" t="s">
        <v>3804</v>
      </c>
      <c r="D112" s="275" t="s">
        <v>3056</v>
      </c>
      <c r="E112" s="275" t="s">
        <v>2802</v>
      </c>
      <c r="F112" s="278">
        <v>29955</v>
      </c>
      <c r="G112" s="275" t="s">
        <v>2803</v>
      </c>
      <c r="H112" s="276">
        <v>15.5</v>
      </c>
      <c r="I112" s="276">
        <v>38.6</v>
      </c>
      <c r="J112" s="276">
        <v>16.420000000000002</v>
      </c>
      <c r="K112" s="276">
        <f t="shared" si="1"/>
        <v>-0.92000000000000171</v>
      </c>
      <c r="L112" s="335"/>
    </row>
    <row r="113" spans="1:12">
      <c r="A113" s="275" t="s">
        <v>2813</v>
      </c>
      <c r="B113" s="275" t="s">
        <v>3385</v>
      </c>
      <c r="C113" s="275" t="s">
        <v>3803</v>
      </c>
      <c r="D113" s="275" t="s">
        <v>3056</v>
      </c>
      <c r="E113" s="275" t="s">
        <v>2802</v>
      </c>
      <c r="F113" s="278">
        <v>29976</v>
      </c>
      <c r="G113" s="275" t="s">
        <v>2803</v>
      </c>
      <c r="H113" s="276">
        <v>16.25</v>
      </c>
      <c r="I113" s="276">
        <v>33.799999999999997</v>
      </c>
      <c r="J113" s="276">
        <v>16.16</v>
      </c>
      <c r="K113" s="276">
        <f t="shared" si="1"/>
        <v>8.9999999999999858E-2</v>
      </c>
      <c r="L113" s="335"/>
    </row>
    <row r="114" spans="1:12">
      <c r="A114" s="275" t="s">
        <v>2818</v>
      </c>
      <c r="B114" s="275" t="s">
        <v>2865</v>
      </c>
      <c r="C114" s="275" t="s">
        <v>3802</v>
      </c>
      <c r="D114" s="275" t="s">
        <v>3056</v>
      </c>
      <c r="E114" s="275" t="s">
        <v>2802</v>
      </c>
      <c r="F114" s="278">
        <v>29978</v>
      </c>
      <c r="G114" s="275" t="s">
        <v>2803</v>
      </c>
      <c r="H114" s="276">
        <v>16.84</v>
      </c>
      <c r="I114" s="276">
        <v>34.5</v>
      </c>
      <c r="J114" s="276">
        <v>16.16</v>
      </c>
      <c r="K114" s="276">
        <f t="shared" si="1"/>
        <v>0.67999999999999972</v>
      </c>
      <c r="L114" s="335"/>
    </row>
    <row r="115" spans="1:12">
      <c r="A115" s="275" t="s">
        <v>2807</v>
      </c>
      <c r="B115" s="275" t="s">
        <v>4026</v>
      </c>
      <c r="C115" s="275" t="s">
        <v>3801</v>
      </c>
      <c r="D115" s="275" t="s">
        <v>3056</v>
      </c>
      <c r="E115" s="275" t="s">
        <v>2802</v>
      </c>
      <c r="F115" s="278">
        <v>29982</v>
      </c>
      <c r="G115" s="275" t="s">
        <v>2803</v>
      </c>
      <c r="H115" s="276">
        <v>14</v>
      </c>
      <c r="I115" s="276">
        <v>38.29</v>
      </c>
      <c r="J115" s="276">
        <v>16.16</v>
      </c>
      <c r="K115" s="276">
        <f t="shared" si="1"/>
        <v>-2.16</v>
      </c>
      <c r="L115" s="335"/>
    </row>
    <row r="116" spans="1:12">
      <c r="A116" s="275" t="s">
        <v>2850</v>
      </c>
      <c r="B116" s="275" t="s">
        <v>3328</v>
      </c>
      <c r="C116" s="275" t="s">
        <v>3800</v>
      </c>
      <c r="D116" s="275" t="s">
        <v>3056</v>
      </c>
      <c r="E116" s="275" t="s">
        <v>2802</v>
      </c>
      <c r="F116" s="278">
        <v>29984</v>
      </c>
      <c r="G116" s="275" t="s">
        <v>2803</v>
      </c>
      <c r="H116" s="276">
        <v>16.239999999999998</v>
      </c>
      <c r="I116" s="276">
        <v>50.81</v>
      </c>
      <c r="J116" s="276">
        <v>16.16</v>
      </c>
      <c r="K116" s="276">
        <f t="shared" si="1"/>
        <v>7.9999999999998295E-2</v>
      </c>
      <c r="L116" s="335"/>
    </row>
    <row r="117" spans="1:12">
      <c r="A117" s="275" t="s">
        <v>2805</v>
      </c>
      <c r="B117" s="275" t="s">
        <v>2829</v>
      </c>
      <c r="C117" s="275" t="s">
        <v>3799</v>
      </c>
      <c r="D117" s="275" t="s">
        <v>3056</v>
      </c>
      <c r="E117" s="275" t="s">
        <v>2802</v>
      </c>
      <c r="F117" s="278">
        <v>29990</v>
      </c>
      <c r="G117" s="275" t="s">
        <v>2803</v>
      </c>
      <c r="H117" s="276">
        <v>15.5</v>
      </c>
      <c r="I117" s="276">
        <v>38.61</v>
      </c>
      <c r="J117" s="276">
        <v>16.16</v>
      </c>
      <c r="K117" s="276">
        <f t="shared" si="1"/>
        <v>-0.66000000000000014</v>
      </c>
      <c r="L117" s="335"/>
    </row>
    <row r="118" spans="1:12">
      <c r="A118" s="275" t="s">
        <v>2833</v>
      </c>
      <c r="B118" s="275" t="s">
        <v>3119</v>
      </c>
      <c r="C118" s="275" t="s">
        <v>3797</v>
      </c>
      <c r="D118" s="275" t="s">
        <v>3056</v>
      </c>
      <c r="E118" s="275" t="s">
        <v>2802</v>
      </c>
      <c r="F118" s="278">
        <v>29991</v>
      </c>
      <c r="G118" s="275" t="s">
        <v>2803</v>
      </c>
      <c r="H118" s="276">
        <v>15.75</v>
      </c>
      <c r="I118" s="276">
        <v>33.340000000000003</v>
      </c>
      <c r="J118" s="276">
        <v>16.16</v>
      </c>
      <c r="K118" s="276">
        <f t="shared" si="1"/>
        <v>-0.41000000000000014</v>
      </c>
      <c r="L118" s="335"/>
    </row>
    <row r="119" spans="1:12">
      <c r="A119" s="275" t="s">
        <v>2840</v>
      </c>
      <c r="B119" s="275" t="s">
        <v>3079</v>
      </c>
      <c r="C119" s="275" t="s">
        <v>3798</v>
      </c>
      <c r="D119" s="275" t="s">
        <v>3056</v>
      </c>
      <c r="E119" s="275" t="s">
        <v>2802</v>
      </c>
      <c r="F119" s="278">
        <v>29991</v>
      </c>
      <c r="G119" s="275" t="s">
        <v>2803</v>
      </c>
      <c r="H119" s="276">
        <v>14.95</v>
      </c>
      <c r="I119" s="276">
        <v>44</v>
      </c>
      <c r="J119" s="276">
        <v>16.16</v>
      </c>
      <c r="K119" s="276">
        <f t="shared" si="1"/>
        <v>-1.2100000000000009</v>
      </c>
      <c r="L119" s="335"/>
    </row>
    <row r="120" spans="1:12">
      <c r="A120" s="275" t="s">
        <v>2819</v>
      </c>
      <c r="B120" s="275" t="s">
        <v>2820</v>
      </c>
      <c r="C120" s="275" t="s">
        <v>3796</v>
      </c>
      <c r="D120" s="275" t="s">
        <v>3056</v>
      </c>
      <c r="E120" s="275" t="s">
        <v>2802</v>
      </c>
      <c r="F120" s="278">
        <v>29993</v>
      </c>
      <c r="G120" s="275" t="s">
        <v>2803</v>
      </c>
      <c r="H120" s="276">
        <v>16</v>
      </c>
      <c r="I120" s="276" t="s">
        <v>1447</v>
      </c>
      <c r="J120" s="276">
        <v>16.16</v>
      </c>
      <c r="K120" s="276">
        <f t="shared" si="1"/>
        <v>-0.16000000000000014</v>
      </c>
      <c r="L120" s="335"/>
    </row>
    <row r="121" spans="1:12">
      <c r="A121" s="275" t="s">
        <v>2805</v>
      </c>
      <c r="B121" s="275" t="s">
        <v>3079</v>
      </c>
      <c r="C121" s="275" t="s">
        <v>3795</v>
      </c>
      <c r="D121" s="275" t="s">
        <v>3056</v>
      </c>
      <c r="E121" s="275" t="s">
        <v>2802</v>
      </c>
      <c r="F121" s="278">
        <v>30011</v>
      </c>
      <c r="G121" s="275" t="s">
        <v>2803</v>
      </c>
      <c r="H121" s="276">
        <v>15.96</v>
      </c>
      <c r="I121" s="276">
        <v>38.4</v>
      </c>
      <c r="J121" s="276">
        <v>16.8</v>
      </c>
      <c r="K121" s="276">
        <f t="shared" si="1"/>
        <v>-0.83999999999999986</v>
      </c>
      <c r="L121" s="335"/>
    </row>
    <row r="122" spans="1:12">
      <c r="A122" s="275" t="s">
        <v>2816</v>
      </c>
      <c r="B122" s="275" t="s">
        <v>2817</v>
      </c>
      <c r="C122" s="275" t="s">
        <v>3794</v>
      </c>
      <c r="D122" s="275" t="s">
        <v>3056</v>
      </c>
      <c r="E122" s="275" t="s">
        <v>2802</v>
      </c>
      <c r="F122" s="278">
        <v>30013</v>
      </c>
      <c r="G122" s="275" t="s">
        <v>2803</v>
      </c>
      <c r="H122" s="276">
        <v>15</v>
      </c>
      <c r="I122" s="276">
        <v>36.75</v>
      </c>
      <c r="J122" s="276">
        <v>16.8</v>
      </c>
      <c r="K122" s="276">
        <f t="shared" si="1"/>
        <v>-1.8000000000000007</v>
      </c>
      <c r="L122" s="335"/>
    </row>
    <row r="123" spans="1:12">
      <c r="A123" s="275" t="s">
        <v>2811</v>
      </c>
      <c r="B123" s="275" t="s">
        <v>2812</v>
      </c>
      <c r="C123" s="275" t="s">
        <v>3793</v>
      </c>
      <c r="D123" s="275" t="s">
        <v>3056</v>
      </c>
      <c r="E123" s="275" t="s">
        <v>2802</v>
      </c>
      <c r="F123" s="278">
        <v>30018</v>
      </c>
      <c r="G123" s="275" t="s">
        <v>2803</v>
      </c>
      <c r="H123" s="276">
        <v>17.100000000000001</v>
      </c>
      <c r="I123" s="276">
        <v>41.48</v>
      </c>
      <c r="J123" s="276">
        <v>16.8</v>
      </c>
      <c r="K123" s="276">
        <f t="shared" si="1"/>
        <v>0.30000000000000071</v>
      </c>
      <c r="L123" s="335"/>
    </row>
    <row r="124" spans="1:12">
      <c r="A124" s="275" t="s">
        <v>2804</v>
      </c>
      <c r="B124" s="275" t="s">
        <v>4014</v>
      </c>
      <c r="C124" s="275" t="s">
        <v>3792</v>
      </c>
      <c r="D124" s="275" t="s">
        <v>3056</v>
      </c>
      <c r="E124" s="275" t="s">
        <v>2802</v>
      </c>
      <c r="F124" s="278">
        <v>30036</v>
      </c>
      <c r="G124" s="275" t="s">
        <v>2803</v>
      </c>
      <c r="H124" s="276">
        <v>16</v>
      </c>
      <c r="I124" s="276">
        <v>48</v>
      </c>
      <c r="J124" s="276">
        <v>16.920000000000002</v>
      </c>
      <c r="K124" s="276">
        <f t="shared" si="1"/>
        <v>-0.92000000000000171</v>
      </c>
      <c r="L124" s="335"/>
    </row>
    <row r="125" spans="1:12">
      <c r="A125" s="275" t="s">
        <v>2808</v>
      </c>
      <c r="B125" s="275" t="s">
        <v>3409</v>
      </c>
      <c r="C125" s="275" t="s">
        <v>3791</v>
      </c>
      <c r="D125" s="275" t="s">
        <v>3056</v>
      </c>
      <c r="E125" s="275" t="s">
        <v>2802</v>
      </c>
      <c r="F125" s="278">
        <v>30041</v>
      </c>
      <c r="G125" s="275" t="s">
        <v>2803</v>
      </c>
      <c r="H125" s="276">
        <v>16.25</v>
      </c>
      <c r="I125" s="276">
        <v>48.67</v>
      </c>
      <c r="J125" s="276">
        <v>16.920000000000002</v>
      </c>
      <c r="K125" s="276">
        <f t="shared" si="1"/>
        <v>-0.67000000000000171</v>
      </c>
      <c r="L125" s="335"/>
    </row>
    <row r="126" spans="1:12">
      <c r="A126" s="275" t="s">
        <v>2809</v>
      </c>
      <c r="B126" s="275" t="s">
        <v>3142</v>
      </c>
      <c r="C126" s="275" t="s">
        <v>3790</v>
      </c>
      <c r="D126" s="275" t="s">
        <v>3056</v>
      </c>
      <c r="E126" s="275" t="s">
        <v>2802</v>
      </c>
      <c r="F126" s="278">
        <v>30047</v>
      </c>
      <c r="G126" s="275" t="s">
        <v>2803</v>
      </c>
      <c r="H126" s="276">
        <v>15</v>
      </c>
      <c r="I126" s="276">
        <v>41.11</v>
      </c>
      <c r="J126" s="276">
        <v>16.920000000000002</v>
      </c>
      <c r="K126" s="276">
        <f t="shared" si="1"/>
        <v>-1.9200000000000017</v>
      </c>
      <c r="L126" s="335"/>
    </row>
    <row r="127" spans="1:12">
      <c r="A127" s="275" t="s">
        <v>2842</v>
      </c>
      <c r="B127" s="275" t="s">
        <v>3769</v>
      </c>
      <c r="C127" s="275" t="s">
        <v>3789</v>
      </c>
      <c r="D127" s="275" t="s">
        <v>3056</v>
      </c>
      <c r="E127" s="275" t="s">
        <v>2802</v>
      </c>
      <c r="F127" s="278">
        <v>30050</v>
      </c>
      <c r="G127" s="275" t="s">
        <v>2803</v>
      </c>
      <c r="H127" s="276">
        <v>16.5</v>
      </c>
      <c r="I127" s="276">
        <v>38.979999999999997</v>
      </c>
      <c r="J127" s="276">
        <v>16.920000000000002</v>
      </c>
      <c r="K127" s="276">
        <f t="shared" si="1"/>
        <v>-0.42000000000000171</v>
      </c>
      <c r="L127" s="335"/>
    </row>
    <row r="128" spans="1:12">
      <c r="A128" s="275" t="s">
        <v>2837</v>
      </c>
      <c r="B128" s="275" t="s">
        <v>3094</v>
      </c>
      <c r="C128" s="275" t="s">
        <v>3787</v>
      </c>
      <c r="D128" s="275" t="s">
        <v>3056</v>
      </c>
      <c r="E128" s="275" t="s">
        <v>2802</v>
      </c>
      <c r="F128" s="278">
        <v>30053</v>
      </c>
      <c r="G128" s="275" t="s">
        <v>2803</v>
      </c>
      <c r="H128" s="276">
        <v>16.7</v>
      </c>
      <c r="I128" s="276">
        <v>31.84</v>
      </c>
      <c r="J128" s="276">
        <v>16.920000000000002</v>
      </c>
      <c r="K128" s="276">
        <f t="shared" si="1"/>
        <v>-0.22000000000000242</v>
      </c>
      <c r="L128" s="335"/>
    </row>
    <row r="129" spans="1:12">
      <c r="A129" s="275" t="s">
        <v>2866</v>
      </c>
      <c r="B129" s="275" t="s">
        <v>4022</v>
      </c>
      <c r="C129" s="275" t="s">
        <v>3788</v>
      </c>
      <c r="D129" s="275" t="s">
        <v>3056</v>
      </c>
      <c r="E129" s="275" t="s">
        <v>2802</v>
      </c>
      <c r="F129" s="278">
        <v>30053</v>
      </c>
      <c r="G129" s="275" t="s">
        <v>2803</v>
      </c>
      <c r="H129" s="276">
        <v>15.1</v>
      </c>
      <c r="I129" s="276">
        <v>38.479999999999997</v>
      </c>
      <c r="J129" s="276">
        <v>16.920000000000002</v>
      </c>
      <c r="K129" s="276">
        <f t="shared" si="1"/>
        <v>-1.8200000000000021</v>
      </c>
      <c r="L129" s="335"/>
    </row>
    <row r="130" spans="1:12">
      <c r="A130" s="275" t="s">
        <v>2846</v>
      </c>
      <c r="B130" s="275" t="s">
        <v>4022</v>
      </c>
      <c r="C130" s="275" t="s">
        <v>3786</v>
      </c>
      <c r="D130" s="275" t="s">
        <v>3056</v>
      </c>
      <c r="E130" s="275" t="s">
        <v>2802</v>
      </c>
      <c r="F130" s="278">
        <v>30059</v>
      </c>
      <c r="G130" s="275" t="s">
        <v>2803</v>
      </c>
      <c r="H130" s="276">
        <v>14.7</v>
      </c>
      <c r="I130" s="276">
        <v>38.79</v>
      </c>
      <c r="J130" s="276">
        <v>16.489999999999998</v>
      </c>
      <c r="K130" s="276">
        <f t="shared" si="1"/>
        <v>-1.7899999999999991</v>
      </c>
      <c r="L130" s="335"/>
    </row>
    <row r="131" spans="1:12">
      <c r="A131" s="275" t="s">
        <v>2809</v>
      </c>
      <c r="B131" s="275" t="s">
        <v>2853</v>
      </c>
      <c r="C131" s="275" t="s">
        <v>3785</v>
      </c>
      <c r="D131" s="275" t="s">
        <v>3056</v>
      </c>
      <c r="E131" s="275" t="s">
        <v>2802</v>
      </c>
      <c r="F131" s="278">
        <v>30068</v>
      </c>
      <c r="G131" s="275" t="s">
        <v>2803</v>
      </c>
      <c r="H131" s="276">
        <v>15</v>
      </c>
      <c r="I131" s="276">
        <v>39.090000000000003</v>
      </c>
      <c r="J131" s="276">
        <v>16.489999999999998</v>
      </c>
      <c r="K131" s="276">
        <f t="shared" si="1"/>
        <v>-1.4899999999999984</v>
      </c>
      <c r="L131" s="335"/>
    </row>
    <row r="132" spans="1:12">
      <c r="A132" s="275" t="s">
        <v>2846</v>
      </c>
      <c r="B132" s="275" t="s">
        <v>2847</v>
      </c>
      <c r="C132" s="275" t="s">
        <v>3784</v>
      </c>
      <c r="D132" s="275" t="s">
        <v>3056</v>
      </c>
      <c r="E132" s="275" t="s">
        <v>2802</v>
      </c>
      <c r="F132" s="278">
        <v>30081</v>
      </c>
      <c r="G132" s="275" t="s">
        <v>2803</v>
      </c>
      <c r="H132" s="276">
        <v>14.57</v>
      </c>
      <c r="I132" s="276">
        <v>38.090000000000003</v>
      </c>
      <c r="J132" s="276">
        <v>16.489999999999998</v>
      </c>
      <c r="K132" s="276">
        <f t="shared" si="1"/>
        <v>-1.9199999999999982</v>
      </c>
      <c r="L132" s="335"/>
    </row>
    <row r="133" spans="1:12">
      <c r="A133" s="275" t="s">
        <v>2850</v>
      </c>
      <c r="B133" s="275" t="s">
        <v>3361</v>
      </c>
      <c r="C133" s="275" t="s">
        <v>3783</v>
      </c>
      <c r="D133" s="275" t="s">
        <v>3056</v>
      </c>
      <c r="E133" s="275" t="s">
        <v>2802</v>
      </c>
      <c r="F133" s="278">
        <v>30085</v>
      </c>
      <c r="G133" s="275" t="s">
        <v>2803</v>
      </c>
      <c r="H133" s="276">
        <v>15.8</v>
      </c>
      <c r="I133" s="276">
        <v>44.26</v>
      </c>
      <c r="J133" s="276">
        <v>16.489999999999998</v>
      </c>
      <c r="K133" s="276">
        <f t="shared" si="1"/>
        <v>-0.68999999999999773</v>
      </c>
      <c r="L133" s="335"/>
    </row>
    <row r="134" spans="1:12">
      <c r="A134" s="275" t="s">
        <v>2838</v>
      </c>
      <c r="B134" s="275" t="s">
        <v>3075</v>
      </c>
      <c r="C134" s="275" t="s">
        <v>3782</v>
      </c>
      <c r="D134" s="275" t="s">
        <v>3056</v>
      </c>
      <c r="E134" s="275" t="s">
        <v>2802</v>
      </c>
      <c r="F134" s="278">
        <v>30091</v>
      </c>
      <c r="G134" s="275" t="s">
        <v>2803</v>
      </c>
      <c r="H134" s="276">
        <v>15.82</v>
      </c>
      <c r="I134" s="276">
        <v>47.15</v>
      </c>
      <c r="J134" s="276">
        <v>16.399999999999999</v>
      </c>
      <c r="K134" s="276">
        <f t="shared" ref="K134:K197" si="2">H134-J134</f>
        <v>-0.57999999999999829</v>
      </c>
      <c r="L134" s="335"/>
    </row>
    <row r="135" spans="1:12">
      <c r="A135" s="275" t="s">
        <v>2830</v>
      </c>
      <c r="B135" s="275" t="s">
        <v>3157</v>
      </c>
      <c r="C135" s="275" t="s">
        <v>3781</v>
      </c>
      <c r="D135" s="275" t="s">
        <v>3056</v>
      </c>
      <c r="E135" s="275" t="s">
        <v>2802</v>
      </c>
      <c r="F135" s="278">
        <v>30096</v>
      </c>
      <c r="G135" s="275" t="s">
        <v>2803</v>
      </c>
      <c r="H135" s="276">
        <v>16.25</v>
      </c>
      <c r="I135" s="276">
        <v>39.630000000000003</v>
      </c>
      <c r="J135" s="276">
        <v>16.399999999999999</v>
      </c>
      <c r="K135" s="276">
        <f t="shared" si="2"/>
        <v>-0.14999999999999858</v>
      </c>
      <c r="L135" s="335"/>
    </row>
    <row r="136" spans="1:12">
      <c r="A136" s="275" t="s">
        <v>2831</v>
      </c>
      <c r="B136" s="275" t="s">
        <v>4016</v>
      </c>
      <c r="C136" s="275" t="s">
        <v>3780</v>
      </c>
      <c r="D136" s="275" t="s">
        <v>3056</v>
      </c>
      <c r="E136" s="275" t="s">
        <v>2802</v>
      </c>
      <c r="F136" s="278">
        <v>30104</v>
      </c>
      <c r="G136" s="275" t="s">
        <v>2803</v>
      </c>
      <c r="H136" s="276">
        <v>14.5</v>
      </c>
      <c r="I136" s="276" t="s">
        <v>1447</v>
      </c>
      <c r="J136" s="276">
        <v>16.399999999999999</v>
      </c>
      <c r="K136" s="276">
        <f t="shared" si="2"/>
        <v>-1.8999999999999986</v>
      </c>
      <c r="L136" s="335"/>
    </row>
    <row r="137" spans="1:12">
      <c r="A137" s="275" t="s">
        <v>2811</v>
      </c>
      <c r="B137" s="275" t="s">
        <v>2814</v>
      </c>
      <c r="C137" s="275" t="s">
        <v>3779</v>
      </c>
      <c r="D137" s="275" t="s">
        <v>3056</v>
      </c>
      <c r="E137" s="275" t="s">
        <v>2802</v>
      </c>
      <c r="F137" s="278">
        <v>30109</v>
      </c>
      <c r="G137" s="275" t="s">
        <v>2803</v>
      </c>
      <c r="H137" s="276">
        <v>16</v>
      </c>
      <c r="I137" s="276">
        <v>48.03</v>
      </c>
      <c r="J137" s="276">
        <v>16.399999999999999</v>
      </c>
      <c r="K137" s="276">
        <f t="shared" si="2"/>
        <v>-0.39999999999999858</v>
      </c>
      <c r="L137" s="335"/>
    </row>
    <row r="138" spans="1:12">
      <c r="A138" s="275" t="s">
        <v>2867</v>
      </c>
      <c r="B138" s="275" t="s">
        <v>2868</v>
      </c>
      <c r="C138" s="275" t="s">
        <v>3778</v>
      </c>
      <c r="D138" s="275" t="s">
        <v>3056</v>
      </c>
      <c r="E138" s="275" t="s">
        <v>2802</v>
      </c>
      <c r="F138" s="278">
        <v>30125</v>
      </c>
      <c r="G138" s="275" t="s">
        <v>2803</v>
      </c>
      <c r="H138" s="276">
        <v>15.5</v>
      </c>
      <c r="I138" s="276">
        <v>42.2</v>
      </c>
      <c r="J138" s="276">
        <v>16.079999999999998</v>
      </c>
      <c r="K138" s="276">
        <f t="shared" si="2"/>
        <v>-0.57999999999999829</v>
      </c>
      <c r="L138" s="335"/>
    </row>
    <row r="139" spans="1:12">
      <c r="A139" s="275" t="s">
        <v>2804</v>
      </c>
      <c r="B139" s="275" t="s">
        <v>4373</v>
      </c>
      <c r="C139" s="275" t="s">
        <v>3777</v>
      </c>
      <c r="D139" s="275" t="s">
        <v>3056</v>
      </c>
      <c r="E139" s="275" t="s">
        <v>2802</v>
      </c>
      <c r="F139" s="278">
        <v>30127</v>
      </c>
      <c r="G139" s="275" t="s">
        <v>2803</v>
      </c>
      <c r="H139" s="276">
        <v>16.5</v>
      </c>
      <c r="I139" s="276">
        <v>37.4</v>
      </c>
      <c r="J139" s="276">
        <v>16.079999999999998</v>
      </c>
      <c r="K139" s="276">
        <f t="shared" si="2"/>
        <v>0.42000000000000171</v>
      </c>
      <c r="L139" s="335"/>
    </row>
    <row r="140" spans="1:12">
      <c r="A140" s="275" t="s">
        <v>2801</v>
      </c>
      <c r="B140" s="275" t="s">
        <v>2849</v>
      </c>
      <c r="C140" s="275" t="s">
        <v>3775</v>
      </c>
      <c r="D140" s="275" t="s">
        <v>3056</v>
      </c>
      <c r="E140" s="275" t="s">
        <v>2802</v>
      </c>
      <c r="F140" s="278">
        <v>30133</v>
      </c>
      <c r="G140" s="275" t="s">
        <v>2803</v>
      </c>
      <c r="H140" s="276">
        <v>16</v>
      </c>
      <c r="I140" s="276">
        <v>41.29</v>
      </c>
      <c r="J140" s="276">
        <v>16.079999999999998</v>
      </c>
      <c r="K140" s="276">
        <f t="shared" si="2"/>
        <v>-7.9999999999998295E-2</v>
      </c>
      <c r="L140" s="335"/>
    </row>
    <row r="141" spans="1:12">
      <c r="A141" s="275" t="s">
        <v>2801</v>
      </c>
      <c r="B141" s="275" t="s">
        <v>3089</v>
      </c>
      <c r="C141" s="275" t="s">
        <v>3776</v>
      </c>
      <c r="D141" s="275" t="s">
        <v>3056</v>
      </c>
      <c r="E141" s="275" t="s">
        <v>2802</v>
      </c>
      <c r="F141" s="278">
        <v>30133</v>
      </c>
      <c r="G141" s="275" t="s">
        <v>2803</v>
      </c>
      <c r="H141" s="276">
        <v>15.55</v>
      </c>
      <c r="I141" s="276">
        <v>55.59</v>
      </c>
      <c r="J141" s="276">
        <v>16.079999999999998</v>
      </c>
      <c r="K141" s="276">
        <f t="shared" si="2"/>
        <v>-0.52999999999999758</v>
      </c>
      <c r="L141" s="335"/>
    </row>
    <row r="142" spans="1:12">
      <c r="A142" s="275" t="s">
        <v>2816</v>
      </c>
      <c r="B142" s="275" t="s">
        <v>2852</v>
      </c>
      <c r="C142" s="275" t="s">
        <v>3774</v>
      </c>
      <c r="D142" s="275" t="s">
        <v>3056</v>
      </c>
      <c r="E142" s="275" t="s">
        <v>2802</v>
      </c>
      <c r="F142" s="278">
        <v>30134</v>
      </c>
      <c r="G142" s="275" t="s">
        <v>2803</v>
      </c>
      <c r="H142" s="276">
        <v>15.1</v>
      </c>
      <c r="I142" s="276">
        <v>36.08</v>
      </c>
      <c r="J142" s="276">
        <v>16.079999999999998</v>
      </c>
      <c r="K142" s="276">
        <f t="shared" si="2"/>
        <v>-0.97999999999999865</v>
      </c>
      <c r="L142" s="335"/>
    </row>
    <row r="143" spans="1:12">
      <c r="A143" s="275" t="s">
        <v>2811</v>
      </c>
      <c r="B143" s="275" t="s">
        <v>4017</v>
      </c>
      <c r="C143" s="275" t="s">
        <v>3773</v>
      </c>
      <c r="D143" s="275" t="s">
        <v>3056</v>
      </c>
      <c r="E143" s="275" t="s">
        <v>2802</v>
      </c>
      <c r="F143" s="278">
        <v>30145</v>
      </c>
      <c r="G143" s="275" t="s">
        <v>2803</v>
      </c>
      <c r="H143" s="276">
        <v>16.8</v>
      </c>
      <c r="I143" s="276">
        <v>41.7</v>
      </c>
      <c r="J143" s="276">
        <v>16.079999999999998</v>
      </c>
      <c r="K143" s="276">
        <f t="shared" si="2"/>
        <v>0.72000000000000242</v>
      </c>
      <c r="L143" s="335"/>
    </row>
    <row r="144" spans="1:12">
      <c r="A144" s="275" t="s">
        <v>2809</v>
      </c>
      <c r="B144" s="275" t="s">
        <v>2810</v>
      </c>
      <c r="C144" s="275" t="s">
        <v>3772</v>
      </c>
      <c r="D144" s="275" t="s">
        <v>3056</v>
      </c>
      <c r="E144" s="275" t="s">
        <v>2802</v>
      </c>
      <c r="F144" s="278">
        <v>30154</v>
      </c>
      <c r="G144" s="275" t="s">
        <v>2803</v>
      </c>
      <c r="H144" s="276">
        <v>14.5</v>
      </c>
      <c r="I144" s="276">
        <v>41.2</v>
      </c>
      <c r="J144" s="276">
        <v>16.34</v>
      </c>
      <c r="K144" s="276">
        <f t="shared" si="2"/>
        <v>-1.8399999999999999</v>
      </c>
      <c r="L144" s="335"/>
    </row>
    <row r="145" spans="1:12">
      <c r="A145" s="275" t="s">
        <v>2851</v>
      </c>
      <c r="B145" s="275" t="s">
        <v>3105</v>
      </c>
      <c r="C145" s="275" t="s">
        <v>3771</v>
      </c>
      <c r="D145" s="275" t="s">
        <v>3056</v>
      </c>
      <c r="E145" s="275" t="s">
        <v>2802</v>
      </c>
      <c r="F145" s="278">
        <v>30162</v>
      </c>
      <c r="G145" s="275" t="s">
        <v>2803</v>
      </c>
      <c r="H145" s="276">
        <v>14.82</v>
      </c>
      <c r="I145" s="276">
        <v>30.27</v>
      </c>
      <c r="J145" s="276">
        <v>16.34</v>
      </c>
      <c r="K145" s="276">
        <f t="shared" si="2"/>
        <v>-1.5199999999999996</v>
      </c>
      <c r="L145" s="335"/>
    </row>
    <row r="146" spans="1:12">
      <c r="A146" s="275" t="s">
        <v>2818</v>
      </c>
      <c r="B146" s="275" t="s">
        <v>4015</v>
      </c>
      <c r="C146" s="275" t="s">
        <v>3770</v>
      </c>
      <c r="D146" s="275" t="s">
        <v>3056</v>
      </c>
      <c r="E146" s="275" t="s">
        <v>2802</v>
      </c>
      <c r="F146" s="278">
        <v>30167</v>
      </c>
      <c r="G146" s="275" t="s">
        <v>2803</v>
      </c>
      <c r="H146" s="276">
        <v>15.58</v>
      </c>
      <c r="I146" s="276">
        <v>59.46</v>
      </c>
      <c r="J146" s="276">
        <v>16.34</v>
      </c>
      <c r="K146" s="276">
        <f t="shared" si="2"/>
        <v>-0.75999999999999979</v>
      </c>
      <c r="L146" s="335"/>
    </row>
    <row r="147" spans="1:12">
      <c r="A147" s="275" t="s">
        <v>2842</v>
      </c>
      <c r="B147" s="275" t="s">
        <v>3769</v>
      </c>
      <c r="C147" s="275" t="s">
        <v>3768</v>
      </c>
      <c r="D147" s="275" t="s">
        <v>3056</v>
      </c>
      <c r="E147" s="275" t="s">
        <v>2802</v>
      </c>
      <c r="F147" s="278">
        <v>30169</v>
      </c>
      <c r="G147" s="275" t="s">
        <v>2803</v>
      </c>
      <c r="H147" s="276">
        <v>16.5</v>
      </c>
      <c r="I147" s="276">
        <v>38.979999999999997</v>
      </c>
      <c r="J147" s="276">
        <v>16.34</v>
      </c>
      <c r="K147" s="276">
        <f t="shared" si="2"/>
        <v>0.16000000000000014</v>
      </c>
      <c r="L147" s="335"/>
    </row>
    <row r="148" spans="1:12">
      <c r="A148" s="275" t="s">
        <v>2845</v>
      </c>
      <c r="B148" s="275" t="s">
        <v>2869</v>
      </c>
      <c r="C148" s="275" t="s">
        <v>3767</v>
      </c>
      <c r="D148" s="275" t="s">
        <v>3056</v>
      </c>
      <c r="E148" s="275" t="s">
        <v>2802</v>
      </c>
      <c r="F148" s="278">
        <v>30174</v>
      </c>
      <c r="G148" s="275" t="s">
        <v>2803</v>
      </c>
      <c r="H148" s="276">
        <v>17.11</v>
      </c>
      <c r="I148" s="276">
        <v>32.74</v>
      </c>
      <c r="J148" s="276">
        <v>16.34</v>
      </c>
      <c r="K148" s="276">
        <f t="shared" si="2"/>
        <v>0.76999999999999957</v>
      </c>
      <c r="L148" s="335"/>
    </row>
    <row r="149" spans="1:12">
      <c r="A149" s="275" t="s">
        <v>2801</v>
      </c>
      <c r="B149" s="275" t="s">
        <v>2817</v>
      </c>
      <c r="C149" s="275" t="s">
        <v>3766</v>
      </c>
      <c r="D149" s="275" t="s">
        <v>3056</v>
      </c>
      <c r="E149" s="275" t="s">
        <v>2802</v>
      </c>
      <c r="F149" s="278">
        <v>30188</v>
      </c>
      <c r="G149" s="275" t="s">
        <v>2803</v>
      </c>
      <c r="H149" s="276">
        <v>16</v>
      </c>
      <c r="I149" s="276">
        <v>37.08</v>
      </c>
      <c r="J149" s="276">
        <v>16.46</v>
      </c>
      <c r="K149" s="276">
        <f t="shared" si="2"/>
        <v>-0.46000000000000085</v>
      </c>
      <c r="L149" s="335"/>
    </row>
    <row r="150" spans="1:12">
      <c r="A150" s="275" t="s">
        <v>2858</v>
      </c>
      <c r="B150" s="275" t="s">
        <v>2859</v>
      </c>
      <c r="C150" s="275" t="s">
        <v>3765</v>
      </c>
      <c r="D150" s="275" t="s">
        <v>3056</v>
      </c>
      <c r="E150" s="275" t="s">
        <v>2802</v>
      </c>
      <c r="F150" s="278">
        <v>30193</v>
      </c>
      <c r="G150" s="275" t="s">
        <v>2803</v>
      </c>
      <c r="H150" s="276">
        <v>16.25</v>
      </c>
      <c r="I150" s="276">
        <v>44</v>
      </c>
      <c r="J150" s="276">
        <v>16.46</v>
      </c>
      <c r="K150" s="276">
        <f t="shared" si="2"/>
        <v>-0.21000000000000085</v>
      </c>
      <c r="L150" s="335"/>
    </row>
    <row r="151" spans="1:12">
      <c r="A151" s="275" t="s">
        <v>2870</v>
      </c>
      <c r="B151" s="275" t="s">
        <v>4027</v>
      </c>
      <c r="C151" s="275" t="s">
        <v>3764</v>
      </c>
      <c r="D151" s="275" t="s">
        <v>3056</v>
      </c>
      <c r="E151" s="275" t="s">
        <v>2802</v>
      </c>
      <c r="F151" s="278">
        <v>30197</v>
      </c>
      <c r="G151" s="275" t="s">
        <v>2803</v>
      </c>
      <c r="H151" s="276">
        <v>15.5</v>
      </c>
      <c r="I151" s="276">
        <v>37.9</v>
      </c>
      <c r="J151" s="276">
        <v>16.46</v>
      </c>
      <c r="K151" s="276">
        <f t="shared" si="2"/>
        <v>-0.96000000000000085</v>
      </c>
      <c r="L151" s="335"/>
    </row>
    <row r="152" spans="1:12">
      <c r="A152" s="275" t="s">
        <v>2818</v>
      </c>
      <c r="B152" s="275" t="s">
        <v>4024</v>
      </c>
      <c r="C152" s="275" t="s">
        <v>3763</v>
      </c>
      <c r="D152" s="275" t="s">
        <v>3056</v>
      </c>
      <c r="E152" s="275" t="s">
        <v>2802</v>
      </c>
      <c r="F152" s="278">
        <v>30203</v>
      </c>
      <c r="G152" s="275" t="s">
        <v>2803</v>
      </c>
      <c r="H152" s="276">
        <v>16.04</v>
      </c>
      <c r="I152" s="276">
        <v>49.07</v>
      </c>
      <c r="J152" s="276">
        <v>16.46</v>
      </c>
      <c r="K152" s="276">
        <f t="shared" si="2"/>
        <v>-0.42000000000000171</v>
      </c>
      <c r="L152" s="335"/>
    </row>
    <row r="153" spans="1:12">
      <c r="A153" s="275" t="s">
        <v>2818</v>
      </c>
      <c r="B153" s="275" t="s">
        <v>4024</v>
      </c>
      <c r="C153" s="275" t="s">
        <v>3762</v>
      </c>
      <c r="D153" s="275" t="s">
        <v>3056</v>
      </c>
      <c r="E153" s="275" t="s">
        <v>2802</v>
      </c>
      <c r="F153" s="278">
        <v>30209</v>
      </c>
      <c r="G153" s="275" t="s">
        <v>2803</v>
      </c>
      <c r="H153" s="276">
        <v>16.04</v>
      </c>
      <c r="I153" s="276">
        <v>49.07</v>
      </c>
      <c r="J153" s="276">
        <v>15.92</v>
      </c>
      <c r="K153" s="276">
        <f t="shared" si="2"/>
        <v>0.11999999999999922</v>
      </c>
      <c r="L153" s="335"/>
    </row>
    <row r="154" spans="1:12">
      <c r="A154" s="275" t="s">
        <v>2833</v>
      </c>
      <c r="B154" s="275" t="s">
        <v>2834</v>
      </c>
      <c r="C154" s="275" t="s">
        <v>3761</v>
      </c>
      <c r="D154" s="275" t="s">
        <v>3056</v>
      </c>
      <c r="E154" s="275" t="s">
        <v>2802</v>
      </c>
      <c r="F154" s="278">
        <v>30211</v>
      </c>
      <c r="G154" s="275" t="s">
        <v>2803</v>
      </c>
      <c r="H154" s="276">
        <v>15.25</v>
      </c>
      <c r="I154" s="276">
        <v>40</v>
      </c>
      <c r="J154" s="276">
        <v>15.92</v>
      </c>
      <c r="K154" s="276">
        <f t="shared" si="2"/>
        <v>-0.66999999999999993</v>
      </c>
      <c r="L154" s="335"/>
    </row>
    <row r="155" spans="1:12">
      <c r="A155" s="275" t="s">
        <v>2861</v>
      </c>
      <c r="B155" s="275" t="s">
        <v>4028</v>
      </c>
      <c r="C155" s="275" t="s">
        <v>3760</v>
      </c>
      <c r="D155" s="275" t="s">
        <v>3056</v>
      </c>
      <c r="E155" s="275" t="s">
        <v>2802</v>
      </c>
      <c r="F155" s="278">
        <v>30223</v>
      </c>
      <c r="G155" s="275" t="s">
        <v>2803</v>
      </c>
      <c r="H155" s="276">
        <v>14.5</v>
      </c>
      <c r="I155" s="276">
        <v>38.25</v>
      </c>
      <c r="J155" s="276">
        <v>15.92</v>
      </c>
      <c r="K155" s="276">
        <f t="shared" si="2"/>
        <v>-1.42</v>
      </c>
      <c r="L155" s="335"/>
    </row>
    <row r="156" spans="1:12">
      <c r="A156" s="275" t="s">
        <v>2806</v>
      </c>
      <c r="B156" s="275" t="s">
        <v>3081</v>
      </c>
      <c r="C156" s="275" t="s">
        <v>3756</v>
      </c>
      <c r="D156" s="275" t="s">
        <v>3056</v>
      </c>
      <c r="E156" s="275" t="s">
        <v>2802</v>
      </c>
      <c r="F156" s="278">
        <v>30224</v>
      </c>
      <c r="G156" s="275" t="s">
        <v>2803</v>
      </c>
      <c r="H156" s="276">
        <v>16.7</v>
      </c>
      <c r="I156" s="276">
        <v>33.799999999999997</v>
      </c>
      <c r="J156" s="276">
        <v>15.92</v>
      </c>
      <c r="K156" s="276">
        <f t="shared" si="2"/>
        <v>0.77999999999999936</v>
      </c>
      <c r="L156" s="335"/>
    </row>
    <row r="157" spans="1:12">
      <c r="A157" s="275" t="s">
        <v>2824</v>
      </c>
      <c r="B157" s="275" t="s">
        <v>3094</v>
      </c>
      <c r="C157" s="275" t="s">
        <v>3757</v>
      </c>
      <c r="D157" s="275" t="s">
        <v>3056</v>
      </c>
      <c r="E157" s="275" t="s">
        <v>2802</v>
      </c>
      <c r="F157" s="278">
        <v>30224</v>
      </c>
      <c r="G157" s="275" t="s">
        <v>2803</v>
      </c>
      <c r="H157" s="276">
        <v>16.5</v>
      </c>
      <c r="I157" s="276">
        <v>33.14</v>
      </c>
      <c r="J157" s="276">
        <v>15.92</v>
      </c>
      <c r="K157" s="276">
        <f t="shared" si="2"/>
        <v>0.58000000000000007</v>
      </c>
      <c r="L157" s="335"/>
    </row>
    <row r="158" spans="1:12">
      <c r="A158" s="275" t="s">
        <v>2807</v>
      </c>
      <c r="B158" s="275" t="s">
        <v>3103</v>
      </c>
      <c r="C158" s="275" t="s">
        <v>3758</v>
      </c>
      <c r="D158" s="275" t="s">
        <v>3056</v>
      </c>
      <c r="E158" s="275" t="s">
        <v>2802</v>
      </c>
      <c r="F158" s="278">
        <v>30224</v>
      </c>
      <c r="G158" s="275" t="s">
        <v>2803</v>
      </c>
      <c r="H158" s="276">
        <v>15.5</v>
      </c>
      <c r="I158" s="276">
        <v>52</v>
      </c>
      <c r="J158" s="276">
        <v>15.92</v>
      </c>
      <c r="K158" s="276">
        <f t="shared" si="2"/>
        <v>-0.41999999999999993</v>
      </c>
      <c r="L158" s="335"/>
    </row>
    <row r="159" spans="1:12">
      <c r="A159" s="275" t="s">
        <v>2857</v>
      </c>
      <c r="B159" s="275" t="s">
        <v>4023</v>
      </c>
      <c r="C159" s="275" t="s">
        <v>3759</v>
      </c>
      <c r="D159" s="275" t="s">
        <v>3056</v>
      </c>
      <c r="E159" s="275" t="s">
        <v>2802</v>
      </c>
      <c r="F159" s="278">
        <v>30224</v>
      </c>
      <c r="G159" s="275" t="s">
        <v>2803</v>
      </c>
      <c r="H159" s="276">
        <v>14.74</v>
      </c>
      <c r="I159" s="276">
        <v>41.75</v>
      </c>
      <c r="J159" s="276">
        <v>15.92</v>
      </c>
      <c r="K159" s="276">
        <f t="shared" si="2"/>
        <v>-1.1799999999999997</v>
      </c>
      <c r="L159" s="335"/>
    </row>
    <row r="160" spans="1:12">
      <c r="A160" s="275" t="s">
        <v>2819</v>
      </c>
      <c r="B160" s="275" t="s">
        <v>3637</v>
      </c>
      <c r="C160" s="275" t="s">
        <v>3755</v>
      </c>
      <c r="D160" s="275" t="s">
        <v>3056</v>
      </c>
      <c r="E160" s="275" t="s">
        <v>2802</v>
      </c>
      <c r="F160" s="278">
        <v>30232</v>
      </c>
      <c r="G160" s="275" t="s">
        <v>2803</v>
      </c>
      <c r="H160" s="276">
        <v>15</v>
      </c>
      <c r="I160" s="276">
        <v>38</v>
      </c>
      <c r="J160" s="276">
        <v>15.92</v>
      </c>
      <c r="K160" s="276">
        <f t="shared" si="2"/>
        <v>-0.91999999999999993</v>
      </c>
      <c r="L160" s="335"/>
    </row>
    <row r="161" spans="1:12">
      <c r="A161" s="275" t="s">
        <v>2811</v>
      </c>
      <c r="B161" s="275" t="s">
        <v>2855</v>
      </c>
      <c r="C161" s="275" t="s">
        <v>3754</v>
      </c>
      <c r="D161" s="275" t="s">
        <v>3056</v>
      </c>
      <c r="E161" s="275" t="s">
        <v>2802</v>
      </c>
      <c r="F161" s="278">
        <v>30239</v>
      </c>
      <c r="G161" s="275" t="s">
        <v>2803</v>
      </c>
      <c r="H161" s="276">
        <v>15.9</v>
      </c>
      <c r="I161" s="276">
        <v>40.46</v>
      </c>
      <c r="J161" s="276">
        <v>15.45</v>
      </c>
      <c r="K161" s="276">
        <f t="shared" si="2"/>
        <v>0.45000000000000107</v>
      </c>
      <c r="L161" s="335"/>
    </row>
    <row r="162" spans="1:12">
      <c r="A162" s="275" t="s">
        <v>2811</v>
      </c>
      <c r="B162" s="275" t="s">
        <v>3623</v>
      </c>
      <c r="C162" s="275" t="s">
        <v>3753</v>
      </c>
      <c r="D162" s="275" t="s">
        <v>3056</v>
      </c>
      <c r="E162" s="275" t="s">
        <v>2802</v>
      </c>
      <c r="F162" s="278">
        <v>30243</v>
      </c>
      <c r="G162" s="275" t="s">
        <v>2803</v>
      </c>
      <c r="H162" s="276">
        <v>15.9</v>
      </c>
      <c r="I162" s="276">
        <v>40.299999999999997</v>
      </c>
      <c r="J162" s="276">
        <v>15.45</v>
      </c>
      <c r="K162" s="276">
        <f t="shared" si="2"/>
        <v>0.45000000000000107</v>
      </c>
      <c r="L162" s="335"/>
    </row>
    <row r="163" spans="1:12">
      <c r="A163" s="275" t="s">
        <v>2845</v>
      </c>
      <c r="B163" s="275" t="s">
        <v>3575</v>
      </c>
      <c r="C163" s="275" t="s">
        <v>3752</v>
      </c>
      <c r="D163" s="275" t="s">
        <v>3056</v>
      </c>
      <c r="E163" s="275" t="s">
        <v>2802</v>
      </c>
      <c r="F163" s="278">
        <v>30251</v>
      </c>
      <c r="G163" s="275" t="s">
        <v>2803</v>
      </c>
      <c r="H163" s="276">
        <v>17</v>
      </c>
      <c r="I163" s="276">
        <v>36.6</v>
      </c>
      <c r="J163" s="276">
        <v>15.45</v>
      </c>
      <c r="K163" s="276">
        <f t="shared" si="2"/>
        <v>1.5500000000000007</v>
      </c>
      <c r="L163" s="335"/>
    </row>
    <row r="164" spans="1:12">
      <c r="A164" s="275" t="s">
        <v>2809</v>
      </c>
      <c r="B164" s="275" t="s">
        <v>4025</v>
      </c>
      <c r="C164" s="275" t="s">
        <v>3751</v>
      </c>
      <c r="D164" s="275" t="s">
        <v>3056</v>
      </c>
      <c r="E164" s="275" t="s">
        <v>2802</v>
      </c>
      <c r="F164" s="278">
        <v>30252</v>
      </c>
      <c r="G164" s="275" t="s">
        <v>2803</v>
      </c>
      <c r="H164" s="276">
        <v>14.75</v>
      </c>
      <c r="I164" s="276">
        <v>44.73</v>
      </c>
      <c r="J164" s="276">
        <v>15.45</v>
      </c>
      <c r="K164" s="276">
        <f t="shared" si="2"/>
        <v>-0.69999999999999929</v>
      </c>
      <c r="L164" s="335"/>
    </row>
    <row r="165" spans="1:12">
      <c r="A165" s="275" t="s">
        <v>2830</v>
      </c>
      <c r="B165" s="275" t="s">
        <v>4020</v>
      </c>
      <c r="C165" s="275" t="s">
        <v>3750</v>
      </c>
      <c r="D165" s="275" t="s">
        <v>3056</v>
      </c>
      <c r="E165" s="275" t="s">
        <v>2802</v>
      </c>
      <c r="F165" s="278">
        <v>30257</v>
      </c>
      <c r="G165" s="275" t="s">
        <v>2803</v>
      </c>
      <c r="H165" s="276">
        <v>16.25</v>
      </c>
      <c r="I165" s="276">
        <v>36.64</v>
      </c>
      <c r="J165" s="276">
        <v>15.45</v>
      </c>
      <c r="K165" s="276">
        <f t="shared" si="2"/>
        <v>0.80000000000000071</v>
      </c>
      <c r="L165" s="335"/>
    </row>
    <row r="166" spans="1:12">
      <c r="A166" s="275" t="s">
        <v>2833</v>
      </c>
      <c r="B166" s="275" t="s">
        <v>3119</v>
      </c>
      <c r="C166" s="275" t="s">
        <v>3749</v>
      </c>
      <c r="D166" s="275" t="s">
        <v>3056</v>
      </c>
      <c r="E166" s="275" t="s">
        <v>2802</v>
      </c>
      <c r="F166" s="278">
        <v>30259</v>
      </c>
      <c r="G166" s="275" t="s">
        <v>2803</v>
      </c>
      <c r="H166" s="276">
        <v>15.75</v>
      </c>
      <c r="I166" s="276">
        <v>41.09</v>
      </c>
      <c r="J166" s="276">
        <v>15.45</v>
      </c>
      <c r="K166" s="276">
        <f t="shared" si="2"/>
        <v>0.30000000000000071</v>
      </c>
      <c r="L166" s="335"/>
    </row>
    <row r="167" spans="1:12">
      <c r="A167" s="275" t="s">
        <v>2844</v>
      </c>
      <c r="B167" s="275" t="s">
        <v>3094</v>
      </c>
      <c r="C167" s="275" t="s">
        <v>3748</v>
      </c>
      <c r="D167" s="275" t="s">
        <v>3056</v>
      </c>
      <c r="E167" s="275" t="s">
        <v>2802</v>
      </c>
      <c r="F167" s="278">
        <v>30272</v>
      </c>
      <c r="G167" s="275" t="s">
        <v>2803</v>
      </c>
      <c r="H167" s="276">
        <v>16</v>
      </c>
      <c r="I167" s="276">
        <v>40.5</v>
      </c>
      <c r="J167" s="276">
        <v>14.98</v>
      </c>
      <c r="K167" s="276">
        <f t="shared" si="2"/>
        <v>1.0199999999999996</v>
      </c>
      <c r="L167" s="335"/>
    </row>
    <row r="168" spans="1:12">
      <c r="A168" s="275" t="s">
        <v>2801</v>
      </c>
      <c r="B168" s="275" t="s">
        <v>2849</v>
      </c>
      <c r="C168" s="275" t="s">
        <v>3747</v>
      </c>
      <c r="D168" s="275" t="s">
        <v>3056</v>
      </c>
      <c r="E168" s="275" t="s">
        <v>2802</v>
      </c>
      <c r="F168" s="278">
        <v>30278</v>
      </c>
      <c r="G168" s="275" t="s">
        <v>2803</v>
      </c>
      <c r="H168" s="276">
        <v>15.5</v>
      </c>
      <c r="I168" s="276">
        <v>40.68</v>
      </c>
      <c r="J168" s="276">
        <v>14.98</v>
      </c>
      <c r="K168" s="276">
        <f t="shared" si="2"/>
        <v>0.51999999999999957</v>
      </c>
      <c r="L168" s="335"/>
    </row>
    <row r="169" spans="1:12">
      <c r="A169" s="275" t="s">
        <v>2805</v>
      </c>
      <c r="B169" s="275" t="s">
        <v>3079</v>
      </c>
      <c r="C169" s="275" t="s">
        <v>3745</v>
      </c>
      <c r="D169" s="275" t="s">
        <v>3056</v>
      </c>
      <c r="E169" s="275" t="s">
        <v>2802</v>
      </c>
      <c r="F169" s="278">
        <v>30279</v>
      </c>
      <c r="G169" s="275" t="s">
        <v>2803</v>
      </c>
      <c r="H169" s="276">
        <v>16.02</v>
      </c>
      <c r="I169" s="276">
        <v>39.5</v>
      </c>
      <c r="J169" s="276">
        <v>14.98</v>
      </c>
      <c r="K169" s="276">
        <f t="shared" si="2"/>
        <v>1.0399999999999991</v>
      </c>
      <c r="L169" s="335"/>
    </row>
    <row r="170" spans="1:12">
      <c r="A170" s="275" t="s">
        <v>2871</v>
      </c>
      <c r="B170" s="275" t="s">
        <v>3079</v>
      </c>
      <c r="C170" s="275" t="s">
        <v>3746</v>
      </c>
      <c r="D170" s="275" t="s">
        <v>3056</v>
      </c>
      <c r="E170" s="275" t="s">
        <v>2802</v>
      </c>
      <c r="F170" s="278">
        <v>30279</v>
      </c>
      <c r="G170" s="275" t="s">
        <v>2803</v>
      </c>
      <c r="H170" s="276">
        <v>14.5</v>
      </c>
      <c r="I170" s="276">
        <v>36.82</v>
      </c>
      <c r="J170" s="276">
        <v>14.98</v>
      </c>
      <c r="K170" s="276">
        <f t="shared" si="2"/>
        <v>-0.48000000000000043</v>
      </c>
      <c r="L170" s="335"/>
    </row>
    <row r="171" spans="1:12">
      <c r="A171" s="275" t="s">
        <v>2807</v>
      </c>
      <c r="B171" s="275" t="s">
        <v>3101</v>
      </c>
      <c r="C171" s="275" t="s">
        <v>3739</v>
      </c>
      <c r="D171" s="275" t="s">
        <v>3056</v>
      </c>
      <c r="E171" s="275" t="s">
        <v>2802</v>
      </c>
      <c r="F171" s="278">
        <v>30285</v>
      </c>
      <c r="G171" s="275" t="s">
        <v>2803</v>
      </c>
      <c r="H171" s="276">
        <v>16.100000000000001</v>
      </c>
      <c r="I171" s="276">
        <v>32.92</v>
      </c>
      <c r="J171" s="276">
        <v>14.98</v>
      </c>
      <c r="K171" s="276">
        <f t="shared" si="2"/>
        <v>1.120000000000001</v>
      </c>
      <c r="L171" s="335"/>
    </row>
    <row r="172" spans="1:12">
      <c r="A172" s="275" t="s">
        <v>2837</v>
      </c>
      <c r="B172" s="275" t="s">
        <v>3094</v>
      </c>
      <c r="C172" s="275" t="s">
        <v>3740</v>
      </c>
      <c r="D172" s="275" t="s">
        <v>3056</v>
      </c>
      <c r="E172" s="275" t="s">
        <v>2802</v>
      </c>
      <c r="F172" s="278">
        <v>30285</v>
      </c>
      <c r="G172" s="275" t="s">
        <v>2803</v>
      </c>
      <c r="H172" s="276">
        <v>16</v>
      </c>
      <c r="I172" s="276" t="s">
        <v>1447</v>
      </c>
      <c r="J172" s="276">
        <v>14.98</v>
      </c>
      <c r="K172" s="276">
        <f t="shared" si="2"/>
        <v>1.0199999999999996</v>
      </c>
      <c r="L172" s="335"/>
    </row>
    <row r="173" spans="1:12">
      <c r="A173" s="275" t="s">
        <v>2850</v>
      </c>
      <c r="B173" s="275" t="s">
        <v>3328</v>
      </c>
      <c r="C173" s="275" t="s">
        <v>3741</v>
      </c>
      <c r="D173" s="275" t="s">
        <v>3056</v>
      </c>
      <c r="E173" s="275" t="s">
        <v>2802</v>
      </c>
      <c r="F173" s="278">
        <v>30285</v>
      </c>
      <c r="G173" s="275" t="s">
        <v>2803</v>
      </c>
      <c r="H173" s="276">
        <v>15.65</v>
      </c>
      <c r="I173" s="276">
        <v>53.17</v>
      </c>
      <c r="J173" s="276">
        <v>14.98</v>
      </c>
      <c r="K173" s="276">
        <f t="shared" si="2"/>
        <v>0.66999999999999993</v>
      </c>
      <c r="L173" s="335"/>
    </row>
    <row r="174" spans="1:12">
      <c r="A174" s="275" t="s">
        <v>2807</v>
      </c>
      <c r="B174" s="275" t="s">
        <v>3136</v>
      </c>
      <c r="C174" s="275" t="s">
        <v>3742</v>
      </c>
      <c r="D174" s="275" t="s">
        <v>3056</v>
      </c>
      <c r="E174" s="275" t="s">
        <v>2802</v>
      </c>
      <c r="F174" s="278">
        <v>30285</v>
      </c>
      <c r="G174" s="275" t="s">
        <v>2803</v>
      </c>
      <c r="H174" s="276">
        <v>15.5</v>
      </c>
      <c r="I174" s="276">
        <v>51.72</v>
      </c>
      <c r="J174" s="276">
        <v>14.98</v>
      </c>
      <c r="K174" s="276">
        <f t="shared" si="2"/>
        <v>0.51999999999999957</v>
      </c>
      <c r="L174" s="335"/>
    </row>
    <row r="175" spans="1:12">
      <c r="A175" s="275" t="s">
        <v>2807</v>
      </c>
      <c r="B175" s="275" t="s">
        <v>4026</v>
      </c>
      <c r="C175" s="275" t="s">
        <v>3743</v>
      </c>
      <c r="D175" s="275" t="s">
        <v>3056</v>
      </c>
      <c r="E175" s="275" t="s">
        <v>2802</v>
      </c>
      <c r="F175" s="278">
        <v>30285</v>
      </c>
      <c r="G175" s="275" t="s">
        <v>2803</v>
      </c>
      <c r="H175" s="276">
        <v>15.5</v>
      </c>
      <c r="I175" s="276">
        <v>33.200000000000003</v>
      </c>
      <c r="J175" s="276">
        <v>14.98</v>
      </c>
      <c r="K175" s="276">
        <f t="shared" si="2"/>
        <v>0.51999999999999957</v>
      </c>
      <c r="L175" s="335"/>
    </row>
    <row r="176" spans="1:12">
      <c r="A176" s="275" t="s">
        <v>2872</v>
      </c>
      <c r="B176" s="275" t="s">
        <v>3075</v>
      </c>
      <c r="C176" s="275" t="s">
        <v>3744</v>
      </c>
      <c r="D176" s="275" t="s">
        <v>3056</v>
      </c>
      <c r="E176" s="275" t="s">
        <v>2802</v>
      </c>
      <c r="F176" s="278">
        <v>30285</v>
      </c>
      <c r="G176" s="275" t="s">
        <v>2803</v>
      </c>
      <c r="H176" s="276">
        <v>12.98</v>
      </c>
      <c r="I176" s="276" t="s">
        <v>1447</v>
      </c>
      <c r="J176" s="276">
        <v>14.98</v>
      </c>
      <c r="K176" s="276">
        <f t="shared" si="2"/>
        <v>-2</v>
      </c>
      <c r="L176" s="335"/>
    </row>
    <row r="177" spans="1:12">
      <c r="A177" s="275" t="s">
        <v>2813</v>
      </c>
      <c r="B177" s="275" t="s">
        <v>3385</v>
      </c>
      <c r="C177" s="275" t="s">
        <v>3738</v>
      </c>
      <c r="D177" s="275" t="s">
        <v>3056</v>
      </c>
      <c r="E177" s="275" t="s">
        <v>2802</v>
      </c>
      <c r="F177" s="278">
        <v>30288</v>
      </c>
      <c r="G177" s="275" t="s">
        <v>2803</v>
      </c>
      <c r="H177" s="276">
        <v>15.33</v>
      </c>
      <c r="I177" s="276">
        <v>32.78</v>
      </c>
      <c r="J177" s="276">
        <v>14.98</v>
      </c>
      <c r="K177" s="276">
        <f t="shared" si="2"/>
        <v>0.34999999999999964</v>
      </c>
      <c r="L177" s="335"/>
    </row>
    <row r="178" spans="1:12">
      <c r="A178" s="275" t="s">
        <v>2844</v>
      </c>
      <c r="B178" s="275" t="s">
        <v>3084</v>
      </c>
      <c r="C178" s="275" t="s">
        <v>3737</v>
      </c>
      <c r="D178" s="275" t="s">
        <v>3056</v>
      </c>
      <c r="E178" s="275" t="s">
        <v>2802</v>
      </c>
      <c r="F178" s="278">
        <v>30293</v>
      </c>
      <c r="G178" s="275" t="s">
        <v>2803</v>
      </c>
      <c r="H178" s="276">
        <v>15.75</v>
      </c>
      <c r="I178" s="276">
        <v>42</v>
      </c>
      <c r="J178" s="276">
        <v>14.98</v>
      </c>
      <c r="K178" s="276">
        <f t="shared" si="2"/>
        <v>0.76999999999999957</v>
      </c>
      <c r="L178" s="335"/>
    </row>
    <row r="179" spans="1:12">
      <c r="A179" s="275" t="s">
        <v>2873</v>
      </c>
      <c r="B179" s="275" t="s">
        <v>3972</v>
      </c>
      <c r="C179" s="275" t="s">
        <v>3736</v>
      </c>
      <c r="D179" s="275" t="s">
        <v>3056</v>
      </c>
      <c r="E179" s="275" t="s">
        <v>2802</v>
      </c>
      <c r="F179" s="278">
        <v>30298</v>
      </c>
      <c r="G179" s="275" t="s">
        <v>2803</v>
      </c>
      <c r="H179" s="276">
        <v>16</v>
      </c>
      <c r="I179" s="276">
        <v>49.72</v>
      </c>
      <c r="J179" s="276">
        <v>14.98</v>
      </c>
      <c r="K179" s="276">
        <f t="shared" si="2"/>
        <v>1.0199999999999996</v>
      </c>
      <c r="L179" s="335"/>
    </row>
    <row r="180" spans="1:12">
      <c r="A180" s="275" t="s">
        <v>2830</v>
      </c>
      <c r="B180" s="275" t="s">
        <v>4018</v>
      </c>
      <c r="C180" s="275" t="s">
        <v>3735</v>
      </c>
      <c r="D180" s="275" t="s">
        <v>3056</v>
      </c>
      <c r="E180" s="275" t="s">
        <v>2802</v>
      </c>
      <c r="F180" s="278">
        <v>30299</v>
      </c>
      <c r="G180" s="275" t="s">
        <v>2803</v>
      </c>
      <c r="H180" s="276">
        <v>16.399999999999999</v>
      </c>
      <c r="I180" s="276">
        <v>37.369999999999997</v>
      </c>
      <c r="J180" s="276">
        <v>14.98</v>
      </c>
      <c r="K180" s="276">
        <f t="shared" si="2"/>
        <v>1.4199999999999982</v>
      </c>
      <c r="L180" s="335"/>
    </row>
    <row r="181" spans="1:12">
      <c r="A181" s="275" t="s">
        <v>2804</v>
      </c>
      <c r="B181" s="275" t="s">
        <v>2874</v>
      </c>
      <c r="C181" s="275" t="s">
        <v>3734</v>
      </c>
      <c r="D181" s="275" t="s">
        <v>3056</v>
      </c>
      <c r="E181" s="275" t="s">
        <v>2802</v>
      </c>
      <c r="F181" s="278">
        <v>30302</v>
      </c>
      <c r="G181" s="275" t="s">
        <v>2803</v>
      </c>
      <c r="H181" s="276">
        <v>16.25</v>
      </c>
      <c r="I181" s="276">
        <v>43.7</v>
      </c>
      <c r="J181" s="276">
        <v>14.46</v>
      </c>
      <c r="K181" s="276">
        <f t="shared" si="2"/>
        <v>1.7899999999999991</v>
      </c>
      <c r="L181" s="335"/>
    </row>
    <row r="182" spans="1:12">
      <c r="A182" s="275" t="s">
        <v>2871</v>
      </c>
      <c r="B182" s="275" t="s">
        <v>3277</v>
      </c>
      <c r="C182" s="275" t="s">
        <v>3733</v>
      </c>
      <c r="D182" s="275" t="s">
        <v>3056</v>
      </c>
      <c r="E182" s="275" t="s">
        <v>2802</v>
      </c>
      <c r="F182" s="278">
        <v>30305</v>
      </c>
      <c r="G182" s="275" t="s">
        <v>2803</v>
      </c>
      <c r="H182" s="276">
        <v>15</v>
      </c>
      <c r="I182" s="276">
        <v>35.6</v>
      </c>
      <c r="J182" s="276">
        <v>14.46</v>
      </c>
      <c r="K182" s="276">
        <f t="shared" si="2"/>
        <v>0.53999999999999915</v>
      </c>
      <c r="L182" s="335"/>
    </row>
    <row r="183" spans="1:12">
      <c r="A183" s="275" t="s">
        <v>2811</v>
      </c>
      <c r="B183" s="275" t="s">
        <v>4014</v>
      </c>
      <c r="C183" s="275" t="s">
        <v>3732</v>
      </c>
      <c r="D183" s="275" t="s">
        <v>3056</v>
      </c>
      <c r="E183" s="275" t="s">
        <v>2802</v>
      </c>
      <c r="F183" s="278">
        <v>30306</v>
      </c>
      <c r="G183" s="275" t="s">
        <v>2803</v>
      </c>
      <c r="H183" s="276">
        <v>15.7</v>
      </c>
      <c r="I183" s="276">
        <v>46</v>
      </c>
      <c r="J183" s="276">
        <v>14.46</v>
      </c>
      <c r="K183" s="276">
        <f t="shared" si="2"/>
        <v>1.2399999999999984</v>
      </c>
      <c r="L183" s="335"/>
    </row>
    <row r="184" spans="1:12">
      <c r="A184" s="275" t="s">
        <v>2801</v>
      </c>
      <c r="B184" s="275" t="s">
        <v>3139</v>
      </c>
      <c r="C184" s="275" t="s">
        <v>3731</v>
      </c>
      <c r="D184" s="275" t="s">
        <v>3056</v>
      </c>
      <c r="E184" s="275" t="s">
        <v>2802</v>
      </c>
      <c r="F184" s="278">
        <v>30313</v>
      </c>
      <c r="G184" s="275" t="s">
        <v>2803</v>
      </c>
      <c r="H184" s="276">
        <v>15.25</v>
      </c>
      <c r="I184" s="276">
        <v>42.41</v>
      </c>
      <c r="J184" s="276">
        <v>14.46</v>
      </c>
      <c r="K184" s="276">
        <f t="shared" si="2"/>
        <v>0.78999999999999915</v>
      </c>
      <c r="L184" s="335"/>
    </row>
    <row r="185" spans="1:12">
      <c r="A185" s="275" t="s">
        <v>2801</v>
      </c>
      <c r="B185" s="275" t="s">
        <v>4021</v>
      </c>
      <c r="C185" s="275" t="s">
        <v>3730</v>
      </c>
      <c r="D185" s="275" t="s">
        <v>3056</v>
      </c>
      <c r="E185" s="275" t="s">
        <v>2802</v>
      </c>
      <c r="F185" s="278">
        <v>30313</v>
      </c>
      <c r="G185" s="275" t="s">
        <v>2803</v>
      </c>
      <c r="H185" s="276">
        <v>15.25</v>
      </c>
      <c r="I185" s="276">
        <v>42.75</v>
      </c>
      <c r="J185" s="276">
        <v>14.46</v>
      </c>
      <c r="K185" s="276">
        <f t="shared" si="2"/>
        <v>0.78999999999999915</v>
      </c>
      <c r="L185" s="335"/>
    </row>
    <row r="186" spans="1:12">
      <c r="A186" s="275" t="s">
        <v>2842</v>
      </c>
      <c r="B186" s="275" t="s">
        <v>2834</v>
      </c>
      <c r="C186" s="275" t="s">
        <v>3729</v>
      </c>
      <c r="D186" s="275" t="s">
        <v>3056</v>
      </c>
      <c r="E186" s="275" t="s">
        <v>2802</v>
      </c>
      <c r="F186" s="278">
        <v>30314</v>
      </c>
      <c r="G186" s="275" t="s">
        <v>2803</v>
      </c>
      <c r="H186" s="276">
        <v>16.25</v>
      </c>
      <c r="I186" s="276">
        <v>38</v>
      </c>
      <c r="J186" s="276">
        <v>14.46</v>
      </c>
      <c r="K186" s="276">
        <f t="shared" si="2"/>
        <v>1.7899999999999991</v>
      </c>
      <c r="L186" s="335"/>
    </row>
    <row r="187" spans="1:12">
      <c r="A187" s="275" t="s">
        <v>2842</v>
      </c>
      <c r="B187" s="275" t="s">
        <v>2843</v>
      </c>
      <c r="C187" s="275" t="s">
        <v>3728</v>
      </c>
      <c r="D187" s="275" t="s">
        <v>3056</v>
      </c>
      <c r="E187" s="275" t="s">
        <v>2802</v>
      </c>
      <c r="F187" s="278">
        <v>30314</v>
      </c>
      <c r="G187" s="275" t="s">
        <v>2803</v>
      </c>
      <c r="H187" s="276">
        <v>16.25</v>
      </c>
      <c r="I187" s="276">
        <v>35</v>
      </c>
      <c r="J187" s="276">
        <v>14.46</v>
      </c>
      <c r="K187" s="276">
        <f t="shared" si="2"/>
        <v>1.7899999999999991</v>
      </c>
      <c r="L187" s="335"/>
    </row>
    <row r="188" spans="1:12">
      <c r="A188" s="275" t="s">
        <v>2811</v>
      </c>
      <c r="B188" s="275" t="s">
        <v>2832</v>
      </c>
      <c r="C188" s="275" t="s">
        <v>3727</v>
      </c>
      <c r="D188" s="275" t="s">
        <v>3056</v>
      </c>
      <c r="E188" s="275" t="s">
        <v>2802</v>
      </c>
      <c r="F188" s="278">
        <v>30327</v>
      </c>
      <c r="G188" s="275" t="s">
        <v>2803</v>
      </c>
      <c r="H188" s="276">
        <v>15.9</v>
      </c>
      <c r="I188" s="276">
        <v>40.69</v>
      </c>
      <c r="J188" s="276">
        <v>14.46</v>
      </c>
      <c r="K188" s="276">
        <f t="shared" si="2"/>
        <v>1.4399999999999995</v>
      </c>
      <c r="L188" s="335"/>
    </row>
    <row r="189" spans="1:12">
      <c r="A189" s="275" t="s">
        <v>2801</v>
      </c>
      <c r="B189" s="275" t="s">
        <v>2849</v>
      </c>
      <c r="C189" s="275" t="s">
        <v>3726</v>
      </c>
      <c r="D189" s="275" t="s">
        <v>3056</v>
      </c>
      <c r="E189" s="275" t="s">
        <v>2802</v>
      </c>
      <c r="F189" s="278">
        <v>30328</v>
      </c>
      <c r="G189" s="275" t="s">
        <v>2803</v>
      </c>
      <c r="H189" s="276">
        <v>15.5</v>
      </c>
      <c r="I189" s="276">
        <v>42.82</v>
      </c>
      <c r="J189" s="276">
        <v>14.46</v>
      </c>
      <c r="K189" s="276">
        <f t="shared" si="2"/>
        <v>1.0399999999999991</v>
      </c>
      <c r="L189" s="335"/>
    </row>
    <row r="190" spans="1:12">
      <c r="A190" s="275" t="s">
        <v>2809</v>
      </c>
      <c r="B190" s="275" t="s">
        <v>3142</v>
      </c>
      <c r="C190" s="275" t="s">
        <v>3725</v>
      </c>
      <c r="D190" s="275" t="s">
        <v>3056</v>
      </c>
      <c r="E190" s="275" t="s">
        <v>2802</v>
      </c>
      <c r="F190" s="278">
        <v>30334</v>
      </c>
      <c r="G190" s="275" t="s">
        <v>2803</v>
      </c>
      <c r="H190" s="276">
        <v>15</v>
      </c>
      <c r="I190" s="276">
        <v>43.07</v>
      </c>
      <c r="J190" s="276">
        <v>14.43</v>
      </c>
      <c r="K190" s="276">
        <f t="shared" si="2"/>
        <v>0.57000000000000028</v>
      </c>
      <c r="L190" s="335"/>
    </row>
    <row r="191" spans="1:12">
      <c r="A191" s="275" t="s">
        <v>2837</v>
      </c>
      <c r="B191" s="275" t="s">
        <v>3094</v>
      </c>
      <c r="C191" s="275" t="s">
        <v>3723</v>
      </c>
      <c r="D191" s="275" t="s">
        <v>3056</v>
      </c>
      <c r="E191" s="275" t="s">
        <v>2802</v>
      </c>
      <c r="F191" s="278">
        <v>30340</v>
      </c>
      <c r="G191" s="275" t="s">
        <v>2803</v>
      </c>
      <c r="H191" s="276">
        <v>16</v>
      </c>
      <c r="I191" s="276">
        <v>34.229999999999997</v>
      </c>
      <c r="J191" s="276">
        <v>14.43</v>
      </c>
      <c r="K191" s="276">
        <f t="shared" si="2"/>
        <v>1.5700000000000003</v>
      </c>
      <c r="L191" s="335"/>
    </row>
    <row r="192" spans="1:12">
      <c r="A192" s="275" t="s">
        <v>2811</v>
      </c>
      <c r="B192" s="275" t="s">
        <v>2875</v>
      </c>
      <c r="C192" s="275" t="s">
        <v>3724</v>
      </c>
      <c r="D192" s="275" t="s">
        <v>3056</v>
      </c>
      <c r="E192" s="275" t="s">
        <v>2802</v>
      </c>
      <c r="F192" s="278">
        <v>30340</v>
      </c>
      <c r="G192" s="275" t="s">
        <v>2803</v>
      </c>
      <c r="H192" s="276">
        <v>15.5</v>
      </c>
      <c r="I192" s="276">
        <v>44.59</v>
      </c>
      <c r="J192" s="276">
        <v>14.43</v>
      </c>
      <c r="K192" s="276">
        <f t="shared" si="2"/>
        <v>1.0700000000000003</v>
      </c>
      <c r="L192" s="335"/>
    </row>
    <row r="193" spans="1:12">
      <c r="A193" s="275" t="s">
        <v>2857</v>
      </c>
      <c r="B193" s="275" t="s">
        <v>3099</v>
      </c>
      <c r="C193" s="275" t="s">
        <v>3722</v>
      </c>
      <c r="D193" s="275" t="s">
        <v>3056</v>
      </c>
      <c r="E193" s="275" t="s">
        <v>2802</v>
      </c>
      <c r="F193" s="278">
        <v>30344</v>
      </c>
      <c r="G193" s="275" t="s">
        <v>2803</v>
      </c>
      <c r="H193" s="276">
        <v>14.9</v>
      </c>
      <c r="I193" s="276">
        <v>49.9</v>
      </c>
      <c r="J193" s="276">
        <v>14.43</v>
      </c>
      <c r="K193" s="276">
        <f t="shared" si="2"/>
        <v>0.47000000000000064</v>
      </c>
      <c r="L193" s="335"/>
    </row>
    <row r="194" spans="1:12">
      <c r="A194" s="275" t="s">
        <v>2816</v>
      </c>
      <c r="B194" s="275" t="s">
        <v>2817</v>
      </c>
      <c r="C194" s="275" t="s">
        <v>3721</v>
      </c>
      <c r="D194" s="275" t="s">
        <v>3056</v>
      </c>
      <c r="E194" s="275" t="s">
        <v>2802</v>
      </c>
      <c r="F194" s="278">
        <v>30357</v>
      </c>
      <c r="G194" s="275" t="s">
        <v>2803</v>
      </c>
      <c r="H194" s="276">
        <v>15</v>
      </c>
      <c r="I194" s="276">
        <v>40.29</v>
      </c>
      <c r="J194" s="276">
        <v>14.43</v>
      </c>
      <c r="K194" s="276">
        <f t="shared" si="2"/>
        <v>0.57000000000000028</v>
      </c>
      <c r="L194" s="335"/>
    </row>
    <row r="195" spans="1:12">
      <c r="A195" s="275" t="s">
        <v>2840</v>
      </c>
      <c r="B195" s="275" t="s">
        <v>3079</v>
      </c>
      <c r="C195" s="275" t="s">
        <v>3720</v>
      </c>
      <c r="D195" s="275" t="s">
        <v>3056</v>
      </c>
      <c r="E195" s="275" t="s">
        <v>2802</v>
      </c>
      <c r="F195" s="278">
        <v>30372</v>
      </c>
      <c r="G195" s="275" t="s">
        <v>2803</v>
      </c>
      <c r="H195" s="276">
        <v>15.7</v>
      </c>
      <c r="I195" s="276">
        <v>41.9</v>
      </c>
      <c r="J195" s="276">
        <v>14.24</v>
      </c>
      <c r="K195" s="276">
        <f t="shared" si="2"/>
        <v>1.4599999999999991</v>
      </c>
      <c r="L195" s="335"/>
    </row>
    <row r="196" spans="1:12">
      <c r="A196" s="275" t="s">
        <v>2835</v>
      </c>
      <c r="B196" s="275" t="s">
        <v>2836</v>
      </c>
      <c r="C196" s="275" t="s">
        <v>3719</v>
      </c>
      <c r="D196" s="275" t="s">
        <v>3056</v>
      </c>
      <c r="E196" s="275" t="s">
        <v>2802</v>
      </c>
      <c r="F196" s="278">
        <v>30377</v>
      </c>
      <c r="G196" s="275" t="s">
        <v>2803</v>
      </c>
      <c r="H196" s="276">
        <v>15.25</v>
      </c>
      <c r="I196" s="276">
        <v>39.46</v>
      </c>
      <c r="J196" s="276">
        <v>14.24</v>
      </c>
      <c r="K196" s="276">
        <f t="shared" si="2"/>
        <v>1.0099999999999998</v>
      </c>
      <c r="L196" s="335"/>
    </row>
    <row r="197" spans="1:12">
      <c r="A197" s="275" t="s">
        <v>2873</v>
      </c>
      <c r="B197" s="275" t="s">
        <v>3328</v>
      </c>
      <c r="C197" s="275" t="s">
        <v>3718</v>
      </c>
      <c r="D197" s="275" t="s">
        <v>3056</v>
      </c>
      <c r="E197" s="275" t="s">
        <v>2802</v>
      </c>
      <c r="F197" s="278">
        <v>30391</v>
      </c>
      <c r="G197" s="275" t="s">
        <v>2803</v>
      </c>
      <c r="H197" s="276">
        <v>16</v>
      </c>
      <c r="I197" s="276">
        <v>57.44</v>
      </c>
      <c r="J197" s="276">
        <v>14.28</v>
      </c>
      <c r="K197" s="276">
        <f t="shared" si="2"/>
        <v>1.7200000000000006</v>
      </c>
      <c r="L197" s="335"/>
    </row>
    <row r="198" spans="1:12">
      <c r="A198" s="275" t="s">
        <v>2857</v>
      </c>
      <c r="B198" s="275" t="s">
        <v>3129</v>
      </c>
      <c r="C198" s="275" t="s">
        <v>3717</v>
      </c>
      <c r="D198" s="275" t="s">
        <v>3056</v>
      </c>
      <c r="E198" s="275" t="s">
        <v>2802</v>
      </c>
      <c r="F198" s="278">
        <v>30396</v>
      </c>
      <c r="G198" s="275" t="s">
        <v>2803</v>
      </c>
      <c r="H198" s="276">
        <v>14.96</v>
      </c>
      <c r="I198" s="276">
        <v>55.07</v>
      </c>
      <c r="J198" s="276">
        <v>14.28</v>
      </c>
      <c r="K198" s="276">
        <f t="shared" ref="K198:K261" si="3">H198-J198</f>
        <v>0.68000000000000149</v>
      </c>
      <c r="L198" s="335"/>
    </row>
    <row r="199" spans="1:12">
      <c r="A199" s="275" t="s">
        <v>2811</v>
      </c>
      <c r="B199" s="275" t="s">
        <v>2812</v>
      </c>
      <c r="C199" s="275" t="s">
        <v>3716</v>
      </c>
      <c r="D199" s="275" t="s">
        <v>3056</v>
      </c>
      <c r="E199" s="275" t="s">
        <v>2802</v>
      </c>
      <c r="F199" s="278">
        <v>30398</v>
      </c>
      <c r="G199" s="275" t="s">
        <v>2803</v>
      </c>
      <c r="H199" s="276">
        <v>15.4</v>
      </c>
      <c r="I199" s="276">
        <v>41.97</v>
      </c>
      <c r="J199" s="276">
        <v>14.28</v>
      </c>
      <c r="K199" s="276">
        <f t="shared" si="3"/>
        <v>1.120000000000001</v>
      </c>
      <c r="L199" s="335"/>
    </row>
    <row r="200" spans="1:12">
      <c r="A200" s="275" t="s">
        <v>2809</v>
      </c>
      <c r="B200" s="275" t="s">
        <v>2853</v>
      </c>
      <c r="C200" s="275" t="s">
        <v>3715</v>
      </c>
      <c r="D200" s="275" t="s">
        <v>3056</v>
      </c>
      <c r="E200" s="275" t="s">
        <v>2802</v>
      </c>
      <c r="F200" s="278">
        <v>30399</v>
      </c>
      <c r="G200" s="275" t="s">
        <v>2803</v>
      </c>
      <c r="H200" s="276">
        <v>15</v>
      </c>
      <c r="I200" s="276">
        <v>42.5</v>
      </c>
      <c r="J200" s="276">
        <v>14.28</v>
      </c>
      <c r="K200" s="276">
        <f t="shared" si="3"/>
        <v>0.72000000000000064</v>
      </c>
      <c r="L200" s="335"/>
    </row>
    <row r="201" spans="1:12">
      <c r="A201" s="275" t="s">
        <v>2851</v>
      </c>
      <c r="B201" s="275" t="s">
        <v>2876</v>
      </c>
      <c r="C201" s="275" t="s">
        <v>3714</v>
      </c>
      <c r="D201" s="275" t="s">
        <v>3056</v>
      </c>
      <c r="E201" s="275" t="s">
        <v>2802</v>
      </c>
      <c r="F201" s="278">
        <v>30418</v>
      </c>
      <c r="G201" s="275" t="s">
        <v>2803</v>
      </c>
      <c r="H201" s="276">
        <v>13.25</v>
      </c>
      <c r="I201" s="276">
        <v>28.42</v>
      </c>
      <c r="J201" s="276">
        <v>14.28</v>
      </c>
      <c r="K201" s="276">
        <f t="shared" si="3"/>
        <v>-1.0299999999999994</v>
      </c>
      <c r="L201" s="335"/>
    </row>
    <row r="202" spans="1:12">
      <c r="A202" s="275" t="s">
        <v>2821</v>
      </c>
      <c r="B202" s="275" t="s">
        <v>3073</v>
      </c>
      <c r="C202" s="275" t="s">
        <v>3713</v>
      </c>
      <c r="D202" s="275" t="s">
        <v>3056</v>
      </c>
      <c r="E202" s="275" t="s">
        <v>2802</v>
      </c>
      <c r="F202" s="278">
        <v>30439</v>
      </c>
      <c r="G202" s="275" t="s">
        <v>2803</v>
      </c>
      <c r="H202" s="276">
        <v>15.4</v>
      </c>
      <c r="I202" s="276">
        <v>43</v>
      </c>
      <c r="J202" s="276">
        <v>14.03</v>
      </c>
      <c r="K202" s="276">
        <f t="shared" si="3"/>
        <v>1.370000000000001</v>
      </c>
      <c r="L202" s="335"/>
    </row>
    <row r="203" spans="1:12">
      <c r="A203" s="275" t="s">
        <v>2837</v>
      </c>
      <c r="B203" s="275" t="s">
        <v>2839</v>
      </c>
      <c r="C203" s="275" t="s">
        <v>3712</v>
      </c>
      <c r="D203" s="275" t="s">
        <v>3056</v>
      </c>
      <c r="E203" s="275" t="s">
        <v>2802</v>
      </c>
      <c r="F203" s="278">
        <v>30445</v>
      </c>
      <c r="G203" s="275" t="s">
        <v>2803</v>
      </c>
      <c r="H203" s="276">
        <v>15.5</v>
      </c>
      <c r="I203" s="276">
        <v>38.340000000000003</v>
      </c>
      <c r="J203" s="276">
        <v>14.03</v>
      </c>
      <c r="K203" s="276">
        <f t="shared" si="3"/>
        <v>1.4700000000000006</v>
      </c>
      <c r="L203" s="335"/>
    </row>
    <row r="204" spans="1:12">
      <c r="A204" s="275" t="s">
        <v>2811</v>
      </c>
      <c r="B204" s="275" t="s">
        <v>2815</v>
      </c>
      <c r="C204" s="275" t="s">
        <v>3711</v>
      </c>
      <c r="D204" s="275" t="s">
        <v>3056</v>
      </c>
      <c r="E204" s="275" t="s">
        <v>2802</v>
      </c>
      <c r="F204" s="278">
        <v>30467</v>
      </c>
      <c r="G204" s="275" t="s">
        <v>2803</v>
      </c>
      <c r="H204" s="276">
        <v>14</v>
      </c>
      <c r="I204" s="276">
        <v>47.12</v>
      </c>
      <c r="J204" s="276">
        <v>13.64</v>
      </c>
      <c r="K204" s="276">
        <f t="shared" si="3"/>
        <v>0.35999999999999943</v>
      </c>
      <c r="L204" s="335"/>
    </row>
    <row r="205" spans="1:12">
      <c r="A205" s="275" t="s">
        <v>2809</v>
      </c>
      <c r="B205" s="275" t="s">
        <v>2810</v>
      </c>
      <c r="C205" s="275" t="s">
        <v>3710</v>
      </c>
      <c r="D205" s="275" t="s">
        <v>3056</v>
      </c>
      <c r="E205" s="275" t="s">
        <v>2802</v>
      </c>
      <c r="F205" s="278">
        <v>30469</v>
      </c>
      <c r="G205" s="275" t="s">
        <v>2803</v>
      </c>
      <c r="H205" s="276">
        <v>14.5</v>
      </c>
      <c r="I205" s="276">
        <v>42.75</v>
      </c>
      <c r="J205" s="276">
        <v>13.64</v>
      </c>
      <c r="K205" s="276">
        <f t="shared" si="3"/>
        <v>0.85999999999999943</v>
      </c>
      <c r="L205" s="335"/>
    </row>
    <row r="206" spans="1:12">
      <c r="A206" s="275" t="s">
        <v>2831</v>
      </c>
      <c r="B206" s="275" t="s">
        <v>4016</v>
      </c>
      <c r="C206" s="275" t="s">
        <v>3709</v>
      </c>
      <c r="D206" s="275" t="s">
        <v>3056</v>
      </c>
      <c r="E206" s="275" t="s">
        <v>2802</v>
      </c>
      <c r="F206" s="278">
        <v>30474</v>
      </c>
      <c r="G206" s="275" t="s">
        <v>2803</v>
      </c>
      <c r="H206" s="276">
        <v>14.5</v>
      </c>
      <c r="I206" s="276">
        <v>44.18</v>
      </c>
      <c r="J206" s="276">
        <v>13.64</v>
      </c>
      <c r="K206" s="276">
        <f t="shared" si="3"/>
        <v>0.85999999999999943</v>
      </c>
      <c r="L206" s="335"/>
    </row>
    <row r="207" spans="1:12">
      <c r="A207" s="275" t="s">
        <v>2846</v>
      </c>
      <c r="B207" s="275" t="s">
        <v>4022</v>
      </c>
      <c r="C207" s="275" t="s">
        <v>3708</v>
      </c>
      <c r="D207" s="275" t="s">
        <v>3056</v>
      </c>
      <c r="E207" s="275" t="s">
        <v>2802</v>
      </c>
      <c r="F207" s="278">
        <v>30487</v>
      </c>
      <c r="G207" s="275" t="s">
        <v>2803</v>
      </c>
      <c r="H207" s="276">
        <v>14.15</v>
      </c>
      <c r="I207" s="276">
        <v>40.93</v>
      </c>
      <c r="J207" s="276">
        <v>13.49</v>
      </c>
      <c r="K207" s="276">
        <f t="shared" si="3"/>
        <v>0.66000000000000014</v>
      </c>
      <c r="L207" s="335"/>
    </row>
    <row r="208" spans="1:12">
      <c r="A208" s="275" t="s">
        <v>2838</v>
      </c>
      <c r="B208" s="275" t="s">
        <v>3075</v>
      </c>
      <c r="C208" s="275" t="s">
        <v>3707</v>
      </c>
      <c r="D208" s="275" t="s">
        <v>3056</v>
      </c>
      <c r="E208" s="275" t="s">
        <v>2802</v>
      </c>
      <c r="F208" s="278">
        <v>30494</v>
      </c>
      <c r="G208" s="275" t="s">
        <v>2803</v>
      </c>
      <c r="H208" s="276">
        <v>14.5</v>
      </c>
      <c r="I208" s="276" t="s">
        <v>1447</v>
      </c>
      <c r="J208" s="276">
        <v>13.49</v>
      </c>
      <c r="K208" s="276">
        <f t="shared" si="3"/>
        <v>1.0099999999999998</v>
      </c>
      <c r="L208" s="335"/>
    </row>
    <row r="209" spans="1:12">
      <c r="A209" s="275" t="s">
        <v>2830</v>
      </c>
      <c r="B209" s="275" t="s">
        <v>3157</v>
      </c>
      <c r="C209" s="275" t="s">
        <v>3705</v>
      </c>
      <c r="D209" s="275" t="s">
        <v>3056</v>
      </c>
      <c r="E209" s="275" t="s">
        <v>2802</v>
      </c>
      <c r="F209" s="278">
        <v>30497</v>
      </c>
      <c r="G209" s="275" t="s">
        <v>2803</v>
      </c>
      <c r="H209" s="276">
        <v>15.9</v>
      </c>
      <c r="I209" s="276">
        <v>32.75</v>
      </c>
      <c r="J209" s="276">
        <v>13.49</v>
      </c>
      <c r="K209" s="276">
        <f t="shared" si="3"/>
        <v>2.41</v>
      </c>
      <c r="L209" s="335"/>
    </row>
    <row r="210" spans="1:12">
      <c r="A210" s="275" t="s">
        <v>3392</v>
      </c>
      <c r="B210" s="275" t="s">
        <v>4029</v>
      </c>
      <c r="C210" s="275" t="s">
        <v>3706</v>
      </c>
      <c r="D210" s="275" t="s">
        <v>3056</v>
      </c>
      <c r="E210" s="275" t="s">
        <v>2802</v>
      </c>
      <c r="F210" s="278">
        <v>30497</v>
      </c>
      <c r="G210" s="275" t="s">
        <v>2803</v>
      </c>
      <c r="H210" s="276">
        <v>14.8</v>
      </c>
      <c r="I210" s="276">
        <v>46</v>
      </c>
      <c r="J210" s="276">
        <v>13.49</v>
      </c>
      <c r="K210" s="276">
        <f t="shared" si="3"/>
        <v>1.3100000000000005</v>
      </c>
      <c r="L210" s="335"/>
    </row>
    <row r="211" spans="1:12">
      <c r="A211" s="275" t="s">
        <v>2805</v>
      </c>
      <c r="B211" s="275" t="s">
        <v>2829</v>
      </c>
      <c r="C211" s="275" t="s">
        <v>3704</v>
      </c>
      <c r="D211" s="275" t="s">
        <v>3056</v>
      </c>
      <c r="E211" s="275" t="s">
        <v>2802</v>
      </c>
      <c r="F211" s="278">
        <v>30498</v>
      </c>
      <c r="G211" s="275" t="s">
        <v>2803</v>
      </c>
      <c r="H211" s="276">
        <v>14.8</v>
      </c>
      <c r="I211" s="276">
        <v>40.299999999999997</v>
      </c>
      <c r="J211" s="276">
        <v>13.49</v>
      </c>
      <c r="K211" s="276">
        <f t="shared" si="3"/>
        <v>1.3100000000000005</v>
      </c>
      <c r="L211" s="335"/>
    </row>
    <row r="212" spans="1:12">
      <c r="A212" s="275" t="s">
        <v>2835</v>
      </c>
      <c r="B212" s="275" t="s">
        <v>3531</v>
      </c>
      <c r="C212" s="275" t="s">
        <v>3703</v>
      </c>
      <c r="D212" s="275" t="s">
        <v>3056</v>
      </c>
      <c r="E212" s="275" t="s">
        <v>2802</v>
      </c>
      <c r="F212" s="278">
        <v>30502</v>
      </c>
      <c r="G212" s="275" t="s">
        <v>2803</v>
      </c>
      <c r="H212" s="276">
        <v>15</v>
      </c>
      <c r="I212" s="276">
        <v>43.06</v>
      </c>
      <c r="J212" s="276">
        <v>13.49</v>
      </c>
      <c r="K212" s="276">
        <f t="shared" si="3"/>
        <v>1.5099999999999998</v>
      </c>
      <c r="L212" s="335"/>
    </row>
    <row r="213" spans="1:12">
      <c r="A213" s="275" t="s">
        <v>2804</v>
      </c>
      <c r="B213" s="275" t="s">
        <v>3495</v>
      </c>
      <c r="C213" s="275" t="s">
        <v>3702</v>
      </c>
      <c r="D213" s="275" t="s">
        <v>3056</v>
      </c>
      <c r="E213" s="275" t="s">
        <v>2802</v>
      </c>
      <c r="F213" s="278">
        <v>30505</v>
      </c>
      <c r="G213" s="275" t="s">
        <v>2803</v>
      </c>
      <c r="H213" s="276">
        <v>15.5</v>
      </c>
      <c r="I213" s="276">
        <v>54</v>
      </c>
      <c r="J213" s="276">
        <v>13.49</v>
      </c>
      <c r="K213" s="276">
        <f t="shared" si="3"/>
        <v>2.0099999999999998</v>
      </c>
      <c r="L213" s="335"/>
    </row>
    <row r="214" spans="1:12">
      <c r="A214" s="275" t="s">
        <v>2811</v>
      </c>
      <c r="B214" s="275" t="s">
        <v>4017</v>
      </c>
      <c r="C214" s="275" t="s">
        <v>3700</v>
      </c>
      <c r="D214" s="275" t="s">
        <v>3056</v>
      </c>
      <c r="E214" s="275" t="s">
        <v>2802</v>
      </c>
      <c r="F214" s="278">
        <v>30516</v>
      </c>
      <c r="G214" s="275" t="s">
        <v>2803</v>
      </c>
      <c r="H214" s="276">
        <v>15.1</v>
      </c>
      <c r="I214" s="276">
        <v>41.92</v>
      </c>
      <c r="J214" s="276">
        <v>13.65</v>
      </c>
      <c r="K214" s="276">
        <f t="shared" si="3"/>
        <v>1.4499999999999993</v>
      </c>
      <c r="L214" s="335"/>
    </row>
    <row r="215" spans="1:12">
      <c r="A215" s="275" t="s">
        <v>2809</v>
      </c>
      <c r="B215" s="275" t="s">
        <v>4023</v>
      </c>
      <c r="C215" s="275" t="s">
        <v>3701</v>
      </c>
      <c r="D215" s="275" t="s">
        <v>3056</v>
      </c>
      <c r="E215" s="275" t="s">
        <v>2802</v>
      </c>
      <c r="F215" s="278">
        <v>30516</v>
      </c>
      <c r="G215" s="275" t="s">
        <v>2803</v>
      </c>
      <c r="H215" s="276">
        <v>15</v>
      </c>
      <c r="I215" s="276">
        <v>43.7</v>
      </c>
      <c r="J215" s="276">
        <v>13.65</v>
      </c>
      <c r="K215" s="276">
        <f t="shared" si="3"/>
        <v>1.3499999999999996</v>
      </c>
      <c r="L215" s="335"/>
    </row>
    <row r="216" spans="1:12">
      <c r="A216" s="275" t="s">
        <v>2850</v>
      </c>
      <c r="B216" s="275" t="s">
        <v>3361</v>
      </c>
      <c r="C216" s="275" t="s">
        <v>3699</v>
      </c>
      <c r="D216" s="275" t="s">
        <v>3056</v>
      </c>
      <c r="E216" s="275" t="s">
        <v>2802</v>
      </c>
      <c r="F216" s="278">
        <v>30546</v>
      </c>
      <c r="G216" s="275" t="s">
        <v>2803</v>
      </c>
      <c r="H216" s="276">
        <v>15.3</v>
      </c>
      <c r="I216" s="276">
        <v>42.97</v>
      </c>
      <c r="J216" s="276">
        <v>13.57</v>
      </c>
      <c r="K216" s="276">
        <f t="shared" si="3"/>
        <v>1.7300000000000004</v>
      </c>
      <c r="L216" s="335"/>
    </row>
    <row r="217" spans="1:12">
      <c r="A217" s="275" t="s">
        <v>2818</v>
      </c>
      <c r="B217" s="275" t="s">
        <v>4015</v>
      </c>
      <c r="C217" s="275" t="s">
        <v>3698</v>
      </c>
      <c r="D217" s="275" t="s">
        <v>3056</v>
      </c>
      <c r="E217" s="275" t="s">
        <v>2802</v>
      </c>
      <c r="F217" s="278">
        <v>30547</v>
      </c>
      <c r="G217" s="275" t="s">
        <v>2803</v>
      </c>
      <c r="H217" s="276">
        <v>15.79</v>
      </c>
      <c r="I217" s="276">
        <v>64.489999999999995</v>
      </c>
      <c r="J217" s="276">
        <v>13.57</v>
      </c>
      <c r="K217" s="276">
        <f t="shared" si="3"/>
        <v>2.2199999999999989</v>
      </c>
      <c r="L217" s="335"/>
    </row>
    <row r="218" spans="1:12">
      <c r="A218" s="275" t="s">
        <v>2809</v>
      </c>
      <c r="B218" s="275" t="s">
        <v>2854</v>
      </c>
      <c r="C218" s="275" t="s">
        <v>3697</v>
      </c>
      <c r="D218" s="275" t="s">
        <v>3056</v>
      </c>
      <c r="E218" s="275" t="s">
        <v>2802</v>
      </c>
      <c r="F218" s="278">
        <v>30559</v>
      </c>
      <c r="G218" s="275" t="s">
        <v>2803</v>
      </c>
      <c r="H218" s="276">
        <v>14.75</v>
      </c>
      <c r="I218" s="276">
        <v>45.5</v>
      </c>
      <c r="J218" s="276">
        <v>13.57</v>
      </c>
      <c r="K218" s="276">
        <f t="shared" si="3"/>
        <v>1.1799999999999997</v>
      </c>
      <c r="L218" s="335"/>
    </row>
    <row r="219" spans="1:12">
      <c r="A219" s="275" t="s">
        <v>2809</v>
      </c>
      <c r="B219" s="275" t="s">
        <v>4025</v>
      </c>
      <c r="C219" s="275" t="s">
        <v>3696</v>
      </c>
      <c r="D219" s="275" t="s">
        <v>3056</v>
      </c>
      <c r="E219" s="275" t="s">
        <v>2802</v>
      </c>
      <c r="F219" s="278">
        <v>30567</v>
      </c>
      <c r="G219" s="275" t="s">
        <v>2803</v>
      </c>
      <c r="H219" s="276">
        <v>14.75</v>
      </c>
      <c r="I219" s="276">
        <v>47.79</v>
      </c>
      <c r="J219" s="276">
        <v>13.57</v>
      </c>
      <c r="K219" s="276">
        <f t="shared" si="3"/>
        <v>1.1799999999999997</v>
      </c>
      <c r="L219" s="335"/>
    </row>
    <row r="220" spans="1:12">
      <c r="A220" s="275" t="s">
        <v>2808</v>
      </c>
      <c r="B220" s="275" t="s">
        <v>3129</v>
      </c>
      <c r="C220" s="275" t="s">
        <v>3695</v>
      </c>
      <c r="D220" s="275" t="s">
        <v>3056</v>
      </c>
      <c r="E220" s="275" t="s">
        <v>2802</v>
      </c>
      <c r="F220" s="278">
        <v>30575</v>
      </c>
      <c r="G220" s="275" t="s">
        <v>2803</v>
      </c>
      <c r="H220" s="276">
        <v>15.51</v>
      </c>
      <c r="I220" s="276">
        <v>50.87</v>
      </c>
      <c r="J220" s="276">
        <v>13.57</v>
      </c>
      <c r="K220" s="276">
        <f t="shared" si="3"/>
        <v>1.9399999999999995</v>
      </c>
      <c r="L220" s="335"/>
    </row>
    <row r="221" spans="1:12">
      <c r="A221" s="275" t="s">
        <v>2838</v>
      </c>
      <c r="B221" s="275" t="s">
        <v>3129</v>
      </c>
      <c r="C221" s="275" t="s">
        <v>3694</v>
      </c>
      <c r="D221" s="275" t="s">
        <v>3056</v>
      </c>
      <c r="E221" s="275" t="s">
        <v>2802</v>
      </c>
      <c r="F221" s="278">
        <v>30585</v>
      </c>
      <c r="G221" s="275" t="s">
        <v>2803</v>
      </c>
      <c r="H221" s="276">
        <v>14.5</v>
      </c>
      <c r="I221" s="276">
        <v>49.09</v>
      </c>
      <c r="J221" s="276">
        <v>13.57</v>
      </c>
      <c r="K221" s="276">
        <f t="shared" si="3"/>
        <v>0.92999999999999972</v>
      </c>
      <c r="L221" s="335"/>
    </row>
    <row r="222" spans="1:12">
      <c r="A222" s="275" t="s">
        <v>2861</v>
      </c>
      <c r="B222" s="275" t="s">
        <v>4028</v>
      </c>
      <c r="C222" s="275" t="s">
        <v>3693</v>
      </c>
      <c r="D222" s="275" t="s">
        <v>3056</v>
      </c>
      <c r="E222" s="275" t="s">
        <v>2802</v>
      </c>
      <c r="F222" s="278">
        <v>30587</v>
      </c>
      <c r="G222" s="275" t="s">
        <v>2803</v>
      </c>
      <c r="H222" s="276">
        <v>14.25</v>
      </c>
      <c r="I222" s="276">
        <v>41.77</v>
      </c>
      <c r="J222" s="276">
        <v>13.57</v>
      </c>
      <c r="K222" s="276">
        <f t="shared" si="3"/>
        <v>0.67999999999999972</v>
      </c>
      <c r="L222" s="335"/>
    </row>
    <row r="223" spans="1:12">
      <c r="A223" s="275" t="s">
        <v>2806</v>
      </c>
      <c r="B223" s="275" t="s">
        <v>3081</v>
      </c>
      <c r="C223" s="275" t="s">
        <v>3691</v>
      </c>
      <c r="D223" s="275" t="s">
        <v>3056</v>
      </c>
      <c r="E223" s="275" t="s">
        <v>2802</v>
      </c>
      <c r="F223" s="278">
        <v>30589</v>
      </c>
      <c r="G223" s="275" t="s">
        <v>2803</v>
      </c>
      <c r="H223" s="276">
        <v>16.25</v>
      </c>
      <c r="I223" s="276">
        <v>34.409999999999997</v>
      </c>
      <c r="J223" s="276">
        <v>13.57</v>
      </c>
      <c r="K223" s="276">
        <f t="shared" si="3"/>
        <v>2.6799999999999997</v>
      </c>
      <c r="L223" s="335"/>
    </row>
    <row r="224" spans="1:12">
      <c r="A224" s="275" t="s">
        <v>2824</v>
      </c>
      <c r="B224" s="275" t="s">
        <v>2825</v>
      </c>
      <c r="C224" s="275" t="s">
        <v>3692</v>
      </c>
      <c r="D224" s="275" t="s">
        <v>3056</v>
      </c>
      <c r="E224" s="275" t="s">
        <v>2802</v>
      </c>
      <c r="F224" s="278">
        <v>30589</v>
      </c>
      <c r="G224" s="275" t="s">
        <v>2803</v>
      </c>
      <c r="H224" s="276">
        <v>16.149999999999999</v>
      </c>
      <c r="I224" s="276">
        <v>42.5</v>
      </c>
      <c r="J224" s="276">
        <v>13.57</v>
      </c>
      <c r="K224" s="276">
        <f t="shared" si="3"/>
        <v>2.5799999999999983</v>
      </c>
      <c r="L224" s="335"/>
    </row>
    <row r="225" spans="1:12">
      <c r="A225" s="275" t="s">
        <v>2801</v>
      </c>
      <c r="B225" s="275" t="s">
        <v>2817</v>
      </c>
      <c r="C225" s="275" t="s">
        <v>3690</v>
      </c>
      <c r="D225" s="275" t="s">
        <v>3056</v>
      </c>
      <c r="E225" s="275" t="s">
        <v>2802</v>
      </c>
      <c r="F225" s="278">
        <v>30602</v>
      </c>
      <c r="G225" s="275" t="s">
        <v>2803</v>
      </c>
      <c r="H225" s="276">
        <v>15.52</v>
      </c>
      <c r="I225" s="276">
        <v>36.159999999999997</v>
      </c>
      <c r="J225" s="276">
        <v>13.57</v>
      </c>
      <c r="K225" s="276">
        <f t="shared" si="3"/>
        <v>1.9499999999999993</v>
      </c>
      <c r="L225" s="335"/>
    </row>
    <row r="226" spans="1:12">
      <c r="A226" s="275" t="s">
        <v>2811</v>
      </c>
      <c r="B226" s="275" t="s">
        <v>3623</v>
      </c>
      <c r="C226" s="275" t="s">
        <v>3689</v>
      </c>
      <c r="D226" s="275" t="s">
        <v>3056</v>
      </c>
      <c r="E226" s="275" t="s">
        <v>2802</v>
      </c>
      <c r="F226" s="278">
        <v>30608</v>
      </c>
      <c r="G226" s="275" t="s">
        <v>2803</v>
      </c>
      <c r="H226" s="276">
        <v>15.2</v>
      </c>
      <c r="I226" s="276">
        <v>42.6</v>
      </c>
      <c r="J226" s="276">
        <v>13.44</v>
      </c>
      <c r="K226" s="276">
        <f t="shared" si="3"/>
        <v>1.7599999999999998</v>
      </c>
      <c r="L226" s="335"/>
    </row>
    <row r="227" spans="1:12">
      <c r="A227" s="275" t="s">
        <v>2858</v>
      </c>
      <c r="B227" s="275" t="s">
        <v>2859</v>
      </c>
      <c r="C227" s="275" t="s">
        <v>3688</v>
      </c>
      <c r="D227" s="275" t="s">
        <v>3056</v>
      </c>
      <c r="E227" s="275" t="s">
        <v>2802</v>
      </c>
      <c r="F227" s="278">
        <v>30615</v>
      </c>
      <c r="G227" s="275" t="s">
        <v>2803</v>
      </c>
      <c r="H227" s="276">
        <v>14.75</v>
      </c>
      <c r="I227" s="276">
        <v>46</v>
      </c>
      <c r="J227" s="276">
        <v>13.44</v>
      </c>
      <c r="K227" s="276">
        <f t="shared" si="3"/>
        <v>1.3100000000000005</v>
      </c>
      <c r="L227" s="335"/>
    </row>
    <row r="228" spans="1:12">
      <c r="A228" s="275" t="s">
        <v>2813</v>
      </c>
      <c r="B228" s="275" t="s">
        <v>3385</v>
      </c>
      <c r="C228" s="275" t="s">
        <v>3686</v>
      </c>
      <c r="D228" s="275" t="s">
        <v>3056</v>
      </c>
      <c r="E228" s="275" t="s">
        <v>2802</v>
      </c>
      <c r="F228" s="278">
        <v>30616</v>
      </c>
      <c r="G228" s="275" t="s">
        <v>2803</v>
      </c>
      <c r="H228" s="276">
        <v>15.33</v>
      </c>
      <c r="I228" s="276">
        <v>31.18</v>
      </c>
      <c r="J228" s="276">
        <v>13.44</v>
      </c>
      <c r="K228" s="276">
        <f t="shared" si="3"/>
        <v>1.8900000000000006</v>
      </c>
      <c r="L228" s="335"/>
    </row>
    <row r="229" spans="1:12">
      <c r="A229" s="275" t="s">
        <v>2808</v>
      </c>
      <c r="B229" s="275" t="s">
        <v>3409</v>
      </c>
      <c r="C229" s="275" t="s">
        <v>3687</v>
      </c>
      <c r="D229" s="275" t="s">
        <v>3056</v>
      </c>
      <c r="E229" s="275" t="s">
        <v>2802</v>
      </c>
      <c r="F229" s="278">
        <v>30616</v>
      </c>
      <c r="G229" s="275" t="s">
        <v>2803</v>
      </c>
      <c r="H229" s="276">
        <v>14.88</v>
      </c>
      <c r="I229" s="276">
        <v>48.08</v>
      </c>
      <c r="J229" s="276">
        <v>13.44</v>
      </c>
      <c r="K229" s="276">
        <f t="shared" si="3"/>
        <v>1.4400000000000013</v>
      </c>
      <c r="L229" s="335"/>
    </row>
    <row r="230" spans="1:12">
      <c r="A230" s="275" t="s">
        <v>2818</v>
      </c>
      <c r="B230" s="275" t="s">
        <v>4024</v>
      </c>
      <c r="C230" s="275" t="s">
        <v>3684</v>
      </c>
      <c r="D230" s="275" t="s">
        <v>3056</v>
      </c>
      <c r="E230" s="275" t="s">
        <v>2802</v>
      </c>
      <c r="F230" s="278">
        <v>30629</v>
      </c>
      <c r="G230" s="275" t="s">
        <v>2803</v>
      </c>
      <c r="H230" s="276">
        <v>16.510000000000002</v>
      </c>
      <c r="I230" s="276">
        <v>49.28</v>
      </c>
      <c r="J230" s="276">
        <v>13.44</v>
      </c>
      <c r="K230" s="276">
        <f t="shared" si="3"/>
        <v>3.0700000000000021</v>
      </c>
      <c r="L230" s="335"/>
    </row>
    <row r="231" spans="1:12">
      <c r="A231" s="275" t="s">
        <v>2818</v>
      </c>
      <c r="B231" s="275" t="s">
        <v>4024</v>
      </c>
      <c r="C231" s="275" t="s">
        <v>3683</v>
      </c>
      <c r="D231" s="275" t="s">
        <v>3056</v>
      </c>
      <c r="E231" s="275" t="s">
        <v>2802</v>
      </c>
      <c r="F231" s="278">
        <v>30629</v>
      </c>
      <c r="G231" s="275" t="s">
        <v>2803</v>
      </c>
      <c r="H231" s="276">
        <v>16.510000000000002</v>
      </c>
      <c r="I231" s="276">
        <v>49.28</v>
      </c>
      <c r="J231" s="276">
        <v>13.44</v>
      </c>
      <c r="K231" s="276">
        <f t="shared" si="3"/>
        <v>3.0700000000000021</v>
      </c>
      <c r="L231" s="335"/>
    </row>
    <row r="232" spans="1:12">
      <c r="A232" s="275" t="s">
        <v>2851</v>
      </c>
      <c r="B232" s="275" t="s">
        <v>3105</v>
      </c>
      <c r="C232" s="275" t="s">
        <v>3685</v>
      </c>
      <c r="D232" s="275" t="s">
        <v>3056</v>
      </c>
      <c r="E232" s="275" t="s">
        <v>2802</v>
      </c>
      <c r="F232" s="278">
        <v>30629</v>
      </c>
      <c r="G232" s="275" t="s">
        <v>2803</v>
      </c>
      <c r="H232" s="276">
        <v>14.82</v>
      </c>
      <c r="I232" s="276">
        <v>31.09</v>
      </c>
      <c r="J232" s="276">
        <v>13.44</v>
      </c>
      <c r="K232" s="276">
        <f t="shared" si="3"/>
        <v>1.3800000000000008</v>
      </c>
      <c r="L232" s="335"/>
    </row>
    <row r="233" spans="1:12">
      <c r="A233" s="275" t="s">
        <v>2835</v>
      </c>
      <c r="B233" s="275" t="s">
        <v>3075</v>
      </c>
      <c r="C233" s="275" t="s">
        <v>3682</v>
      </c>
      <c r="D233" s="275" t="s">
        <v>3056</v>
      </c>
      <c r="E233" s="275" t="s">
        <v>2802</v>
      </c>
      <c r="F233" s="278">
        <v>30651</v>
      </c>
      <c r="G233" s="275" t="s">
        <v>2803</v>
      </c>
      <c r="H233" s="276">
        <v>14.5</v>
      </c>
      <c r="I233" s="276">
        <v>48.4</v>
      </c>
      <c r="J233" s="276">
        <v>13.25</v>
      </c>
      <c r="K233" s="276">
        <f t="shared" si="3"/>
        <v>1.25</v>
      </c>
      <c r="L233" s="335"/>
    </row>
    <row r="234" spans="1:12">
      <c r="A234" s="275" t="s">
        <v>2830</v>
      </c>
      <c r="B234" s="275" t="s">
        <v>4018</v>
      </c>
      <c r="C234" s="275" t="s">
        <v>3681</v>
      </c>
      <c r="D234" s="275" t="s">
        <v>3056</v>
      </c>
      <c r="E234" s="275" t="s">
        <v>2802</v>
      </c>
      <c r="F234" s="278">
        <v>30658</v>
      </c>
      <c r="G234" s="275" t="s">
        <v>2803</v>
      </c>
      <c r="H234" s="276">
        <v>15.9</v>
      </c>
      <c r="I234" s="276">
        <v>36.96</v>
      </c>
      <c r="J234" s="276">
        <v>13.25</v>
      </c>
      <c r="K234" s="276">
        <f t="shared" si="3"/>
        <v>2.6500000000000004</v>
      </c>
      <c r="L234" s="335"/>
    </row>
    <row r="235" spans="1:12">
      <c r="A235" s="275" t="s">
        <v>2850</v>
      </c>
      <c r="B235" s="275" t="s">
        <v>3472</v>
      </c>
      <c r="C235" s="275" t="s">
        <v>3679</v>
      </c>
      <c r="D235" s="275" t="s">
        <v>3056</v>
      </c>
      <c r="E235" s="275" t="s">
        <v>2802</v>
      </c>
      <c r="F235" s="278">
        <v>30662</v>
      </c>
      <c r="G235" s="275" t="s">
        <v>2803</v>
      </c>
      <c r="H235" s="276">
        <v>15.5</v>
      </c>
      <c r="I235" s="276">
        <v>55</v>
      </c>
      <c r="J235" s="276">
        <v>13.25</v>
      </c>
      <c r="K235" s="276">
        <f t="shared" si="3"/>
        <v>2.25</v>
      </c>
      <c r="L235" s="335"/>
    </row>
    <row r="236" spans="1:12">
      <c r="A236" s="275" t="s">
        <v>2838</v>
      </c>
      <c r="B236" s="275" t="s">
        <v>2841</v>
      </c>
      <c r="C236" s="275" t="s">
        <v>3680</v>
      </c>
      <c r="D236" s="275" t="s">
        <v>3056</v>
      </c>
      <c r="E236" s="275" t="s">
        <v>2802</v>
      </c>
      <c r="F236" s="278">
        <v>30662</v>
      </c>
      <c r="G236" s="275" t="s">
        <v>2803</v>
      </c>
      <c r="H236" s="276">
        <v>14.5</v>
      </c>
      <c r="I236" s="276">
        <v>38</v>
      </c>
      <c r="J236" s="276">
        <v>13.25</v>
      </c>
      <c r="K236" s="276">
        <f t="shared" si="3"/>
        <v>1.25</v>
      </c>
      <c r="L236" s="335"/>
    </row>
    <row r="237" spans="1:12">
      <c r="A237" s="275" t="s">
        <v>2844</v>
      </c>
      <c r="B237" s="275" t="s">
        <v>2848</v>
      </c>
      <c r="C237" s="275" t="s">
        <v>3677</v>
      </c>
      <c r="D237" s="275" t="s">
        <v>3056</v>
      </c>
      <c r="E237" s="275" t="s">
        <v>2802</v>
      </c>
      <c r="F237" s="278">
        <v>30670</v>
      </c>
      <c r="G237" s="275" t="s">
        <v>2803</v>
      </c>
      <c r="H237" s="276">
        <v>16</v>
      </c>
      <c r="I237" s="276">
        <v>43</v>
      </c>
      <c r="J237" s="276">
        <v>13.38</v>
      </c>
      <c r="K237" s="276">
        <f t="shared" si="3"/>
        <v>2.6199999999999992</v>
      </c>
      <c r="L237" s="335"/>
    </row>
    <row r="238" spans="1:12">
      <c r="A238" s="275" t="s">
        <v>2811</v>
      </c>
      <c r="B238" s="275" t="s">
        <v>4014</v>
      </c>
      <c r="C238" s="275" t="s">
        <v>3678</v>
      </c>
      <c r="D238" s="275" t="s">
        <v>3056</v>
      </c>
      <c r="E238" s="275" t="s">
        <v>2802</v>
      </c>
      <c r="F238" s="278">
        <v>30670</v>
      </c>
      <c r="G238" s="275" t="s">
        <v>2803</v>
      </c>
      <c r="H238" s="276">
        <v>15.4</v>
      </c>
      <c r="I238" s="276">
        <v>41.3</v>
      </c>
      <c r="J238" s="276">
        <v>13.38</v>
      </c>
      <c r="K238" s="276">
        <f t="shared" si="3"/>
        <v>2.0199999999999996</v>
      </c>
      <c r="L238" s="335"/>
    </row>
    <row r="239" spans="1:12">
      <c r="A239" s="275" t="s">
        <v>2844</v>
      </c>
      <c r="B239" s="275" t="s">
        <v>2864</v>
      </c>
      <c r="C239" s="275" t="s">
        <v>3676</v>
      </c>
      <c r="D239" s="275" t="s">
        <v>3056</v>
      </c>
      <c r="E239" s="275" t="s">
        <v>2802</v>
      </c>
      <c r="F239" s="278">
        <v>30672</v>
      </c>
      <c r="G239" s="275" t="s">
        <v>2803</v>
      </c>
      <c r="H239" s="276">
        <v>15.75</v>
      </c>
      <c r="I239" s="276">
        <v>42.25</v>
      </c>
      <c r="J239" s="276">
        <v>13.38</v>
      </c>
      <c r="K239" s="276">
        <f t="shared" si="3"/>
        <v>2.3699999999999992</v>
      </c>
      <c r="L239" s="335"/>
    </row>
    <row r="240" spans="1:12">
      <c r="A240" s="275" t="s">
        <v>2809</v>
      </c>
      <c r="B240" s="275" t="s">
        <v>3142</v>
      </c>
      <c r="C240" s="275" t="s">
        <v>3675</v>
      </c>
      <c r="D240" s="275" t="s">
        <v>3056</v>
      </c>
      <c r="E240" s="275" t="s">
        <v>2802</v>
      </c>
      <c r="F240" s="278">
        <v>30679</v>
      </c>
      <c r="G240" s="275" t="s">
        <v>2803</v>
      </c>
      <c r="H240" s="276">
        <v>15</v>
      </c>
      <c r="I240" s="276">
        <v>44.27</v>
      </c>
      <c r="J240" s="276">
        <v>13.38</v>
      </c>
      <c r="K240" s="276">
        <f t="shared" si="3"/>
        <v>1.6199999999999992</v>
      </c>
      <c r="L240" s="335"/>
    </row>
    <row r="241" spans="1:12">
      <c r="A241" s="275" t="s">
        <v>2811</v>
      </c>
      <c r="B241" s="275" t="s">
        <v>2855</v>
      </c>
      <c r="C241" s="275" t="s">
        <v>3674</v>
      </c>
      <c r="D241" s="275" t="s">
        <v>3056</v>
      </c>
      <c r="E241" s="275" t="s">
        <v>2802</v>
      </c>
      <c r="F241" s="278">
        <v>30691</v>
      </c>
      <c r="G241" s="275" t="s">
        <v>2803</v>
      </c>
      <c r="H241" s="276">
        <v>15.9</v>
      </c>
      <c r="I241" s="276">
        <v>40.96</v>
      </c>
      <c r="J241" s="276">
        <v>13.38</v>
      </c>
      <c r="K241" s="276">
        <f t="shared" si="3"/>
        <v>2.5199999999999996</v>
      </c>
      <c r="L241" s="335"/>
    </row>
    <row r="242" spans="1:12">
      <c r="A242" s="275" t="s">
        <v>2804</v>
      </c>
      <c r="B242" s="275" t="s">
        <v>3540</v>
      </c>
      <c r="C242" s="275" t="s">
        <v>3673</v>
      </c>
      <c r="D242" s="275" t="s">
        <v>3056</v>
      </c>
      <c r="E242" s="275" t="s">
        <v>2802</v>
      </c>
      <c r="F242" s="278">
        <v>30694</v>
      </c>
      <c r="G242" s="275" t="s">
        <v>2803</v>
      </c>
      <c r="H242" s="276">
        <v>15.5</v>
      </c>
      <c r="I242" s="276">
        <v>57</v>
      </c>
      <c r="J242" s="276">
        <v>13.38</v>
      </c>
      <c r="K242" s="276">
        <f t="shared" si="3"/>
        <v>2.1199999999999992</v>
      </c>
      <c r="L242" s="335"/>
    </row>
    <row r="243" spans="1:12">
      <c r="A243" s="275" t="s">
        <v>2845</v>
      </c>
      <c r="B243" s="275" t="s">
        <v>3575</v>
      </c>
      <c r="C243" s="275" t="s">
        <v>3672</v>
      </c>
      <c r="D243" s="275" t="s">
        <v>3056</v>
      </c>
      <c r="E243" s="275" t="s">
        <v>2802</v>
      </c>
      <c r="F243" s="278">
        <v>30699</v>
      </c>
      <c r="G243" s="275" t="s">
        <v>2803</v>
      </c>
      <c r="H243" s="276">
        <v>15.53</v>
      </c>
      <c r="I243" s="276">
        <v>38.4</v>
      </c>
      <c r="J243" s="276">
        <v>13.52</v>
      </c>
      <c r="K243" s="276">
        <f t="shared" si="3"/>
        <v>2.0099999999999998</v>
      </c>
      <c r="L243" s="335"/>
    </row>
    <row r="244" spans="1:12">
      <c r="A244" s="275" t="s">
        <v>2804</v>
      </c>
      <c r="B244" s="275" t="s">
        <v>2874</v>
      </c>
      <c r="C244" s="275" t="s">
        <v>3671</v>
      </c>
      <c r="D244" s="275" t="s">
        <v>3056</v>
      </c>
      <c r="E244" s="275" t="s">
        <v>2802</v>
      </c>
      <c r="F244" s="278">
        <v>30707</v>
      </c>
      <c r="G244" s="275" t="s">
        <v>2803</v>
      </c>
      <c r="H244" s="276">
        <v>15.9</v>
      </c>
      <c r="I244" s="276">
        <v>47</v>
      </c>
      <c r="J244" s="276">
        <v>13.52</v>
      </c>
      <c r="K244" s="276">
        <f t="shared" si="3"/>
        <v>2.3800000000000008</v>
      </c>
      <c r="L244" s="335"/>
    </row>
    <row r="245" spans="1:12">
      <c r="A245" s="275" t="s">
        <v>2809</v>
      </c>
      <c r="B245" s="275" t="s">
        <v>2810</v>
      </c>
      <c r="C245" s="275" t="s">
        <v>3670</v>
      </c>
      <c r="D245" s="275" t="s">
        <v>3056</v>
      </c>
      <c r="E245" s="275" t="s">
        <v>2802</v>
      </c>
      <c r="F245" s="278">
        <v>30740</v>
      </c>
      <c r="G245" s="275" t="s">
        <v>2803</v>
      </c>
      <c r="H245" s="276">
        <v>14.5</v>
      </c>
      <c r="I245" s="276">
        <v>45.5</v>
      </c>
      <c r="J245" s="276">
        <v>13.4</v>
      </c>
      <c r="K245" s="276">
        <f t="shared" si="3"/>
        <v>1.0999999999999996</v>
      </c>
      <c r="L245" s="335"/>
    </row>
    <row r="246" spans="1:12">
      <c r="A246" s="275" t="s">
        <v>2811</v>
      </c>
      <c r="B246" s="275" t="s">
        <v>2812</v>
      </c>
      <c r="C246" s="275" t="s">
        <v>3669</v>
      </c>
      <c r="D246" s="275" t="s">
        <v>3056</v>
      </c>
      <c r="E246" s="275" t="s">
        <v>2802</v>
      </c>
      <c r="F246" s="278">
        <v>30761</v>
      </c>
      <c r="G246" s="275" t="s">
        <v>2803</v>
      </c>
      <c r="H246" s="276">
        <v>16</v>
      </c>
      <c r="I246" s="276">
        <v>43.13</v>
      </c>
      <c r="J246" s="276">
        <v>13.4</v>
      </c>
      <c r="K246" s="276">
        <f t="shared" si="3"/>
        <v>2.5999999999999996</v>
      </c>
      <c r="L246" s="335"/>
    </row>
    <row r="247" spans="1:12">
      <c r="A247" s="275" t="s">
        <v>2819</v>
      </c>
      <c r="B247" s="275" t="s">
        <v>2820</v>
      </c>
      <c r="C247" s="275" t="s">
        <v>3668</v>
      </c>
      <c r="D247" s="275" t="s">
        <v>3056</v>
      </c>
      <c r="E247" s="275" t="s">
        <v>2802</v>
      </c>
      <c r="F247" s="278">
        <v>30764</v>
      </c>
      <c r="G247" s="275" t="s">
        <v>2803</v>
      </c>
      <c r="H247" s="276">
        <v>15.5</v>
      </c>
      <c r="I247" s="276">
        <v>40.49</v>
      </c>
      <c r="J247" s="276">
        <v>13.4</v>
      </c>
      <c r="K247" s="276">
        <f t="shared" si="3"/>
        <v>2.0999999999999996</v>
      </c>
      <c r="L247" s="335"/>
    </row>
    <row r="248" spans="1:12">
      <c r="A248" s="275" t="s">
        <v>2837</v>
      </c>
      <c r="B248" s="275" t="s">
        <v>3094</v>
      </c>
      <c r="C248" s="275" t="s">
        <v>3667</v>
      </c>
      <c r="D248" s="275" t="s">
        <v>3056</v>
      </c>
      <c r="E248" s="275" t="s">
        <v>2802</v>
      </c>
      <c r="F248" s="278">
        <v>30781</v>
      </c>
      <c r="G248" s="275" t="s">
        <v>2803</v>
      </c>
      <c r="H248" s="276">
        <v>15.2</v>
      </c>
      <c r="I248" s="276">
        <v>36.89</v>
      </c>
      <c r="J248" s="276">
        <v>13.4</v>
      </c>
      <c r="K248" s="276">
        <f t="shared" si="3"/>
        <v>1.7999999999999989</v>
      </c>
      <c r="L248" s="335"/>
    </row>
    <row r="249" spans="1:12">
      <c r="A249" s="275" t="s">
        <v>2811</v>
      </c>
      <c r="B249" s="275" t="s">
        <v>2832</v>
      </c>
      <c r="C249" s="275" t="s">
        <v>3666</v>
      </c>
      <c r="D249" s="275" t="s">
        <v>3056</v>
      </c>
      <c r="E249" s="275" t="s">
        <v>2802</v>
      </c>
      <c r="F249" s="278">
        <v>30790</v>
      </c>
      <c r="G249" s="275" t="s">
        <v>2803</v>
      </c>
      <c r="H249" s="276">
        <v>16.2</v>
      </c>
      <c r="I249" s="276">
        <v>41.42</v>
      </c>
      <c r="J249" s="276">
        <v>13.77</v>
      </c>
      <c r="K249" s="276">
        <f t="shared" si="3"/>
        <v>2.4299999999999997</v>
      </c>
      <c r="L249" s="335"/>
    </row>
    <row r="250" spans="1:12">
      <c r="A250" s="275" t="s">
        <v>2804</v>
      </c>
      <c r="B250" s="275" t="s">
        <v>4373</v>
      </c>
      <c r="C250" s="275" t="s">
        <v>3665</v>
      </c>
      <c r="D250" s="275" t="s">
        <v>3056</v>
      </c>
      <c r="E250" s="275" t="s">
        <v>2802</v>
      </c>
      <c r="F250" s="278">
        <v>30799</v>
      </c>
      <c r="G250" s="275" t="s">
        <v>2803</v>
      </c>
      <c r="H250" s="276">
        <v>15.85</v>
      </c>
      <c r="I250" s="276">
        <v>38.1</v>
      </c>
      <c r="J250" s="276">
        <v>13.77</v>
      </c>
      <c r="K250" s="276">
        <f t="shared" si="3"/>
        <v>2.08</v>
      </c>
      <c r="L250" s="335"/>
    </row>
    <row r="251" spans="1:12">
      <c r="A251" s="275" t="s">
        <v>2846</v>
      </c>
      <c r="B251" s="275" t="s">
        <v>4022</v>
      </c>
      <c r="C251" s="275" t="s">
        <v>3664</v>
      </c>
      <c r="D251" s="275" t="s">
        <v>3056</v>
      </c>
      <c r="E251" s="275" t="s">
        <v>2802</v>
      </c>
      <c r="F251" s="278">
        <v>30817</v>
      </c>
      <c r="G251" s="275" t="s">
        <v>2803</v>
      </c>
      <c r="H251" s="276">
        <v>13.35</v>
      </c>
      <c r="I251" s="276">
        <v>42.74</v>
      </c>
      <c r="J251" s="276">
        <v>14.13</v>
      </c>
      <c r="K251" s="276">
        <f t="shared" si="3"/>
        <v>-0.78000000000000114</v>
      </c>
      <c r="L251" s="335"/>
    </row>
    <row r="252" spans="1:12">
      <c r="A252" s="275" t="s">
        <v>2835</v>
      </c>
      <c r="B252" s="275" t="s">
        <v>2836</v>
      </c>
      <c r="C252" s="275" t="s">
        <v>3663</v>
      </c>
      <c r="D252" s="275" t="s">
        <v>3056</v>
      </c>
      <c r="E252" s="275" t="s">
        <v>2802</v>
      </c>
      <c r="F252" s="278">
        <v>30818</v>
      </c>
      <c r="G252" s="275" t="s">
        <v>2803</v>
      </c>
      <c r="H252" s="276">
        <v>15</v>
      </c>
      <c r="I252" s="276">
        <v>40.130000000000003</v>
      </c>
      <c r="J252" s="276">
        <v>14.13</v>
      </c>
      <c r="K252" s="276">
        <f t="shared" si="3"/>
        <v>0.86999999999999922</v>
      </c>
      <c r="L252" s="335"/>
    </row>
    <row r="253" spans="1:12">
      <c r="A253" s="275" t="s">
        <v>2822</v>
      </c>
      <c r="B253" s="275" t="s">
        <v>2823</v>
      </c>
      <c r="C253" s="275" t="s">
        <v>3662</v>
      </c>
      <c r="D253" s="275" t="s">
        <v>3056</v>
      </c>
      <c r="E253" s="275" t="s">
        <v>2802</v>
      </c>
      <c r="F253" s="278">
        <v>30824</v>
      </c>
      <c r="G253" s="275" t="s">
        <v>2803</v>
      </c>
      <c r="H253" s="276">
        <v>14.4</v>
      </c>
      <c r="I253" s="276">
        <v>38.590000000000003</v>
      </c>
      <c r="J253" s="276">
        <v>14.13</v>
      </c>
      <c r="K253" s="276">
        <f t="shared" si="3"/>
        <v>0.26999999999999957</v>
      </c>
      <c r="L253" s="335"/>
    </row>
    <row r="254" spans="1:12">
      <c r="A254" s="275" t="s">
        <v>2824</v>
      </c>
      <c r="B254" s="275" t="s">
        <v>3094</v>
      </c>
      <c r="C254" s="275" t="s">
        <v>3661</v>
      </c>
      <c r="D254" s="275" t="s">
        <v>3056</v>
      </c>
      <c r="E254" s="275" t="s">
        <v>2802</v>
      </c>
      <c r="F254" s="278">
        <v>30846</v>
      </c>
      <c r="G254" s="275" t="s">
        <v>2803</v>
      </c>
      <c r="H254" s="276">
        <v>15.5</v>
      </c>
      <c r="I254" s="276">
        <v>44.6</v>
      </c>
      <c r="J254" s="276">
        <v>14.13</v>
      </c>
      <c r="K254" s="276">
        <f t="shared" si="3"/>
        <v>1.3699999999999992</v>
      </c>
      <c r="L254" s="335"/>
    </row>
    <row r="255" spans="1:12">
      <c r="A255" s="275" t="s">
        <v>2811</v>
      </c>
      <c r="B255" s="275" t="s">
        <v>4017</v>
      </c>
      <c r="C255" s="275" t="s">
        <v>3660</v>
      </c>
      <c r="D255" s="275" t="s">
        <v>3056</v>
      </c>
      <c r="E255" s="275" t="s">
        <v>2802</v>
      </c>
      <c r="F255" s="278">
        <v>30873</v>
      </c>
      <c r="G255" s="275" t="s">
        <v>2803</v>
      </c>
      <c r="H255" s="276">
        <v>16</v>
      </c>
      <c r="I255" s="276">
        <v>42.74</v>
      </c>
      <c r="J255" s="276">
        <v>14.88</v>
      </c>
      <c r="K255" s="276">
        <f t="shared" si="3"/>
        <v>1.1199999999999992</v>
      </c>
      <c r="L255" s="335"/>
    </row>
    <row r="256" spans="1:12">
      <c r="A256" s="275" t="s">
        <v>2813</v>
      </c>
      <c r="B256" s="275" t="s">
        <v>3385</v>
      </c>
      <c r="C256" s="275" t="s">
        <v>3659</v>
      </c>
      <c r="D256" s="275" t="s">
        <v>3056</v>
      </c>
      <c r="E256" s="275" t="s">
        <v>2802</v>
      </c>
      <c r="F256" s="278">
        <v>30903</v>
      </c>
      <c r="G256" s="275" t="s">
        <v>2803</v>
      </c>
      <c r="H256" s="276">
        <v>15.33</v>
      </c>
      <c r="I256" s="276">
        <v>34.9</v>
      </c>
      <c r="J256" s="276">
        <v>15.1</v>
      </c>
      <c r="K256" s="276">
        <f t="shared" si="3"/>
        <v>0.23000000000000043</v>
      </c>
      <c r="L256" s="335"/>
    </row>
    <row r="257" spans="1:12">
      <c r="A257" s="275" t="s">
        <v>2851</v>
      </c>
      <c r="B257" s="275" t="s">
        <v>2876</v>
      </c>
      <c r="C257" s="275" t="s">
        <v>3658</v>
      </c>
      <c r="D257" s="275" t="s">
        <v>3056</v>
      </c>
      <c r="E257" s="275" t="s">
        <v>2802</v>
      </c>
      <c r="F257" s="278">
        <v>30911</v>
      </c>
      <c r="G257" s="275" t="s">
        <v>2803</v>
      </c>
      <c r="H257" s="276">
        <v>14.82</v>
      </c>
      <c r="I257" s="276">
        <v>29.24</v>
      </c>
      <c r="J257" s="276">
        <v>14.86</v>
      </c>
      <c r="K257" s="276">
        <f t="shared" si="3"/>
        <v>-3.9999999999999147E-2</v>
      </c>
      <c r="L257" s="335"/>
    </row>
    <row r="258" spans="1:12">
      <c r="A258" s="275" t="s">
        <v>2816</v>
      </c>
      <c r="B258" s="275" t="s">
        <v>2817</v>
      </c>
      <c r="C258" s="275" t="s">
        <v>3657</v>
      </c>
      <c r="D258" s="275" t="s">
        <v>3056</v>
      </c>
      <c r="E258" s="275" t="s">
        <v>2802</v>
      </c>
      <c r="F258" s="278">
        <v>30915</v>
      </c>
      <c r="G258" s="275" t="s">
        <v>2803</v>
      </c>
      <c r="H258" s="276">
        <v>14.64</v>
      </c>
      <c r="I258" s="276">
        <v>38.700000000000003</v>
      </c>
      <c r="J258" s="276">
        <v>14.86</v>
      </c>
      <c r="K258" s="276">
        <f t="shared" si="3"/>
        <v>-0.21999999999999886</v>
      </c>
      <c r="L258" s="335"/>
    </row>
    <row r="259" spans="1:12">
      <c r="A259" s="275" t="s">
        <v>2804</v>
      </c>
      <c r="B259" s="275" t="s">
        <v>3500</v>
      </c>
      <c r="C259" s="275" t="s">
        <v>3656</v>
      </c>
      <c r="D259" s="275" t="s">
        <v>3056</v>
      </c>
      <c r="E259" s="275" t="s">
        <v>2802</v>
      </c>
      <c r="F259" s="278">
        <v>30921</v>
      </c>
      <c r="G259" s="275" t="s">
        <v>2803</v>
      </c>
      <c r="H259" s="276">
        <v>14.52</v>
      </c>
      <c r="I259" s="276">
        <v>49.36</v>
      </c>
      <c r="J259" s="276">
        <v>14.86</v>
      </c>
      <c r="K259" s="276">
        <f t="shared" si="3"/>
        <v>-0.33999999999999986</v>
      </c>
      <c r="L259" s="335"/>
    </row>
    <row r="260" spans="1:12">
      <c r="A260" s="275" t="s">
        <v>2809</v>
      </c>
      <c r="B260" s="275" t="s">
        <v>4025</v>
      </c>
      <c r="C260" s="275" t="s">
        <v>3655</v>
      </c>
      <c r="D260" s="275" t="s">
        <v>3056</v>
      </c>
      <c r="E260" s="275" t="s">
        <v>2802</v>
      </c>
      <c r="F260" s="278">
        <v>30922</v>
      </c>
      <c r="G260" s="275" t="s">
        <v>2803</v>
      </c>
      <c r="H260" s="276">
        <v>14.75</v>
      </c>
      <c r="I260" s="276">
        <v>50.82</v>
      </c>
      <c r="J260" s="276">
        <v>14.86</v>
      </c>
      <c r="K260" s="276">
        <f t="shared" si="3"/>
        <v>-0.10999999999999943</v>
      </c>
      <c r="L260" s="335"/>
    </row>
    <row r="261" spans="1:12">
      <c r="A261" s="275" t="s">
        <v>2801</v>
      </c>
      <c r="B261" s="275" t="s">
        <v>4021</v>
      </c>
      <c r="C261" s="275" t="s">
        <v>3654</v>
      </c>
      <c r="D261" s="275" t="s">
        <v>3056</v>
      </c>
      <c r="E261" s="275" t="s">
        <v>2802</v>
      </c>
      <c r="F261" s="278">
        <v>30924</v>
      </c>
      <c r="G261" s="275" t="s">
        <v>2803</v>
      </c>
      <c r="H261" s="276">
        <v>15.6</v>
      </c>
      <c r="I261" s="276">
        <v>44.1</v>
      </c>
      <c r="J261" s="276">
        <v>14.86</v>
      </c>
      <c r="K261" s="276">
        <f t="shared" si="3"/>
        <v>0.74000000000000021</v>
      </c>
      <c r="L261" s="335"/>
    </row>
    <row r="262" spans="1:12">
      <c r="A262" s="275" t="s">
        <v>2830</v>
      </c>
      <c r="B262" s="275" t="s">
        <v>3157</v>
      </c>
      <c r="C262" s="275" t="s">
        <v>3652</v>
      </c>
      <c r="D262" s="275" t="s">
        <v>3056</v>
      </c>
      <c r="E262" s="275" t="s">
        <v>2802</v>
      </c>
      <c r="F262" s="278">
        <v>30937</v>
      </c>
      <c r="G262" s="275" t="s">
        <v>2803</v>
      </c>
      <c r="H262" s="276">
        <v>15.9</v>
      </c>
      <c r="I262" s="276">
        <v>48.44</v>
      </c>
      <c r="J262" s="276">
        <v>14.86</v>
      </c>
      <c r="K262" s="276">
        <f t="shared" ref="K262:K325" si="4">H262-J262</f>
        <v>1.0400000000000009</v>
      </c>
      <c r="L262" s="335"/>
    </row>
    <row r="263" spans="1:12">
      <c r="A263" s="275" t="s">
        <v>2801</v>
      </c>
      <c r="B263" s="275" t="s">
        <v>3139</v>
      </c>
      <c r="C263" s="275" t="s">
        <v>3653</v>
      </c>
      <c r="D263" s="275" t="s">
        <v>3056</v>
      </c>
      <c r="E263" s="275" t="s">
        <v>2802</v>
      </c>
      <c r="F263" s="278">
        <v>30937</v>
      </c>
      <c r="G263" s="275" t="s">
        <v>2803</v>
      </c>
      <c r="H263" s="276">
        <v>15.6</v>
      </c>
      <c r="I263" s="276">
        <v>45.96</v>
      </c>
      <c r="J263" s="276">
        <v>14.86</v>
      </c>
      <c r="K263" s="276">
        <f t="shared" si="4"/>
        <v>0.74000000000000021</v>
      </c>
      <c r="L263" s="335"/>
    </row>
    <row r="264" spans="1:12">
      <c r="A264" s="275" t="s">
        <v>2806</v>
      </c>
      <c r="B264" s="275" t="s">
        <v>3081</v>
      </c>
      <c r="C264" s="275" t="s">
        <v>3651</v>
      </c>
      <c r="D264" s="275" t="s">
        <v>3056</v>
      </c>
      <c r="E264" s="275" t="s">
        <v>2802</v>
      </c>
      <c r="F264" s="278">
        <v>30950</v>
      </c>
      <c r="G264" s="275" t="s">
        <v>2803</v>
      </c>
      <c r="H264" s="276">
        <v>16.25</v>
      </c>
      <c r="I264" s="276">
        <v>41.52</v>
      </c>
      <c r="J264" s="276">
        <v>14.43</v>
      </c>
      <c r="K264" s="276">
        <f t="shared" si="4"/>
        <v>1.8200000000000003</v>
      </c>
      <c r="L264" s="335"/>
    </row>
    <row r="265" spans="1:12">
      <c r="A265" s="275" t="s">
        <v>2838</v>
      </c>
      <c r="B265" s="275" t="s">
        <v>3075</v>
      </c>
      <c r="C265" s="275" t="s">
        <v>3650</v>
      </c>
      <c r="D265" s="275" t="s">
        <v>3056</v>
      </c>
      <c r="E265" s="275" t="s">
        <v>2802</v>
      </c>
      <c r="F265" s="278">
        <v>30957</v>
      </c>
      <c r="G265" s="275" t="s">
        <v>2803</v>
      </c>
      <c r="H265" s="276">
        <v>14.8</v>
      </c>
      <c r="I265" s="276">
        <v>60.49</v>
      </c>
      <c r="J265" s="276">
        <v>14.43</v>
      </c>
      <c r="K265" s="276">
        <f t="shared" si="4"/>
        <v>0.37000000000000099</v>
      </c>
      <c r="L265" s="335"/>
    </row>
    <row r="266" spans="1:12">
      <c r="A266" s="275" t="s">
        <v>2809</v>
      </c>
      <c r="B266" s="275" t="s">
        <v>2854</v>
      </c>
      <c r="C266" s="275" t="s">
        <v>3649</v>
      </c>
      <c r="D266" s="275" t="s">
        <v>3056</v>
      </c>
      <c r="E266" s="275" t="s">
        <v>2802</v>
      </c>
      <c r="F266" s="278">
        <v>30964</v>
      </c>
      <c r="G266" s="275" t="s">
        <v>2803</v>
      </c>
      <c r="H266" s="276">
        <v>14.75</v>
      </c>
      <c r="I266" s="276">
        <v>45.27</v>
      </c>
      <c r="J266" s="276">
        <v>14.43</v>
      </c>
      <c r="K266" s="276">
        <f t="shared" si="4"/>
        <v>0.32000000000000028</v>
      </c>
      <c r="L266" s="335"/>
    </row>
    <row r="267" spans="1:12">
      <c r="A267" s="275" t="s">
        <v>2811</v>
      </c>
      <c r="B267" s="275" t="s">
        <v>3623</v>
      </c>
      <c r="C267" s="275" t="s">
        <v>3648</v>
      </c>
      <c r="D267" s="275" t="s">
        <v>3056</v>
      </c>
      <c r="E267" s="275" t="s">
        <v>2802</v>
      </c>
      <c r="F267" s="278">
        <v>30965</v>
      </c>
      <c r="G267" s="275" t="s">
        <v>2803</v>
      </c>
      <c r="H267" s="276">
        <v>15.5</v>
      </c>
      <c r="I267" s="276">
        <v>45.58</v>
      </c>
      <c r="J267" s="276">
        <v>14.43</v>
      </c>
      <c r="K267" s="276">
        <f t="shared" si="4"/>
        <v>1.0700000000000003</v>
      </c>
      <c r="L267" s="335"/>
    </row>
    <row r="268" spans="1:12">
      <c r="A268" s="275" t="s">
        <v>2835</v>
      </c>
      <c r="B268" s="275" t="s">
        <v>3531</v>
      </c>
      <c r="C268" s="275" t="s">
        <v>3647</v>
      </c>
      <c r="D268" s="275" t="s">
        <v>3056</v>
      </c>
      <c r="E268" s="275" t="s">
        <v>2802</v>
      </c>
      <c r="F268" s="278">
        <v>30973</v>
      </c>
      <c r="G268" s="275" t="s">
        <v>2803</v>
      </c>
      <c r="H268" s="276">
        <v>15</v>
      </c>
      <c r="I268" s="276">
        <v>45.77</v>
      </c>
      <c r="J268" s="276">
        <v>14.19</v>
      </c>
      <c r="K268" s="276">
        <f t="shared" si="4"/>
        <v>0.8100000000000005</v>
      </c>
      <c r="L268" s="335"/>
    </row>
    <row r="269" spans="1:12">
      <c r="A269" s="275" t="s">
        <v>2835</v>
      </c>
      <c r="B269" s="275" t="s">
        <v>2877</v>
      </c>
      <c r="C269" s="275" t="s">
        <v>3646</v>
      </c>
      <c r="D269" s="275" t="s">
        <v>3056</v>
      </c>
      <c r="E269" s="275" t="s">
        <v>2802</v>
      </c>
      <c r="F269" s="278">
        <v>30979</v>
      </c>
      <c r="G269" s="275" t="s">
        <v>2803</v>
      </c>
      <c r="H269" s="276">
        <v>15.5</v>
      </c>
      <c r="I269" s="276">
        <v>36</v>
      </c>
      <c r="J269" s="276">
        <v>14.19</v>
      </c>
      <c r="K269" s="276">
        <f t="shared" si="4"/>
        <v>1.3100000000000005</v>
      </c>
      <c r="L269" s="335"/>
    </row>
    <row r="270" spans="1:12">
      <c r="A270" s="275" t="s">
        <v>2818</v>
      </c>
      <c r="B270" s="275" t="s">
        <v>2865</v>
      </c>
      <c r="C270" s="275" t="s">
        <v>3645</v>
      </c>
      <c r="D270" s="275" t="s">
        <v>3056</v>
      </c>
      <c r="E270" s="275" t="s">
        <v>2802</v>
      </c>
      <c r="F270" s="278">
        <v>31006</v>
      </c>
      <c r="G270" s="275" t="s">
        <v>2803</v>
      </c>
      <c r="H270" s="276">
        <v>15.92</v>
      </c>
      <c r="I270" s="276">
        <v>37.799999999999997</v>
      </c>
      <c r="J270" s="276">
        <v>13.83</v>
      </c>
      <c r="K270" s="276">
        <f t="shared" si="4"/>
        <v>2.09</v>
      </c>
      <c r="L270" s="335"/>
    </row>
    <row r="271" spans="1:12">
      <c r="A271" s="275" t="s">
        <v>2867</v>
      </c>
      <c r="B271" s="275" t="s">
        <v>2868</v>
      </c>
      <c r="C271" s="275" t="s">
        <v>3644</v>
      </c>
      <c r="D271" s="275" t="s">
        <v>3056</v>
      </c>
      <c r="E271" s="275" t="s">
        <v>2802</v>
      </c>
      <c r="F271" s="278">
        <v>31016</v>
      </c>
      <c r="G271" s="275" t="s">
        <v>2803</v>
      </c>
      <c r="H271" s="276">
        <v>15.5</v>
      </c>
      <c r="I271" s="276">
        <v>48.07</v>
      </c>
      <c r="J271" s="276">
        <v>13.83</v>
      </c>
      <c r="K271" s="276">
        <f t="shared" si="4"/>
        <v>1.67</v>
      </c>
      <c r="L271" s="335"/>
    </row>
    <row r="272" spans="1:12">
      <c r="A272" s="275" t="s">
        <v>2871</v>
      </c>
      <c r="B272" s="275" t="s">
        <v>3277</v>
      </c>
      <c r="C272" s="275" t="s">
        <v>3643</v>
      </c>
      <c r="D272" s="275" t="s">
        <v>3056</v>
      </c>
      <c r="E272" s="275" t="s">
        <v>2802</v>
      </c>
      <c r="F272" s="278">
        <v>31034</v>
      </c>
      <c r="G272" s="275" t="s">
        <v>2803</v>
      </c>
      <c r="H272" s="276">
        <v>15</v>
      </c>
      <c r="I272" s="276">
        <v>35.89</v>
      </c>
      <c r="J272" s="276">
        <v>13.25</v>
      </c>
      <c r="K272" s="276">
        <f t="shared" si="4"/>
        <v>1.75</v>
      </c>
      <c r="L272" s="335"/>
    </row>
    <row r="273" spans="1:12">
      <c r="A273" s="275" t="s">
        <v>2809</v>
      </c>
      <c r="B273" s="275" t="s">
        <v>3142</v>
      </c>
      <c r="C273" s="275" t="s">
        <v>3642</v>
      </c>
      <c r="D273" s="275" t="s">
        <v>3056</v>
      </c>
      <c r="E273" s="275" t="s">
        <v>2802</v>
      </c>
      <c r="F273" s="278">
        <v>31036</v>
      </c>
      <c r="G273" s="275" t="s">
        <v>2803</v>
      </c>
      <c r="H273" s="276">
        <v>15</v>
      </c>
      <c r="I273" s="276">
        <v>45.49</v>
      </c>
      <c r="J273" s="276">
        <v>13.25</v>
      </c>
      <c r="K273" s="276">
        <f t="shared" si="4"/>
        <v>1.75</v>
      </c>
      <c r="L273" s="335"/>
    </row>
    <row r="274" spans="1:12">
      <c r="A274" s="275" t="s">
        <v>2844</v>
      </c>
      <c r="B274" s="275" t="s">
        <v>3084</v>
      </c>
      <c r="C274" s="275" t="s">
        <v>3641</v>
      </c>
      <c r="D274" s="275" t="s">
        <v>3056</v>
      </c>
      <c r="E274" s="275" t="s">
        <v>2802</v>
      </c>
      <c r="F274" s="278">
        <v>31044</v>
      </c>
      <c r="G274" s="275" t="s">
        <v>2803</v>
      </c>
      <c r="H274" s="276">
        <v>15.75</v>
      </c>
      <c r="I274" s="276">
        <v>42.2</v>
      </c>
      <c r="J274" s="276">
        <v>13.25</v>
      </c>
      <c r="K274" s="276">
        <f t="shared" si="4"/>
        <v>2.5</v>
      </c>
      <c r="L274" s="335"/>
    </row>
    <row r="275" spans="1:12">
      <c r="A275" s="275" t="s">
        <v>2830</v>
      </c>
      <c r="B275" s="275" t="s">
        <v>4020</v>
      </c>
      <c r="C275" s="275" t="s">
        <v>3640</v>
      </c>
      <c r="D275" s="275" t="s">
        <v>3056</v>
      </c>
      <c r="E275" s="275" t="s">
        <v>2802</v>
      </c>
      <c r="F275" s="278">
        <v>31049</v>
      </c>
      <c r="G275" s="275" t="s">
        <v>2803</v>
      </c>
      <c r="H275" s="276">
        <v>16</v>
      </c>
      <c r="I275" s="276">
        <v>35.58</v>
      </c>
      <c r="J275" s="276">
        <v>13.25</v>
      </c>
      <c r="K275" s="276">
        <f t="shared" si="4"/>
        <v>2.75</v>
      </c>
      <c r="L275" s="335"/>
    </row>
    <row r="276" spans="1:12">
      <c r="A276" s="275" t="s">
        <v>2809</v>
      </c>
      <c r="B276" s="275" t="s">
        <v>2853</v>
      </c>
      <c r="C276" s="275" t="s">
        <v>3639</v>
      </c>
      <c r="D276" s="275" t="s">
        <v>3056</v>
      </c>
      <c r="E276" s="275" t="s">
        <v>2802</v>
      </c>
      <c r="F276" s="278">
        <v>31078</v>
      </c>
      <c r="G276" s="275" t="s">
        <v>2803</v>
      </c>
      <c r="H276" s="276">
        <v>14.75</v>
      </c>
      <c r="I276" s="276">
        <v>50</v>
      </c>
      <c r="J276" s="276">
        <v>13.07</v>
      </c>
      <c r="K276" s="276">
        <f t="shared" si="4"/>
        <v>1.6799999999999997</v>
      </c>
      <c r="L276" s="335"/>
    </row>
    <row r="277" spans="1:12">
      <c r="A277" s="275" t="s">
        <v>2821</v>
      </c>
      <c r="B277" s="275" t="s">
        <v>3073</v>
      </c>
      <c r="C277" s="275" t="s">
        <v>3638</v>
      </c>
      <c r="D277" s="275" t="s">
        <v>3056</v>
      </c>
      <c r="E277" s="275" t="s">
        <v>2802</v>
      </c>
      <c r="F277" s="278">
        <v>31085</v>
      </c>
      <c r="G277" s="275" t="s">
        <v>2803</v>
      </c>
      <c r="H277" s="276">
        <v>14.85</v>
      </c>
      <c r="I277" s="276">
        <v>44.8</v>
      </c>
      <c r="J277" s="276">
        <v>13.07</v>
      </c>
      <c r="K277" s="276">
        <f t="shared" si="4"/>
        <v>1.7799999999999994</v>
      </c>
      <c r="L277" s="335"/>
    </row>
    <row r="278" spans="1:12">
      <c r="A278" s="275" t="s">
        <v>2819</v>
      </c>
      <c r="B278" s="275" t="s">
        <v>3637</v>
      </c>
      <c r="C278" s="275" t="s">
        <v>3636</v>
      </c>
      <c r="D278" s="275" t="s">
        <v>3056</v>
      </c>
      <c r="E278" s="275" t="s">
        <v>2802</v>
      </c>
      <c r="F278" s="278">
        <v>31093</v>
      </c>
      <c r="G278" s="275" t="s">
        <v>2803</v>
      </c>
      <c r="H278" s="276">
        <v>15</v>
      </c>
      <c r="I278" s="276" t="s">
        <v>1447</v>
      </c>
      <c r="J278" s="276">
        <v>12.99</v>
      </c>
      <c r="K278" s="276">
        <f t="shared" si="4"/>
        <v>2.0099999999999998</v>
      </c>
      <c r="L278" s="335"/>
    </row>
    <row r="279" spans="1:12">
      <c r="A279" s="275" t="s">
        <v>2871</v>
      </c>
      <c r="B279" s="275" t="s">
        <v>3079</v>
      </c>
      <c r="C279" s="275" t="s">
        <v>3635</v>
      </c>
      <c r="D279" s="275" t="s">
        <v>3056</v>
      </c>
      <c r="E279" s="275" t="s">
        <v>2802</v>
      </c>
      <c r="F279" s="278">
        <v>31098</v>
      </c>
      <c r="G279" s="275" t="s">
        <v>2803</v>
      </c>
      <c r="H279" s="276">
        <v>14.5</v>
      </c>
      <c r="I279" s="276">
        <v>43.91</v>
      </c>
      <c r="J279" s="276">
        <v>12.99</v>
      </c>
      <c r="K279" s="276">
        <f t="shared" si="4"/>
        <v>1.5099999999999998</v>
      </c>
      <c r="L279" s="335"/>
    </row>
    <row r="280" spans="1:12">
      <c r="A280" s="275" t="s">
        <v>2862</v>
      </c>
      <c r="B280" s="275" t="s">
        <v>2863</v>
      </c>
      <c r="C280" s="275" t="s">
        <v>3634</v>
      </c>
      <c r="D280" s="275" t="s">
        <v>3056</v>
      </c>
      <c r="E280" s="275" t="s">
        <v>2802</v>
      </c>
      <c r="F280" s="278">
        <v>31100</v>
      </c>
      <c r="G280" s="275" t="s">
        <v>2803</v>
      </c>
      <c r="H280" s="276">
        <v>14.86</v>
      </c>
      <c r="I280" s="276">
        <v>42.18</v>
      </c>
      <c r="J280" s="276">
        <v>12.99</v>
      </c>
      <c r="K280" s="276">
        <f t="shared" si="4"/>
        <v>1.8699999999999992</v>
      </c>
      <c r="L280" s="335"/>
    </row>
    <row r="281" spans="1:12">
      <c r="A281" s="275" t="s">
        <v>2811</v>
      </c>
      <c r="B281" s="275" t="s">
        <v>2812</v>
      </c>
      <c r="C281" s="275" t="s">
        <v>3633</v>
      </c>
      <c r="D281" s="275" t="s">
        <v>3056</v>
      </c>
      <c r="E281" s="275" t="s">
        <v>2802</v>
      </c>
      <c r="F281" s="278">
        <v>31120</v>
      </c>
      <c r="G281" s="275" t="s">
        <v>2803</v>
      </c>
      <c r="H281" s="276">
        <v>15.5</v>
      </c>
      <c r="I281" s="276">
        <v>43.35</v>
      </c>
      <c r="J281" s="276">
        <v>12.99</v>
      </c>
      <c r="K281" s="276">
        <f t="shared" si="4"/>
        <v>2.5099999999999998</v>
      </c>
      <c r="L281" s="335"/>
    </row>
    <row r="282" spans="1:12">
      <c r="A282" s="275" t="s">
        <v>2811</v>
      </c>
      <c r="B282" s="275" t="s">
        <v>2832</v>
      </c>
      <c r="C282" s="275" t="s">
        <v>3632</v>
      </c>
      <c r="D282" s="275" t="s">
        <v>3056</v>
      </c>
      <c r="E282" s="275" t="s">
        <v>2802</v>
      </c>
      <c r="F282" s="278">
        <v>31146</v>
      </c>
      <c r="G282" s="275" t="s">
        <v>2803</v>
      </c>
      <c r="H282" s="276">
        <v>15.5</v>
      </c>
      <c r="I282" s="276">
        <v>40.97</v>
      </c>
      <c r="J282" s="276">
        <v>13.03</v>
      </c>
      <c r="K282" s="276">
        <f t="shared" si="4"/>
        <v>2.4700000000000006</v>
      </c>
      <c r="L282" s="335"/>
    </row>
    <row r="283" spans="1:12">
      <c r="A283" s="275" t="s">
        <v>2811</v>
      </c>
      <c r="B283" s="275" t="s">
        <v>2855</v>
      </c>
      <c r="C283" s="275" t="s">
        <v>3631</v>
      </c>
      <c r="D283" s="275" t="s">
        <v>3056</v>
      </c>
      <c r="E283" s="275" t="s">
        <v>2802</v>
      </c>
      <c r="F283" s="278">
        <v>31153</v>
      </c>
      <c r="G283" s="275" t="s">
        <v>2803</v>
      </c>
      <c r="H283" s="276">
        <v>15.7</v>
      </c>
      <c r="I283" s="276">
        <v>42.09</v>
      </c>
      <c r="J283" s="276">
        <v>13.8</v>
      </c>
      <c r="K283" s="276">
        <f t="shared" si="4"/>
        <v>1.8999999999999986</v>
      </c>
      <c r="L283" s="335"/>
    </row>
    <row r="284" spans="1:12">
      <c r="A284" s="275" t="s">
        <v>2873</v>
      </c>
      <c r="B284" s="275" t="s">
        <v>3075</v>
      </c>
      <c r="C284" s="275" t="s">
        <v>3630</v>
      </c>
      <c r="D284" s="275" t="s">
        <v>3056</v>
      </c>
      <c r="E284" s="275" t="s">
        <v>2802</v>
      </c>
      <c r="F284" s="278">
        <v>31208</v>
      </c>
      <c r="G284" s="275" t="s">
        <v>2803</v>
      </c>
      <c r="H284" s="276">
        <v>15.75</v>
      </c>
      <c r="I284" s="276">
        <v>37.9</v>
      </c>
      <c r="J284" s="276">
        <v>13.59</v>
      </c>
      <c r="K284" s="276">
        <f t="shared" si="4"/>
        <v>2.16</v>
      </c>
      <c r="L284" s="335"/>
    </row>
    <row r="285" spans="1:12">
      <c r="A285" s="275" t="s">
        <v>2851</v>
      </c>
      <c r="B285" s="275" t="s">
        <v>3105</v>
      </c>
      <c r="C285" s="275" t="s">
        <v>3629</v>
      </c>
      <c r="D285" s="275" t="s">
        <v>3056</v>
      </c>
      <c r="E285" s="275" t="s">
        <v>2802</v>
      </c>
      <c r="F285" s="278">
        <v>31224</v>
      </c>
      <c r="G285" s="275" t="s">
        <v>2803</v>
      </c>
      <c r="H285" s="276">
        <v>14.82</v>
      </c>
      <c r="I285" s="276">
        <v>28.01</v>
      </c>
      <c r="J285" s="276">
        <v>13.17</v>
      </c>
      <c r="K285" s="276">
        <f t="shared" si="4"/>
        <v>1.6500000000000004</v>
      </c>
      <c r="L285" s="335"/>
    </row>
    <row r="286" spans="1:12">
      <c r="A286" s="275" t="s">
        <v>2811</v>
      </c>
      <c r="B286" s="275" t="s">
        <v>4017</v>
      </c>
      <c r="C286" s="275" t="s">
        <v>3628</v>
      </c>
      <c r="D286" s="275" t="s">
        <v>3056</v>
      </c>
      <c r="E286" s="275" t="s">
        <v>2802</v>
      </c>
      <c r="F286" s="278">
        <v>31237</v>
      </c>
      <c r="G286" s="275" t="s">
        <v>2803</v>
      </c>
      <c r="H286" s="276">
        <v>15</v>
      </c>
      <c r="I286" s="276">
        <v>44.23</v>
      </c>
      <c r="J286" s="276">
        <v>13.17</v>
      </c>
      <c r="K286" s="276">
        <f t="shared" si="4"/>
        <v>1.83</v>
      </c>
      <c r="L286" s="335"/>
    </row>
    <row r="287" spans="1:12">
      <c r="A287" s="275" t="s">
        <v>2809</v>
      </c>
      <c r="B287" s="275" t="s">
        <v>2810</v>
      </c>
      <c r="C287" s="275" t="s">
        <v>3627</v>
      </c>
      <c r="D287" s="275" t="s">
        <v>3056</v>
      </c>
      <c r="E287" s="275" t="s">
        <v>2802</v>
      </c>
      <c r="F287" s="278">
        <v>31254</v>
      </c>
      <c r="G287" s="275" t="s">
        <v>2803</v>
      </c>
      <c r="H287" s="276">
        <v>14.5</v>
      </c>
      <c r="I287" s="276">
        <v>47.88</v>
      </c>
      <c r="J287" s="276">
        <v>12.14</v>
      </c>
      <c r="K287" s="276">
        <f t="shared" si="4"/>
        <v>2.3599999999999994</v>
      </c>
      <c r="L287" s="335"/>
    </row>
    <row r="288" spans="1:12">
      <c r="A288" s="275" t="s">
        <v>2809</v>
      </c>
      <c r="B288" s="275" t="s">
        <v>2854</v>
      </c>
      <c r="C288" s="275" t="s">
        <v>3626</v>
      </c>
      <c r="D288" s="275" t="s">
        <v>3056</v>
      </c>
      <c r="E288" s="275" t="s">
        <v>2802</v>
      </c>
      <c r="F288" s="278">
        <v>31288</v>
      </c>
      <c r="G288" s="275" t="s">
        <v>2803</v>
      </c>
      <c r="H288" s="276">
        <v>14.5</v>
      </c>
      <c r="I288" s="276">
        <v>46.94</v>
      </c>
      <c r="J288" s="276">
        <v>12.06</v>
      </c>
      <c r="K288" s="276">
        <f t="shared" si="4"/>
        <v>2.4399999999999995</v>
      </c>
      <c r="L288" s="335"/>
    </row>
    <row r="289" spans="1:12">
      <c r="A289" s="275" t="s">
        <v>2806</v>
      </c>
      <c r="B289" s="275" t="s">
        <v>3081</v>
      </c>
      <c r="C289" s="275" t="s">
        <v>3625</v>
      </c>
      <c r="D289" s="275" t="s">
        <v>3056</v>
      </c>
      <c r="E289" s="275" t="s">
        <v>2802</v>
      </c>
      <c r="F289" s="278">
        <v>31313</v>
      </c>
      <c r="G289" s="275" t="s">
        <v>2803</v>
      </c>
      <c r="H289" s="276">
        <v>15.3</v>
      </c>
      <c r="I289" s="276">
        <v>43.06</v>
      </c>
      <c r="J289" s="276">
        <v>12.14</v>
      </c>
      <c r="K289" s="276">
        <f t="shared" si="4"/>
        <v>3.16</v>
      </c>
      <c r="L289" s="335"/>
    </row>
    <row r="290" spans="1:12">
      <c r="A290" s="275" t="s">
        <v>2838</v>
      </c>
      <c r="B290" s="275" t="s">
        <v>3075</v>
      </c>
      <c r="C290" s="275" t="s">
        <v>3624</v>
      </c>
      <c r="D290" s="275" t="s">
        <v>3056</v>
      </c>
      <c r="E290" s="275" t="s">
        <v>2802</v>
      </c>
      <c r="F290" s="278">
        <v>31315</v>
      </c>
      <c r="G290" s="275" t="s">
        <v>2803</v>
      </c>
      <c r="H290" s="276">
        <v>14.5</v>
      </c>
      <c r="I290" s="276" t="s">
        <v>1447</v>
      </c>
      <c r="J290" s="276">
        <v>12.14</v>
      </c>
      <c r="K290" s="276">
        <f t="shared" si="4"/>
        <v>2.3599999999999994</v>
      </c>
      <c r="L290" s="335"/>
    </row>
    <row r="291" spans="1:12">
      <c r="A291" s="275" t="s">
        <v>2804</v>
      </c>
      <c r="B291" s="275" t="s">
        <v>3495</v>
      </c>
      <c r="C291" s="275" t="s">
        <v>3621</v>
      </c>
      <c r="D291" s="275" t="s">
        <v>3056</v>
      </c>
      <c r="E291" s="275" t="s">
        <v>2802</v>
      </c>
      <c r="F291" s="278">
        <v>31316</v>
      </c>
      <c r="G291" s="275" t="s">
        <v>2803</v>
      </c>
      <c r="H291" s="276">
        <v>14.5</v>
      </c>
      <c r="I291" s="276">
        <v>54</v>
      </c>
      <c r="J291" s="276">
        <v>12.14</v>
      </c>
      <c r="K291" s="276">
        <f t="shared" si="4"/>
        <v>2.3599999999999994</v>
      </c>
      <c r="L291" s="335"/>
    </row>
    <row r="292" spans="1:12">
      <c r="A292" s="275" t="s">
        <v>2811</v>
      </c>
      <c r="B292" s="275" t="s">
        <v>3623</v>
      </c>
      <c r="C292" s="275" t="s">
        <v>3622</v>
      </c>
      <c r="D292" s="275" t="s">
        <v>3056</v>
      </c>
      <c r="E292" s="275" t="s">
        <v>2802</v>
      </c>
      <c r="F292" s="278">
        <v>31316</v>
      </c>
      <c r="G292" s="275" t="s">
        <v>2803</v>
      </c>
      <c r="H292" s="276">
        <v>13.8</v>
      </c>
      <c r="I292" s="276">
        <v>49.09</v>
      </c>
      <c r="J292" s="276">
        <v>12.14</v>
      </c>
      <c r="K292" s="276">
        <f t="shared" si="4"/>
        <v>1.6600000000000001</v>
      </c>
      <c r="L292" s="335"/>
    </row>
    <row r="293" spans="1:12">
      <c r="A293" s="275" t="s">
        <v>2873</v>
      </c>
      <c r="B293" s="275" t="s">
        <v>3328</v>
      </c>
      <c r="C293" s="275" t="s">
        <v>3620</v>
      </c>
      <c r="D293" s="275" t="s">
        <v>3056</v>
      </c>
      <c r="E293" s="275" t="s">
        <v>2802</v>
      </c>
      <c r="F293" s="278">
        <v>31345</v>
      </c>
      <c r="G293" s="275" t="s">
        <v>2803</v>
      </c>
      <c r="H293" s="276">
        <v>15.25</v>
      </c>
      <c r="I293" s="276">
        <v>41.41</v>
      </c>
      <c r="J293" s="276">
        <v>12.13</v>
      </c>
      <c r="K293" s="276">
        <f t="shared" si="4"/>
        <v>3.1199999999999992</v>
      </c>
      <c r="L293" s="335"/>
    </row>
    <row r="294" spans="1:12">
      <c r="A294" s="275" t="s">
        <v>2872</v>
      </c>
      <c r="B294" s="275" t="s">
        <v>3075</v>
      </c>
      <c r="C294" s="275" t="s">
        <v>3619</v>
      </c>
      <c r="D294" s="275" t="s">
        <v>3056</v>
      </c>
      <c r="E294" s="275" t="s">
        <v>2802</v>
      </c>
      <c r="F294" s="278">
        <v>31359</v>
      </c>
      <c r="G294" s="275" t="s">
        <v>2803</v>
      </c>
      <c r="H294" s="276">
        <v>12.94</v>
      </c>
      <c r="I294" s="276">
        <v>77.760000000000005</v>
      </c>
      <c r="J294" s="276">
        <v>12.13</v>
      </c>
      <c r="K294" s="276">
        <f t="shared" si="4"/>
        <v>0.80999999999999872</v>
      </c>
      <c r="L294" s="335"/>
    </row>
    <row r="295" spans="1:12">
      <c r="A295" s="275" t="s">
        <v>2850</v>
      </c>
      <c r="B295" s="275" t="s">
        <v>3361</v>
      </c>
      <c r="C295" s="275" t="s">
        <v>3618</v>
      </c>
      <c r="D295" s="275" t="s">
        <v>3056</v>
      </c>
      <c r="E295" s="275" t="s">
        <v>2802</v>
      </c>
      <c r="F295" s="278">
        <v>31371</v>
      </c>
      <c r="G295" s="275" t="s">
        <v>2803</v>
      </c>
      <c r="H295" s="276">
        <v>14.9</v>
      </c>
      <c r="I295" s="276">
        <v>41.87</v>
      </c>
      <c r="J295" s="276">
        <v>12.01</v>
      </c>
      <c r="K295" s="276">
        <f t="shared" si="4"/>
        <v>2.8900000000000006</v>
      </c>
      <c r="L295" s="335"/>
    </row>
    <row r="296" spans="1:12">
      <c r="A296" s="275" t="s">
        <v>2811</v>
      </c>
      <c r="B296" s="275" t="s">
        <v>2814</v>
      </c>
      <c r="C296" s="275" t="s">
        <v>3617</v>
      </c>
      <c r="D296" s="275" t="s">
        <v>3056</v>
      </c>
      <c r="E296" s="275" t="s">
        <v>2802</v>
      </c>
      <c r="F296" s="278">
        <v>31376</v>
      </c>
      <c r="G296" s="275" t="s">
        <v>2803</v>
      </c>
      <c r="H296" s="276">
        <v>13.3</v>
      </c>
      <c r="I296" s="276">
        <v>50</v>
      </c>
      <c r="J296" s="276">
        <v>12.01</v>
      </c>
      <c r="K296" s="276">
        <f t="shared" si="4"/>
        <v>1.2900000000000009</v>
      </c>
      <c r="L296" s="335"/>
    </row>
    <row r="297" spans="1:12">
      <c r="A297" s="275" t="s">
        <v>2856</v>
      </c>
      <c r="B297" s="275" t="s">
        <v>3129</v>
      </c>
      <c r="C297" s="275" t="s">
        <v>3616</v>
      </c>
      <c r="D297" s="275" t="s">
        <v>3056</v>
      </c>
      <c r="E297" s="275" t="s">
        <v>2802</v>
      </c>
      <c r="F297" s="278">
        <v>31387</v>
      </c>
      <c r="G297" s="275" t="s">
        <v>2803</v>
      </c>
      <c r="H297" s="276">
        <v>12</v>
      </c>
      <c r="I297" s="276">
        <v>31.84</v>
      </c>
      <c r="J297" s="276">
        <v>12.01</v>
      </c>
      <c r="K297" s="276">
        <f t="shared" si="4"/>
        <v>-9.9999999999997868E-3</v>
      </c>
      <c r="L297" s="335"/>
    </row>
    <row r="298" spans="1:12">
      <c r="A298" s="275" t="s">
        <v>2850</v>
      </c>
      <c r="B298" s="275" t="s">
        <v>3328</v>
      </c>
      <c r="C298" s="275" t="s">
        <v>3615</v>
      </c>
      <c r="D298" s="275" t="s">
        <v>3056</v>
      </c>
      <c r="E298" s="275" t="s">
        <v>2802</v>
      </c>
      <c r="F298" s="278">
        <v>31392</v>
      </c>
      <c r="G298" s="275" t="s">
        <v>2803</v>
      </c>
      <c r="H298" s="276">
        <v>14.9</v>
      </c>
      <c r="I298" s="276">
        <v>46.04</v>
      </c>
      <c r="J298" s="276">
        <v>12.01</v>
      </c>
      <c r="K298" s="276">
        <f t="shared" si="4"/>
        <v>2.8900000000000006</v>
      </c>
      <c r="L298" s="335"/>
    </row>
    <row r="299" spans="1:12">
      <c r="A299" s="275" t="s">
        <v>2844</v>
      </c>
      <c r="B299" s="275" t="s">
        <v>2848</v>
      </c>
      <c r="C299" s="275" t="s">
        <v>3613</v>
      </c>
      <c r="D299" s="275" t="s">
        <v>3056</v>
      </c>
      <c r="E299" s="275" t="s">
        <v>2802</v>
      </c>
      <c r="F299" s="278">
        <v>31401</v>
      </c>
      <c r="G299" s="275" t="s">
        <v>2803</v>
      </c>
      <c r="H299" s="276">
        <v>15</v>
      </c>
      <c r="I299" s="276">
        <v>48</v>
      </c>
      <c r="J299" s="276">
        <v>11.51</v>
      </c>
      <c r="K299" s="276">
        <f t="shared" si="4"/>
        <v>3.49</v>
      </c>
      <c r="L299" s="335"/>
    </row>
    <row r="300" spans="1:12">
      <c r="A300" s="275" t="s">
        <v>2809</v>
      </c>
      <c r="B300" s="275" t="s">
        <v>3142</v>
      </c>
      <c r="C300" s="275" t="s">
        <v>3612</v>
      </c>
      <c r="D300" s="275" t="s">
        <v>3056</v>
      </c>
      <c r="E300" s="275" t="s">
        <v>2802</v>
      </c>
      <c r="F300" s="278">
        <v>31401</v>
      </c>
      <c r="G300" s="275" t="s">
        <v>2803</v>
      </c>
      <c r="H300" s="276">
        <v>15</v>
      </c>
      <c r="I300" s="276">
        <v>43.75</v>
      </c>
      <c r="J300" s="276">
        <v>11.51</v>
      </c>
      <c r="K300" s="276">
        <f t="shared" si="4"/>
        <v>3.49</v>
      </c>
      <c r="L300" s="335"/>
    </row>
    <row r="301" spans="1:12">
      <c r="A301" s="275" t="s">
        <v>2808</v>
      </c>
      <c r="B301" s="275" t="s">
        <v>3409</v>
      </c>
      <c r="C301" s="275" t="s">
        <v>3614</v>
      </c>
      <c r="D301" s="275" t="s">
        <v>3056</v>
      </c>
      <c r="E301" s="275" t="s">
        <v>2802</v>
      </c>
      <c r="F301" s="278">
        <v>31401</v>
      </c>
      <c r="G301" s="275" t="s">
        <v>2803</v>
      </c>
      <c r="H301" s="276">
        <v>14.88</v>
      </c>
      <c r="I301" s="276">
        <v>54.24</v>
      </c>
      <c r="J301" s="276">
        <v>11.51</v>
      </c>
      <c r="K301" s="276">
        <f t="shared" si="4"/>
        <v>3.370000000000001</v>
      </c>
      <c r="L301" s="335"/>
    </row>
    <row r="302" spans="1:12">
      <c r="A302" s="275" t="s">
        <v>2871</v>
      </c>
      <c r="B302" s="275" t="s">
        <v>3079</v>
      </c>
      <c r="C302" s="275" t="s">
        <v>3610</v>
      </c>
      <c r="D302" s="275" t="s">
        <v>3056</v>
      </c>
      <c r="E302" s="275" t="s">
        <v>2802</v>
      </c>
      <c r="F302" s="278">
        <v>31412</v>
      </c>
      <c r="G302" s="275" t="s">
        <v>2803</v>
      </c>
      <c r="H302" s="276">
        <v>14.5</v>
      </c>
      <c r="I302" s="276">
        <v>48.96</v>
      </c>
      <c r="J302" s="276">
        <v>11.51</v>
      </c>
      <c r="K302" s="276">
        <f t="shared" si="4"/>
        <v>2.99</v>
      </c>
      <c r="L302" s="335"/>
    </row>
    <row r="303" spans="1:12">
      <c r="A303" s="275" t="s">
        <v>2857</v>
      </c>
      <c r="B303" s="275" t="s">
        <v>4023</v>
      </c>
      <c r="C303" s="275" t="s">
        <v>3611</v>
      </c>
      <c r="D303" s="275" t="s">
        <v>3056</v>
      </c>
      <c r="E303" s="275" t="s">
        <v>2802</v>
      </c>
      <c r="F303" s="278">
        <v>31412</v>
      </c>
      <c r="G303" s="275" t="s">
        <v>2803</v>
      </c>
      <c r="H303" s="276">
        <v>14</v>
      </c>
      <c r="I303" s="276">
        <v>45.56</v>
      </c>
      <c r="J303" s="276">
        <v>11.51</v>
      </c>
      <c r="K303" s="276">
        <f t="shared" si="4"/>
        <v>2.4900000000000002</v>
      </c>
      <c r="L303" s="335"/>
    </row>
    <row r="304" spans="1:12">
      <c r="A304" s="275" t="s">
        <v>2808</v>
      </c>
      <c r="B304" s="275" t="s">
        <v>3129</v>
      </c>
      <c r="C304" s="275" t="s">
        <v>3609</v>
      </c>
      <c r="D304" s="275" t="s">
        <v>3056</v>
      </c>
      <c r="E304" s="275" t="s">
        <v>2802</v>
      </c>
      <c r="F304" s="278">
        <v>31429</v>
      </c>
      <c r="G304" s="275" t="s">
        <v>2803</v>
      </c>
      <c r="H304" s="276">
        <v>14.5</v>
      </c>
      <c r="I304" s="276">
        <v>54</v>
      </c>
      <c r="J304" s="276">
        <v>11.01</v>
      </c>
      <c r="K304" s="276">
        <f t="shared" si="4"/>
        <v>3.49</v>
      </c>
      <c r="L304" s="335"/>
    </row>
    <row r="305" spans="1:12">
      <c r="A305" s="275" t="s">
        <v>2811</v>
      </c>
      <c r="B305" s="275" t="s">
        <v>2815</v>
      </c>
      <c r="C305" s="275" t="s">
        <v>3608</v>
      </c>
      <c r="D305" s="275" t="s">
        <v>3056</v>
      </c>
      <c r="E305" s="275" t="s">
        <v>2802</v>
      </c>
      <c r="F305" s="278">
        <v>31454</v>
      </c>
      <c r="G305" s="275" t="s">
        <v>2803</v>
      </c>
      <c r="H305" s="276">
        <v>12.5</v>
      </c>
      <c r="I305" s="276">
        <v>43.01</v>
      </c>
      <c r="J305" s="276">
        <v>11.01</v>
      </c>
      <c r="K305" s="276">
        <f t="shared" si="4"/>
        <v>1.4900000000000002</v>
      </c>
      <c r="L305" s="335"/>
    </row>
    <row r="306" spans="1:12">
      <c r="A306" s="275" t="s">
        <v>2873</v>
      </c>
      <c r="B306" s="275" t="s">
        <v>3972</v>
      </c>
      <c r="C306" s="275" t="s">
        <v>3607</v>
      </c>
      <c r="D306" s="275" t="s">
        <v>3056</v>
      </c>
      <c r="E306" s="275" t="s">
        <v>2802</v>
      </c>
      <c r="F306" s="278">
        <v>31455</v>
      </c>
      <c r="G306" s="275" t="s">
        <v>2803</v>
      </c>
      <c r="H306" s="276">
        <v>15.2</v>
      </c>
      <c r="I306" s="276">
        <v>51.5</v>
      </c>
      <c r="J306" s="276">
        <v>11.01</v>
      </c>
      <c r="K306" s="276">
        <f t="shared" si="4"/>
        <v>4.1899999999999995</v>
      </c>
      <c r="L306" s="335"/>
    </row>
    <row r="307" spans="1:12">
      <c r="A307" s="275" t="s">
        <v>2851</v>
      </c>
      <c r="B307" s="275" t="s">
        <v>4030</v>
      </c>
      <c r="C307" s="275" t="s">
        <v>3606</v>
      </c>
      <c r="D307" s="275" t="s">
        <v>3056</v>
      </c>
      <c r="E307" s="275" t="s">
        <v>2802</v>
      </c>
      <c r="F307" s="278">
        <v>31482</v>
      </c>
      <c r="G307" s="275" t="s">
        <v>2803</v>
      </c>
      <c r="H307" s="276">
        <v>14</v>
      </c>
      <c r="I307" s="276">
        <v>33.14</v>
      </c>
      <c r="J307" s="276">
        <v>10.8</v>
      </c>
      <c r="K307" s="276">
        <f t="shared" si="4"/>
        <v>3.1999999999999993</v>
      </c>
      <c r="L307" s="335"/>
    </row>
    <row r="308" spans="1:12">
      <c r="A308" s="275" t="s">
        <v>2811</v>
      </c>
      <c r="B308" s="275" t="s">
        <v>4014</v>
      </c>
      <c r="C308" s="275" t="s">
        <v>3605</v>
      </c>
      <c r="D308" s="275" t="s">
        <v>3056</v>
      </c>
      <c r="E308" s="275" t="s">
        <v>2802</v>
      </c>
      <c r="F308" s="278">
        <v>31504</v>
      </c>
      <c r="G308" s="275" t="s">
        <v>2803</v>
      </c>
      <c r="H308" s="276">
        <v>12.9</v>
      </c>
      <c r="I308" s="276">
        <v>52.19</v>
      </c>
      <c r="J308" s="276">
        <v>10.32</v>
      </c>
      <c r="K308" s="276">
        <f t="shared" si="4"/>
        <v>2.58</v>
      </c>
      <c r="L308" s="335"/>
    </row>
    <row r="309" spans="1:12">
      <c r="A309" s="275" t="s">
        <v>2816</v>
      </c>
      <c r="B309" s="275" t="s">
        <v>2817</v>
      </c>
      <c r="C309" s="275" t="s">
        <v>3604</v>
      </c>
      <c r="D309" s="275" t="s">
        <v>3056</v>
      </c>
      <c r="E309" s="275" t="s">
        <v>2802</v>
      </c>
      <c r="F309" s="278">
        <v>31530</v>
      </c>
      <c r="G309" s="275" t="s">
        <v>2803</v>
      </c>
      <c r="H309" s="276">
        <v>13.01</v>
      </c>
      <c r="I309" s="276">
        <v>33.83</v>
      </c>
      <c r="J309" s="276">
        <v>9.51</v>
      </c>
      <c r="K309" s="276">
        <f t="shared" si="4"/>
        <v>3.5</v>
      </c>
      <c r="L309" s="335"/>
    </row>
    <row r="310" spans="1:12">
      <c r="A310" s="275" t="s">
        <v>2838</v>
      </c>
      <c r="B310" s="275" t="s">
        <v>3129</v>
      </c>
      <c r="C310" s="275" t="s">
        <v>3603</v>
      </c>
      <c r="D310" s="275" t="s">
        <v>3056</v>
      </c>
      <c r="E310" s="275" t="s">
        <v>2802</v>
      </c>
      <c r="F310" s="278">
        <v>31560</v>
      </c>
      <c r="G310" s="275" t="s">
        <v>2803</v>
      </c>
      <c r="H310" s="276">
        <v>14</v>
      </c>
      <c r="I310" s="276" t="s">
        <v>1447</v>
      </c>
      <c r="J310" s="276">
        <v>9.1300000000000008</v>
      </c>
      <c r="K310" s="276">
        <f t="shared" si="4"/>
        <v>4.8699999999999992</v>
      </c>
      <c r="L310" s="335"/>
    </row>
    <row r="311" spans="1:12">
      <c r="A311" s="275" t="s">
        <v>2809</v>
      </c>
      <c r="B311" s="275" t="s">
        <v>2810</v>
      </c>
      <c r="C311" s="275" t="s">
        <v>3602</v>
      </c>
      <c r="D311" s="275" t="s">
        <v>3056</v>
      </c>
      <c r="E311" s="275" t="s">
        <v>2802</v>
      </c>
      <c r="F311" s="278">
        <v>31561</v>
      </c>
      <c r="G311" s="275" t="s">
        <v>2803</v>
      </c>
      <c r="H311" s="276">
        <v>13.9</v>
      </c>
      <c r="I311" s="276">
        <v>49</v>
      </c>
      <c r="J311" s="276">
        <v>9.1300000000000008</v>
      </c>
      <c r="K311" s="276">
        <f t="shared" si="4"/>
        <v>4.7699999999999996</v>
      </c>
      <c r="L311" s="335"/>
    </row>
    <row r="312" spans="1:12">
      <c r="A312" s="275" t="s">
        <v>2846</v>
      </c>
      <c r="B312" s="275" t="s">
        <v>4022</v>
      </c>
      <c r="C312" s="275" t="s">
        <v>3601</v>
      </c>
      <c r="D312" s="275" t="s">
        <v>3056</v>
      </c>
      <c r="E312" s="275" t="s">
        <v>2802</v>
      </c>
      <c r="F312" s="278">
        <v>31565</v>
      </c>
      <c r="G312" s="275" t="s">
        <v>2803</v>
      </c>
      <c r="H312" s="276">
        <v>13</v>
      </c>
      <c r="I312" s="276">
        <v>39.83</v>
      </c>
      <c r="J312" s="276">
        <v>9.1300000000000008</v>
      </c>
      <c r="K312" s="276">
        <f t="shared" si="4"/>
        <v>3.8699999999999992</v>
      </c>
      <c r="L312" s="335"/>
    </row>
    <row r="313" spans="1:12">
      <c r="A313" s="275" t="s">
        <v>2830</v>
      </c>
      <c r="B313" s="275" t="s">
        <v>4018</v>
      </c>
      <c r="C313" s="275" t="s">
        <v>3600</v>
      </c>
      <c r="D313" s="275" t="s">
        <v>3056</v>
      </c>
      <c r="E313" s="275" t="s">
        <v>2802</v>
      </c>
      <c r="F313" s="278">
        <v>31574</v>
      </c>
      <c r="G313" s="275" t="s">
        <v>2803</v>
      </c>
      <c r="H313" s="276">
        <v>14</v>
      </c>
      <c r="I313" s="276">
        <v>39.520000000000003</v>
      </c>
      <c r="J313" s="276">
        <v>9.1300000000000008</v>
      </c>
      <c r="K313" s="276">
        <f t="shared" si="4"/>
        <v>4.8699999999999992</v>
      </c>
      <c r="L313" s="335"/>
    </row>
    <row r="314" spans="1:12">
      <c r="A314" s="275" t="s">
        <v>2813</v>
      </c>
      <c r="B314" s="275" t="s">
        <v>3385</v>
      </c>
      <c r="C314" s="275" t="s">
        <v>3599</v>
      </c>
      <c r="D314" s="275" t="s">
        <v>3056</v>
      </c>
      <c r="E314" s="275" t="s">
        <v>2802</v>
      </c>
      <c r="F314" s="278">
        <v>31576</v>
      </c>
      <c r="G314" s="275" t="s">
        <v>2803</v>
      </c>
      <c r="H314" s="276">
        <v>13.55</v>
      </c>
      <c r="I314" s="276">
        <v>36.96</v>
      </c>
      <c r="J314" s="276">
        <v>9.1300000000000008</v>
      </c>
      <c r="K314" s="276">
        <f t="shared" si="4"/>
        <v>4.42</v>
      </c>
      <c r="L314" s="335"/>
    </row>
    <row r="315" spans="1:12">
      <c r="A315" s="275" t="s">
        <v>2816</v>
      </c>
      <c r="B315" s="275" t="s">
        <v>2817</v>
      </c>
      <c r="C315" s="275" t="s">
        <v>3598</v>
      </c>
      <c r="D315" s="275" t="s">
        <v>3056</v>
      </c>
      <c r="E315" s="275" t="s">
        <v>2802</v>
      </c>
      <c r="F315" s="278">
        <v>31590</v>
      </c>
      <c r="G315" s="275" t="s">
        <v>2803</v>
      </c>
      <c r="H315" s="276">
        <v>11.88</v>
      </c>
      <c r="I315" s="276">
        <v>45</v>
      </c>
      <c r="J315" s="276">
        <v>9.57</v>
      </c>
      <c r="K315" s="276">
        <f t="shared" si="4"/>
        <v>2.3100000000000005</v>
      </c>
      <c r="L315" s="335"/>
    </row>
    <row r="316" spans="1:12">
      <c r="A316" s="275" t="s">
        <v>2811</v>
      </c>
      <c r="B316" s="275" t="s">
        <v>4017</v>
      </c>
      <c r="C316" s="275" t="s">
        <v>3597</v>
      </c>
      <c r="D316" s="275" t="s">
        <v>3056</v>
      </c>
      <c r="E316" s="275" t="s">
        <v>2802</v>
      </c>
      <c r="F316" s="278">
        <v>31607</v>
      </c>
      <c r="G316" s="275" t="s">
        <v>2803</v>
      </c>
      <c r="H316" s="276">
        <v>12.6</v>
      </c>
      <c r="I316" s="276">
        <v>45.86</v>
      </c>
      <c r="J316" s="276">
        <v>9.57</v>
      </c>
      <c r="K316" s="276">
        <f t="shared" si="4"/>
        <v>3.0299999999999994</v>
      </c>
      <c r="L316" s="335"/>
    </row>
    <row r="317" spans="1:12">
      <c r="A317" s="275" t="s">
        <v>2819</v>
      </c>
      <c r="B317" s="275" t="s">
        <v>3515</v>
      </c>
      <c r="C317" s="275" t="s">
        <v>3596</v>
      </c>
      <c r="D317" s="275" t="s">
        <v>3056</v>
      </c>
      <c r="E317" s="275" t="s">
        <v>2802</v>
      </c>
      <c r="F317" s="278">
        <v>31623</v>
      </c>
      <c r="G317" s="275" t="s">
        <v>2803</v>
      </c>
      <c r="H317" s="276">
        <v>13.3</v>
      </c>
      <c r="I317" s="276">
        <v>45.41</v>
      </c>
      <c r="J317" s="276">
        <v>9.65</v>
      </c>
      <c r="K317" s="276">
        <f t="shared" si="4"/>
        <v>3.6500000000000004</v>
      </c>
      <c r="L317" s="335"/>
    </row>
    <row r="318" spans="1:12">
      <c r="A318" s="275" t="s">
        <v>2809</v>
      </c>
      <c r="B318" s="275" t="s">
        <v>2854</v>
      </c>
      <c r="C318" s="275" t="s">
        <v>3595</v>
      </c>
      <c r="D318" s="275" t="s">
        <v>3056</v>
      </c>
      <c r="E318" s="275" t="s">
        <v>2802</v>
      </c>
      <c r="F318" s="278">
        <v>31638</v>
      </c>
      <c r="G318" s="275" t="s">
        <v>2803</v>
      </c>
      <c r="H318" s="276">
        <v>13.5</v>
      </c>
      <c r="I318" s="276">
        <v>46.78</v>
      </c>
      <c r="J318" s="276">
        <v>9.65</v>
      </c>
      <c r="K318" s="276">
        <f t="shared" si="4"/>
        <v>3.8499999999999996</v>
      </c>
      <c r="L318" s="335"/>
    </row>
    <row r="319" spans="1:12">
      <c r="A319" s="275" t="s">
        <v>2840</v>
      </c>
      <c r="B319" s="275" t="s">
        <v>3079</v>
      </c>
      <c r="C319" s="275" t="s">
        <v>3594</v>
      </c>
      <c r="D319" s="275" t="s">
        <v>3056</v>
      </c>
      <c r="E319" s="275" t="s">
        <v>2802</v>
      </c>
      <c r="F319" s="278">
        <v>31660</v>
      </c>
      <c r="G319" s="275" t="s">
        <v>2803</v>
      </c>
      <c r="H319" s="276">
        <v>13.3</v>
      </c>
      <c r="I319" s="276">
        <v>54.1</v>
      </c>
      <c r="J319" s="276">
        <v>9.35</v>
      </c>
      <c r="K319" s="276">
        <f t="shared" si="4"/>
        <v>3.9500000000000011</v>
      </c>
      <c r="L319" s="335"/>
    </row>
    <row r="320" spans="1:12">
      <c r="A320" s="275" t="s">
        <v>2806</v>
      </c>
      <c r="B320" s="275" t="s">
        <v>3081</v>
      </c>
      <c r="C320" s="275" t="s">
        <v>3593</v>
      </c>
      <c r="D320" s="275" t="s">
        <v>3056</v>
      </c>
      <c r="E320" s="275" t="s">
        <v>2802</v>
      </c>
      <c r="F320" s="278">
        <v>31678</v>
      </c>
      <c r="G320" s="275" t="s">
        <v>2803</v>
      </c>
      <c r="H320" s="276">
        <v>12.75</v>
      </c>
      <c r="I320" s="276">
        <v>45.47</v>
      </c>
      <c r="J320" s="276">
        <v>9.31</v>
      </c>
      <c r="K320" s="276">
        <f t="shared" si="4"/>
        <v>3.4399999999999995</v>
      </c>
      <c r="L320" s="335"/>
    </row>
    <row r="321" spans="1:12">
      <c r="A321" s="275" t="s">
        <v>2804</v>
      </c>
      <c r="B321" s="275" t="s">
        <v>3540</v>
      </c>
      <c r="C321" s="275" t="s">
        <v>3592</v>
      </c>
      <c r="D321" s="275" t="s">
        <v>3056</v>
      </c>
      <c r="E321" s="275" t="s">
        <v>2802</v>
      </c>
      <c r="F321" s="278">
        <v>31715</v>
      </c>
      <c r="G321" s="275" t="s">
        <v>2803</v>
      </c>
      <c r="H321" s="276">
        <v>13</v>
      </c>
      <c r="I321" s="276">
        <v>61.2</v>
      </c>
      <c r="J321" s="276">
        <v>9.5</v>
      </c>
      <c r="K321" s="276">
        <f t="shared" si="4"/>
        <v>3.5</v>
      </c>
      <c r="L321" s="335"/>
    </row>
    <row r="322" spans="1:12">
      <c r="A322" s="275" t="s">
        <v>2835</v>
      </c>
      <c r="B322" s="275" t="s">
        <v>3075</v>
      </c>
      <c r="C322" s="275" t="s">
        <v>3591</v>
      </c>
      <c r="D322" s="275" t="s">
        <v>3056</v>
      </c>
      <c r="E322" s="275" t="s">
        <v>2802</v>
      </c>
      <c r="F322" s="278">
        <v>31716</v>
      </c>
      <c r="G322" s="275" t="s">
        <v>2803</v>
      </c>
      <c r="H322" s="276">
        <v>13.75</v>
      </c>
      <c r="I322" s="276">
        <v>53.46</v>
      </c>
      <c r="J322" s="276">
        <v>9.5</v>
      </c>
      <c r="K322" s="276">
        <f t="shared" si="4"/>
        <v>4.25</v>
      </c>
      <c r="L322" s="335"/>
    </row>
    <row r="323" spans="1:12">
      <c r="A323" s="275" t="s">
        <v>2850</v>
      </c>
      <c r="B323" s="275" t="s">
        <v>3472</v>
      </c>
      <c r="C323" s="275" t="s">
        <v>3590</v>
      </c>
      <c r="D323" s="275" t="s">
        <v>3056</v>
      </c>
      <c r="E323" s="275" t="s">
        <v>2802</v>
      </c>
      <c r="F323" s="278">
        <v>31726</v>
      </c>
      <c r="G323" s="275" t="s">
        <v>2803</v>
      </c>
      <c r="H323" s="276">
        <v>14</v>
      </c>
      <c r="I323" s="276">
        <v>43.59</v>
      </c>
      <c r="J323" s="276">
        <v>9.5</v>
      </c>
      <c r="K323" s="276">
        <f t="shared" si="4"/>
        <v>4.5</v>
      </c>
      <c r="L323" s="335"/>
    </row>
    <row r="324" spans="1:12">
      <c r="A324" s="275" t="s">
        <v>2850</v>
      </c>
      <c r="B324" s="275" t="s">
        <v>3361</v>
      </c>
      <c r="C324" s="275" t="s">
        <v>3589</v>
      </c>
      <c r="D324" s="275" t="s">
        <v>3056</v>
      </c>
      <c r="E324" s="275" t="s">
        <v>2802</v>
      </c>
      <c r="F324" s="278">
        <v>31735</v>
      </c>
      <c r="G324" s="275" t="s">
        <v>2803</v>
      </c>
      <c r="H324" s="276">
        <v>13.75</v>
      </c>
      <c r="I324" s="276">
        <v>40.57</v>
      </c>
      <c r="J324" s="276">
        <v>9.5299999999999994</v>
      </c>
      <c r="K324" s="276">
        <f t="shared" si="4"/>
        <v>4.2200000000000006</v>
      </c>
      <c r="L324" s="335"/>
    </row>
    <row r="325" spans="1:12">
      <c r="A325" s="275" t="s">
        <v>2804</v>
      </c>
      <c r="B325" s="275" t="s">
        <v>4014</v>
      </c>
      <c r="C325" s="275" t="s">
        <v>3588</v>
      </c>
      <c r="D325" s="275" t="s">
        <v>3056</v>
      </c>
      <c r="E325" s="275" t="s">
        <v>2802</v>
      </c>
      <c r="F325" s="278">
        <v>31741</v>
      </c>
      <c r="G325" s="275" t="s">
        <v>2803</v>
      </c>
      <c r="H325" s="276">
        <v>13.15</v>
      </c>
      <c r="I325" s="276">
        <v>51.2</v>
      </c>
      <c r="J325" s="276">
        <v>9.5299999999999994</v>
      </c>
      <c r="K325" s="276">
        <f t="shared" si="4"/>
        <v>3.620000000000001</v>
      </c>
      <c r="L325" s="335"/>
    </row>
    <row r="326" spans="1:12">
      <c r="A326" s="275" t="s">
        <v>2844</v>
      </c>
      <c r="B326" s="275" t="s">
        <v>2864</v>
      </c>
      <c r="C326" s="275" t="s">
        <v>3587</v>
      </c>
      <c r="D326" s="275" t="s">
        <v>3056</v>
      </c>
      <c r="E326" s="275" t="s">
        <v>2802</v>
      </c>
      <c r="F326" s="278">
        <v>31768</v>
      </c>
      <c r="G326" s="275" t="s">
        <v>2803</v>
      </c>
      <c r="H326" s="276">
        <v>13.8</v>
      </c>
      <c r="I326" s="276">
        <v>44.5</v>
      </c>
      <c r="J326" s="276">
        <v>9.2899999999999991</v>
      </c>
      <c r="K326" s="276">
        <f t="shared" ref="K326:K389" si="5">H326-J326</f>
        <v>4.5100000000000016</v>
      </c>
      <c r="L326" s="335"/>
    </row>
    <row r="327" spans="1:12">
      <c r="A327" s="275" t="s">
        <v>2809</v>
      </c>
      <c r="B327" s="275" t="s">
        <v>3142</v>
      </c>
      <c r="C327" s="275" t="s">
        <v>3586</v>
      </c>
      <c r="D327" s="275" t="s">
        <v>3056</v>
      </c>
      <c r="E327" s="275" t="s">
        <v>2802</v>
      </c>
      <c r="F327" s="278">
        <v>31776</v>
      </c>
      <c r="G327" s="275" t="s">
        <v>2803</v>
      </c>
      <c r="H327" s="276">
        <v>13.9</v>
      </c>
      <c r="I327" s="276">
        <v>45.86</v>
      </c>
      <c r="J327" s="276">
        <v>9.2899999999999991</v>
      </c>
      <c r="K327" s="276">
        <f t="shared" si="5"/>
        <v>4.6100000000000012</v>
      </c>
      <c r="L327" s="335"/>
    </row>
    <row r="328" spans="1:12">
      <c r="A328" s="275" t="s">
        <v>2857</v>
      </c>
      <c r="B328" s="275" t="s">
        <v>3099</v>
      </c>
      <c r="C328" s="275" t="s">
        <v>3585</v>
      </c>
      <c r="D328" s="275" t="s">
        <v>3056</v>
      </c>
      <c r="E328" s="275" t="s">
        <v>2802</v>
      </c>
      <c r="F328" s="278">
        <v>31797</v>
      </c>
      <c r="G328" s="275" t="s">
        <v>2803</v>
      </c>
      <c r="H328" s="276">
        <v>12.75</v>
      </c>
      <c r="I328" s="276">
        <v>37.799999999999997</v>
      </c>
      <c r="J328" s="276">
        <v>9.1199999999999992</v>
      </c>
      <c r="K328" s="276">
        <f t="shared" si="5"/>
        <v>3.6300000000000008</v>
      </c>
      <c r="L328" s="335"/>
    </row>
    <row r="329" spans="1:12">
      <c r="A329" s="275" t="s">
        <v>2857</v>
      </c>
      <c r="B329" s="275" t="s">
        <v>4023</v>
      </c>
      <c r="C329" s="275" t="s">
        <v>3584</v>
      </c>
      <c r="D329" s="275" t="s">
        <v>3056</v>
      </c>
      <c r="E329" s="275" t="s">
        <v>2802</v>
      </c>
      <c r="F329" s="278">
        <v>31804</v>
      </c>
      <c r="G329" s="275" t="s">
        <v>2803</v>
      </c>
      <c r="H329" s="276">
        <v>12.16</v>
      </c>
      <c r="I329" s="276">
        <v>45</v>
      </c>
      <c r="J329" s="276">
        <v>9.1199999999999992</v>
      </c>
      <c r="K329" s="276">
        <f t="shared" si="5"/>
        <v>3.0400000000000009</v>
      </c>
      <c r="L329" s="335"/>
    </row>
    <row r="330" spans="1:12">
      <c r="A330" s="275" t="s">
        <v>2873</v>
      </c>
      <c r="B330" s="275" t="s">
        <v>3075</v>
      </c>
      <c r="C330" s="275" t="s">
        <v>3583</v>
      </c>
      <c r="D330" s="275" t="s">
        <v>3056</v>
      </c>
      <c r="E330" s="275" t="s">
        <v>2802</v>
      </c>
      <c r="F330" s="278">
        <v>31821</v>
      </c>
      <c r="G330" s="275" t="s">
        <v>2803</v>
      </c>
      <c r="H330" s="276">
        <v>12.6</v>
      </c>
      <c r="I330" s="276">
        <v>45.8</v>
      </c>
      <c r="J330" s="276">
        <v>9.1199999999999992</v>
      </c>
      <c r="K330" s="276">
        <f t="shared" si="5"/>
        <v>3.4800000000000004</v>
      </c>
      <c r="L330" s="335"/>
    </row>
    <row r="331" spans="1:12">
      <c r="A331" s="275" t="s">
        <v>2838</v>
      </c>
      <c r="B331" s="275" t="s">
        <v>3075</v>
      </c>
      <c r="C331" s="275" t="s">
        <v>3582</v>
      </c>
      <c r="D331" s="275" t="s">
        <v>3056</v>
      </c>
      <c r="E331" s="275" t="s">
        <v>2802</v>
      </c>
      <c r="F331" s="278">
        <v>31832</v>
      </c>
      <c r="G331" s="275" t="s">
        <v>2803</v>
      </c>
      <c r="H331" s="276">
        <v>12</v>
      </c>
      <c r="I331" s="276" t="s">
        <v>1447</v>
      </c>
      <c r="J331" s="276">
        <v>8.94</v>
      </c>
      <c r="K331" s="276">
        <f t="shared" si="5"/>
        <v>3.0600000000000005</v>
      </c>
      <c r="L331" s="335"/>
    </row>
    <row r="332" spans="1:12">
      <c r="A332" s="275" t="s">
        <v>2816</v>
      </c>
      <c r="B332" s="275" t="s">
        <v>3453</v>
      </c>
      <c r="C332" s="275" t="s">
        <v>3581</v>
      </c>
      <c r="D332" s="275" t="s">
        <v>3056</v>
      </c>
      <c r="E332" s="275" t="s">
        <v>2802</v>
      </c>
      <c r="F332" s="278">
        <v>31866</v>
      </c>
      <c r="G332" s="275" t="s">
        <v>2803</v>
      </c>
      <c r="H332" s="276">
        <v>12.2</v>
      </c>
      <c r="I332" s="276">
        <v>37.119999999999997</v>
      </c>
      <c r="J332" s="276">
        <v>9</v>
      </c>
      <c r="K332" s="276">
        <f t="shared" si="5"/>
        <v>3.1999999999999993</v>
      </c>
      <c r="L332" s="335"/>
    </row>
    <row r="333" spans="1:12">
      <c r="A333" s="275" t="s">
        <v>2805</v>
      </c>
      <c r="B333" s="275" t="s">
        <v>2829</v>
      </c>
      <c r="C333" s="275" t="s">
        <v>3580</v>
      </c>
      <c r="D333" s="275" t="s">
        <v>3056</v>
      </c>
      <c r="E333" s="275" t="s">
        <v>2802</v>
      </c>
      <c r="F333" s="278">
        <v>31902</v>
      </c>
      <c r="G333" s="275" t="s">
        <v>2803</v>
      </c>
      <c r="H333" s="276">
        <v>12.85</v>
      </c>
      <c r="I333" s="276">
        <v>42.98</v>
      </c>
      <c r="J333" s="276">
        <v>8.93</v>
      </c>
      <c r="K333" s="276">
        <f t="shared" si="5"/>
        <v>3.92</v>
      </c>
      <c r="L333" s="335"/>
    </row>
    <row r="334" spans="1:12">
      <c r="A334" s="275" t="s">
        <v>2809</v>
      </c>
      <c r="B334" s="275" t="s">
        <v>2810</v>
      </c>
      <c r="C334" s="275" t="s">
        <v>3579</v>
      </c>
      <c r="D334" s="275" t="s">
        <v>3056</v>
      </c>
      <c r="E334" s="275" t="s">
        <v>2802</v>
      </c>
      <c r="F334" s="278">
        <v>31925</v>
      </c>
      <c r="G334" s="275" t="s">
        <v>2803</v>
      </c>
      <c r="H334" s="276">
        <v>13.5</v>
      </c>
      <c r="I334" s="276">
        <v>47.9</v>
      </c>
      <c r="J334" s="276">
        <v>9.35</v>
      </c>
      <c r="K334" s="276">
        <f t="shared" si="5"/>
        <v>4.1500000000000004</v>
      </c>
      <c r="L334" s="335"/>
    </row>
    <row r="335" spans="1:12">
      <c r="A335" s="275" t="s">
        <v>2811</v>
      </c>
      <c r="B335" s="275" t="s">
        <v>4017</v>
      </c>
      <c r="C335" s="275" t="s">
        <v>3578</v>
      </c>
      <c r="D335" s="275" t="s">
        <v>3056</v>
      </c>
      <c r="E335" s="275" t="s">
        <v>2802</v>
      </c>
      <c r="F335" s="278">
        <v>31943</v>
      </c>
      <c r="G335" s="275" t="s">
        <v>2803</v>
      </c>
      <c r="H335" s="276">
        <v>13.2</v>
      </c>
      <c r="I335" s="276">
        <v>36.9</v>
      </c>
      <c r="J335" s="276">
        <v>9.8699999999999992</v>
      </c>
      <c r="K335" s="276">
        <f t="shared" si="5"/>
        <v>3.33</v>
      </c>
      <c r="L335" s="335"/>
    </row>
    <row r="336" spans="1:12">
      <c r="A336" s="275" t="s">
        <v>2830</v>
      </c>
      <c r="B336" s="275" t="s">
        <v>3157</v>
      </c>
      <c r="C336" s="275" t="s">
        <v>3577</v>
      </c>
      <c r="D336" s="275" t="s">
        <v>3056</v>
      </c>
      <c r="E336" s="275" t="s">
        <v>2802</v>
      </c>
      <c r="F336" s="278">
        <v>31958</v>
      </c>
      <c r="G336" s="275" t="s">
        <v>2803</v>
      </c>
      <c r="H336" s="276">
        <v>12.6</v>
      </c>
      <c r="I336" s="276">
        <v>47.99</v>
      </c>
      <c r="J336" s="276">
        <v>9.8699999999999992</v>
      </c>
      <c r="K336" s="276">
        <f t="shared" si="5"/>
        <v>2.7300000000000004</v>
      </c>
      <c r="L336" s="335"/>
    </row>
    <row r="337" spans="1:12">
      <c r="A337" s="275" t="s">
        <v>2809</v>
      </c>
      <c r="B337" s="275" t="s">
        <v>2853</v>
      </c>
      <c r="C337" s="275" t="s">
        <v>3576</v>
      </c>
      <c r="D337" s="275" t="s">
        <v>3056</v>
      </c>
      <c r="E337" s="275" t="s">
        <v>2802</v>
      </c>
      <c r="F337" s="278">
        <v>31968</v>
      </c>
      <c r="G337" s="275" t="s">
        <v>2803</v>
      </c>
      <c r="H337" s="276">
        <v>12.9</v>
      </c>
      <c r="I337" s="276">
        <v>48.01</v>
      </c>
      <c r="J337" s="276">
        <v>9.8699999999999992</v>
      </c>
      <c r="K337" s="276">
        <f t="shared" si="5"/>
        <v>3.0300000000000011</v>
      </c>
      <c r="L337" s="335"/>
    </row>
    <row r="338" spans="1:12">
      <c r="A338" s="275" t="s">
        <v>2845</v>
      </c>
      <c r="B338" s="275" t="s">
        <v>3575</v>
      </c>
      <c r="C338" s="275" t="s">
        <v>3574</v>
      </c>
      <c r="D338" s="275" t="s">
        <v>3056</v>
      </c>
      <c r="E338" s="275" t="s">
        <v>2802</v>
      </c>
      <c r="F338" s="278">
        <v>32038</v>
      </c>
      <c r="G338" s="275" t="s">
        <v>2803</v>
      </c>
      <c r="H338" s="276">
        <v>13</v>
      </c>
      <c r="I338" s="276">
        <v>41.67</v>
      </c>
      <c r="J338" s="276">
        <v>10.44</v>
      </c>
      <c r="K338" s="276">
        <f t="shared" si="5"/>
        <v>2.5600000000000005</v>
      </c>
      <c r="L338" s="335"/>
    </row>
    <row r="339" spans="1:12">
      <c r="A339" s="275" t="s">
        <v>2813</v>
      </c>
      <c r="B339" s="275" t="s">
        <v>3385</v>
      </c>
      <c r="C339" s="275" t="s">
        <v>3572</v>
      </c>
      <c r="D339" s="275" t="s">
        <v>3056</v>
      </c>
      <c r="E339" s="275" t="s">
        <v>2802</v>
      </c>
      <c r="F339" s="278">
        <v>32070</v>
      </c>
      <c r="G339" s="275" t="s">
        <v>2803</v>
      </c>
      <c r="H339" s="276">
        <v>12.98</v>
      </c>
      <c r="I339" s="276" t="s">
        <v>1447</v>
      </c>
      <c r="J339" s="276">
        <v>11.18</v>
      </c>
      <c r="K339" s="276">
        <f t="shared" si="5"/>
        <v>1.8000000000000007</v>
      </c>
      <c r="L339" s="335"/>
    </row>
    <row r="340" spans="1:12">
      <c r="A340" s="275" t="s">
        <v>2830</v>
      </c>
      <c r="B340" s="275" t="s">
        <v>4020</v>
      </c>
      <c r="C340" s="275" t="s">
        <v>3573</v>
      </c>
      <c r="D340" s="275" t="s">
        <v>3056</v>
      </c>
      <c r="E340" s="275" t="s">
        <v>2802</v>
      </c>
      <c r="F340" s="278">
        <v>32070</v>
      </c>
      <c r="G340" s="275" t="s">
        <v>2803</v>
      </c>
      <c r="H340" s="276">
        <v>12.6</v>
      </c>
      <c r="I340" s="276">
        <v>41.2</v>
      </c>
      <c r="J340" s="276">
        <v>11.18</v>
      </c>
      <c r="K340" s="276">
        <f t="shared" si="5"/>
        <v>1.42</v>
      </c>
      <c r="L340" s="335"/>
    </row>
    <row r="341" spans="1:12">
      <c r="A341" s="275" t="s">
        <v>2861</v>
      </c>
      <c r="B341" s="275" t="s">
        <v>4028</v>
      </c>
      <c r="C341" s="275" t="s">
        <v>3571</v>
      </c>
      <c r="D341" s="275" t="s">
        <v>3056</v>
      </c>
      <c r="E341" s="275" t="s">
        <v>2802</v>
      </c>
      <c r="F341" s="278">
        <v>32093</v>
      </c>
      <c r="G341" s="275" t="s">
        <v>2803</v>
      </c>
      <c r="H341" s="276">
        <v>12.75</v>
      </c>
      <c r="I341" s="276">
        <v>44.18</v>
      </c>
      <c r="J341" s="276">
        <v>11.18</v>
      </c>
      <c r="K341" s="276">
        <f t="shared" si="5"/>
        <v>1.5700000000000003</v>
      </c>
      <c r="L341" s="335"/>
    </row>
    <row r="342" spans="1:12">
      <c r="A342" s="275" t="s">
        <v>2838</v>
      </c>
      <c r="B342" s="275" t="s">
        <v>3129</v>
      </c>
      <c r="C342" s="275" t="s">
        <v>3570</v>
      </c>
      <c r="D342" s="275" t="s">
        <v>3056</v>
      </c>
      <c r="E342" s="275" t="s">
        <v>2802</v>
      </c>
      <c r="F342" s="278">
        <v>32105</v>
      </c>
      <c r="G342" s="275" t="s">
        <v>2803</v>
      </c>
      <c r="H342" s="276">
        <v>12.5</v>
      </c>
      <c r="I342" s="276">
        <v>51.71</v>
      </c>
      <c r="J342" s="276">
        <v>11.36</v>
      </c>
      <c r="K342" s="276">
        <f t="shared" si="5"/>
        <v>1.1400000000000006</v>
      </c>
      <c r="L342" s="335"/>
    </row>
    <row r="343" spans="1:12">
      <c r="A343" s="275" t="s">
        <v>2809</v>
      </c>
      <c r="B343" s="275" t="s">
        <v>4023</v>
      </c>
      <c r="C343" s="275" t="s">
        <v>3569</v>
      </c>
      <c r="D343" s="275" t="s">
        <v>3056</v>
      </c>
      <c r="E343" s="275" t="s">
        <v>2802</v>
      </c>
      <c r="F343" s="278">
        <v>32133</v>
      </c>
      <c r="G343" s="275" t="s">
        <v>2803</v>
      </c>
      <c r="H343" s="276">
        <v>12</v>
      </c>
      <c r="I343" s="276">
        <v>58.57</v>
      </c>
      <c r="J343" s="276">
        <v>10.82</v>
      </c>
      <c r="K343" s="276">
        <f t="shared" si="5"/>
        <v>1.1799999999999997</v>
      </c>
      <c r="L343" s="335"/>
    </row>
    <row r="344" spans="1:12">
      <c r="A344" s="275" t="s">
        <v>2807</v>
      </c>
      <c r="B344" s="275" t="s">
        <v>3136</v>
      </c>
      <c r="C344" s="275" t="s">
        <v>3568</v>
      </c>
      <c r="D344" s="275" t="s">
        <v>3056</v>
      </c>
      <c r="E344" s="275" t="s">
        <v>2802</v>
      </c>
      <c r="F344" s="278">
        <v>32142</v>
      </c>
      <c r="G344" s="275" t="s">
        <v>2803</v>
      </c>
      <c r="H344" s="276">
        <v>13.25</v>
      </c>
      <c r="I344" s="276">
        <v>51.09</v>
      </c>
      <c r="J344" s="276">
        <v>10.82</v>
      </c>
      <c r="K344" s="276">
        <f t="shared" si="5"/>
        <v>2.4299999999999997</v>
      </c>
      <c r="L344" s="335"/>
    </row>
    <row r="345" spans="1:12">
      <c r="A345" s="275" t="s">
        <v>2804</v>
      </c>
      <c r="B345" s="275" t="s">
        <v>4373</v>
      </c>
      <c r="C345" s="275" t="s">
        <v>3567</v>
      </c>
      <c r="D345" s="275" t="s">
        <v>3056</v>
      </c>
      <c r="E345" s="275" t="s">
        <v>2802</v>
      </c>
      <c r="F345" s="278">
        <v>32157</v>
      </c>
      <c r="G345" s="275" t="s">
        <v>2803</v>
      </c>
      <c r="H345" s="276">
        <v>13.15</v>
      </c>
      <c r="I345" s="276">
        <v>38.6</v>
      </c>
      <c r="J345" s="276">
        <v>10.94</v>
      </c>
      <c r="K345" s="276">
        <f t="shared" si="5"/>
        <v>2.2100000000000009</v>
      </c>
      <c r="L345" s="335"/>
    </row>
    <row r="346" spans="1:12">
      <c r="A346" s="275" t="s">
        <v>2801</v>
      </c>
      <c r="B346" s="275" t="s">
        <v>3089</v>
      </c>
      <c r="C346" s="275" t="s">
        <v>3566</v>
      </c>
      <c r="D346" s="275" t="s">
        <v>3056</v>
      </c>
      <c r="E346" s="275" t="s">
        <v>2802</v>
      </c>
      <c r="F346" s="278">
        <v>32162</v>
      </c>
      <c r="G346" s="275" t="s">
        <v>2803</v>
      </c>
      <c r="H346" s="276">
        <v>12.75</v>
      </c>
      <c r="I346" s="276">
        <v>59.18</v>
      </c>
      <c r="J346" s="276">
        <v>10.94</v>
      </c>
      <c r="K346" s="276">
        <f t="shared" si="5"/>
        <v>1.8100000000000005</v>
      </c>
      <c r="L346" s="335"/>
    </row>
    <row r="347" spans="1:12">
      <c r="A347" s="275" t="s">
        <v>2809</v>
      </c>
      <c r="B347" s="275" t="s">
        <v>2853</v>
      </c>
      <c r="C347" s="275" t="s">
        <v>3565</v>
      </c>
      <c r="D347" s="275" t="s">
        <v>3056</v>
      </c>
      <c r="E347" s="275" t="s">
        <v>2802</v>
      </c>
      <c r="F347" s="278">
        <v>32171</v>
      </c>
      <c r="G347" s="275" t="s">
        <v>2803</v>
      </c>
      <c r="H347" s="276">
        <v>13.2</v>
      </c>
      <c r="I347" s="276">
        <v>50.79</v>
      </c>
      <c r="J347" s="276">
        <v>10.94</v>
      </c>
      <c r="K347" s="276">
        <f t="shared" si="5"/>
        <v>2.2599999999999998</v>
      </c>
      <c r="L347" s="335"/>
    </row>
    <row r="348" spans="1:12">
      <c r="A348" s="275" t="s">
        <v>2830</v>
      </c>
      <c r="B348" s="275" t="s">
        <v>4018</v>
      </c>
      <c r="C348" s="275" t="s">
        <v>3564</v>
      </c>
      <c r="D348" s="275" t="s">
        <v>3056</v>
      </c>
      <c r="E348" s="275" t="s">
        <v>2802</v>
      </c>
      <c r="F348" s="278">
        <v>32177</v>
      </c>
      <c r="G348" s="275" t="s">
        <v>2803</v>
      </c>
      <c r="H348" s="276">
        <v>12.6</v>
      </c>
      <c r="I348" s="276">
        <v>37.72</v>
      </c>
      <c r="J348" s="276">
        <v>10.94</v>
      </c>
      <c r="K348" s="276">
        <f t="shared" si="5"/>
        <v>1.6600000000000001</v>
      </c>
      <c r="L348" s="335"/>
    </row>
    <row r="349" spans="1:12">
      <c r="A349" s="275" t="s">
        <v>2804</v>
      </c>
      <c r="B349" s="275" t="s">
        <v>4014</v>
      </c>
      <c r="C349" s="275" t="s">
        <v>3563</v>
      </c>
      <c r="D349" s="275" t="s">
        <v>3056</v>
      </c>
      <c r="E349" s="275" t="s">
        <v>2802</v>
      </c>
      <c r="F349" s="278">
        <v>32290</v>
      </c>
      <c r="G349" s="275" t="s">
        <v>2803</v>
      </c>
      <c r="H349" s="276">
        <v>13.18</v>
      </c>
      <c r="I349" s="276">
        <v>50.1</v>
      </c>
      <c r="J349" s="276">
        <v>10.52</v>
      </c>
      <c r="K349" s="276">
        <f t="shared" si="5"/>
        <v>2.66</v>
      </c>
      <c r="L349" s="335"/>
    </row>
    <row r="350" spans="1:12">
      <c r="A350" s="275" t="s">
        <v>2809</v>
      </c>
      <c r="B350" s="275" t="s">
        <v>2810</v>
      </c>
      <c r="C350" s="275" t="s">
        <v>3562</v>
      </c>
      <c r="D350" s="275" t="s">
        <v>3056</v>
      </c>
      <c r="E350" s="275" t="s">
        <v>2802</v>
      </c>
      <c r="F350" s="278">
        <v>32308</v>
      </c>
      <c r="G350" s="275" t="s">
        <v>2803</v>
      </c>
      <c r="H350" s="276">
        <v>13.5</v>
      </c>
      <c r="I350" s="276">
        <v>48.09</v>
      </c>
      <c r="J350" s="276">
        <v>10.52</v>
      </c>
      <c r="K350" s="276">
        <f t="shared" si="5"/>
        <v>2.9800000000000004</v>
      </c>
      <c r="L350" s="335"/>
    </row>
    <row r="351" spans="1:12">
      <c r="A351" s="275" t="s">
        <v>2816</v>
      </c>
      <c r="B351" s="275" t="s">
        <v>2817</v>
      </c>
      <c r="C351" s="275" t="s">
        <v>3561</v>
      </c>
      <c r="D351" s="275" t="s">
        <v>3056</v>
      </c>
      <c r="E351" s="275" t="s">
        <v>2802</v>
      </c>
      <c r="F351" s="278">
        <v>32311</v>
      </c>
      <c r="G351" s="275" t="s">
        <v>2803</v>
      </c>
      <c r="H351" s="276">
        <v>11.72</v>
      </c>
      <c r="I351" s="276">
        <v>39.770000000000003</v>
      </c>
      <c r="J351" s="276">
        <v>10.79</v>
      </c>
      <c r="K351" s="276">
        <f t="shared" si="5"/>
        <v>0.93000000000000149</v>
      </c>
      <c r="L351" s="335"/>
    </row>
    <row r="352" spans="1:12">
      <c r="A352" s="275" t="s">
        <v>2837</v>
      </c>
      <c r="B352" s="275" t="s">
        <v>2839</v>
      </c>
      <c r="C352" s="275" t="s">
        <v>3560</v>
      </c>
      <c r="D352" s="275" t="s">
        <v>3056</v>
      </c>
      <c r="E352" s="275" t="s">
        <v>2802</v>
      </c>
      <c r="F352" s="278">
        <v>32318</v>
      </c>
      <c r="G352" s="275" t="s">
        <v>2803</v>
      </c>
      <c r="H352" s="276">
        <v>11.5</v>
      </c>
      <c r="I352" s="276">
        <v>41.49</v>
      </c>
      <c r="J352" s="276">
        <v>10.79</v>
      </c>
      <c r="K352" s="276">
        <f t="shared" si="5"/>
        <v>0.71000000000000085</v>
      </c>
      <c r="L352" s="335"/>
    </row>
    <row r="353" spans="1:12">
      <c r="A353" s="275" t="s">
        <v>2835</v>
      </c>
      <c r="B353" s="275" t="s">
        <v>2836</v>
      </c>
      <c r="C353" s="275" t="s">
        <v>3559</v>
      </c>
      <c r="D353" s="275" t="s">
        <v>3056</v>
      </c>
      <c r="E353" s="275" t="s">
        <v>2802</v>
      </c>
      <c r="F353" s="278">
        <v>32325</v>
      </c>
      <c r="G353" s="275" t="s">
        <v>2803</v>
      </c>
      <c r="H353" s="276">
        <v>12.75</v>
      </c>
      <c r="I353" s="276">
        <v>44.43</v>
      </c>
      <c r="J353" s="276">
        <v>10.79</v>
      </c>
      <c r="K353" s="276">
        <f t="shared" si="5"/>
        <v>1.9600000000000009</v>
      </c>
      <c r="L353" s="335"/>
    </row>
    <row r="354" spans="1:12">
      <c r="A354" s="275" t="s">
        <v>2838</v>
      </c>
      <c r="B354" s="275" t="s">
        <v>3129</v>
      </c>
      <c r="C354" s="275" t="s">
        <v>3558</v>
      </c>
      <c r="D354" s="275" t="s">
        <v>3056</v>
      </c>
      <c r="E354" s="275" t="s">
        <v>2802</v>
      </c>
      <c r="F354" s="278">
        <v>32332</v>
      </c>
      <c r="G354" s="275" t="s">
        <v>2803</v>
      </c>
      <c r="H354" s="276">
        <v>12</v>
      </c>
      <c r="I354" s="276" t="s">
        <v>1447</v>
      </c>
      <c r="J354" s="276">
        <v>10.79</v>
      </c>
      <c r="K354" s="276">
        <f t="shared" si="5"/>
        <v>1.2100000000000009</v>
      </c>
      <c r="L354" s="335"/>
    </row>
    <row r="355" spans="1:12">
      <c r="A355" s="275" t="s">
        <v>2811</v>
      </c>
      <c r="B355" s="275" t="s">
        <v>4014</v>
      </c>
      <c r="C355" s="275" t="s">
        <v>3557</v>
      </c>
      <c r="D355" s="275" t="s">
        <v>3056</v>
      </c>
      <c r="E355" s="275" t="s">
        <v>2802</v>
      </c>
      <c r="F355" s="278">
        <v>32342</v>
      </c>
      <c r="G355" s="275" t="s">
        <v>2803</v>
      </c>
      <c r="H355" s="276">
        <v>12</v>
      </c>
      <c r="I355" s="276">
        <v>49.7</v>
      </c>
      <c r="J355" s="276">
        <v>10.81</v>
      </c>
      <c r="K355" s="276">
        <f t="shared" si="5"/>
        <v>1.1899999999999995</v>
      </c>
      <c r="L355" s="335"/>
    </row>
    <row r="356" spans="1:12">
      <c r="A356" s="275" t="s">
        <v>2811</v>
      </c>
      <c r="B356" s="275" t="s">
        <v>4017</v>
      </c>
      <c r="C356" s="275" t="s">
        <v>3556</v>
      </c>
      <c r="D356" s="275" t="s">
        <v>3056</v>
      </c>
      <c r="E356" s="275" t="s">
        <v>2802</v>
      </c>
      <c r="F356" s="278">
        <v>32344</v>
      </c>
      <c r="G356" s="275" t="s">
        <v>2803</v>
      </c>
      <c r="H356" s="276">
        <v>13.4</v>
      </c>
      <c r="I356" s="276" t="s">
        <v>1447</v>
      </c>
      <c r="J356" s="276">
        <v>10.81</v>
      </c>
      <c r="K356" s="276">
        <f t="shared" si="5"/>
        <v>2.59</v>
      </c>
      <c r="L356" s="335"/>
    </row>
    <row r="357" spans="1:12">
      <c r="A357" s="275" t="s">
        <v>2858</v>
      </c>
      <c r="B357" s="275" t="s">
        <v>2859</v>
      </c>
      <c r="C357" s="275" t="s">
        <v>3555</v>
      </c>
      <c r="D357" s="275" t="s">
        <v>3056</v>
      </c>
      <c r="E357" s="275" t="s">
        <v>2802</v>
      </c>
      <c r="F357" s="278">
        <v>32363</v>
      </c>
      <c r="G357" s="275" t="s">
        <v>2803</v>
      </c>
      <c r="H357" s="276">
        <v>12.74</v>
      </c>
      <c r="I357" s="276">
        <v>50.7</v>
      </c>
      <c r="J357" s="276">
        <v>10.81</v>
      </c>
      <c r="K357" s="276">
        <f t="shared" si="5"/>
        <v>1.9299999999999997</v>
      </c>
      <c r="L357" s="335"/>
    </row>
    <row r="358" spans="1:12">
      <c r="A358" s="275" t="s">
        <v>2805</v>
      </c>
      <c r="B358" s="275" t="s">
        <v>3079</v>
      </c>
      <c r="C358" s="275" t="s">
        <v>3554</v>
      </c>
      <c r="D358" s="275" t="s">
        <v>3056</v>
      </c>
      <c r="E358" s="275" t="s">
        <v>2802</v>
      </c>
      <c r="F358" s="278">
        <v>32406</v>
      </c>
      <c r="G358" s="275" t="s">
        <v>2803</v>
      </c>
      <c r="H358" s="276">
        <v>12.9</v>
      </c>
      <c r="I358" s="276">
        <v>51.4</v>
      </c>
      <c r="J358" s="276">
        <v>11.17</v>
      </c>
      <c r="K358" s="276">
        <f t="shared" si="5"/>
        <v>1.7300000000000004</v>
      </c>
      <c r="L358" s="335"/>
    </row>
    <row r="359" spans="1:12">
      <c r="A359" s="275" t="s">
        <v>2813</v>
      </c>
      <c r="B359" s="275" t="s">
        <v>3385</v>
      </c>
      <c r="C359" s="275" t="s">
        <v>3553</v>
      </c>
      <c r="D359" s="275" t="s">
        <v>3056</v>
      </c>
      <c r="E359" s="275" t="s">
        <v>2802</v>
      </c>
      <c r="F359" s="278">
        <v>32412</v>
      </c>
      <c r="G359" s="275" t="s">
        <v>2803</v>
      </c>
      <c r="H359" s="276">
        <v>12.4</v>
      </c>
      <c r="I359" s="276">
        <v>41.32</v>
      </c>
      <c r="J359" s="276">
        <v>11.17</v>
      </c>
      <c r="K359" s="276">
        <f t="shared" si="5"/>
        <v>1.2300000000000004</v>
      </c>
      <c r="L359" s="335"/>
    </row>
    <row r="360" spans="1:12">
      <c r="A360" s="275" t="s">
        <v>2809</v>
      </c>
      <c r="B360" s="275" t="s">
        <v>4025</v>
      </c>
      <c r="C360" s="275" t="s">
        <v>3552</v>
      </c>
      <c r="D360" s="275" t="s">
        <v>3056</v>
      </c>
      <c r="E360" s="275" t="s">
        <v>2802</v>
      </c>
      <c r="F360" s="278">
        <v>32413</v>
      </c>
      <c r="G360" s="275" t="s">
        <v>2803</v>
      </c>
      <c r="H360" s="276">
        <v>13.65</v>
      </c>
      <c r="I360" s="276">
        <v>51.15</v>
      </c>
      <c r="J360" s="276">
        <v>11.17</v>
      </c>
      <c r="K360" s="276">
        <f t="shared" si="5"/>
        <v>2.4800000000000004</v>
      </c>
      <c r="L360" s="335"/>
    </row>
    <row r="361" spans="1:12">
      <c r="A361" s="275" t="s">
        <v>2807</v>
      </c>
      <c r="B361" s="275" t="s">
        <v>3103</v>
      </c>
      <c r="C361" s="275" t="s">
        <v>3551</v>
      </c>
      <c r="D361" s="275" t="s">
        <v>3056</v>
      </c>
      <c r="E361" s="275" t="s">
        <v>2802</v>
      </c>
      <c r="F361" s="278">
        <v>32416</v>
      </c>
      <c r="G361" s="275" t="s">
        <v>2803</v>
      </c>
      <c r="H361" s="276">
        <v>13.25</v>
      </c>
      <c r="I361" s="276">
        <v>50.2</v>
      </c>
      <c r="J361" s="276">
        <v>11.17</v>
      </c>
      <c r="K361" s="276">
        <f t="shared" si="5"/>
        <v>2.08</v>
      </c>
      <c r="L361" s="335"/>
    </row>
    <row r="362" spans="1:12">
      <c r="A362" s="275" t="s">
        <v>2809</v>
      </c>
      <c r="B362" s="275" t="s">
        <v>2854</v>
      </c>
      <c r="C362" s="275" t="s">
        <v>3550</v>
      </c>
      <c r="D362" s="275" t="s">
        <v>3056</v>
      </c>
      <c r="E362" s="275" t="s">
        <v>2802</v>
      </c>
      <c r="F362" s="278">
        <v>32429</v>
      </c>
      <c r="G362" s="275" t="s">
        <v>2803</v>
      </c>
      <c r="H362" s="276">
        <v>13.1</v>
      </c>
      <c r="I362" s="276">
        <v>49.52</v>
      </c>
      <c r="J362" s="276">
        <v>11.17</v>
      </c>
      <c r="K362" s="276">
        <f t="shared" si="5"/>
        <v>1.9299999999999997</v>
      </c>
      <c r="L362" s="335"/>
    </row>
    <row r="363" spans="1:12">
      <c r="A363" s="275" t="s">
        <v>2835</v>
      </c>
      <c r="B363" s="275" t="s">
        <v>3531</v>
      </c>
      <c r="C363" s="275" t="s">
        <v>3549</v>
      </c>
      <c r="D363" s="275" t="s">
        <v>3056</v>
      </c>
      <c r="E363" s="275" t="s">
        <v>2802</v>
      </c>
      <c r="F363" s="278">
        <v>32437</v>
      </c>
      <c r="G363" s="275" t="s">
        <v>2803</v>
      </c>
      <c r="H363" s="276">
        <v>12.8</v>
      </c>
      <c r="I363" s="276">
        <v>48.43</v>
      </c>
      <c r="J363" s="276">
        <v>10.67</v>
      </c>
      <c r="K363" s="276">
        <f t="shared" si="5"/>
        <v>2.1300000000000008</v>
      </c>
      <c r="L363" s="335"/>
    </row>
    <row r="364" spans="1:12">
      <c r="A364" s="275" t="s">
        <v>2845</v>
      </c>
      <c r="B364" s="275" t="s">
        <v>2869</v>
      </c>
      <c r="C364" s="275" t="s">
        <v>3548</v>
      </c>
      <c r="D364" s="275" t="s">
        <v>3056</v>
      </c>
      <c r="E364" s="275" t="s">
        <v>2802</v>
      </c>
      <c r="F364" s="278">
        <v>32442</v>
      </c>
      <c r="G364" s="275" t="s">
        <v>2803</v>
      </c>
      <c r="H364" s="276">
        <v>13.5</v>
      </c>
      <c r="I364" s="276">
        <v>28.46</v>
      </c>
      <c r="J364" s="276">
        <v>10.67</v>
      </c>
      <c r="K364" s="276">
        <f t="shared" si="5"/>
        <v>2.83</v>
      </c>
      <c r="L364" s="335"/>
    </row>
    <row r="365" spans="1:12">
      <c r="A365" s="275" t="s">
        <v>2840</v>
      </c>
      <c r="B365" s="275" t="s">
        <v>3079</v>
      </c>
      <c r="C365" s="275" t="s">
        <v>3547</v>
      </c>
      <c r="D365" s="275" t="s">
        <v>3056</v>
      </c>
      <c r="E365" s="275" t="s">
        <v>2802</v>
      </c>
      <c r="F365" s="278">
        <v>32443</v>
      </c>
      <c r="G365" s="275" t="s">
        <v>2803</v>
      </c>
      <c r="H365" s="276">
        <v>12.95</v>
      </c>
      <c r="I365" s="276">
        <v>53.3</v>
      </c>
      <c r="J365" s="276">
        <v>10.67</v>
      </c>
      <c r="K365" s="276">
        <f t="shared" si="5"/>
        <v>2.2799999999999994</v>
      </c>
      <c r="L365" s="335"/>
    </row>
    <row r="366" spans="1:12">
      <c r="A366" s="275" t="s">
        <v>2871</v>
      </c>
      <c r="B366" s="275" t="s">
        <v>3079</v>
      </c>
      <c r="C366" s="275" t="s">
        <v>3546</v>
      </c>
      <c r="D366" s="275" t="s">
        <v>3056</v>
      </c>
      <c r="E366" s="275" t="s">
        <v>2802</v>
      </c>
      <c r="F366" s="278">
        <v>32444</v>
      </c>
      <c r="G366" s="275" t="s">
        <v>2803</v>
      </c>
      <c r="H366" s="276">
        <v>13</v>
      </c>
      <c r="I366" s="276">
        <v>49.83</v>
      </c>
      <c r="J366" s="276">
        <v>10.67</v>
      </c>
      <c r="K366" s="276">
        <f t="shared" si="5"/>
        <v>2.33</v>
      </c>
      <c r="L366" s="335"/>
    </row>
    <row r="367" spans="1:12">
      <c r="A367" s="275" t="s">
        <v>2838</v>
      </c>
      <c r="B367" s="275" t="s">
        <v>3075</v>
      </c>
      <c r="C367" s="275" t="s">
        <v>3545</v>
      </c>
      <c r="D367" s="275" t="s">
        <v>3056</v>
      </c>
      <c r="E367" s="275" t="s">
        <v>2802</v>
      </c>
      <c r="F367" s="278">
        <v>32462</v>
      </c>
      <c r="G367" s="275" t="s">
        <v>2803</v>
      </c>
      <c r="H367" s="276">
        <v>12</v>
      </c>
      <c r="I367" s="276" t="s">
        <v>1447</v>
      </c>
      <c r="J367" s="276">
        <v>9.98</v>
      </c>
      <c r="K367" s="276">
        <f t="shared" si="5"/>
        <v>2.0199999999999996</v>
      </c>
      <c r="L367" s="335"/>
    </row>
    <row r="368" spans="1:12">
      <c r="A368" s="275" t="s">
        <v>2806</v>
      </c>
      <c r="B368" s="275" t="s">
        <v>3081</v>
      </c>
      <c r="C368" s="275" t="s">
        <v>3544</v>
      </c>
      <c r="D368" s="275" t="s">
        <v>3056</v>
      </c>
      <c r="E368" s="275" t="s">
        <v>2802</v>
      </c>
      <c r="F368" s="278">
        <v>32476</v>
      </c>
      <c r="G368" s="275" t="s">
        <v>2803</v>
      </c>
      <c r="H368" s="276">
        <v>12.75</v>
      </c>
      <c r="I368" s="276">
        <v>47.36</v>
      </c>
      <c r="J368" s="276">
        <v>9.98</v>
      </c>
      <c r="K368" s="276">
        <f t="shared" si="5"/>
        <v>2.7699999999999996</v>
      </c>
      <c r="L368" s="335"/>
    </row>
    <row r="369" spans="1:12">
      <c r="A369" s="275" t="s">
        <v>2844</v>
      </c>
      <c r="B369" s="275" t="s">
        <v>2848</v>
      </c>
      <c r="C369" s="275" t="s">
        <v>3543</v>
      </c>
      <c r="D369" s="275" t="s">
        <v>3056</v>
      </c>
      <c r="E369" s="275" t="s">
        <v>2802</v>
      </c>
      <c r="F369" s="278">
        <v>32496</v>
      </c>
      <c r="G369" s="275" t="s">
        <v>2803</v>
      </c>
      <c r="H369" s="276">
        <v>13</v>
      </c>
      <c r="I369" s="276">
        <v>48</v>
      </c>
      <c r="J369" s="276">
        <v>9.89</v>
      </c>
      <c r="K369" s="276">
        <f t="shared" si="5"/>
        <v>3.1099999999999994</v>
      </c>
      <c r="L369" s="335"/>
    </row>
    <row r="370" spans="1:12">
      <c r="A370" s="275" t="s">
        <v>2830</v>
      </c>
      <c r="B370" s="275" t="s">
        <v>4018</v>
      </c>
      <c r="C370" s="275" t="s">
        <v>3542</v>
      </c>
      <c r="D370" s="275" t="s">
        <v>3056</v>
      </c>
      <c r="E370" s="275" t="s">
        <v>2802</v>
      </c>
      <c r="F370" s="278">
        <v>32498</v>
      </c>
      <c r="G370" s="275" t="s">
        <v>2803</v>
      </c>
      <c r="H370" s="276">
        <v>12.9</v>
      </c>
      <c r="I370" s="276">
        <v>36.950000000000003</v>
      </c>
      <c r="J370" s="276">
        <v>9.89</v>
      </c>
      <c r="K370" s="276">
        <f t="shared" si="5"/>
        <v>3.01</v>
      </c>
      <c r="L370" s="335"/>
    </row>
    <row r="371" spans="1:12">
      <c r="A371" s="275" t="s">
        <v>2851</v>
      </c>
      <c r="B371" s="275" t="s">
        <v>3105</v>
      </c>
      <c r="C371" s="275" t="s">
        <v>3541</v>
      </c>
      <c r="D371" s="275" t="s">
        <v>3056</v>
      </c>
      <c r="E371" s="275" t="s">
        <v>2802</v>
      </c>
      <c r="F371" s="278">
        <v>32499</v>
      </c>
      <c r="G371" s="275" t="s">
        <v>2803</v>
      </c>
      <c r="H371" s="276">
        <v>13.5</v>
      </c>
      <c r="I371" s="276">
        <v>31.12</v>
      </c>
      <c r="J371" s="276">
        <v>9.89</v>
      </c>
      <c r="K371" s="276">
        <f t="shared" si="5"/>
        <v>3.6099999999999994</v>
      </c>
      <c r="L371" s="335"/>
    </row>
    <row r="372" spans="1:12">
      <c r="A372" s="275" t="s">
        <v>2804</v>
      </c>
      <c r="B372" s="275" t="s">
        <v>3540</v>
      </c>
      <c r="C372" s="275" t="s">
        <v>3539</v>
      </c>
      <c r="D372" s="275" t="s">
        <v>3056</v>
      </c>
      <c r="E372" s="275" t="s">
        <v>2802</v>
      </c>
      <c r="F372" s="278">
        <v>32534</v>
      </c>
      <c r="G372" s="275" t="s">
        <v>2803</v>
      </c>
      <c r="H372" s="276">
        <v>12.6</v>
      </c>
      <c r="I372" s="276">
        <v>59.5</v>
      </c>
      <c r="J372" s="276">
        <v>10.050000000000001</v>
      </c>
      <c r="K372" s="276">
        <f t="shared" si="5"/>
        <v>2.5499999999999989</v>
      </c>
      <c r="L372" s="335"/>
    </row>
    <row r="373" spans="1:12">
      <c r="A373" s="275" t="s">
        <v>2809</v>
      </c>
      <c r="B373" s="275" t="s">
        <v>2853</v>
      </c>
      <c r="C373" s="275" t="s">
        <v>3538</v>
      </c>
      <c r="D373" s="275" t="s">
        <v>3056</v>
      </c>
      <c r="E373" s="275" t="s">
        <v>2802</v>
      </c>
      <c r="F373" s="278">
        <v>32535</v>
      </c>
      <c r="G373" s="275" t="s">
        <v>2803</v>
      </c>
      <c r="H373" s="276">
        <v>13</v>
      </c>
      <c r="I373" s="276">
        <v>52.76</v>
      </c>
      <c r="J373" s="276">
        <v>10.050000000000001</v>
      </c>
      <c r="K373" s="276">
        <f t="shared" si="5"/>
        <v>2.9499999999999993</v>
      </c>
      <c r="L373" s="335"/>
    </row>
    <row r="374" spans="1:12">
      <c r="A374" s="275" t="s">
        <v>2850</v>
      </c>
      <c r="B374" s="275" t="s">
        <v>3328</v>
      </c>
      <c r="C374" s="275" t="s">
        <v>3537</v>
      </c>
      <c r="D374" s="275" t="s">
        <v>3056</v>
      </c>
      <c r="E374" s="275" t="s">
        <v>2802</v>
      </c>
      <c r="F374" s="278">
        <v>32547</v>
      </c>
      <c r="G374" s="275" t="s">
        <v>2803</v>
      </c>
      <c r="H374" s="276">
        <v>13.37</v>
      </c>
      <c r="I374" s="276">
        <v>49.81</v>
      </c>
      <c r="J374" s="276">
        <v>10.050000000000001</v>
      </c>
      <c r="K374" s="276">
        <f t="shared" si="5"/>
        <v>3.3199999999999985</v>
      </c>
      <c r="L374" s="335"/>
    </row>
    <row r="375" spans="1:12">
      <c r="A375" s="275" t="s">
        <v>2867</v>
      </c>
      <c r="B375" s="275" t="s">
        <v>2868</v>
      </c>
      <c r="C375" s="275" t="s">
        <v>3536</v>
      </c>
      <c r="D375" s="275" t="s">
        <v>3056</v>
      </c>
      <c r="E375" s="275" t="s">
        <v>2802</v>
      </c>
      <c r="F375" s="278">
        <v>32632</v>
      </c>
      <c r="G375" s="275" t="s">
        <v>2803</v>
      </c>
      <c r="H375" s="276">
        <v>13</v>
      </c>
      <c r="I375" s="276">
        <v>49.35</v>
      </c>
      <c r="J375" s="276">
        <v>10.24</v>
      </c>
      <c r="K375" s="276">
        <f t="shared" si="5"/>
        <v>2.76</v>
      </c>
      <c r="L375" s="335"/>
    </row>
    <row r="376" spans="1:12">
      <c r="A376" s="275" t="s">
        <v>2809</v>
      </c>
      <c r="B376" s="275" t="s">
        <v>2810</v>
      </c>
      <c r="C376" s="275" t="s">
        <v>3535</v>
      </c>
      <c r="D376" s="275" t="s">
        <v>3056</v>
      </c>
      <c r="E376" s="275" t="s">
        <v>2802</v>
      </c>
      <c r="F376" s="278">
        <v>32667</v>
      </c>
      <c r="G376" s="275" t="s">
        <v>2803</v>
      </c>
      <c r="H376" s="276">
        <v>13.5</v>
      </c>
      <c r="I376" s="276">
        <v>47.81</v>
      </c>
      <c r="J376" s="276">
        <v>10.19</v>
      </c>
      <c r="K376" s="276">
        <f t="shared" si="5"/>
        <v>3.3100000000000005</v>
      </c>
      <c r="L376" s="335"/>
    </row>
    <row r="377" spans="1:12">
      <c r="A377" s="275" t="s">
        <v>2811</v>
      </c>
      <c r="B377" s="275" t="s">
        <v>4014</v>
      </c>
      <c r="C377" s="275" t="s">
        <v>3534</v>
      </c>
      <c r="D377" s="275" t="s">
        <v>3056</v>
      </c>
      <c r="E377" s="275" t="s">
        <v>2802</v>
      </c>
      <c r="F377" s="278">
        <v>32708</v>
      </c>
      <c r="G377" s="275" t="s">
        <v>2803</v>
      </c>
      <c r="H377" s="276">
        <v>11.8</v>
      </c>
      <c r="I377" s="276">
        <v>49.75</v>
      </c>
      <c r="J377" s="276">
        <v>10</v>
      </c>
      <c r="K377" s="276">
        <f t="shared" si="5"/>
        <v>1.8000000000000007</v>
      </c>
      <c r="L377" s="335"/>
    </row>
    <row r="378" spans="1:12">
      <c r="A378" s="275" t="s">
        <v>2846</v>
      </c>
      <c r="B378" s="275" t="s">
        <v>2847</v>
      </c>
      <c r="C378" s="275" t="s">
        <v>3533</v>
      </c>
      <c r="D378" s="275" t="s">
        <v>3056</v>
      </c>
      <c r="E378" s="275" t="s">
        <v>2802</v>
      </c>
      <c r="F378" s="278">
        <v>32734</v>
      </c>
      <c r="G378" s="275" t="s">
        <v>2803</v>
      </c>
      <c r="H378" s="276">
        <v>12.5</v>
      </c>
      <c r="I378" s="276">
        <v>44</v>
      </c>
      <c r="J378" s="276">
        <v>9.66</v>
      </c>
      <c r="K378" s="276">
        <f t="shared" si="5"/>
        <v>2.84</v>
      </c>
      <c r="L378" s="335"/>
    </row>
    <row r="379" spans="1:12">
      <c r="A379" s="275" t="s">
        <v>2830</v>
      </c>
      <c r="B379" s="275" t="s">
        <v>3157</v>
      </c>
      <c r="C379" s="275" t="s">
        <v>3532</v>
      </c>
      <c r="D379" s="275" t="s">
        <v>3056</v>
      </c>
      <c r="E379" s="275" t="s">
        <v>2802</v>
      </c>
      <c r="F379" s="278">
        <v>32743</v>
      </c>
      <c r="G379" s="275" t="s">
        <v>2803</v>
      </c>
      <c r="H379" s="276">
        <v>12.9</v>
      </c>
      <c r="I379" s="276">
        <v>50.88</v>
      </c>
      <c r="J379" s="276">
        <v>9.66</v>
      </c>
      <c r="K379" s="276">
        <f t="shared" si="5"/>
        <v>3.24</v>
      </c>
      <c r="L379" s="335"/>
    </row>
    <row r="380" spans="1:12">
      <c r="A380" s="275" t="s">
        <v>2835</v>
      </c>
      <c r="B380" s="275" t="s">
        <v>3531</v>
      </c>
      <c r="C380" s="275" t="s">
        <v>3530</v>
      </c>
      <c r="D380" s="275" t="s">
        <v>3056</v>
      </c>
      <c r="E380" s="275" t="s">
        <v>2802</v>
      </c>
      <c r="F380" s="278">
        <v>32787</v>
      </c>
      <c r="G380" s="275" t="s">
        <v>2803</v>
      </c>
      <c r="H380" s="276">
        <v>13</v>
      </c>
      <c r="I380" s="276">
        <v>47.24</v>
      </c>
      <c r="J380" s="276">
        <v>9.51</v>
      </c>
      <c r="K380" s="276">
        <f t="shared" si="5"/>
        <v>3.49</v>
      </c>
      <c r="L380" s="335"/>
    </row>
    <row r="381" spans="1:12">
      <c r="A381" s="275" t="s">
        <v>2818</v>
      </c>
      <c r="B381" s="275" t="s">
        <v>4024</v>
      </c>
      <c r="C381" s="275" t="s">
        <v>3529</v>
      </c>
      <c r="D381" s="275" t="s">
        <v>3056</v>
      </c>
      <c r="E381" s="275" t="s">
        <v>2802</v>
      </c>
      <c r="F381" s="278">
        <v>32798</v>
      </c>
      <c r="G381" s="275" t="s">
        <v>2803</v>
      </c>
      <c r="H381" s="276">
        <v>12.41</v>
      </c>
      <c r="I381" s="276">
        <v>52.48</v>
      </c>
      <c r="J381" s="276">
        <v>9.58</v>
      </c>
      <c r="K381" s="276">
        <f t="shared" si="5"/>
        <v>2.83</v>
      </c>
      <c r="L381" s="335"/>
    </row>
    <row r="382" spans="1:12">
      <c r="A382" s="275" t="s">
        <v>2809</v>
      </c>
      <c r="B382" s="275" t="s">
        <v>3142</v>
      </c>
      <c r="C382" s="275" t="s">
        <v>3528</v>
      </c>
      <c r="D382" s="275" t="s">
        <v>3056</v>
      </c>
      <c r="E382" s="275" t="s">
        <v>2802</v>
      </c>
      <c r="F382" s="278">
        <v>32812</v>
      </c>
      <c r="G382" s="275" t="s">
        <v>2803</v>
      </c>
      <c r="H382" s="276">
        <v>13.6</v>
      </c>
      <c r="I382" s="276">
        <v>49.41</v>
      </c>
      <c r="J382" s="276">
        <v>9.58</v>
      </c>
      <c r="K382" s="276">
        <f t="shared" si="5"/>
        <v>4.0199999999999996</v>
      </c>
      <c r="L382" s="335"/>
    </row>
    <row r="383" spans="1:12">
      <c r="A383" s="275" t="s">
        <v>2850</v>
      </c>
      <c r="B383" s="275" t="s">
        <v>3361</v>
      </c>
      <c r="C383" s="275" t="s">
        <v>3527</v>
      </c>
      <c r="D383" s="275" t="s">
        <v>3056</v>
      </c>
      <c r="E383" s="275" t="s">
        <v>2802</v>
      </c>
      <c r="F383" s="278">
        <v>32817</v>
      </c>
      <c r="G383" s="275" t="s">
        <v>2803</v>
      </c>
      <c r="H383" s="276">
        <v>13.2</v>
      </c>
      <c r="I383" s="276">
        <v>50.71</v>
      </c>
      <c r="J383" s="276">
        <v>9.58</v>
      </c>
      <c r="K383" s="276">
        <f t="shared" si="5"/>
        <v>3.6199999999999992</v>
      </c>
      <c r="L383" s="335"/>
    </row>
    <row r="384" spans="1:12">
      <c r="A384" s="275" t="s">
        <v>2809</v>
      </c>
      <c r="B384" s="275" t="s">
        <v>2854</v>
      </c>
      <c r="C384" s="275" t="s">
        <v>3526</v>
      </c>
      <c r="D384" s="275" t="s">
        <v>3056</v>
      </c>
      <c r="E384" s="275" t="s">
        <v>2802</v>
      </c>
      <c r="F384" s="278">
        <v>32821</v>
      </c>
      <c r="G384" s="275" t="s">
        <v>2803</v>
      </c>
      <c r="H384" s="276">
        <v>13</v>
      </c>
      <c r="I384" s="276">
        <v>49.5</v>
      </c>
      <c r="J384" s="276">
        <v>9.58</v>
      </c>
      <c r="K384" s="276">
        <f t="shared" si="5"/>
        <v>3.42</v>
      </c>
      <c r="L384" s="335"/>
    </row>
    <row r="385" spans="1:17">
      <c r="A385" s="275" t="s">
        <v>2861</v>
      </c>
      <c r="B385" s="275" t="s">
        <v>4028</v>
      </c>
      <c r="C385" s="275" t="s">
        <v>3525</v>
      </c>
      <c r="D385" s="275" t="s">
        <v>3056</v>
      </c>
      <c r="E385" s="275" t="s">
        <v>2802</v>
      </c>
      <c r="F385" s="278">
        <v>32840</v>
      </c>
      <c r="G385" s="275" t="s">
        <v>2803</v>
      </c>
      <c r="H385" s="276">
        <v>12.75</v>
      </c>
      <c r="I385" s="276">
        <v>45</v>
      </c>
      <c r="J385" s="276">
        <v>9.5399999999999991</v>
      </c>
      <c r="K385" s="276">
        <f t="shared" si="5"/>
        <v>3.2100000000000009</v>
      </c>
      <c r="L385" s="335"/>
    </row>
    <row r="386" spans="1:17">
      <c r="A386" s="275" t="s">
        <v>2851</v>
      </c>
      <c r="B386" s="275" t="s">
        <v>2876</v>
      </c>
      <c r="C386" s="275" t="s">
        <v>3524</v>
      </c>
      <c r="D386" s="275" t="s">
        <v>3056</v>
      </c>
      <c r="E386" s="275" t="s">
        <v>2802</v>
      </c>
      <c r="F386" s="278">
        <v>32849</v>
      </c>
      <c r="G386" s="275" t="s">
        <v>2803</v>
      </c>
      <c r="H386" s="276">
        <v>13.25</v>
      </c>
      <c r="I386" s="276">
        <v>35.520000000000003</v>
      </c>
      <c r="J386" s="276">
        <v>9.5399999999999991</v>
      </c>
      <c r="K386" s="276">
        <f t="shared" si="5"/>
        <v>3.7100000000000009</v>
      </c>
      <c r="L386" s="335"/>
    </row>
    <row r="387" spans="1:17">
      <c r="A387" s="275" t="s">
        <v>2805</v>
      </c>
      <c r="B387" s="275" t="s">
        <v>2829</v>
      </c>
      <c r="C387" s="275" t="s">
        <v>3523</v>
      </c>
      <c r="D387" s="275" t="s">
        <v>3056</v>
      </c>
      <c r="E387" s="275" t="s">
        <v>2802</v>
      </c>
      <c r="F387" s="278">
        <v>32857</v>
      </c>
      <c r="G387" s="275" t="s">
        <v>2803</v>
      </c>
      <c r="H387" s="276">
        <v>13</v>
      </c>
      <c r="I387" s="276">
        <v>43.06</v>
      </c>
      <c r="J387" s="276">
        <v>9.52</v>
      </c>
      <c r="K387" s="276">
        <f t="shared" si="5"/>
        <v>3.4800000000000004</v>
      </c>
      <c r="L387" s="335"/>
    </row>
    <row r="388" spans="1:17">
      <c r="A388" s="275" t="s">
        <v>2844</v>
      </c>
      <c r="B388" s="275" t="s">
        <v>2864</v>
      </c>
      <c r="C388" s="275" t="s">
        <v>3522</v>
      </c>
      <c r="D388" s="275" t="s">
        <v>3056</v>
      </c>
      <c r="E388" s="275" t="s">
        <v>2802</v>
      </c>
      <c r="F388" s="278">
        <v>32862</v>
      </c>
      <c r="G388" s="275" t="s">
        <v>2803</v>
      </c>
      <c r="H388" s="276">
        <v>12.9</v>
      </c>
      <c r="I388" s="276">
        <v>46.75</v>
      </c>
      <c r="J388" s="276">
        <v>9.52</v>
      </c>
      <c r="K388" s="276">
        <f t="shared" si="5"/>
        <v>3.3800000000000008</v>
      </c>
      <c r="L388" s="335"/>
    </row>
    <row r="389" spans="1:17">
      <c r="A389" s="275" t="s">
        <v>2809</v>
      </c>
      <c r="B389" s="275" t="s">
        <v>2853</v>
      </c>
      <c r="C389" s="275" t="s">
        <v>3520</v>
      </c>
      <c r="D389" s="275" t="s">
        <v>3056</v>
      </c>
      <c r="E389" s="275" t="s">
        <v>2802</v>
      </c>
      <c r="F389" s="278">
        <v>32863</v>
      </c>
      <c r="G389" s="275" t="s">
        <v>2803</v>
      </c>
      <c r="H389" s="276">
        <v>12.9</v>
      </c>
      <c r="I389" s="276">
        <v>53.6</v>
      </c>
      <c r="J389" s="276">
        <v>9.52</v>
      </c>
      <c r="K389" s="276">
        <f t="shared" si="5"/>
        <v>3.3800000000000008</v>
      </c>
      <c r="L389" s="335"/>
    </row>
    <row r="390" spans="1:17">
      <c r="A390" s="275" t="s">
        <v>2804</v>
      </c>
      <c r="B390" s="275" t="s">
        <v>4014</v>
      </c>
      <c r="C390" s="275" t="s">
        <v>3521</v>
      </c>
      <c r="D390" s="275" t="s">
        <v>3056</v>
      </c>
      <c r="E390" s="275" t="s">
        <v>2802</v>
      </c>
      <c r="F390" s="278">
        <v>32863</v>
      </c>
      <c r="G390" s="275" t="s">
        <v>2803</v>
      </c>
      <c r="H390" s="276">
        <v>12.8</v>
      </c>
      <c r="I390" s="276">
        <v>48.3</v>
      </c>
      <c r="J390" s="276">
        <v>9.52</v>
      </c>
      <c r="K390" s="276">
        <f t="shared" ref="K390:K453" si="6">H390-J390</f>
        <v>3.2800000000000011</v>
      </c>
      <c r="L390" s="335"/>
    </row>
    <row r="391" spans="1:17" ht="14.25">
      <c r="A391" s="275" t="s">
        <v>2809</v>
      </c>
      <c r="B391" s="275" t="s">
        <v>4023</v>
      </c>
      <c r="C391" s="275" t="s">
        <v>3519</v>
      </c>
      <c r="D391" s="275" t="s">
        <v>3056</v>
      </c>
      <c r="E391" s="275" t="s">
        <v>2802</v>
      </c>
      <c r="F391" s="278">
        <v>32869</v>
      </c>
      <c r="G391" s="275" t="s">
        <v>2803</v>
      </c>
      <c r="H391" s="276">
        <v>12.5</v>
      </c>
      <c r="I391" s="276">
        <v>56.61</v>
      </c>
      <c r="J391" s="276">
        <v>9.52</v>
      </c>
      <c r="K391" s="276">
        <f t="shared" si="6"/>
        <v>2.9800000000000004</v>
      </c>
      <c r="L391" s="335"/>
      <c r="N391" s="288"/>
      <c r="O391" s="287"/>
      <c r="P391" s="287"/>
      <c r="Q391" s="287"/>
    </row>
    <row r="392" spans="1:17" ht="14.25">
      <c r="A392" s="275" t="s">
        <v>2844</v>
      </c>
      <c r="B392" s="275" t="s">
        <v>3084</v>
      </c>
      <c r="C392" s="275" t="s">
        <v>3518</v>
      </c>
      <c r="D392" s="275" t="s">
        <v>3056</v>
      </c>
      <c r="E392" s="275" t="s">
        <v>2802</v>
      </c>
      <c r="F392" s="278">
        <v>32882</v>
      </c>
      <c r="G392" s="275" t="s">
        <v>2803</v>
      </c>
      <c r="H392" s="276">
        <v>13</v>
      </c>
      <c r="I392" s="276">
        <v>45.3</v>
      </c>
      <c r="J392" s="276">
        <v>9.52</v>
      </c>
      <c r="K392" s="276">
        <f t="shared" si="6"/>
        <v>3.4800000000000004</v>
      </c>
      <c r="L392" s="335"/>
      <c r="N392" s="288"/>
      <c r="O392" s="287"/>
      <c r="P392" s="287"/>
      <c r="Q392" s="287"/>
    </row>
    <row r="393" spans="1:17" ht="14.25">
      <c r="A393" s="275" t="s">
        <v>2819</v>
      </c>
      <c r="B393" s="275" t="s">
        <v>4031</v>
      </c>
      <c r="C393" s="275" t="s">
        <v>3517</v>
      </c>
      <c r="D393" s="275" t="s">
        <v>3056</v>
      </c>
      <c r="E393" s="275" t="s">
        <v>2802</v>
      </c>
      <c r="F393" s="278">
        <v>32891</v>
      </c>
      <c r="G393" s="275" t="s">
        <v>2803</v>
      </c>
      <c r="H393" s="276">
        <v>12.5</v>
      </c>
      <c r="I393" s="276">
        <v>54.82</v>
      </c>
      <c r="J393" s="276">
        <v>9.43</v>
      </c>
      <c r="K393" s="276">
        <f t="shared" si="6"/>
        <v>3.0700000000000003</v>
      </c>
      <c r="L393" s="335"/>
      <c r="N393" s="288"/>
      <c r="O393" s="287"/>
      <c r="P393" s="287"/>
      <c r="Q393" s="287"/>
    </row>
    <row r="394" spans="1:17" ht="14.25">
      <c r="A394" s="275" t="s">
        <v>2811</v>
      </c>
      <c r="B394" s="275" t="s">
        <v>2875</v>
      </c>
      <c r="C394" s="275" t="s">
        <v>3516</v>
      </c>
      <c r="D394" s="275" t="s">
        <v>3056</v>
      </c>
      <c r="E394" s="275" t="s">
        <v>2802</v>
      </c>
      <c r="F394" s="278">
        <v>32899</v>
      </c>
      <c r="G394" s="275" t="s">
        <v>2803</v>
      </c>
      <c r="H394" s="276">
        <v>12.1</v>
      </c>
      <c r="I394" s="276">
        <v>29.67</v>
      </c>
      <c r="J394" s="276">
        <v>9.43</v>
      </c>
      <c r="K394" s="276">
        <f t="shared" si="6"/>
        <v>2.67</v>
      </c>
      <c r="L394" s="335"/>
      <c r="N394" s="288"/>
      <c r="O394" s="287"/>
      <c r="P394" s="287"/>
      <c r="Q394" s="287"/>
    </row>
    <row r="395" spans="1:17" ht="14.25">
      <c r="A395" s="275" t="s">
        <v>2819</v>
      </c>
      <c r="B395" s="275" t="s">
        <v>3515</v>
      </c>
      <c r="C395" s="275" t="s">
        <v>3514</v>
      </c>
      <c r="D395" s="275" t="s">
        <v>3056</v>
      </c>
      <c r="E395" s="275" t="s">
        <v>2802</v>
      </c>
      <c r="F395" s="278">
        <v>32953</v>
      </c>
      <c r="G395" s="275" t="s">
        <v>2803</v>
      </c>
      <c r="H395" s="276">
        <v>12.8</v>
      </c>
      <c r="I395" s="276">
        <v>52.6</v>
      </c>
      <c r="J395" s="276">
        <v>9.76</v>
      </c>
      <c r="K395" s="276">
        <f t="shared" si="6"/>
        <v>3.0400000000000009</v>
      </c>
      <c r="L395" s="335"/>
      <c r="N395" s="288"/>
      <c r="O395" s="287"/>
      <c r="P395" s="287"/>
      <c r="Q395" s="287"/>
    </row>
    <row r="396" spans="1:17" ht="14.25">
      <c r="A396" s="275" t="s">
        <v>2830</v>
      </c>
      <c r="B396" s="275" t="s">
        <v>4020</v>
      </c>
      <c r="C396" s="275" t="s">
        <v>3513</v>
      </c>
      <c r="D396" s="275" t="s">
        <v>3056</v>
      </c>
      <c r="E396" s="275" t="s">
        <v>2802</v>
      </c>
      <c r="F396" s="278">
        <v>32960</v>
      </c>
      <c r="G396" s="275" t="s">
        <v>2803</v>
      </c>
      <c r="H396" s="276">
        <v>13</v>
      </c>
      <c r="I396" s="276">
        <v>44.7</v>
      </c>
      <c r="J396" s="276">
        <v>9.76</v>
      </c>
      <c r="K396" s="276">
        <f t="shared" si="6"/>
        <v>3.24</v>
      </c>
      <c r="L396" s="335"/>
      <c r="N396" s="288"/>
      <c r="O396" s="287"/>
      <c r="P396" s="287"/>
      <c r="Q396" s="287"/>
    </row>
    <row r="397" spans="1:17" ht="14.25">
      <c r="A397" s="275" t="s">
        <v>2818</v>
      </c>
      <c r="B397" s="275" t="s">
        <v>4024</v>
      </c>
      <c r="C397" s="275" t="s">
        <v>3512</v>
      </c>
      <c r="D397" s="275" t="s">
        <v>3056</v>
      </c>
      <c r="E397" s="275" t="s">
        <v>2802</v>
      </c>
      <c r="F397" s="278">
        <v>32968</v>
      </c>
      <c r="G397" s="275" t="s">
        <v>2803</v>
      </c>
      <c r="H397" s="276">
        <v>12.2</v>
      </c>
      <c r="I397" s="276">
        <v>52.68</v>
      </c>
      <c r="J397" s="276">
        <v>9.76</v>
      </c>
      <c r="K397" s="276">
        <f t="shared" si="6"/>
        <v>2.4399999999999995</v>
      </c>
      <c r="L397" s="335"/>
      <c r="N397" s="288"/>
      <c r="O397" s="287"/>
      <c r="P397" s="287"/>
      <c r="Q397" s="287"/>
    </row>
    <row r="398" spans="1:17" ht="14.25">
      <c r="A398" s="275" t="s">
        <v>2816</v>
      </c>
      <c r="B398" s="275" t="s">
        <v>2852</v>
      </c>
      <c r="C398" s="275" t="s">
        <v>3511</v>
      </c>
      <c r="D398" s="275" t="s">
        <v>3056</v>
      </c>
      <c r="E398" s="275" t="s">
        <v>2802</v>
      </c>
      <c r="F398" s="278">
        <v>32993</v>
      </c>
      <c r="G398" s="275" t="s">
        <v>2803</v>
      </c>
      <c r="H398" s="276">
        <v>12.45</v>
      </c>
      <c r="I398" s="276">
        <v>48.81</v>
      </c>
      <c r="J398" s="276">
        <v>9.85</v>
      </c>
      <c r="K398" s="276">
        <f t="shared" si="6"/>
        <v>2.5999999999999996</v>
      </c>
      <c r="L398" s="335"/>
      <c r="N398" s="288"/>
      <c r="O398" s="287"/>
      <c r="P398" s="287"/>
      <c r="Q398" s="287"/>
    </row>
    <row r="399" spans="1:17" ht="14.25">
      <c r="A399" s="275" t="s">
        <v>2809</v>
      </c>
      <c r="B399" s="275" t="s">
        <v>2810</v>
      </c>
      <c r="C399" s="275" t="s">
        <v>3510</v>
      </c>
      <c r="D399" s="275" t="s">
        <v>3056</v>
      </c>
      <c r="E399" s="275" t="s">
        <v>2802</v>
      </c>
      <c r="F399" s="278">
        <v>33039</v>
      </c>
      <c r="G399" s="275" t="s">
        <v>2803</v>
      </c>
      <c r="H399" s="276">
        <v>13.2</v>
      </c>
      <c r="I399" s="276">
        <v>51.37</v>
      </c>
      <c r="J399" s="276">
        <v>10.01</v>
      </c>
      <c r="K399" s="276">
        <f t="shared" si="6"/>
        <v>3.1899999999999995</v>
      </c>
      <c r="L399" s="335"/>
      <c r="N399" s="288"/>
      <c r="O399" s="287"/>
      <c r="P399" s="287"/>
      <c r="Q399" s="287"/>
    </row>
    <row r="400" spans="1:17" ht="14.25">
      <c r="A400" s="275" t="s">
        <v>2809</v>
      </c>
      <c r="B400" s="275" t="s">
        <v>2854</v>
      </c>
      <c r="C400" s="275" t="s">
        <v>3509</v>
      </c>
      <c r="D400" s="275" t="s">
        <v>3056</v>
      </c>
      <c r="E400" s="275" t="s">
        <v>2802</v>
      </c>
      <c r="F400" s="278">
        <v>33051</v>
      </c>
      <c r="G400" s="275" t="s">
        <v>2803</v>
      </c>
      <c r="H400" s="276">
        <v>12.9</v>
      </c>
      <c r="I400" s="276">
        <v>50.16</v>
      </c>
      <c r="J400" s="276">
        <v>10.01</v>
      </c>
      <c r="K400" s="276">
        <f t="shared" si="6"/>
        <v>2.8900000000000006</v>
      </c>
      <c r="L400" s="335"/>
      <c r="N400" s="288"/>
      <c r="O400" s="287"/>
      <c r="P400" s="287"/>
      <c r="Q400" s="287"/>
    </row>
    <row r="401" spans="1:17" ht="14.25">
      <c r="A401" s="275" t="s">
        <v>2851</v>
      </c>
      <c r="B401" s="275" t="s">
        <v>3508</v>
      </c>
      <c r="C401" s="275" t="s">
        <v>3507</v>
      </c>
      <c r="D401" s="275" t="s">
        <v>3056</v>
      </c>
      <c r="E401" s="275" t="s">
        <v>2802</v>
      </c>
      <c r="F401" s="278">
        <v>33053</v>
      </c>
      <c r="G401" s="275" t="s">
        <v>2803</v>
      </c>
      <c r="H401" s="276">
        <v>13.25</v>
      </c>
      <c r="I401" s="276">
        <v>38.61</v>
      </c>
      <c r="J401" s="276">
        <v>10.01</v>
      </c>
      <c r="K401" s="276">
        <f t="shared" si="6"/>
        <v>3.24</v>
      </c>
      <c r="L401" s="335"/>
      <c r="N401" s="288"/>
      <c r="O401" s="287"/>
      <c r="P401" s="287"/>
      <c r="Q401" s="287"/>
    </row>
    <row r="402" spans="1:17" ht="14.25">
      <c r="A402" s="275" t="s">
        <v>2811</v>
      </c>
      <c r="B402" s="275" t="s">
        <v>4017</v>
      </c>
      <c r="C402" s="275" t="s">
        <v>3506</v>
      </c>
      <c r="D402" s="275" t="s">
        <v>3056</v>
      </c>
      <c r="E402" s="275" t="s">
        <v>2802</v>
      </c>
      <c r="F402" s="278">
        <v>33060</v>
      </c>
      <c r="G402" s="275" t="s">
        <v>2803</v>
      </c>
      <c r="H402" s="276">
        <v>12.1</v>
      </c>
      <c r="I402" s="276">
        <v>40.479999999999997</v>
      </c>
      <c r="J402" s="276">
        <v>10.01</v>
      </c>
      <c r="K402" s="276">
        <f t="shared" si="6"/>
        <v>2.09</v>
      </c>
      <c r="L402" s="335"/>
      <c r="N402" s="288"/>
      <c r="O402" s="287"/>
      <c r="P402" s="287"/>
      <c r="Q402" s="287"/>
    </row>
    <row r="403" spans="1:17" ht="14.25">
      <c r="A403" s="275" t="s">
        <v>2811</v>
      </c>
      <c r="B403" s="275" t="s">
        <v>4014</v>
      </c>
      <c r="C403" s="275" t="s">
        <v>3505</v>
      </c>
      <c r="D403" s="275" t="s">
        <v>3056</v>
      </c>
      <c r="E403" s="275" t="s">
        <v>2802</v>
      </c>
      <c r="F403" s="278">
        <v>33073</v>
      </c>
      <c r="G403" s="275" t="s">
        <v>2803</v>
      </c>
      <c r="H403" s="276">
        <v>11.7</v>
      </c>
      <c r="I403" s="276">
        <v>52.8</v>
      </c>
      <c r="J403" s="276">
        <v>9.81</v>
      </c>
      <c r="K403" s="276">
        <f t="shared" si="6"/>
        <v>1.8899999999999988</v>
      </c>
      <c r="L403" s="335"/>
      <c r="N403" s="288"/>
      <c r="O403" s="287"/>
      <c r="P403" s="287"/>
      <c r="Q403" s="287"/>
    </row>
    <row r="404" spans="1:17" ht="14.25">
      <c r="A404" s="275" t="s">
        <v>2824</v>
      </c>
      <c r="B404" s="275" t="s">
        <v>3094</v>
      </c>
      <c r="C404" s="275" t="s">
        <v>3504</v>
      </c>
      <c r="D404" s="275" t="s">
        <v>3056</v>
      </c>
      <c r="E404" s="275" t="s">
        <v>2802</v>
      </c>
      <c r="F404" s="278">
        <v>33116</v>
      </c>
      <c r="G404" s="275" t="s">
        <v>2803</v>
      </c>
      <c r="H404" s="276">
        <v>12.5</v>
      </c>
      <c r="I404" s="276">
        <v>45</v>
      </c>
      <c r="J404" s="276">
        <v>9.76</v>
      </c>
      <c r="K404" s="276">
        <f t="shared" si="6"/>
        <v>2.74</v>
      </c>
      <c r="L404" s="335"/>
      <c r="N404" s="288"/>
      <c r="O404" s="287"/>
      <c r="P404" s="287"/>
      <c r="Q404" s="287"/>
    </row>
    <row r="405" spans="1:17" ht="14.25">
      <c r="A405" s="275" t="s">
        <v>2824</v>
      </c>
      <c r="B405" s="275" t="s">
        <v>3094</v>
      </c>
      <c r="C405" s="275" t="s">
        <v>3503</v>
      </c>
      <c r="D405" s="275" t="s">
        <v>3056</v>
      </c>
      <c r="E405" s="275" t="s">
        <v>2802</v>
      </c>
      <c r="F405" s="278">
        <v>33116</v>
      </c>
      <c r="G405" s="275" t="s">
        <v>2803</v>
      </c>
      <c r="H405" s="276">
        <v>12.5</v>
      </c>
      <c r="I405" s="276">
        <v>45</v>
      </c>
      <c r="J405" s="276">
        <v>9.76</v>
      </c>
      <c r="K405" s="276">
        <f t="shared" si="6"/>
        <v>2.74</v>
      </c>
      <c r="L405" s="335"/>
      <c r="N405" s="288"/>
      <c r="O405" s="287"/>
      <c r="P405" s="287"/>
      <c r="Q405" s="287"/>
    </row>
    <row r="406" spans="1:17" ht="14.25">
      <c r="A406" s="275" t="s">
        <v>2835</v>
      </c>
      <c r="B406" s="275" t="s">
        <v>3075</v>
      </c>
      <c r="C406" s="275" t="s">
        <v>3502</v>
      </c>
      <c r="D406" s="275" t="s">
        <v>3056</v>
      </c>
      <c r="E406" s="275" t="s">
        <v>2802</v>
      </c>
      <c r="F406" s="278">
        <v>33129</v>
      </c>
      <c r="G406" s="275" t="s">
        <v>2803</v>
      </c>
      <c r="H406" s="276">
        <v>12.5</v>
      </c>
      <c r="I406" s="276">
        <v>41.54</v>
      </c>
      <c r="J406" s="276">
        <v>9.76</v>
      </c>
      <c r="K406" s="276">
        <f t="shared" si="6"/>
        <v>2.74</v>
      </c>
      <c r="L406" s="335"/>
      <c r="N406" s="288"/>
      <c r="O406" s="287"/>
      <c r="P406" s="287"/>
      <c r="Q406" s="287"/>
    </row>
    <row r="407" spans="1:17" ht="14.25">
      <c r="A407" s="275" t="s">
        <v>2806</v>
      </c>
      <c r="B407" s="275" t="s">
        <v>3081</v>
      </c>
      <c r="C407" s="275" t="s">
        <v>3501</v>
      </c>
      <c r="D407" s="275" t="s">
        <v>3056</v>
      </c>
      <c r="E407" s="275" t="s">
        <v>2802</v>
      </c>
      <c r="F407" s="278">
        <v>33134</v>
      </c>
      <c r="G407" s="275" t="s">
        <v>2803</v>
      </c>
      <c r="H407" s="276">
        <v>12.75</v>
      </c>
      <c r="I407" s="276">
        <v>48.96</v>
      </c>
      <c r="J407" s="276">
        <v>9.9</v>
      </c>
      <c r="K407" s="276">
        <f t="shared" si="6"/>
        <v>2.8499999999999996</v>
      </c>
      <c r="L407" s="335"/>
      <c r="N407" s="288"/>
      <c r="O407" s="287"/>
      <c r="P407" s="287"/>
      <c r="Q407" s="287"/>
    </row>
    <row r="408" spans="1:17" ht="14.25">
      <c r="A408" s="275" t="s">
        <v>2804</v>
      </c>
      <c r="B408" s="275" t="s">
        <v>3500</v>
      </c>
      <c r="C408" s="275" t="s">
        <v>3499</v>
      </c>
      <c r="D408" s="275" t="s">
        <v>3056</v>
      </c>
      <c r="E408" s="275" t="s">
        <v>2802</v>
      </c>
      <c r="F408" s="278">
        <v>33136</v>
      </c>
      <c r="G408" s="275" t="s">
        <v>2803</v>
      </c>
      <c r="H408" s="276">
        <v>12.5</v>
      </c>
      <c r="I408" s="276">
        <v>47.5</v>
      </c>
      <c r="J408" s="276">
        <v>9.9</v>
      </c>
      <c r="K408" s="276">
        <f t="shared" si="6"/>
        <v>2.5999999999999996</v>
      </c>
      <c r="L408" s="335"/>
      <c r="N408" s="288"/>
      <c r="O408" s="287"/>
      <c r="P408" s="287"/>
      <c r="Q408" s="287"/>
    </row>
    <row r="409" spans="1:17" ht="14.25">
      <c r="A409" s="275" t="s">
        <v>2835</v>
      </c>
      <c r="B409" s="275" t="s">
        <v>2877</v>
      </c>
      <c r="C409" s="275" t="s">
        <v>3498</v>
      </c>
      <c r="D409" s="275" t="s">
        <v>3056</v>
      </c>
      <c r="E409" s="275" t="s">
        <v>2802</v>
      </c>
      <c r="F409" s="278">
        <v>33148</v>
      </c>
      <c r="G409" s="275" t="s">
        <v>2803</v>
      </c>
      <c r="H409" s="276">
        <v>13</v>
      </c>
      <c r="I409" s="276">
        <v>49.9</v>
      </c>
      <c r="J409" s="276">
        <v>9.9</v>
      </c>
      <c r="K409" s="276">
        <f t="shared" si="6"/>
        <v>3.0999999999999996</v>
      </c>
      <c r="L409" s="335"/>
      <c r="N409" s="288"/>
      <c r="O409" s="287"/>
      <c r="P409" s="287"/>
      <c r="Q409" s="287"/>
    </row>
    <row r="410" spans="1:17" ht="14.25">
      <c r="A410" s="275" t="s">
        <v>2801</v>
      </c>
      <c r="B410" s="275" t="s">
        <v>4021</v>
      </c>
      <c r="C410" s="275" t="s">
        <v>3497</v>
      </c>
      <c r="D410" s="275" t="s">
        <v>3056</v>
      </c>
      <c r="E410" s="275" t="s">
        <v>2802</v>
      </c>
      <c r="F410" s="278">
        <v>33186</v>
      </c>
      <c r="G410" s="275" t="s">
        <v>2803</v>
      </c>
      <c r="H410" s="276">
        <v>13.25</v>
      </c>
      <c r="I410" s="276">
        <v>47.76</v>
      </c>
      <c r="J410" s="276">
        <v>10.119999999999999</v>
      </c>
      <c r="K410" s="276">
        <f t="shared" si="6"/>
        <v>3.1300000000000008</v>
      </c>
      <c r="L410" s="335"/>
      <c r="N410" s="288"/>
      <c r="O410" s="287"/>
      <c r="P410" s="287"/>
      <c r="Q410" s="287"/>
    </row>
    <row r="411" spans="1:17" ht="14.25">
      <c r="A411" s="275" t="s">
        <v>2804</v>
      </c>
      <c r="B411" s="275" t="s">
        <v>3495</v>
      </c>
      <c r="C411" s="275" t="s">
        <v>3494</v>
      </c>
      <c r="D411" s="275" t="s">
        <v>3056</v>
      </c>
      <c r="E411" s="275" t="s">
        <v>2802</v>
      </c>
      <c r="F411" s="278">
        <v>33198</v>
      </c>
      <c r="G411" s="275" t="s">
        <v>2803</v>
      </c>
      <c r="H411" s="276">
        <v>12.5</v>
      </c>
      <c r="I411" s="276">
        <v>49.2</v>
      </c>
      <c r="J411" s="276">
        <v>10.06</v>
      </c>
      <c r="K411" s="276">
        <f t="shared" si="6"/>
        <v>2.4399999999999995</v>
      </c>
      <c r="L411" s="335"/>
      <c r="N411" s="288"/>
      <c r="O411" s="287"/>
      <c r="P411" s="287"/>
      <c r="Q411" s="287"/>
    </row>
    <row r="412" spans="1:17" ht="14.25">
      <c r="A412" s="275" t="s">
        <v>2821</v>
      </c>
      <c r="B412" s="275" t="s">
        <v>3073</v>
      </c>
      <c r="C412" s="275" t="s">
        <v>3496</v>
      </c>
      <c r="D412" s="275" t="s">
        <v>3056</v>
      </c>
      <c r="E412" s="275" t="s">
        <v>2802</v>
      </c>
      <c r="F412" s="278">
        <v>33198</v>
      </c>
      <c r="G412" s="275" t="s">
        <v>2803</v>
      </c>
      <c r="H412" s="276">
        <v>12.1</v>
      </c>
      <c r="I412" s="276">
        <v>51.09</v>
      </c>
      <c r="J412" s="276">
        <v>10.06</v>
      </c>
      <c r="K412" s="276">
        <f t="shared" si="6"/>
        <v>2.0399999999999991</v>
      </c>
      <c r="L412" s="335"/>
      <c r="N412" s="288"/>
      <c r="O412" s="287"/>
      <c r="P412" s="287"/>
      <c r="Q412" s="287"/>
    </row>
    <row r="413" spans="1:17" ht="14.25">
      <c r="A413" s="275" t="s">
        <v>2801</v>
      </c>
      <c r="B413" s="275" t="s">
        <v>2849</v>
      </c>
      <c r="C413" s="275" t="s">
        <v>3493</v>
      </c>
      <c r="D413" s="275" t="s">
        <v>3056</v>
      </c>
      <c r="E413" s="275" t="s">
        <v>2802</v>
      </c>
      <c r="F413" s="278">
        <v>33205</v>
      </c>
      <c r="G413" s="275" t="s">
        <v>2803</v>
      </c>
      <c r="H413" s="276">
        <v>12.75</v>
      </c>
      <c r="I413" s="276">
        <v>48.76</v>
      </c>
      <c r="J413" s="276">
        <v>10.06</v>
      </c>
      <c r="K413" s="276">
        <f t="shared" si="6"/>
        <v>2.6899999999999995</v>
      </c>
      <c r="L413" s="335"/>
      <c r="N413" s="288"/>
      <c r="O413" s="287"/>
      <c r="P413" s="287"/>
      <c r="Q413" s="287"/>
    </row>
    <row r="414" spans="1:17" ht="14.25">
      <c r="A414" s="275" t="s">
        <v>2871</v>
      </c>
      <c r="B414" s="275" t="s">
        <v>3357</v>
      </c>
      <c r="C414" s="275" t="s">
        <v>3492</v>
      </c>
      <c r="D414" s="275" t="s">
        <v>3056</v>
      </c>
      <c r="E414" s="275" t="s">
        <v>2802</v>
      </c>
      <c r="F414" s="278">
        <v>33206</v>
      </c>
      <c r="G414" s="275" t="s">
        <v>2803</v>
      </c>
      <c r="H414" s="276">
        <v>12.75</v>
      </c>
      <c r="I414" s="276">
        <v>44.2</v>
      </c>
      <c r="J414" s="276">
        <v>10.06</v>
      </c>
      <c r="K414" s="276">
        <f t="shared" si="6"/>
        <v>2.6899999999999995</v>
      </c>
      <c r="L414" s="335"/>
      <c r="N414" s="288"/>
      <c r="O414" s="287"/>
      <c r="P414" s="287"/>
      <c r="Q414" s="287"/>
    </row>
    <row r="415" spans="1:17" ht="14.25">
      <c r="A415" s="275" t="s">
        <v>2809</v>
      </c>
      <c r="B415" s="275" t="s">
        <v>2853</v>
      </c>
      <c r="C415" s="275" t="s">
        <v>3491</v>
      </c>
      <c r="D415" s="275" t="s">
        <v>3056</v>
      </c>
      <c r="E415" s="275" t="s">
        <v>2802</v>
      </c>
      <c r="F415" s="278">
        <v>33225</v>
      </c>
      <c r="G415" s="275" t="s">
        <v>2803</v>
      </c>
      <c r="H415" s="276">
        <v>13.1</v>
      </c>
      <c r="I415" s="276">
        <v>50.98</v>
      </c>
      <c r="J415" s="276">
        <v>9.91</v>
      </c>
      <c r="K415" s="276">
        <f t="shared" si="6"/>
        <v>3.1899999999999995</v>
      </c>
      <c r="L415" s="335"/>
      <c r="N415" s="288"/>
      <c r="O415" s="287"/>
      <c r="P415" s="287"/>
      <c r="Q415" s="287"/>
    </row>
    <row r="416" spans="1:17" ht="14.25">
      <c r="A416" s="275" t="s">
        <v>2804</v>
      </c>
      <c r="B416" s="275" t="s">
        <v>4014</v>
      </c>
      <c r="C416" s="275" t="s">
        <v>3490</v>
      </c>
      <c r="D416" s="275" t="s">
        <v>3056</v>
      </c>
      <c r="E416" s="275" t="s">
        <v>2802</v>
      </c>
      <c r="F416" s="278">
        <v>33227</v>
      </c>
      <c r="G416" s="275" t="s">
        <v>2803</v>
      </c>
      <c r="H416" s="276">
        <v>12.5</v>
      </c>
      <c r="I416" s="276">
        <v>49.2</v>
      </c>
      <c r="J416" s="276">
        <v>9.91</v>
      </c>
      <c r="K416" s="276">
        <f t="shared" si="6"/>
        <v>2.59</v>
      </c>
      <c r="L416" s="335"/>
      <c r="N416" s="288"/>
      <c r="O416" s="287"/>
      <c r="P416" s="287"/>
      <c r="Q416" s="287"/>
    </row>
    <row r="417" spans="1:17" ht="14.25">
      <c r="A417" s="275" t="s">
        <v>3392</v>
      </c>
      <c r="B417" s="275" t="s">
        <v>4029</v>
      </c>
      <c r="C417" s="275" t="s">
        <v>3487</v>
      </c>
      <c r="D417" s="275" t="s">
        <v>3056</v>
      </c>
      <c r="E417" s="275" t="s">
        <v>2802</v>
      </c>
      <c r="F417" s="278">
        <v>33228</v>
      </c>
      <c r="G417" s="275" t="s">
        <v>2803</v>
      </c>
      <c r="H417" s="276">
        <v>13.6</v>
      </c>
      <c r="I417" s="276">
        <v>47.06</v>
      </c>
      <c r="J417" s="276">
        <v>9.91</v>
      </c>
      <c r="K417" s="276">
        <f t="shared" si="6"/>
        <v>3.6899999999999995</v>
      </c>
      <c r="L417" s="335"/>
      <c r="N417" s="288"/>
      <c r="O417" s="287"/>
      <c r="P417" s="287"/>
      <c r="Q417" s="287"/>
    </row>
    <row r="418" spans="1:17" ht="14.25">
      <c r="A418" s="275" t="s">
        <v>2878</v>
      </c>
      <c r="B418" s="275" t="s">
        <v>3309</v>
      </c>
      <c r="C418" s="275" t="s">
        <v>3488</v>
      </c>
      <c r="D418" s="275" t="s">
        <v>3056</v>
      </c>
      <c r="E418" s="275" t="s">
        <v>2802</v>
      </c>
      <c r="F418" s="278">
        <v>33228</v>
      </c>
      <c r="G418" s="275" t="s">
        <v>2803</v>
      </c>
      <c r="H418" s="276">
        <v>13</v>
      </c>
      <c r="I418" s="276">
        <v>50.75</v>
      </c>
      <c r="J418" s="276">
        <v>9.91</v>
      </c>
      <c r="K418" s="276">
        <f t="shared" si="6"/>
        <v>3.09</v>
      </c>
      <c r="L418" s="335"/>
      <c r="N418" s="288"/>
      <c r="O418" s="287"/>
      <c r="P418" s="287"/>
      <c r="Q418" s="287"/>
    </row>
    <row r="419" spans="1:17" ht="14.25">
      <c r="A419" s="275" t="s">
        <v>2835</v>
      </c>
      <c r="B419" s="275" t="s">
        <v>2836</v>
      </c>
      <c r="C419" s="275" t="s">
        <v>3489</v>
      </c>
      <c r="D419" s="275" t="s">
        <v>3056</v>
      </c>
      <c r="E419" s="275" t="s">
        <v>2802</v>
      </c>
      <c r="F419" s="278">
        <v>33228</v>
      </c>
      <c r="G419" s="275" t="s">
        <v>2803</v>
      </c>
      <c r="H419" s="276">
        <v>12.5</v>
      </c>
      <c r="I419" s="276">
        <v>44</v>
      </c>
      <c r="J419" s="276">
        <v>9.91</v>
      </c>
      <c r="K419" s="276">
        <f t="shared" si="6"/>
        <v>2.59</v>
      </c>
      <c r="L419" s="335"/>
      <c r="N419" s="288"/>
      <c r="O419" s="287"/>
      <c r="P419" s="287"/>
      <c r="Q419" s="287"/>
    </row>
    <row r="420" spans="1:17" ht="14.25">
      <c r="A420" s="275" t="s">
        <v>2801</v>
      </c>
      <c r="B420" s="275" t="s">
        <v>2849</v>
      </c>
      <c r="C420" s="275" t="s">
        <v>3486</v>
      </c>
      <c r="D420" s="275" t="s">
        <v>3056</v>
      </c>
      <c r="E420" s="275" t="s">
        <v>2802</v>
      </c>
      <c r="F420" s="278">
        <v>33254</v>
      </c>
      <c r="G420" s="275" t="s">
        <v>2803</v>
      </c>
      <c r="H420" s="276">
        <v>13.25</v>
      </c>
      <c r="I420" s="276">
        <v>46.52</v>
      </c>
      <c r="J420" s="276">
        <v>9.73</v>
      </c>
      <c r="K420" s="276">
        <f t="shared" si="6"/>
        <v>3.5199999999999996</v>
      </c>
      <c r="L420" s="335"/>
      <c r="N420" s="288"/>
      <c r="O420" s="287"/>
      <c r="P420" s="287"/>
      <c r="Q420" s="287"/>
    </row>
    <row r="421" spans="1:17" ht="14.25">
      <c r="A421" s="275" t="s">
        <v>2811</v>
      </c>
      <c r="B421" s="275" t="s">
        <v>2832</v>
      </c>
      <c r="C421" s="275" t="s">
        <v>3485</v>
      </c>
      <c r="D421" s="275" t="s">
        <v>3056</v>
      </c>
      <c r="E421" s="275" t="s">
        <v>2802</v>
      </c>
      <c r="F421" s="278">
        <v>33263</v>
      </c>
      <c r="G421" s="275" t="s">
        <v>2803</v>
      </c>
      <c r="H421" s="276">
        <v>11.7</v>
      </c>
      <c r="I421" s="276">
        <v>41.96</v>
      </c>
      <c r="J421" s="276">
        <v>9.73</v>
      </c>
      <c r="K421" s="276">
        <f t="shared" si="6"/>
        <v>1.9699999999999989</v>
      </c>
      <c r="L421" s="335"/>
      <c r="N421" s="288"/>
      <c r="O421" s="287"/>
      <c r="P421" s="287"/>
      <c r="Q421" s="287"/>
    </row>
    <row r="422" spans="1:17" ht="14.25">
      <c r="A422" s="275" t="s">
        <v>2867</v>
      </c>
      <c r="B422" s="275" t="s">
        <v>2868</v>
      </c>
      <c r="C422" s="275" t="s">
        <v>3484</v>
      </c>
      <c r="D422" s="275" t="s">
        <v>3056</v>
      </c>
      <c r="E422" s="275" t="s">
        <v>2802</v>
      </c>
      <c r="F422" s="278">
        <v>33284</v>
      </c>
      <c r="G422" s="275" t="s">
        <v>2803</v>
      </c>
      <c r="H422" s="276">
        <v>12.8</v>
      </c>
      <c r="I422" s="276">
        <v>41.02</v>
      </c>
      <c r="J422" s="276">
        <v>9.7100000000000009</v>
      </c>
      <c r="K422" s="276">
        <f t="shared" si="6"/>
        <v>3.09</v>
      </c>
      <c r="L422" s="335"/>
      <c r="N422" s="288"/>
      <c r="O422" s="287"/>
      <c r="P422" s="287"/>
      <c r="Q422" s="287"/>
    </row>
    <row r="423" spans="1:17" ht="14.25">
      <c r="A423" s="275" t="s">
        <v>2811</v>
      </c>
      <c r="B423" s="275" t="s">
        <v>4017</v>
      </c>
      <c r="C423" s="275" t="s">
        <v>3483</v>
      </c>
      <c r="D423" s="275" t="s">
        <v>3056</v>
      </c>
      <c r="E423" s="275" t="s">
        <v>2802</v>
      </c>
      <c r="F423" s="278">
        <v>33414</v>
      </c>
      <c r="G423" s="275" t="s">
        <v>2803</v>
      </c>
      <c r="H423" s="276">
        <v>11.7</v>
      </c>
      <c r="I423" s="276">
        <v>41.79</v>
      </c>
      <c r="J423" s="276">
        <v>9.43</v>
      </c>
      <c r="K423" s="276">
        <f t="shared" si="6"/>
        <v>2.2699999999999996</v>
      </c>
      <c r="L423" s="335"/>
      <c r="N423" s="288"/>
      <c r="O423" s="287"/>
      <c r="P423" s="287"/>
      <c r="Q423" s="287"/>
    </row>
    <row r="424" spans="1:17" ht="14.25">
      <c r="A424" s="275" t="s">
        <v>2811</v>
      </c>
      <c r="B424" s="275" t="s">
        <v>2855</v>
      </c>
      <c r="C424" s="275" t="s">
        <v>3482</v>
      </c>
      <c r="D424" s="275" t="s">
        <v>3056</v>
      </c>
      <c r="E424" s="275" t="s">
        <v>2802</v>
      </c>
      <c r="F424" s="278">
        <v>33420</v>
      </c>
      <c r="G424" s="275" t="s">
        <v>2803</v>
      </c>
      <c r="H424" s="276">
        <v>11.7</v>
      </c>
      <c r="I424" s="276">
        <v>41.48</v>
      </c>
      <c r="J424" s="276">
        <v>9.43</v>
      </c>
      <c r="K424" s="276">
        <f t="shared" si="6"/>
        <v>2.2699999999999996</v>
      </c>
      <c r="L424" s="335"/>
      <c r="N424" s="288"/>
      <c r="O424" s="287"/>
      <c r="P424" s="287"/>
      <c r="Q424" s="287"/>
    </row>
    <row r="425" spans="1:17" ht="14.25">
      <c r="A425" s="275" t="s">
        <v>2811</v>
      </c>
      <c r="B425" s="275" t="s">
        <v>4014</v>
      </c>
      <c r="C425" s="275" t="s">
        <v>3480</v>
      </c>
      <c r="D425" s="275" t="s">
        <v>3056</v>
      </c>
      <c r="E425" s="275" t="s">
        <v>2802</v>
      </c>
      <c r="F425" s="278">
        <v>33438</v>
      </c>
      <c r="G425" s="275" t="s">
        <v>2803</v>
      </c>
      <c r="H425" s="276">
        <v>12.3</v>
      </c>
      <c r="I425" s="276">
        <v>49.36</v>
      </c>
      <c r="J425" s="276">
        <v>9.58</v>
      </c>
      <c r="K425" s="276">
        <f t="shared" si="6"/>
        <v>2.7200000000000006</v>
      </c>
      <c r="L425" s="335"/>
      <c r="N425" s="288"/>
      <c r="O425" s="287"/>
      <c r="P425" s="287"/>
      <c r="Q425" s="287"/>
    </row>
    <row r="426" spans="1:17" ht="14.25">
      <c r="A426" s="275" t="s">
        <v>2846</v>
      </c>
      <c r="B426" s="275" t="s">
        <v>2847</v>
      </c>
      <c r="C426" s="275" t="s">
        <v>3481</v>
      </c>
      <c r="D426" s="275" t="s">
        <v>3056</v>
      </c>
      <c r="E426" s="275" t="s">
        <v>2802</v>
      </c>
      <c r="F426" s="278">
        <v>33438</v>
      </c>
      <c r="G426" s="275" t="s">
        <v>2803</v>
      </c>
      <c r="H426" s="276">
        <v>12.1</v>
      </c>
      <c r="I426" s="276">
        <v>44.78</v>
      </c>
      <c r="J426" s="276">
        <v>9.58</v>
      </c>
      <c r="K426" s="276">
        <f t="shared" si="6"/>
        <v>2.5199999999999996</v>
      </c>
      <c r="L426" s="335"/>
      <c r="N426" s="288"/>
      <c r="O426" s="287"/>
      <c r="P426" s="287"/>
      <c r="Q426" s="287"/>
    </row>
    <row r="427" spans="1:17" ht="14.25">
      <c r="A427" s="275" t="s">
        <v>2871</v>
      </c>
      <c r="B427" s="275" t="s">
        <v>3277</v>
      </c>
      <c r="C427" s="275" t="s">
        <v>3479</v>
      </c>
      <c r="D427" s="275" t="s">
        <v>3056</v>
      </c>
      <c r="E427" s="275" t="s">
        <v>2802</v>
      </c>
      <c r="F427" s="278">
        <v>33465</v>
      </c>
      <c r="G427" s="275" t="s">
        <v>2803</v>
      </c>
      <c r="H427" s="276">
        <v>12.25</v>
      </c>
      <c r="I427" s="276">
        <v>60.34</v>
      </c>
      <c r="J427" s="276">
        <v>9.5500000000000007</v>
      </c>
      <c r="K427" s="276">
        <f t="shared" si="6"/>
        <v>2.6999999999999993</v>
      </c>
      <c r="L427" s="335"/>
      <c r="N427" s="288"/>
      <c r="O427" s="287"/>
      <c r="P427" s="287"/>
      <c r="Q427" s="287"/>
    </row>
    <row r="428" spans="1:17" ht="14.25">
      <c r="A428" s="275" t="s">
        <v>2809</v>
      </c>
      <c r="B428" s="275" t="s">
        <v>4025</v>
      </c>
      <c r="C428" s="275" t="s">
        <v>3478</v>
      </c>
      <c r="D428" s="275" t="s">
        <v>3056</v>
      </c>
      <c r="E428" s="275" t="s">
        <v>2802</v>
      </c>
      <c r="F428" s="278">
        <v>33479</v>
      </c>
      <c r="G428" s="275" t="s">
        <v>2803</v>
      </c>
      <c r="H428" s="276">
        <v>13.3</v>
      </c>
      <c r="I428" s="276">
        <v>52.73</v>
      </c>
      <c r="J428" s="276">
        <v>9.5500000000000007</v>
      </c>
      <c r="K428" s="276">
        <f t="shared" si="6"/>
        <v>3.75</v>
      </c>
      <c r="L428" s="335"/>
      <c r="N428" s="288"/>
      <c r="O428" s="287"/>
      <c r="P428" s="287"/>
      <c r="Q428" s="287"/>
    </row>
    <row r="429" spans="1:17" ht="14.25">
      <c r="A429" s="275" t="s">
        <v>2811</v>
      </c>
      <c r="B429" s="275" t="s">
        <v>2814</v>
      </c>
      <c r="C429" s="275" t="s">
        <v>3477</v>
      </c>
      <c r="D429" s="275" t="s">
        <v>3056</v>
      </c>
      <c r="E429" s="275" t="s">
        <v>2802</v>
      </c>
      <c r="F429" s="278">
        <v>33514</v>
      </c>
      <c r="G429" s="275" t="s">
        <v>2803</v>
      </c>
      <c r="H429" s="276">
        <v>11.3</v>
      </c>
      <c r="I429" s="276">
        <v>50</v>
      </c>
      <c r="J429" s="276">
        <v>9.31</v>
      </c>
      <c r="K429" s="276">
        <f t="shared" si="6"/>
        <v>1.9900000000000002</v>
      </c>
      <c r="L429" s="335"/>
      <c r="N429" s="288"/>
      <c r="O429" s="287"/>
      <c r="P429" s="287"/>
      <c r="Q429" s="287"/>
    </row>
    <row r="430" spans="1:17" ht="14.25">
      <c r="A430" s="275" t="s">
        <v>2809</v>
      </c>
      <c r="B430" s="275" t="s">
        <v>3142</v>
      </c>
      <c r="C430" s="275" t="s">
        <v>3476</v>
      </c>
      <c r="D430" s="275" t="s">
        <v>3056</v>
      </c>
      <c r="E430" s="275" t="s">
        <v>2802</v>
      </c>
      <c r="F430" s="278">
        <v>33526</v>
      </c>
      <c r="G430" s="275" t="s">
        <v>2803</v>
      </c>
      <c r="H430" s="276">
        <v>13.4</v>
      </c>
      <c r="I430" s="276">
        <v>49.09</v>
      </c>
      <c r="J430" s="276">
        <v>9.17</v>
      </c>
      <c r="K430" s="276">
        <f t="shared" si="6"/>
        <v>4.2300000000000004</v>
      </c>
      <c r="L430" s="335"/>
      <c r="N430" s="288"/>
      <c r="O430" s="287"/>
      <c r="P430" s="287"/>
      <c r="Q430" s="287"/>
    </row>
    <row r="431" spans="1:17" ht="14.25">
      <c r="A431" s="275" t="s">
        <v>2801</v>
      </c>
      <c r="B431" s="275" t="s">
        <v>3139</v>
      </c>
      <c r="C431" s="275" t="s">
        <v>3475</v>
      </c>
      <c r="D431" s="275" t="s">
        <v>3056</v>
      </c>
      <c r="E431" s="275" t="s">
        <v>2802</v>
      </c>
      <c r="F431" s="278">
        <v>33550</v>
      </c>
      <c r="G431" s="275" t="s">
        <v>2803</v>
      </c>
      <c r="H431" s="276">
        <v>12.75</v>
      </c>
      <c r="I431" s="276">
        <v>53.63</v>
      </c>
      <c r="J431" s="276">
        <v>9.17</v>
      </c>
      <c r="K431" s="276">
        <f t="shared" si="6"/>
        <v>3.58</v>
      </c>
      <c r="L431" s="335"/>
      <c r="N431" s="288"/>
      <c r="O431" s="287"/>
      <c r="P431" s="287"/>
      <c r="Q431" s="287"/>
    </row>
    <row r="432" spans="1:17" ht="14.25">
      <c r="A432" s="275" t="s">
        <v>2806</v>
      </c>
      <c r="B432" s="275" t="s">
        <v>3081</v>
      </c>
      <c r="C432" s="275" t="s">
        <v>3473</v>
      </c>
      <c r="D432" s="275" t="s">
        <v>3056</v>
      </c>
      <c r="E432" s="275" t="s">
        <v>2802</v>
      </c>
      <c r="F432" s="278">
        <v>33568</v>
      </c>
      <c r="G432" s="275" t="s">
        <v>2803</v>
      </c>
      <c r="H432" s="276">
        <v>12</v>
      </c>
      <c r="I432" s="276">
        <v>44.25</v>
      </c>
      <c r="J432" s="276">
        <v>9.1199999999999992</v>
      </c>
      <c r="K432" s="276">
        <f t="shared" si="6"/>
        <v>2.8800000000000008</v>
      </c>
      <c r="L432" s="335"/>
      <c r="N432" s="288"/>
      <c r="O432" s="287"/>
      <c r="P432" s="287"/>
      <c r="Q432" s="287"/>
    </row>
    <row r="433" spans="1:17" ht="14.25">
      <c r="A433" s="275" t="s">
        <v>2811</v>
      </c>
      <c r="B433" s="275" t="s">
        <v>2875</v>
      </c>
      <c r="C433" s="275" t="s">
        <v>3474</v>
      </c>
      <c r="D433" s="275" t="s">
        <v>3056</v>
      </c>
      <c r="E433" s="275" t="s">
        <v>2802</v>
      </c>
      <c r="F433" s="278">
        <v>33568</v>
      </c>
      <c r="G433" s="275" t="s">
        <v>2803</v>
      </c>
      <c r="H433" s="276">
        <v>11.6</v>
      </c>
      <c r="I433" s="276">
        <v>28.4</v>
      </c>
      <c r="J433" s="276">
        <v>9.1199999999999992</v>
      </c>
      <c r="K433" s="276">
        <f t="shared" si="6"/>
        <v>2.4800000000000004</v>
      </c>
      <c r="L433" s="335"/>
      <c r="N433" s="288"/>
      <c r="O433" s="287"/>
      <c r="P433" s="287"/>
      <c r="Q433" s="287"/>
    </row>
    <row r="434" spans="1:17" ht="14.25">
      <c r="A434" s="275" t="s">
        <v>2850</v>
      </c>
      <c r="B434" s="275" t="s">
        <v>3472</v>
      </c>
      <c r="C434" s="275" t="s">
        <v>3471</v>
      </c>
      <c r="D434" s="275" t="s">
        <v>3056</v>
      </c>
      <c r="E434" s="275" t="s">
        <v>2802</v>
      </c>
      <c r="F434" s="278">
        <v>33578</v>
      </c>
      <c r="G434" s="275" t="s">
        <v>2803</v>
      </c>
      <c r="H434" s="276">
        <v>12.7</v>
      </c>
      <c r="I434" s="276">
        <v>49</v>
      </c>
      <c r="J434" s="276">
        <v>9.1199999999999992</v>
      </c>
      <c r="K434" s="276">
        <f t="shared" si="6"/>
        <v>3.58</v>
      </c>
      <c r="L434" s="335"/>
      <c r="N434" s="288"/>
      <c r="O434" s="287"/>
      <c r="P434" s="287"/>
      <c r="Q434" s="287"/>
    </row>
    <row r="435" spans="1:17" ht="14.25">
      <c r="A435" s="275" t="s">
        <v>2809</v>
      </c>
      <c r="B435" s="275" t="s">
        <v>2853</v>
      </c>
      <c r="C435" s="275" t="s">
        <v>3469</v>
      </c>
      <c r="D435" s="275" t="s">
        <v>3056</v>
      </c>
      <c r="E435" s="275" t="s">
        <v>2802</v>
      </c>
      <c r="F435" s="278">
        <v>33591</v>
      </c>
      <c r="G435" s="275" t="s">
        <v>2803</v>
      </c>
      <c r="H435" s="276">
        <v>12.8</v>
      </c>
      <c r="I435" s="276">
        <v>52.97</v>
      </c>
      <c r="J435" s="276">
        <v>9.0500000000000007</v>
      </c>
      <c r="K435" s="276">
        <f t="shared" si="6"/>
        <v>3.75</v>
      </c>
      <c r="L435" s="335"/>
      <c r="N435" s="288"/>
      <c r="O435" s="287"/>
      <c r="P435" s="287"/>
      <c r="Q435" s="287"/>
    </row>
    <row r="436" spans="1:17" ht="14.25">
      <c r="A436" s="275" t="s">
        <v>2809</v>
      </c>
      <c r="B436" s="275" t="s">
        <v>4023</v>
      </c>
      <c r="C436" s="275" t="s">
        <v>3470</v>
      </c>
      <c r="D436" s="275" t="s">
        <v>3056</v>
      </c>
      <c r="E436" s="275" t="s">
        <v>2802</v>
      </c>
      <c r="F436" s="278">
        <v>33591</v>
      </c>
      <c r="G436" s="275" t="s">
        <v>2803</v>
      </c>
      <c r="H436" s="276">
        <v>12.6</v>
      </c>
      <c r="I436" s="276">
        <v>57.08</v>
      </c>
      <c r="J436" s="276">
        <v>9.0500000000000007</v>
      </c>
      <c r="K436" s="276">
        <f t="shared" si="6"/>
        <v>3.5499999999999989</v>
      </c>
      <c r="L436" s="335"/>
      <c r="N436" s="288"/>
      <c r="O436" s="287"/>
      <c r="P436" s="287"/>
      <c r="Q436" s="287"/>
    </row>
    <row r="437" spans="1:17" ht="14.25">
      <c r="A437" s="275" t="s">
        <v>2813</v>
      </c>
      <c r="B437" s="275" t="s">
        <v>3385</v>
      </c>
      <c r="C437" s="275" t="s">
        <v>3468</v>
      </c>
      <c r="D437" s="275" t="s">
        <v>3056</v>
      </c>
      <c r="E437" s="275" t="s">
        <v>2802</v>
      </c>
      <c r="F437" s="278">
        <v>33602</v>
      </c>
      <c r="G437" s="275" t="s">
        <v>2803</v>
      </c>
      <c r="H437" s="276">
        <v>12.1</v>
      </c>
      <c r="I437" s="276">
        <v>36.840000000000003</v>
      </c>
      <c r="J437" s="276">
        <v>9.0500000000000007</v>
      </c>
      <c r="K437" s="276">
        <f t="shared" si="6"/>
        <v>3.0499999999999989</v>
      </c>
      <c r="L437" s="335"/>
      <c r="N437" s="288"/>
      <c r="O437" s="287"/>
      <c r="P437" s="287"/>
      <c r="Q437" s="287"/>
    </row>
    <row r="438" spans="1:17" ht="14.25">
      <c r="A438" s="275" t="s">
        <v>2860</v>
      </c>
      <c r="B438" s="275" t="s">
        <v>3063</v>
      </c>
      <c r="C438" s="275" t="s">
        <v>3467</v>
      </c>
      <c r="D438" s="275" t="s">
        <v>3056</v>
      </c>
      <c r="E438" s="275" t="s">
        <v>2802</v>
      </c>
      <c r="F438" s="278">
        <v>33625</v>
      </c>
      <c r="G438" s="275" t="s">
        <v>2803</v>
      </c>
      <c r="H438" s="276">
        <v>12.84</v>
      </c>
      <c r="I438" s="276">
        <v>45.25</v>
      </c>
      <c r="J438" s="276">
        <v>8.9</v>
      </c>
      <c r="K438" s="276">
        <f t="shared" si="6"/>
        <v>3.9399999999999995</v>
      </c>
      <c r="L438" s="335"/>
      <c r="N438" s="288"/>
      <c r="O438" s="287"/>
      <c r="P438" s="287"/>
      <c r="Q438" s="287"/>
    </row>
    <row r="439" spans="1:17" ht="14.25">
      <c r="A439" s="275" t="s">
        <v>2837</v>
      </c>
      <c r="B439" s="275" t="s">
        <v>2839</v>
      </c>
      <c r="C439" s="275" t="s">
        <v>3466</v>
      </c>
      <c r="D439" s="275" t="s">
        <v>3056</v>
      </c>
      <c r="E439" s="275" t="s">
        <v>2802</v>
      </c>
      <c r="F439" s="278">
        <v>33634</v>
      </c>
      <c r="G439" s="275" t="s">
        <v>2803</v>
      </c>
      <c r="H439" s="276">
        <v>12</v>
      </c>
      <c r="I439" s="276">
        <v>42.01</v>
      </c>
      <c r="J439" s="276">
        <v>8.9</v>
      </c>
      <c r="K439" s="276">
        <f t="shared" si="6"/>
        <v>3.0999999999999996</v>
      </c>
      <c r="L439" s="335"/>
      <c r="N439" s="288"/>
      <c r="O439" s="287"/>
      <c r="P439" s="287"/>
      <c r="Q439" s="287"/>
    </row>
    <row r="440" spans="1:17" ht="14.25">
      <c r="A440" s="275" t="s">
        <v>2824</v>
      </c>
      <c r="B440" s="275" t="s">
        <v>3094</v>
      </c>
      <c r="C440" s="275" t="s">
        <v>3465</v>
      </c>
      <c r="D440" s="275" t="s">
        <v>3056</v>
      </c>
      <c r="E440" s="275" t="s">
        <v>2802</v>
      </c>
      <c r="F440" s="278">
        <v>33661</v>
      </c>
      <c r="G440" s="275" t="s">
        <v>2803</v>
      </c>
      <c r="H440" s="276">
        <v>11.75</v>
      </c>
      <c r="I440" s="276">
        <v>40</v>
      </c>
      <c r="J440" s="276">
        <v>8.83</v>
      </c>
      <c r="K440" s="276">
        <f t="shared" si="6"/>
        <v>2.92</v>
      </c>
      <c r="L440" s="335"/>
      <c r="N440" s="288"/>
      <c r="O440" s="287"/>
      <c r="P440" s="287"/>
      <c r="Q440" s="287"/>
    </row>
    <row r="441" spans="1:17" ht="14.25">
      <c r="A441" s="275" t="s">
        <v>2801</v>
      </c>
      <c r="B441" s="275" t="s">
        <v>2849</v>
      </c>
      <c r="C441" s="275" t="s">
        <v>3464</v>
      </c>
      <c r="D441" s="275" t="s">
        <v>3056</v>
      </c>
      <c r="E441" s="275" t="s">
        <v>2802</v>
      </c>
      <c r="F441" s="278">
        <v>33681</v>
      </c>
      <c r="G441" s="275" t="s">
        <v>2803</v>
      </c>
      <c r="H441" s="276">
        <v>12.5</v>
      </c>
      <c r="I441" s="276">
        <v>49.11</v>
      </c>
      <c r="J441" s="276">
        <v>8.93</v>
      </c>
      <c r="K441" s="276">
        <f t="shared" si="6"/>
        <v>3.5700000000000003</v>
      </c>
      <c r="L441" s="335"/>
      <c r="N441" s="288"/>
      <c r="O441" s="287"/>
      <c r="P441" s="287"/>
      <c r="Q441" s="287"/>
    </row>
    <row r="442" spans="1:17" ht="14.25">
      <c r="A442" s="275" t="s">
        <v>2816</v>
      </c>
      <c r="B442" s="275" t="s">
        <v>2817</v>
      </c>
      <c r="C442" s="275" t="s">
        <v>3463</v>
      </c>
      <c r="D442" s="275" t="s">
        <v>3056</v>
      </c>
      <c r="E442" s="275" t="s">
        <v>2802</v>
      </c>
      <c r="F442" s="278">
        <v>33739</v>
      </c>
      <c r="G442" s="275" t="s">
        <v>2803</v>
      </c>
      <c r="H442" s="276">
        <v>12.75</v>
      </c>
      <c r="I442" s="276">
        <v>40.86</v>
      </c>
      <c r="J442" s="276">
        <v>8.93</v>
      </c>
      <c r="K442" s="276">
        <f t="shared" si="6"/>
        <v>3.8200000000000003</v>
      </c>
      <c r="L442" s="335"/>
      <c r="N442" s="288"/>
      <c r="O442" s="287"/>
      <c r="P442" s="287"/>
      <c r="Q442" s="287"/>
    </row>
    <row r="443" spans="1:17" ht="14.25">
      <c r="A443" s="275" t="s">
        <v>2811</v>
      </c>
      <c r="B443" s="275" t="s">
        <v>4017</v>
      </c>
      <c r="C443" s="275" t="s">
        <v>3462</v>
      </c>
      <c r="D443" s="275" t="s">
        <v>3056</v>
      </c>
      <c r="E443" s="275" t="s">
        <v>2802</v>
      </c>
      <c r="F443" s="278">
        <v>33784</v>
      </c>
      <c r="G443" s="275" t="s">
        <v>2803</v>
      </c>
      <c r="H443" s="276">
        <v>11</v>
      </c>
      <c r="I443" s="276">
        <v>42.79</v>
      </c>
      <c r="J443" s="276">
        <v>8.8800000000000008</v>
      </c>
      <c r="K443" s="276">
        <f t="shared" si="6"/>
        <v>2.1199999999999992</v>
      </c>
      <c r="L443" s="335"/>
      <c r="N443" s="288"/>
      <c r="O443" s="287"/>
      <c r="P443" s="287"/>
      <c r="Q443" s="287"/>
    </row>
    <row r="444" spans="1:17" ht="14.25">
      <c r="A444" s="275" t="s">
        <v>2811</v>
      </c>
      <c r="B444" s="275" t="s">
        <v>2832</v>
      </c>
      <c r="C444" s="275" t="s">
        <v>3461</v>
      </c>
      <c r="D444" s="275" t="s">
        <v>3056</v>
      </c>
      <c r="E444" s="275" t="s">
        <v>2802</v>
      </c>
      <c r="F444" s="278">
        <v>33807</v>
      </c>
      <c r="G444" s="275" t="s">
        <v>2803</v>
      </c>
      <c r="H444" s="276">
        <v>11.2</v>
      </c>
      <c r="I444" s="276">
        <v>45.02</v>
      </c>
      <c r="J444" s="276">
        <v>8.7899999999999991</v>
      </c>
      <c r="K444" s="276">
        <f t="shared" si="6"/>
        <v>2.41</v>
      </c>
      <c r="L444" s="335"/>
      <c r="N444" s="288"/>
      <c r="O444" s="287"/>
      <c r="P444" s="287"/>
      <c r="Q444" s="287"/>
    </row>
    <row r="445" spans="1:17" ht="14.25">
      <c r="A445" s="275" t="s">
        <v>2830</v>
      </c>
      <c r="B445" s="275" t="s">
        <v>3198</v>
      </c>
      <c r="C445" s="275" t="s">
        <v>3460</v>
      </c>
      <c r="D445" s="275" t="s">
        <v>3056</v>
      </c>
      <c r="E445" s="275" t="s">
        <v>2802</v>
      </c>
      <c r="F445" s="278">
        <v>33842</v>
      </c>
      <c r="G445" s="275" t="s">
        <v>2803</v>
      </c>
      <c r="H445" s="276">
        <v>12.43</v>
      </c>
      <c r="I445" s="276">
        <v>46.61</v>
      </c>
      <c r="J445" s="276">
        <v>8.58</v>
      </c>
      <c r="K445" s="276">
        <f t="shared" si="6"/>
        <v>3.8499999999999996</v>
      </c>
      <c r="L445" s="335"/>
      <c r="N445" s="288"/>
      <c r="O445" s="287"/>
      <c r="P445" s="287"/>
      <c r="Q445" s="287"/>
    </row>
    <row r="446" spans="1:17" ht="14.25">
      <c r="A446" s="275" t="s">
        <v>2806</v>
      </c>
      <c r="B446" s="275" t="s">
        <v>3081</v>
      </c>
      <c r="C446" s="275" t="s">
        <v>3459</v>
      </c>
      <c r="D446" s="275" t="s">
        <v>3056</v>
      </c>
      <c r="E446" s="275" t="s">
        <v>2802</v>
      </c>
      <c r="F446" s="278">
        <v>33877</v>
      </c>
      <c r="G446" s="275" t="s">
        <v>2803</v>
      </c>
      <c r="H446" s="276">
        <v>11.6</v>
      </c>
      <c r="I446" s="276">
        <v>44.2</v>
      </c>
      <c r="J446" s="276">
        <v>8.44</v>
      </c>
      <c r="K446" s="276">
        <f t="shared" si="6"/>
        <v>3.16</v>
      </c>
      <c r="L446" s="335"/>
      <c r="N446" s="288"/>
      <c r="O446" s="287"/>
      <c r="P446" s="287"/>
      <c r="Q446" s="287"/>
    </row>
    <row r="447" spans="1:17" ht="14.25">
      <c r="A447" s="275" t="s">
        <v>2801</v>
      </c>
      <c r="B447" s="275" t="s">
        <v>4021</v>
      </c>
      <c r="C447" s="275" t="s">
        <v>3458</v>
      </c>
      <c r="D447" s="275" t="s">
        <v>3056</v>
      </c>
      <c r="E447" s="275" t="s">
        <v>2802</v>
      </c>
      <c r="F447" s="278">
        <v>33883</v>
      </c>
      <c r="G447" s="275" t="s">
        <v>2803</v>
      </c>
      <c r="H447" s="276">
        <v>12.25</v>
      </c>
      <c r="I447" s="276">
        <v>53.08</v>
      </c>
      <c r="J447" s="276">
        <v>8.44</v>
      </c>
      <c r="K447" s="276">
        <f t="shared" si="6"/>
        <v>3.8100000000000005</v>
      </c>
      <c r="L447" s="335"/>
      <c r="N447" s="288"/>
      <c r="O447" s="287"/>
      <c r="P447" s="287"/>
      <c r="Q447" s="287"/>
    </row>
    <row r="448" spans="1:17" ht="14.25">
      <c r="A448" s="275" t="s">
        <v>2809</v>
      </c>
      <c r="B448" s="275" t="s">
        <v>4025</v>
      </c>
      <c r="C448" s="275" t="s">
        <v>3457</v>
      </c>
      <c r="D448" s="275" t="s">
        <v>3056</v>
      </c>
      <c r="E448" s="275" t="s">
        <v>2802</v>
      </c>
      <c r="F448" s="278">
        <v>33890</v>
      </c>
      <c r="G448" s="275" t="s">
        <v>2803</v>
      </c>
      <c r="H448" s="276">
        <v>12.75</v>
      </c>
      <c r="I448" s="276">
        <v>53.69</v>
      </c>
      <c r="J448" s="276">
        <v>8.44</v>
      </c>
      <c r="K448" s="276">
        <f t="shared" si="6"/>
        <v>4.3100000000000005</v>
      </c>
      <c r="L448" s="335"/>
      <c r="N448" s="288"/>
      <c r="O448" s="287"/>
      <c r="P448" s="287"/>
      <c r="Q448" s="287"/>
    </row>
    <row r="449" spans="1:17" ht="14.25">
      <c r="A449" s="275" t="s">
        <v>2809</v>
      </c>
      <c r="B449" s="275" t="s">
        <v>3142</v>
      </c>
      <c r="C449" s="275" t="s">
        <v>3456</v>
      </c>
      <c r="D449" s="275" t="s">
        <v>3056</v>
      </c>
      <c r="E449" s="275" t="s">
        <v>2802</v>
      </c>
      <c r="F449" s="278">
        <v>33906</v>
      </c>
      <c r="G449" s="275" t="s">
        <v>2803</v>
      </c>
      <c r="H449" s="276">
        <v>12.75</v>
      </c>
      <c r="I449" s="276">
        <v>49.45</v>
      </c>
      <c r="J449" s="276">
        <v>8.41</v>
      </c>
      <c r="K449" s="276">
        <f t="shared" si="6"/>
        <v>4.34</v>
      </c>
      <c r="L449" s="335"/>
      <c r="N449" s="288"/>
      <c r="O449" s="287"/>
      <c r="P449" s="287"/>
      <c r="Q449" s="287"/>
    </row>
    <row r="450" spans="1:17" ht="14.25">
      <c r="A450" s="275" t="s">
        <v>2807</v>
      </c>
      <c r="B450" s="275" t="s">
        <v>4026</v>
      </c>
      <c r="C450" s="275" t="s">
        <v>3455</v>
      </c>
      <c r="D450" s="275" t="s">
        <v>3056</v>
      </c>
      <c r="E450" s="275" t="s">
        <v>2802</v>
      </c>
      <c r="F450" s="278">
        <v>33907</v>
      </c>
      <c r="G450" s="275" t="s">
        <v>2803</v>
      </c>
      <c r="H450" s="276">
        <v>11.4</v>
      </c>
      <c r="I450" s="276">
        <v>57.06</v>
      </c>
      <c r="J450" s="276">
        <v>8.41</v>
      </c>
      <c r="K450" s="276">
        <f t="shared" si="6"/>
        <v>2.99</v>
      </c>
      <c r="L450" s="335"/>
      <c r="N450" s="288"/>
      <c r="O450" s="287"/>
      <c r="P450" s="287"/>
      <c r="Q450" s="287"/>
    </row>
    <row r="451" spans="1:17" ht="14.25">
      <c r="A451" s="275" t="s">
        <v>2816</v>
      </c>
      <c r="B451" s="275" t="s">
        <v>3453</v>
      </c>
      <c r="C451" s="275" t="s">
        <v>3452</v>
      </c>
      <c r="D451" s="275" t="s">
        <v>3056</v>
      </c>
      <c r="E451" s="275" t="s">
        <v>2802</v>
      </c>
      <c r="F451" s="278">
        <v>33933</v>
      </c>
      <c r="G451" s="275" t="s">
        <v>2803</v>
      </c>
      <c r="H451" s="276">
        <v>12</v>
      </c>
      <c r="I451" s="276">
        <v>40.200000000000003</v>
      </c>
      <c r="J451" s="276">
        <v>8.5299999999999994</v>
      </c>
      <c r="K451" s="276">
        <f t="shared" si="6"/>
        <v>3.4700000000000006</v>
      </c>
      <c r="L451" s="335"/>
      <c r="N451" s="288"/>
      <c r="O451" s="287"/>
      <c r="P451" s="287"/>
      <c r="Q451" s="287"/>
    </row>
    <row r="452" spans="1:17" ht="14.25">
      <c r="A452" s="275" t="s">
        <v>2811</v>
      </c>
      <c r="B452" s="275" t="s">
        <v>2875</v>
      </c>
      <c r="C452" s="275" t="s">
        <v>3454</v>
      </c>
      <c r="D452" s="275" t="s">
        <v>3056</v>
      </c>
      <c r="E452" s="275" t="s">
        <v>2802</v>
      </c>
      <c r="F452" s="278">
        <v>33933</v>
      </c>
      <c r="G452" s="275" t="s">
        <v>2803</v>
      </c>
      <c r="H452" s="276">
        <v>11</v>
      </c>
      <c r="I452" s="276">
        <v>26.79</v>
      </c>
      <c r="J452" s="276">
        <v>8.5299999999999994</v>
      </c>
      <c r="K452" s="276">
        <f t="shared" si="6"/>
        <v>2.4700000000000006</v>
      </c>
      <c r="L452" s="335"/>
      <c r="N452" s="288"/>
      <c r="O452" s="287"/>
      <c r="P452" s="287"/>
      <c r="Q452" s="287"/>
    </row>
    <row r="453" spans="1:17" ht="14.25">
      <c r="A453" s="275" t="s">
        <v>2844</v>
      </c>
      <c r="B453" s="275" t="s">
        <v>2848</v>
      </c>
      <c r="C453" s="275" t="s">
        <v>3451</v>
      </c>
      <c r="D453" s="275" t="s">
        <v>3056</v>
      </c>
      <c r="E453" s="275" t="s">
        <v>2802</v>
      </c>
      <c r="F453" s="278">
        <v>33941</v>
      </c>
      <c r="G453" s="275" t="s">
        <v>2803</v>
      </c>
      <c r="H453" s="276">
        <v>11.85</v>
      </c>
      <c r="I453" s="276">
        <v>49.5</v>
      </c>
      <c r="J453" s="276">
        <v>8.5299999999999994</v>
      </c>
      <c r="K453" s="276">
        <f t="shared" si="6"/>
        <v>3.3200000000000003</v>
      </c>
      <c r="L453" s="335"/>
      <c r="N453" s="288"/>
      <c r="O453" s="287"/>
      <c r="P453" s="287"/>
      <c r="Q453" s="287"/>
    </row>
    <row r="454" spans="1:17" ht="14.25">
      <c r="A454" s="275" t="s">
        <v>2844</v>
      </c>
      <c r="B454" s="275" t="s">
        <v>2864</v>
      </c>
      <c r="C454" s="275" t="s">
        <v>3450</v>
      </c>
      <c r="D454" s="275" t="s">
        <v>3056</v>
      </c>
      <c r="E454" s="275" t="s">
        <v>2802</v>
      </c>
      <c r="F454" s="278">
        <v>33954</v>
      </c>
      <c r="G454" s="275" t="s">
        <v>2803</v>
      </c>
      <c r="H454" s="276">
        <v>11.9</v>
      </c>
      <c r="I454" s="276">
        <v>46.75</v>
      </c>
      <c r="J454" s="276">
        <v>8.6300000000000008</v>
      </c>
      <c r="K454" s="276">
        <f t="shared" ref="K454:K517" si="7">H454-J454</f>
        <v>3.2699999999999996</v>
      </c>
      <c r="L454" s="335"/>
      <c r="N454" s="288"/>
      <c r="O454" s="287"/>
      <c r="P454" s="287"/>
      <c r="Q454" s="287"/>
    </row>
    <row r="455" spans="1:17" ht="14.25">
      <c r="A455" s="275" t="s">
        <v>2809</v>
      </c>
      <c r="B455" s="275" t="s">
        <v>2854</v>
      </c>
      <c r="C455" s="275" t="s">
        <v>3448</v>
      </c>
      <c r="D455" s="275" t="s">
        <v>3056</v>
      </c>
      <c r="E455" s="275" t="s">
        <v>2802</v>
      </c>
      <c r="F455" s="278">
        <v>33960</v>
      </c>
      <c r="G455" s="275" t="s">
        <v>2803</v>
      </c>
      <c r="H455" s="276">
        <v>12.4</v>
      </c>
      <c r="I455" s="276">
        <v>49.53</v>
      </c>
      <c r="J455" s="276">
        <v>8.6300000000000008</v>
      </c>
      <c r="K455" s="276">
        <f t="shared" si="7"/>
        <v>3.7699999999999996</v>
      </c>
      <c r="L455" s="335"/>
      <c r="N455" s="288"/>
      <c r="O455" s="287"/>
      <c r="P455" s="287"/>
      <c r="Q455" s="287"/>
    </row>
    <row r="456" spans="1:17" ht="14.25">
      <c r="A456" s="275" t="s">
        <v>2809</v>
      </c>
      <c r="B456" s="275" t="s">
        <v>2853</v>
      </c>
      <c r="C456" s="275" t="s">
        <v>3449</v>
      </c>
      <c r="D456" s="275" t="s">
        <v>3056</v>
      </c>
      <c r="E456" s="275" t="s">
        <v>2802</v>
      </c>
      <c r="F456" s="278">
        <v>33960</v>
      </c>
      <c r="G456" s="275" t="s">
        <v>2803</v>
      </c>
      <c r="H456" s="276">
        <v>12.3</v>
      </c>
      <c r="I456" s="276">
        <v>54.15</v>
      </c>
      <c r="J456" s="276">
        <v>8.6300000000000008</v>
      </c>
      <c r="K456" s="276">
        <f t="shared" si="7"/>
        <v>3.67</v>
      </c>
      <c r="L456" s="335"/>
      <c r="N456" s="288"/>
      <c r="O456" s="287"/>
      <c r="P456" s="287"/>
      <c r="Q456" s="287"/>
    </row>
    <row r="457" spans="1:17" ht="14.25">
      <c r="A457" s="275" t="s">
        <v>2813</v>
      </c>
      <c r="B457" s="275" t="s">
        <v>3075</v>
      </c>
      <c r="C457" s="275" t="s">
        <v>3447</v>
      </c>
      <c r="D457" s="275" t="s">
        <v>3056</v>
      </c>
      <c r="E457" s="275" t="s">
        <v>2802</v>
      </c>
      <c r="F457" s="278">
        <v>33981</v>
      </c>
      <c r="G457" s="275" t="s">
        <v>2803</v>
      </c>
      <c r="H457" s="276">
        <v>12</v>
      </c>
      <c r="I457" s="276">
        <v>41.09</v>
      </c>
      <c r="J457" s="276">
        <v>8.6300000000000008</v>
      </c>
      <c r="K457" s="276">
        <f t="shared" si="7"/>
        <v>3.3699999999999992</v>
      </c>
      <c r="L457" s="335"/>
      <c r="N457" s="288"/>
      <c r="O457" s="287"/>
      <c r="P457" s="287"/>
      <c r="Q457" s="287"/>
    </row>
    <row r="458" spans="1:17" ht="14.25">
      <c r="A458" s="275" t="s">
        <v>2809</v>
      </c>
      <c r="B458" s="275" t="s">
        <v>4023</v>
      </c>
      <c r="C458" s="275" t="s">
        <v>3446</v>
      </c>
      <c r="D458" s="275" t="s">
        <v>3056</v>
      </c>
      <c r="E458" s="275" t="s">
        <v>2802</v>
      </c>
      <c r="F458" s="278">
        <v>33981</v>
      </c>
      <c r="G458" s="275" t="s">
        <v>2803</v>
      </c>
      <c r="H458" s="276">
        <v>12</v>
      </c>
      <c r="I458" s="276">
        <v>56.94</v>
      </c>
      <c r="J458" s="276">
        <v>8.6300000000000008</v>
      </c>
      <c r="K458" s="276">
        <f t="shared" si="7"/>
        <v>3.3699999999999992</v>
      </c>
      <c r="L458" s="335"/>
      <c r="N458" s="288"/>
      <c r="O458" s="287"/>
      <c r="P458" s="287"/>
      <c r="Q458" s="287"/>
    </row>
    <row r="459" spans="1:17" ht="14.25">
      <c r="A459" s="275" t="s">
        <v>2805</v>
      </c>
      <c r="B459" s="275" t="s">
        <v>2829</v>
      </c>
      <c r="C459" s="275" t="s">
        <v>3445</v>
      </c>
      <c r="D459" s="275" t="s">
        <v>3056</v>
      </c>
      <c r="E459" s="275" t="s">
        <v>2802</v>
      </c>
      <c r="F459" s="278">
        <v>34082</v>
      </c>
      <c r="G459" s="275" t="s">
        <v>2803</v>
      </c>
      <c r="H459" s="276">
        <v>11.75</v>
      </c>
      <c r="I459" s="276">
        <v>44.55</v>
      </c>
      <c r="J459" s="276">
        <v>7.9</v>
      </c>
      <c r="K459" s="276">
        <f t="shared" si="7"/>
        <v>3.8499999999999996</v>
      </c>
      <c r="L459" s="335"/>
      <c r="N459" s="288"/>
      <c r="O459" s="287"/>
      <c r="P459" s="287"/>
      <c r="Q459" s="287"/>
    </row>
    <row r="460" spans="1:17" ht="14.25">
      <c r="A460" s="275" t="s">
        <v>2809</v>
      </c>
      <c r="B460" s="275" t="s">
        <v>2810</v>
      </c>
      <c r="C460" s="275" t="s">
        <v>3444</v>
      </c>
      <c r="D460" s="275" t="s">
        <v>3056</v>
      </c>
      <c r="E460" s="275" t="s">
        <v>2802</v>
      </c>
      <c r="F460" s="278">
        <v>34123</v>
      </c>
      <c r="G460" s="275" t="s">
        <v>2803</v>
      </c>
      <c r="H460" s="276">
        <v>12</v>
      </c>
      <c r="I460" s="276">
        <v>50.66</v>
      </c>
      <c r="J460" s="276">
        <v>7.82</v>
      </c>
      <c r="K460" s="276">
        <f t="shared" si="7"/>
        <v>4.18</v>
      </c>
      <c r="L460" s="335"/>
      <c r="N460" s="288"/>
      <c r="O460" s="287"/>
      <c r="P460" s="287"/>
      <c r="Q460" s="287"/>
    </row>
    <row r="461" spans="1:17" ht="14.25">
      <c r="A461" s="275" t="s">
        <v>2837</v>
      </c>
      <c r="B461" s="275" t="s">
        <v>2839</v>
      </c>
      <c r="C461" s="275" t="s">
        <v>3443</v>
      </c>
      <c r="D461" s="275" t="s">
        <v>3056</v>
      </c>
      <c r="E461" s="275" t="s">
        <v>2802</v>
      </c>
      <c r="F461" s="278">
        <v>34127</v>
      </c>
      <c r="G461" s="275" t="s">
        <v>2803</v>
      </c>
      <c r="H461" s="276">
        <v>11.5</v>
      </c>
      <c r="I461" s="276">
        <v>38.22</v>
      </c>
      <c r="J461" s="276">
        <v>7.82</v>
      </c>
      <c r="K461" s="276">
        <f t="shared" si="7"/>
        <v>3.6799999999999997</v>
      </c>
      <c r="L461" s="335"/>
      <c r="N461" s="288"/>
      <c r="O461" s="287"/>
      <c r="P461" s="287"/>
      <c r="Q461" s="287"/>
    </row>
    <row r="462" spans="1:17" ht="14.25">
      <c r="A462" s="275" t="s">
        <v>2871</v>
      </c>
      <c r="B462" s="275" t="s">
        <v>3277</v>
      </c>
      <c r="C462" s="275" t="s">
        <v>3442</v>
      </c>
      <c r="D462" s="275" t="s">
        <v>3056</v>
      </c>
      <c r="E462" s="275" t="s">
        <v>2802</v>
      </c>
      <c r="F462" s="278">
        <v>34142</v>
      </c>
      <c r="G462" s="275" t="s">
        <v>2803</v>
      </c>
      <c r="H462" s="276">
        <v>11.75</v>
      </c>
      <c r="I462" s="276">
        <v>56.79</v>
      </c>
      <c r="J462" s="276">
        <v>7.86</v>
      </c>
      <c r="K462" s="276">
        <f t="shared" si="7"/>
        <v>3.8899999999999997</v>
      </c>
      <c r="L462" s="335"/>
      <c r="N462" s="288"/>
      <c r="O462" s="287"/>
      <c r="P462" s="287"/>
      <c r="Q462" s="287"/>
    </row>
    <row r="463" spans="1:17" ht="14.25">
      <c r="A463" s="275" t="s">
        <v>2801</v>
      </c>
      <c r="B463" s="275" t="s">
        <v>2817</v>
      </c>
      <c r="C463" s="275" t="s">
        <v>3441</v>
      </c>
      <c r="D463" s="275" t="s">
        <v>3056</v>
      </c>
      <c r="E463" s="275" t="s">
        <v>2802</v>
      </c>
      <c r="F463" s="278">
        <v>34171</v>
      </c>
      <c r="G463" s="275" t="s">
        <v>2803</v>
      </c>
      <c r="H463" s="276">
        <v>11.78</v>
      </c>
      <c r="I463" s="276">
        <v>48.05</v>
      </c>
      <c r="J463" s="276">
        <v>7.76</v>
      </c>
      <c r="K463" s="276">
        <f t="shared" si="7"/>
        <v>4.0199999999999996</v>
      </c>
      <c r="L463" s="335"/>
      <c r="N463" s="288"/>
      <c r="O463" s="287"/>
      <c r="P463" s="287"/>
      <c r="Q463" s="287"/>
    </row>
    <row r="464" spans="1:17" ht="14.25">
      <c r="A464" s="275" t="s">
        <v>2835</v>
      </c>
      <c r="B464" s="275" t="s">
        <v>2877</v>
      </c>
      <c r="C464" s="275" t="s">
        <v>3440</v>
      </c>
      <c r="D464" s="275" t="s">
        <v>3056</v>
      </c>
      <c r="E464" s="275" t="s">
        <v>2802</v>
      </c>
      <c r="F464" s="278">
        <v>34173</v>
      </c>
      <c r="G464" s="275" t="s">
        <v>2803</v>
      </c>
      <c r="H464" s="276">
        <v>11.5</v>
      </c>
      <c r="I464" s="276">
        <v>46.8</v>
      </c>
      <c r="J464" s="276">
        <v>7.76</v>
      </c>
      <c r="K464" s="276">
        <f t="shared" si="7"/>
        <v>3.74</v>
      </c>
      <c r="L464" s="335"/>
      <c r="N464" s="288"/>
      <c r="O464" s="287"/>
      <c r="P464" s="287"/>
      <c r="Q464" s="287"/>
    </row>
    <row r="465" spans="1:17" ht="14.25">
      <c r="A465" s="275" t="s">
        <v>2824</v>
      </c>
      <c r="B465" s="275" t="s">
        <v>3094</v>
      </c>
      <c r="C465" s="275" t="s">
        <v>3439</v>
      </c>
      <c r="D465" s="275" t="s">
        <v>3056</v>
      </c>
      <c r="E465" s="275" t="s">
        <v>2802</v>
      </c>
      <c r="F465" s="278">
        <v>34193</v>
      </c>
      <c r="G465" s="275" t="s">
        <v>2803</v>
      </c>
      <c r="H465" s="276">
        <v>10.75</v>
      </c>
      <c r="I465" s="276">
        <v>40</v>
      </c>
      <c r="J465" s="276">
        <v>7.76</v>
      </c>
      <c r="K465" s="276">
        <f t="shared" si="7"/>
        <v>2.99</v>
      </c>
      <c r="L465" s="335"/>
      <c r="N465" s="288"/>
      <c r="O465" s="287"/>
      <c r="P465" s="287"/>
      <c r="Q465" s="287"/>
    </row>
    <row r="466" spans="1:17" ht="14.25">
      <c r="A466" s="275" t="s">
        <v>2809</v>
      </c>
      <c r="B466" s="275" t="s">
        <v>4025</v>
      </c>
      <c r="C466" s="275" t="s">
        <v>3438</v>
      </c>
      <c r="D466" s="275" t="s">
        <v>3056</v>
      </c>
      <c r="E466" s="275" t="s">
        <v>2802</v>
      </c>
      <c r="F466" s="278">
        <v>34212</v>
      </c>
      <c r="G466" s="275" t="s">
        <v>2803</v>
      </c>
      <c r="H466" s="276">
        <v>11.9</v>
      </c>
      <c r="I466" s="276">
        <v>51.12</v>
      </c>
      <c r="J466" s="276">
        <v>7.54</v>
      </c>
      <c r="K466" s="276">
        <f t="shared" si="7"/>
        <v>4.3600000000000003</v>
      </c>
      <c r="L466" s="335"/>
      <c r="N466" s="288"/>
      <c r="O466" s="287"/>
      <c r="P466" s="287"/>
      <c r="Q466" s="287"/>
    </row>
    <row r="467" spans="1:17" ht="14.25">
      <c r="A467" s="275" t="s">
        <v>2857</v>
      </c>
      <c r="B467" s="275" t="s">
        <v>4023</v>
      </c>
      <c r="C467" s="275" t="s">
        <v>3436</v>
      </c>
      <c r="D467" s="275" t="s">
        <v>3056</v>
      </c>
      <c r="E467" s="275" t="s">
        <v>2802</v>
      </c>
      <c r="F467" s="278">
        <v>34213</v>
      </c>
      <c r="G467" s="275" t="s">
        <v>2803</v>
      </c>
      <c r="H467" s="276">
        <v>11.47</v>
      </c>
      <c r="I467" s="276">
        <v>48.39</v>
      </c>
      <c r="J467" s="276">
        <v>7.54</v>
      </c>
      <c r="K467" s="276">
        <f t="shared" si="7"/>
        <v>3.9300000000000006</v>
      </c>
      <c r="L467" s="335"/>
      <c r="N467" s="288"/>
      <c r="O467" s="287"/>
      <c r="P467" s="287"/>
      <c r="Q467" s="287"/>
    </row>
    <row r="468" spans="1:17" ht="14.25">
      <c r="A468" s="275" t="s">
        <v>2816</v>
      </c>
      <c r="B468" s="275" t="s">
        <v>2852</v>
      </c>
      <c r="C468" s="275" t="s">
        <v>3437</v>
      </c>
      <c r="D468" s="275" t="s">
        <v>3056</v>
      </c>
      <c r="E468" s="275" t="s">
        <v>2802</v>
      </c>
      <c r="F468" s="278">
        <v>34213</v>
      </c>
      <c r="G468" s="275" t="s">
        <v>2803</v>
      </c>
      <c r="H468" s="276">
        <v>11.25</v>
      </c>
      <c r="I468" s="276">
        <v>44.26</v>
      </c>
      <c r="J468" s="276">
        <v>7.54</v>
      </c>
      <c r="K468" s="276">
        <f t="shared" si="7"/>
        <v>3.71</v>
      </c>
      <c r="L468" s="335"/>
      <c r="N468" s="288"/>
      <c r="O468" s="287"/>
      <c r="P468" s="287"/>
      <c r="Q468" s="287"/>
    </row>
    <row r="469" spans="1:17" ht="14.25">
      <c r="A469" s="275" t="s">
        <v>2842</v>
      </c>
      <c r="B469" s="275" t="s">
        <v>2843</v>
      </c>
      <c r="C469" s="275" t="s">
        <v>3435</v>
      </c>
      <c r="D469" s="275" t="s">
        <v>3056</v>
      </c>
      <c r="E469" s="275" t="s">
        <v>2802</v>
      </c>
      <c r="F469" s="278">
        <v>34239</v>
      </c>
      <c r="G469" s="275" t="s">
        <v>2803</v>
      </c>
      <c r="H469" s="276">
        <v>10.5</v>
      </c>
      <c r="I469" s="276">
        <v>44</v>
      </c>
      <c r="J469" s="276">
        <v>7.27</v>
      </c>
      <c r="K469" s="276">
        <f t="shared" si="7"/>
        <v>3.2300000000000004</v>
      </c>
      <c r="L469" s="335"/>
      <c r="N469" s="288"/>
      <c r="O469" s="287"/>
      <c r="P469" s="287"/>
      <c r="Q469" s="287"/>
    </row>
    <row r="470" spans="1:17" ht="14.25">
      <c r="A470" s="275" t="s">
        <v>2806</v>
      </c>
      <c r="B470" s="275" t="s">
        <v>3081</v>
      </c>
      <c r="C470" s="275" t="s">
        <v>3434</v>
      </c>
      <c r="D470" s="275" t="s">
        <v>3056</v>
      </c>
      <c r="E470" s="275" t="s">
        <v>2802</v>
      </c>
      <c r="F470" s="278">
        <v>34241</v>
      </c>
      <c r="G470" s="275" t="s">
        <v>2803</v>
      </c>
      <c r="H470" s="276">
        <v>11</v>
      </c>
      <c r="I470" s="276">
        <v>42.97</v>
      </c>
      <c r="J470" s="276">
        <v>7.27</v>
      </c>
      <c r="K470" s="276">
        <f t="shared" si="7"/>
        <v>3.7300000000000004</v>
      </c>
      <c r="L470" s="335"/>
      <c r="N470" s="288"/>
      <c r="O470" s="287"/>
      <c r="P470" s="287"/>
      <c r="Q470" s="287"/>
    </row>
    <row r="471" spans="1:17" ht="14.25">
      <c r="A471" s="275" t="s">
        <v>2809</v>
      </c>
      <c r="B471" s="275" t="s">
        <v>2854</v>
      </c>
      <c r="C471" s="275" t="s">
        <v>3433</v>
      </c>
      <c r="D471" s="275" t="s">
        <v>3056</v>
      </c>
      <c r="E471" s="275" t="s">
        <v>2802</v>
      </c>
      <c r="F471" s="278">
        <v>34242</v>
      </c>
      <c r="G471" s="275" t="s">
        <v>2803</v>
      </c>
      <c r="H471" s="276">
        <v>11.6</v>
      </c>
      <c r="I471" s="276">
        <v>50.31</v>
      </c>
      <c r="J471" s="276">
        <v>7.27</v>
      </c>
      <c r="K471" s="276">
        <f t="shared" si="7"/>
        <v>4.33</v>
      </c>
      <c r="L471" s="335"/>
      <c r="N471" s="288"/>
      <c r="O471" s="287"/>
      <c r="P471" s="287"/>
      <c r="Q471" s="287"/>
    </row>
    <row r="472" spans="1:17" ht="14.25">
      <c r="A472" s="275" t="s">
        <v>2840</v>
      </c>
      <c r="B472" s="275" t="s">
        <v>3079</v>
      </c>
      <c r="C472" s="275" t="s">
        <v>3432</v>
      </c>
      <c r="D472" s="275" t="s">
        <v>3056</v>
      </c>
      <c r="E472" s="275" t="s">
        <v>2802</v>
      </c>
      <c r="F472" s="278">
        <v>34250</v>
      </c>
      <c r="G472" s="275" t="s">
        <v>2803</v>
      </c>
      <c r="H472" s="276">
        <v>11.5</v>
      </c>
      <c r="I472" s="276">
        <v>54</v>
      </c>
      <c r="J472" s="276">
        <v>7.27</v>
      </c>
      <c r="K472" s="276">
        <f t="shared" si="7"/>
        <v>4.2300000000000004</v>
      </c>
      <c r="L472" s="335"/>
      <c r="N472" s="288"/>
      <c r="O472" s="287"/>
      <c r="P472" s="287"/>
      <c r="Q472" s="287"/>
    </row>
    <row r="473" spans="1:17" ht="14.25">
      <c r="A473" s="275" t="s">
        <v>2867</v>
      </c>
      <c r="B473" s="275" t="s">
        <v>2868</v>
      </c>
      <c r="C473" s="275" t="s">
        <v>3431</v>
      </c>
      <c r="D473" s="275" t="s">
        <v>3056</v>
      </c>
      <c r="E473" s="275" t="s">
        <v>2802</v>
      </c>
      <c r="F473" s="278">
        <v>34256</v>
      </c>
      <c r="G473" s="275" t="s">
        <v>2803</v>
      </c>
      <c r="H473" s="276">
        <v>11.2</v>
      </c>
      <c r="I473" s="276">
        <v>43.09</v>
      </c>
      <c r="J473" s="276">
        <v>7.27</v>
      </c>
      <c r="K473" s="276">
        <f t="shared" si="7"/>
        <v>3.9299999999999997</v>
      </c>
      <c r="L473" s="335"/>
      <c r="N473" s="288"/>
      <c r="O473" s="287"/>
      <c r="P473" s="287"/>
      <c r="Q473" s="287"/>
    </row>
    <row r="474" spans="1:17" ht="14.25">
      <c r="A474" s="275" t="s">
        <v>2871</v>
      </c>
      <c r="B474" s="275" t="s">
        <v>3357</v>
      </c>
      <c r="C474" s="275" t="s">
        <v>3430</v>
      </c>
      <c r="D474" s="275" t="s">
        <v>3056</v>
      </c>
      <c r="E474" s="275" t="s">
        <v>2802</v>
      </c>
      <c r="F474" s="278">
        <v>34257</v>
      </c>
      <c r="G474" s="275" t="s">
        <v>2803</v>
      </c>
      <c r="H474" s="276">
        <v>11.75</v>
      </c>
      <c r="I474" s="276">
        <v>46.31</v>
      </c>
      <c r="J474" s="276">
        <v>7.04</v>
      </c>
      <c r="K474" s="276">
        <f t="shared" si="7"/>
        <v>4.71</v>
      </c>
      <c r="L474" s="335"/>
      <c r="N474" s="288"/>
      <c r="O474" s="287"/>
      <c r="P474" s="287"/>
      <c r="Q474" s="287"/>
    </row>
    <row r="475" spans="1:17" ht="14.25">
      <c r="A475" s="275" t="s">
        <v>2837</v>
      </c>
      <c r="B475" s="275" t="s">
        <v>3094</v>
      </c>
      <c r="C475" s="275" t="s">
        <v>3429</v>
      </c>
      <c r="D475" s="275" t="s">
        <v>3056</v>
      </c>
      <c r="E475" s="275" t="s">
        <v>2802</v>
      </c>
      <c r="F475" s="278">
        <v>34267</v>
      </c>
      <c r="G475" s="275" t="s">
        <v>2803</v>
      </c>
      <c r="H475" s="276">
        <v>11.55</v>
      </c>
      <c r="I475" s="276">
        <v>36</v>
      </c>
      <c r="J475" s="276">
        <v>7.04</v>
      </c>
      <c r="K475" s="276">
        <f t="shared" si="7"/>
        <v>4.5100000000000007</v>
      </c>
      <c r="L475" s="335"/>
      <c r="N475" s="288"/>
      <c r="O475" s="287"/>
      <c r="P475" s="287"/>
      <c r="Q475" s="287"/>
    </row>
    <row r="476" spans="1:17" ht="14.25">
      <c r="A476" s="275" t="s">
        <v>2851</v>
      </c>
      <c r="B476" s="275" t="s">
        <v>3105</v>
      </c>
      <c r="C476" s="275" t="s">
        <v>3428</v>
      </c>
      <c r="D476" s="275" t="s">
        <v>3056</v>
      </c>
      <c r="E476" s="275" t="s">
        <v>2802</v>
      </c>
      <c r="F476" s="278">
        <v>34270</v>
      </c>
      <c r="G476" s="275" t="s">
        <v>2803</v>
      </c>
      <c r="H476" s="276">
        <v>11.5</v>
      </c>
      <c r="I476" s="276">
        <v>34.97</v>
      </c>
      <c r="J476" s="276">
        <v>7.04</v>
      </c>
      <c r="K476" s="276">
        <f t="shared" si="7"/>
        <v>4.46</v>
      </c>
      <c r="L476" s="335"/>
      <c r="N476" s="288"/>
      <c r="O476" s="287"/>
      <c r="P476" s="287"/>
      <c r="Q476" s="287"/>
    </row>
    <row r="477" spans="1:17" ht="14.25">
      <c r="A477" s="275" t="s">
        <v>2807</v>
      </c>
      <c r="B477" s="275" t="s">
        <v>3103</v>
      </c>
      <c r="C477" s="275" t="s">
        <v>3425</v>
      </c>
      <c r="D477" s="275" t="s">
        <v>3056</v>
      </c>
      <c r="E477" s="275" t="s">
        <v>2802</v>
      </c>
      <c r="F477" s="278">
        <v>34271</v>
      </c>
      <c r="G477" s="275" t="s">
        <v>2803</v>
      </c>
      <c r="H477" s="276">
        <v>11.25</v>
      </c>
      <c r="I477" s="276">
        <v>47.99</v>
      </c>
      <c r="J477" s="276">
        <v>7.04</v>
      </c>
      <c r="K477" s="276">
        <f t="shared" si="7"/>
        <v>4.21</v>
      </c>
      <c r="L477" s="335"/>
      <c r="N477" s="288"/>
      <c r="O477" s="287"/>
      <c r="P477" s="287"/>
      <c r="Q477" s="287"/>
    </row>
    <row r="478" spans="1:17" ht="14.25">
      <c r="A478" s="275" t="s">
        <v>2831</v>
      </c>
      <c r="B478" s="275" t="s">
        <v>4019</v>
      </c>
      <c r="C478" s="275" t="s">
        <v>3426</v>
      </c>
      <c r="D478" s="275" t="s">
        <v>3056</v>
      </c>
      <c r="E478" s="275" t="s">
        <v>2802</v>
      </c>
      <c r="F478" s="278">
        <v>34271</v>
      </c>
      <c r="G478" s="275" t="s">
        <v>2803</v>
      </c>
      <c r="H478" s="276">
        <v>10.199999999999999</v>
      </c>
      <c r="I478" s="276">
        <v>52</v>
      </c>
      <c r="J478" s="276">
        <v>7.04</v>
      </c>
      <c r="K478" s="276">
        <f t="shared" si="7"/>
        <v>3.1599999999999993</v>
      </c>
      <c r="L478" s="335"/>
      <c r="N478" s="288"/>
      <c r="O478" s="287"/>
      <c r="P478" s="287"/>
      <c r="Q478" s="287"/>
    </row>
    <row r="479" spans="1:17" ht="14.25">
      <c r="A479" s="275" t="s">
        <v>2831</v>
      </c>
      <c r="B479" s="275" t="s">
        <v>4016</v>
      </c>
      <c r="C479" s="275" t="s">
        <v>3427</v>
      </c>
      <c r="D479" s="275" t="s">
        <v>3056</v>
      </c>
      <c r="E479" s="275" t="s">
        <v>2802</v>
      </c>
      <c r="F479" s="278">
        <v>34271</v>
      </c>
      <c r="G479" s="275" t="s">
        <v>2803</v>
      </c>
      <c r="H479" s="276">
        <v>10.1</v>
      </c>
      <c r="I479" s="276">
        <v>52.22</v>
      </c>
      <c r="J479" s="276">
        <v>7.04</v>
      </c>
      <c r="K479" s="276">
        <f t="shared" si="7"/>
        <v>3.0599999999999996</v>
      </c>
      <c r="L479" s="335"/>
      <c r="N479" s="288"/>
      <c r="O479" s="287"/>
      <c r="P479" s="287"/>
      <c r="Q479" s="287"/>
    </row>
    <row r="480" spans="1:17" ht="14.25">
      <c r="A480" s="275" t="s">
        <v>2809</v>
      </c>
      <c r="B480" s="275" t="s">
        <v>3142</v>
      </c>
      <c r="C480" s="275" t="s">
        <v>3424</v>
      </c>
      <c r="D480" s="275" t="s">
        <v>3056</v>
      </c>
      <c r="E480" s="275" t="s">
        <v>2802</v>
      </c>
      <c r="F480" s="278">
        <v>34285</v>
      </c>
      <c r="G480" s="275" t="s">
        <v>2803</v>
      </c>
      <c r="H480" s="276">
        <v>11.8</v>
      </c>
      <c r="I480" s="276">
        <v>48.43</v>
      </c>
      <c r="J480" s="276">
        <v>7.04</v>
      </c>
      <c r="K480" s="276">
        <f t="shared" si="7"/>
        <v>4.7600000000000007</v>
      </c>
      <c r="L480" s="335"/>
      <c r="N480" s="288"/>
      <c r="O480" s="287"/>
      <c r="P480" s="287"/>
      <c r="Q480" s="287"/>
    </row>
    <row r="481" spans="1:17" ht="14.25">
      <c r="A481" s="275" t="s">
        <v>2862</v>
      </c>
      <c r="B481" s="275" t="s">
        <v>2863</v>
      </c>
      <c r="C481" s="275" t="s">
        <v>3423</v>
      </c>
      <c r="D481" s="275" t="s">
        <v>3056</v>
      </c>
      <c r="E481" s="275" t="s">
        <v>2802</v>
      </c>
      <c r="F481" s="278">
        <v>34296</v>
      </c>
      <c r="G481" s="275" t="s">
        <v>2803</v>
      </c>
      <c r="H481" s="276">
        <v>12.5</v>
      </c>
      <c r="I481" s="276">
        <v>42.86</v>
      </c>
      <c r="J481" s="276">
        <v>7.03</v>
      </c>
      <c r="K481" s="276">
        <f t="shared" si="7"/>
        <v>5.47</v>
      </c>
      <c r="L481" s="335"/>
      <c r="N481" s="288"/>
      <c r="O481" s="287"/>
      <c r="P481" s="287"/>
      <c r="Q481" s="287"/>
    </row>
    <row r="482" spans="1:17" ht="14.25">
      <c r="A482" s="275" t="s">
        <v>2822</v>
      </c>
      <c r="B482" s="275" t="s">
        <v>2823</v>
      </c>
      <c r="C482" s="275" t="s">
        <v>3422</v>
      </c>
      <c r="D482" s="275" t="s">
        <v>3056</v>
      </c>
      <c r="E482" s="275" t="s">
        <v>2802</v>
      </c>
      <c r="F482" s="278">
        <v>34299</v>
      </c>
      <c r="G482" s="275" t="s">
        <v>2803</v>
      </c>
      <c r="H482" s="276">
        <v>11</v>
      </c>
      <c r="I482" s="276">
        <v>44.62</v>
      </c>
      <c r="J482" s="276">
        <v>7.03</v>
      </c>
      <c r="K482" s="276">
        <f t="shared" si="7"/>
        <v>3.9699999999999998</v>
      </c>
      <c r="L482" s="335"/>
      <c r="N482" s="288"/>
      <c r="O482" s="287"/>
      <c r="P482" s="287"/>
      <c r="Q482" s="287"/>
    </row>
    <row r="483" spans="1:17" ht="14.25">
      <c r="A483" s="275" t="s">
        <v>2830</v>
      </c>
      <c r="B483" s="275" t="s">
        <v>3157</v>
      </c>
      <c r="C483" s="275" t="s">
        <v>3420</v>
      </c>
      <c r="D483" s="275" t="s">
        <v>3056</v>
      </c>
      <c r="E483" s="275" t="s">
        <v>2802</v>
      </c>
      <c r="F483" s="278">
        <v>34319</v>
      </c>
      <c r="G483" s="275" t="s">
        <v>2803</v>
      </c>
      <c r="H483" s="276">
        <v>11.2</v>
      </c>
      <c r="I483" s="276">
        <v>50.35</v>
      </c>
      <c r="J483" s="276">
        <v>7.28</v>
      </c>
      <c r="K483" s="276">
        <f t="shared" si="7"/>
        <v>3.919999999999999</v>
      </c>
      <c r="L483" s="335"/>
      <c r="N483" s="288"/>
      <c r="O483" s="287"/>
      <c r="P483" s="287"/>
      <c r="Q483" s="287"/>
    </row>
    <row r="484" spans="1:17" ht="14.25">
      <c r="A484" s="275" t="s">
        <v>2811</v>
      </c>
      <c r="B484" s="275" t="s">
        <v>2855</v>
      </c>
      <c r="C484" s="275" t="s">
        <v>3421</v>
      </c>
      <c r="D484" s="275" t="s">
        <v>3056</v>
      </c>
      <c r="E484" s="275" t="s">
        <v>2802</v>
      </c>
      <c r="F484" s="278">
        <v>34319</v>
      </c>
      <c r="G484" s="275" t="s">
        <v>2803</v>
      </c>
      <c r="H484" s="276">
        <v>10.6</v>
      </c>
      <c r="I484" s="276">
        <v>44.61</v>
      </c>
      <c r="J484" s="276">
        <v>7.28</v>
      </c>
      <c r="K484" s="276">
        <f t="shared" si="7"/>
        <v>3.3199999999999994</v>
      </c>
      <c r="L484" s="335"/>
      <c r="N484" s="288"/>
      <c r="O484" s="287"/>
      <c r="P484" s="287"/>
      <c r="Q484" s="287"/>
    </row>
    <row r="485" spans="1:17" ht="14.25">
      <c r="A485" s="275" t="s">
        <v>2809</v>
      </c>
      <c r="B485" s="275" t="s">
        <v>2853</v>
      </c>
      <c r="C485" s="275" t="s">
        <v>3419</v>
      </c>
      <c r="D485" s="275" t="s">
        <v>3056</v>
      </c>
      <c r="E485" s="275" t="s">
        <v>2802</v>
      </c>
      <c r="F485" s="278">
        <v>34324</v>
      </c>
      <c r="G485" s="275" t="s">
        <v>2803</v>
      </c>
      <c r="H485" s="276">
        <v>11.3</v>
      </c>
      <c r="I485" s="276">
        <v>55.61</v>
      </c>
      <c r="J485" s="276">
        <v>7.28</v>
      </c>
      <c r="K485" s="276">
        <f t="shared" si="7"/>
        <v>4.0200000000000005</v>
      </c>
      <c r="L485" s="335"/>
      <c r="N485" s="288"/>
      <c r="O485" s="287"/>
      <c r="P485" s="287"/>
      <c r="Q485" s="287"/>
    </row>
    <row r="486" spans="1:17" ht="14.25">
      <c r="A486" s="275" t="s">
        <v>2844</v>
      </c>
      <c r="B486" s="275" t="s">
        <v>3084</v>
      </c>
      <c r="C486" s="275" t="s">
        <v>3418</v>
      </c>
      <c r="D486" s="275" t="s">
        <v>3056</v>
      </c>
      <c r="E486" s="275" t="s">
        <v>2802</v>
      </c>
      <c r="F486" s="278">
        <v>34325</v>
      </c>
      <c r="G486" s="275" t="s">
        <v>2803</v>
      </c>
      <c r="H486" s="276">
        <v>11</v>
      </c>
      <c r="I486" s="276">
        <v>46.8</v>
      </c>
      <c r="J486" s="276">
        <v>7.28</v>
      </c>
      <c r="K486" s="276">
        <f t="shared" si="7"/>
        <v>3.7199999999999998</v>
      </c>
      <c r="L486" s="335"/>
      <c r="N486" s="288"/>
      <c r="O486" s="287"/>
      <c r="P486" s="287"/>
      <c r="Q486" s="287"/>
    </row>
    <row r="487" spans="1:17" ht="14.25">
      <c r="A487" s="275" t="s">
        <v>2821</v>
      </c>
      <c r="B487" s="275" t="s">
        <v>3073</v>
      </c>
      <c r="C487" s="275" t="s">
        <v>3417</v>
      </c>
      <c r="D487" s="275" t="s">
        <v>3056</v>
      </c>
      <c r="E487" s="275" t="s">
        <v>2802</v>
      </c>
      <c r="F487" s="278">
        <v>34344</v>
      </c>
      <c r="G487" s="275" t="s">
        <v>2803</v>
      </c>
      <c r="H487" s="276">
        <v>11</v>
      </c>
      <c r="I487" s="276">
        <v>53.59</v>
      </c>
      <c r="J487" s="276">
        <v>7.28</v>
      </c>
      <c r="K487" s="276">
        <f t="shared" si="7"/>
        <v>3.7199999999999998</v>
      </c>
      <c r="L487" s="335"/>
      <c r="N487" s="288"/>
      <c r="O487" s="287"/>
      <c r="P487" s="287"/>
      <c r="Q487" s="287"/>
    </row>
    <row r="488" spans="1:17" ht="14.25">
      <c r="A488" s="275" t="s">
        <v>2811</v>
      </c>
      <c r="B488" s="275" t="s">
        <v>2812</v>
      </c>
      <c r="C488" s="275" t="s">
        <v>3416</v>
      </c>
      <c r="D488" s="275" t="s">
        <v>3056</v>
      </c>
      <c r="E488" s="275" t="s">
        <v>2802</v>
      </c>
      <c r="F488" s="278">
        <v>34367</v>
      </c>
      <c r="G488" s="275" t="s">
        <v>2803</v>
      </c>
      <c r="H488" s="276">
        <v>10.4</v>
      </c>
      <c r="I488" s="276">
        <v>40.26</v>
      </c>
      <c r="J488" s="276">
        <v>7.34</v>
      </c>
      <c r="K488" s="276">
        <f t="shared" si="7"/>
        <v>3.0600000000000005</v>
      </c>
      <c r="L488" s="335"/>
      <c r="N488" s="288"/>
      <c r="O488" s="287"/>
      <c r="P488" s="287"/>
      <c r="Q488" s="287"/>
    </row>
    <row r="489" spans="1:17" ht="14.25">
      <c r="A489" s="275" t="s">
        <v>2856</v>
      </c>
      <c r="B489" s="275" t="s">
        <v>3129</v>
      </c>
      <c r="C489" s="275" t="s">
        <v>3415</v>
      </c>
      <c r="D489" s="275" t="s">
        <v>3056</v>
      </c>
      <c r="E489" s="275" t="s">
        <v>2802</v>
      </c>
      <c r="F489" s="278">
        <v>34374</v>
      </c>
      <c r="G489" s="275" t="s">
        <v>2803</v>
      </c>
      <c r="H489" s="276">
        <v>10.7</v>
      </c>
      <c r="I489" s="276">
        <v>33.56</v>
      </c>
      <c r="J489" s="276">
        <v>7.34</v>
      </c>
      <c r="K489" s="276">
        <f t="shared" si="7"/>
        <v>3.3599999999999994</v>
      </c>
      <c r="L489" s="335"/>
      <c r="N489" s="288"/>
      <c r="O489" s="287"/>
      <c r="P489" s="287"/>
      <c r="Q489" s="287"/>
    </row>
    <row r="490" spans="1:17" ht="14.25">
      <c r="A490" s="275" t="s">
        <v>2801</v>
      </c>
      <c r="B490" s="275" t="s">
        <v>2849</v>
      </c>
      <c r="C490" s="275" t="s">
        <v>3414</v>
      </c>
      <c r="D490" s="275" t="s">
        <v>3056</v>
      </c>
      <c r="E490" s="275" t="s">
        <v>2802</v>
      </c>
      <c r="F490" s="278">
        <v>34430</v>
      </c>
      <c r="G490" s="275" t="s">
        <v>2803</v>
      </c>
      <c r="H490" s="276">
        <v>11.24</v>
      </c>
      <c r="I490" s="276">
        <v>40.630000000000003</v>
      </c>
      <c r="J490" s="276">
        <v>7.45</v>
      </c>
      <c r="K490" s="276">
        <f t="shared" si="7"/>
        <v>3.79</v>
      </c>
      <c r="L490" s="335"/>
      <c r="N490" s="288"/>
      <c r="O490" s="287"/>
      <c r="P490" s="287"/>
      <c r="Q490" s="287"/>
    </row>
    <row r="491" spans="1:17" ht="14.25">
      <c r="A491" s="275" t="s">
        <v>2846</v>
      </c>
      <c r="B491" s="275" t="s">
        <v>2847</v>
      </c>
      <c r="C491" s="275" t="s">
        <v>3413</v>
      </c>
      <c r="D491" s="275" t="s">
        <v>3056</v>
      </c>
      <c r="E491" s="275" t="s">
        <v>2802</v>
      </c>
      <c r="F491" s="278">
        <v>34449</v>
      </c>
      <c r="G491" s="275" t="s">
        <v>2803</v>
      </c>
      <c r="H491" s="276">
        <v>11</v>
      </c>
      <c r="I491" s="276">
        <v>44.12</v>
      </c>
      <c r="J491" s="276">
        <v>7.83</v>
      </c>
      <c r="K491" s="276">
        <f t="shared" si="7"/>
        <v>3.17</v>
      </c>
      <c r="L491" s="335"/>
      <c r="N491" s="288"/>
      <c r="O491" s="287"/>
      <c r="P491" s="287"/>
      <c r="Q491" s="287"/>
    </row>
    <row r="492" spans="1:17" ht="14.25">
      <c r="A492" s="275" t="s">
        <v>2824</v>
      </c>
      <c r="B492" s="275" t="s">
        <v>3190</v>
      </c>
      <c r="C492" s="275" t="s">
        <v>3412</v>
      </c>
      <c r="D492" s="275" t="s">
        <v>3056</v>
      </c>
      <c r="E492" s="275" t="s">
        <v>2802</v>
      </c>
      <c r="F492" s="278">
        <v>34501</v>
      </c>
      <c r="G492" s="275" t="s">
        <v>2803</v>
      </c>
      <c r="H492" s="276">
        <v>10.5</v>
      </c>
      <c r="I492" s="276">
        <v>61.57</v>
      </c>
      <c r="J492" s="276">
        <v>8.33</v>
      </c>
      <c r="K492" s="276">
        <f t="shared" si="7"/>
        <v>2.17</v>
      </c>
      <c r="L492" s="335"/>
      <c r="N492" s="288"/>
      <c r="O492" s="287"/>
      <c r="P492" s="287"/>
      <c r="Q492" s="287"/>
    </row>
    <row r="493" spans="1:17" ht="14.25">
      <c r="A493" s="275" t="s">
        <v>2811</v>
      </c>
      <c r="B493" s="275" t="s">
        <v>4014</v>
      </c>
      <c r="C493" s="275" t="s">
        <v>3411</v>
      </c>
      <c r="D493" s="275" t="s">
        <v>3056</v>
      </c>
      <c r="E493" s="275" t="s">
        <v>2802</v>
      </c>
      <c r="F493" s="278">
        <v>34534</v>
      </c>
      <c r="G493" s="275" t="s">
        <v>2803</v>
      </c>
      <c r="H493" s="276">
        <v>10.7</v>
      </c>
      <c r="I493" s="276">
        <v>53.4</v>
      </c>
      <c r="J493" s="276">
        <v>8.31</v>
      </c>
      <c r="K493" s="276">
        <f t="shared" si="7"/>
        <v>2.3899999999999988</v>
      </c>
      <c r="L493" s="335"/>
      <c r="N493" s="288"/>
      <c r="O493" s="287"/>
      <c r="P493" s="287"/>
      <c r="Q493" s="287"/>
    </row>
    <row r="494" spans="1:17" ht="14.25">
      <c r="A494" s="275" t="s">
        <v>2850</v>
      </c>
      <c r="B494" s="275" t="s">
        <v>3361</v>
      </c>
      <c r="C494" s="275" t="s">
        <v>3410</v>
      </c>
      <c r="D494" s="275" t="s">
        <v>3056</v>
      </c>
      <c r="E494" s="275" t="s">
        <v>2802</v>
      </c>
      <c r="F494" s="278">
        <v>34614</v>
      </c>
      <c r="G494" s="275" t="s">
        <v>2803</v>
      </c>
      <c r="H494" s="276">
        <v>11.87</v>
      </c>
      <c r="I494" s="276">
        <v>50</v>
      </c>
      <c r="J494" s="276">
        <v>8.41</v>
      </c>
      <c r="K494" s="276">
        <f t="shared" si="7"/>
        <v>3.4599999999999991</v>
      </c>
      <c r="L494" s="335"/>
      <c r="N494" s="288"/>
      <c r="O494" s="287"/>
      <c r="P494" s="287"/>
      <c r="Q494" s="287"/>
    </row>
    <row r="495" spans="1:17" ht="14.25">
      <c r="A495" s="275" t="s">
        <v>2808</v>
      </c>
      <c r="B495" s="275" t="s">
        <v>3409</v>
      </c>
      <c r="C495" s="275" t="s">
        <v>3408</v>
      </c>
      <c r="D495" s="275" t="s">
        <v>3056</v>
      </c>
      <c r="E495" s="275" t="s">
        <v>2802</v>
      </c>
      <c r="F495" s="278">
        <v>34660</v>
      </c>
      <c r="G495" s="275" t="s">
        <v>2803</v>
      </c>
      <c r="H495" s="276">
        <v>12.12</v>
      </c>
      <c r="I495" s="276">
        <v>48.21</v>
      </c>
      <c r="J495" s="276">
        <v>8.85</v>
      </c>
      <c r="K495" s="276">
        <f t="shared" si="7"/>
        <v>3.2699999999999996</v>
      </c>
      <c r="L495" s="335"/>
      <c r="N495" s="288"/>
      <c r="O495" s="287"/>
      <c r="P495" s="287"/>
      <c r="Q495" s="287"/>
    </row>
    <row r="496" spans="1:17" ht="14.25">
      <c r="A496" s="275" t="s">
        <v>2804</v>
      </c>
      <c r="B496" s="275" t="s">
        <v>4014</v>
      </c>
      <c r="C496" s="275" t="s">
        <v>3407</v>
      </c>
      <c r="D496" s="275" t="s">
        <v>3056</v>
      </c>
      <c r="E496" s="275" t="s">
        <v>2802</v>
      </c>
      <c r="F496" s="278">
        <v>34669</v>
      </c>
      <c r="G496" s="275" t="s">
        <v>2803</v>
      </c>
      <c r="H496" s="276">
        <v>11</v>
      </c>
      <c r="I496" s="276">
        <v>53.2</v>
      </c>
      <c r="J496" s="276">
        <v>8.85</v>
      </c>
      <c r="K496" s="276">
        <f t="shared" si="7"/>
        <v>2.1500000000000004</v>
      </c>
      <c r="L496" s="335"/>
      <c r="N496" s="288"/>
      <c r="O496" s="287"/>
      <c r="P496" s="287"/>
      <c r="Q496" s="287"/>
    </row>
    <row r="497" spans="1:17" ht="14.25">
      <c r="A497" s="275" t="s">
        <v>2809</v>
      </c>
      <c r="B497" s="275" t="s">
        <v>2810</v>
      </c>
      <c r="C497" s="275" t="s">
        <v>3405</v>
      </c>
      <c r="D497" s="275" t="s">
        <v>3056</v>
      </c>
      <c r="E497" s="275" t="s">
        <v>2802</v>
      </c>
      <c r="F497" s="278">
        <v>34676</v>
      </c>
      <c r="G497" s="275" t="s">
        <v>2803</v>
      </c>
      <c r="H497" s="276">
        <v>11.7</v>
      </c>
      <c r="I497" s="276">
        <v>53.89</v>
      </c>
      <c r="J497" s="276">
        <v>8.85</v>
      </c>
      <c r="K497" s="276">
        <f t="shared" si="7"/>
        <v>2.8499999999999996</v>
      </c>
      <c r="L497" s="335"/>
      <c r="N497" s="288"/>
      <c r="O497" s="287"/>
      <c r="P497" s="287"/>
      <c r="Q497" s="287"/>
    </row>
    <row r="498" spans="1:17" ht="14.25">
      <c r="A498" s="275" t="s">
        <v>2809</v>
      </c>
      <c r="B498" s="275" t="s">
        <v>2854</v>
      </c>
      <c r="C498" s="275" t="s">
        <v>3406</v>
      </c>
      <c r="D498" s="275" t="s">
        <v>3056</v>
      </c>
      <c r="E498" s="275" t="s">
        <v>2802</v>
      </c>
      <c r="F498" s="278">
        <v>34676</v>
      </c>
      <c r="G498" s="275" t="s">
        <v>2803</v>
      </c>
      <c r="H498" s="276">
        <v>11.5</v>
      </c>
      <c r="I498" s="276">
        <v>51.93</v>
      </c>
      <c r="J498" s="276">
        <v>8.85</v>
      </c>
      <c r="K498" s="276">
        <f t="shared" si="7"/>
        <v>2.6500000000000004</v>
      </c>
      <c r="L498" s="335"/>
      <c r="N498" s="288"/>
      <c r="O498" s="287"/>
      <c r="P498" s="287"/>
      <c r="Q498" s="287"/>
    </row>
    <row r="499" spans="1:17" ht="14.25">
      <c r="A499" s="275" t="s">
        <v>2801</v>
      </c>
      <c r="B499" s="275" t="s">
        <v>2849</v>
      </c>
      <c r="C499" s="275" t="s">
        <v>3404</v>
      </c>
      <c r="D499" s="275" t="s">
        <v>3056</v>
      </c>
      <c r="E499" s="275" t="s">
        <v>2802</v>
      </c>
      <c r="F499" s="278">
        <v>34680</v>
      </c>
      <c r="G499" s="275" t="s">
        <v>2803</v>
      </c>
      <c r="H499" s="276">
        <v>11.82</v>
      </c>
      <c r="I499" s="276">
        <v>47.9</v>
      </c>
      <c r="J499" s="276">
        <v>8.85</v>
      </c>
      <c r="K499" s="276">
        <f t="shared" si="7"/>
        <v>2.9700000000000006</v>
      </c>
      <c r="L499" s="335"/>
      <c r="N499" s="288"/>
      <c r="O499" s="287"/>
      <c r="P499" s="287"/>
      <c r="Q499" s="287"/>
    </row>
    <row r="500" spans="1:17" ht="14.25">
      <c r="A500" s="275" t="s">
        <v>2809</v>
      </c>
      <c r="B500" s="275" t="s">
        <v>2853</v>
      </c>
      <c r="C500" s="275" t="s">
        <v>3403</v>
      </c>
      <c r="D500" s="275" t="s">
        <v>3056</v>
      </c>
      <c r="E500" s="275" t="s">
        <v>2802</v>
      </c>
      <c r="F500" s="278">
        <v>34687</v>
      </c>
      <c r="G500" s="275" t="s">
        <v>2803</v>
      </c>
      <c r="H500" s="276">
        <v>11.5</v>
      </c>
      <c r="I500" s="276">
        <v>55.43</v>
      </c>
      <c r="J500" s="276">
        <v>8.89</v>
      </c>
      <c r="K500" s="276">
        <f t="shared" si="7"/>
        <v>2.6099999999999994</v>
      </c>
      <c r="L500" s="335"/>
      <c r="N500" s="288"/>
      <c r="O500" s="287"/>
      <c r="P500" s="287"/>
      <c r="Q500" s="287"/>
    </row>
    <row r="501" spans="1:17" ht="14.25">
      <c r="A501" s="275" t="s">
        <v>2811</v>
      </c>
      <c r="B501" s="275" t="s">
        <v>2812</v>
      </c>
      <c r="C501" s="275" t="s">
        <v>3402</v>
      </c>
      <c r="D501" s="275" t="s">
        <v>3056</v>
      </c>
      <c r="E501" s="275" t="s">
        <v>2802</v>
      </c>
      <c r="F501" s="278">
        <v>34808</v>
      </c>
      <c r="G501" s="275" t="s">
        <v>2803</v>
      </c>
      <c r="H501" s="276">
        <v>11</v>
      </c>
      <c r="I501" s="276">
        <v>39.85</v>
      </c>
      <c r="J501" s="276">
        <v>8.3699999999999992</v>
      </c>
      <c r="K501" s="276">
        <f t="shared" si="7"/>
        <v>2.6300000000000008</v>
      </c>
      <c r="L501" s="335"/>
      <c r="N501" s="288"/>
      <c r="O501" s="287"/>
      <c r="P501" s="287"/>
      <c r="Q501" s="287"/>
    </row>
    <row r="502" spans="1:17" ht="14.25">
      <c r="A502" s="275" t="s">
        <v>2809</v>
      </c>
      <c r="B502" s="275" t="s">
        <v>4025</v>
      </c>
      <c r="C502" s="275" t="s">
        <v>3401</v>
      </c>
      <c r="D502" s="275" t="s">
        <v>3056</v>
      </c>
      <c r="E502" s="275" t="s">
        <v>2802</v>
      </c>
      <c r="F502" s="278">
        <v>34953</v>
      </c>
      <c r="G502" s="275" t="s">
        <v>2803</v>
      </c>
      <c r="H502" s="276">
        <v>11.3</v>
      </c>
      <c r="I502" s="276">
        <v>53.96</v>
      </c>
      <c r="J502" s="276">
        <v>7.69</v>
      </c>
      <c r="K502" s="276">
        <f t="shared" si="7"/>
        <v>3.6100000000000003</v>
      </c>
      <c r="L502" s="335"/>
      <c r="N502" s="288"/>
      <c r="O502" s="287"/>
      <c r="P502" s="287"/>
      <c r="Q502" s="287"/>
    </row>
    <row r="503" spans="1:17" ht="14.25">
      <c r="A503" s="275" t="s">
        <v>2811</v>
      </c>
      <c r="B503" s="275" t="s">
        <v>4014</v>
      </c>
      <c r="C503" s="275" t="s">
        <v>3400</v>
      </c>
      <c r="D503" s="275" t="s">
        <v>3056</v>
      </c>
      <c r="E503" s="275" t="s">
        <v>2802</v>
      </c>
      <c r="F503" s="278">
        <v>34957</v>
      </c>
      <c r="G503" s="275" t="s">
        <v>2803</v>
      </c>
      <c r="H503" s="276">
        <v>10.4</v>
      </c>
      <c r="I503" s="276">
        <v>54.7</v>
      </c>
      <c r="J503" s="276">
        <v>7.84</v>
      </c>
      <c r="K503" s="276">
        <f t="shared" si="7"/>
        <v>2.5600000000000005</v>
      </c>
      <c r="L503" s="335"/>
      <c r="N503" s="288"/>
      <c r="O503" s="287"/>
      <c r="P503" s="287"/>
      <c r="Q503" s="287"/>
    </row>
    <row r="504" spans="1:17" ht="14.25">
      <c r="A504" s="275" t="s">
        <v>2871</v>
      </c>
      <c r="B504" s="275" t="s">
        <v>3079</v>
      </c>
      <c r="C504" s="275" t="s">
        <v>3399</v>
      </c>
      <c r="D504" s="275" t="s">
        <v>3056</v>
      </c>
      <c r="E504" s="275" t="s">
        <v>2802</v>
      </c>
      <c r="F504" s="278">
        <v>34971</v>
      </c>
      <c r="G504" s="275" t="s">
        <v>2803</v>
      </c>
      <c r="H504" s="276">
        <v>11.5</v>
      </c>
      <c r="I504" s="276">
        <v>51.61</v>
      </c>
      <c r="J504" s="276">
        <v>7.84</v>
      </c>
      <c r="K504" s="276">
        <f t="shared" si="7"/>
        <v>3.66</v>
      </c>
      <c r="L504" s="335"/>
      <c r="N504" s="288"/>
      <c r="O504" s="287"/>
      <c r="P504" s="287"/>
      <c r="Q504" s="287"/>
    </row>
    <row r="505" spans="1:17" ht="14.25">
      <c r="A505" s="275" t="s">
        <v>2830</v>
      </c>
      <c r="B505" s="275" t="s">
        <v>3157</v>
      </c>
      <c r="C505" s="275" t="s">
        <v>3398</v>
      </c>
      <c r="D505" s="275" t="s">
        <v>3056</v>
      </c>
      <c r="E505" s="275" t="s">
        <v>2802</v>
      </c>
      <c r="F505" s="278">
        <v>34985</v>
      </c>
      <c r="G505" s="275" t="s">
        <v>2803</v>
      </c>
      <c r="H505" s="276">
        <v>10.76</v>
      </c>
      <c r="I505" s="276">
        <v>51.16</v>
      </c>
      <c r="J505" s="276">
        <v>7.84</v>
      </c>
      <c r="K505" s="276">
        <f t="shared" si="7"/>
        <v>2.92</v>
      </c>
      <c r="L505" s="335"/>
      <c r="N505" s="288"/>
      <c r="O505" s="287"/>
      <c r="P505" s="287"/>
      <c r="Q505" s="287"/>
    </row>
    <row r="506" spans="1:17" ht="14.25">
      <c r="A506" s="275" t="s">
        <v>2861</v>
      </c>
      <c r="B506" s="275" t="s">
        <v>3328</v>
      </c>
      <c r="C506" s="275" t="s">
        <v>3397</v>
      </c>
      <c r="D506" s="275" t="s">
        <v>3056</v>
      </c>
      <c r="E506" s="275" t="s">
        <v>2802</v>
      </c>
      <c r="F506" s="278">
        <v>35010</v>
      </c>
      <c r="G506" s="275" t="s">
        <v>2803</v>
      </c>
      <c r="H506" s="276">
        <v>12.5</v>
      </c>
      <c r="I506" s="276">
        <v>54.19</v>
      </c>
      <c r="J506" s="276">
        <v>7.62</v>
      </c>
      <c r="K506" s="276">
        <f t="shared" si="7"/>
        <v>4.88</v>
      </c>
      <c r="L506" s="335"/>
      <c r="N506" s="288"/>
      <c r="O506" s="287"/>
      <c r="P506" s="287"/>
      <c r="Q506" s="287"/>
    </row>
    <row r="507" spans="1:17" ht="14.25">
      <c r="A507" s="275" t="s">
        <v>2801</v>
      </c>
      <c r="B507" s="275" t="s">
        <v>3139</v>
      </c>
      <c r="C507" s="275" t="s">
        <v>3395</v>
      </c>
      <c r="D507" s="275" t="s">
        <v>3056</v>
      </c>
      <c r="E507" s="275" t="s">
        <v>2802</v>
      </c>
      <c r="F507" s="278">
        <v>35011</v>
      </c>
      <c r="G507" s="275" t="s">
        <v>2803</v>
      </c>
      <c r="H507" s="276">
        <v>11.3</v>
      </c>
      <c r="I507" s="276">
        <v>57.04</v>
      </c>
      <c r="J507" s="276">
        <v>7.62</v>
      </c>
      <c r="K507" s="276">
        <f t="shared" si="7"/>
        <v>3.6800000000000006</v>
      </c>
      <c r="L507" s="335"/>
      <c r="N507" s="288"/>
      <c r="O507" s="287"/>
      <c r="P507" s="287"/>
      <c r="Q507" s="287"/>
    </row>
    <row r="508" spans="1:17" ht="14.25">
      <c r="A508" s="275" t="s">
        <v>2801</v>
      </c>
      <c r="B508" s="275" t="s">
        <v>4021</v>
      </c>
      <c r="C508" s="275" t="s">
        <v>3396</v>
      </c>
      <c r="D508" s="275" t="s">
        <v>3056</v>
      </c>
      <c r="E508" s="275" t="s">
        <v>2802</v>
      </c>
      <c r="F508" s="278">
        <v>35011</v>
      </c>
      <c r="G508" s="275" t="s">
        <v>2803</v>
      </c>
      <c r="H508" s="276">
        <v>11.1</v>
      </c>
      <c r="I508" s="276">
        <v>51.08</v>
      </c>
      <c r="J508" s="276">
        <v>7.62</v>
      </c>
      <c r="K508" s="276">
        <f t="shared" si="7"/>
        <v>3.4799999999999995</v>
      </c>
      <c r="L508" s="335"/>
      <c r="N508" s="288"/>
      <c r="O508" s="287"/>
      <c r="P508" s="287"/>
      <c r="Q508" s="287"/>
    </row>
    <row r="509" spans="1:17" ht="14.25">
      <c r="A509" s="275" t="s">
        <v>2867</v>
      </c>
      <c r="B509" s="275" t="s">
        <v>2868</v>
      </c>
      <c r="C509" s="275" t="s">
        <v>3394</v>
      </c>
      <c r="D509" s="275" t="s">
        <v>3056</v>
      </c>
      <c r="E509" s="275" t="s">
        <v>2802</v>
      </c>
      <c r="F509" s="278">
        <v>35020</v>
      </c>
      <c r="G509" s="275" t="s">
        <v>2803</v>
      </c>
      <c r="H509" s="276">
        <v>10.9</v>
      </c>
      <c r="I509" s="276">
        <v>43.13</v>
      </c>
      <c r="J509" s="276">
        <v>7.47</v>
      </c>
      <c r="K509" s="276">
        <f t="shared" si="7"/>
        <v>3.4300000000000006</v>
      </c>
      <c r="L509" s="335"/>
      <c r="N509" s="288"/>
      <c r="O509" s="287"/>
      <c r="P509" s="287"/>
      <c r="Q509" s="287"/>
    </row>
    <row r="510" spans="1:17" ht="14.25">
      <c r="A510" s="275" t="s">
        <v>2805</v>
      </c>
      <c r="B510" s="275" t="s">
        <v>2829</v>
      </c>
      <c r="C510" s="275" t="s">
        <v>3393</v>
      </c>
      <c r="D510" s="275" t="s">
        <v>3056</v>
      </c>
      <c r="E510" s="275" t="s">
        <v>2802</v>
      </c>
      <c r="F510" s="278">
        <v>35023</v>
      </c>
      <c r="G510" s="275" t="s">
        <v>2803</v>
      </c>
      <c r="H510" s="276">
        <v>11.4</v>
      </c>
      <c r="I510" s="276">
        <v>45.2</v>
      </c>
      <c r="J510" s="276">
        <v>7.47</v>
      </c>
      <c r="K510" s="276">
        <f t="shared" si="7"/>
        <v>3.9300000000000006</v>
      </c>
      <c r="L510" s="335"/>
      <c r="N510" s="288"/>
      <c r="O510" s="287"/>
      <c r="P510" s="287"/>
      <c r="Q510" s="287"/>
    </row>
    <row r="511" spans="1:17" ht="14.25">
      <c r="A511" s="275" t="s">
        <v>3392</v>
      </c>
      <c r="B511" s="275" t="s">
        <v>4029</v>
      </c>
      <c r="C511" s="275" t="s">
        <v>3391</v>
      </c>
      <c r="D511" s="275" t="s">
        <v>3056</v>
      </c>
      <c r="E511" s="275" t="s">
        <v>2802</v>
      </c>
      <c r="F511" s="278">
        <v>35030</v>
      </c>
      <c r="G511" s="275" t="s">
        <v>2803</v>
      </c>
      <c r="H511" s="276">
        <v>13.6</v>
      </c>
      <c r="I511" s="276">
        <v>46.99</v>
      </c>
      <c r="J511" s="276">
        <v>7.47</v>
      </c>
      <c r="K511" s="276">
        <f t="shared" si="7"/>
        <v>6.13</v>
      </c>
      <c r="L511" s="335"/>
      <c r="N511" s="288"/>
      <c r="O511" s="287"/>
      <c r="P511" s="287"/>
      <c r="Q511" s="287"/>
    </row>
    <row r="512" spans="1:17" ht="14.25">
      <c r="A512" s="275" t="s">
        <v>2809</v>
      </c>
      <c r="B512" s="275" t="s">
        <v>4023</v>
      </c>
      <c r="C512" s="275" t="s">
        <v>3390</v>
      </c>
      <c r="D512" s="275" t="s">
        <v>3056</v>
      </c>
      <c r="E512" s="275" t="s">
        <v>2802</v>
      </c>
      <c r="F512" s="278">
        <v>35047</v>
      </c>
      <c r="G512" s="275" t="s">
        <v>2803</v>
      </c>
      <c r="H512" s="276">
        <v>11.3</v>
      </c>
      <c r="I512" s="276">
        <v>54.99</v>
      </c>
      <c r="J512" s="276">
        <v>7.47</v>
      </c>
      <c r="K512" s="276">
        <f t="shared" si="7"/>
        <v>3.830000000000001</v>
      </c>
      <c r="L512" s="335"/>
      <c r="N512" s="288"/>
      <c r="O512" s="287"/>
      <c r="P512" s="287"/>
      <c r="Q512" s="287"/>
    </row>
    <row r="513" spans="1:17" ht="14.25">
      <c r="A513" s="275" t="s">
        <v>2844</v>
      </c>
      <c r="B513" s="275" t="s">
        <v>2864</v>
      </c>
      <c r="C513" s="275" t="s">
        <v>3389</v>
      </c>
      <c r="D513" s="275" t="s">
        <v>3056</v>
      </c>
      <c r="E513" s="275" t="s">
        <v>2802</v>
      </c>
      <c r="F513" s="278">
        <v>35053</v>
      </c>
      <c r="G513" s="275" t="s">
        <v>2803</v>
      </c>
      <c r="H513" s="276">
        <v>11.6</v>
      </c>
      <c r="I513" s="276">
        <v>48</v>
      </c>
      <c r="J513" s="276">
        <v>7.44</v>
      </c>
      <c r="K513" s="276">
        <f t="shared" si="7"/>
        <v>4.1599999999999993</v>
      </c>
      <c r="L513" s="335"/>
      <c r="N513" s="288"/>
      <c r="O513" s="287"/>
      <c r="P513" s="287"/>
      <c r="Q513" s="287"/>
    </row>
    <row r="514" spans="1:17" ht="14.25">
      <c r="A514" s="275" t="s">
        <v>2871</v>
      </c>
      <c r="B514" s="275" t="s">
        <v>3277</v>
      </c>
      <c r="C514" s="275" t="s">
        <v>3388</v>
      </c>
      <c r="D514" s="275" t="s">
        <v>3056</v>
      </c>
      <c r="E514" s="275" t="s">
        <v>2802</v>
      </c>
      <c r="F514" s="278">
        <v>35095</v>
      </c>
      <c r="G514" s="275" t="s">
        <v>2803</v>
      </c>
      <c r="H514" s="276">
        <v>11.3</v>
      </c>
      <c r="I514" s="276">
        <v>59.16</v>
      </c>
      <c r="J514" s="276">
        <v>7.25</v>
      </c>
      <c r="K514" s="276">
        <f t="shared" si="7"/>
        <v>4.0500000000000007</v>
      </c>
      <c r="L514" s="335"/>
      <c r="N514" s="288"/>
      <c r="O514" s="287"/>
      <c r="P514" s="287"/>
      <c r="Q514" s="287"/>
    </row>
    <row r="515" spans="1:17" ht="14.25">
      <c r="A515" s="275" t="s">
        <v>2851</v>
      </c>
      <c r="B515" s="275" t="s">
        <v>2876</v>
      </c>
      <c r="C515" s="275" t="s">
        <v>3387</v>
      </c>
      <c r="D515" s="275" t="s">
        <v>3056</v>
      </c>
      <c r="E515" s="275" t="s">
        <v>2802</v>
      </c>
      <c r="F515" s="278">
        <v>35135</v>
      </c>
      <c r="G515" s="275" t="s">
        <v>2803</v>
      </c>
      <c r="H515" s="276">
        <v>11.6</v>
      </c>
      <c r="I515" s="276">
        <v>29.71</v>
      </c>
      <c r="J515" s="276">
        <v>7.21</v>
      </c>
      <c r="K515" s="276">
        <f t="shared" si="7"/>
        <v>4.3899999999999997</v>
      </c>
      <c r="L515" s="335"/>
      <c r="N515" s="288"/>
      <c r="O515" s="287"/>
      <c r="P515" s="287"/>
      <c r="Q515" s="287"/>
    </row>
    <row r="516" spans="1:17" ht="14.25">
      <c r="A516" s="275" t="s">
        <v>2801</v>
      </c>
      <c r="B516" s="275" t="s">
        <v>3089</v>
      </c>
      <c r="C516" s="275" t="s">
        <v>3386</v>
      </c>
      <c r="D516" s="275" t="s">
        <v>3056</v>
      </c>
      <c r="E516" s="275" t="s">
        <v>2802</v>
      </c>
      <c r="F516" s="278">
        <v>35158</v>
      </c>
      <c r="G516" s="275" t="s">
        <v>2803</v>
      </c>
      <c r="H516" s="276">
        <v>11.13</v>
      </c>
      <c r="I516" s="276">
        <v>58.08</v>
      </c>
      <c r="J516" s="276">
        <v>7.35</v>
      </c>
      <c r="K516" s="276">
        <f t="shared" si="7"/>
        <v>3.7800000000000011</v>
      </c>
      <c r="L516" s="335"/>
      <c r="N516" s="288"/>
      <c r="O516" s="287"/>
      <c r="P516" s="287"/>
      <c r="Q516" s="287"/>
    </row>
    <row r="517" spans="1:17" ht="14.25">
      <c r="A517" s="275" t="s">
        <v>2813</v>
      </c>
      <c r="B517" s="275" t="s">
        <v>3385</v>
      </c>
      <c r="C517" s="275" t="s">
        <v>3384</v>
      </c>
      <c r="D517" s="275" t="s">
        <v>3056</v>
      </c>
      <c r="E517" s="275" t="s">
        <v>2802</v>
      </c>
      <c r="F517" s="278">
        <v>35170</v>
      </c>
      <c r="G517" s="275" t="s">
        <v>2803</v>
      </c>
      <c r="H517" s="276">
        <v>10.5</v>
      </c>
      <c r="I517" s="276">
        <v>49.29</v>
      </c>
      <c r="J517" s="276">
        <v>7.72</v>
      </c>
      <c r="K517" s="276">
        <f t="shared" si="7"/>
        <v>2.7800000000000002</v>
      </c>
      <c r="L517" s="335"/>
      <c r="N517" s="288"/>
      <c r="O517" s="287"/>
      <c r="P517" s="287"/>
      <c r="Q517" s="287"/>
    </row>
    <row r="518" spans="1:17" ht="14.25">
      <c r="A518" s="275" t="s">
        <v>2857</v>
      </c>
      <c r="B518" s="275" t="s">
        <v>3129</v>
      </c>
      <c r="C518" s="275" t="s">
        <v>3383</v>
      </c>
      <c r="D518" s="275" t="s">
        <v>3056</v>
      </c>
      <c r="E518" s="275" t="s">
        <v>2802</v>
      </c>
      <c r="F518" s="278">
        <v>35195</v>
      </c>
      <c r="G518" s="275" t="s">
        <v>2803</v>
      </c>
      <c r="H518" s="276">
        <v>11</v>
      </c>
      <c r="I518" s="276">
        <v>48.16</v>
      </c>
      <c r="J518" s="276">
        <v>7.72</v>
      </c>
      <c r="K518" s="276">
        <f t="shared" ref="K518:K581" si="8">H518-J518</f>
        <v>3.2800000000000002</v>
      </c>
      <c r="L518" s="335"/>
      <c r="N518" s="288"/>
      <c r="O518" s="287"/>
      <c r="P518" s="287"/>
      <c r="Q518" s="287"/>
    </row>
    <row r="519" spans="1:17" ht="14.25">
      <c r="A519" s="275" t="s">
        <v>2811</v>
      </c>
      <c r="B519" s="275" t="s">
        <v>2855</v>
      </c>
      <c r="C519" s="275" t="s">
        <v>3382</v>
      </c>
      <c r="D519" s="275" t="s">
        <v>3056</v>
      </c>
      <c r="E519" s="275" t="s">
        <v>2802</v>
      </c>
      <c r="F519" s="278">
        <v>35341</v>
      </c>
      <c r="G519" s="275" t="s">
        <v>2803</v>
      </c>
      <c r="H519" s="276">
        <v>10</v>
      </c>
      <c r="I519" s="276">
        <v>50.75</v>
      </c>
      <c r="J519" s="276">
        <v>7.84</v>
      </c>
      <c r="K519" s="276">
        <f t="shared" si="8"/>
        <v>2.16</v>
      </c>
      <c r="L519" s="335"/>
      <c r="N519" s="288"/>
      <c r="O519" s="287"/>
      <c r="P519" s="287"/>
      <c r="Q519" s="287"/>
    </row>
    <row r="520" spans="1:17" ht="14.25">
      <c r="A520" s="275" t="s">
        <v>2878</v>
      </c>
      <c r="B520" s="275" t="s">
        <v>3309</v>
      </c>
      <c r="C520" s="275" t="s">
        <v>3381</v>
      </c>
      <c r="D520" s="275" t="s">
        <v>3056</v>
      </c>
      <c r="E520" s="275" t="s">
        <v>2802</v>
      </c>
      <c r="F520" s="278">
        <v>35367</v>
      </c>
      <c r="G520" s="275" t="s">
        <v>2803</v>
      </c>
      <c r="H520" s="276">
        <v>11.3</v>
      </c>
      <c r="I520" s="276">
        <v>35.04</v>
      </c>
      <c r="J520" s="276">
        <v>8.02</v>
      </c>
      <c r="K520" s="276">
        <f t="shared" si="8"/>
        <v>3.2800000000000011</v>
      </c>
      <c r="L520" s="335"/>
      <c r="N520" s="288"/>
      <c r="O520" s="287"/>
      <c r="P520" s="287"/>
      <c r="Q520" s="287"/>
    </row>
    <row r="521" spans="1:17" ht="14.25">
      <c r="A521" s="275" t="s">
        <v>2809</v>
      </c>
      <c r="B521" s="275" t="s">
        <v>4023</v>
      </c>
      <c r="C521" s="275" t="s">
        <v>3380</v>
      </c>
      <c r="D521" s="275" t="s">
        <v>3056</v>
      </c>
      <c r="E521" s="275" t="s">
        <v>2802</v>
      </c>
      <c r="F521" s="278">
        <v>35395</v>
      </c>
      <c r="G521" s="275" t="s">
        <v>2803</v>
      </c>
      <c r="H521" s="276">
        <v>11.3</v>
      </c>
      <c r="I521" s="276">
        <v>55</v>
      </c>
      <c r="J521" s="276">
        <v>7.78</v>
      </c>
      <c r="K521" s="276">
        <f t="shared" si="8"/>
        <v>3.5200000000000005</v>
      </c>
      <c r="L521" s="335"/>
      <c r="N521" s="288"/>
      <c r="O521" s="287"/>
      <c r="P521" s="287"/>
      <c r="Q521" s="287"/>
    </row>
    <row r="522" spans="1:17" ht="14.25">
      <c r="A522" s="275" t="s">
        <v>2856</v>
      </c>
      <c r="B522" s="275" t="s">
        <v>3292</v>
      </c>
      <c r="C522" s="275" t="s">
        <v>3379</v>
      </c>
      <c r="D522" s="275" t="s">
        <v>3056</v>
      </c>
      <c r="E522" s="275" t="s">
        <v>2802</v>
      </c>
      <c r="F522" s="278">
        <v>35396</v>
      </c>
      <c r="G522" s="275" t="s">
        <v>2803</v>
      </c>
      <c r="H522" s="276">
        <v>11.3</v>
      </c>
      <c r="I522" s="276">
        <v>41.29</v>
      </c>
      <c r="J522" s="276">
        <v>7.78</v>
      </c>
      <c r="K522" s="276">
        <f t="shared" si="8"/>
        <v>3.5200000000000005</v>
      </c>
      <c r="L522" s="335"/>
      <c r="N522" s="288"/>
      <c r="O522" s="287"/>
      <c r="P522" s="287"/>
      <c r="Q522" s="287"/>
    </row>
    <row r="523" spans="1:17" ht="14.25">
      <c r="A523" s="275" t="s">
        <v>2807</v>
      </c>
      <c r="B523" s="275" t="s">
        <v>3103</v>
      </c>
      <c r="C523" s="275" t="s">
        <v>3378</v>
      </c>
      <c r="D523" s="275" t="s">
        <v>3056</v>
      </c>
      <c r="E523" s="275" t="s">
        <v>2802</v>
      </c>
      <c r="F523" s="278">
        <v>35398</v>
      </c>
      <c r="G523" s="275" t="s">
        <v>2803</v>
      </c>
      <c r="H523" s="276">
        <v>11</v>
      </c>
      <c r="I523" s="276">
        <v>47.16</v>
      </c>
      <c r="J523" s="276">
        <v>7.78</v>
      </c>
      <c r="K523" s="276">
        <f t="shared" si="8"/>
        <v>3.2199999999999998</v>
      </c>
      <c r="L523" s="335"/>
      <c r="N523" s="288"/>
      <c r="O523" s="287"/>
      <c r="P523" s="287"/>
      <c r="Q523" s="287"/>
    </row>
    <row r="524" spans="1:17" ht="14.25">
      <c r="A524" s="275" t="s">
        <v>2818</v>
      </c>
      <c r="B524" s="275" t="s">
        <v>2865</v>
      </c>
      <c r="C524" s="275" t="s">
        <v>3377</v>
      </c>
      <c r="D524" s="275" t="s">
        <v>3056</v>
      </c>
      <c r="E524" s="275" t="s">
        <v>2802</v>
      </c>
      <c r="F524" s="278">
        <v>35411</v>
      </c>
      <c r="G524" s="275" t="s">
        <v>2803</v>
      </c>
      <c r="H524" s="276">
        <v>11.96</v>
      </c>
      <c r="I524" s="276">
        <v>47.98</v>
      </c>
      <c r="J524" s="276">
        <v>7.78</v>
      </c>
      <c r="K524" s="276">
        <f t="shared" si="8"/>
        <v>4.1800000000000006</v>
      </c>
      <c r="L524" s="335"/>
      <c r="N524" s="288"/>
      <c r="O524" s="287"/>
      <c r="P524" s="287"/>
      <c r="Q524" s="287"/>
    </row>
    <row r="525" spans="1:17" ht="14.25">
      <c r="A525" s="275" t="s">
        <v>2873</v>
      </c>
      <c r="B525" s="275" t="s">
        <v>3328</v>
      </c>
      <c r="C525" s="275" t="s">
        <v>3376</v>
      </c>
      <c r="D525" s="275" t="s">
        <v>3056</v>
      </c>
      <c r="E525" s="275" t="s">
        <v>2802</v>
      </c>
      <c r="F525" s="278">
        <v>35416</v>
      </c>
      <c r="G525" s="275" t="s">
        <v>2803</v>
      </c>
      <c r="H525" s="276">
        <v>11.5</v>
      </c>
      <c r="I525" s="276">
        <v>49.6</v>
      </c>
      <c r="J525" s="276">
        <v>7.5</v>
      </c>
      <c r="K525" s="276">
        <f t="shared" si="8"/>
        <v>4</v>
      </c>
      <c r="L525" s="335"/>
      <c r="N525" s="288"/>
      <c r="O525" s="287"/>
      <c r="P525" s="287"/>
      <c r="Q525" s="287"/>
    </row>
    <row r="526" spans="1:17" ht="14.25">
      <c r="A526" s="275" t="s">
        <v>2860</v>
      </c>
      <c r="B526" s="275" t="s">
        <v>3063</v>
      </c>
      <c r="C526" s="275" t="s">
        <v>3375</v>
      </c>
      <c r="D526" s="275" t="s">
        <v>3056</v>
      </c>
      <c r="E526" s="275" t="s">
        <v>2802</v>
      </c>
      <c r="F526" s="278">
        <v>35452</v>
      </c>
      <c r="G526" s="275" t="s">
        <v>2803</v>
      </c>
      <c r="H526" s="276">
        <v>11.3</v>
      </c>
      <c r="I526" s="276">
        <v>33.130000000000003</v>
      </c>
      <c r="J526" s="276">
        <v>7.57</v>
      </c>
      <c r="K526" s="276">
        <f t="shared" si="8"/>
        <v>3.7300000000000004</v>
      </c>
      <c r="L526" s="335"/>
      <c r="N526" s="288"/>
      <c r="O526" s="287"/>
      <c r="P526" s="287"/>
      <c r="Q526" s="287"/>
    </row>
    <row r="527" spans="1:17" ht="14.25">
      <c r="A527" s="275" t="s">
        <v>2822</v>
      </c>
      <c r="B527" s="275" t="s">
        <v>2823</v>
      </c>
      <c r="C527" s="275" t="s">
        <v>3374</v>
      </c>
      <c r="D527" s="275" t="s">
        <v>3056</v>
      </c>
      <c r="E527" s="275" t="s">
        <v>2802</v>
      </c>
      <c r="F527" s="278">
        <v>35461</v>
      </c>
      <c r="G527" s="275" t="s">
        <v>2803</v>
      </c>
      <c r="H527" s="276">
        <v>11.25</v>
      </c>
      <c r="I527" s="276">
        <v>52.79</v>
      </c>
      <c r="J527" s="276">
        <v>7.57</v>
      </c>
      <c r="K527" s="276">
        <f t="shared" si="8"/>
        <v>3.6799999999999997</v>
      </c>
      <c r="L527" s="335"/>
      <c r="N527" s="288"/>
      <c r="O527" s="287"/>
      <c r="P527" s="287"/>
      <c r="Q527" s="287"/>
    </row>
    <row r="528" spans="1:17" ht="14.25">
      <c r="A528" s="275" t="s">
        <v>2809</v>
      </c>
      <c r="B528" s="275" t="s">
        <v>4025</v>
      </c>
      <c r="C528" s="275" t="s">
        <v>3372</v>
      </c>
      <c r="D528" s="275" t="s">
        <v>3056</v>
      </c>
      <c r="E528" s="275" t="s">
        <v>2802</v>
      </c>
      <c r="F528" s="278">
        <v>35474</v>
      </c>
      <c r="G528" s="275" t="s">
        <v>2803</v>
      </c>
      <c r="H528" s="276">
        <v>11.8</v>
      </c>
      <c r="I528" s="276">
        <v>53.35</v>
      </c>
      <c r="J528" s="276">
        <v>7.57</v>
      </c>
      <c r="K528" s="276">
        <f t="shared" si="8"/>
        <v>4.2300000000000004</v>
      </c>
      <c r="L528" s="335"/>
      <c r="N528" s="288"/>
      <c r="O528" s="287"/>
      <c r="P528" s="287"/>
      <c r="Q528" s="287"/>
    </row>
    <row r="529" spans="1:17" ht="14.25">
      <c r="A529" s="275" t="s">
        <v>2858</v>
      </c>
      <c r="B529" s="275" t="s">
        <v>2859</v>
      </c>
      <c r="C529" s="275" t="s">
        <v>3373</v>
      </c>
      <c r="D529" s="275" t="s">
        <v>3056</v>
      </c>
      <c r="E529" s="275" t="s">
        <v>2802</v>
      </c>
      <c r="F529" s="278">
        <v>35474</v>
      </c>
      <c r="G529" s="275" t="s">
        <v>2803</v>
      </c>
      <c r="H529" s="276">
        <v>11</v>
      </c>
      <c r="I529" s="276">
        <v>50.5</v>
      </c>
      <c r="J529" s="276">
        <v>7.57</v>
      </c>
      <c r="K529" s="276">
        <f t="shared" si="8"/>
        <v>3.4299999999999997</v>
      </c>
      <c r="L529" s="335"/>
      <c r="N529" s="288"/>
      <c r="O529" s="287"/>
      <c r="P529" s="287"/>
      <c r="Q529" s="287"/>
    </row>
    <row r="530" spans="1:17" ht="14.25">
      <c r="A530" s="275" t="s">
        <v>2809</v>
      </c>
      <c r="B530" s="275" t="s">
        <v>2853</v>
      </c>
      <c r="C530" s="275" t="s">
        <v>3371</v>
      </c>
      <c r="D530" s="275" t="s">
        <v>3056</v>
      </c>
      <c r="E530" s="275" t="s">
        <v>2802</v>
      </c>
      <c r="F530" s="278">
        <v>35481</v>
      </c>
      <c r="G530" s="275" t="s">
        <v>2803</v>
      </c>
      <c r="H530" s="276">
        <v>11.8</v>
      </c>
      <c r="I530" s="276">
        <v>54.8</v>
      </c>
      <c r="J530" s="276">
        <v>7.77</v>
      </c>
      <c r="K530" s="276">
        <f t="shared" si="8"/>
        <v>4.0300000000000011</v>
      </c>
      <c r="L530" s="335"/>
      <c r="N530" s="288"/>
      <c r="O530" s="287"/>
      <c r="P530" s="287"/>
      <c r="Q530" s="287"/>
    </row>
    <row r="531" spans="1:17" ht="14.25">
      <c r="A531" s="275" t="s">
        <v>2851</v>
      </c>
      <c r="B531" s="275" t="s">
        <v>4030</v>
      </c>
      <c r="C531" s="275" t="s">
        <v>3370</v>
      </c>
      <c r="D531" s="275" t="s">
        <v>3056</v>
      </c>
      <c r="E531" s="275" t="s">
        <v>2802</v>
      </c>
      <c r="F531" s="278">
        <v>35516</v>
      </c>
      <c r="G531" s="275" t="s">
        <v>2803</v>
      </c>
      <c r="H531" s="276">
        <v>10.75</v>
      </c>
      <c r="I531" s="276">
        <v>42.44</v>
      </c>
      <c r="J531" s="276">
        <v>7.64</v>
      </c>
      <c r="K531" s="276">
        <f t="shared" si="8"/>
        <v>3.1100000000000003</v>
      </c>
      <c r="L531" s="335"/>
      <c r="N531" s="288"/>
      <c r="O531" s="287"/>
      <c r="P531" s="287"/>
      <c r="Q531" s="287"/>
    </row>
    <row r="532" spans="1:17" ht="14.25">
      <c r="A532" s="275" t="s">
        <v>2809</v>
      </c>
      <c r="B532" s="275" t="s">
        <v>2854</v>
      </c>
      <c r="C532" s="275" t="s">
        <v>3369</v>
      </c>
      <c r="D532" s="275" t="s">
        <v>3056</v>
      </c>
      <c r="E532" s="275" t="s">
        <v>2802</v>
      </c>
      <c r="F532" s="278">
        <v>35549</v>
      </c>
      <c r="G532" s="275" t="s">
        <v>2803</v>
      </c>
      <c r="H532" s="276">
        <v>11.7</v>
      </c>
      <c r="I532" s="276">
        <v>52</v>
      </c>
      <c r="J532" s="276">
        <v>7.87</v>
      </c>
      <c r="K532" s="276">
        <f t="shared" si="8"/>
        <v>3.8299999999999992</v>
      </c>
      <c r="L532" s="335"/>
      <c r="N532" s="288"/>
      <c r="O532" s="287"/>
      <c r="P532" s="287"/>
      <c r="Q532" s="287"/>
    </row>
    <row r="533" spans="1:17" ht="14.25">
      <c r="A533" s="275" t="s">
        <v>2809</v>
      </c>
      <c r="B533" s="275" t="s">
        <v>2810</v>
      </c>
      <c r="C533" s="275" t="s">
        <v>3368</v>
      </c>
      <c r="D533" s="275" t="s">
        <v>3056</v>
      </c>
      <c r="E533" s="275" t="s">
        <v>2802</v>
      </c>
      <c r="F533" s="278">
        <v>35628</v>
      </c>
      <c r="G533" s="275" t="s">
        <v>2803</v>
      </c>
      <c r="H533" s="276">
        <v>12</v>
      </c>
      <c r="I533" s="276">
        <v>53.01</v>
      </c>
      <c r="J533" s="276">
        <v>7.72</v>
      </c>
      <c r="K533" s="276">
        <f t="shared" si="8"/>
        <v>4.28</v>
      </c>
      <c r="L533" s="335"/>
      <c r="N533" s="288"/>
      <c r="O533" s="287"/>
      <c r="P533" s="287"/>
      <c r="Q533" s="287"/>
    </row>
    <row r="534" spans="1:17" ht="14.25">
      <c r="A534" s="275" t="s">
        <v>2871</v>
      </c>
      <c r="B534" s="275" t="s">
        <v>3277</v>
      </c>
      <c r="C534" s="275" t="s">
        <v>3367</v>
      </c>
      <c r="D534" s="275" t="s">
        <v>3056</v>
      </c>
      <c r="E534" s="275" t="s">
        <v>2802</v>
      </c>
      <c r="F534" s="278">
        <v>35913</v>
      </c>
      <c r="G534" s="275" t="s">
        <v>2803</v>
      </c>
      <c r="H534" s="276">
        <v>10.9</v>
      </c>
      <c r="I534" s="276">
        <v>54.94</v>
      </c>
      <c r="J534" s="276">
        <v>7.16</v>
      </c>
      <c r="K534" s="276">
        <f t="shared" si="8"/>
        <v>3.74</v>
      </c>
      <c r="L534" s="335"/>
      <c r="N534" s="288"/>
      <c r="O534" s="287"/>
      <c r="P534" s="287"/>
      <c r="Q534" s="287"/>
    </row>
    <row r="535" spans="1:17" ht="14.25">
      <c r="A535" s="275" t="s">
        <v>2809</v>
      </c>
      <c r="B535" s="275" t="s">
        <v>2879</v>
      </c>
      <c r="C535" s="275" t="s">
        <v>3366</v>
      </c>
      <c r="D535" s="275" t="s">
        <v>3056</v>
      </c>
      <c r="E535" s="275" t="s">
        <v>2802</v>
      </c>
      <c r="F535" s="278">
        <v>35915</v>
      </c>
      <c r="G535" s="275" t="s">
        <v>2803</v>
      </c>
      <c r="H535" s="276">
        <v>12.2</v>
      </c>
      <c r="I535" s="276">
        <v>53.14</v>
      </c>
      <c r="J535" s="276">
        <v>7.16</v>
      </c>
      <c r="K535" s="276">
        <f t="shared" si="8"/>
        <v>5.0399999999999991</v>
      </c>
      <c r="L535" s="335"/>
      <c r="N535" s="288"/>
      <c r="O535" s="287"/>
      <c r="P535" s="287"/>
      <c r="Q535" s="287"/>
    </row>
    <row r="536" spans="1:17" ht="14.25">
      <c r="A536" s="275" t="s">
        <v>2806</v>
      </c>
      <c r="B536" s="275" t="s">
        <v>3081</v>
      </c>
      <c r="C536" s="275" t="s">
        <v>3365</v>
      </c>
      <c r="D536" s="275" t="s">
        <v>3056</v>
      </c>
      <c r="E536" s="275" t="s">
        <v>2802</v>
      </c>
      <c r="F536" s="278">
        <v>35976</v>
      </c>
      <c r="G536" s="275" t="s">
        <v>2803</v>
      </c>
      <c r="H536" s="276">
        <v>11</v>
      </c>
      <c r="I536" s="276">
        <v>43.88</v>
      </c>
      <c r="J536" s="276">
        <v>7.16</v>
      </c>
      <c r="K536" s="276">
        <f t="shared" si="8"/>
        <v>3.84</v>
      </c>
      <c r="L536" s="335"/>
      <c r="N536" s="288"/>
      <c r="O536" s="287"/>
      <c r="P536" s="287"/>
      <c r="Q536" s="287"/>
    </row>
    <row r="537" spans="1:17" ht="14.25">
      <c r="A537" s="275" t="s">
        <v>2860</v>
      </c>
      <c r="B537" s="275" t="s">
        <v>3063</v>
      </c>
      <c r="C537" s="275" t="s">
        <v>3364</v>
      </c>
      <c r="D537" s="275" t="s">
        <v>3056</v>
      </c>
      <c r="E537" s="275" t="s">
        <v>2802</v>
      </c>
      <c r="F537" s="278">
        <v>36033</v>
      </c>
      <c r="G537" s="275" t="s">
        <v>2803</v>
      </c>
      <c r="H537" s="276">
        <v>10.93</v>
      </c>
      <c r="I537" s="276">
        <v>38.5</v>
      </c>
      <c r="J537" s="276">
        <v>7.02</v>
      </c>
      <c r="K537" s="276">
        <f t="shared" si="8"/>
        <v>3.91</v>
      </c>
      <c r="L537" s="335"/>
      <c r="N537" s="288"/>
      <c r="O537" s="287"/>
      <c r="P537" s="287"/>
      <c r="Q537" s="287"/>
    </row>
    <row r="538" spans="1:17" ht="14.25">
      <c r="A538" s="275" t="s">
        <v>2809</v>
      </c>
      <c r="B538" s="275" t="s">
        <v>4023</v>
      </c>
      <c r="C538" s="275" t="s">
        <v>3363</v>
      </c>
      <c r="D538" s="275" t="s">
        <v>3056</v>
      </c>
      <c r="E538" s="275" t="s">
        <v>2802</v>
      </c>
      <c r="F538" s="278">
        <v>36053</v>
      </c>
      <c r="G538" s="275" t="s">
        <v>2803</v>
      </c>
      <c r="H538" s="276">
        <v>11.9</v>
      </c>
      <c r="I538" s="276">
        <v>55</v>
      </c>
      <c r="J538" s="276">
        <v>7</v>
      </c>
      <c r="K538" s="276">
        <f t="shared" si="8"/>
        <v>4.9000000000000004</v>
      </c>
      <c r="L538" s="335"/>
      <c r="N538" s="288"/>
      <c r="O538" s="287"/>
      <c r="P538" s="287"/>
      <c r="Q538" s="287"/>
    </row>
    <row r="539" spans="1:17" ht="14.25">
      <c r="A539" s="275" t="s">
        <v>2873</v>
      </c>
      <c r="B539" s="275" t="s">
        <v>3972</v>
      </c>
      <c r="C539" s="275" t="s">
        <v>3362</v>
      </c>
      <c r="D539" s="275" t="s">
        <v>3056</v>
      </c>
      <c r="E539" s="275" t="s">
        <v>2802</v>
      </c>
      <c r="F539" s="278">
        <v>36075</v>
      </c>
      <c r="G539" s="275" t="s">
        <v>2803</v>
      </c>
      <c r="H539" s="276">
        <v>11.06</v>
      </c>
      <c r="I539" s="276">
        <v>44.16</v>
      </c>
      <c r="J539" s="276">
        <v>7</v>
      </c>
      <c r="K539" s="276">
        <f t="shared" si="8"/>
        <v>4.0600000000000005</v>
      </c>
      <c r="L539" s="335"/>
      <c r="N539" s="288"/>
      <c r="O539" s="287"/>
      <c r="P539" s="287"/>
      <c r="Q539" s="287"/>
    </row>
    <row r="540" spans="1:17" ht="14.25">
      <c r="A540" s="275" t="s">
        <v>2850</v>
      </c>
      <c r="B540" s="275" t="s">
        <v>3361</v>
      </c>
      <c r="C540" s="275" t="s">
        <v>3360</v>
      </c>
      <c r="D540" s="275" t="s">
        <v>3056</v>
      </c>
      <c r="E540" s="275" t="s">
        <v>2802</v>
      </c>
      <c r="F540" s="278">
        <v>36098</v>
      </c>
      <c r="G540" s="275" t="s">
        <v>2803</v>
      </c>
      <c r="H540" s="276">
        <v>11.4</v>
      </c>
      <c r="I540" s="276">
        <v>51.91</v>
      </c>
      <c r="J540" s="276">
        <v>6.94</v>
      </c>
      <c r="K540" s="276">
        <f t="shared" si="8"/>
        <v>4.46</v>
      </c>
      <c r="L540" s="335"/>
      <c r="N540" s="288"/>
      <c r="O540" s="287"/>
      <c r="P540" s="287"/>
      <c r="Q540" s="287"/>
    </row>
    <row r="541" spans="1:17" ht="14.25">
      <c r="A541" s="275" t="s">
        <v>2809</v>
      </c>
      <c r="B541" s="275" t="s">
        <v>2810</v>
      </c>
      <c r="C541" s="275" t="s">
        <v>3359</v>
      </c>
      <c r="D541" s="275" t="s">
        <v>3056</v>
      </c>
      <c r="E541" s="275" t="s">
        <v>2802</v>
      </c>
      <c r="F541" s="278">
        <v>36139</v>
      </c>
      <c r="G541" s="275" t="s">
        <v>2803</v>
      </c>
      <c r="H541" s="276">
        <v>12.2</v>
      </c>
      <c r="I541" s="276">
        <v>53.35</v>
      </c>
      <c r="J541" s="276">
        <v>6.96</v>
      </c>
      <c r="K541" s="276">
        <f t="shared" si="8"/>
        <v>5.2399999999999993</v>
      </c>
      <c r="L541" s="335"/>
      <c r="N541" s="288"/>
      <c r="O541" s="287"/>
      <c r="P541" s="287"/>
      <c r="Q541" s="287"/>
    </row>
    <row r="542" spans="1:17" ht="14.25">
      <c r="A542" s="275" t="s">
        <v>2809</v>
      </c>
      <c r="B542" s="275" t="s">
        <v>2853</v>
      </c>
      <c r="C542" s="275" t="s">
        <v>3358</v>
      </c>
      <c r="D542" s="275" t="s">
        <v>3056</v>
      </c>
      <c r="E542" s="275" t="s">
        <v>2802</v>
      </c>
      <c r="F542" s="278">
        <v>36146</v>
      </c>
      <c r="G542" s="275" t="s">
        <v>2803</v>
      </c>
      <c r="H542" s="276">
        <v>12.1</v>
      </c>
      <c r="I542" s="276">
        <v>54.22</v>
      </c>
      <c r="J542" s="276">
        <v>7.04</v>
      </c>
      <c r="K542" s="276">
        <f t="shared" si="8"/>
        <v>5.0599999999999996</v>
      </c>
      <c r="L542" s="335"/>
      <c r="N542" s="288"/>
      <c r="O542" s="287"/>
      <c r="P542" s="287"/>
      <c r="Q542" s="287"/>
    </row>
    <row r="543" spans="1:17" ht="14.25">
      <c r="A543" s="275" t="s">
        <v>2871</v>
      </c>
      <c r="B543" s="275" t="s">
        <v>3357</v>
      </c>
      <c r="C543" s="275" t="s">
        <v>3356</v>
      </c>
      <c r="D543" s="275" t="s">
        <v>3056</v>
      </c>
      <c r="E543" s="275" t="s">
        <v>2802</v>
      </c>
      <c r="F543" s="278">
        <v>36210</v>
      </c>
      <c r="G543" s="275" t="s">
        <v>2803</v>
      </c>
      <c r="H543" s="276">
        <v>11.15</v>
      </c>
      <c r="I543" s="276">
        <v>45.17</v>
      </c>
      <c r="J543" s="276">
        <v>6.97</v>
      </c>
      <c r="K543" s="276">
        <f t="shared" si="8"/>
        <v>4.1800000000000006</v>
      </c>
      <c r="L543" s="335"/>
      <c r="N543" s="288"/>
      <c r="O543" s="287"/>
      <c r="P543" s="287"/>
      <c r="Q543" s="287"/>
    </row>
    <row r="544" spans="1:17" ht="14.25">
      <c r="A544" s="275" t="s">
        <v>2801</v>
      </c>
      <c r="B544" s="275" t="s">
        <v>2849</v>
      </c>
      <c r="C544" s="275" t="s">
        <v>3355</v>
      </c>
      <c r="D544" s="275" t="s">
        <v>3056</v>
      </c>
      <c r="E544" s="275" t="s">
        <v>2802</v>
      </c>
      <c r="F544" s="278">
        <v>36220</v>
      </c>
      <c r="G544" s="275" t="s">
        <v>2803</v>
      </c>
      <c r="H544" s="276">
        <v>10.65</v>
      </c>
      <c r="I544" s="276">
        <v>55.66</v>
      </c>
      <c r="J544" s="276">
        <v>6.97</v>
      </c>
      <c r="K544" s="276">
        <f t="shared" si="8"/>
        <v>3.6800000000000006</v>
      </c>
      <c r="L544" s="335"/>
      <c r="N544" s="288"/>
      <c r="O544" s="287"/>
      <c r="P544" s="287"/>
      <c r="Q544" s="287"/>
    </row>
    <row r="545" spans="1:17" ht="14.25">
      <c r="A545" s="275" t="s">
        <v>2801</v>
      </c>
      <c r="B545" s="275" t="s">
        <v>2849</v>
      </c>
      <c r="C545" s="275" t="s">
        <v>3354</v>
      </c>
      <c r="D545" s="275" t="s">
        <v>3056</v>
      </c>
      <c r="E545" s="275" t="s">
        <v>2802</v>
      </c>
      <c r="F545" s="278">
        <v>36220</v>
      </c>
      <c r="G545" s="275" t="s">
        <v>2803</v>
      </c>
      <c r="H545" s="276">
        <v>10.65</v>
      </c>
      <c r="I545" s="276">
        <v>45.81</v>
      </c>
      <c r="J545" s="276">
        <v>6.97</v>
      </c>
      <c r="K545" s="276">
        <f t="shared" si="8"/>
        <v>3.6800000000000006</v>
      </c>
      <c r="L545" s="335"/>
      <c r="N545" s="288"/>
      <c r="O545" s="287"/>
      <c r="P545" s="287"/>
      <c r="Q545" s="287"/>
    </row>
    <row r="546" spans="1:17" ht="14.25">
      <c r="A546" s="275" t="s">
        <v>2822</v>
      </c>
      <c r="B546" s="275" t="s">
        <v>2823</v>
      </c>
      <c r="C546" s="275" t="s">
        <v>3353</v>
      </c>
      <c r="D546" s="275" t="s">
        <v>3056</v>
      </c>
      <c r="E546" s="275" t="s">
        <v>2802</v>
      </c>
      <c r="F546" s="278">
        <v>36319</v>
      </c>
      <c r="G546" s="275" t="s">
        <v>2803</v>
      </c>
      <c r="H546" s="276">
        <v>11.25</v>
      </c>
      <c r="I546" s="276">
        <v>52.36</v>
      </c>
      <c r="J546" s="276">
        <v>7.21</v>
      </c>
      <c r="K546" s="276">
        <f t="shared" si="8"/>
        <v>4.04</v>
      </c>
      <c r="L546" s="335"/>
      <c r="N546" s="288"/>
      <c r="O546" s="287"/>
      <c r="P546" s="287"/>
      <c r="Q546" s="287"/>
    </row>
    <row r="547" spans="1:17" ht="14.25">
      <c r="A547" s="275" t="s">
        <v>2880</v>
      </c>
      <c r="B547" s="275" t="s">
        <v>3182</v>
      </c>
      <c r="C547" s="275" t="s">
        <v>3352</v>
      </c>
      <c r="D547" s="275" t="s">
        <v>3056</v>
      </c>
      <c r="E547" s="275" t="s">
        <v>2802</v>
      </c>
      <c r="F547" s="278">
        <v>36476</v>
      </c>
      <c r="G547" s="275" t="s">
        <v>2803</v>
      </c>
      <c r="H547" s="276">
        <v>10.25</v>
      </c>
      <c r="I547" s="276">
        <v>47.71</v>
      </c>
      <c r="J547" s="276">
        <v>7.93</v>
      </c>
      <c r="K547" s="276">
        <f t="shared" si="8"/>
        <v>2.3200000000000003</v>
      </c>
      <c r="L547" s="335"/>
      <c r="N547" s="288"/>
      <c r="O547" s="287"/>
      <c r="P547" s="287"/>
      <c r="Q547" s="287"/>
    </row>
    <row r="548" spans="1:17" ht="14.25">
      <c r="A548" s="275" t="s">
        <v>2860</v>
      </c>
      <c r="B548" s="275" t="s">
        <v>3060</v>
      </c>
      <c r="C548" s="275" t="s">
        <v>3351</v>
      </c>
      <c r="D548" s="275" t="s">
        <v>3056</v>
      </c>
      <c r="E548" s="275" t="s">
        <v>2802</v>
      </c>
      <c r="F548" s="278">
        <v>36508</v>
      </c>
      <c r="G548" s="275" t="s">
        <v>2803</v>
      </c>
      <c r="H548" s="276">
        <v>10.5</v>
      </c>
      <c r="I548" s="276">
        <v>52.66</v>
      </c>
      <c r="J548" s="276">
        <v>8.06</v>
      </c>
      <c r="K548" s="276">
        <f t="shared" si="8"/>
        <v>2.4399999999999995</v>
      </c>
      <c r="L548" s="335"/>
      <c r="N548" s="288"/>
      <c r="O548" s="287"/>
      <c r="P548" s="287"/>
      <c r="Q548" s="287"/>
    </row>
    <row r="549" spans="1:17" ht="14.25">
      <c r="A549" s="275" t="s">
        <v>2830</v>
      </c>
      <c r="B549" s="275" t="s">
        <v>4020</v>
      </c>
      <c r="C549" s="275" t="s">
        <v>3350</v>
      </c>
      <c r="D549" s="275" t="s">
        <v>3056</v>
      </c>
      <c r="E549" s="275" t="s">
        <v>2802</v>
      </c>
      <c r="F549" s="278">
        <v>36553</v>
      </c>
      <c r="G549" s="275" t="s">
        <v>2803</v>
      </c>
      <c r="H549" s="276">
        <v>10.71</v>
      </c>
      <c r="I549" s="276">
        <v>53.95</v>
      </c>
      <c r="J549" s="276">
        <v>8.1199999999999992</v>
      </c>
      <c r="K549" s="276">
        <f t="shared" si="8"/>
        <v>2.5900000000000016</v>
      </c>
      <c r="L549" s="335"/>
      <c r="N549" s="288"/>
      <c r="O549" s="287"/>
      <c r="P549" s="287"/>
      <c r="Q549" s="287"/>
    </row>
    <row r="550" spans="1:17" ht="14.25">
      <c r="A550" s="275" t="s">
        <v>2844</v>
      </c>
      <c r="B550" s="275" t="s">
        <v>2864</v>
      </c>
      <c r="C550" s="275" t="s">
        <v>3349</v>
      </c>
      <c r="D550" s="275" t="s">
        <v>3056</v>
      </c>
      <c r="E550" s="275" t="s">
        <v>2802</v>
      </c>
      <c r="F550" s="278">
        <v>36573</v>
      </c>
      <c r="G550" s="275" t="s">
        <v>2803</v>
      </c>
      <c r="H550" s="276">
        <v>10.6</v>
      </c>
      <c r="I550" s="276">
        <v>48</v>
      </c>
      <c r="J550" s="276">
        <v>8.35</v>
      </c>
      <c r="K550" s="276">
        <f t="shared" si="8"/>
        <v>2.25</v>
      </c>
      <c r="L550" s="335"/>
      <c r="N550" s="288"/>
      <c r="O550" s="287"/>
      <c r="P550" s="287"/>
      <c r="Q550" s="287"/>
    </row>
    <row r="551" spans="1:17" ht="14.25">
      <c r="A551" s="275" t="s">
        <v>2830</v>
      </c>
      <c r="B551" s="275" t="s">
        <v>3157</v>
      </c>
      <c r="C551" s="275" t="s">
        <v>3348</v>
      </c>
      <c r="D551" s="275" t="s">
        <v>3056</v>
      </c>
      <c r="E551" s="275" t="s">
        <v>2802</v>
      </c>
      <c r="F551" s="278">
        <v>36671</v>
      </c>
      <c r="G551" s="275" t="s">
        <v>2803</v>
      </c>
      <c r="H551" s="276">
        <v>10.8</v>
      </c>
      <c r="I551" s="276">
        <v>50.35</v>
      </c>
      <c r="J551" s="276">
        <v>8.2799999999999994</v>
      </c>
      <c r="K551" s="276">
        <f t="shared" si="8"/>
        <v>2.5200000000000014</v>
      </c>
      <c r="L551" s="335"/>
      <c r="N551" s="288"/>
      <c r="O551" s="287"/>
      <c r="P551" s="287"/>
      <c r="Q551" s="287"/>
    </row>
    <row r="552" spans="1:17" ht="14.25">
      <c r="A552" s="275" t="s">
        <v>2805</v>
      </c>
      <c r="B552" s="275" t="s">
        <v>2829</v>
      </c>
      <c r="C552" s="275" t="s">
        <v>3347</v>
      </c>
      <c r="D552" s="275" t="s">
        <v>3056</v>
      </c>
      <c r="E552" s="275" t="s">
        <v>2802</v>
      </c>
      <c r="F552" s="278">
        <v>36696</v>
      </c>
      <c r="G552" s="275" t="s">
        <v>2803</v>
      </c>
      <c r="H552" s="276">
        <v>11.05</v>
      </c>
      <c r="I552" s="276">
        <v>44.48</v>
      </c>
      <c r="J552" s="276">
        <v>8.69</v>
      </c>
      <c r="K552" s="276">
        <f t="shared" si="8"/>
        <v>2.3600000000000012</v>
      </c>
      <c r="L552" s="335"/>
      <c r="N552" s="288"/>
      <c r="O552" s="287"/>
      <c r="P552" s="287"/>
      <c r="Q552" s="287"/>
    </row>
    <row r="553" spans="1:17" ht="14.25">
      <c r="A553" s="275" t="s">
        <v>2801</v>
      </c>
      <c r="B553" s="275" t="s">
        <v>2817</v>
      </c>
      <c r="C553" s="275" t="s">
        <v>3346</v>
      </c>
      <c r="D553" s="275" t="s">
        <v>3056</v>
      </c>
      <c r="E553" s="275" t="s">
        <v>2802</v>
      </c>
      <c r="F553" s="278">
        <v>36724</v>
      </c>
      <c r="G553" s="275" t="s">
        <v>2803</v>
      </c>
      <c r="H553" s="276">
        <v>11.06</v>
      </c>
      <c r="I553" s="276">
        <v>46</v>
      </c>
      <c r="J553" s="276">
        <v>8.3800000000000008</v>
      </c>
      <c r="K553" s="276">
        <f t="shared" si="8"/>
        <v>2.6799999999999997</v>
      </c>
      <c r="L553" s="335"/>
      <c r="N553" s="288"/>
      <c r="O553" s="287"/>
      <c r="P553" s="287"/>
      <c r="Q553" s="287"/>
    </row>
    <row r="554" spans="1:17" ht="14.25">
      <c r="A554" s="275" t="s">
        <v>2809</v>
      </c>
      <c r="B554" s="275" t="s">
        <v>2879</v>
      </c>
      <c r="C554" s="275" t="s">
        <v>3345</v>
      </c>
      <c r="D554" s="275" t="s">
        <v>3056</v>
      </c>
      <c r="E554" s="275" t="s">
        <v>2802</v>
      </c>
      <c r="F554" s="278">
        <v>36727</v>
      </c>
      <c r="G554" s="275" t="s">
        <v>2803</v>
      </c>
      <c r="H554" s="276">
        <v>12.2</v>
      </c>
      <c r="I554" s="276">
        <v>53.45</v>
      </c>
      <c r="J554" s="276">
        <v>8.3800000000000008</v>
      </c>
      <c r="K554" s="276">
        <f t="shared" si="8"/>
        <v>3.8199999999999985</v>
      </c>
      <c r="L554" s="335"/>
      <c r="N554" s="288"/>
      <c r="O554" s="287"/>
      <c r="P554" s="287"/>
      <c r="Q554" s="287"/>
    </row>
    <row r="555" spans="1:17" ht="14.25">
      <c r="A555" s="275" t="s">
        <v>2821</v>
      </c>
      <c r="B555" s="275" t="s">
        <v>3073</v>
      </c>
      <c r="C555" s="275" t="s">
        <v>3344</v>
      </c>
      <c r="D555" s="275" t="s">
        <v>3056</v>
      </c>
      <c r="E555" s="275" t="s">
        <v>2802</v>
      </c>
      <c r="F555" s="278">
        <v>36749</v>
      </c>
      <c r="G555" s="275" t="s">
        <v>2803</v>
      </c>
      <c r="H555" s="276">
        <v>11</v>
      </c>
      <c r="I555" s="276">
        <v>55.04</v>
      </c>
      <c r="J555" s="276">
        <v>8.3800000000000008</v>
      </c>
      <c r="K555" s="276">
        <f t="shared" si="8"/>
        <v>2.6199999999999992</v>
      </c>
      <c r="L555" s="335"/>
      <c r="N555" s="288"/>
      <c r="O555" s="287"/>
      <c r="P555" s="287"/>
      <c r="Q555" s="287"/>
    </row>
    <row r="556" spans="1:17" ht="14.25">
      <c r="A556" s="275" t="s">
        <v>2835</v>
      </c>
      <c r="B556" s="275" t="s">
        <v>2836</v>
      </c>
      <c r="C556" s="275" t="s">
        <v>3343</v>
      </c>
      <c r="D556" s="275" t="s">
        <v>3056</v>
      </c>
      <c r="E556" s="275" t="s">
        <v>2802</v>
      </c>
      <c r="F556" s="278">
        <v>36796</v>
      </c>
      <c r="G556" s="275" t="s">
        <v>2803</v>
      </c>
      <c r="H556" s="276">
        <v>11.25</v>
      </c>
      <c r="I556" s="276">
        <v>44.79</v>
      </c>
      <c r="J556" s="276">
        <v>8.1300000000000008</v>
      </c>
      <c r="K556" s="276">
        <f t="shared" si="8"/>
        <v>3.1199999999999992</v>
      </c>
      <c r="L556" s="335"/>
      <c r="N556" s="288"/>
      <c r="O556" s="287"/>
      <c r="P556" s="287"/>
      <c r="Q556" s="287"/>
    </row>
    <row r="557" spans="1:17" ht="14.25">
      <c r="A557" s="275" t="s">
        <v>2842</v>
      </c>
      <c r="B557" s="275" t="s">
        <v>2834</v>
      </c>
      <c r="C557" s="275" t="s">
        <v>3342</v>
      </c>
      <c r="D557" s="275" t="s">
        <v>3056</v>
      </c>
      <c r="E557" s="275" t="s">
        <v>2802</v>
      </c>
      <c r="F557" s="278">
        <v>36798</v>
      </c>
      <c r="G557" s="275" t="s">
        <v>2803</v>
      </c>
      <c r="H557" s="276">
        <v>11.16</v>
      </c>
      <c r="I557" s="276">
        <v>42</v>
      </c>
      <c r="J557" s="276">
        <v>8.1300000000000008</v>
      </c>
      <c r="K557" s="276">
        <f t="shared" si="8"/>
        <v>3.0299999999999994</v>
      </c>
      <c r="L557" s="335"/>
      <c r="N557" s="288"/>
      <c r="O557" s="287"/>
      <c r="P557" s="287"/>
      <c r="Q557" s="287"/>
    </row>
    <row r="558" spans="1:17" ht="14.25">
      <c r="A558" s="275" t="s">
        <v>2809</v>
      </c>
      <c r="B558" s="275" t="s">
        <v>2810</v>
      </c>
      <c r="C558" s="275" t="s">
        <v>3341</v>
      </c>
      <c r="D558" s="275" t="s">
        <v>3056</v>
      </c>
      <c r="E558" s="275" t="s">
        <v>2802</v>
      </c>
      <c r="F558" s="278">
        <v>36858</v>
      </c>
      <c r="G558" s="275" t="s">
        <v>2803</v>
      </c>
      <c r="H558" s="276">
        <v>12.9</v>
      </c>
      <c r="I558" s="276">
        <v>50.69</v>
      </c>
      <c r="J558" s="276">
        <v>8.14</v>
      </c>
      <c r="K558" s="276">
        <f t="shared" si="8"/>
        <v>4.76</v>
      </c>
      <c r="L558" s="335"/>
      <c r="N558" s="288"/>
      <c r="O558" s="287"/>
      <c r="P558" s="287"/>
      <c r="Q558" s="287"/>
    </row>
    <row r="559" spans="1:17" ht="14.25">
      <c r="A559" s="275" t="s">
        <v>2809</v>
      </c>
      <c r="B559" s="275" t="s">
        <v>2853</v>
      </c>
      <c r="C559" s="275" t="s">
        <v>3340</v>
      </c>
      <c r="D559" s="275" t="s">
        <v>3056</v>
      </c>
      <c r="E559" s="275" t="s">
        <v>2802</v>
      </c>
      <c r="F559" s="278">
        <v>36860</v>
      </c>
      <c r="G559" s="275" t="s">
        <v>2803</v>
      </c>
      <c r="H559" s="276">
        <v>12.1</v>
      </c>
      <c r="I559" s="276">
        <v>54.28</v>
      </c>
      <c r="J559" s="276">
        <v>8.14</v>
      </c>
      <c r="K559" s="276">
        <f t="shared" si="8"/>
        <v>3.9599999999999991</v>
      </c>
      <c r="L559" s="335"/>
      <c r="N559" s="288"/>
      <c r="O559" s="287"/>
      <c r="P559" s="287"/>
      <c r="Q559" s="287"/>
    </row>
    <row r="560" spans="1:17" ht="14.25">
      <c r="A560" s="275" t="s">
        <v>2878</v>
      </c>
      <c r="B560" s="275" t="s">
        <v>3309</v>
      </c>
      <c r="C560" s="275" t="s">
        <v>3339</v>
      </c>
      <c r="D560" s="275" t="s">
        <v>3056</v>
      </c>
      <c r="E560" s="275" t="s">
        <v>2802</v>
      </c>
      <c r="F560" s="278">
        <v>36927</v>
      </c>
      <c r="G560" s="275" t="s">
        <v>2803</v>
      </c>
      <c r="H560" s="276">
        <v>11.5</v>
      </c>
      <c r="I560" s="276">
        <v>37.39</v>
      </c>
      <c r="J560" s="276">
        <v>7.86</v>
      </c>
      <c r="K560" s="276">
        <f t="shared" si="8"/>
        <v>3.6399999999999997</v>
      </c>
      <c r="L560" s="335"/>
      <c r="N560" s="288"/>
      <c r="O560" s="287"/>
      <c r="P560" s="287"/>
      <c r="Q560" s="287"/>
    </row>
    <row r="561" spans="1:17" ht="14.25">
      <c r="A561" s="275" t="s">
        <v>2822</v>
      </c>
      <c r="B561" s="275" t="s">
        <v>2823</v>
      </c>
      <c r="C561" s="275" t="s">
        <v>3338</v>
      </c>
      <c r="D561" s="275" t="s">
        <v>3056</v>
      </c>
      <c r="E561" s="275" t="s">
        <v>2802</v>
      </c>
      <c r="F561" s="278">
        <v>36965</v>
      </c>
      <c r="G561" s="275" t="s">
        <v>2803</v>
      </c>
      <c r="H561" s="276">
        <v>11.25</v>
      </c>
      <c r="I561" s="276">
        <v>50.4</v>
      </c>
      <c r="J561" s="276">
        <v>7.74</v>
      </c>
      <c r="K561" s="276">
        <f t="shared" si="8"/>
        <v>3.51</v>
      </c>
      <c r="L561" s="335"/>
      <c r="N561" s="288"/>
      <c r="O561" s="287"/>
      <c r="P561" s="287"/>
      <c r="Q561" s="287"/>
    </row>
    <row r="562" spans="1:17" ht="14.25">
      <c r="A562" s="275" t="s">
        <v>2846</v>
      </c>
      <c r="B562" s="275" t="s">
        <v>2847</v>
      </c>
      <c r="C562" s="275" t="s">
        <v>3337</v>
      </c>
      <c r="D562" s="275" t="s">
        <v>3056</v>
      </c>
      <c r="E562" s="275" t="s">
        <v>2802</v>
      </c>
      <c r="F562" s="278">
        <v>37019</v>
      </c>
      <c r="G562" s="275" t="s">
        <v>2803</v>
      </c>
      <c r="H562" s="276">
        <v>10.75</v>
      </c>
      <c r="I562" s="276">
        <v>45</v>
      </c>
      <c r="J562" s="276">
        <v>7.67</v>
      </c>
      <c r="K562" s="276">
        <f t="shared" si="8"/>
        <v>3.08</v>
      </c>
      <c r="L562" s="335"/>
      <c r="N562" s="288"/>
      <c r="O562" s="287"/>
      <c r="P562" s="287"/>
      <c r="Q562" s="287"/>
    </row>
    <row r="563" spans="1:17" ht="14.25">
      <c r="A563" s="275" t="s">
        <v>2824</v>
      </c>
      <c r="B563" s="275" t="s">
        <v>3094</v>
      </c>
      <c r="C563" s="275" t="s">
        <v>3336</v>
      </c>
      <c r="D563" s="275" t="s">
        <v>3056</v>
      </c>
      <c r="E563" s="275" t="s">
        <v>2802</v>
      </c>
      <c r="F563" s="278">
        <v>37188</v>
      </c>
      <c r="G563" s="275" t="s">
        <v>2803</v>
      </c>
      <c r="H563" s="276">
        <v>11</v>
      </c>
      <c r="I563" s="276">
        <v>40</v>
      </c>
      <c r="J563" s="276">
        <v>7.71</v>
      </c>
      <c r="K563" s="276">
        <f t="shared" si="8"/>
        <v>3.29</v>
      </c>
      <c r="L563" s="335"/>
      <c r="N563" s="288"/>
      <c r="O563" s="287"/>
      <c r="P563" s="287"/>
      <c r="Q563" s="287"/>
    </row>
    <row r="564" spans="1:17" ht="14.25">
      <c r="A564" s="275" t="s">
        <v>2830</v>
      </c>
      <c r="B564" s="275" t="s">
        <v>3198</v>
      </c>
      <c r="C564" s="275" t="s">
        <v>3335</v>
      </c>
      <c r="D564" s="275" t="s">
        <v>3056</v>
      </c>
      <c r="E564" s="275" t="s">
        <v>2802</v>
      </c>
      <c r="F564" s="278">
        <v>37286</v>
      </c>
      <c r="G564" s="275" t="s">
        <v>2803</v>
      </c>
      <c r="H564" s="276">
        <v>11</v>
      </c>
      <c r="I564" s="276">
        <v>45.46</v>
      </c>
      <c r="J564" s="276">
        <v>7.83</v>
      </c>
      <c r="K564" s="276">
        <f t="shared" si="8"/>
        <v>3.17</v>
      </c>
      <c r="L564" s="335"/>
      <c r="N564" s="288"/>
      <c r="O564" s="287"/>
      <c r="P564" s="287"/>
      <c r="Q564" s="287"/>
    </row>
    <row r="565" spans="1:17" ht="14.25">
      <c r="A565" s="275" t="s">
        <v>2835</v>
      </c>
      <c r="B565" s="275" t="s">
        <v>2877</v>
      </c>
      <c r="C565" s="275" t="s">
        <v>3334</v>
      </c>
      <c r="D565" s="275" t="s">
        <v>3056</v>
      </c>
      <c r="E565" s="275" t="s">
        <v>2802</v>
      </c>
      <c r="F565" s="278">
        <v>37287</v>
      </c>
      <c r="G565" s="275" t="s">
        <v>2803</v>
      </c>
      <c r="H565" s="276">
        <v>11</v>
      </c>
      <c r="I565" s="276">
        <v>52.73</v>
      </c>
      <c r="J565" s="276">
        <v>7.83</v>
      </c>
      <c r="K565" s="276">
        <f t="shared" si="8"/>
        <v>3.17</v>
      </c>
      <c r="L565" s="335"/>
      <c r="N565" s="288"/>
      <c r="O565" s="287"/>
      <c r="P565" s="287"/>
      <c r="Q565" s="287"/>
    </row>
    <row r="566" spans="1:17" ht="14.25">
      <c r="A566" s="275" t="s">
        <v>2806</v>
      </c>
      <c r="B566" s="275" t="s">
        <v>3081</v>
      </c>
      <c r="C566" s="275" t="s">
        <v>3333</v>
      </c>
      <c r="D566" s="275" t="s">
        <v>3056</v>
      </c>
      <c r="E566" s="275" t="s">
        <v>2802</v>
      </c>
      <c r="F566" s="278">
        <v>37375</v>
      </c>
      <c r="G566" s="275" t="s">
        <v>2803</v>
      </c>
      <c r="H566" s="276">
        <v>11</v>
      </c>
      <c r="I566" s="276">
        <v>47</v>
      </c>
      <c r="J566" s="276">
        <v>7.74</v>
      </c>
      <c r="K566" s="276">
        <f t="shared" si="8"/>
        <v>3.26</v>
      </c>
      <c r="L566" s="335"/>
      <c r="N566" s="288"/>
      <c r="O566" s="287"/>
      <c r="P566" s="287"/>
      <c r="Q566" s="287"/>
    </row>
    <row r="567" spans="1:17" ht="14.25">
      <c r="A567" s="275" t="s">
        <v>2809</v>
      </c>
      <c r="B567" s="275" t="s">
        <v>2853</v>
      </c>
      <c r="C567" s="275" t="s">
        <v>3332</v>
      </c>
      <c r="D567" s="275" t="s">
        <v>3056</v>
      </c>
      <c r="E567" s="275" t="s">
        <v>2802</v>
      </c>
      <c r="F567" s="278">
        <v>37427</v>
      </c>
      <c r="G567" s="275" t="s">
        <v>2803</v>
      </c>
      <c r="H567" s="276">
        <v>12.3</v>
      </c>
      <c r="I567" s="276">
        <v>54.99</v>
      </c>
      <c r="J567" s="276">
        <v>7.53</v>
      </c>
      <c r="K567" s="276">
        <f t="shared" si="8"/>
        <v>4.7700000000000005</v>
      </c>
      <c r="L567" s="335"/>
      <c r="N567" s="288"/>
      <c r="O567" s="287"/>
      <c r="P567" s="287"/>
      <c r="Q567" s="287"/>
    </row>
    <row r="568" spans="1:17" ht="14.25">
      <c r="A568" s="275" t="s">
        <v>2801</v>
      </c>
      <c r="B568" s="275" t="s">
        <v>2817</v>
      </c>
      <c r="C568" s="275" t="s">
        <v>3331</v>
      </c>
      <c r="D568" s="275" t="s">
        <v>3056</v>
      </c>
      <c r="E568" s="275" t="s">
        <v>2802</v>
      </c>
      <c r="F568" s="278">
        <v>37510</v>
      </c>
      <c r="G568" s="275" t="s">
        <v>2803</v>
      </c>
      <c r="H568" s="276">
        <v>11.2</v>
      </c>
      <c r="I568" s="276">
        <v>51.61</v>
      </c>
      <c r="J568" s="276">
        <v>7.32</v>
      </c>
      <c r="K568" s="276">
        <f t="shared" si="8"/>
        <v>3.879999999999999</v>
      </c>
      <c r="L568" s="335"/>
      <c r="N568" s="288"/>
      <c r="O568" s="287"/>
      <c r="P568" s="287"/>
      <c r="Q568" s="287"/>
    </row>
    <row r="569" spans="1:17" ht="14.25">
      <c r="A569" s="275" t="s">
        <v>2809</v>
      </c>
      <c r="B569" s="275" t="s">
        <v>2854</v>
      </c>
      <c r="C569" s="275" t="s">
        <v>3330</v>
      </c>
      <c r="D569" s="275" t="s">
        <v>3056</v>
      </c>
      <c r="E569" s="275" t="s">
        <v>2802</v>
      </c>
      <c r="F569" s="278">
        <v>37511</v>
      </c>
      <c r="G569" s="275" t="s">
        <v>2803</v>
      </c>
      <c r="H569" s="276">
        <v>12.3</v>
      </c>
      <c r="I569" s="276">
        <v>44.67</v>
      </c>
      <c r="J569" s="276">
        <v>7.32</v>
      </c>
      <c r="K569" s="276">
        <f t="shared" si="8"/>
        <v>4.9800000000000004</v>
      </c>
      <c r="L569" s="335"/>
      <c r="N569" s="288"/>
      <c r="O569" s="287"/>
      <c r="P569" s="287"/>
      <c r="Q569" s="287"/>
    </row>
    <row r="570" spans="1:17" ht="14.25">
      <c r="A570" s="275" t="s">
        <v>2840</v>
      </c>
      <c r="B570" s="275" t="s">
        <v>3079</v>
      </c>
      <c r="C570" s="275" t="s">
        <v>3329</v>
      </c>
      <c r="D570" s="275" t="s">
        <v>3056</v>
      </c>
      <c r="E570" s="275" t="s">
        <v>2802</v>
      </c>
      <c r="F570" s="278">
        <v>37559</v>
      </c>
      <c r="G570" s="275" t="s">
        <v>2803</v>
      </c>
      <c r="H570" s="276">
        <v>10.6</v>
      </c>
      <c r="I570" s="276">
        <v>54</v>
      </c>
      <c r="J570" s="276">
        <v>7.09</v>
      </c>
      <c r="K570" s="276">
        <f t="shared" si="8"/>
        <v>3.51</v>
      </c>
      <c r="L570" s="335"/>
      <c r="N570" s="288"/>
      <c r="O570" s="287"/>
      <c r="P570" s="287"/>
      <c r="Q570" s="287"/>
    </row>
    <row r="571" spans="1:17" ht="14.25">
      <c r="A571" s="275" t="s">
        <v>2861</v>
      </c>
      <c r="B571" s="275" t="s">
        <v>3328</v>
      </c>
      <c r="C571" s="275" t="s">
        <v>3327</v>
      </c>
      <c r="D571" s="275" t="s">
        <v>3056</v>
      </c>
      <c r="E571" s="275" t="s">
        <v>2802</v>
      </c>
      <c r="F571" s="278">
        <v>37561</v>
      </c>
      <c r="G571" s="275" t="s">
        <v>2803</v>
      </c>
      <c r="H571" s="276">
        <v>12.6</v>
      </c>
      <c r="I571" s="276">
        <v>54.9</v>
      </c>
      <c r="J571" s="276">
        <v>7.09</v>
      </c>
      <c r="K571" s="276">
        <f t="shared" si="8"/>
        <v>5.51</v>
      </c>
      <c r="L571" s="335"/>
      <c r="N571" s="288"/>
      <c r="O571" s="287"/>
      <c r="P571" s="287"/>
      <c r="Q571" s="287"/>
    </row>
    <row r="572" spans="1:17" ht="14.25">
      <c r="A572" s="275" t="s">
        <v>2851</v>
      </c>
      <c r="B572" s="275" t="s">
        <v>2876</v>
      </c>
      <c r="C572" s="275" t="s">
        <v>3326</v>
      </c>
      <c r="D572" s="275" t="s">
        <v>3056</v>
      </c>
      <c r="E572" s="275" t="s">
        <v>2802</v>
      </c>
      <c r="F572" s="278">
        <v>37567</v>
      </c>
      <c r="G572" s="275" t="s">
        <v>2803</v>
      </c>
      <c r="H572" s="276">
        <v>11.4</v>
      </c>
      <c r="I572" s="276">
        <v>34.590000000000003</v>
      </c>
      <c r="J572" s="276">
        <v>7.09</v>
      </c>
      <c r="K572" s="276">
        <f t="shared" si="8"/>
        <v>4.3100000000000005</v>
      </c>
      <c r="L572" s="335"/>
      <c r="N572" s="288"/>
      <c r="O572" s="287"/>
      <c r="P572" s="287"/>
      <c r="Q572" s="287"/>
    </row>
    <row r="573" spans="1:17" ht="14.25">
      <c r="A573" s="275" t="s">
        <v>2821</v>
      </c>
      <c r="B573" s="275" t="s">
        <v>3073</v>
      </c>
      <c r="C573" s="275" t="s">
        <v>3325</v>
      </c>
      <c r="D573" s="275" t="s">
        <v>3056</v>
      </c>
      <c r="E573" s="275" t="s">
        <v>2802</v>
      </c>
      <c r="F573" s="278">
        <v>37620</v>
      </c>
      <c r="G573" s="275" t="s">
        <v>2803</v>
      </c>
      <c r="H573" s="276">
        <v>11.2</v>
      </c>
      <c r="I573" s="276">
        <v>52.61</v>
      </c>
      <c r="J573" s="276">
        <v>7.14</v>
      </c>
      <c r="K573" s="276">
        <f t="shared" si="8"/>
        <v>4.0599999999999996</v>
      </c>
      <c r="L573" s="335"/>
      <c r="N573" s="288"/>
      <c r="O573" s="287"/>
      <c r="P573" s="287"/>
      <c r="Q573" s="287"/>
    </row>
    <row r="574" spans="1:17" ht="14.25">
      <c r="A574" s="275" t="s">
        <v>2809</v>
      </c>
      <c r="B574" s="275" t="s">
        <v>2810</v>
      </c>
      <c r="C574" s="275" t="s">
        <v>3324</v>
      </c>
      <c r="D574" s="275" t="s">
        <v>3056</v>
      </c>
      <c r="E574" s="275" t="s">
        <v>2802</v>
      </c>
      <c r="F574" s="278">
        <v>37680</v>
      </c>
      <c r="G574" s="275" t="s">
        <v>2803</v>
      </c>
      <c r="H574" s="276">
        <v>12.3</v>
      </c>
      <c r="I574" s="276">
        <v>55.42</v>
      </c>
      <c r="J574" s="276">
        <v>7.06</v>
      </c>
      <c r="K574" s="276">
        <f t="shared" si="8"/>
        <v>5.2400000000000011</v>
      </c>
      <c r="L574" s="335"/>
      <c r="N574" s="288"/>
      <c r="O574" s="287"/>
      <c r="P574" s="287"/>
      <c r="Q574" s="287"/>
    </row>
    <row r="575" spans="1:17" ht="14.25">
      <c r="A575" s="275" t="s">
        <v>2811</v>
      </c>
      <c r="B575" s="275" t="s">
        <v>4017</v>
      </c>
      <c r="C575" s="275" t="s">
        <v>3323</v>
      </c>
      <c r="D575" s="275" t="s">
        <v>3056</v>
      </c>
      <c r="E575" s="275" t="s">
        <v>2802</v>
      </c>
      <c r="F575" s="278">
        <v>37687</v>
      </c>
      <c r="G575" s="275" t="s">
        <v>2803</v>
      </c>
      <c r="H575" s="276">
        <v>9.9600000000000009</v>
      </c>
      <c r="I575" s="276">
        <v>41.4</v>
      </c>
      <c r="J575" s="276">
        <v>7.06</v>
      </c>
      <c r="K575" s="276">
        <f t="shared" si="8"/>
        <v>2.9000000000000012</v>
      </c>
      <c r="L575" s="335"/>
      <c r="N575" s="288"/>
      <c r="O575" s="287"/>
      <c r="P575" s="287"/>
      <c r="Q575" s="287"/>
    </row>
    <row r="576" spans="1:17" ht="14.25">
      <c r="A576" s="275" t="s">
        <v>2809</v>
      </c>
      <c r="B576" s="275" t="s">
        <v>2853</v>
      </c>
      <c r="C576" s="275" t="s">
        <v>3322</v>
      </c>
      <c r="D576" s="275" t="s">
        <v>3056</v>
      </c>
      <c r="E576" s="275" t="s">
        <v>2802</v>
      </c>
      <c r="F576" s="278">
        <v>37700</v>
      </c>
      <c r="G576" s="275" t="s">
        <v>2803</v>
      </c>
      <c r="H576" s="276">
        <v>12</v>
      </c>
      <c r="I576" s="276">
        <v>55</v>
      </c>
      <c r="J576" s="276">
        <v>6.93</v>
      </c>
      <c r="K576" s="276">
        <f t="shared" si="8"/>
        <v>5.07</v>
      </c>
      <c r="L576" s="335"/>
      <c r="N576" s="288"/>
      <c r="O576" s="287"/>
      <c r="P576" s="287"/>
      <c r="Q576" s="287"/>
    </row>
    <row r="577" spans="1:17" ht="14.25">
      <c r="A577" s="275" t="s">
        <v>2809</v>
      </c>
      <c r="B577" s="275" t="s">
        <v>2854</v>
      </c>
      <c r="C577" s="275" t="s">
        <v>3321</v>
      </c>
      <c r="D577" s="275" t="s">
        <v>3056</v>
      </c>
      <c r="E577" s="275" t="s">
        <v>2802</v>
      </c>
      <c r="F577" s="278">
        <v>37714</v>
      </c>
      <c r="G577" s="275" t="s">
        <v>2803</v>
      </c>
      <c r="H577" s="276">
        <v>12</v>
      </c>
      <c r="I577" s="276">
        <v>51.72</v>
      </c>
      <c r="J577" s="276">
        <v>6.93</v>
      </c>
      <c r="K577" s="276">
        <f t="shared" si="8"/>
        <v>5.07</v>
      </c>
      <c r="L577" s="335"/>
      <c r="N577" s="288"/>
      <c r="O577" s="287"/>
      <c r="P577" s="287"/>
      <c r="Q577" s="287"/>
    </row>
    <row r="578" spans="1:17" ht="14.25">
      <c r="A578" s="275" t="s">
        <v>2816</v>
      </c>
      <c r="B578" s="275" t="s">
        <v>2852</v>
      </c>
      <c r="C578" s="275" t="s">
        <v>3320</v>
      </c>
      <c r="D578" s="275" t="s">
        <v>3056</v>
      </c>
      <c r="E578" s="275" t="s">
        <v>2802</v>
      </c>
      <c r="F578" s="278">
        <v>37756</v>
      </c>
      <c r="G578" s="275" t="s">
        <v>2803</v>
      </c>
      <c r="H578" s="276">
        <v>11.05</v>
      </c>
      <c r="I578" s="276">
        <v>47.84</v>
      </c>
      <c r="J578" s="276">
        <v>6.65</v>
      </c>
      <c r="K578" s="276">
        <f t="shared" si="8"/>
        <v>4.4000000000000004</v>
      </c>
      <c r="L578" s="335"/>
      <c r="N578" s="288"/>
      <c r="O578" s="287"/>
      <c r="P578" s="287"/>
      <c r="Q578" s="287"/>
    </row>
    <row r="579" spans="1:17" ht="14.25">
      <c r="A579" s="275" t="s">
        <v>2801</v>
      </c>
      <c r="B579" s="275" t="s">
        <v>2849</v>
      </c>
      <c r="C579" s="275" t="s">
        <v>3319</v>
      </c>
      <c r="D579" s="275" t="s">
        <v>3056</v>
      </c>
      <c r="E579" s="275" t="s">
        <v>2802</v>
      </c>
      <c r="F579" s="278">
        <v>37911</v>
      </c>
      <c r="G579" s="275" t="s">
        <v>2803</v>
      </c>
      <c r="H579" s="276">
        <v>10.54</v>
      </c>
      <c r="I579" s="276">
        <v>48.54</v>
      </c>
      <c r="J579" s="276">
        <v>6.58</v>
      </c>
      <c r="K579" s="276">
        <f t="shared" si="8"/>
        <v>3.9599999999999991</v>
      </c>
      <c r="L579" s="335"/>
      <c r="N579" s="288"/>
      <c r="O579" s="287"/>
      <c r="P579" s="287"/>
      <c r="Q579" s="287"/>
    </row>
    <row r="580" spans="1:17" ht="14.25">
      <c r="A580" s="275" t="s">
        <v>2801</v>
      </c>
      <c r="B580" s="275" t="s">
        <v>2849</v>
      </c>
      <c r="C580" s="275" t="s">
        <v>3317</v>
      </c>
      <c r="D580" s="275" t="s">
        <v>3056</v>
      </c>
      <c r="E580" s="275" t="s">
        <v>2802</v>
      </c>
      <c r="F580" s="278">
        <v>37916</v>
      </c>
      <c r="G580" s="275" t="s">
        <v>2803</v>
      </c>
      <c r="H580" s="276">
        <v>10.71</v>
      </c>
      <c r="I580" s="276">
        <v>44.44</v>
      </c>
      <c r="J580" s="276">
        <v>6.58</v>
      </c>
      <c r="K580" s="276">
        <f t="shared" si="8"/>
        <v>4.1300000000000008</v>
      </c>
      <c r="L580" s="335"/>
      <c r="N580" s="288"/>
      <c r="O580" s="287"/>
      <c r="P580" s="287"/>
      <c r="Q580" s="287"/>
    </row>
    <row r="581" spans="1:17" ht="14.25">
      <c r="A581" s="275" t="s">
        <v>2801</v>
      </c>
      <c r="B581" s="275" t="s">
        <v>2849</v>
      </c>
      <c r="C581" s="275" t="s">
        <v>3318</v>
      </c>
      <c r="D581" s="275" t="s">
        <v>3056</v>
      </c>
      <c r="E581" s="275" t="s">
        <v>2802</v>
      </c>
      <c r="F581" s="278">
        <v>37916</v>
      </c>
      <c r="G581" s="275" t="s">
        <v>2803</v>
      </c>
      <c r="H581" s="276">
        <v>10.46</v>
      </c>
      <c r="I581" s="276">
        <v>52.7</v>
      </c>
      <c r="J581" s="276">
        <v>6.58</v>
      </c>
      <c r="K581" s="276">
        <f t="shared" si="8"/>
        <v>3.8800000000000008</v>
      </c>
      <c r="L581" s="335"/>
      <c r="N581" s="288"/>
      <c r="O581" s="287"/>
      <c r="P581" s="287"/>
      <c r="Q581" s="287"/>
    </row>
    <row r="582" spans="1:17" ht="14.25">
      <c r="A582" s="275" t="s">
        <v>2805</v>
      </c>
      <c r="B582" s="275" t="s">
        <v>3079</v>
      </c>
      <c r="C582" s="275" t="s">
        <v>3315</v>
      </c>
      <c r="D582" s="275" t="s">
        <v>3056</v>
      </c>
      <c r="E582" s="275" t="s">
        <v>2802</v>
      </c>
      <c r="F582" s="278">
        <v>37925</v>
      </c>
      <c r="G582" s="275" t="s">
        <v>2803</v>
      </c>
      <c r="H582" s="276">
        <v>10.75</v>
      </c>
      <c r="I582" s="276">
        <v>51.49</v>
      </c>
      <c r="J582" s="276">
        <v>6.58</v>
      </c>
      <c r="K582" s="276">
        <f t="shared" ref="K582:K645" si="9">H582-J582</f>
        <v>4.17</v>
      </c>
      <c r="L582" s="335"/>
      <c r="N582" s="288"/>
      <c r="O582" s="287"/>
      <c r="P582" s="287"/>
      <c r="Q582" s="287"/>
    </row>
    <row r="583" spans="1:17" ht="14.25">
      <c r="A583" s="275" t="s">
        <v>2807</v>
      </c>
      <c r="B583" s="275" t="s">
        <v>3103</v>
      </c>
      <c r="C583" s="275" t="s">
        <v>3316</v>
      </c>
      <c r="D583" s="275" t="s">
        <v>3056</v>
      </c>
      <c r="E583" s="275" t="s">
        <v>2802</v>
      </c>
      <c r="F583" s="278">
        <v>37925</v>
      </c>
      <c r="G583" s="275" t="s">
        <v>2803</v>
      </c>
      <c r="H583" s="276">
        <v>10.199999999999999</v>
      </c>
      <c r="I583" s="276">
        <v>50</v>
      </c>
      <c r="J583" s="276">
        <v>6.58</v>
      </c>
      <c r="K583" s="276">
        <f t="shared" si="9"/>
        <v>3.6199999999999992</v>
      </c>
      <c r="L583" s="335"/>
      <c r="N583" s="288"/>
      <c r="O583" s="287"/>
      <c r="P583" s="287"/>
      <c r="Q583" s="287"/>
    </row>
    <row r="584" spans="1:17" ht="14.25">
      <c r="A584" s="275" t="s">
        <v>2840</v>
      </c>
      <c r="B584" s="275" t="s">
        <v>3079</v>
      </c>
      <c r="C584" s="275" t="s">
        <v>3314</v>
      </c>
      <c r="D584" s="275" t="s">
        <v>3056</v>
      </c>
      <c r="E584" s="275" t="s">
        <v>2802</v>
      </c>
      <c r="F584" s="278">
        <v>37935</v>
      </c>
      <c r="G584" s="275" t="s">
        <v>2803</v>
      </c>
      <c r="H584" s="276">
        <v>10.6</v>
      </c>
      <c r="I584" s="276">
        <v>50.3</v>
      </c>
      <c r="J584" s="276">
        <v>6.58</v>
      </c>
      <c r="K584" s="276">
        <f t="shared" si="9"/>
        <v>4.0199999999999996</v>
      </c>
      <c r="L584" s="335"/>
      <c r="N584" s="288"/>
      <c r="O584" s="287"/>
      <c r="P584" s="287"/>
      <c r="Q584" s="287"/>
    </row>
    <row r="585" spans="1:17" ht="14.25">
      <c r="A585" s="275" t="s">
        <v>2871</v>
      </c>
      <c r="B585" s="275" t="s">
        <v>3079</v>
      </c>
      <c r="C585" s="275" t="s">
        <v>3313</v>
      </c>
      <c r="D585" s="275" t="s">
        <v>3056</v>
      </c>
      <c r="E585" s="275" t="s">
        <v>2802</v>
      </c>
      <c r="F585" s="278">
        <v>37973</v>
      </c>
      <c r="G585" s="275" t="s">
        <v>2803</v>
      </c>
      <c r="H585" s="276">
        <v>10.5</v>
      </c>
      <c r="I585" s="276">
        <v>50.96</v>
      </c>
      <c r="J585" s="276">
        <v>6.37</v>
      </c>
      <c r="K585" s="276">
        <f t="shared" si="9"/>
        <v>4.13</v>
      </c>
      <c r="L585" s="335"/>
      <c r="N585" s="288"/>
      <c r="O585" s="287"/>
      <c r="P585" s="287"/>
      <c r="Q585" s="287"/>
    </row>
    <row r="586" spans="1:17" ht="14.25">
      <c r="A586" s="275" t="s">
        <v>2809</v>
      </c>
      <c r="B586" s="275" t="s">
        <v>2854</v>
      </c>
      <c r="C586" s="275" t="s">
        <v>3312</v>
      </c>
      <c r="D586" s="275" t="s">
        <v>3056</v>
      </c>
      <c r="E586" s="275" t="s">
        <v>2802</v>
      </c>
      <c r="F586" s="278">
        <v>37974</v>
      </c>
      <c r="G586" s="275" t="s">
        <v>2803</v>
      </c>
      <c r="H586" s="276">
        <v>12</v>
      </c>
      <c r="I586" s="276">
        <v>60.27</v>
      </c>
      <c r="J586" s="276">
        <v>6.37</v>
      </c>
      <c r="K586" s="276">
        <f t="shared" si="9"/>
        <v>5.63</v>
      </c>
      <c r="L586" s="335"/>
      <c r="N586" s="288"/>
      <c r="O586" s="287"/>
      <c r="P586" s="287"/>
      <c r="Q586" s="287"/>
    </row>
    <row r="587" spans="1:17" ht="14.25">
      <c r="A587" s="275" t="s">
        <v>2809</v>
      </c>
      <c r="B587" s="275" t="s">
        <v>2853</v>
      </c>
      <c r="C587" s="275" t="s">
        <v>3311</v>
      </c>
      <c r="D587" s="275" t="s">
        <v>3056</v>
      </c>
      <c r="E587" s="275" t="s">
        <v>2802</v>
      </c>
      <c r="F587" s="278">
        <v>37974</v>
      </c>
      <c r="G587" s="275" t="s">
        <v>2803</v>
      </c>
      <c r="H587" s="276">
        <v>12</v>
      </c>
      <c r="I587" s="276">
        <v>56</v>
      </c>
      <c r="J587" s="276">
        <v>6.37</v>
      </c>
      <c r="K587" s="276">
        <f t="shared" si="9"/>
        <v>5.63</v>
      </c>
      <c r="L587" s="335"/>
      <c r="N587" s="288"/>
      <c r="O587" s="287"/>
      <c r="P587" s="287"/>
      <c r="Q587" s="287"/>
    </row>
    <row r="588" spans="1:17" ht="14.25">
      <c r="A588" s="275" t="s">
        <v>2809</v>
      </c>
      <c r="B588" s="275" t="s">
        <v>2810</v>
      </c>
      <c r="C588" s="275" t="s">
        <v>3310</v>
      </c>
      <c r="D588" s="275" t="s">
        <v>3056</v>
      </c>
      <c r="E588" s="275" t="s">
        <v>2802</v>
      </c>
      <c r="F588" s="278">
        <v>37999</v>
      </c>
      <c r="G588" s="275" t="s">
        <v>2803</v>
      </c>
      <c r="H588" s="276">
        <v>12</v>
      </c>
      <c r="I588" s="276">
        <v>55.91</v>
      </c>
      <c r="J588" s="276">
        <v>6.37</v>
      </c>
      <c r="K588" s="276">
        <f t="shared" si="9"/>
        <v>5.63</v>
      </c>
      <c r="L588" s="335"/>
      <c r="N588" s="288"/>
      <c r="O588" s="287"/>
      <c r="P588" s="287"/>
      <c r="Q588" s="287"/>
    </row>
    <row r="589" spans="1:17" ht="14.25">
      <c r="A589" s="275" t="s">
        <v>2878</v>
      </c>
      <c r="B589" s="275" t="s">
        <v>3309</v>
      </c>
      <c r="C589" s="275" t="s">
        <v>3308</v>
      </c>
      <c r="D589" s="275" t="s">
        <v>3056</v>
      </c>
      <c r="E589" s="275" t="s">
        <v>2802</v>
      </c>
      <c r="F589" s="278">
        <v>38026</v>
      </c>
      <c r="G589" s="275" t="s">
        <v>2803</v>
      </c>
      <c r="H589" s="276">
        <v>11.25</v>
      </c>
      <c r="I589" s="276">
        <v>36.770000000000003</v>
      </c>
      <c r="J589" s="276">
        <v>6.28</v>
      </c>
      <c r="K589" s="276">
        <f t="shared" si="9"/>
        <v>4.97</v>
      </c>
      <c r="L589" s="335"/>
      <c r="N589" s="288"/>
      <c r="O589" s="287"/>
      <c r="P589" s="287"/>
      <c r="Q589" s="287"/>
    </row>
    <row r="590" spans="1:17" ht="14.25">
      <c r="A590" s="275" t="s">
        <v>2844</v>
      </c>
      <c r="B590" s="275" t="s">
        <v>3094</v>
      </c>
      <c r="C590" s="275" t="s">
        <v>3307</v>
      </c>
      <c r="D590" s="275" t="s">
        <v>3056</v>
      </c>
      <c r="E590" s="275" t="s">
        <v>2802</v>
      </c>
      <c r="F590" s="278">
        <v>38062</v>
      </c>
      <c r="G590" s="275" t="s">
        <v>2803</v>
      </c>
      <c r="H590" s="276">
        <v>10.9</v>
      </c>
      <c r="I590" s="276">
        <v>42</v>
      </c>
      <c r="J590" s="276">
        <v>6.15</v>
      </c>
      <c r="K590" s="276">
        <f t="shared" si="9"/>
        <v>4.75</v>
      </c>
      <c r="L590" s="335"/>
      <c r="N590" s="288"/>
      <c r="O590" s="287"/>
      <c r="P590" s="287"/>
      <c r="Q590" s="287"/>
    </row>
    <row r="591" spans="1:17" ht="14.25">
      <c r="A591" s="275" t="s">
        <v>2844</v>
      </c>
      <c r="B591" s="275" t="s">
        <v>3094</v>
      </c>
      <c r="C591" s="275" t="s">
        <v>3306</v>
      </c>
      <c r="D591" s="275" t="s">
        <v>3056</v>
      </c>
      <c r="E591" s="275" t="s">
        <v>2802</v>
      </c>
      <c r="F591" s="278">
        <v>38062</v>
      </c>
      <c r="G591" s="275" t="s">
        <v>2803</v>
      </c>
      <c r="H591" s="276">
        <v>10.9</v>
      </c>
      <c r="I591" s="276">
        <v>42</v>
      </c>
      <c r="J591" s="276">
        <v>6.15</v>
      </c>
      <c r="K591" s="276">
        <f t="shared" si="9"/>
        <v>4.75</v>
      </c>
      <c r="L591" s="335"/>
      <c r="N591" s="288"/>
      <c r="O591" s="287"/>
      <c r="P591" s="287"/>
      <c r="Q591" s="287"/>
    </row>
    <row r="592" spans="1:17" ht="14.25">
      <c r="A592" s="275" t="s">
        <v>2881</v>
      </c>
      <c r="B592" s="275" t="s">
        <v>3075</v>
      </c>
      <c r="C592" s="275" t="s">
        <v>3305</v>
      </c>
      <c r="D592" s="275" t="s">
        <v>3056</v>
      </c>
      <c r="E592" s="275" t="s">
        <v>2802</v>
      </c>
      <c r="F592" s="278">
        <v>38132</v>
      </c>
      <c r="G592" s="275" t="s">
        <v>2803</v>
      </c>
      <c r="H592" s="276">
        <v>10</v>
      </c>
      <c r="I592" s="276">
        <v>49.8</v>
      </c>
      <c r="J592" s="276">
        <v>6.33</v>
      </c>
      <c r="K592" s="276">
        <f t="shared" si="9"/>
        <v>3.67</v>
      </c>
      <c r="L592" s="335"/>
      <c r="N592" s="288"/>
      <c r="O592" s="287"/>
      <c r="P592" s="287"/>
      <c r="Q592" s="287"/>
    </row>
    <row r="593" spans="1:17" ht="14.25">
      <c r="A593" s="275" t="s">
        <v>2837</v>
      </c>
      <c r="B593" s="275" t="s">
        <v>3094</v>
      </c>
      <c r="C593" s="275" t="s">
        <v>3304</v>
      </c>
      <c r="D593" s="275" t="s">
        <v>3056</v>
      </c>
      <c r="E593" s="275" t="s">
        <v>2802</v>
      </c>
      <c r="F593" s="278">
        <v>38225</v>
      </c>
      <c r="G593" s="275" t="s">
        <v>2803</v>
      </c>
      <c r="H593" s="276">
        <v>10.5</v>
      </c>
      <c r="I593" s="276">
        <v>40</v>
      </c>
      <c r="J593" s="276">
        <v>6.27</v>
      </c>
      <c r="K593" s="276">
        <f t="shared" si="9"/>
        <v>4.2300000000000004</v>
      </c>
      <c r="L593" s="335"/>
      <c r="N593" s="288"/>
      <c r="O593" s="287"/>
      <c r="P593" s="287"/>
      <c r="Q593" s="287"/>
    </row>
    <row r="594" spans="1:17" ht="14.25">
      <c r="A594" s="275" t="s">
        <v>2837</v>
      </c>
      <c r="B594" s="275" t="s">
        <v>3094</v>
      </c>
      <c r="C594" s="275" t="s">
        <v>3303</v>
      </c>
      <c r="D594" s="275" t="s">
        <v>3056</v>
      </c>
      <c r="E594" s="275" t="s">
        <v>2802</v>
      </c>
      <c r="F594" s="278">
        <v>38225</v>
      </c>
      <c r="G594" s="275" t="s">
        <v>2803</v>
      </c>
      <c r="H594" s="276">
        <v>10.5</v>
      </c>
      <c r="I594" s="276">
        <v>40</v>
      </c>
      <c r="J594" s="276">
        <v>6.27</v>
      </c>
      <c r="K594" s="276">
        <f t="shared" si="9"/>
        <v>4.2300000000000004</v>
      </c>
      <c r="L594" s="335"/>
      <c r="N594" s="288"/>
      <c r="O594" s="287"/>
      <c r="P594" s="287"/>
      <c r="Q594" s="287"/>
    </row>
    <row r="595" spans="1:17" ht="14.25">
      <c r="A595" s="275" t="s">
        <v>2833</v>
      </c>
      <c r="B595" s="275" t="s">
        <v>2834</v>
      </c>
      <c r="C595" s="275" t="s">
        <v>3302</v>
      </c>
      <c r="D595" s="275" t="s">
        <v>3056</v>
      </c>
      <c r="E595" s="275" t="s">
        <v>2802</v>
      </c>
      <c r="F595" s="278">
        <v>38239</v>
      </c>
      <c r="G595" s="275" t="s">
        <v>2803</v>
      </c>
      <c r="H595" s="276">
        <v>10.4</v>
      </c>
      <c r="I595" s="276">
        <v>42.59</v>
      </c>
      <c r="J595" s="276">
        <v>6.27</v>
      </c>
      <c r="K595" s="276">
        <f t="shared" si="9"/>
        <v>4.1300000000000008</v>
      </c>
      <c r="L595" s="335"/>
      <c r="N595" s="288"/>
      <c r="O595" s="287"/>
      <c r="P595" s="287"/>
      <c r="Q595" s="287"/>
    </row>
    <row r="596" spans="1:17" ht="14.25">
      <c r="A596" s="275" t="s">
        <v>2860</v>
      </c>
      <c r="B596" s="275" t="s">
        <v>3063</v>
      </c>
      <c r="C596" s="275" t="s">
        <v>3301</v>
      </c>
      <c r="D596" s="275" t="s">
        <v>3056</v>
      </c>
      <c r="E596" s="275" t="s">
        <v>2802</v>
      </c>
      <c r="F596" s="278">
        <v>38251</v>
      </c>
      <c r="G596" s="275" t="s">
        <v>2803</v>
      </c>
      <c r="H596" s="276">
        <v>10.5</v>
      </c>
      <c r="I596" s="276">
        <v>29.99</v>
      </c>
      <c r="J596" s="276">
        <v>6.15</v>
      </c>
      <c r="K596" s="276">
        <f t="shared" si="9"/>
        <v>4.3499999999999996</v>
      </c>
      <c r="L596" s="335"/>
      <c r="N596" s="288"/>
      <c r="O596" s="287"/>
      <c r="P596" s="287"/>
      <c r="Q596" s="287"/>
    </row>
    <row r="597" spans="1:17" ht="14.25">
      <c r="A597" s="275" t="s">
        <v>2873</v>
      </c>
      <c r="B597" s="275" t="s">
        <v>3972</v>
      </c>
      <c r="C597" s="275" t="s">
        <v>3300</v>
      </c>
      <c r="D597" s="275" t="s">
        <v>3056</v>
      </c>
      <c r="E597" s="275" t="s">
        <v>2802</v>
      </c>
      <c r="F597" s="278">
        <v>38280</v>
      </c>
      <c r="G597" s="275" t="s">
        <v>2803</v>
      </c>
      <c r="H597" s="276">
        <v>10.199999999999999</v>
      </c>
      <c r="I597" s="276">
        <v>35.5</v>
      </c>
      <c r="J597" s="276">
        <v>5.98</v>
      </c>
      <c r="K597" s="276">
        <f t="shared" si="9"/>
        <v>4.2199999999999989</v>
      </c>
      <c r="L597" s="335"/>
      <c r="N597" s="288"/>
      <c r="O597" s="287"/>
      <c r="P597" s="287"/>
      <c r="Q597" s="287"/>
    </row>
    <row r="598" spans="1:17" ht="14.25">
      <c r="A598" s="275" t="s">
        <v>2809</v>
      </c>
      <c r="B598" s="275" t="s">
        <v>2853</v>
      </c>
      <c r="C598" s="275" t="s">
        <v>3299</v>
      </c>
      <c r="D598" s="275" t="s">
        <v>3056</v>
      </c>
      <c r="E598" s="275" t="s">
        <v>2802</v>
      </c>
      <c r="F598" s="278">
        <v>38342</v>
      </c>
      <c r="G598" s="275" t="s">
        <v>2803</v>
      </c>
      <c r="H598" s="276">
        <v>11.5</v>
      </c>
      <c r="I598" s="276">
        <v>57.35</v>
      </c>
      <c r="J598" s="276">
        <v>5.96</v>
      </c>
      <c r="K598" s="276">
        <f t="shared" si="9"/>
        <v>5.54</v>
      </c>
      <c r="L598" s="335"/>
      <c r="N598" s="288"/>
      <c r="O598" s="287"/>
      <c r="P598" s="287"/>
      <c r="Q598" s="287"/>
    </row>
    <row r="599" spans="1:17" ht="14.25">
      <c r="A599" s="275" t="s">
        <v>2809</v>
      </c>
      <c r="B599" s="275" t="s">
        <v>2810</v>
      </c>
      <c r="C599" s="275" t="s">
        <v>3298</v>
      </c>
      <c r="D599" s="275" t="s">
        <v>3056</v>
      </c>
      <c r="E599" s="275" t="s">
        <v>2802</v>
      </c>
      <c r="F599" s="278">
        <v>38343</v>
      </c>
      <c r="G599" s="275" t="s">
        <v>2803</v>
      </c>
      <c r="H599" s="276">
        <v>11.5</v>
      </c>
      <c r="I599" s="276">
        <v>57.64</v>
      </c>
      <c r="J599" s="276">
        <v>5.96</v>
      </c>
      <c r="K599" s="276">
        <f t="shared" si="9"/>
        <v>5.54</v>
      </c>
      <c r="L599" s="335"/>
      <c r="N599" s="288"/>
      <c r="O599" s="287"/>
      <c r="P599" s="287"/>
      <c r="Q599" s="287"/>
    </row>
    <row r="600" spans="1:17" ht="14.25">
      <c r="A600" s="275" t="s">
        <v>2842</v>
      </c>
      <c r="B600" s="275" t="s">
        <v>2843</v>
      </c>
      <c r="C600" s="275" t="s">
        <v>3297</v>
      </c>
      <c r="D600" s="275" t="s">
        <v>3056</v>
      </c>
      <c r="E600" s="275" t="s">
        <v>2802</v>
      </c>
      <c r="F600" s="278">
        <v>38401</v>
      </c>
      <c r="G600" s="275" t="s">
        <v>2803</v>
      </c>
      <c r="H600" s="276">
        <v>10.3</v>
      </c>
      <c r="I600" s="276">
        <v>43</v>
      </c>
      <c r="J600" s="276">
        <v>5.79</v>
      </c>
      <c r="K600" s="276">
        <f t="shared" si="9"/>
        <v>4.5100000000000007</v>
      </c>
      <c r="L600" s="335"/>
      <c r="N600" s="288"/>
      <c r="O600" s="287"/>
      <c r="P600" s="287"/>
      <c r="Q600" s="287"/>
    </row>
    <row r="601" spans="1:17" ht="14.25">
      <c r="A601" s="275" t="s">
        <v>2851</v>
      </c>
      <c r="B601" s="275" t="s">
        <v>3105</v>
      </c>
      <c r="C601" s="275" t="s">
        <v>3296</v>
      </c>
      <c r="D601" s="275" t="s">
        <v>3056</v>
      </c>
      <c r="E601" s="275" t="s">
        <v>2802</v>
      </c>
      <c r="F601" s="278">
        <v>38470</v>
      </c>
      <c r="G601" s="275" t="s">
        <v>2803</v>
      </c>
      <c r="H601" s="276">
        <v>11</v>
      </c>
      <c r="I601" s="276">
        <v>39.31</v>
      </c>
      <c r="J601" s="276">
        <v>5.83</v>
      </c>
      <c r="K601" s="276">
        <f t="shared" si="9"/>
        <v>5.17</v>
      </c>
      <c r="L601" s="335"/>
      <c r="N601" s="288"/>
      <c r="O601" s="287"/>
      <c r="P601" s="287"/>
      <c r="Q601" s="287"/>
    </row>
    <row r="602" spans="1:17" ht="14.25">
      <c r="A602" s="275" t="s">
        <v>2809</v>
      </c>
      <c r="B602" s="275" t="s">
        <v>2854</v>
      </c>
      <c r="C602" s="275" t="s">
        <v>3295</v>
      </c>
      <c r="D602" s="275" t="s">
        <v>3056</v>
      </c>
      <c r="E602" s="275" t="s">
        <v>2802</v>
      </c>
      <c r="F602" s="278">
        <v>38552</v>
      </c>
      <c r="G602" s="275" t="s">
        <v>2803</v>
      </c>
      <c r="H602" s="276">
        <v>11.5</v>
      </c>
      <c r="I602" s="276">
        <v>61.75</v>
      </c>
      <c r="J602" s="276">
        <v>5.4</v>
      </c>
      <c r="K602" s="276">
        <f t="shared" si="9"/>
        <v>6.1</v>
      </c>
      <c r="L602" s="335"/>
      <c r="N602" s="288"/>
      <c r="O602" s="287"/>
      <c r="P602" s="287"/>
      <c r="Q602" s="287"/>
    </row>
    <row r="603" spans="1:17" ht="14.25">
      <c r="A603" s="275" t="s">
        <v>2856</v>
      </c>
      <c r="B603" s="275" t="s">
        <v>3129</v>
      </c>
      <c r="C603" s="275" t="s">
        <v>3294</v>
      </c>
      <c r="D603" s="275" t="s">
        <v>3056</v>
      </c>
      <c r="E603" s="275" t="s">
        <v>2802</v>
      </c>
      <c r="F603" s="278">
        <v>38614</v>
      </c>
      <c r="G603" s="275" t="s">
        <v>2803</v>
      </c>
      <c r="H603" s="276">
        <v>9.4499999999999993</v>
      </c>
      <c r="I603" s="276">
        <v>31.8</v>
      </c>
      <c r="J603" s="276">
        <v>5.51</v>
      </c>
      <c r="K603" s="276">
        <f t="shared" si="9"/>
        <v>3.9399999999999995</v>
      </c>
      <c r="L603" s="335"/>
      <c r="N603" s="288"/>
      <c r="O603" s="287"/>
      <c r="P603" s="287"/>
      <c r="Q603" s="287"/>
    </row>
    <row r="604" spans="1:17" ht="14.25">
      <c r="A604" s="275" t="s">
        <v>2801</v>
      </c>
      <c r="B604" s="275" t="s">
        <v>3089</v>
      </c>
      <c r="C604" s="275" t="s">
        <v>3293</v>
      </c>
      <c r="D604" s="275" t="s">
        <v>3056</v>
      </c>
      <c r="E604" s="275" t="s">
        <v>2802</v>
      </c>
      <c r="F604" s="278">
        <v>38625</v>
      </c>
      <c r="G604" s="275" t="s">
        <v>2803</v>
      </c>
      <c r="H604" s="276">
        <v>10.51</v>
      </c>
      <c r="I604" s="276">
        <v>56.37</v>
      </c>
      <c r="J604" s="276">
        <v>5.51</v>
      </c>
      <c r="K604" s="276">
        <f t="shared" si="9"/>
        <v>5</v>
      </c>
      <c r="L604" s="335"/>
      <c r="N604" s="288"/>
      <c r="O604" s="287"/>
      <c r="P604" s="287"/>
      <c r="Q604" s="287"/>
    </row>
    <row r="605" spans="1:17" ht="14.25">
      <c r="A605" s="275" t="s">
        <v>2856</v>
      </c>
      <c r="B605" s="275" t="s">
        <v>3292</v>
      </c>
      <c r="C605" s="275" t="s">
        <v>3291</v>
      </c>
      <c r="D605" s="275" t="s">
        <v>3056</v>
      </c>
      <c r="E605" s="275" t="s">
        <v>2802</v>
      </c>
      <c r="F605" s="278">
        <v>38658</v>
      </c>
      <c r="G605" s="275" t="s">
        <v>2803</v>
      </c>
      <c r="H605" s="276">
        <v>9.6999999999999993</v>
      </c>
      <c r="I605" s="276">
        <v>33.03</v>
      </c>
      <c r="J605" s="276">
        <v>5.5</v>
      </c>
      <c r="K605" s="276">
        <f t="shared" si="9"/>
        <v>4.1999999999999993</v>
      </c>
      <c r="L605" s="335"/>
      <c r="N605" s="288"/>
      <c r="O605" s="287"/>
      <c r="P605" s="287"/>
      <c r="Q605" s="287"/>
    </row>
    <row r="606" spans="1:17" ht="14.25">
      <c r="A606" s="275" t="s">
        <v>2807</v>
      </c>
      <c r="B606" s="275" t="s">
        <v>4026</v>
      </c>
      <c r="C606" s="275" t="s">
        <v>3290</v>
      </c>
      <c r="D606" s="275" t="s">
        <v>3056</v>
      </c>
      <c r="E606" s="275" t="s">
        <v>2802</v>
      </c>
      <c r="F606" s="278">
        <v>38686</v>
      </c>
      <c r="G606" s="275" t="s">
        <v>2803</v>
      </c>
      <c r="H606" s="276">
        <v>10</v>
      </c>
      <c r="I606" s="276">
        <v>53.95</v>
      </c>
      <c r="J606" s="276">
        <v>5.77</v>
      </c>
      <c r="K606" s="276">
        <f t="shared" si="9"/>
        <v>4.2300000000000004</v>
      </c>
      <c r="L606" s="335"/>
      <c r="N606" s="288"/>
      <c r="O606" s="287"/>
      <c r="P606" s="287"/>
      <c r="Q606" s="287"/>
    </row>
    <row r="607" spans="1:17" ht="14.25">
      <c r="A607" s="275" t="s">
        <v>2856</v>
      </c>
      <c r="B607" s="275" t="s">
        <v>3289</v>
      </c>
      <c r="C607" s="275" t="s">
        <v>3288</v>
      </c>
      <c r="D607" s="275" t="s">
        <v>3056</v>
      </c>
      <c r="E607" s="275" t="s">
        <v>2802</v>
      </c>
      <c r="F607" s="278">
        <v>38695</v>
      </c>
      <c r="G607" s="275" t="s">
        <v>2803</v>
      </c>
      <c r="H607" s="276">
        <v>9.6999999999999993</v>
      </c>
      <c r="I607" s="276">
        <v>41.04</v>
      </c>
      <c r="J607" s="276">
        <v>5.77</v>
      </c>
      <c r="K607" s="276">
        <f t="shared" si="9"/>
        <v>3.9299999999999997</v>
      </c>
      <c r="L607" s="335"/>
      <c r="N607" s="288"/>
      <c r="O607" s="287"/>
      <c r="P607" s="287"/>
      <c r="Q607" s="287"/>
    </row>
    <row r="608" spans="1:17" ht="14.25">
      <c r="A608" s="275" t="s">
        <v>2809</v>
      </c>
      <c r="B608" s="275" t="s">
        <v>2810</v>
      </c>
      <c r="C608" s="275" t="s">
        <v>3287</v>
      </c>
      <c r="D608" s="275" t="s">
        <v>3056</v>
      </c>
      <c r="E608" s="275" t="s">
        <v>2802</v>
      </c>
      <c r="F608" s="278">
        <v>38698</v>
      </c>
      <c r="G608" s="275" t="s">
        <v>2803</v>
      </c>
      <c r="H608" s="276">
        <v>11</v>
      </c>
      <c r="I608" s="276">
        <v>56.65</v>
      </c>
      <c r="J608" s="276">
        <v>5.77</v>
      </c>
      <c r="K608" s="276">
        <f t="shared" si="9"/>
        <v>5.23</v>
      </c>
      <c r="L608" s="335"/>
      <c r="N608" s="288"/>
      <c r="O608" s="287"/>
      <c r="P608" s="287"/>
      <c r="Q608" s="287"/>
    </row>
    <row r="609" spans="1:17" ht="14.25">
      <c r="A609" s="275" t="s">
        <v>2806</v>
      </c>
      <c r="B609" s="275" t="s">
        <v>3075</v>
      </c>
      <c r="C609" s="275" t="s">
        <v>3286</v>
      </c>
      <c r="D609" s="275" t="s">
        <v>3056</v>
      </c>
      <c r="E609" s="275" t="s">
        <v>2802</v>
      </c>
      <c r="F609" s="278">
        <v>38706</v>
      </c>
      <c r="G609" s="275" t="s">
        <v>2803</v>
      </c>
      <c r="H609" s="276">
        <v>10.130000000000001</v>
      </c>
      <c r="I609" s="276">
        <v>45</v>
      </c>
      <c r="J609" s="276">
        <v>5.88</v>
      </c>
      <c r="K609" s="276">
        <f t="shared" si="9"/>
        <v>4.2500000000000009</v>
      </c>
      <c r="L609" s="335"/>
      <c r="N609" s="288"/>
      <c r="O609" s="287"/>
      <c r="P609" s="287"/>
      <c r="Q609" s="287"/>
    </row>
    <row r="610" spans="1:17" ht="14.25">
      <c r="A610" s="275" t="s">
        <v>2805</v>
      </c>
      <c r="B610" s="275" t="s">
        <v>2829</v>
      </c>
      <c r="C610" s="275" t="s">
        <v>3285</v>
      </c>
      <c r="D610" s="275" t="s">
        <v>3056</v>
      </c>
      <c r="E610" s="275" t="s">
        <v>2802</v>
      </c>
      <c r="F610" s="278">
        <v>38707</v>
      </c>
      <c r="G610" s="275" t="s">
        <v>2803</v>
      </c>
      <c r="H610" s="276">
        <v>11</v>
      </c>
      <c r="I610" s="276">
        <v>48.4</v>
      </c>
      <c r="J610" s="276">
        <v>5.88</v>
      </c>
      <c r="K610" s="276">
        <f t="shared" si="9"/>
        <v>5.12</v>
      </c>
      <c r="L610" s="335"/>
      <c r="N610" s="288"/>
      <c r="O610" s="287"/>
      <c r="P610" s="287"/>
      <c r="Q610" s="287"/>
    </row>
    <row r="611" spans="1:17" ht="14.25">
      <c r="A611" s="275" t="s">
        <v>2809</v>
      </c>
      <c r="B611" s="275" t="s">
        <v>2853</v>
      </c>
      <c r="C611" s="275" t="s">
        <v>3283</v>
      </c>
      <c r="D611" s="275" t="s">
        <v>3056</v>
      </c>
      <c r="E611" s="275" t="s">
        <v>2802</v>
      </c>
      <c r="F611" s="278">
        <v>38708</v>
      </c>
      <c r="G611" s="275" t="s">
        <v>2803</v>
      </c>
      <c r="H611" s="276">
        <v>11</v>
      </c>
      <c r="I611" s="276">
        <v>59.73</v>
      </c>
      <c r="J611" s="276">
        <v>5.88</v>
      </c>
      <c r="K611" s="276">
        <f t="shared" si="9"/>
        <v>5.12</v>
      </c>
      <c r="L611" s="335"/>
      <c r="N611" s="288"/>
      <c r="O611" s="287"/>
      <c r="P611" s="287"/>
      <c r="Q611" s="287"/>
    </row>
    <row r="612" spans="1:17" ht="14.25">
      <c r="A612" s="275" t="s">
        <v>2835</v>
      </c>
      <c r="B612" s="275" t="s">
        <v>2877</v>
      </c>
      <c r="C612" s="275" t="s">
        <v>3284</v>
      </c>
      <c r="D612" s="275" t="s">
        <v>3056</v>
      </c>
      <c r="E612" s="275" t="s">
        <v>2802</v>
      </c>
      <c r="F612" s="278">
        <v>38708</v>
      </c>
      <c r="G612" s="275" t="s">
        <v>2803</v>
      </c>
      <c r="H612" s="276">
        <v>10.199999999999999</v>
      </c>
      <c r="I612" s="276">
        <v>54.45</v>
      </c>
      <c r="J612" s="276">
        <v>5.88</v>
      </c>
      <c r="K612" s="276">
        <f t="shared" si="9"/>
        <v>4.3199999999999994</v>
      </c>
      <c r="L612" s="335"/>
      <c r="N612" s="288"/>
      <c r="O612" s="287"/>
      <c r="P612" s="287"/>
      <c r="Q612" s="287"/>
    </row>
    <row r="613" spans="1:17" ht="14.25">
      <c r="A613" s="275" t="s">
        <v>2809</v>
      </c>
      <c r="B613" s="275" t="s">
        <v>4023</v>
      </c>
      <c r="C613" s="275" t="s">
        <v>3282</v>
      </c>
      <c r="D613" s="275" t="s">
        <v>3056</v>
      </c>
      <c r="E613" s="275" t="s">
        <v>2802</v>
      </c>
      <c r="F613" s="278">
        <v>38722</v>
      </c>
      <c r="G613" s="275" t="s">
        <v>2803</v>
      </c>
      <c r="H613" s="276">
        <v>11</v>
      </c>
      <c r="I613" s="276">
        <v>53.66</v>
      </c>
      <c r="J613" s="276">
        <v>5.88</v>
      </c>
      <c r="K613" s="276">
        <f t="shared" si="9"/>
        <v>5.12</v>
      </c>
      <c r="L613" s="335"/>
      <c r="N613" s="288"/>
      <c r="O613" s="287"/>
      <c r="P613" s="287"/>
      <c r="Q613" s="287"/>
    </row>
    <row r="614" spans="1:17" ht="14.25">
      <c r="A614" s="275" t="s">
        <v>2809</v>
      </c>
      <c r="B614" s="275" t="s">
        <v>2879</v>
      </c>
      <c r="C614" s="275" t="s">
        <v>3281</v>
      </c>
      <c r="D614" s="275" t="s">
        <v>3056</v>
      </c>
      <c r="E614" s="275" t="s">
        <v>2802</v>
      </c>
      <c r="F614" s="278">
        <v>38742</v>
      </c>
      <c r="G614" s="275" t="s">
        <v>2803</v>
      </c>
      <c r="H614" s="276">
        <v>11.2</v>
      </c>
      <c r="I614" s="276">
        <v>56.34</v>
      </c>
      <c r="J614" s="276">
        <v>5.82</v>
      </c>
      <c r="K614" s="276">
        <f t="shared" si="9"/>
        <v>5.379999999999999</v>
      </c>
      <c r="L614" s="335"/>
      <c r="N614" s="288"/>
      <c r="O614" s="287"/>
      <c r="P614" s="287"/>
      <c r="Q614" s="287"/>
    </row>
    <row r="615" spans="1:17" ht="14.25">
      <c r="A615" s="275" t="s">
        <v>2809</v>
      </c>
      <c r="B615" s="275" t="s">
        <v>3142</v>
      </c>
      <c r="C615" s="275" t="s">
        <v>3280</v>
      </c>
      <c r="D615" s="275" t="s">
        <v>3056</v>
      </c>
      <c r="E615" s="275" t="s">
        <v>2802</v>
      </c>
      <c r="F615" s="278">
        <v>38742</v>
      </c>
      <c r="G615" s="275" t="s">
        <v>2803</v>
      </c>
      <c r="H615" s="276">
        <v>11.2</v>
      </c>
      <c r="I615" s="276">
        <v>50.2</v>
      </c>
      <c r="J615" s="276">
        <v>5.82</v>
      </c>
      <c r="K615" s="276">
        <f t="shared" si="9"/>
        <v>5.379999999999999</v>
      </c>
      <c r="L615" s="335"/>
      <c r="N615" s="288"/>
      <c r="O615" s="287"/>
      <c r="P615" s="287"/>
      <c r="Q615" s="287"/>
    </row>
    <row r="616" spans="1:17" ht="14.25">
      <c r="A616" s="275" t="s">
        <v>2824</v>
      </c>
      <c r="B616" s="275" t="s">
        <v>3094</v>
      </c>
      <c r="C616" s="275" t="s">
        <v>3279</v>
      </c>
      <c r="D616" s="275" t="s">
        <v>3056</v>
      </c>
      <c r="E616" s="275" t="s">
        <v>2802</v>
      </c>
      <c r="F616" s="278">
        <v>38763</v>
      </c>
      <c r="G616" s="275" t="s">
        <v>2803</v>
      </c>
      <c r="H616" s="276">
        <v>9.5</v>
      </c>
      <c r="I616" s="276">
        <v>40</v>
      </c>
      <c r="J616" s="276">
        <v>5.75</v>
      </c>
      <c r="K616" s="276">
        <f t="shared" si="9"/>
        <v>3.75</v>
      </c>
      <c r="L616" s="335"/>
      <c r="N616" s="288"/>
      <c r="O616" s="287"/>
      <c r="P616" s="287"/>
      <c r="Q616" s="287"/>
    </row>
    <row r="617" spans="1:17" ht="14.25">
      <c r="A617" s="275" t="s">
        <v>2837</v>
      </c>
      <c r="B617" s="275" t="s">
        <v>2839</v>
      </c>
      <c r="C617" s="275" t="s">
        <v>3278</v>
      </c>
      <c r="D617" s="275" t="s">
        <v>3056</v>
      </c>
      <c r="E617" s="275" t="s">
        <v>2802</v>
      </c>
      <c r="F617" s="278">
        <v>38833</v>
      </c>
      <c r="G617" s="275" t="s">
        <v>2803</v>
      </c>
      <c r="H617" s="276">
        <v>10.6</v>
      </c>
      <c r="I617" s="276">
        <v>40.76</v>
      </c>
      <c r="J617" s="276">
        <v>5.98</v>
      </c>
      <c r="K617" s="276">
        <f t="shared" si="9"/>
        <v>4.6199999999999992</v>
      </c>
      <c r="L617" s="335"/>
      <c r="N617" s="288"/>
      <c r="O617" s="287"/>
      <c r="P617" s="287"/>
      <c r="Q617" s="287"/>
    </row>
    <row r="618" spans="1:17" ht="14.25">
      <c r="A618" s="275" t="s">
        <v>2871</v>
      </c>
      <c r="B618" s="275" t="s">
        <v>3277</v>
      </c>
      <c r="C618" s="275" t="s">
        <v>3276</v>
      </c>
      <c r="D618" s="275" t="s">
        <v>3056</v>
      </c>
      <c r="E618" s="275" t="s">
        <v>2802</v>
      </c>
      <c r="F618" s="278">
        <v>38922</v>
      </c>
      <c r="G618" s="275" t="s">
        <v>2803</v>
      </c>
      <c r="H618" s="276">
        <v>10</v>
      </c>
      <c r="I618" s="276">
        <v>44.96</v>
      </c>
      <c r="J618" s="276">
        <v>6.4</v>
      </c>
      <c r="K618" s="276">
        <f t="shared" si="9"/>
        <v>3.5999999999999996</v>
      </c>
      <c r="L618" s="335"/>
      <c r="N618" s="288"/>
      <c r="O618" s="287"/>
      <c r="P618" s="287"/>
      <c r="Q618" s="287"/>
    </row>
    <row r="619" spans="1:17" ht="14.25">
      <c r="A619" s="275" t="s">
        <v>2857</v>
      </c>
      <c r="B619" s="275" t="s">
        <v>3129</v>
      </c>
      <c r="C619" s="275" t="s">
        <v>3275</v>
      </c>
      <c r="D619" s="275" t="s">
        <v>3056</v>
      </c>
      <c r="E619" s="275" t="s">
        <v>2802</v>
      </c>
      <c r="F619" s="278">
        <v>39023</v>
      </c>
      <c r="G619" s="275" t="s">
        <v>2803</v>
      </c>
      <c r="H619" s="276">
        <v>9.7100000000000009</v>
      </c>
      <c r="I619" s="276">
        <v>46.14</v>
      </c>
      <c r="J619" s="276">
        <v>6</v>
      </c>
      <c r="K619" s="276">
        <f t="shared" si="9"/>
        <v>3.7100000000000009</v>
      </c>
      <c r="L619" s="335"/>
      <c r="N619" s="288"/>
      <c r="O619" s="287"/>
      <c r="P619" s="287"/>
      <c r="Q619" s="287"/>
    </row>
    <row r="620" spans="1:17" ht="14.25">
      <c r="A620" s="275" t="s">
        <v>2851</v>
      </c>
      <c r="B620" s="275" t="s">
        <v>2876</v>
      </c>
      <c r="C620" s="275" t="s">
        <v>3274</v>
      </c>
      <c r="D620" s="275" t="s">
        <v>3056</v>
      </c>
      <c r="E620" s="275" t="s">
        <v>2802</v>
      </c>
      <c r="F620" s="278">
        <v>39042</v>
      </c>
      <c r="G620" s="275" t="s">
        <v>2803</v>
      </c>
      <c r="H620" s="276">
        <v>11</v>
      </c>
      <c r="I620" s="276">
        <v>35.06</v>
      </c>
      <c r="J620" s="276">
        <v>5.98</v>
      </c>
      <c r="K620" s="276">
        <f t="shared" si="9"/>
        <v>5.0199999999999996</v>
      </c>
      <c r="L620" s="335"/>
      <c r="N620" s="288"/>
      <c r="O620" s="287"/>
      <c r="P620" s="287"/>
      <c r="Q620" s="287"/>
    </row>
    <row r="621" spans="1:17" ht="14.25">
      <c r="A621" s="275" t="s">
        <v>2842</v>
      </c>
      <c r="B621" s="275" t="s">
        <v>2843</v>
      </c>
      <c r="C621" s="275" t="s">
        <v>3273</v>
      </c>
      <c r="D621" s="275" t="s">
        <v>3056</v>
      </c>
      <c r="E621" s="275" t="s">
        <v>2802</v>
      </c>
      <c r="F621" s="278">
        <v>39087</v>
      </c>
      <c r="G621" s="275" t="s">
        <v>2803</v>
      </c>
      <c r="H621" s="276">
        <v>10.4</v>
      </c>
      <c r="I621" s="276">
        <v>44</v>
      </c>
      <c r="J621" s="276">
        <v>5.8</v>
      </c>
      <c r="K621" s="276">
        <f t="shared" si="9"/>
        <v>4.6000000000000005</v>
      </c>
      <c r="L621" s="335"/>
      <c r="N621" s="288"/>
      <c r="O621" s="287"/>
      <c r="P621" s="287"/>
      <c r="Q621" s="287"/>
    </row>
    <row r="622" spans="1:17" ht="14.25">
      <c r="A622" s="275" t="s">
        <v>2809</v>
      </c>
      <c r="B622" s="275" t="s">
        <v>2853</v>
      </c>
      <c r="C622" s="275" t="s">
        <v>3272</v>
      </c>
      <c r="D622" s="275" t="s">
        <v>3056</v>
      </c>
      <c r="E622" s="275" t="s">
        <v>2802</v>
      </c>
      <c r="F622" s="278">
        <v>39093</v>
      </c>
      <c r="G622" s="275" t="s">
        <v>2803</v>
      </c>
      <c r="H622" s="276">
        <v>10.9</v>
      </c>
      <c r="I622" s="276">
        <v>57.46</v>
      </c>
      <c r="J622" s="276">
        <v>5.8</v>
      </c>
      <c r="K622" s="276">
        <f t="shared" si="9"/>
        <v>5.1000000000000005</v>
      </c>
      <c r="L622" s="335"/>
      <c r="N622" s="288"/>
      <c r="O622" s="287"/>
      <c r="P622" s="287"/>
      <c r="Q622" s="287"/>
    </row>
    <row r="623" spans="1:17" ht="14.25">
      <c r="A623" s="275" t="s">
        <v>2809</v>
      </c>
      <c r="B623" s="275" t="s">
        <v>2854</v>
      </c>
      <c r="C623" s="275" t="s">
        <v>3271</v>
      </c>
      <c r="D623" s="275" t="s">
        <v>3056</v>
      </c>
      <c r="E623" s="275" t="s">
        <v>2802</v>
      </c>
      <c r="F623" s="278">
        <v>39101</v>
      </c>
      <c r="G623" s="275" t="s">
        <v>2803</v>
      </c>
      <c r="H623" s="276">
        <v>10.8</v>
      </c>
      <c r="I623" s="276">
        <v>54.13</v>
      </c>
      <c r="J623" s="276">
        <v>5.81</v>
      </c>
      <c r="K623" s="276">
        <f t="shared" si="9"/>
        <v>4.9900000000000011</v>
      </c>
      <c r="L623" s="335"/>
      <c r="N623" s="288"/>
      <c r="O623" s="287"/>
      <c r="P623" s="287"/>
      <c r="Q623" s="287"/>
    </row>
    <row r="624" spans="1:17" ht="14.25">
      <c r="A624" s="275" t="s">
        <v>2804</v>
      </c>
      <c r="B624" s="275" t="s">
        <v>4032</v>
      </c>
      <c r="C624" s="275" t="s">
        <v>3270</v>
      </c>
      <c r="D624" s="275" t="s">
        <v>3056</v>
      </c>
      <c r="E624" s="275" t="s">
        <v>2802</v>
      </c>
      <c r="F624" s="278">
        <v>39121</v>
      </c>
      <c r="G624" s="275" t="s">
        <v>2803</v>
      </c>
      <c r="H624" s="276">
        <v>10.4</v>
      </c>
      <c r="I624" s="276">
        <v>51.79</v>
      </c>
      <c r="J624" s="276">
        <v>5.81</v>
      </c>
      <c r="K624" s="276">
        <f t="shared" si="9"/>
        <v>4.5900000000000007</v>
      </c>
      <c r="L624" s="335"/>
      <c r="N624" s="288"/>
      <c r="O624" s="287"/>
      <c r="P624" s="287"/>
      <c r="Q624" s="287"/>
    </row>
    <row r="625" spans="1:17" ht="14.25">
      <c r="A625" s="275" t="s">
        <v>2860</v>
      </c>
      <c r="B625" s="275" t="s">
        <v>3063</v>
      </c>
      <c r="C625" s="275" t="s">
        <v>3269</v>
      </c>
      <c r="D625" s="275" t="s">
        <v>3056</v>
      </c>
      <c r="E625" s="275" t="s">
        <v>2802</v>
      </c>
      <c r="F625" s="278">
        <v>39163</v>
      </c>
      <c r="G625" s="275" t="s">
        <v>2803</v>
      </c>
      <c r="H625" s="276">
        <v>10.5</v>
      </c>
      <c r="I625" s="276">
        <v>36.06</v>
      </c>
      <c r="J625" s="276">
        <v>5.9</v>
      </c>
      <c r="K625" s="276">
        <f t="shared" si="9"/>
        <v>4.5999999999999996</v>
      </c>
      <c r="L625" s="335"/>
      <c r="N625" s="288"/>
      <c r="O625" s="287"/>
      <c r="P625" s="287"/>
      <c r="Q625" s="287"/>
    </row>
    <row r="626" spans="1:17" ht="14.25">
      <c r="A626" s="275" t="s">
        <v>2881</v>
      </c>
      <c r="B626" s="275" t="s">
        <v>3075</v>
      </c>
      <c r="C626" s="275" t="s">
        <v>3268</v>
      </c>
      <c r="D626" s="275" t="s">
        <v>3056</v>
      </c>
      <c r="E626" s="275" t="s">
        <v>2802</v>
      </c>
      <c r="F626" s="278">
        <v>39170</v>
      </c>
      <c r="G626" s="275" t="s">
        <v>2803</v>
      </c>
      <c r="H626" s="276">
        <v>10</v>
      </c>
      <c r="I626" s="276">
        <v>48.1</v>
      </c>
      <c r="J626" s="276">
        <v>5.9</v>
      </c>
      <c r="K626" s="276">
        <f t="shared" si="9"/>
        <v>4.0999999999999996</v>
      </c>
      <c r="L626" s="335"/>
      <c r="N626" s="288"/>
      <c r="O626" s="287"/>
      <c r="P626" s="287"/>
      <c r="Q626" s="287"/>
    </row>
    <row r="627" spans="1:17" ht="14.25">
      <c r="A627" s="275" t="s">
        <v>2858</v>
      </c>
      <c r="B627" s="275" t="s">
        <v>2859</v>
      </c>
      <c r="C627" s="275" t="s">
        <v>3267</v>
      </c>
      <c r="D627" s="275" t="s">
        <v>3056</v>
      </c>
      <c r="E627" s="275" t="s">
        <v>2802</v>
      </c>
      <c r="F627" s="278">
        <v>39262</v>
      </c>
      <c r="G627" s="275" t="s">
        <v>2803</v>
      </c>
      <c r="H627" s="276">
        <v>9.5299999999999994</v>
      </c>
      <c r="I627" s="276">
        <v>51.8</v>
      </c>
      <c r="J627" s="276">
        <v>5.99</v>
      </c>
      <c r="K627" s="276">
        <f t="shared" si="9"/>
        <v>3.5399999999999991</v>
      </c>
      <c r="L627" s="335"/>
      <c r="N627" s="288"/>
      <c r="O627" s="287"/>
      <c r="P627" s="287"/>
      <c r="Q627" s="287"/>
    </row>
    <row r="628" spans="1:17" ht="14.25">
      <c r="A628" s="275" t="s">
        <v>3187</v>
      </c>
      <c r="B628" s="275" t="s">
        <v>4375</v>
      </c>
      <c r="C628" s="275" t="s">
        <v>3266</v>
      </c>
      <c r="D628" s="275" t="s">
        <v>3056</v>
      </c>
      <c r="E628" s="275" t="s">
        <v>2802</v>
      </c>
      <c r="F628" s="278">
        <v>39287</v>
      </c>
      <c r="G628" s="275" t="s">
        <v>2803</v>
      </c>
      <c r="H628" s="276">
        <v>10.4</v>
      </c>
      <c r="I628" s="276">
        <v>51</v>
      </c>
      <c r="J628" s="276">
        <v>6.3</v>
      </c>
      <c r="K628" s="276">
        <f t="shared" si="9"/>
        <v>4.1000000000000005</v>
      </c>
      <c r="L628" s="335"/>
      <c r="N628" s="288"/>
      <c r="O628" s="287"/>
      <c r="P628" s="287"/>
      <c r="Q628" s="287"/>
    </row>
    <row r="629" spans="1:17" ht="14.25">
      <c r="A629" s="275" t="s">
        <v>2857</v>
      </c>
      <c r="B629" s="275" t="s">
        <v>4023</v>
      </c>
      <c r="C629" s="275" t="s">
        <v>3265</v>
      </c>
      <c r="D629" s="275" t="s">
        <v>3056</v>
      </c>
      <c r="E629" s="275" t="s">
        <v>2802</v>
      </c>
      <c r="F629" s="278">
        <v>39335</v>
      </c>
      <c r="G629" s="275" t="s">
        <v>2803</v>
      </c>
      <c r="H629" s="276">
        <v>9.7100000000000009</v>
      </c>
      <c r="I629" s="276">
        <v>51.98</v>
      </c>
      <c r="J629" s="276">
        <v>6.25</v>
      </c>
      <c r="K629" s="276">
        <f t="shared" si="9"/>
        <v>3.4600000000000009</v>
      </c>
      <c r="L629" s="335"/>
      <c r="N629" s="288"/>
      <c r="O629" s="287"/>
      <c r="P629" s="287"/>
      <c r="Q629" s="287"/>
    </row>
    <row r="630" spans="1:17" ht="14.25">
      <c r="A630" s="275" t="s">
        <v>2805</v>
      </c>
      <c r="B630" s="275" t="s">
        <v>3079</v>
      </c>
      <c r="C630" s="275" t="s">
        <v>3264</v>
      </c>
      <c r="D630" s="275" t="s">
        <v>3056</v>
      </c>
      <c r="E630" s="275" t="s">
        <v>2802</v>
      </c>
      <c r="F630" s="278">
        <v>39401</v>
      </c>
      <c r="G630" s="275" t="s">
        <v>2803</v>
      </c>
      <c r="H630" s="276">
        <v>10</v>
      </c>
      <c r="I630" s="276">
        <v>53.02</v>
      </c>
      <c r="J630" s="276">
        <v>6.11</v>
      </c>
      <c r="K630" s="276">
        <f t="shared" si="9"/>
        <v>3.8899999999999997</v>
      </c>
      <c r="L630" s="335"/>
      <c r="N630" s="288"/>
      <c r="O630" s="287"/>
      <c r="P630" s="287"/>
      <c r="Q630" s="287"/>
    </row>
    <row r="631" spans="1:17" ht="14.25">
      <c r="A631" s="275" t="s">
        <v>2824</v>
      </c>
      <c r="B631" s="275" t="s">
        <v>3190</v>
      </c>
      <c r="C631" s="275" t="s">
        <v>3263</v>
      </c>
      <c r="D631" s="275" t="s">
        <v>3056</v>
      </c>
      <c r="E631" s="275" t="s">
        <v>2802</v>
      </c>
      <c r="F631" s="278">
        <v>39413</v>
      </c>
      <c r="G631" s="275" t="s">
        <v>2803</v>
      </c>
      <c r="H631" s="276">
        <v>10</v>
      </c>
      <c r="I631" s="276">
        <v>50</v>
      </c>
      <c r="J631" s="276">
        <v>6.11</v>
      </c>
      <c r="K631" s="276">
        <f t="shared" si="9"/>
        <v>3.8899999999999997</v>
      </c>
      <c r="L631" s="335"/>
      <c r="N631" s="288"/>
      <c r="O631" s="287"/>
      <c r="P631" s="287"/>
      <c r="Q631" s="287"/>
    </row>
    <row r="632" spans="1:17" ht="14.25">
      <c r="A632" s="275" t="s">
        <v>2809</v>
      </c>
      <c r="B632" s="275" t="s">
        <v>2810</v>
      </c>
      <c r="C632" s="275" t="s">
        <v>3262</v>
      </c>
      <c r="D632" s="275" t="s">
        <v>3056</v>
      </c>
      <c r="E632" s="275" t="s">
        <v>2802</v>
      </c>
      <c r="F632" s="278">
        <v>39430</v>
      </c>
      <c r="G632" s="275" t="s">
        <v>2803</v>
      </c>
      <c r="H632" s="276">
        <v>10.8</v>
      </c>
      <c r="I632" s="276">
        <v>57.36</v>
      </c>
      <c r="J632" s="276">
        <v>6.11</v>
      </c>
      <c r="K632" s="276">
        <f t="shared" si="9"/>
        <v>4.6900000000000004</v>
      </c>
      <c r="L632" s="335"/>
      <c r="N632" s="288"/>
      <c r="O632" s="287"/>
      <c r="P632" s="287"/>
      <c r="Q632" s="287"/>
    </row>
    <row r="633" spans="1:17" ht="14.25">
      <c r="A633" s="275" t="s">
        <v>2811</v>
      </c>
      <c r="B633" s="275" t="s">
        <v>4014</v>
      </c>
      <c r="C633" s="275" t="s">
        <v>3261</v>
      </c>
      <c r="D633" s="275" t="s">
        <v>3056</v>
      </c>
      <c r="E633" s="275" t="s">
        <v>2802</v>
      </c>
      <c r="F633" s="278">
        <v>39437</v>
      </c>
      <c r="G633" s="275" t="s">
        <v>2803</v>
      </c>
      <c r="H633" s="276">
        <v>9.1</v>
      </c>
      <c r="I633" s="276">
        <v>44.35</v>
      </c>
      <c r="J633" s="276">
        <v>5.97</v>
      </c>
      <c r="K633" s="276">
        <f t="shared" si="9"/>
        <v>3.13</v>
      </c>
      <c r="L633" s="335"/>
      <c r="N633" s="288"/>
      <c r="O633" s="287"/>
      <c r="P633" s="287"/>
      <c r="Q633" s="287"/>
    </row>
    <row r="634" spans="1:17" ht="14.25">
      <c r="A634" s="275" t="s">
        <v>2809</v>
      </c>
      <c r="B634" s="275" t="s">
        <v>4023</v>
      </c>
      <c r="C634" s="275" t="s">
        <v>3260</v>
      </c>
      <c r="D634" s="275" t="s">
        <v>3056</v>
      </c>
      <c r="E634" s="275" t="s">
        <v>2802</v>
      </c>
      <c r="F634" s="278">
        <v>39455</v>
      </c>
      <c r="G634" s="275" t="s">
        <v>2803</v>
      </c>
      <c r="H634" s="276">
        <v>10.75</v>
      </c>
      <c r="I634" s="276">
        <v>52.51</v>
      </c>
      <c r="J634" s="276">
        <v>5.97</v>
      </c>
      <c r="K634" s="276">
        <f t="shared" si="9"/>
        <v>4.78</v>
      </c>
      <c r="L634" s="335"/>
      <c r="N634" s="288"/>
      <c r="O634" s="287"/>
      <c r="P634" s="287"/>
      <c r="Q634" s="287"/>
    </row>
    <row r="635" spans="1:17" ht="14.25">
      <c r="A635" s="275" t="s">
        <v>2809</v>
      </c>
      <c r="B635" s="275" t="s">
        <v>2879</v>
      </c>
      <c r="C635" s="275" t="s">
        <v>3259</v>
      </c>
      <c r="D635" s="275" t="s">
        <v>3056</v>
      </c>
      <c r="E635" s="275" t="s">
        <v>2802</v>
      </c>
      <c r="F635" s="278">
        <v>39464</v>
      </c>
      <c r="G635" s="275" t="s">
        <v>2803</v>
      </c>
      <c r="H635" s="276">
        <v>10.75</v>
      </c>
      <c r="I635" s="276">
        <v>54.36</v>
      </c>
      <c r="J635" s="276">
        <v>6.16</v>
      </c>
      <c r="K635" s="276">
        <f t="shared" si="9"/>
        <v>4.59</v>
      </c>
      <c r="L635" s="335"/>
      <c r="N635" s="288"/>
      <c r="O635" s="287"/>
      <c r="P635" s="287"/>
      <c r="Q635" s="287"/>
    </row>
    <row r="636" spans="1:17" ht="14.25">
      <c r="A636" s="275" t="s">
        <v>2809</v>
      </c>
      <c r="B636" s="275" t="s">
        <v>3142</v>
      </c>
      <c r="C636" s="275" t="s">
        <v>3258</v>
      </c>
      <c r="D636" s="275" t="s">
        <v>3056</v>
      </c>
      <c r="E636" s="275" t="s">
        <v>2802</v>
      </c>
      <c r="F636" s="278">
        <v>39464</v>
      </c>
      <c r="G636" s="275" t="s">
        <v>2803</v>
      </c>
      <c r="H636" s="276">
        <v>10.75</v>
      </c>
      <c r="I636" s="276">
        <v>46.64</v>
      </c>
      <c r="J636" s="276">
        <v>6.16</v>
      </c>
      <c r="K636" s="276">
        <f t="shared" si="9"/>
        <v>4.59</v>
      </c>
      <c r="L636" s="335"/>
      <c r="N636" s="288"/>
      <c r="O636" s="287"/>
      <c r="P636" s="287"/>
      <c r="Q636" s="287"/>
    </row>
    <row r="637" spans="1:17" ht="14.25">
      <c r="A637" s="275" t="s">
        <v>2801</v>
      </c>
      <c r="B637" s="275" t="s">
        <v>4021</v>
      </c>
      <c r="C637" s="275" t="s">
        <v>3256</v>
      </c>
      <c r="D637" s="275" t="s">
        <v>3056</v>
      </c>
      <c r="E637" s="275" t="s">
        <v>2802</v>
      </c>
      <c r="F637" s="278">
        <v>39483</v>
      </c>
      <c r="G637" s="275" t="s">
        <v>2803</v>
      </c>
      <c r="H637" s="276">
        <v>10.19</v>
      </c>
      <c r="I637" s="276">
        <v>56</v>
      </c>
      <c r="J637" s="276">
        <v>6.16</v>
      </c>
      <c r="K637" s="276">
        <f t="shared" si="9"/>
        <v>4.0299999999999994</v>
      </c>
      <c r="L637" s="335"/>
      <c r="N637" s="288"/>
      <c r="O637" s="287"/>
      <c r="P637" s="287"/>
      <c r="Q637" s="287"/>
    </row>
    <row r="638" spans="1:17" ht="14.25">
      <c r="A638" s="275" t="s">
        <v>2801</v>
      </c>
      <c r="B638" s="275" t="s">
        <v>3139</v>
      </c>
      <c r="C638" s="275" t="s">
        <v>3257</v>
      </c>
      <c r="D638" s="275" t="s">
        <v>3056</v>
      </c>
      <c r="E638" s="275" t="s">
        <v>2802</v>
      </c>
      <c r="F638" s="278">
        <v>39483</v>
      </c>
      <c r="G638" s="275" t="s">
        <v>2803</v>
      </c>
      <c r="H638" s="276">
        <v>9.99</v>
      </c>
      <c r="I638" s="276">
        <v>56</v>
      </c>
      <c r="J638" s="276">
        <v>6.16</v>
      </c>
      <c r="K638" s="276">
        <f t="shared" si="9"/>
        <v>3.83</v>
      </c>
      <c r="L638" s="335"/>
      <c r="N638" s="288"/>
      <c r="O638" s="287"/>
      <c r="P638" s="287"/>
      <c r="Q638" s="287"/>
    </row>
    <row r="639" spans="1:17" ht="14.25">
      <c r="A639" s="275" t="s">
        <v>2821</v>
      </c>
      <c r="B639" s="275" t="s">
        <v>3073</v>
      </c>
      <c r="C639" s="275" t="s">
        <v>3255</v>
      </c>
      <c r="D639" s="275" t="s">
        <v>3056</v>
      </c>
      <c r="E639" s="275" t="s">
        <v>2802</v>
      </c>
      <c r="F639" s="278">
        <v>39626</v>
      </c>
      <c r="G639" s="275" t="s">
        <v>2803</v>
      </c>
      <c r="H639" s="276">
        <v>10</v>
      </c>
      <c r="I639" s="276">
        <v>51.38</v>
      </c>
      <c r="J639" s="276">
        <v>6.27</v>
      </c>
      <c r="K639" s="276">
        <f t="shared" si="9"/>
        <v>3.7300000000000004</v>
      </c>
      <c r="L639" s="335"/>
      <c r="N639" s="288"/>
      <c r="O639" s="287"/>
      <c r="P639" s="287"/>
      <c r="Q639" s="287"/>
    </row>
    <row r="640" spans="1:17" ht="14.25">
      <c r="A640" s="275" t="s">
        <v>2806</v>
      </c>
      <c r="B640" s="275" t="s">
        <v>3075</v>
      </c>
      <c r="C640" s="275" t="s">
        <v>3254</v>
      </c>
      <c r="D640" s="275" t="s">
        <v>3056</v>
      </c>
      <c r="E640" s="275" t="s">
        <v>2802</v>
      </c>
      <c r="F640" s="278">
        <v>39710</v>
      </c>
      <c r="G640" s="275" t="s">
        <v>2803</v>
      </c>
      <c r="H640" s="276">
        <v>10.7</v>
      </c>
      <c r="I640" s="276">
        <v>45</v>
      </c>
      <c r="J640" s="276">
        <v>6.37</v>
      </c>
      <c r="K640" s="276">
        <f t="shared" si="9"/>
        <v>4.3299999999999992</v>
      </c>
      <c r="L640" s="335"/>
      <c r="N640" s="288"/>
      <c r="O640" s="287"/>
      <c r="P640" s="287"/>
      <c r="Q640" s="287"/>
    </row>
    <row r="641" spans="1:17" ht="14.25">
      <c r="A641" s="275" t="s">
        <v>2801</v>
      </c>
      <c r="B641" s="275" t="s">
        <v>2849</v>
      </c>
      <c r="C641" s="275" t="s">
        <v>3253</v>
      </c>
      <c r="D641" s="275" t="s">
        <v>3056</v>
      </c>
      <c r="E641" s="275" t="s">
        <v>2802</v>
      </c>
      <c r="F641" s="278">
        <v>39715</v>
      </c>
      <c r="G641" s="275" t="s">
        <v>2803</v>
      </c>
      <c r="H641" s="276">
        <v>10.68</v>
      </c>
      <c r="I641" s="276">
        <v>46.5</v>
      </c>
      <c r="J641" s="276">
        <v>6.37</v>
      </c>
      <c r="K641" s="276">
        <f t="shared" si="9"/>
        <v>4.3099999999999996</v>
      </c>
      <c r="L641" s="335"/>
      <c r="N641" s="288"/>
      <c r="O641" s="287"/>
      <c r="P641" s="287"/>
      <c r="Q641" s="287"/>
    </row>
    <row r="642" spans="1:17" ht="14.25">
      <c r="A642" s="275" t="s">
        <v>2801</v>
      </c>
      <c r="B642" s="275" t="s">
        <v>2849</v>
      </c>
      <c r="C642" s="275" t="s">
        <v>3252</v>
      </c>
      <c r="D642" s="275" t="s">
        <v>3056</v>
      </c>
      <c r="E642" s="275" t="s">
        <v>2802</v>
      </c>
      <c r="F642" s="278">
        <v>39715</v>
      </c>
      <c r="G642" s="275" t="s">
        <v>2803</v>
      </c>
      <c r="H642" s="276">
        <v>10.68</v>
      </c>
      <c r="I642" s="276">
        <v>47.91</v>
      </c>
      <c r="J642" s="276">
        <v>6.37</v>
      </c>
      <c r="K642" s="276">
        <f t="shared" si="9"/>
        <v>4.3099999999999996</v>
      </c>
      <c r="L642" s="335"/>
      <c r="N642" s="288"/>
      <c r="O642" s="287"/>
      <c r="P642" s="287"/>
      <c r="Q642" s="287"/>
    </row>
    <row r="643" spans="1:17" ht="14.25">
      <c r="A643" s="275" t="s">
        <v>2801</v>
      </c>
      <c r="B643" s="275" t="s">
        <v>2849</v>
      </c>
      <c r="C643" s="275" t="s">
        <v>3251</v>
      </c>
      <c r="D643" s="275" t="s">
        <v>3056</v>
      </c>
      <c r="E643" s="275" t="s">
        <v>2802</v>
      </c>
      <c r="F643" s="278">
        <v>39715</v>
      </c>
      <c r="G643" s="275" t="s">
        <v>2803</v>
      </c>
      <c r="H643" s="276">
        <v>10.68</v>
      </c>
      <c r="I643" s="276">
        <v>51.76</v>
      </c>
      <c r="J643" s="276">
        <v>6.37</v>
      </c>
      <c r="K643" s="276">
        <f t="shared" si="9"/>
        <v>4.3099999999999996</v>
      </c>
      <c r="L643" s="335"/>
      <c r="N643" s="288"/>
      <c r="O643" s="287"/>
      <c r="P643" s="287"/>
      <c r="Q643" s="287"/>
    </row>
    <row r="644" spans="1:17" ht="14.25">
      <c r="A644" s="275" t="s">
        <v>2867</v>
      </c>
      <c r="B644" s="275" t="s">
        <v>2868</v>
      </c>
      <c r="C644" s="275" t="s">
        <v>3250</v>
      </c>
      <c r="D644" s="275" t="s">
        <v>3056</v>
      </c>
      <c r="E644" s="275" t="s">
        <v>2802</v>
      </c>
      <c r="F644" s="278">
        <v>39776</v>
      </c>
      <c r="G644" s="275" t="s">
        <v>2803</v>
      </c>
      <c r="H644" s="276">
        <v>10.5</v>
      </c>
      <c r="I644" s="276">
        <v>47.71</v>
      </c>
      <c r="J644" s="276">
        <v>7.56</v>
      </c>
      <c r="K644" s="276">
        <f t="shared" si="9"/>
        <v>2.9400000000000004</v>
      </c>
      <c r="L644" s="335"/>
      <c r="N644" s="288"/>
      <c r="O644" s="287"/>
      <c r="P644" s="287"/>
      <c r="Q644" s="287"/>
    </row>
    <row r="645" spans="1:17" ht="14.25">
      <c r="A645" s="275" t="s">
        <v>2824</v>
      </c>
      <c r="B645" s="275" t="s">
        <v>3094</v>
      </c>
      <c r="C645" s="275" t="s">
        <v>3249</v>
      </c>
      <c r="D645" s="275" t="s">
        <v>3056</v>
      </c>
      <c r="E645" s="275" t="s">
        <v>2802</v>
      </c>
      <c r="F645" s="278">
        <v>39806</v>
      </c>
      <c r="G645" s="275" t="s">
        <v>2803</v>
      </c>
      <c r="H645" s="276">
        <v>10</v>
      </c>
      <c r="I645" s="276">
        <v>43.44</v>
      </c>
      <c r="J645" s="276">
        <v>7.6</v>
      </c>
      <c r="K645" s="276">
        <f t="shared" si="9"/>
        <v>2.4000000000000004</v>
      </c>
      <c r="L645" s="335"/>
      <c r="N645" s="288"/>
      <c r="O645" s="287"/>
      <c r="P645" s="287"/>
      <c r="Q645" s="287"/>
    </row>
    <row r="646" spans="1:17" ht="14.25">
      <c r="A646" s="275" t="s">
        <v>2807</v>
      </c>
      <c r="B646" s="275" t="s">
        <v>3200</v>
      </c>
      <c r="C646" s="275" t="s">
        <v>3248</v>
      </c>
      <c r="D646" s="275" t="s">
        <v>3056</v>
      </c>
      <c r="E646" s="275" t="s">
        <v>2802</v>
      </c>
      <c r="F646" s="278">
        <v>39846</v>
      </c>
      <c r="G646" s="275" t="s">
        <v>2803</v>
      </c>
      <c r="H646" s="276">
        <v>10.050000000000001</v>
      </c>
      <c r="I646" s="276">
        <v>34.19</v>
      </c>
      <c r="J646" s="276">
        <v>6.54</v>
      </c>
      <c r="K646" s="276">
        <f t="shared" ref="K646:K709" si="10">H646-J646</f>
        <v>3.5100000000000007</v>
      </c>
      <c r="L646" s="335"/>
      <c r="N646" s="288"/>
      <c r="O646" s="287"/>
      <c r="P646" s="287"/>
      <c r="Q646" s="287"/>
    </row>
    <row r="647" spans="1:17" ht="14.25">
      <c r="A647" s="275" t="s">
        <v>2801</v>
      </c>
      <c r="B647" s="275" t="s">
        <v>3089</v>
      </c>
      <c r="C647" s="275" t="s">
        <v>3247</v>
      </c>
      <c r="D647" s="275" t="s">
        <v>3056</v>
      </c>
      <c r="E647" s="275" t="s">
        <v>2802</v>
      </c>
      <c r="F647" s="278">
        <v>39897</v>
      </c>
      <c r="G647" s="275" t="s">
        <v>2803</v>
      </c>
      <c r="H647" s="276">
        <v>10.17</v>
      </c>
      <c r="I647" s="276">
        <v>51.07</v>
      </c>
      <c r="J647" s="276">
        <v>6.3</v>
      </c>
      <c r="K647" s="276">
        <f t="shared" si="10"/>
        <v>3.87</v>
      </c>
      <c r="L647" s="335"/>
      <c r="N647" s="288"/>
      <c r="O647" s="287"/>
      <c r="P647" s="287"/>
      <c r="Q647" s="287"/>
    </row>
    <row r="648" spans="1:17" ht="14.25">
      <c r="A648" s="275" t="s">
        <v>2878</v>
      </c>
      <c r="B648" s="275" t="s">
        <v>3246</v>
      </c>
      <c r="C648" s="275" t="s">
        <v>3245</v>
      </c>
      <c r="D648" s="275" t="s">
        <v>3056</v>
      </c>
      <c r="E648" s="275" t="s">
        <v>2802</v>
      </c>
      <c r="F648" s="278">
        <v>39938</v>
      </c>
      <c r="G648" s="275" t="s">
        <v>2803</v>
      </c>
      <c r="H648" s="276">
        <v>10.75</v>
      </c>
      <c r="I648" s="276">
        <v>48.51</v>
      </c>
      <c r="J648" s="276">
        <v>6.42</v>
      </c>
      <c r="K648" s="276">
        <f t="shared" si="10"/>
        <v>4.33</v>
      </c>
      <c r="L648" s="335"/>
      <c r="N648" s="288"/>
      <c r="O648" s="287"/>
      <c r="P648" s="287"/>
      <c r="Q648" s="287"/>
    </row>
    <row r="649" spans="1:17" ht="14.25">
      <c r="A649" s="275" t="s">
        <v>2882</v>
      </c>
      <c r="B649" s="275" t="s">
        <v>3108</v>
      </c>
      <c r="C649" s="275" t="s">
        <v>3244</v>
      </c>
      <c r="D649" s="275" t="s">
        <v>3056</v>
      </c>
      <c r="E649" s="275" t="s">
        <v>2802</v>
      </c>
      <c r="F649" s="278">
        <v>39962</v>
      </c>
      <c r="G649" s="275" t="s">
        <v>2803</v>
      </c>
      <c r="H649" s="276">
        <v>9.5399999999999991</v>
      </c>
      <c r="I649" s="276">
        <v>50</v>
      </c>
      <c r="J649" s="276">
        <v>6.48</v>
      </c>
      <c r="K649" s="276">
        <f t="shared" si="10"/>
        <v>3.0599999999999987</v>
      </c>
      <c r="L649" s="335"/>
      <c r="N649" s="288"/>
      <c r="O649" s="287"/>
      <c r="P649" s="287"/>
      <c r="Q649" s="287"/>
    </row>
    <row r="650" spans="1:17" ht="14.25">
      <c r="A650" s="275" t="s">
        <v>2811</v>
      </c>
      <c r="B650" s="275" t="s">
        <v>2855</v>
      </c>
      <c r="C650" s="275" t="s">
        <v>3243</v>
      </c>
      <c r="D650" s="275" t="s">
        <v>3056</v>
      </c>
      <c r="E650" s="275" t="s">
        <v>2802</v>
      </c>
      <c r="F650" s="278">
        <v>39986</v>
      </c>
      <c r="G650" s="275" t="s">
        <v>2803</v>
      </c>
      <c r="H650" s="276">
        <v>10</v>
      </c>
      <c r="I650" s="276">
        <v>47</v>
      </c>
      <c r="J650" s="276">
        <v>6.49</v>
      </c>
      <c r="K650" s="276">
        <f t="shared" si="10"/>
        <v>3.51</v>
      </c>
      <c r="L650" s="335"/>
      <c r="N650" s="288"/>
      <c r="O650" s="287"/>
      <c r="P650" s="287"/>
      <c r="Q650" s="287"/>
    </row>
    <row r="651" spans="1:17" ht="14.25">
      <c r="A651" s="275" t="s">
        <v>2857</v>
      </c>
      <c r="B651" s="275" t="s">
        <v>3099</v>
      </c>
      <c r="C651" s="275" t="s">
        <v>3242</v>
      </c>
      <c r="D651" s="275" t="s">
        <v>3056</v>
      </c>
      <c r="E651" s="275" t="s">
        <v>2802</v>
      </c>
      <c r="F651" s="278">
        <v>39993</v>
      </c>
      <c r="G651" s="275" t="s">
        <v>2803</v>
      </c>
      <c r="H651" s="276">
        <v>10.210000000000001</v>
      </c>
      <c r="I651" s="276">
        <v>48.77</v>
      </c>
      <c r="J651" s="276">
        <v>6.49</v>
      </c>
      <c r="K651" s="276">
        <f t="shared" si="10"/>
        <v>3.7200000000000006</v>
      </c>
      <c r="L651" s="335"/>
      <c r="N651" s="288"/>
      <c r="O651" s="287"/>
      <c r="P651" s="287"/>
      <c r="Q651" s="287"/>
    </row>
    <row r="652" spans="1:17" ht="14.25">
      <c r="A652" s="275" t="s">
        <v>2830</v>
      </c>
      <c r="B652" s="275" t="s">
        <v>3157</v>
      </c>
      <c r="C652" s="275" t="s">
        <v>3241</v>
      </c>
      <c r="D652" s="275" t="s">
        <v>3056</v>
      </c>
      <c r="E652" s="275" t="s">
        <v>2802</v>
      </c>
      <c r="F652" s="278">
        <v>39994</v>
      </c>
      <c r="G652" s="275" t="s">
        <v>2803</v>
      </c>
      <c r="H652" s="276">
        <v>9.31</v>
      </c>
      <c r="I652" s="276">
        <v>52.52</v>
      </c>
      <c r="J652" s="276">
        <v>6.49</v>
      </c>
      <c r="K652" s="276">
        <f t="shared" si="10"/>
        <v>2.8200000000000003</v>
      </c>
      <c r="L652" s="335"/>
      <c r="N652" s="288"/>
      <c r="O652" s="287"/>
      <c r="P652" s="287"/>
      <c r="Q652" s="287"/>
    </row>
    <row r="653" spans="1:17" ht="14.25">
      <c r="A653" s="275" t="s">
        <v>2830</v>
      </c>
      <c r="B653" s="275" t="s">
        <v>4020</v>
      </c>
      <c r="C653" s="275" t="s">
        <v>3240</v>
      </c>
      <c r="D653" s="275" t="s">
        <v>3056</v>
      </c>
      <c r="E653" s="275" t="s">
        <v>2802</v>
      </c>
      <c r="F653" s="278">
        <v>40011</v>
      </c>
      <c r="G653" s="275" t="s">
        <v>2803</v>
      </c>
      <c r="H653" s="276">
        <v>9.26</v>
      </c>
      <c r="I653" s="276">
        <v>52</v>
      </c>
      <c r="J653" s="276">
        <v>6.2</v>
      </c>
      <c r="K653" s="276">
        <f t="shared" si="10"/>
        <v>3.0599999999999996</v>
      </c>
      <c r="L653" s="335"/>
      <c r="N653" s="286"/>
      <c r="O653" s="285"/>
      <c r="P653" s="285"/>
      <c r="Q653" s="285"/>
    </row>
    <row r="654" spans="1:17" ht="14.25">
      <c r="A654" s="275" t="s">
        <v>2837</v>
      </c>
      <c r="B654" s="275" t="s">
        <v>3094</v>
      </c>
      <c r="C654" s="275" t="s">
        <v>3239</v>
      </c>
      <c r="D654" s="275" t="s">
        <v>3056</v>
      </c>
      <c r="E654" s="275" t="s">
        <v>2802</v>
      </c>
      <c r="F654" s="278">
        <v>40114</v>
      </c>
      <c r="G654" s="275" t="s">
        <v>2803</v>
      </c>
      <c r="H654" s="276">
        <v>10.15</v>
      </c>
      <c r="I654" s="276">
        <v>47.09</v>
      </c>
      <c r="J654" s="276">
        <v>5.53</v>
      </c>
      <c r="K654" s="276">
        <f t="shared" si="10"/>
        <v>4.62</v>
      </c>
      <c r="L654" s="335"/>
      <c r="N654" s="286"/>
      <c r="O654" s="285"/>
      <c r="P654" s="285"/>
      <c r="Q654" s="285"/>
    </row>
    <row r="655" spans="1:17" ht="14.25">
      <c r="A655" s="275" t="s">
        <v>2837</v>
      </c>
      <c r="B655" s="275" t="s">
        <v>3094</v>
      </c>
      <c r="C655" s="275" t="s">
        <v>3238</v>
      </c>
      <c r="D655" s="275" t="s">
        <v>3056</v>
      </c>
      <c r="E655" s="275" t="s">
        <v>2802</v>
      </c>
      <c r="F655" s="278">
        <v>40114</v>
      </c>
      <c r="G655" s="275" t="s">
        <v>2803</v>
      </c>
      <c r="H655" s="276">
        <v>10.15</v>
      </c>
      <c r="I655" s="276">
        <v>47.09</v>
      </c>
      <c r="J655" s="276">
        <v>5.53</v>
      </c>
      <c r="K655" s="276">
        <f t="shared" si="10"/>
        <v>4.62</v>
      </c>
      <c r="L655" s="335"/>
      <c r="N655" s="286"/>
      <c r="O655" s="285"/>
      <c r="P655" s="285"/>
      <c r="Q655" s="285"/>
    </row>
    <row r="656" spans="1:17" ht="14.25">
      <c r="A656" s="275" t="s">
        <v>2807</v>
      </c>
      <c r="B656" s="275" t="s">
        <v>4026</v>
      </c>
      <c r="C656" s="275" t="s">
        <v>3237</v>
      </c>
      <c r="D656" s="275" t="s">
        <v>3056</v>
      </c>
      <c r="E656" s="275" t="s">
        <v>2802</v>
      </c>
      <c r="F656" s="278">
        <v>40116</v>
      </c>
      <c r="G656" s="275" t="s">
        <v>2803</v>
      </c>
      <c r="H656" s="276">
        <v>9.9499999999999993</v>
      </c>
      <c r="I656" s="276">
        <v>53.57</v>
      </c>
      <c r="J656" s="276">
        <v>5.53</v>
      </c>
      <c r="K656" s="276">
        <f t="shared" si="10"/>
        <v>4.419999999999999</v>
      </c>
      <c r="L656" s="335"/>
      <c r="N656" s="286"/>
      <c r="O656" s="285"/>
      <c r="P656" s="285"/>
      <c r="Q656" s="285"/>
    </row>
    <row r="657" spans="1:17" ht="14.25">
      <c r="A657" s="275" t="s">
        <v>2831</v>
      </c>
      <c r="B657" s="275" t="s">
        <v>4019</v>
      </c>
      <c r="C657" s="275" t="s">
        <v>3236</v>
      </c>
      <c r="D657" s="275" t="s">
        <v>3056</v>
      </c>
      <c r="E657" s="275" t="s">
        <v>2802</v>
      </c>
      <c r="F657" s="278">
        <v>40137</v>
      </c>
      <c r="G657" s="275" t="s">
        <v>2803</v>
      </c>
      <c r="H657" s="276">
        <v>9.4499999999999993</v>
      </c>
      <c r="I657" s="276">
        <v>42.34</v>
      </c>
      <c r="J657" s="276">
        <v>5.55</v>
      </c>
      <c r="K657" s="276">
        <f t="shared" si="10"/>
        <v>3.8999999999999995</v>
      </c>
      <c r="L657" s="335"/>
      <c r="N657" s="286"/>
      <c r="O657" s="285"/>
      <c r="P657" s="285"/>
      <c r="Q657" s="285"/>
    </row>
    <row r="658" spans="1:17" ht="14.25">
      <c r="A658" s="275" t="s">
        <v>2809</v>
      </c>
      <c r="B658" s="275" t="s">
        <v>3142</v>
      </c>
      <c r="C658" s="275" t="s">
        <v>3233</v>
      </c>
      <c r="D658" s="275" t="s">
        <v>3056</v>
      </c>
      <c r="E658" s="275" t="s">
        <v>2802</v>
      </c>
      <c r="F658" s="278">
        <v>40165</v>
      </c>
      <c r="G658" s="275" t="s">
        <v>2803</v>
      </c>
      <c r="H658" s="276">
        <v>10.5</v>
      </c>
      <c r="I658" s="276">
        <v>46.62</v>
      </c>
      <c r="J658" s="276">
        <v>5.64</v>
      </c>
      <c r="K658" s="276">
        <f t="shared" si="10"/>
        <v>4.8600000000000003</v>
      </c>
      <c r="L658" s="335"/>
      <c r="N658" s="286"/>
      <c r="O658" s="285"/>
      <c r="P658" s="285"/>
      <c r="Q658" s="285"/>
    </row>
    <row r="659" spans="1:17" ht="14.25">
      <c r="A659" s="275" t="s">
        <v>2809</v>
      </c>
      <c r="B659" s="275" t="s">
        <v>2879</v>
      </c>
      <c r="C659" s="275" t="s">
        <v>3235</v>
      </c>
      <c r="D659" s="275" t="s">
        <v>3056</v>
      </c>
      <c r="E659" s="275" t="s">
        <v>2802</v>
      </c>
      <c r="F659" s="278">
        <v>40165</v>
      </c>
      <c r="G659" s="275" t="s">
        <v>2803</v>
      </c>
      <c r="H659" s="276">
        <v>10.4</v>
      </c>
      <c r="I659" s="276">
        <v>53.02</v>
      </c>
      <c r="J659" s="276">
        <v>5.64</v>
      </c>
      <c r="K659" s="276">
        <f t="shared" si="10"/>
        <v>4.7600000000000007</v>
      </c>
      <c r="L659" s="335"/>
      <c r="N659" s="286"/>
      <c r="O659" s="285"/>
      <c r="P659" s="285"/>
      <c r="Q659" s="285"/>
    </row>
    <row r="660" spans="1:17" ht="14.25">
      <c r="A660" s="275" t="s">
        <v>2809</v>
      </c>
      <c r="B660" s="275" t="s">
        <v>2854</v>
      </c>
      <c r="C660" s="275" t="s">
        <v>3234</v>
      </c>
      <c r="D660" s="275" t="s">
        <v>3056</v>
      </c>
      <c r="E660" s="275" t="s">
        <v>2802</v>
      </c>
      <c r="F660" s="278">
        <v>40165</v>
      </c>
      <c r="G660" s="275" t="s">
        <v>2803</v>
      </c>
      <c r="H660" s="276">
        <v>10.4</v>
      </c>
      <c r="I660" s="276">
        <v>50.38</v>
      </c>
      <c r="J660" s="276">
        <v>5.64</v>
      </c>
      <c r="K660" s="276">
        <f t="shared" si="10"/>
        <v>4.7600000000000007</v>
      </c>
      <c r="L660" s="335"/>
      <c r="N660" s="286"/>
      <c r="O660" s="285"/>
      <c r="P660" s="285"/>
      <c r="Q660" s="285"/>
    </row>
    <row r="661" spans="1:17" ht="14.25">
      <c r="A661" s="275" t="s">
        <v>2809</v>
      </c>
      <c r="B661" s="275" t="s">
        <v>2810</v>
      </c>
      <c r="C661" s="275" t="s">
        <v>3231</v>
      </c>
      <c r="D661" s="275" t="s">
        <v>3056</v>
      </c>
      <c r="E661" s="275" t="s">
        <v>2802</v>
      </c>
      <c r="F661" s="278">
        <v>40169</v>
      </c>
      <c r="G661" s="275" t="s">
        <v>2803</v>
      </c>
      <c r="H661" s="276">
        <v>10.4</v>
      </c>
      <c r="I661" s="276">
        <v>55.34</v>
      </c>
      <c r="J661" s="276">
        <v>5.64</v>
      </c>
      <c r="K661" s="276">
        <f t="shared" si="10"/>
        <v>4.7600000000000007</v>
      </c>
      <c r="L661" s="335"/>
      <c r="N661" s="286"/>
      <c r="O661" s="285"/>
      <c r="P661" s="285"/>
      <c r="Q661" s="285"/>
    </row>
    <row r="662" spans="1:17" ht="14.25">
      <c r="A662" s="275" t="s">
        <v>2842</v>
      </c>
      <c r="B662" s="275" t="s">
        <v>2834</v>
      </c>
      <c r="C662" s="275" t="s">
        <v>3232</v>
      </c>
      <c r="D662" s="275" t="s">
        <v>3056</v>
      </c>
      <c r="E662" s="275" t="s">
        <v>2802</v>
      </c>
      <c r="F662" s="278">
        <v>40169</v>
      </c>
      <c r="G662" s="275" t="s">
        <v>2803</v>
      </c>
      <c r="H662" s="276">
        <v>10.199999999999999</v>
      </c>
      <c r="I662" s="276">
        <v>46.5</v>
      </c>
      <c r="J662" s="276">
        <v>5.64</v>
      </c>
      <c r="K662" s="276">
        <f t="shared" si="10"/>
        <v>4.5599999999999996</v>
      </c>
      <c r="L662" s="335"/>
      <c r="N662" s="286"/>
      <c r="O662" s="285"/>
      <c r="P662" s="285"/>
      <c r="Q662" s="285"/>
    </row>
    <row r="663" spans="1:17" ht="14.25">
      <c r="A663" s="275" t="s">
        <v>2857</v>
      </c>
      <c r="B663" s="275" t="s">
        <v>3129</v>
      </c>
      <c r="C663" s="275" t="s">
        <v>3230</v>
      </c>
      <c r="D663" s="275" t="s">
        <v>3056</v>
      </c>
      <c r="E663" s="275" t="s">
        <v>2802</v>
      </c>
      <c r="F663" s="278">
        <v>40189</v>
      </c>
      <c r="G663" s="275" t="s">
        <v>2803</v>
      </c>
      <c r="H663" s="276">
        <v>10.24</v>
      </c>
      <c r="I663" s="276">
        <v>52.55</v>
      </c>
      <c r="J663" s="276">
        <v>5.64</v>
      </c>
      <c r="K663" s="276">
        <f t="shared" si="10"/>
        <v>4.6000000000000005</v>
      </c>
      <c r="L663" s="335"/>
      <c r="N663" s="286"/>
      <c r="O663" s="285"/>
      <c r="P663" s="285"/>
      <c r="Q663" s="285"/>
    </row>
    <row r="664" spans="1:17" ht="14.25">
      <c r="A664" s="275" t="s">
        <v>2801</v>
      </c>
      <c r="B664" s="275" t="s">
        <v>3139</v>
      </c>
      <c r="C664" s="275" t="s">
        <v>3228</v>
      </c>
      <c r="D664" s="275" t="s">
        <v>3056</v>
      </c>
      <c r="E664" s="275" t="s">
        <v>2802</v>
      </c>
      <c r="F664" s="278">
        <v>40199</v>
      </c>
      <c r="G664" s="275" t="s">
        <v>2803</v>
      </c>
      <c r="H664" s="276">
        <v>10.33</v>
      </c>
      <c r="I664" s="276">
        <v>56</v>
      </c>
      <c r="J664" s="276">
        <v>5.79</v>
      </c>
      <c r="K664" s="276">
        <f t="shared" si="10"/>
        <v>4.54</v>
      </c>
      <c r="L664" s="335"/>
      <c r="N664" s="286"/>
      <c r="O664" s="285"/>
      <c r="P664" s="285"/>
      <c r="Q664" s="285"/>
    </row>
    <row r="665" spans="1:17" ht="14.25">
      <c r="A665" s="275" t="s">
        <v>2801</v>
      </c>
      <c r="B665" s="275" t="s">
        <v>4021</v>
      </c>
      <c r="C665" s="275" t="s">
        <v>3229</v>
      </c>
      <c r="D665" s="275" t="s">
        <v>3056</v>
      </c>
      <c r="E665" s="275" t="s">
        <v>2802</v>
      </c>
      <c r="F665" s="278">
        <v>40199</v>
      </c>
      <c r="G665" s="275" t="s">
        <v>2803</v>
      </c>
      <c r="H665" s="276">
        <v>10.23</v>
      </c>
      <c r="I665" s="276">
        <v>56</v>
      </c>
      <c r="J665" s="276">
        <v>5.79</v>
      </c>
      <c r="K665" s="276">
        <f t="shared" si="10"/>
        <v>4.4400000000000004</v>
      </c>
      <c r="L665" s="335"/>
      <c r="N665" s="286"/>
      <c r="O665" s="285"/>
      <c r="P665" s="285"/>
      <c r="Q665" s="285"/>
    </row>
    <row r="666" spans="1:17" ht="14.25">
      <c r="A666" s="275" t="s">
        <v>2881</v>
      </c>
      <c r="B666" s="275" t="s">
        <v>3075</v>
      </c>
      <c r="C666" s="275" t="s">
        <v>3227</v>
      </c>
      <c r="D666" s="275" t="s">
        <v>3056</v>
      </c>
      <c r="E666" s="275" t="s">
        <v>2802</v>
      </c>
      <c r="F666" s="278">
        <v>40204</v>
      </c>
      <c r="G666" s="275" t="s">
        <v>2803</v>
      </c>
      <c r="H666" s="276">
        <v>10.4</v>
      </c>
      <c r="I666" s="276">
        <v>48.91</v>
      </c>
      <c r="J666" s="276">
        <v>5.79</v>
      </c>
      <c r="K666" s="276">
        <f t="shared" si="10"/>
        <v>4.6100000000000003</v>
      </c>
      <c r="L666" s="335"/>
      <c r="N666" s="286"/>
      <c r="O666" s="285"/>
      <c r="P666" s="285"/>
      <c r="Q666" s="285"/>
    </row>
    <row r="667" spans="1:17" ht="14.25">
      <c r="A667" s="275" t="s">
        <v>2860</v>
      </c>
      <c r="B667" s="275" t="s">
        <v>3063</v>
      </c>
      <c r="C667" s="275" t="s">
        <v>3226</v>
      </c>
      <c r="D667" s="275" t="s">
        <v>3056</v>
      </c>
      <c r="E667" s="275" t="s">
        <v>2802</v>
      </c>
      <c r="F667" s="278">
        <v>40219</v>
      </c>
      <c r="G667" s="275" t="s">
        <v>2803</v>
      </c>
      <c r="H667" s="276">
        <v>10</v>
      </c>
      <c r="I667" s="276">
        <v>38.659999999999997</v>
      </c>
      <c r="J667" s="276">
        <v>5.79</v>
      </c>
      <c r="K667" s="276">
        <f t="shared" si="10"/>
        <v>4.21</v>
      </c>
      <c r="L667" s="335"/>
      <c r="N667" s="286"/>
      <c r="O667" s="285"/>
      <c r="P667" s="285"/>
      <c r="Q667" s="285"/>
    </row>
    <row r="668" spans="1:17" ht="14.25">
      <c r="A668" s="275" t="s">
        <v>2881</v>
      </c>
      <c r="B668" s="275" t="s">
        <v>3129</v>
      </c>
      <c r="C668" s="275" t="s">
        <v>3225</v>
      </c>
      <c r="D668" s="275" t="s">
        <v>3056</v>
      </c>
      <c r="E668" s="275" t="s">
        <v>2802</v>
      </c>
      <c r="F668" s="278">
        <v>40232</v>
      </c>
      <c r="G668" s="275" t="s">
        <v>2803</v>
      </c>
      <c r="H668" s="276">
        <v>10.5</v>
      </c>
      <c r="I668" s="276">
        <v>55.6</v>
      </c>
      <c r="J668" s="276">
        <v>5.77</v>
      </c>
      <c r="K668" s="276">
        <f t="shared" si="10"/>
        <v>4.7300000000000004</v>
      </c>
      <c r="L668" s="335"/>
      <c r="N668" s="286"/>
      <c r="O668" s="285"/>
      <c r="P668" s="285"/>
      <c r="Q668" s="285"/>
    </row>
    <row r="669" spans="1:17" ht="14.25">
      <c r="A669" s="275" t="s">
        <v>3187</v>
      </c>
      <c r="B669" s="275" t="s">
        <v>3186</v>
      </c>
      <c r="C669" s="275" t="s">
        <v>3224</v>
      </c>
      <c r="D669" s="275" t="s">
        <v>3056</v>
      </c>
      <c r="E669" s="275" t="s">
        <v>2802</v>
      </c>
      <c r="F669" s="278">
        <v>40246</v>
      </c>
      <c r="G669" s="275" t="s">
        <v>2803</v>
      </c>
      <c r="H669" s="276">
        <v>9.6</v>
      </c>
      <c r="I669" s="276">
        <v>49.96</v>
      </c>
      <c r="J669" s="276">
        <v>5.77</v>
      </c>
      <c r="K669" s="276">
        <f t="shared" si="10"/>
        <v>3.83</v>
      </c>
      <c r="L669" s="335"/>
      <c r="N669" s="286"/>
      <c r="O669" s="285"/>
      <c r="P669" s="285"/>
      <c r="Q669" s="285"/>
    </row>
    <row r="670" spans="1:17" ht="14.25">
      <c r="A670" s="275" t="s">
        <v>2801</v>
      </c>
      <c r="B670" s="275" t="s">
        <v>2817</v>
      </c>
      <c r="C670" s="275" t="s">
        <v>3223</v>
      </c>
      <c r="D670" s="275" t="s">
        <v>3056</v>
      </c>
      <c r="E670" s="275" t="s">
        <v>2802</v>
      </c>
      <c r="F670" s="278">
        <v>40261</v>
      </c>
      <c r="G670" s="275" t="s">
        <v>2803</v>
      </c>
      <c r="H670" s="276">
        <v>10.130000000000001</v>
      </c>
      <c r="I670" s="276">
        <v>47.08</v>
      </c>
      <c r="J670" s="276">
        <v>5.87</v>
      </c>
      <c r="K670" s="276">
        <f t="shared" si="10"/>
        <v>4.2600000000000007</v>
      </c>
      <c r="L670" s="335"/>
      <c r="N670" s="286"/>
      <c r="O670" s="285"/>
      <c r="P670" s="285"/>
      <c r="Q670" s="285"/>
    </row>
    <row r="671" spans="1:17" ht="14.25">
      <c r="A671" s="275" t="s">
        <v>2806</v>
      </c>
      <c r="B671" s="275" t="s">
        <v>3075</v>
      </c>
      <c r="C671" s="275" t="s">
        <v>3222</v>
      </c>
      <c r="D671" s="275" t="s">
        <v>3056</v>
      </c>
      <c r="E671" s="275" t="s">
        <v>2802</v>
      </c>
      <c r="F671" s="278">
        <v>40268</v>
      </c>
      <c r="G671" s="275" t="s">
        <v>2803</v>
      </c>
      <c r="H671" s="276">
        <v>10.7</v>
      </c>
      <c r="I671" s="276">
        <v>47.7</v>
      </c>
      <c r="J671" s="276">
        <v>5.87</v>
      </c>
      <c r="K671" s="276">
        <f t="shared" si="10"/>
        <v>4.8299999999999992</v>
      </c>
      <c r="L671" s="335"/>
      <c r="N671" s="286"/>
      <c r="O671" s="285"/>
      <c r="P671" s="285"/>
      <c r="Q671" s="285"/>
    </row>
    <row r="672" spans="1:17" ht="14.25">
      <c r="A672" s="275" t="s">
        <v>2824</v>
      </c>
      <c r="B672" s="275" t="s">
        <v>3190</v>
      </c>
      <c r="C672" s="275" t="s">
        <v>3221</v>
      </c>
      <c r="D672" s="275" t="s">
        <v>3056</v>
      </c>
      <c r="E672" s="275" t="s">
        <v>2802</v>
      </c>
      <c r="F672" s="278">
        <v>40269</v>
      </c>
      <c r="G672" s="275" t="s">
        <v>2803</v>
      </c>
      <c r="H672" s="276">
        <v>9.5</v>
      </c>
      <c r="I672" s="276">
        <v>49.9</v>
      </c>
      <c r="J672" s="276">
        <v>5.87</v>
      </c>
      <c r="K672" s="276">
        <f t="shared" si="10"/>
        <v>3.63</v>
      </c>
      <c r="L672" s="335"/>
      <c r="N672" s="286"/>
      <c r="O672" s="285"/>
      <c r="P672" s="285"/>
      <c r="Q672" s="285"/>
    </row>
    <row r="673" spans="1:17" ht="14.25">
      <c r="A673" s="275" t="s">
        <v>2842</v>
      </c>
      <c r="B673" s="275" t="s">
        <v>2843</v>
      </c>
      <c r="C673" s="275" t="s">
        <v>3220</v>
      </c>
      <c r="D673" s="275" t="s">
        <v>3056</v>
      </c>
      <c r="E673" s="275" t="s">
        <v>2802</v>
      </c>
      <c r="F673" s="278">
        <v>40270</v>
      </c>
      <c r="G673" s="275" t="s">
        <v>2803</v>
      </c>
      <c r="H673" s="276">
        <v>10.1</v>
      </c>
      <c r="I673" s="276">
        <v>46</v>
      </c>
      <c r="J673" s="276">
        <v>5.87</v>
      </c>
      <c r="K673" s="276">
        <f t="shared" si="10"/>
        <v>4.2299999999999995</v>
      </c>
      <c r="L673" s="335"/>
      <c r="N673" s="286"/>
      <c r="O673" s="285"/>
      <c r="P673" s="285"/>
      <c r="Q673" s="285"/>
    </row>
    <row r="674" spans="1:17" ht="14.25">
      <c r="A674" s="275" t="s">
        <v>2801</v>
      </c>
      <c r="B674" s="275" t="s">
        <v>2849</v>
      </c>
      <c r="C674" s="275" t="s">
        <v>3218</v>
      </c>
      <c r="D674" s="275" t="s">
        <v>3056</v>
      </c>
      <c r="E674" s="275" t="s">
        <v>2802</v>
      </c>
      <c r="F674" s="278">
        <v>40297</v>
      </c>
      <c r="G674" s="275" t="s">
        <v>2803</v>
      </c>
      <c r="H674" s="276">
        <v>9.4</v>
      </c>
      <c r="I674" s="276">
        <v>43.61</v>
      </c>
      <c r="J674" s="276">
        <v>5.84</v>
      </c>
      <c r="K674" s="276">
        <f t="shared" si="10"/>
        <v>3.5600000000000005</v>
      </c>
      <c r="L674" s="335"/>
      <c r="N674" s="286"/>
      <c r="O674" s="285"/>
      <c r="P674" s="285"/>
      <c r="Q674" s="285"/>
    </row>
    <row r="675" spans="1:17" ht="14.25">
      <c r="A675" s="275" t="s">
        <v>2801</v>
      </c>
      <c r="B675" s="275" t="s">
        <v>2849</v>
      </c>
      <c r="C675" s="275" t="s">
        <v>3217</v>
      </c>
      <c r="D675" s="275" t="s">
        <v>3056</v>
      </c>
      <c r="E675" s="275" t="s">
        <v>2802</v>
      </c>
      <c r="F675" s="278">
        <v>40297</v>
      </c>
      <c r="G675" s="275" t="s">
        <v>2803</v>
      </c>
      <c r="H675" s="276">
        <v>9.4</v>
      </c>
      <c r="I675" s="276">
        <v>43.55</v>
      </c>
      <c r="J675" s="276">
        <v>5.84</v>
      </c>
      <c r="K675" s="276">
        <f t="shared" si="10"/>
        <v>3.5600000000000005</v>
      </c>
      <c r="L675" s="335"/>
      <c r="N675" s="286"/>
      <c r="O675" s="285"/>
      <c r="P675" s="285"/>
      <c r="Q675" s="285"/>
    </row>
    <row r="676" spans="1:17" ht="14.25">
      <c r="A676" s="275" t="s">
        <v>2801</v>
      </c>
      <c r="B676" s="275" t="s">
        <v>2849</v>
      </c>
      <c r="C676" s="275" t="s">
        <v>3219</v>
      </c>
      <c r="D676" s="275" t="s">
        <v>3056</v>
      </c>
      <c r="E676" s="275" t="s">
        <v>2802</v>
      </c>
      <c r="F676" s="278">
        <v>40297</v>
      </c>
      <c r="G676" s="275" t="s">
        <v>2803</v>
      </c>
      <c r="H676" s="276">
        <v>9.19</v>
      </c>
      <c r="I676" s="276">
        <v>48.67</v>
      </c>
      <c r="J676" s="276">
        <v>5.84</v>
      </c>
      <c r="K676" s="276">
        <f t="shared" si="10"/>
        <v>3.3499999999999996</v>
      </c>
      <c r="L676" s="335"/>
      <c r="N676" s="286"/>
      <c r="O676" s="285"/>
      <c r="P676" s="285"/>
      <c r="Q676" s="285"/>
    </row>
    <row r="677" spans="1:17" ht="14.25">
      <c r="A677" s="275" t="s">
        <v>2851</v>
      </c>
      <c r="B677" s="275" t="s">
        <v>2876</v>
      </c>
      <c r="C677" s="275" t="s">
        <v>3216</v>
      </c>
      <c r="D677" s="275" t="s">
        <v>3056</v>
      </c>
      <c r="E677" s="275" t="s">
        <v>2802</v>
      </c>
      <c r="F677" s="278">
        <v>40315</v>
      </c>
      <c r="G677" s="275" t="s">
        <v>2803</v>
      </c>
      <c r="H677" s="276">
        <v>10.55</v>
      </c>
      <c r="I677" s="276">
        <v>40.78</v>
      </c>
      <c r="J677" s="276">
        <v>5.81</v>
      </c>
      <c r="K677" s="276">
        <f t="shared" si="10"/>
        <v>4.7400000000000011</v>
      </c>
      <c r="L677" s="335"/>
      <c r="N677" s="286"/>
      <c r="O677" s="285"/>
      <c r="P677" s="285"/>
      <c r="Q677" s="285"/>
    </row>
    <row r="678" spans="1:17" ht="14.25">
      <c r="A678" s="275" t="s">
        <v>2873</v>
      </c>
      <c r="B678" s="275" t="s">
        <v>3972</v>
      </c>
      <c r="C678" s="275" t="s">
        <v>3215</v>
      </c>
      <c r="D678" s="275" t="s">
        <v>3056</v>
      </c>
      <c r="E678" s="275" t="s">
        <v>2802</v>
      </c>
      <c r="F678" s="278">
        <v>40322</v>
      </c>
      <c r="G678" s="275" t="s">
        <v>2803</v>
      </c>
      <c r="H678" s="276">
        <v>10.050000000000001</v>
      </c>
      <c r="I678" s="276">
        <v>46.06</v>
      </c>
      <c r="J678" s="276">
        <v>5.81</v>
      </c>
      <c r="K678" s="276">
        <f t="shared" si="10"/>
        <v>4.2400000000000011</v>
      </c>
      <c r="L678" s="335"/>
      <c r="N678" s="286"/>
      <c r="O678" s="285"/>
      <c r="P678" s="285"/>
      <c r="Q678" s="285"/>
    </row>
    <row r="679" spans="1:17" ht="14.25">
      <c r="A679" s="275" t="s">
        <v>2851</v>
      </c>
      <c r="B679" s="275" t="s">
        <v>3105</v>
      </c>
      <c r="C679" s="275" t="s">
        <v>3214</v>
      </c>
      <c r="D679" s="275" t="s">
        <v>3056</v>
      </c>
      <c r="E679" s="275" t="s">
        <v>2802</v>
      </c>
      <c r="F679" s="278">
        <v>40332</v>
      </c>
      <c r="G679" s="275" t="s">
        <v>2803</v>
      </c>
      <c r="H679" s="276">
        <v>11</v>
      </c>
      <c r="I679" s="276">
        <v>38.78</v>
      </c>
      <c r="J679" s="276">
        <v>5.81</v>
      </c>
      <c r="K679" s="276">
        <f t="shared" si="10"/>
        <v>5.19</v>
      </c>
      <c r="L679" s="335"/>
      <c r="N679" s="286"/>
      <c r="O679" s="285"/>
      <c r="P679" s="285"/>
      <c r="Q679" s="285"/>
    </row>
    <row r="680" spans="1:17" ht="14.25">
      <c r="A680" s="275" t="s">
        <v>3187</v>
      </c>
      <c r="B680" s="275" t="s">
        <v>4375</v>
      </c>
      <c r="C680" s="275" t="s">
        <v>3213</v>
      </c>
      <c r="D680" s="275" t="s">
        <v>3056</v>
      </c>
      <c r="E680" s="275" t="s">
        <v>2802</v>
      </c>
      <c r="F680" s="278">
        <v>40407</v>
      </c>
      <c r="G680" s="275" t="s">
        <v>2803</v>
      </c>
      <c r="H680" s="276">
        <v>10.1</v>
      </c>
      <c r="I680" s="276">
        <v>52</v>
      </c>
      <c r="J680" s="276">
        <v>5.26</v>
      </c>
      <c r="K680" s="276">
        <f t="shared" si="10"/>
        <v>4.84</v>
      </c>
      <c r="L680" s="335"/>
      <c r="N680" s="286"/>
      <c r="O680" s="285"/>
      <c r="P680" s="285"/>
      <c r="Q680" s="285"/>
    </row>
    <row r="681" spans="1:17" ht="14.25">
      <c r="A681" s="275" t="s">
        <v>2835</v>
      </c>
      <c r="B681" s="275" t="s">
        <v>3212</v>
      </c>
      <c r="C681" s="275" t="s">
        <v>3211</v>
      </c>
      <c r="D681" s="275" t="s">
        <v>3056</v>
      </c>
      <c r="E681" s="275" t="s">
        <v>2802</v>
      </c>
      <c r="F681" s="278">
        <v>40472</v>
      </c>
      <c r="G681" s="275" t="s">
        <v>2803</v>
      </c>
      <c r="H681" s="276">
        <v>10.4</v>
      </c>
      <c r="I681" s="276">
        <v>44.49</v>
      </c>
      <c r="J681" s="276">
        <v>5.01</v>
      </c>
      <c r="K681" s="276">
        <f t="shared" si="10"/>
        <v>5.3900000000000006</v>
      </c>
      <c r="L681" s="335"/>
      <c r="N681" s="286"/>
      <c r="O681" s="285"/>
      <c r="P681" s="285"/>
      <c r="Q681" s="285"/>
    </row>
    <row r="682" spans="1:17" ht="14.25">
      <c r="A682" s="275" t="s">
        <v>2807</v>
      </c>
      <c r="B682" s="275" t="s">
        <v>3103</v>
      </c>
      <c r="C682" s="275" t="s">
        <v>3210</v>
      </c>
      <c r="D682" s="275" t="s">
        <v>3056</v>
      </c>
      <c r="E682" s="275" t="s">
        <v>2802</v>
      </c>
      <c r="F682" s="278">
        <v>40484</v>
      </c>
      <c r="G682" s="275" t="s">
        <v>2803</v>
      </c>
      <c r="H682" s="276">
        <v>9.75</v>
      </c>
      <c r="I682" s="276">
        <v>50</v>
      </c>
      <c r="J682" s="276">
        <v>5.01</v>
      </c>
      <c r="K682" s="276">
        <f t="shared" si="10"/>
        <v>4.74</v>
      </c>
      <c r="L682" s="335"/>
      <c r="N682" s="286"/>
      <c r="O682" s="285"/>
      <c r="P682" s="285"/>
      <c r="Q682" s="285"/>
    </row>
    <row r="683" spans="1:17" ht="14.25">
      <c r="A683" s="275" t="s">
        <v>2807</v>
      </c>
      <c r="B683" s="275" t="s">
        <v>3101</v>
      </c>
      <c r="C683" s="275" t="s">
        <v>3209</v>
      </c>
      <c r="D683" s="275" t="s">
        <v>3056</v>
      </c>
      <c r="E683" s="275" t="s">
        <v>2802</v>
      </c>
      <c r="F683" s="278">
        <v>40484</v>
      </c>
      <c r="G683" s="275" t="s">
        <v>2803</v>
      </c>
      <c r="H683" s="276">
        <v>9.75</v>
      </c>
      <c r="I683" s="276">
        <v>50</v>
      </c>
      <c r="J683" s="276">
        <v>5.01</v>
      </c>
      <c r="K683" s="276">
        <f t="shared" si="10"/>
        <v>4.74</v>
      </c>
      <c r="L683" s="335"/>
      <c r="N683" s="286"/>
      <c r="O683" s="285"/>
      <c r="P683" s="285"/>
      <c r="Q683" s="285"/>
    </row>
    <row r="684" spans="1:17" ht="14.25">
      <c r="A684" s="275" t="s">
        <v>2806</v>
      </c>
      <c r="B684" s="275" t="s">
        <v>3081</v>
      </c>
      <c r="C684" s="275" t="s">
        <v>3208</v>
      </c>
      <c r="D684" s="275" t="s">
        <v>3056</v>
      </c>
      <c r="E684" s="275" t="s">
        <v>2802</v>
      </c>
      <c r="F684" s="278">
        <v>40485</v>
      </c>
      <c r="G684" s="275" t="s">
        <v>2803</v>
      </c>
      <c r="H684" s="276">
        <v>10.75</v>
      </c>
      <c r="I684" s="276">
        <v>51</v>
      </c>
      <c r="J684" s="276">
        <v>5.01</v>
      </c>
      <c r="K684" s="276">
        <f t="shared" si="10"/>
        <v>5.74</v>
      </c>
      <c r="L684" s="335"/>
      <c r="N684" s="286"/>
      <c r="O684" s="285"/>
      <c r="P684" s="285"/>
      <c r="Q684" s="285"/>
    </row>
    <row r="685" spans="1:17" ht="14.25">
      <c r="A685" s="275" t="s">
        <v>2857</v>
      </c>
      <c r="B685" s="275" t="s">
        <v>4023</v>
      </c>
      <c r="C685" s="275" t="s">
        <v>3206</v>
      </c>
      <c r="D685" s="275" t="s">
        <v>3056</v>
      </c>
      <c r="E685" s="275" t="s">
        <v>2802</v>
      </c>
      <c r="F685" s="278">
        <v>40518</v>
      </c>
      <c r="G685" s="275" t="s">
        <v>2803</v>
      </c>
      <c r="H685" s="276">
        <v>10.09</v>
      </c>
      <c r="I685" s="276">
        <v>52.46</v>
      </c>
      <c r="J685" s="276">
        <v>5.0999999999999996</v>
      </c>
      <c r="K685" s="276">
        <f t="shared" si="10"/>
        <v>4.99</v>
      </c>
      <c r="L685" s="335"/>
      <c r="N685" s="286"/>
      <c r="O685" s="285"/>
      <c r="P685" s="285"/>
      <c r="Q685" s="285"/>
    </row>
    <row r="686" spans="1:17" ht="14.25">
      <c r="A686" s="275" t="s">
        <v>2805</v>
      </c>
      <c r="B686" s="275" t="s">
        <v>2829</v>
      </c>
      <c r="C686" s="275" t="s">
        <v>3207</v>
      </c>
      <c r="D686" s="275" t="s">
        <v>3056</v>
      </c>
      <c r="E686" s="275" t="s">
        <v>2802</v>
      </c>
      <c r="F686" s="278">
        <v>40518</v>
      </c>
      <c r="G686" s="275" t="s">
        <v>2803</v>
      </c>
      <c r="H686" s="276">
        <v>9.56</v>
      </c>
      <c r="I686" s="276">
        <v>51.93</v>
      </c>
      <c r="J686" s="276">
        <v>5.0999999999999996</v>
      </c>
      <c r="K686" s="276">
        <f t="shared" si="10"/>
        <v>4.4600000000000009</v>
      </c>
      <c r="L686" s="335"/>
      <c r="N686" s="286"/>
      <c r="O686" s="285"/>
      <c r="P686" s="285"/>
      <c r="Q686" s="285"/>
    </row>
    <row r="687" spans="1:17" ht="14.25">
      <c r="A687" s="275" t="s">
        <v>2881</v>
      </c>
      <c r="B687" s="275" t="s">
        <v>3126</v>
      </c>
      <c r="C687" s="275" t="s">
        <v>3205</v>
      </c>
      <c r="D687" s="275" t="s">
        <v>3056</v>
      </c>
      <c r="E687" s="275" t="s">
        <v>2802</v>
      </c>
      <c r="F687" s="278">
        <v>40526</v>
      </c>
      <c r="G687" s="275" t="s">
        <v>2803</v>
      </c>
      <c r="H687" s="276">
        <v>10.33</v>
      </c>
      <c r="I687" s="276">
        <v>59.24</v>
      </c>
      <c r="J687" s="276">
        <v>5.0999999999999996</v>
      </c>
      <c r="K687" s="276">
        <f t="shared" si="10"/>
        <v>5.23</v>
      </c>
      <c r="L687" s="335"/>
      <c r="N687" s="286"/>
      <c r="O687" s="285"/>
      <c r="P687" s="285"/>
      <c r="Q687" s="285"/>
    </row>
    <row r="688" spans="1:17" ht="14.25">
      <c r="A688" s="275" t="s">
        <v>2837</v>
      </c>
      <c r="B688" s="275" t="s">
        <v>2839</v>
      </c>
      <c r="C688" s="275" t="s">
        <v>3204</v>
      </c>
      <c r="D688" s="275" t="s">
        <v>3056</v>
      </c>
      <c r="E688" s="275" t="s">
        <v>2802</v>
      </c>
      <c r="F688" s="278">
        <v>40532</v>
      </c>
      <c r="G688" s="275" t="s">
        <v>2803</v>
      </c>
      <c r="H688" s="276">
        <v>10.1</v>
      </c>
      <c r="I688" s="276">
        <v>44.11</v>
      </c>
      <c r="J688" s="276">
        <v>5.37</v>
      </c>
      <c r="K688" s="276">
        <f t="shared" si="10"/>
        <v>4.7299999999999995</v>
      </c>
      <c r="L688" s="335"/>
      <c r="N688" s="286"/>
      <c r="O688" s="285"/>
      <c r="P688" s="285"/>
      <c r="Q688" s="285"/>
    </row>
    <row r="689" spans="1:17" ht="14.25">
      <c r="A689" s="275" t="s">
        <v>2883</v>
      </c>
      <c r="B689" s="275" t="s">
        <v>3186</v>
      </c>
      <c r="C689" s="275" t="s">
        <v>3203</v>
      </c>
      <c r="D689" s="275" t="s">
        <v>3056</v>
      </c>
      <c r="E689" s="275" t="s">
        <v>2802</v>
      </c>
      <c r="F689" s="278">
        <v>40535</v>
      </c>
      <c r="G689" s="275" t="s">
        <v>2803</v>
      </c>
      <c r="H689" s="276">
        <v>9.92</v>
      </c>
      <c r="I689" s="276">
        <v>50.34</v>
      </c>
      <c r="J689" s="276">
        <v>5.37</v>
      </c>
      <c r="K689" s="276">
        <f t="shared" si="10"/>
        <v>4.55</v>
      </c>
      <c r="L689" s="335"/>
      <c r="N689" s="286"/>
      <c r="O689" s="285"/>
      <c r="P689" s="285"/>
      <c r="Q689" s="285"/>
    </row>
    <row r="690" spans="1:17" ht="14.25">
      <c r="A690" s="275" t="s">
        <v>2809</v>
      </c>
      <c r="B690" s="275" t="s">
        <v>2810</v>
      </c>
      <c r="C690" s="275" t="s">
        <v>3202</v>
      </c>
      <c r="D690" s="275" t="s">
        <v>3056</v>
      </c>
      <c r="E690" s="275" t="s">
        <v>2802</v>
      </c>
      <c r="F690" s="278">
        <v>40555</v>
      </c>
      <c r="G690" s="275" t="s">
        <v>2803</v>
      </c>
      <c r="H690" s="276">
        <v>10.3</v>
      </c>
      <c r="I690" s="276">
        <v>58.06</v>
      </c>
      <c r="J690" s="276">
        <v>5.37</v>
      </c>
      <c r="K690" s="276">
        <f t="shared" si="10"/>
        <v>4.9300000000000006</v>
      </c>
      <c r="L690" s="335"/>
      <c r="N690" s="286"/>
      <c r="O690" s="285"/>
      <c r="P690" s="285"/>
      <c r="Q690" s="285"/>
    </row>
    <row r="691" spans="1:17" ht="14.25">
      <c r="A691" s="275" t="s">
        <v>2809</v>
      </c>
      <c r="B691" s="275" t="s">
        <v>2853</v>
      </c>
      <c r="C691" s="275" t="s">
        <v>3201</v>
      </c>
      <c r="D691" s="275" t="s">
        <v>3056</v>
      </c>
      <c r="E691" s="275" t="s">
        <v>2802</v>
      </c>
      <c r="F691" s="278">
        <v>40556</v>
      </c>
      <c r="G691" s="275" t="s">
        <v>2803</v>
      </c>
      <c r="H691" s="276">
        <v>10.3</v>
      </c>
      <c r="I691" s="276">
        <v>51.65</v>
      </c>
      <c r="J691" s="276">
        <v>5.37</v>
      </c>
      <c r="K691" s="276">
        <f t="shared" si="10"/>
        <v>4.9300000000000006</v>
      </c>
      <c r="L691" s="335"/>
      <c r="N691" s="286"/>
      <c r="O691" s="285"/>
      <c r="P691" s="285"/>
      <c r="Q691" s="285"/>
    </row>
    <row r="692" spans="1:17" ht="14.25">
      <c r="A692" s="275" t="s">
        <v>2807</v>
      </c>
      <c r="B692" s="275" t="s">
        <v>3200</v>
      </c>
      <c r="C692" s="275" t="s">
        <v>3199</v>
      </c>
      <c r="D692" s="275" t="s">
        <v>3056</v>
      </c>
      <c r="E692" s="275" t="s">
        <v>2802</v>
      </c>
      <c r="F692" s="278">
        <v>40633</v>
      </c>
      <c r="G692" s="275" t="s">
        <v>2803</v>
      </c>
      <c r="H692" s="276">
        <v>9.4499999999999993</v>
      </c>
      <c r="I692" s="276">
        <v>50.17</v>
      </c>
      <c r="J692" s="276">
        <v>5.68</v>
      </c>
      <c r="K692" s="276">
        <f t="shared" si="10"/>
        <v>3.7699999999999996</v>
      </c>
      <c r="L692" s="335"/>
      <c r="N692" s="286"/>
      <c r="O692" s="285"/>
      <c r="P692" s="285"/>
      <c r="Q692" s="285"/>
    </row>
    <row r="693" spans="1:17" ht="14.25">
      <c r="A693" s="275" t="s">
        <v>2830</v>
      </c>
      <c r="B693" s="275" t="s">
        <v>3198</v>
      </c>
      <c r="C693" s="275" t="s">
        <v>3197</v>
      </c>
      <c r="D693" s="275" t="s">
        <v>3056</v>
      </c>
      <c r="E693" s="275" t="s">
        <v>2802</v>
      </c>
      <c r="F693" s="278">
        <v>40723</v>
      </c>
      <c r="G693" s="275" t="s">
        <v>2803</v>
      </c>
      <c r="H693" s="276">
        <v>8.83</v>
      </c>
      <c r="I693" s="276">
        <v>52.2</v>
      </c>
      <c r="J693" s="276">
        <v>5.32</v>
      </c>
      <c r="K693" s="276">
        <f t="shared" si="10"/>
        <v>3.51</v>
      </c>
      <c r="L693" s="335"/>
      <c r="N693" s="286"/>
      <c r="O693" s="285"/>
      <c r="P693" s="285"/>
      <c r="Q693" s="285"/>
    </row>
    <row r="694" spans="1:17" ht="14.25">
      <c r="A694" s="275" t="s">
        <v>2807</v>
      </c>
      <c r="B694" s="275" t="s">
        <v>2884</v>
      </c>
      <c r="C694" s="275" t="s">
        <v>3196</v>
      </c>
      <c r="D694" s="275" t="s">
        <v>3056</v>
      </c>
      <c r="E694" s="275" t="s">
        <v>2802</v>
      </c>
      <c r="F694" s="278">
        <v>40756</v>
      </c>
      <c r="G694" s="275" t="s">
        <v>2803</v>
      </c>
      <c r="H694" s="276">
        <v>9.1999999999999993</v>
      </c>
      <c r="I694" s="276">
        <v>42.88</v>
      </c>
      <c r="J694" s="276">
        <v>5.26</v>
      </c>
      <c r="K694" s="276">
        <f t="shared" si="10"/>
        <v>3.9399999999999995</v>
      </c>
      <c r="L694" s="335"/>
      <c r="N694" s="286"/>
      <c r="O694" s="285"/>
      <c r="P694" s="285"/>
      <c r="Q694" s="285"/>
    </row>
    <row r="695" spans="1:17" ht="14.25">
      <c r="A695" s="275" t="s">
        <v>2805</v>
      </c>
      <c r="B695" s="275" t="s">
        <v>3079</v>
      </c>
      <c r="C695" s="275" t="s">
        <v>3195</v>
      </c>
      <c r="D695" s="275" t="s">
        <v>3056</v>
      </c>
      <c r="E695" s="275" t="s">
        <v>2802</v>
      </c>
      <c r="F695" s="278">
        <v>40861</v>
      </c>
      <c r="G695" s="275" t="s">
        <v>2803</v>
      </c>
      <c r="H695" s="276">
        <v>9.6</v>
      </c>
      <c r="I695" s="276">
        <v>57.88</v>
      </c>
      <c r="J695" s="276">
        <v>4.4800000000000004</v>
      </c>
      <c r="K695" s="276">
        <f t="shared" si="10"/>
        <v>5.1199999999999992</v>
      </c>
      <c r="L695" s="335"/>
      <c r="N695" s="286"/>
      <c r="O695" s="285"/>
      <c r="P695" s="285"/>
      <c r="Q695" s="285"/>
    </row>
    <row r="696" spans="1:17" ht="14.25">
      <c r="A696" s="275" t="s">
        <v>2809</v>
      </c>
      <c r="B696" s="275" t="s">
        <v>4023</v>
      </c>
      <c r="C696" s="275" t="s">
        <v>3194</v>
      </c>
      <c r="D696" s="275" t="s">
        <v>3056</v>
      </c>
      <c r="E696" s="275" t="s">
        <v>2802</v>
      </c>
      <c r="F696" s="278">
        <v>40899</v>
      </c>
      <c r="G696" s="275" t="s">
        <v>2803</v>
      </c>
      <c r="H696" s="276">
        <v>10.4</v>
      </c>
      <c r="I696" s="276">
        <v>52.59</v>
      </c>
      <c r="J696" s="276">
        <v>4.25</v>
      </c>
      <c r="K696" s="276">
        <f t="shared" si="10"/>
        <v>6.15</v>
      </c>
      <c r="L696" s="335"/>
      <c r="N696" s="286"/>
      <c r="O696" s="285"/>
      <c r="P696" s="285"/>
      <c r="Q696" s="285"/>
    </row>
    <row r="697" spans="1:17" ht="14.25">
      <c r="A697" s="275" t="s">
        <v>2801</v>
      </c>
      <c r="B697" s="275" t="s">
        <v>3139</v>
      </c>
      <c r="C697" s="275" t="s">
        <v>3192</v>
      </c>
      <c r="D697" s="275" t="s">
        <v>3056</v>
      </c>
      <c r="E697" s="275" t="s">
        <v>2802</v>
      </c>
      <c r="F697" s="278">
        <v>40918</v>
      </c>
      <c r="G697" s="275" t="s">
        <v>2803</v>
      </c>
      <c r="H697" s="276">
        <v>9.4499999999999993</v>
      </c>
      <c r="I697" s="276">
        <v>50</v>
      </c>
      <c r="J697" s="276">
        <v>4.25</v>
      </c>
      <c r="K697" s="276">
        <f t="shared" si="10"/>
        <v>5.1999999999999993</v>
      </c>
      <c r="L697" s="335"/>
      <c r="N697" s="286"/>
      <c r="O697" s="285"/>
      <c r="P697" s="285"/>
      <c r="Q697" s="285"/>
    </row>
    <row r="698" spans="1:17" ht="14.25">
      <c r="A698" s="275" t="s">
        <v>2801</v>
      </c>
      <c r="B698" s="275" t="s">
        <v>4021</v>
      </c>
      <c r="C698" s="275" t="s">
        <v>3191</v>
      </c>
      <c r="D698" s="275" t="s">
        <v>3056</v>
      </c>
      <c r="E698" s="275" t="s">
        <v>2802</v>
      </c>
      <c r="F698" s="278">
        <v>40918</v>
      </c>
      <c r="G698" s="275" t="s">
        <v>2803</v>
      </c>
      <c r="H698" s="276">
        <v>9.4499999999999993</v>
      </c>
      <c r="I698" s="276">
        <v>49</v>
      </c>
      <c r="J698" s="276">
        <v>4.25</v>
      </c>
      <c r="K698" s="276">
        <f t="shared" si="10"/>
        <v>5.1999999999999993</v>
      </c>
      <c r="L698" s="335"/>
      <c r="N698" s="286"/>
      <c r="O698" s="285"/>
      <c r="P698" s="285"/>
      <c r="Q698" s="285"/>
    </row>
    <row r="699" spans="1:17" ht="14.25">
      <c r="A699" s="275" t="s">
        <v>2801</v>
      </c>
      <c r="B699" s="275" t="s">
        <v>2849</v>
      </c>
      <c r="C699" s="275" t="s">
        <v>3193</v>
      </c>
      <c r="D699" s="275" t="s">
        <v>3056</v>
      </c>
      <c r="E699" s="275" t="s">
        <v>2802</v>
      </c>
      <c r="F699" s="278">
        <v>40918</v>
      </c>
      <c r="G699" s="275" t="s">
        <v>2803</v>
      </c>
      <c r="H699" s="276">
        <v>9.06</v>
      </c>
      <c r="I699" s="276">
        <v>53.27</v>
      </c>
      <c r="J699" s="276">
        <v>4.25</v>
      </c>
      <c r="K699" s="276">
        <f t="shared" si="10"/>
        <v>4.8100000000000005</v>
      </c>
      <c r="L699" s="335"/>
      <c r="N699" s="286"/>
      <c r="O699" s="285"/>
      <c r="P699" s="285"/>
      <c r="Q699" s="285"/>
    </row>
    <row r="700" spans="1:17" ht="14.25">
      <c r="A700" s="275" t="s">
        <v>2824</v>
      </c>
      <c r="B700" s="275" t="s">
        <v>3190</v>
      </c>
      <c r="C700" s="275" t="s">
        <v>3189</v>
      </c>
      <c r="D700" s="275" t="s">
        <v>3056</v>
      </c>
      <c r="E700" s="275" t="s">
        <v>2802</v>
      </c>
      <c r="F700" s="278">
        <v>41023</v>
      </c>
      <c r="G700" s="275" t="s">
        <v>2803</v>
      </c>
      <c r="H700" s="276">
        <v>9.75</v>
      </c>
      <c r="I700" s="276">
        <v>50.82</v>
      </c>
      <c r="J700" s="276">
        <v>4.4800000000000004</v>
      </c>
      <c r="K700" s="276">
        <f t="shared" si="10"/>
        <v>5.27</v>
      </c>
      <c r="L700" s="335"/>
      <c r="N700" s="286"/>
      <c r="O700" s="285"/>
      <c r="P700" s="285"/>
      <c r="Q700" s="285"/>
    </row>
    <row r="701" spans="1:17" ht="14.25">
      <c r="A701" s="275" t="s">
        <v>2842</v>
      </c>
      <c r="B701" s="275" t="s">
        <v>2843</v>
      </c>
      <c r="C701" s="275" t="s">
        <v>3188</v>
      </c>
      <c r="D701" s="275" t="s">
        <v>3056</v>
      </c>
      <c r="E701" s="275" t="s">
        <v>2802</v>
      </c>
      <c r="F701" s="278">
        <v>41036</v>
      </c>
      <c r="G701" s="275" t="s">
        <v>2803</v>
      </c>
      <c r="H701" s="276">
        <v>9.8000000000000007</v>
      </c>
      <c r="I701" s="276">
        <v>48</v>
      </c>
      <c r="J701" s="276">
        <v>4.4800000000000004</v>
      </c>
      <c r="K701" s="276">
        <f t="shared" si="10"/>
        <v>5.32</v>
      </c>
      <c r="L701" s="335"/>
      <c r="N701" s="284"/>
      <c r="O701" s="283"/>
      <c r="P701" s="283"/>
      <c r="Q701" s="283"/>
    </row>
    <row r="702" spans="1:17" ht="14.25">
      <c r="A702" s="275" t="s">
        <v>3187</v>
      </c>
      <c r="B702" s="275" t="s">
        <v>3186</v>
      </c>
      <c r="C702" s="275" t="s">
        <v>3185</v>
      </c>
      <c r="D702" s="275" t="s">
        <v>3056</v>
      </c>
      <c r="E702" s="275" t="s">
        <v>2802</v>
      </c>
      <c r="F702" s="278">
        <v>41051</v>
      </c>
      <c r="G702" s="275" t="s">
        <v>2803</v>
      </c>
      <c r="H702" s="276">
        <v>9.6</v>
      </c>
      <c r="I702" s="276">
        <v>51.16</v>
      </c>
      <c r="J702" s="276">
        <v>4.4000000000000004</v>
      </c>
      <c r="K702" s="276">
        <f t="shared" si="10"/>
        <v>5.1999999999999993</v>
      </c>
      <c r="L702" s="335"/>
      <c r="N702" s="284"/>
      <c r="O702" s="283"/>
      <c r="P702" s="283"/>
      <c r="Q702" s="283"/>
    </row>
    <row r="703" spans="1:17" ht="14.25">
      <c r="A703" s="275" t="s">
        <v>2857</v>
      </c>
      <c r="B703" s="275" t="s">
        <v>3099</v>
      </c>
      <c r="C703" s="275" t="s">
        <v>3184</v>
      </c>
      <c r="D703" s="275" t="s">
        <v>3056</v>
      </c>
      <c r="E703" s="275" t="s">
        <v>2802</v>
      </c>
      <c r="F703" s="278">
        <v>41053</v>
      </c>
      <c r="G703" s="275" t="s">
        <v>2803</v>
      </c>
      <c r="H703" s="276">
        <v>9.6999999999999993</v>
      </c>
      <c r="I703" s="276">
        <v>50.48</v>
      </c>
      <c r="J703" s="276">
        <v>4.4000000000000004</v>
      </c>
      <c r="K703" s="276">
        <f t="shared" si="10"/>
        <v>5.2999999999999989</v>
      </c>
      <c r="L703" s="335"/>
      <c r="N703" s="284"/>
      <c r="O703" s="283"/>
      <c r="P703" s="283"/>
      <c r="Q703" s="283"/>
    </row>
    <row r="704" spans="1:17" ht="14.25">
      <c r="A704" s="275" t="s">
        <v>2809</v>
      </c>
      <c r="B704" s="275" t="s">
        <v>2854</v>
      </c>
      <c r="C704" s="275" t="s">
        <v>3183</v>
      </c>
      <c r="D704" s="275" t="s">
        <v>3056</v>
      </c>
      <c r="E704" s="275" t="s">
        <v>2802</v>
      </c>
      <c r="F704" s="278">
        <v>41075</v>
      </c>
      <c r="G704" s="275" t="s">
        <v>2803</v>
      </c>
      <c r="H704" s="276">
        <v>10.4</v>
      </c>
      <c r="I704" s="276">
        <v>49.31</v>
      </c>
      <c r="J704" s="276">
        <v>4.2</v>
      </c>
      <c r="K704" s="276">
        <f t="shared" si="10"/>
        <v>6.2</v>
      </c>
      <c r="L704" s="335"/>
      <c r="N704" s="284"/>
      <c r="O704" s="283"/>
      <c r="P704" s="283"/>
      <c r="Q704" s="283"/>
    </row>
    <row r="705" spans="1:17" ht="14.25">
      <c r="A705" s="275" t="s">
        <v>2880</v>
      </c>
      <c r="B705" s="275" t="s">
        <v>3182</v>
      </c>
      <c r="C705" s="275" t="s">
        <v>3181</v>
      </c>
      <c r="D705" s="275" t="s">
        <v>3056</v>
      </c>
      <c r="E705" s="275" t="s">
        <v>2802</v>
      </c>
      <c r="F705" s="278">
        <v>41208</v>
      </c>
      <c r="G705" s="275" t="s">
        <v>2803</v>
      </c>
      <c r="H705" s="276">
        <v>9.5</v>
      </c>
      <c r="I705" s="276">
        <v>50</v>
      </c>
      <c r="J705" s="276">
        <v>4.0199999999999996</v>
      </c>
      <c r="K705" s="276">
        <f t="shared" si="10"/>
        <v>5.48</v>
      </c>
      <c r="L705" s="335"/>
      <c r="N705" s="284"/>
      <c r="O705" s="283"/>
      <c r="P705" s="283"/>
      <c r="Q705" s="283"/>
    </row>
    <row r="706" spans="1:17" ht="14.25">
      <c r="A706" s="275" t="s">
        <v>2837</v>
      </c>
      <c r="B706" s="275" t="s">
        <v>3094</v>
      </c>
      <c r="C706" s="275" t="s">
        <v>3178</v>
      </c>
      <c r="D706" s="275" t="s">
        <v>3056</v>
      </c>
      <c r="E706" s="275" t="s">
        <v>2802</v>
      </c>
      <c r="F706" s="278">
        <v>41213</v>
      </c>
      <c r="G706" s="275" t="s">
        <v>2803</v>
      </c>
      <c r="H706" s="276">
        <v>10</v>
      </c>
      <c r="I706" s="276">
        <v>42.74</v>
      </c>
      <c r="J706" s="276">
        <v>4.0199999999999996</v>
      </c>
      <c r="K706" s="276">
        <f t="shared" si="10"/>
        <v>5.98</v>
      </c>
      <c r="L706" s="335"/>
      <c r="N706" s="284"/>
      <c r="O706" s="283"/>
      <c r="P706" s="283"/>
      <c r="Q706" s="283"/>
    </row>
    <row r="707" spans="1:17" ht="14.25">
      <c r="A707" s="275" t="s">
        <v>2831</v>
      </c>
      <c r="B707" s="275" t="s">
        <v>4016</v>
      </c>
      <c r="C707" s="275" t="s">
        <v>3179</v>
      </c>
      <c r="D707" s="275" t="s">
        <v>3056</v>
      </c>
      <c r="E707" s="275" t="s">
        <v>2802</v>
      </c>
      <c r="F707" s="278">
        <v>41213</v>
      </c>
      <c r="G707" s="275" t="s">
        <v>2803</v>
      </c>
      <c r="H707" s="276">
        <v>9.9</v>
      </c>
      <c r="I707" s="276">
        <v>48.03</v>
      </c>
      <c r="J707" s="276">
        <v>4.0199999999999996</v>
      </c>
      <c r="K707" s="276">
        <f t="shared" si="10"/>
        <v>5.8800000000000008</v>
      </c>
      <c r="L707" s="335"/>
      <c r="N707" s="284"/>
      <c r="O707" s="283"/>
      <c r="P707" s="283"/>
      <c r="Q707" s="283"/>
    </row>
    <row r="708" spans="1:17" ht="14.25">
      <c r="A708" s="275" t="s">
        <v>2837</v>
      </c>
      <c r="B708" s="275" t="s">
        <v>3094</v>
      </c>
      <c r="C708" s="275" t="s">
        <v>3180</v>
      </c>
      <c r="D708" s="275" t="s">
        <v>3056</v>
      </c>
      <c r="E708" s="275" t="s">
        <v>2802</v>
      </c>
      <c r="F708" s="278">
        <v>41213</v>
      </c>
      <c r="G708" s="275" t="s">
        <v>2803</v>
      </c>
      <c r="H708" s="276">
        <v>9.3000000000000007</v>
      </c>
      <c r="I708" s="276">
        <v>59.06</v>
      </c>
      <c r="J708" s="276">
        <v>4.0199999999999996</v>
      </c>
      <c r="K708" s="276">
        <f t="shared" si="10"/>
        <v>5.2800000000000011</v>
      </c>
      <c r="L708" s="335"/>
      <c r="N708" s="284"/>
      <c r="O708" s="283"/>
      <c r="P708" s="283"/>
      <c r="Q708" s="283"/>
    </row>
    <row r="709" spans="1:17" ht="14.25">
      <c r="A709" s="275" t="s">
        <v>2807</v>
      </c>
      <c r="B709" s="275" t="s">
        <v>4026</v>
      </c>
      <c r="C709" s="275" t="s">
        <v>3177</v>
      </c>
      <c r="D709" s="275" t="s">
        <v>3056</v>
      </c>
      <c r="E709" s="275" t="s">
        <v>2802</v>
      </c>
      <c r="F709" s="278">
        <v>41214</v>
      </c>
      <c r="G709" s="275" t="s">
        <v>2803</v>
      </c>
      <c r="H709" s="276">
        <v>9.4499999999999993</v>
      </c>
      <c r="I709" s="276">
        <v>53.7</v>
      </c>
      <c r="J709" s="276">
        <v>4.0199999999999996</v>
      </c>
      <c r="K709" s="276">
        <f t="shared" si="10"/>
        <v>5.43</v>
      </c>
      <c r="L709" s="335"/>
      <c r="N709" s="284"/>
      <c r="O709" s="283"/>
      <c r="P709" s="283"/>
      <c r="Q709" s="283"/>
    </row>
    <row r="710" spans="1:17" ht="14.25">
      <c r="A710" s="275" t="s">
        <v>2809</v>
      </c>
      <c r="B710" s="275" t="s">
        <v>2810</v>
      </c>
      <c r="C710" s="275" t="s">
        <v>3176</v>
      </c>
      <c r="D710" s="275" t="s">
        <v>3056</v>
      </c>
      <c r="E710" s="275" t="s">
        <v>2802</v>
      </c>
      <c r="F710" s="278">
        <v>41222</v>
      </c>
      <c r="G710" s="275" t="s">
        <v>2803</v>
      </c>
      <c r="H710" s="276">
        <v>10.3</v>
      </c>
      <c r="I710" s="276">
        <v>59.09</v>
      </c>
      <c r="J710" s="276">
        <v>4.0199999999999996</v>
      </c>
      <c r="K710" s="276">
        <f t="shared" ref="K710:K773" si="11">H710-J710</f>
        <v>6.2800000000000011</v>
      </c>
      <c r="L710" s="335"/>
      <c r="N710" s="284"/>
      <c r="O710" s="283"/>
      <c r="P710" s="283"/>
      <c r="Q710" s="283"/>
    </row>
    <row r="711" spans="1:17" ht="14.25">
      <c r="A711" s="275" t="s">
        <v>2809</v>
      </c>
      <c r="B711" s="275" t="s">
        <v>3142</v>
      </c>
      <c r="C711" s="275" t="s">
        <v>3174</v>
      </c>
      <c r="D711" s="275" t="s">
        <v>3056</v>
      </c>
      <c r="E711" s="275" t="s">
        <v>2802</v>
      </c>
      <c r="F711" s="278">
        <v>41241</v>
      </c>
      <c r="G711" s="275" t="s">
        <v>2803</v>
      </c>
      <c r="H711" s="276">
        <v>10.5</v>
      </c>
      <c r="I711" s="276">
        <v>46.75</v>
      </c>
      <c r="J711" s="276">
        <v>3.91</v>
      </c>
      <c r="K711" s="276">
        <f t="shared" si="11"/>
        <v>6.59</v>
      </c>
      <c r="L711" s="335"/>
      <c r="N711" s="284"/>
      <c r="O711" s="283"/>
      <c r="P711" s="283"/>
      <c r="Q711" s="283"/>
    </row>
    <row r="712" spans="1:17" ht="14.25">
      <c r="A712" s="275" t="s">
        <v>2809</v>
      </c>
      <c r="B712" s="275" t="s">
        <v>2879</v>
      </c>
      <c r="C712" s="275" t="s">
        <v>3175</v>
      </c>
      <c r="D712" s="275" t="s">
        <v>3056</v>
      </c>
      <c r="E712" s="275" t="s">
        <v>2802</v>
      </c>
      <c r="F712" s="278">
        <v>41241</v>
      </c>
      <c r="G712" s="275" t="s">
        <v>2803</v>
      </c>
      <c r="H712" s="276">
        <v>10.4</v>
      </c>
      <c r="I712" s="276">
        <v>52.09</v>
      </c>
      <c r="J712" s="276">
        <v>3.91</v>
      </c>
      <c r="K712" s="276">
        <f t="shared" si="11"/>
        <v>6.49</v>
      </c>
      <c r="L712" s="335"/>
      <c r="N712" s="284"/>
      <c r="O712" s="283"/>
      <c r="P712" s="283"/>
      <c r="Q712" s="283"/>
    </row>
    <row r="713" spans="1:17" ht="14.25">
      <c r="A713" s="275" t="s">
        <v>2881</v>
      </c>
      <c r="B713" s="275" t="s">
        <v>3075</v>
      </c>
      <c r="C713" s="275" t="s">
        <v>3173</v>
      </c>
      <c r="D713" s="275" t="s">
        <v>3056</v>
      </c>
      <c r="E713" s="275" t="s">
        <v>2802</v>
      </c>
      <c r="F713" s="278">
        <v>41247</v>
      </c>
      <c r="G713" s="275" t="s">
        <v>2803</v>
      </c>
      <c r="H713" s="276">
        <v>10.5</v>
      </c>
      <c r="I713" s="276">
        <v>51.69</v>
      </c>
      <c r="J713" s="276">
        <v>3.91</v>
      </c>
      <c r="K713" s="276">
        <f t="shared" si="11"/>
        <v>6.59</v>
      </c>
      <c r="L713" s="335"/>
      <c r="N713" s="284"/>
      <c r="O713" s="283"/>
      <c r="P713" s="283"/>
      <c r="Q713" s="283"/>
    </row>
    <row r="714" spans="1:17" ht="14.25">
      <c r="A714" s="275" t="s">
        <v>2844</v>
      </c>
      <c r="B714" s="275" t="s">
        <v>2864</v>
      </c>
      <c r="C714" s="275" t="s">
        <v>3170</v>
      </c>
      <c r="D714" s="275" t="s">
        <v>3056</v>
      </c>
      <c r="E714" s="275" t="s">
        <v>2802</v>
      </c>
      <c r="F714" s="278">
        <v>41263</v>
      </c>
      <c r="G714" s="275" t="s">
        <v>2803</v>
      </c>
      <c r="H714" s="276">
        <v>10.4</v>
      </c>
      <c r="I714" s="276">
        <v>52</v>
      </c>
      <c r="J714" s="276">
        <v>3.84</v>
      </c>
      <c r="K714" s="276">
        <f t="shared" si="11"/>
        <v>6.5600000000000005</v>
      </c>
      <c r="L714" s="335"/>
      <c r="N714" s="284"/>
      <c r="O714" s="283"/>
      <c r="P714" s="283"/>
      <c r="Q714" s="283"/>
    </row>
    <row r="715" spans="1:17" ht="14.25">
      <c r="A715" s="275" t="s">
        <v>2844</v>
      </c>
      <c r="B715" s="275" t="s">
        <v>2848</v>
      </c>
      <c r="C715" s="275" t="s">
        <v>3171</v>
      </c>
      <c r="D715" s="275" t="s">
        <v>3056</v>
      </c>
      <c r="E715" s="275" t="s">
        <v>2802</v>
      </c>
      <c r="F715" s="278">
        <v>41263</v>
      </c>
      <c r="G715" s="275" t="s">
        <v>2803</v>
      </c>
      <c r="H715" s="276">
        <v>10.3</v>
      </c>
      <c r="I715" s="276">
        <v>52</v>
      </c>
      <c r="J715" s="276">
        <v>3.84</v>
      </c>
      <c r="K715" s="276">
        <f t="shared" si="11"/>
        <v>6.4600000000000009</v>
      </c>
      <c r="L715" s="335"/>
      <c r="N715" s="284"/>
      <c r="O715" s="283"/>
      <c r="P715" s="283"/>
      <c r="Q715" s="283"/>
    </row>
    <row r="716" spans="1:17" ht="14.25">
      <c r="A716" s="275" t="s">
        <v>2844</v>
      </c>
      <c r="B716" s="275" t="s">
        <v>3084</v>
      </c>
      <c r="C716" s="275" t="s">
        <v>3172</v>
      </c>
      <c r="D716" s="275" t="s">
        <v>3056</v>
      </c>
      <c r="E716" s="275" t="s">
        <v>2802</v>
      </c>
      <c r="F716" s="278">
        <v>41263</v>
      </c>
      <c r="G716" s="275" t="s">
        <v>2803</v>
      </c>
      <c r="H716" s="276">
        <v>10.1</v>
      </c>
      <c r="I716" s="276">
        <v>52</v>
      </c>
      <c r="J716" s="276">
        <v>3.84</v>
      </c>
      <c r="K716" s="276">
        <f t="shared" si="11"/>
        <v>6.26</v>
      </c>
      <c r="L716" s="335"/>
      <c r="N716" s="284"/>
      <c r="O716" s="283"/>
      <c r="P716" s="283"/>
      <c r="Q716" s="283"/>
    </row>
    <row r="717" spans="1:17" ht="14.25">
      <c r="A717" s="275" t="s">
        <v>2805</v>
      </c>
      <c r="B717" s="275" t="s">
        <v>2829</v>
      </c>
      <c r="C717" s="275" t="s">
        <v>3169</v>
      </c>
      <c r="D717" s="275" t="s">
        <v>3056</v>
      </c>
      <c r="E717" s="275" t="s">
        <v>2802</v>
      </c>
      <c r="F717" s="278">
        <v>41327</v>
      </c>
      <c r="G717" s="275" t="s">
        <v>2803</v>
      </c>
      <c r="H717" s="276">
        <v>9.6</v>
      </c>
      <c r="I717" s="276">
        <v>48.4</v>
      </c>
      <c r="J717" s="276">
        <v>4.1500000000000004</v>
      </c>
      <c r="K717" s="276">
        <f t="shared" si="11"/>
        <v>5.4499999999999993</v>
      </c>
      <c r="L717" s="335"/>
      <c r="N717" s="284"/>
      <c r="O717" s="283"/>
      <c r="P717" s="283"/>
      <c r="Q717" s="283"/>
    </row>
    <row r="718" spans="1:17" ht="14.25">
      <c r="A718" s="275" t="s">
        <v>2840</v>
      </c>
      <c r="B718" s="275" t="s">
        <v>3079</v>
      </c>
      <c r="C718" s="275" t="s">
        <v>3168</v>
      </c>
      <c r="D718" s="275" t="s">
        <v>3056</v>
      </c>
      <c r="E718" s="275" t="s">
        <v>2802</v>
      </c>
      <c r="F718" s="278">
        <v>41404</v>
      </c>
      <c r="G718" s="275" t="s">
        <v>2803</v>
      </c>
      <c r="H718" s="276">
        <v>9.25</v>
      </c>
      <c r="I718" s="276">
        <v>59.3</v>
      </c>
      <c r="J718" s="276">
        <v>4.2</v>
      </c>
      <c r="K718" s="276">
        <f t="shared" si="11"/>
        <v>5.05</v>
      </c>
      <c r="L718" s="335"/>
      <c r="N718" s="284"/>
      <c r="O718" s="283"/>
      <c r="P718" s="283"/>
      <c r="Q718" s="283"/>
    </row>
    <row r="719" spans="1:17" ht="14.25">
      <c r="A719" s="275" t="s">
        <v>2801</v>
      </c>
      <c r="B719" s="275" t="s">
        <v>3139</v>
      </c>
      <c r="C719" s="275" t="s">
        <v>3167</v>
      </c>
      <c r="D719" s="275" t="s">
        <v>3056</v>
      </c>
      <c r="E719" s="275" t="s">
        <v>2802</v>
      </c>
      <c r="F719" s="278">
        <v>41443</v>
      </c>
      <c r="G719" s="275" t="s">
        <v>2803</v>
      </c>
      <c r="H719" s="276">
        <v>9.2799999999999994</v>
      </c>
      <c r="I719" s="276">
        <v>50.32</v>
      </c>
      <c r="J719" s="276">
        <v>4.17</v>
      </c>
      <c r="K719" s="276">
        <f t="shared" si="11"/>
        <v>5.1099999999999994</v>
      </c>
      <c r="L719" s="335"/>
      <c r="N719" s="284"/>
      <c r="O719" s="283"/>
      <c r="P719" s="283"/>
      <c r="Q719" s="283"/>
    </row>
    <row r="720" spans="1:17" ht="14.25">
      <c r="A720" s="275" t="s">
        <v>2801</v>
      </c>
      <c r="B720" s="275" t="s">
        <v>4021</v>
      </c>
      <c r="C720" s="275" t="s">
        <v>3166</v>
      </c>
      <c r="D720" s="275" t="s">
        <v>3056</v>
      </c>
      <c r="E720" s="275" t="s">
        <v>2802</v>
      </c>
      <c r="F720" s="278">
        <v>41443</v>
      </c>
      <c r="G720" s="275" t="s">
        <v>2803</v>
      </c>
      <c r="H720" s="276">
        <v>9.2799999999999994</v>
      </c>
      <c r="I720" s="276">
        <v>50.43</v>
      </c>
      <c r="J720" s="276">
        <v>4.17</v>
      </c>
      <c r="K720" s="276">
        <f t="shared" si="11"/>
        <v>5.1099999999999994</v>
      </c>
      <c r="L720" s="335"/>
      <c r="N720" s="284"/>
      <c r="O720" s="283"/>
      <c r="P720" s="283"/>
      <c r="Q720" s="283"/>
    </row>
    <row r="721" spans="1:17" ht="14.25">
      <c r="A721" s="275" t="s">
        <v>2805</v>
      </c>
      <c r="B721" s="275" t="s">
        <v>3086</v>
      </c>
      <c r="C721" s="275" t="s">
        <v>3165</v>
      </c>
      <c r="D721" s="275" t="s">
        <v>3056</v>
      </c>
      <c r="E721" s="275" t="s">
        <v>2802</v>
      </c>
      <c r="F721" s="278">
        <v>41540</v>
      </c>
      <c r="G721" s="275" t="s">
        <v>2803</v>
      </c>
      <c r="H721" s="276">
        <v>9.6</v>
      </c>
      <c r="I721" s="276">
        <v>53.84</v>
      </c>
      <c r="J721" s="276">
        <v>4.7300000000000004</v>
      </c>
      <c r="K721" s="276">
        <f t="shared" si="11"/>
        <v>4.8699999999999992</v>
      </c>
      <c r="L721" s="335"/>
      <c r="N721" s="284"/>
      <c r="O721" s="283"/>
      <c r="P721" s="283"/>
      <c r="Q721" s="283"/>
    </row>
    <row r="722" spans="1:17" ht="14.25">
      <c r="A722" s="275" t="s">
        <v>2809</v>
      </c>
      <c r="B722" s="275" t="s">
        <v>2853</v>
      </c>
      <c r="C722" s="275" t="s">
        <v>3164</v>
      </c>
      <c r="D722" s="275" t="s">
        <v>3056</v>
      </c>
      <c r="E722" s="275" t="s">
        <v>2802</v>
      </c>
      <c r="F722" s="278">
        <v>41584</v>
      </c>
      <c r="G722" s="275" t="s">
        <v>2803</v>
      </c>
      <c r="H722" s="276">
        <v>10.199999999999999</v>
      </c>
      <c r="I722" s="276">
        <v>50.14</v>
      </c>
      <c r="J722" s="276">
        <v>4.8</v>
      </c>
      <c r="K722" s="276">
        <f t="shared" si="11"/>
        <v>5.3999999999999995</v>
      </c>
      <c r="L722" s="335"/>
      <c r="N722" s="284"/>
      <c r="O722" s="283"/>
      <c r="P722" s="283"/>
      <c r="Q722" s="283"/>
    </row>
    <row r="723" spans="1:17" ht="14.25">
      <c r="A723" s="275" t="s">
        <v>2805</v>
      </c>
      <c r="B723" s="275" t="s">
        <v>3079</v>
      </c>
      <c r="C723" s="275" t="s">
        <v>3163</v>
      </c>
      <c r="D723" s="275" t="s">
        <v>3056</v>
      </c>
      <c r="E723" s="275" t="s">
        <v>2802</v>
      </c>
      <c r="F723" s="278">
        <v>41600</v>
      </c>
      <c r="G723" s="275" t="s">
        <v>2803</v>
      </c>
      <c r="H723" s="276">
        <v>9.5</v>
      </c>
      <c r="I723" s="276">
        <v>53.02</v>
      </c>
      <c r="J723" s="276">
        <v>4.7</v>
      </c>
      <c r="K723" s="276">
        <f t="shared" si="11"/>
        <v>4.8</v>
      </c>
      <c r="L723" s="335"/>
      <c r="N723" s="284"/>
      <c r="O723" s="283"/>
      <c r="P723" s="283"/>
      <c r="Q723" s="283"/>
    </row>
    <row r="724" spans="1:17" ht="14.25">
      <c r="A724" s="275" t="s">
        <v>2809</v>
      </c>
      <c r="B724" s="275" t="s">
        <v>4023</v>
      </c>
      <c r="C724" s="275" t="s">
        <v>3162</v>
      </c>
      <c r="D724" s="275" t="s">
        <v>3056</v>
      </c>
      <c r="E724" s="275" t="s">
        <v>2802</v>
      </c>
      <c r="F724" s="278">
        <v>41613</v>
      </c>
      <c r="G724" s="275" t="s">
        <v>2803</v>
      </c>
      <c r="H724" s="276">
        <v>10.199999999999999</v>
      </c>
      <c r="I724" s="276">
        <v>52.54</v>
      </c>
      <c r="J724" s="276">
        <v>4.7</v>
      </c>
      <c r="K724" s="276">
        <f t="shared" si="11"/>
        <v>5.4999999999999991</v>
      </c>
      <c r="L724" s="335"/>
      <c r="N724" s="284"/>
      <c r="O724" s="283"/>
      <c r="P724" s="283"/>
      <c r="Q724" s="283"/>
    </row>
    <row r="725" spans="1:17" ht="14.25">
      <c r="A725" s="275" t="s">
        <v>2805</v>
      </c>
      <c r="B725" s="275" t="s">
        <v>2829</v>
      </c>
      <c r="C725" s="275" t="s">
        <v>3161</v>
      </c>
      <c r="D725" s="275" t="s">
        <v>3056</v>
      </c>
      <c r="E725" s="275" t="s">
        <v>2802</v>
      </c>
      <c r="F725" s="278">
        <v>41621</v>
      </c>
      <c r="G725" s="275" t="s">
        <v>2803</v>
      </c>
      <c r="H725" s="276">
        <v>9.6</v>
      </c>
      <c r="I725" s="276">
        <v>51.05</v>
      </c>
      <c r="J725" s="276">
        <v>4.7</v>
      </c>
      <c r="K725" s="276">
        <f t="shared" si="11"/>
        <v>4.8999999999999995</v>
      </c>
      <c r="L725" s="335"/>
      <c r="N725" s="284"/>
      <c r="O725" s="283"/>
      <c r="P725" s="283"/>
      <c r="Q725" s="283"/>
    </row>
    <row r="726" spans="1:17" ht="14.25">
      <c r="A726" s="275" t="s">
        <v>2837</v>
      </c>
      <c r="B726" s="275" t="s">
        <v>2839</v>
      </c>
      <c r="C726" s="275" t="s">
        <v>3160</v>
      </c>
      <c r="D726" s="275" t="s">
        <v>3056</v>
      </c>
      <c r="E726" s="275" t="s">
        <v>2802</v>
      </c>
      <c r="F726" s="278">
        <v>41624</v>
      </c>
      <c r="G726" s="275" t="s">
        <v>2803</v>
      </c>
      <c r="H726" s="276">
        <v>9.73</v>
      </c>
      <c r="I726" s="276">
        <v>46.94</v>
      </c>
      <c r="J726" s="276">
        <v>4.7699999999999996</v>
      </c>
      <c r="K726" s="276">
        <f t="shared" si="11"/>
        <v>4.9600000000000009</v>
      </c>
      <c r="L726" s="335"/>
      <c r="N726" s="284"/>
      <c r="O726" s="283"/>
      <c r="P726" s="283"/>
      <c r="Q726" s="283"/>
    </row>
    <row r="727" spans="1:17" ht="14.25">
      <c r="A727" s="275" t="s">
        <v>2801</v>
      </c>
      <c r="B727" s="275" t="s">
        <v>2849</v>
      </c>
      <c r="C727" s="275" t="s">
        <v>3159</v>
      </c>
      <c r="D727" s="275" t="s">
        <v>3056</v>
      </c>
      <c r="E727" s="275" t="s">
        <v>2802</v>
      </c>
      <c r="F727" s="278">
        <v>41626</v>
      </c>
      <c r="G727" s="275" t="s">
        <v>2803</v>
      </c>
      <c r="H727" s="276">
        <v>9.08</v>
      </c>
      <c r="I727" s="276">
        <v>51.68</v>
      </c>
      <c r="J727" s="276">
        <v>4.7699999999999996</v>
      </c>
      <c r="K727" s="276">
        <f t="shared" si="11"/>
        <v>4.3100000000000005</v>
      </c>
      <c r="L727" s="335"/>
      <c r="N727" s="284"/>
      <c r="O727" s="283"/>
      <c r="P727" s="283"/>
      <c r="Q727" s="283"/>
    </row>
    <row r="728" spans="1:17" ht="14.25">
      <c r="A728" s="275" t="s">
        <v>2822</v>
      </c>
      <c r="B728" s="275" t="s">
        <v>2823</v>
      </c>
      <c r="C728" s="275" t="s">
        <v>3158</v>
      </c>
      <c r="D728" s="275" t="s">
        <v>3056</v>
      </c>
      <c r="E728" s="275" t="s">
        <v>2802</v>
      </c>
      <c r="F728" s="278">
        <v>41631</v>
      </c>
      <c r="G728" s="275" t="s">
        <v>2803</v>
      </c>
      <c r="H728" s="276">
        <v>9.7200000000000006</v>
      </c>
      <c r="I728" s="276">
        <v>56.06</v>
      </c>
      <c r="J728" s="276">
        <v>4.7699999999999996</v>
      </c>
      <c r="K728" s="276">
        <f t="shared" si="11"/>
        <v>4.9500000000000011</v>
      </c>
      <c r="L728" s="335"/>
      <c r="N728" s="284"/>
      <c r="O728" s="283"/>
      <c r="P728" s="283"/>
      <c r="Q728" s="283"/>
    </row>
    <row r="729" spans="1:17" ht="14.25">
      <c r="A729" s="275" t="s">
        <v>2830</v>
      </c>
      <c r="B729" s="275" t="s">
        <v>3157</v>
      </c>
      <c r="C729" s="275" t="s">
        <v>3156</v>
      </c>
      <c r="D729" s="275" t="s">
        <v>3056</v>
      </c>
      <c r="E729" s="275" t="s">
        <v>2802</v>
      </c>
      <c r="F729" s="278">
        <v>41661</v>
      </c>
      <c r="G729" s="275" t="s">
        <v>2803</v>
      </c>
      <c r="H729" s="276">
        <v>9.18</v>
      </c>
      <c r="I729" s="276">
        <v>52.52</v>
      </c>
      <c r="J729" s="276">
        <v>4.8099999999999996</v>
      </c>
      <c r="K729" s="276">
        <f t="shared" si="11"/>
        <v>4.37</v>
      </c>
      <c r="L729" s="335"/>
      <c r="N729" s="284"/>
      <c r="O729" s="283"/>
      <c r="P729" s="283"/>
      <c r="Q729" s="283"/>
    </row>
    <row r="730" spans="1:17" ht="14.25">
      <c r="A730" s="275" t="s">
        <v>2821</v>
      </c>
      <c r="B730" s="275" t="s">
        <v>3073</v>
      </c>
      <c r="C730" s="275" t="s">
        <v>3155</v>
      </c>
      <c r="D730" s="275" t="s">
        <v>3056</v>
      </c>
      <c r="E730" s="275" t="s">
        <v>2802</v>
      </c>
      <c r="F730" s="278">
        <v>41691</v>
      </c>
      <c r="G730" s="275" t="s">
        <v>2803</v>
      </c>
      <c r="H730" s="276">
        <v>9.85</v>
      </c>
      <c r="I730" s="276">
        <v>52.07</v>
      </c>
      <c r="J730" s="276">
        <v>4.63</v>
      </c>
      <c r="K730" s="276">
        <f t="shared" si="11"/>
        <v>5.22</v>
      </c>
      <c r="L730" s="335"/>
      <c r="N730" s="284"/>
      <c r="O730" s="283"/>
      <c r="P730" s="283"/>
      <c r="Q730" s="283"/>
    </row>
    <row r="731" spans="1:17" ht="14.25">
      <c r="A731" s="275" t="s">
        <v>2807</v>
      </c>
      <c r="B731" s="275" t="s">
        <v>4026</v>
      </c>
      <c r="C731" s="275" t="s">
        <v>3154</v>
      </c>
      <c r="D731" s="275" t="s">
        <v>3056</v>
      </c>
      <c r="E731" s="275" t="s">
        <v>2802</v>
      </c>
      <c r="F731" s="278">
        <v>41698</v>
      </c>
      <c r="G731" s="275" t="s">
        <v>2803</v>
      </c>
      <c r="H731" s="276">
        <v>9.5500000000000007</v>
      </c>
      <c r="I731" s="276">
        <v>53.68</v>
      </c>
      <c r="J731" s="276">
        <v>4.63</v>
      </c>
      <c r="K731" s="276">
        <f t="shared" si="11"/>
        <v>4.9200000000000008</v>
      </c>
      <c r="L731" s="335"/>
      <c r="N731" s="284"/>
      <c r="O731" s="283"/>
      <c r="P731" s="283"/>
      <c r="Q731" s="283"/>
    </row>
    <row r="732" spans="1:17" ht="14.25">
      <c r="A732" s="275" t="s">
        <v>2835</v>
      </c>
      <c r="B732" s="275" t="s">
        <v>3075</v>
      </c>
      <c r="C732" s="275" t="s">
        <v>3153</v>
      </c>
      <c r="D732" s="275" t="s">
        <v>3056</v>
      </c>
      <c r="E732" s="275" t="s">
        <v>2802</v>
      </c>
      <c r="F732" s="278">
        <v>41751</v>
      </c>
      <c r="G732" s="275" t="s">
        <v>2803</v>
      </c>
      <c r="H732" s="276">
        <v>9.8000000000000007</v>
      </c>
      <c r="I732" s="276">
        <v>49.16</v>
      </c>
      <c r="J732" s="276">
        <v>4.51</v>
      </c>
      <c r="K732" s="276">
        <f t="shared" si="11"/>
        <v>5.2900000000000009</v>
      </c>
      <c r="L732" s="335"/>
      <c r="N732" s="284"/>
      <c r="O732" s="283"/>
      <c r="P732" s="283"/>
      <c r="Q732" s="283"/>
    </row>
    <row r="733" spans="1:17" ht="14.25">
      <c r="A733" s="275" t="s">
        <v>2857</v>
      </c>
      <c r="B733" s="275" t="s">
        <v>3129</v>
      </c>
      <c r="C733" s="275" t="s">
        <v>3152</v>
      </c>
      <c r="D733" s="275" t="s">
        <v>3056</v>
      </c>
      <c r="E733" s="275" t="s">
        <v>2802</v>
      </c>
      <c r="F733" s="278">
        <v>41767</v>
      </c>
      <c r="G733" s="275" t="s">
        <v>2803</v>
      </c>
      <c r="H733" s="276">
        <v>9.59</v>
      </c>
      <c r="I733" s="276">
        <v>52.6</v>
      </c>
      <c r="J733" s="276">
        <v>4.51</v>
      </c>
      <c r="K733" s="276">
        <f t="shared" si="11"/>
        <v>5.08</v>
      </c>
      <c r="L733" s="335"/>
      <c r="N733" s="284"/>
      <c r="O733" s="283"/>
      <c r="P733" s="283"/>
      <c r="Q733" s="283"/>
    </row>
    <row r="734" spans="1:17" ht="14.25">
      <c r="A734" s="275" t="s">
        <v>2809</v>
      </c>
      <c r="B734" s="275" t="s">
        <v>2854</v>
      </c>
      <c r="C734" s="275" t="s">
        <v>3151</v>
      </c>
      <c r="D734" s="275" t="s">
        <v>3056</v>
      </c>
      <c r="E734" s="275" t="s">
        <v>2802</v>
      </c>
      <c r="F734" s="278">
        <v>41796</v>
      </c>
      <c r="G734" s="275" t="s">
        <v>2803</v>
      </c>
      <c r="H734" s="276">
        <v>10.4</v>
      </c>
      <c r="I734" s="276">
        <v>50.46</v>
      </c>
      <c r="J734" s="276">
        <v>4.41</v>
      </c>
      <c r="K734" s="276">
        <f t="shared" si="11"/>
        <v>5.99</v>
      </c>
      <c r="L734" s="335"/>
      <c r="N734" s="284"/>
      <c r="O734" s="283"/>
      <c r="P734" s="283"/>
      <c r="Q734" s="283"/>
    </row>
    <row r="735" spans="1:17" ht="14.25">
      <c r="A735" s="275" t="s">
        <v>2844</v>
      </c>
      <c r="B735" s="275" t="s">
        <v>3094</v>
      </c>
      <c r="C735" s="275" t="s">
        <v>3150</v>
      </c>
      <c r="D735" s="275" t="s">
        <v>3056</v>
      </c>
      <c r="E735" s="275" t="s">
        <v>2802</v>
      </c>
      <c r="F735" s="278">
        <v>41802</v>
      </c>
      <c r="G735" s="275" t="s">
        <v>2803</v>
      </c>
      <c r="H735" s="276">
        <v>10.1</v>
      </c>
      <c r="I735" s="276">
        <v>55</v>
      </c>
      <c r="J735" s="276">
        <v>4.41</v>
      </c>
      <c r="K735" s="276">
        <f t="shared" si="11"/>
        <v>5.6899999999999995</v>
      </c>
      <c r="L735" s="335"/>
      <c r="N735" s="284"/>
      <c r="O735" s="283"/>
      <c r="P735" s="283"/>
      <c r="Q735" s="283"/>
    </row>
    <row r="736" spans="1:17" ht="14.25">
      <c r="A736" s="275" t="s">
        <v>2844</v>
      </c>
      <c r="B736" s="275" t="s">
        <v>3094</v>
      </c>
      <c r="C736" s="275" t="s">
        <v>3149</v>
      </c>
      <c r="D736" s="275" t="s">
        <v>3056</v>
      </c>
      <c r="E736" s="275" t="s">
        <v>2802</v>
      </c>
      <c r="F736" s="278">
        <v>41802</v>
      </c>
      <c r="G736" s="275" t="s">
        <v>2803</v>
      </c>
      <c r="H736" s="276">
        <v>10.1</v>
      </c>
      <c r="I736" s="276">
        <v>55</v>
      </c>
      <c r="J736" s="276">
        <v>4.41</v>
      </c>
      <c r="K736" s="276">
        <f t="shared" si="11"/>
        <v>5.6899999999999995</v>
      </c>
      <c r="L736" s="335"/>
      <c r="N736" s="284"/>
      <c r="O736" s="283"/>
      <c r="P736" s="283"/>
      <c r="Q736" s="283"/>
    </row>
    <row r="737" spans="1:17" ht="14.25">
      <c r="A737" s="275" t="s">
        <v>2844</v>
      </c>
      <c r="B737" s="275" t="s">
        <v>3094</v>
      </c>
      <c r="C737" s="275" t="s">
        <v>3148</v>
      </c>
      <c r="D737" s="275" t="s">
        <v>3056</v>
      </c>
      <c r="E737" s="275" t="s">
        <v>2802</v>
      </c>
      <c r="F737" s="278">
        <v>41802</v>
      </c>
      <c r="G737" s="275" t="s">
        <v>2803</v>
      </c>
      <c r="H737" s="276">
        <v>10.1</v>
      </c>
      <c r="I737" s="276">
        <v>55</v>
      </c>
      <c r="J737" s="276">
        <v>4.41</v>
      </c>
      <c r="K737" s="276">
        <f t="shared" si="11"/>
        <v>5.6899999999999995</v>
      </c>
      <c r="L737" s="335"/>
      <c r="N737" s="284"/>
      <c r="O737" s="283"/>
      <c r="P737" s="283"/>
      <c r="Q737" s="283"/>
    </row>
    <row r="738" spans="1:17" ht="14.25">
      <c r="A738" s="275" t="s">
        <v>2857</v>
      </c>
      <c r="B738" s="275" t="s">
        <v>3099</v>
      </c>
      <c r="C738" s="275" t="s">
        <v>3147</v>
      </c>
      <c r="D738" s="275" t="s">
        <v>3056</v>
      </c>
      <c r="E738" s="275" t="s">
        <v>2802</v>
      </c>
      <c r="F738" s="278">
        <v>41906</v>
      </c>
      <c r="G738" s="275" t="s">
        <v>2803</v>
      </c>
      <c r="H738" s="276">
        <v>9.35</v>
      </c>
      <c r="I738" s="276">
        <v>50.31</v>
      </c>
      <c r="J738" s="276">
        <v>4.13</v>
      </c>
      <c r="K738" s="276">
        <f t="shared" si="11"/>
        <v>5.22</v>
      </c>
      <c r="L738" s="335"/>
      <c r="N738" s="284"/>
      <c r="O738" s="283"/>
      <c r="P738" s="283"/>
      <c r="Q738" s="283"/>
    </row>
    <row r="739" spans="1:17" ht="14.25">
      <c r="A739" s="275" t="s">
        <v>2860</v>
      </c>
      <c r="B739" s="275" t="s">
        <v>3146</v>
      </c>
      <c r="C739" s="275" t="s">
        <v>3145</v>
      </c>
      <c r="D739" s="275" t="s">
        <v>3056</v>
      </c>
      <c r="E739" s="275" t="s">
        <v>2802</v>
      </c>
      <c r="F739" s="278">
        <v>41941</v>
      </c>
      <c r="G739" s="275" t="s">
        <v>2803</v>
      </c>
      <c r="H739" s="276">
        <v>10.8</v>
      </c>
      <c r="I739" s="276">
        <v>57</v>
      </c>
      <c r="J739" s="276">
        <v>4.24</v>
      </c>
      <c r="K739" s="276">
        <f t="shared" si="11"/>
        <v>6.5600000000000005</v>
      </c>
      <c r="L739" s="335"/>
      <c r="N739" s="284"/>
      <c r="O739" s="283"/>
      <c r="P739" s="283"/>
      <c r="Q739" s="283"/>
    </row>
    <row r="740" spans="1:17" ht="14.25">
      <c r="A740" s="275" t="s">
        <v>2809</v>
      </c>
      <c r="B740" s="275" t="s">
        <v>2853</v>
      </c>
      <c r="C740" s="275" t="s">
        <v>3144</v>
      </c>
      <c r="D740" s="275" t="s">
        <v>3056</v>
      </c>
      <c r="E740" s="275" t="s">
        <v>2802</v>
      </c>
      <c r="F740" s="278">
        <v>41949</v>
      </c>
      <c r="G740" s="275" t="s">
        <v>2803</v>
      </c>
      <c r="H740" s="276">
        <v>10.199999999999999</v>
      </c>
      <c r="I740" s="276">
        <v>50.28</v>
      </c>
      <c r="J740" s="276">
        <v>4.24</v>
      </c>
      <c r="K740" s="276">
        <f t="shared" si="11"/>
        <v>5.9599999999999991</v>
      </c>
      <c r="L740" s="335"/>
      <c r="N740" s="284"/>
      <c r="O740" s="283"/>
      <c r="P740" s="283"/>
      <c r="Q740" s="283"/>
    </row>
    <row r="741" spans="1:17" ht="14.25">
      <c r="A741" s="275" t="s">
        <v>2809</v>
      </c>
      <c r="B741" s="275" t="s">
        <v>3142</v>
      </c>
      <c r="C741" s="275" t="s">
        <v>3141</v>
      </c>
      <c r="D741" s="275" t="s">
        <v>3056</v>
      </c>
      <c r="E741" s="275" t="s">
        <v>2802</v>
      </c>
      <c r="F741" s="278">
        <v>41957</v>
      </c>
      <c r="G741" s="275" t="s">
        <v>2803</v>
      </c>
      <c r="H741" s="276">
        <v>10.3</v>
      </c>
      <c r="I741" s="276">
        <v>48.91</v>
      </c>
      <c r="J741" s="276">
        <v>4.24</v>
      </c>
      <c r="K741" s="276">
        <f t="shared" si="11"/>
        <v>6.0600000000000005</v>
      </c>
      <c r="L741" s="335"/>
      <c r="N741" s="284"/>
      <c r="O741" s="283"/>
      <c r="P741" s="283"/>
      <c r="Q741" s="283"/>
    </row>
    <row r="742" spans="1:17" ht="14.25">
      <c r="A742" s="275" t="s">
        <v>2809</v>
      </c>
      <c r="B742" s="275" t="s">
        <v>2879</v>
      </c>
      <c r="C742" s="275" t="s">
        <v>3143</v>
      </c>
      <c r="D742" s="275" t="s">
        <v>3056</v>
      </c>
      <c r="E742" s="275" t="s">
        <v>2802</v>
      </c>
      <c r="F742" s="278">
        <v>41957</v>
      </c>
      <c r="G742" s="275" t="s">
        <v>2803</v>
      </c>
      <c r="H742" s="276">
        <v>10.199999999999999</v>
      </c>
      <c r="I742" s="276">
        <v>51.9</v>
      </c>
      <c r="J742" s="276">
        <v>4.24</v>
      </c>
      <c r="K742" s="276">
        <f t="shared" si="11"/>
        <v>5.9599999999999991</v>
      </c>
      <c r="L742" s="335"/>
      <c r="N742" s="284"/>
      <c r="O742" s="283"/>
      <c r="P742" s="283"/>
      <c r="Q742" s="283"/>
    </row>
    <row r="743" spans="1:17" ht="14.25">
      <c r="A743" s="275" t="s">
        <v>2809</v>
      </c>
      <c r="B743" s="275" t="s">
        <v>2810</v>
      </c>
      <c r="C743" s="275" t="s">
        <v>3140</v>
      </c>
      <c r="D743" s="275" t="s">
        <v>3056</v>
      </c>
      <c r="E743" s="275" t="s">
        <v>2802</v>
      </c>
      <c r="F743" s="278">
        <v>41969</v>
      </c>
      <c r="G743" s="275" t="s">
        <v>2803</v>
      </c>
      <c r="H743" s="276">
        <v>10.199999999999999</v>
      </c>
      <c r="I743" s="276">
        <v>58.96</v>
      </c>
      <c r="J743" s="276">
        <v>4.0599999999999996</v>
      </c>
      <c r="K743" s="276">
        <f t="shared" si="11"/>
        <v>6.14</v>
      </c>
      <c r="L743" s="335"/>
      <c r="N743" s="284"/>
      <c r="O743" s="283"/>
      <c r="P743" s="283"/>
      <c r="Q743" s="283"/>
    </row>
    <row r="744" spans="1:17" ht="14.25">
      <c r="A744" s="275" t="s">
        <v>2801</v>
      </c>
      <c r="B744" s="275" t="s">
        <v>3139</v>
      </c>
      <c r="C744" s="275" t="s">
        <v>3138</v>
      </c>
      <c r="D744" s="275" t="s">
        <v>3056</v>
      </c>
      <c r="E744" s="275" t="s">
        <v>2802</v>
      </c>
      <c r="F744" s="278">
        <v>42025</v>
      </c>
      <c r="G744" s="275" t="s">
        <v>2803</v>
      </c>
      <c r="H744" s="276">
        <v>9.0500000000000007</v>
      </c>
      <c r="I744" s="276">
        <v>50.48</v>
      </c>
      <c r="J744" s="276">
        <v>3.95</v>
      </c>
      <c r="K744" s="276">
        <f t="shared" si="11"/>
        <v>5.1000000000000005</v>
      </c>
      <c r="L744" s="335"/>
      <c r="N744" s="284"/>
      <c r="O744" s="283"/>
      <c r="P744" s="283"/>
      <c r="Q744" s="283"/>
    </row>
    <row r="745" spans="1:17" ht="14.25">
      <c r="A745" s="275" t="s">
        <v>2801</v>
      </c>
      <c r="B745" s="275" t="s">
        <v>4021</v>
      </c>
      <c r="C745" s="275" t="s">
        <v>3137</v>
      </c>
      <c r="D745" s="275" t="s">
        <v>3056</v>
      </c>
      <c r="E745" s="275" t="s">
        <v>2802</v>
      </c>
      <c r="F745" s="278">
        <v>42025</v>
      </c>
      <c r="G745" s="275" t="s">
        <v>2803</v>
      </c>
      <c r="H745" s="276">
        <v>9.0500000000000007</v>
      </c>
      <c r="I745" s="276">
        <v>50.33</v>
      </c>
      <c r="J745" s="276">
        <v>3.95</v>
      </c>
      <c r="K745" s="276">
        <f t="shared" si="11"/>
        <v>5.1000000000000005</v>
      </c>
      <c r="L745" s="335"/>
      <c r="N745" s="284"/>
      <c r="O745" s="283"/>
      <c r="P745" s="283"/>
      <c r="Q745" s="283"/>
    </row>
    <row r="746" spans="1:17" ht="14.25">
      <c r="A746" s="275" t="s">
        <v>2807</v>
      </c>
      <c r="B746" s="275" t="s">
        <v>3136</v>
      </c>
      <c r="C746" s="275" t="s">
        <v>3135</v>
      </c>
      <c r="D746" s="275" t="s">
        <v>3056</v>
      </c>
      <c r="E746" s="275" t="s">
        <v>2802</v>
      </c>
      <c r="F746" s="278">
        <v>42307</v>
      </c>
      <c r="G746" s="275" t="s">
        <v>2803</v>
      </c>
      <c r="H746" s="276">
        <v>9.8000000000000007</v>
      </c>
      <c r="I746" s="276">
        <v>52.1</v>
      </c>
      <c r="J746" s="276">
        <v>4.3899999999999997</v>
      </c>
      <c r="K746" s="276">
        <f t="shared" si="11"/>
        <v>5.410000000000001</v>
      </c>
      <c r="L746" s="335"/>
      <c r="N746" s="284"/>
      <c r="O746" s="283"/>
      <c r="P746" s="283"/>
      <c r="Q746" s="283"/>
    </row>
    <row r="747" spans="1:17" ht="14.25">
      <c r="A747" s="275" t="s">
        <v>2809</v>
      </c>
      <c r="B747" s="275" t="s">
        <v>2853</v>
      </c>
      <c r="C747" s="275" t="s">
        <v>3134</v>
      </c>
      <c r="D747" s="275" t="s">
        <v>3056</v>
      </c>
      <c r="E747" s="275" t="s">
        <v>2802</v>
      </c>
      <c r="F747" s="278">
        <v>42327</v>
      </c>
      <c r="G747" s="275" t="s">
        <v>2803</v>
      </c>
      <c r="H747" s="276">
        <v>10</v>
      </c>
      <c r="I747" s="276">
        <v>50.47</v>
      </c>
      <c r="J747" s="276">
        <v>4.29</v>
      </c>
      <c r="K747" s="276">
        <f t="shared" si="11"/>
        <v>5.71</v>
      </c>
      <c r="L747" s="335"/>
      <c r="N747" s="284"/>
      <c r="O747" s="283"/>
      <c r="P747" s="283"/>
      <c r="Q747" s="283"/>
    </row>
    <row r="748" spans="1:17" ht="14.25">
      <c r="A748" s="275" t="s">
        <v>2809</v>
      </c>
      <c r="B748" s="275" t="s">
        <v>4023</v>
      </c>
      <c r="C748" s="275" t="s">
        <v>3133</v>
      </c>
      <c r="D748" s="275" t="s">
        <v>3056</v>
      </c>
      <c r="E748" s="275" t="s">
        <v>2802</v>
      </c>
      <c r="F748" s="278">
        <v>42341</v>
      </c>
      <c r="G748" s="275" t="s">
        <v>2803</v>
      </c>
      <c r="H748" s="276">
        <v>10</v>
      </c>
      <c r="I748" s="276">
        <v>52.49</v>
      </c>
      <c r="J748" s="276">
        <v>4.29</v>
      </c>
      <c r="K748" s="276">
        <f t="shared" si="11"/>
        <v>5.71</v>
      </c>
      <c r="L748" s="335"/>
      <c r="N748" s="284"/>
      <c r="O748" s="283"/>
      <c r="P748" s="283"/>
      <c r="Q748" s="283"/>
    </row>
    <row r="749" spans="1:17" ht="14.25">
      <c r="A749" s="275" t="s">
        <v>2822</v>
      </c>
      <c r="B749" s="275" t="s">
        <v>2823</v>
      </c>
      <c r="C749" s="275" t="s">
        <v>3132</v>
      </c>
      <c r="D749" s="275" t="s">
        <v>3056</v>
      </c>
      <c r="E749" s="275" t="s">
        <v>2802</v>
      </c>
      <c r="F749" s="278">
        <v>42416</v>
      </c>
      <c r="G749" s="275" t="s">
        <v>2803</v>
      </c>
      <c r="H749" s="276">
        <v>9.5</v>
      </c>
      <c r="I749" s="276">
        <v>56.51</v>
      </c>
      <c r="J749" s="276">
        <v>4.2699999999999996</v>
      </c>
      <c r="K749" s="276">
        <f t="shared" si="11"/>
        <v>5.23</v>
      </c>
      <c r="L749" s="335"/>
      <c r="N749" s="284"/>
      <c r="O749" s="283"/>
      <c r="P749" s="283"/>
      <c r="Q749" s="283"/>
    </row>
    <row r="750" spans="1:17" ht="14.25">
      <c r="A750" s="275" t="s">
        <v>2880</v>
      </c>
      <c r="B750" s="275" t="s">
        <v>2834</v>
      </c>
      <c r="C750" s="275" t="s">
        <v>3131</v>
      </c>
      <c r="D750" s="275" t="s">
        <v>3056</v>
      </c>
      <c r="E750" s="275" t="s">
        <v>2802</v>
      </c>
      <c r="F750" s="278">
        <v>42429</v>
      </c>
      <c r="G750" s="275" t="s">
        <v>2803</v>
      </c>
      <c r="H750" s="276">
        <v>9.4</v>
      </c>
      <c r="I750" s="276">
        <v>50</v>
      </c>
      <c r="J750" s="276">
        <v>4.2699999999999996</v>
      </c>
      <c r="K750" s="276">
        <f t="shared" si="11"/>
        <v>5.1300000000000008</v>
      </c>
      <c r="L750" s="335"/>
      <c r="N750" s="284"/>
      <c r="O750" s="283"/>
      <c r="P750" s="283"/>
      <c r="Q750" s="283"/>
    </row>
    <row r="751" spans="1:17" ht="14.25">
      <c r="A751" s="275" t="s">
        <v>2807</v>
      </c>
      <c r="B751" s="275" t="s">
        <v>2884</v>
      </c>
      <c r="C751" s="275" t="s">
        <v>3130</v>
      </c>
      <c r="D751" s="275" t="s">
        <v>3056</v>
      </c>
      <c r="E751" s="275" t="s">
        <v>2802</v>
      </c>
      <c r="F751" s="278">
        <v>42489</v>
      </c>
      <c r="G751" s="275" t="s">
        <v>2803</v>
      </c>
      <c r="H751" s="276">
        <v>9.8000000000000007</v>
      </c>
      <c r="I751" s="276">
        <v>52.17</v>
      </c>
      <c r="J751" s="276">
        <v>4.16</v>
      </c>
      <c r="K751" s="276">
        <f t="shared" si="11"/>
        <v>5.6400000000000006</v>
      </c>
      <c r="L751" s="335"/>
      <c r="N751" s="284"/>
      <c r="O751" s="283"/>
      <c r="P751" s="283"/>
      <c r="Q751" s="283"/>
    </row>
    <row r="752" spans="1:17" ht="14.25">
      <c r="A752" s="275" t="s">
        <v>2857</v>
      </c>
      <c r="B752" s="275" t="s">
        <v>3129</v>
      </c>
      <c r="C752" s="275" t="s">
        <v>3128</v>
      </c>
      <c r="D752" s="275" t="s">
        <v>3056</v>
      </c>
      <c r="E752" s="275" t="s">
        <v>2802</v>
      </c>
      <c r="F752" s="278">
        <v>42495</v>
      </c>
      <c r="G752" s="275" t="s">
        <v>2803</v>
      </c>
      <c r="H752" s="276">
        <v>9.49</v>
      </c>
      <c r="I752" s="276">
        <v>50</v>
      </c>
      <c r="J752" s="276">
        <v>4.16</v>
      </c>
      <c r="K752" s="276">
        <f t="shared" si="11"/>
        <v>5.33</v>
      </c>
      <c r="L752" s="335"/>
      <c r="N752" s="284"/>
      <c r="O752" s="283"/>
      <c r="P752" s="283"/>
      <c r="Q752" s="283"/>
    </row>
    <row r="753" spans="1:12">
      <c r="A753" s="275" t="s">
        <v>2805</v>
      </c>
      <c r="B753" s="275" t="s">
        <v>2829</v>
      </c>
      <c r="C753" s="275" t="s">
        <v>3127</v>
      </c>
      <c r="D753" s="275" t="s">
        <v>3056</v>
      </c>
      <c r="E753" s="275" t="s">
        <v>2802</v>
      </c>
      <c r="F753" s="278">
        <v>42524</v>
      </c>
      <c r="G753" s="275" t="s">
        <v>2803</v>
      </c>
      <c r="H753" s="276">
        <v>9.65</v>
      </c>
      <c r="I753" s="276">
        <v>51.9</v>
      </c>
      <c r="J753" s="276">
        <v>4</v>
      </c>
      <c r="K753" s="276">
        <f t="shared" si="11"/>
        <v>5.65</v>
      </c>
      <c r="L753" s="335"/>
    </row>
    <row r="754" spans="1:12">
      <c r="A754" s="275" t="s">
        <v>2881</v>
      </c>
      <c r="B754" s="275" t="s">
        <v>3126</v>
      </c>
      <c r="C754" s="275" t="s">
        <v>3125</v>
      </c>
      <c r="D754" s="275" t="s">
        <v>3056</v>
      </c>
      <c r="E754" s="275" t="s">
        <v>2802</v>
      </c>
      <c r="F754" s="278">
        <v>42640</v>
      </c>
      <c r="G754" s="275" t="s">
        <v>2803</v>
      </c>
      <c r="H754" s="276">
        <v>9.5</v>
      </c>
      <c r="I754" s="276">
        <v>60.1</v>
      </c>
      <c r="J754" s="276">
        <v>3.59</v>
      </c>
      <c r="K754" s="276">
        <f t="shared" si="11"/>
        <v>5.91</v>
      </c>
      <c r="L754" s="335"/>
    </row>
    <row r="755" spans="1:12">
      <c r="A755" s="275" t="s">
        <v>2857</v>
      </c>
      <c r="B755" s="275" t="s">
        <v>3099</v>
      </c>
      <c r="C755" s="275" t="s">
        <v>3124</v>
      </c>
      <c r="D755" s="275" t="s">
        <v>3056</v>
      </c>
      <c r="E755" s="275" t="s">
        <v>2802</v>
      </c>
      <c r="F755" s="278">
        <v>42642</v>
      </c>
      <c r="G755" s="275" t="s">
        <v>2803</v>
      </c>
      <c r="H755" s="276">
        <v>9.11</v>
      </c>
      <c r="I755" s="276">
        <v>50.32</v>
      </c>
      <c r="J755" s="276">
        <v>3.59</v>
      </c>
      <c r="K755" s="276">
        <f t="shared" si="11"/>
        <v>5.52</v>
      </c>
      <c r="L755" s="335"/>
    </row>
    <row r="756" spans="1:12">
      <c r="A756" s="275" t="s">
        <v>2809</v>
      </c>
      <c r="B756" s="275" t="s">
        <v>2810</v>
      </c>
      <c r="C756" s="275" t="s">
        <v>3123</v>
      </c>
      <c r="D756" s="275" t="s">
        <v>3056</v>
      </c>
      <c r="E756" s="275" t="s">
        <v>2802</v>
      </c>
      <c r="F756" s="278">
        <v>42683</v>
      </c>
      <c r="G756" s="275" t="s">
        <v>2803</v>
      </c>
      <c r="H756" s="276">
        <v>9.8000000000000007</v>
      </c>
      <c r="I756" s="276">
        <v>57.16</v>
      </c>
      <c r="J756" s="276">
        <v>3.66</v>
      </c>
      <c r="K756" s="276">
        <f t="shared" si="11"/>
        <v>6.1400000000000006</v>
      </c>
      <c r="L756" s="335"/>
    </row>
    <row r="757" spans="1:12">
      <c r="A757" s="275" t="s">
        <v>2851</v>
      </c>
      <c r="B757" s="275" t="s">
        <v>3105</v>
      </c>
      <c r="C757" s="275" t="s">
        <v>3122</v>
      </c>
      <c r="D757" s="275" t="s">
        <v>3056</v>
      </c>
      <c r="E757" s="275" t="s">
        <v>2802</v>
      </c>
      <c r="F757" s="278">
        <v>42713</v>
      </c>
      <c r="G757" s="275" t="s">
        <v>2803</v>
      </c>
      <c r="H757" s="276">
        <v>10.1</v>
      </c>
      <c r="I757" s="276">
        <v>38.65</v>
      </c>
      <c r="J757" s="276">
        <v>3.77</v>
      </c>
      <c r="K757" s="276">
        <f t="shared" si="11"/>
        <v>6.33</v>
      </c>
      <c r="L757" s="335"/>
    </row>
    <row r="758" spans="1:12">
      <c r="A758" s="275" t="s">
        <v>2840</v>
      </c>
      <c r="B758" s="275" t="s">
        <v>3079</v>
      </c>
      <c r="C758" s="275" t="s">
        <v>3121</v>
      </c>
      <c r="D758" s="275" t="s">
        <v>3056</v>
      </c>
      <c r="E758" s="275" t="s">
        <v>2802</v>
      </c>
      <c r="F758" s="278">
        <v>42795</v>
      </c>
      <c r="G758" s="275" t="s">
        <v>2803</v>
      </c>
      <c r="H758" s="276">
        <v>9.25</v>
      </c>
      <c r="I758" s="276">
        <v>55.7</v>
      </c>
      <c r="J758" s="276">
        <v>4.1399999999999997</v>
      </c>
      <c r="K758" s="276">
        <f t="shared" si="11"/>
        <v>5.1100000000000003</v>
      </c>
      <c r="L758" s="335"/>
    </row>
    <row r="759" spans="1:12">
      <c r="A759" s="275" t="s">
        <v>2811</v>
      </c>
      <c r="B759" s="275" t="s">
        <v>4014</v>
      </c>
      <c r="C759" s="275" t="s">
        <v>3120</v>
      </c>
      <c r="D759" s="275" t="s">
        <v>3056</v>
      </c>
      <c r="E759" s="275" t="s">
        <v>2802</v>
      </c>
      <c r="F759" s="278">
        <v>42845</v>
      </c>
      <c r="G759" s="275" t="s">
        <v>2803</v>
      </c>
      <c r="H759" s="276">
        <v>8.6999999999999993</v>
      </c>
      <c r="I759" s="276">
        <v>42.9</v>
      </c>
      <c r="J759" s="276">
        <v>4.2300000000000004</v>
      </c>
      <c r="K759" s="276">
        <f t="shared" si="11"/>
        <v>4.4699999999999989</v>
      </c>
      <c r="L759" s="335"/>
    </row>
    <row r="760" spans="1:12">
      <c r="A760" s="275" t="s">
        <v>2833</v>
      </c>
      <c r="B760" s="275" t="s">
        <v>3119</v>
      </c>
      <c r="C760" s="275" t="s">
        <v>3118</v>
      </c>
      <c r="D760" s="275" t="s">
        <v>3056</v>
      </c>
      <c r="E760" s="275" t="s">
        <v>2802</v>
      </c>
      <c r="F760" s="278">
        <v>42853</v>
      </c>
      <c r="G760" s="275" t="s">
        <v>2803</v>
      </c>
      <c r="H760" s="276">
        <v>9.5</v>
      </c>
      <c r="I760" s="276">
        <v>50</v>
      </c>
      <c r="J760" s="276">
        <v>4.2300000000000004</v>
      </c>
      <c r="K760" s="276">
        <f t="shared" si="11"/>
        <v>5.27</v>
      </c>
      <c r="L760" s="335"/>
    </row>
    <row r="761" spans="1:12">
      <c r="A761" s="275" t="s">
        <v>2851</v>
      </c>
      <c r="B761" s="275" t="s">
        <v>2876</v>
      </c>
      <c r="C761" s="275" t="s">
        <v>3117</v>
      </c>
      <c r="D761" s="275" t="s">
        <v>3056</v>
      </c>
      <c r="E761" s="275" t="s">
        <v>2802</v>
      </c>
      <c r="F761" s="278">
        <v>42947</v>
      </c>
      <c r="G761" s="275" t="s">
        <v>2803</v>
      </c>
      <c r="H761" s="276">
        <v>10.1</v>
      </c>
      <c r="I761" s="276">
        <v>41.27</v>
      </c>
      <c r="J761" s="276">
        <v>3.94</v>
      </c>
      <c r="K761" s="276">
        <f t="shared" si="11"/>
        <v>6.16</v>
      </c>
      <c r="L761" s="335"/>
    </row>
    <row r="762" spans="1:12">
      <c r="A762" s="275" t="s">
        <v>2885</v>
      </c>
      <c r="B762" s="275" t="s">
        <v>3116</v>
      </c>
      <c r="C762" s="275" t="s">
        <v>3115</v>
      </c>
      <c r="D762" s="275" t="s">
        <v>3056</v>
      </c>
      <c r="E762" s="275" t="s">
        <v>2802</v>
      </c>
      <c r="F762" s="278">
        <v>43000</v>
      </c>
      <c r="G762" s="275" t="s">
        <v>2803</v>
      </c>
      <c r="H762" s="276">
        <v>11.88</v>
      </c>
      <c r="I762" s="276">
        <v>51.81</v>
      </c>
      <c r="J762" s="276">
        <v>3.86</v>
      </c>
      <c r="K762" s="276">
        <f t="shared" si="11"/>
        <v>8.0200000000000014</v>
      </c>
      <c r="L762" s="335"/>
    </row>
    <row r="763" spans="1:12">
      <c r="A763" s="275" t="s">
        <v>2809</v>
      </c>
      <c r="B763" s="275" t="s">
        <v>4023</v>
      </c>
      <c r="C763" s="275" t="s">
        <v>3114</v>
      </c>
      <c r="D763" s="275" t="s">
        <v>3056</v>
      </c>
      <c r="E763" s="275" t="s">
        <v>2802</v>
      </c>
      <c r="F763" s="278">
        <v>43076</v>
      </c>
      <c r="G763" s="275" t="s">
        <v>2803</v>
      </c>
      <c r="H763" s="276">
        <v>9.8000000000000007</v>
      </c>
      <c r="I763" s="276">
        <v>51.45</v>
      </c>
      <c r="J763" s="276">
        <v>3.91</v>
      </c>
      <c r="K763" s="276">
        <f t="shared" si="11"/>
        <v>5.8900000000000006</v>
      </c>
      <c r="L763" s="335"/>
    </row>
    <row r="764" spans="1:12">
      <c r="A764" s="275" t="s">
        <v>2801</v>
      </c>
      <c r="B764" s="275" t="s">
        <v>3089</v>
      </c>
      <c r="C764" s="275" t="s">
        <v>3113</v>
      </c>
      <c r="D764" s="275" t="s">
        <v>3056</v>
      </c>
      <c r="E764" s="275" t="s">
        <v>2802</v>
      </c>
      <c r="F764" s="278">
        <v>43131</v>
      </c>
      <c r="G764" s="275" t="s">
        <v>2803</v>
      </c>
      <c r="H764" s="276">
        <v>9.8000000000000007</v>
      </c>
      <c r="I764" s="276">
        <v>52</v>
      </c>
      <c r="J764" s="276">
        <v>3.79</v>
      </c>
      <c r="K764" s="276">
        <f t="shared" si="11"/>
        <v>6.0100000000000007</v>
      </c>
      <c r="L764" s="335"/>
    </row>
    <row r="765" spans="1:12">
      <c r="A765" s="275" t="s">
        <v>2860</v>
      </c>
      <c r="B765" s="275" t="s">
        <v>3063</v>
      </c>
      <c r="C765" s="275" t="s">
        <v>3112</v>
      </c>
      <c r="D765" s="275" t="s">
        <v>3056</v>
      </c>
      <c r="E765" s="275" t="s">
        <v>2802</v>
      </c>
      <c r="F765" s="278">
        <v>43152</v>
      </c>
      <c r="G765" s="275" t="s">
        <v>2803</v>
      </c>
      <c r="H765" s="276">
        <v>9.8000000000000007</v>
      </c>
      <c r="I765" s="276">
        <v>54.16</v>
      </c>
      <c r="J765" s="276">
        <v>3.86</v>
      </c>
      <c r="K765" s="276">
        <f t="shared" si="11"/>
        <v>5.9400000000000013</v>
      </c>
      <c r="L765" s="335"/>
    </row>
    <row r="766" spans="1:12">
      <c r="A766" s="275" t="s">
        <v>2860</v>
      </c>
      <c r="B766" s="275" t="s">
        <v>3060</v>
      </c>
      <c r="C766" s="275" t="s">
        <v>3111</v>
      </c>
      <c r="D766" s="275" t="s">
        <v>3056</v>
      </c>
      <c r="E766" s="275" t="s">
        <v>2802</v>
      </c>
      <c r="F766" s="278">
        <v>43152</v>
      </c>
      <c r="G766" s="275" t="s">
        <v>2803</v>
      </c>
      <c r="H766" s="276">
        <v>9.8000000000000007</v>
      </c>
      <c r="I766" s="276">
        <v>54.16</v>
      </c>
      <c r="J766" s="276">
        <v>3.86</v>
      </c>
      <c r="K766" s="276">
        <f t="shared" si="11"/>
        <v>5.9400000000000013</v>
      </c>
      <c r="L766" s="335"/>
    </row>
    <row r="767" spans="1:12">
      <c r="A767" s="275" t="s">
        <v>2886</v>
      </c>
      <c r="B767" s="275" t="s">
        <v>3071</v>
      </c>
      <c r="C767" s="275" t="s">
        <v>3110</v>
      </c>
      <c r="D767" s="275" t="s">
        <v>3056</v>
      </c>
      <c r="E767" s="275" t="s">
        <v>2802</v>
      </c>
      <c r="F767" s="278">
        <v>43159</v>
      </c>
      <c r="G767" s="275" t="s">
        <v>2803</v>
      </c>
      <c r="H767" s="276">
        <v>9.5</v>
      </c>
      <c r="I767" s="276">
        <v>50</v>
      </c>
      <c r="J767" s="276">
        <v>3.86</v>
      </c>
      <c r="K767" s="276">
        <f t="shared" si="11"/>
        <v>5.6400000000000006</v>
      </c>
      <c r="L767" s="335"/>
    </row>
    <row r="768" spans="1:12">
      <c r="A768" s="275" t="s">
        <v>2842</v>
      </c>
      <c r="B768" s="275" t="s">
        <v>2834</v>
      </c>
      <c r="C768" s="275" t="s">
        <v>3109</v>
      </c>
      <c r="D768" s="275" t="s">
        <v>3056</v>
      </c>
      <c r="E768" s="275" t="s">
        <v>2802</v>
      </c>
      <c r="F768" s="278">
        <v>43216</v>
      </c>
      <c r="G768" s="275" t="s">
        <v>2803</v>
      </c>
      <c r="H768" s="276">
        <v>9.5</v>
      </c>
      <c r="I768" s="276">
        <v>48.5</v>
      </c>
      <c r="J768" s="276">
        <v>4.13</v>
      </c>
      <c r="K768" s="276">
        <f t="shared" si="11"/>
        <v>5.37</v>
      </c>
      <c r="L768" s="335"/>
    </row>
    <row r="769" spans="1:12">
      <c r="A769" s="275" t="s">
        <v>2882</v>
      </c>
      <c r="B769" s="275" t="s">
        <v>3108</v>
      </c>
      <c r="C769" s="275" t="s">
        <v>3107</v>
      </c>
      <c r="D769" s="275" t="s">
        <v>3056</v>
      </c>
      <c r="E769" s="275" t="s">
        <v>2802</v>
      </c>
      <c r="F769" s="278">
        <v>43217</v>
      </c>
      <c r="G769" s="275" t="s">
        <v>2803</v>
      </c>
      <c r="H769" s="276">
        <v>9.3000000000000007</v>
      </c>
      <c r="I769" s="276">
        <v>49.21</v>
      </c>
      <c r="J769" s="276">
        <v>4.13</v>
      </c>
      <c r="K769" s="276">
        <f t="shared" si="11"/>
        <v>5.1700000000000008</v>
      </c>
      <c r="L769" s="335"/>
    </row>
    <row r="770" spans="1:12">
      <c r="A770" s="275" t="s">
        <v>2835</v>
      </c>
      <c r="B770" s="275" t="s">
        <v>3075</v>
      </c>
      <c r="C770" s="275" t="s">
        <v>3106</v>
      </c>
      <c r="D770" s="275" t="s">
        <v>3056</v>
      </c>
      <c r="E770" s="275" t="s">
        <v>2802</v>
      </c>
      <c r="F770" s="278">
        <v>43223</v>
      </c>
      <c r="G770" s="275" t="s">
        <v>2803</v>
      </c>
      <c r="H770" s="276">
        <v>9.6999999999999993</v>
      </c>
      <c r="I770" s="276">
        <v>52.57</v>
      </c>
      <c r="J770" s="276">
        <v>4.13</v>
      </c>
      <c r="K770" s="276">
        <f t="shared" si="11"/>
        <v>5.5699999999999994</v>
      </c>
      <c r="L770" s="335"/>
    </row>
    <row r="771" spans="1:12">
      <c r="A771" s="275" t="s">
        <v>2851</v>
      </c>
      <c r="B771" s="275" t="s">
        <v>3105</v>
      </c>
      <c r="C771" s="275" t="s">
        <v>3104</v>
      </c>
      <c r="D771" s="275" t="s">
        <v>3056</v>
      </c>
      <c r="E771" s="275" t="s">
        <v>2802</v>
      </c>
      <c r="F771" s="278">
        <v>43356</v>
      </c>
      <c r="G771" s="275" t="s">
        <v>2803</v>
      </c>
      <c r="H771" s="276">
        <v>10</v>
      </c>
      <c r="I771" s="276">
        <v>38.299999999999997</v>
      </c>
      <c r="J771" s="276">
        <v>4.2699999999999996</v>
      </c>
      <c r="K771" s="276">
        <f t="shared" si="11"/>
        <v>5.73</v>
      </c>
      <c r="L771" s="335"/>
    </row>
    <row r="772" spans="1:12">
      <c r="A772" s="275" t="s">
        <v>2807</v>
      </c>
      <c r="B772" s="275" t="s">
        <v>3103</v>
      </c>
      <c r="C772" s="275" t="s">
        <v>3102</v>
      </c>
      <c r="D772" s="275" t="s">
        <v>3056</v>
      </c>
      <c r="E772" s="275" t="s">
        <v>2802</v>
      </c>
      <c r="F772" s="278">
        <v>43371</v>
      </c>
      <c r="G772" s="275" t="s">
        <v>2803</v>
      </c>
      <c r="H772" s="276">
        <v>9.5</v>
      </c>
      <c r="I772" s="276">
        <v>53.04</v>
      </c>
      <c r="J772" s="276">
        <v>4.26</v>
      </c>
      <c r="K772" s="276">
        <f t="shared" si="11"/>
        <v>5.24</v>
      </c>
      <c r="L772" s="335"/>
    </row>
    <row r="773" spans="1:12">
      <c r="A773" s="275" t="s">
        <v>2807</v>
      </c>
      <c r="B773" s="275" t="s">
        <v>3101</v>
      </c>
      <c r="C773" s="275" t="s">
        <v>3100</v>
      </c>
      <c r="D773" s="275" t="s">
        <v>3056</v>
      </c>
      <c r="E773" s="275" t="s">
        <v>2802</v>
      </c>
      <c r="F773" s="278">
        <v>43371</v>
      </c>
      <c r="G773" s="275" t="s">
        <v>2803</v>
      </c>
      <c r="H773" s="276">
        <v>9.5</v>
      </c>
      <c r="I773" s="276">
        <v>53.04</v>
      </c>
      <c r="J773" s="276">
        <v>4.26</v>
      </c>
      <c r="K773" s="276">
        <f t="shared" si="11"/>
        <v>5.24</v>
      </c>
      <c r="L773" s="335"/>
    </row>
    <row r="774" spans="1:12">
      <c r="A774" s="275" t="s">
        <v>2873</v>
      </c>
      <c r="B774" s="275" t="s">
        <v>3972</v>
      </c>
      <c r="C774" s="275" t="s">
        <v>3973</v>
      </c>
      <c r="D774" s="275" t="s">
        <v>3056</v>
      </c>
      <c r="E774" s="275" t="s">
        <v>2802</v>
      </c>
      <c r="F774" s="278">
        <v>43388</v>
      </c>
      <c r="G774" s="275" t="s">
        <v>2803</v>
      </c>
      <c r="H774" s="276">
        <v>9.8000000000000007</v>
      </c>
      <c r="I774" s="276">
        <v>49.23</v>
      </c>
      <c r="J774" s="276">
        <v>4.26</v>
      </c>
      <c r="K774" s="276">
        <f t="shared" ref="K774:K822" si="12">H774-J774</f>
        <v>5.5400000000000009</v>
      </c>
      <c r="L774" s="335"/>
    </row>
    <row r="775" spans="1:12">
      <c r="A775" s="275" t="s">
        <v>2857</v>
      </c>
      <c r="B775" s="275" t="s">
        <v>3099</v>
      </c>
      <c r="C775" s="275" t="s">
        <v>3098</v>
      </c>
      <c r="D775" s="275" t="s">
        <v>3056</v>
      </c>
      <c r="E775" s="275" t="s">
        <v>2802</v>
      </c>
      <c r="F775" s="278">
        <v>43412</v>
      </c>
      <c r="G775" s="275" t="s">
        <v>2803</v>
      </c>
      <c r="H775" s="276">
        <v>9.6999999999999993</v>
      </c>
      <c r="I775" s="276">
        <v>50.9</v>
      </c>
      <c r="J775" s="276">
        <v>4.32</v>
      </c>
      <c r="K775" s="276">
        <f t="shared" si="12"/>
        <v>5.379999999999999</v>
      </c>
      <c r="L775" s="335"/>
    </row>
    <row r="776" spans="1:12">
      <c r="A776" s="275" t="s">
        <v>2805</v>
      </c>
      <c r="B776" s="275" t="s">
        <v>3079</v>
      </c>
      <c r="C776" s="275" t="s">
        <v>3097</v>
      </c>
      <c r="D776" s="275" t="s">
        <v>3056</v>
      </c>
      <c r="E776" s="275" t="s">
        <v>2802</v>
      </c>
      <c r="F776" s="278">
        <v>43445</v>
      </c>
      <c r="G776" s="275" t="s">
        <v>2803</v>
      </c>
      <c r="H776" s="276">
        <v>9.6999999999999993</v>
      </c>
      <c r="I776" s="276">
        <v>51.69</v>
      </c>
      <c r="J776" s="276">
        <v>4.45</v>
      </c>
      <c r="K776" s="276">
        <f t="shared" si="12"/>
        <v>5.2499999999999991</v>
      </c>
      <c r="L776" s="335"/>
    </row>
    <row r="777" spans="1:12">
      <c r="A777" s="275" t="s">
        <v>2822</v>
      </c>
      <c r="B777" s="275" t="s">
        <v>2823</v>
      </c>
      <c r="C777" s="275" t="s">
        <v>3096</v>
      </c>
      <c r="D777" s="275" t="s">
        <v>3056</v>
      </c>
      <c r="E777" s="275" t="s">
        <v>2802</v>
      </c>
      <c r="F777" s="278">
        <v>43455</v>
      </c>
      <c r="G777" s="275" t="s">
        <v>2803</v>
      </c>
      <c r="H777" s="276">
        <v>9.35</v>
      </c>
      <c r="I777" s="276">
        <v>54.6</v>
      </c>
      <c r="J777" s="276">
        <v>4.5199999999999996</v>
      </c>
      <c r="K777" s="276">
        <f t="shared" si="12"/>
        <v>4.83</v>
      </c>
      <c r="L777" s="335"/>
    </row>
    <row r="778" spans="1:12">
      <c r="A778" s="275" t="s">
        <v>2837</v>
      </c>
      <c r="B778" s="275" t="s">
        <v>3094</v>
      </c>
      <c r="C778" s="275" t="s">
        <v>3095</v>
      </c>
      <c r="D778" s="275" t="s">
        <v>3056</v>
      </c>
      <c r="E778" s="275" t="s">
        <v>2802</v>
      </c>
      <c r="F778" s="278">
        <v>43458</v>
      </c>
      <c r="G778" s="275" t="s">
        <v>2803</v>
      </c>
      <c r="H778" s="276">
        <v>9.25</v>
      </c>
      <c r="I778" s="276">
        <v>49.66</v>
      </c>
      <c r="J778" s="276">
        <v>4.5199999999999996</v>
      </c>
      <c r="K778" s="276">
        <f t="shared" si="12"/>
        <v>4.7300000000000004</v>
      </c>
      <c r="L778" s="335"/>
    </row>
    <row r="779" spans="1:12">
      <c r="A779" s="275" t="s">
        <v>2837</v>
      </c>
      <c r="B779" s="275" t="s">
        <v>3094</v>
      </c>
      <c r="C779" s="275" t="s">
        <v>3093</v>
      </c>
      <c r="D779" s="275" t="s">
        <v>3056</v>
      </c>
      <c r="E779" s="275" t="s">
        <v>2802</v>
      </c>
      <c r="F779" s="278">
        <v>43458</v>
      </c>
      <c r="G779" s="275" t="s">
        <v>2803</v>
      </c>
      <c r="H779" s="276">
        <v>9.25</v>
      </c>
      <c r="I779" s="276">
        <v>49.66</v>
      </c>
      <c r="J779" s="276">
        <v>4.5199999999999996</v>
      </c>
      <c r="K779" s="276">
        <f t="shared" si="12"/>
        <v>4.7300000000000004</v>
      </c>
      <c r="L779" s="335"/>
    </row>
    <row r="780" spans="1:12">
      <c r="A780" s="275" t="s">
        <v>2805</v>
      </c>
      <c r="B780" s="275" t="s">
        <v>2829</v>
      </c>
      <c r="C780" s="275" t="s">
        <v>3092</v>
      </c>
      <c r="D780" s="275" t="s">
        <v>3056</v>
      </c>
      <c r="E780" s="275" t="s">
        <v>2802</v>
      </c>
      <c r="F780" s="278">
        <v>43469</v>
      </c>
      <c r="G780" s="275" t="s">
        <v>2803</v>
      </c>
      <c r="H780" s="276">
        <v>9.8000000000000007</v>
      </c>
      <c r="I780" s="276">
        <v>52.85</v>
      </c>
      <c r="J780" s="276">
        <v>4.5199999999999996</v>
      </c>
      <c r="K780" s="276">
        <f t="shared" si="12"/>
        <v>5.2800000000000011</v>
      </c>
      <c r="L780" s="335"/>
    </row>
    <row r="781" spans="1:12">
      <c r="A781" s="275" t="s">
        <v>2835</v>
      </c>
      <c r="B781" s="275" t="s">
        <v>3075</v>
      </c>
      <c r="C781" s="275" t="s">
        <v>3091</v>
      </c>
      <c r="D781" s="275" t="s">
        <v>3056</v>
      </c>
      <c r="E781" s="275" t="s">
        <v>2802</v>
      </c>
      <c r="F781" s="278">
        <v>43592</v>
      </c>
      <c r="G781" s="282" t="s">
        <v>2803</v>
      </c>
      <c r="H781" s="274">
        <v>9.65</v>
      </c>
      <c r="I781" s="277">
        <v>58.06</v>
      </c>
      <c r="J781" s="274">
        <v>4.16</v>
      </c>
      <c r="K781" s="276">
        <f t="shared" si="12"/>
        <v>5.49</v>
      </c>
      <c r="L781" s="335"/>
    </row>
    <row r="782" spans="1:12">
      <c r="A782" s="275" t="s">
        <v>2851</v>
      </c>
      <c r="B782" s="275" t="s">
        <v>2876</v>
      </c>
      <c r="C782" s="275" t="s">
        <v>3090</v>
      </c>
      <c r="D782" s="275" t="s">
        <v>3056</v>
      </c>
      <c r="E782" s="275" t="s">
        <v>2802</v>
      </c>
      <c r="F782" s="278">
        <v>43734</v>
      </c>
      <c r="G782" s="282" t="s">
        <v>2803</v>
      </c>
      <c r="H782" s="274">
        <v>9.9</v>
      </c>
      <c r="I782" s="277">
        <v>41.78</v>
      </c>
      <c r="J782" s="274">
        <v>3.29</v>
      </c>
      <c r="K782" s="276">
        <f t="shared" si="12"/>
        <v>6.61</v>
      </c>
      <c r="L782" s="335"/>
    </row>
    <row r="783" spans="1:12">
      <c r="A783" s="275" t="s">
        <v>2801</v>
      </c>
      <c r="B783" s="275" t="s">
        <v>3089</v>
      </c>
      <c r="C783" s="275" t="s">
        <v>3088</v>
      </c>
      <c r="D783" s="275" t="s">
        <v>3056</v>
      </c>
      <c r="E783" s="275" t="s">
        <v>2802</v>
      </c>
      <c r="F783" s="278">
        <v>43740</v>
      </c>
      <c r="G783" s="275" t="s">
        <v>2803</v>
      </c>
      <c r="H783" s="274">
        <v>9.73</v>
      </c>
      <c r="I783" s="274">
        <v>54.2</v>
      </c>
      <c r="J783" s="277">
        <v>3.29</v>
      </c>
      <c r="K783" s="276">
        <f t="shared" si="12"/>
        <v>6.44</v>
      </c>
      <c r="L783" s="335"/>
    </row>
    <row r="784" spans="1:12">
      <c r="A784" s="275" t="s">
        <v>2838</v>
      </c>
      <c r="B784" s="275" t="s">
        <v>2954</v>
      </c>
      <c r="C784" s="275" t="s">
        <v>3087</v>
      </c>
      <c r="D784" s="275" t="s">
        <v>3056</v>
      </c>
      <c r="E784" s="275" t="s">
        <v>2802</v>
      </c>
      <c r="F784" s="278">
        <v>43776</v>
      </c>
      <c r="G784" s="275" t="s">
        <v>2803</v>
      </c>
      <c r="H784" s="274">
        <v>9.35</v>
      </c>
      <c r="I784" s="274">
        <v>50</v>
      </c>
      <c r="J784" s="277">
        <v>3.37</v>
      </c>
      <c r="K784" s="276">
        <f t="shared" si="12"/>
        <v>5.9799999999999995</v>
      </c>
      <c r="L784" s="335"/>
    </row>
    <row r="785" spans="1:33">
      <c r="A785" s="275" t="s">
        <v>2805</v>
      </c>
      <c r="B785" s="275" t="s">
        <v>3086</v>
      </c>
      <c r="C785" s="275" t="s">
        <v>3085</v>
      </c>
      <c r="D785" s="275" t="s">
        <v>3056</v>
      </c>
      <c r="E785" s="275" t="s">
        <v>2802</v>
      </c>
      <c r="F785" s="278">
        <v>43817</v>
      </c>
      <c r="G785" s="275" t="s">
        <v>2803</v>
      </c>
      <c r="H785" s="274">
        <v>9.6</v>
      </c>
      <c r="I785" s="274">
        <v>52.9</v>
      </c>
      <c r="J785" s="277">
        <v>3.42</v>
      </c>
      <c r="K785" s="276">
        <f t="shared" si="12"/>
        <v>6.18</v>
      </c>
      <c r="L785" s="335"/>
      <c r="Z785"/>
      <c r="AA785"/>
      <c r="AB785"/>
      <c r="AC785"/>
      <c r="AD785"/>
      <c r="AE785"/>
      <c r="AF785"/>
      <c r="AG785"/>
    </row>
    <row r="786" spans="1:33">
      <c r="A786" s="275" t="s">
        <v>2806</v>
      </c>
      <c r="B786" s="275" t="s">
        <v>3081</v>
      </c>
      <c r="C786" s="275" t="s">
        <v>3080</v>
      </c>
      <c r="D786" s="275" t="s">
        <v>3056</v>
      </c>
      <c r="E786" s="275" t="s">
        <v>2802</v>
      </c>
      <c r="F786" s="278">
        <v>43818</v>
      </c>
      <c r="G786" s="275" t="s">
        <v>2803</v>
      </c>
      <c r="H786" s="274">
        <v>10.25</v>
      </c>
      <c r="I786" s="274">
        <v>56</v>
      </c>
      <c r="J786" s="277">
        <v>3.42</v>
      </c>
      <c r="K786" s="276">
        <f t="shared" si="12"/>
        <v>6.83</v>
      </c>
      <c r="L786" s="335"/>
      <c r="Z786"/>
      <c r="AA786"/>
      <c r="AB786"/>
      <c r="AC786"/>
      <c r="AD786"/>
      <c r="AE786"/>
      <c r="AF786"/>
      <c r="AG786"/>
    </row>
    <row r="787" spans="1:33">
      <c r="A787" s="275" t="s">
        <v>2844</v>
      </c>
      <c r="B787" s="275" t="s">
        <v>2848</v>
      </c>
      <c r="C787" s="275" t="s">
        <v>3082</v>
      </c>
      <c r="D787" s="275" t="s">
        <v>3056</v>
      </c>
      <c r="E787" s="275" t="s">
        <v>2802</v>
      </c>
      <c r="F787" s="278">
        <v>43818</v>
      </c>
      <c r="G787" s="275" t="s">
        <v>2803</v>
      </c>
      <c r="H787" s="274">
        <v>10.199999999999999</v>
      </c>
      <c r="I787" s="274">
        <v>52</v>
      </c>
      <c r="J787" s="277">
        <v>3.42</v>
      </c>
      <c r="K787" s="276">
        <f t="shared" si="12"/>
        <v>6.7799999999999994</v>
      </c>
      <c r="L787" s="335"/>
    </row>
    <row r="788" spans="1:33">
      <c r="A788" s="275" t="s">
        <v>2844</v>
      </c>
      <c r="B788" s="275" t="s">
        <v>3084</v>
      </c>
      <c r="C788" s="275" t="s">
        <v>3083</v>
      </c>
      <c r="D788" s="275" t="s">
        <v>3056</v>
      </c>
      <c r="E788" s="275" t="s">
        <v>2802</v>
      </c>
      <c r="F788" s="278">
        <v>43818</v>
      </c>
      <c r="G788" s="275" t="s">
        <v>2803</v>
      </c>
      <c r="H788" s="274">
        <v>10.050000000000001</v>
      </c>
      <c r="I788" s="274">
        <v>52</v>
      </c>
      <c r="J788" s="277">
        <v>3.42</v>
      </c>
      <c r="K788" s="276">
        <f t="shared" si="12"/>
        <v>6.6300000000000008</v>
      </c>
      <c r="L788" s="335"/>
    </row>
    <row r="789" spans="1:33">
      <c r="A789" s="275" t="s">
        <v>2871</v>
      </c>
      <c r="B789" s="275" t="s">
        <v>3079</v>
      </c>
      <c r="C789" s="275" t="s">
        <v>3078</v>
      </c>
      <c r="D789" s="275" t="s">
        <v>3056</v>
      </c>
      <c r="E789" s="275" t="s">
        <v>2802</v>
      </c>
      <c r="F789" s="278">
        <v>43819</v>
      </c>
      <c r="G789" s="275" t="s">
        <v>2803</v>
      </c>
      <c r="H789" s="274">
        <v>9.1999999999999993</v>
      </c>
      <c r="I789" s="274">
        <v>53.48</v>
      </c>
      <c r="J789" s="277">
        <v>3.42</v>
      </c>
      <c r="K789" s="276">
        <f t="shared" si="12"/>
        <v>5.7799999999999994</v>
      </c>
      <c r="L789" s="335"/>
    </row>
    <row r="790" spans="1:33">
      <c r="A790" s="275" t="s">
        <v>2871</v>
      </c>
      <c r="B790" s="275" t="s">
        <v>3077</v>
      </c>
      <c r="C790" s="275" t="s">
        <v>3076</v>
      </c>
      <c r="D790" s="275" t="s">
        <v>3056</v>
      </c>
      <c r="E790" s="275" t="s">
        <v>2802</v>
      </c>
      <c r="F790" s="278">
        <v>43854</v>
      </c>
      <c r="G790" s="275" t="s">
        <v>2803</v>
      </c>
      <c r="H790" s="274">
        <v>9.44</v>
      </c>
      <c r="I790" s="274">
        <v>59.64</v>
      </c>
      <c r="J790" s="277">
        <v>3.4</v>
      </c>
      <c r="K790" s="276">
        <f t="shared" si="12"/>
        <v>6.0399999999999991</v>
      </c>
      <c r="L790" s="335"/>
    </row>
    <row r="791" spans="1:33">
      <c r="A791" s="275" t="s">
        <v>2813</v>
      </c>
      <c r="B791" s="275" t="s">
        <v>3075</v>
      </c>
      <c r="C791" s="275" t="s">
        <v>3074</v>
      </c>
      <c r="D791" s="275" t="s">
        <v>3056</v>
      </c>
      <c r="E791" s="275" t="s">
        <v>2802</v>
      </c>
      <c r="F791" s="278">
        <v>43885</v>
      </c>
      <c r="G791" s="275" t="s">
        <v>2803</v>
      </c>
      <c r="H791" s="274">
        <v>9.1</v>
      </c>
      <c r="I791" s="274">
        <v>56.32</v>
      </c>
      <c r="J791" s="277">
        <v>3.29</v>
      </c>
      <c r="K791" s="276">
        <f t="shared" si="12"/>
        <v>5.81</v>
      </c>
      <c r="L791" s="335"/>
    </row>
    <row r="792" spans="1:33" customFormat="1">
      <c r="A792" s="279" t="s">
        <v>2821</v>
      </c>
      <c r="B792" s="280" t="s">
        <v>3073</v>
      </c>
      <c r="C792" s="279" t="s">
        <v>3072</v>
      </c>
      <c r="D792" s="275" t="s">
        <v>3056</v>
      </c>
      <c r="E792" s="275" t="s">
        <v>2802</v>
      </c>
      <c r="F792" s="278">
        <v>43886</v>
      </c>
      <c r="G792" s="275" t="s">
        <v>2803</v>
      </c>
      <c r="H792" s="277">
        <v>9.5</v>
      </c>
      <c r="I792" s="281">
        <v>55</v>
      </c>
      <c r="J792" s="277">
        <v>3.29</v>
      </c>
      <c r="K792" s="276">
        <f t="shared" si="12"/>
        <v>6.21</v>
      </c>
      <c r="L792" s="335"/>
      <c r="M792" s="273"/>
      <c r="Z792" s="273"/>
      <c r="AA792" s="273"/>
      <c r="AB792" s="273"/>
      <c r="AC792" s="273"/>
      <c r="AD792" s="273"/>
      <c r="AE792" s="273"/>
      <c r="AF792" s="273"/>
      <c r="AG792" s="273"/>
    </row>
    <row r="793" spans="1:33" customFormat="1">
      <c r="A793" s="279" t="s">
        <v>2886</v>
      </c>
      <c r="B793" s="280" t="s">
        <v>3071</v>
      </c>
      <c r="C793" s="279" t="s">
        <v>3070</v>
      </c>
      <c r="D793" s="275" t="s">
        <v>3056</v>
      </c>
      <c r="E793" s="275" t="s">
        <v>2802</v>
      </c>
      <c r="F793" s="278">
        <v>43916</v>
      </c>
      <c r="G793" s="275" t="s">
        <v>2803</v>
      </c>
      <c r="H793" s="277">
        <v>9.48</v>
      </c>
      <c r="I793" s="277">
        <v>50</v>
      </c>
      <c r="J793" s="277">
        <v>3.11</v>
      </c>
      <c r="K793" s="276">
        <f t="shared" si="12"/>
        <v>6.370000000000001</v>
      </c>
      <c r="L793" s="335"/>
      <c r="M793" s="273"/>
      <c r="Z793" s="273"/>
      <c r="AA793" s="273"/>
      <c r="AB793" s="273"/>
      <c r="AC793" s="273"/>
      <c r="AD793" s="273"/>
      <c r="AE793" s="273"/>
      <c r="AF793" s="273"/>
      <c r="AG793" s="273"/>
    </row>
    <row r="794" spans="1:33">
      <c r="A794" s="279" t="s">
        <v>2822</v>
      </c>
      <c r="B794" s="280" t="s">
        <v>3069</v>
      </c>
      <c r="C794" s="279" t="s">
        <v>3068</v>
      </c>
      <c r="D794" s="275" t="s">
        <v>3056</v>
      </c>
      <c r="E794" s="275" t="s">
        <v>2802</v>
      </c>
      <c r="F794" s="278">
        <v>43970</v>
      </c>
      <c r="G794" s="275" t="s">
        <v>2803</v>
      </c>
      <c r="H794" s="277">
        <v>9.1999999999999993</v>
      </c>
      <c r="I794" s="277">
        <v>50.15</v>
      </c>
      <c r="J794" s="277">
        <v>3.19</v>
      </c>
      <c r="K794" s="276">
        <f t="shared" si="12"/>
        <v>6.01</v>
      </c>
      <c r="L794" s="335"/>
    </row>
    <row r="795" spans="1:33">
      <c r="A795" s="279" t="s">
        <v>2842</v>
      </c>
      <c r="B795" s="280" t="s">
        <v>2843</v>
      </c>
      <c r="C795" s="279" t="s">
        <v>3067</v>
      </c>
      <c r="D795" s="275" t="s">
        <v>3056</v>
      </c>
      <c r="E795" s="275" t="s">
        <v>2802</v>
      </c>
      <c r="F795" s="278">
        <v>44020</v>
      </c>
      <c r="G795" s="275" t="s">
        <v>2803</v>
      </c>
      <c r="H795" s="277">
        <v>9.4</v>
      </c>
      <c r="I795" s="277">
        <v>48.5</v>
      </c>
      <c r="J795" s="277">
        <v>3.14</v>
      </c>
      <c r="K795" s="276">
        <f t="shared" si="12"/>
        <v>6.26</v>
      </c>
      <c r="L795" s="335"/>
    </row>
    <row r="796" spans="1:33">
      <c r="A796" s="279" t="s">
        <v>2837</v>
      </c>
      <c r="B796" s="280" t="s">
        <v>3094</v>
      </c>
      <c r="C796" s="279" t="s">
        <v>3923</v>
      </c>
      <c r="D796" s="275" t="s">
        <v>3056</v>
      </c>
      <c r="E796" s="275" t="s">
        <v>2802</v>
      </c>
      <c r="F796" s="278">
        <v>44099</v>
      </c>
      <c r="G796" s="275" t="s">
        <v>2803</v>
      </c>
      <c r="H796" s="277">
        <v>9.25</v>
      </c>
      <c r="I796" s="277">
        <v>49.26</v>
      </c>
      <c r="J796" s="277">
        <v>2.73</v>
      </c>
      <c r="K796" s="276">
        <f t="shared" si="12"/>
        <v>6.52</v>
      </c>
      <c r="L796" s="335"/>
    </row>
    <row r="797" spans="1:33">
      <c r="A797" s="279" t="s">
        <v>2837</v>
      </c>
      <c r="B797" s="280" t="s">
        <v>3094</v>
      </c>
      <c r="C797" s="279" t="s">
        <v>3924</v>
      </c>
      <c r="D797" s="275" t="s">
        <v>3056</v>
      </c>
      <c r="E797" s="275" t="s">
        <v>2802</v>
      </c>
      <c r="F797" s="278">
        <v>44099</v>
      </c>
      <c r="G797" s="275" t="s">
        <v>2803</v>
      </c>
      <c r="H797" s="277">
        <v>9.25</v>
      </c>
      <c r="I797" s="277">
        <v>49.26</v>
      </c>
      <c r="J797" s="277">
        <v>2.73</v>
      </c>
      <c r="K797" s="276">
        <f t="shared" si="12"/>
        <v>6.52</v>
      </c>
      <c r="L797" s="335"/>
    </row>
    <row r="798" spans="1:33">
      <c r="A798" s="279" t="s">
        <v>2807</v>
      </c>
      <c r="B798" s="280" t="s">
        <v>3136</v>
      </c>
      <c r="C798" s="279" t="s">
        <v>3961</v>
      </c>
      <c r="D798" s="275" t="s">
        <v>3056</v>
      </c>
      <c r="E798" s="275" t="s">
        <v>2802</v>
      </c>
      <c r="F798" s="278">
        <v>44134</v>
      </c>
      <c r="G798" s="275" t="s">
        <v>2803</v>
      </c>
      <c r="H798" s="277">
        <v>9.9</v>
      </c>
      <c r="I798" s="277">
        <v>54.77</v>
      </c>
      <c r="J798" s="277">
        <v>2.84</v>
      </c>
      <c r="K798" s="276">
        <f t="shared" si="12"/>
        <v>7.0600000000000005</v>
      </c>
      <c r="L798" s="335"/>
    </row>
    <row r="799" spans="1:33">
      <c r="A799" s="279" t="s">
        <v>2824</v>
      </c>
      <c r="B799" s="280" t="s">
        <v>3094</v>
      </c>
      <c r="C799" s="279" t="s">
        <v>3962</v>
      </c>
      <c r="D799" s="275" t="s">
        <v>3056</v>
      </c>
      <c r="E799" s="275" t="s">
        <v>2802</v>
      </c>
      <c r="F799" s="278">
        <v>44174</v>
      </c>
      <c r="G799" s="275" t="s">
        <v>2803</v>
      </c>
      <c r="H799" s="277">
        <v>9.1</v>
      </c>
      <c r="I799" s="277">
        <v>51.1</v>
      </c>
      <c r="J799" s="277">
        <v>2.95</v>
      </c>
      <c r="K799" s="276">
        <f t="shared" si="12"/>
        <v>6.1499999999999995</v>
      </c>
      <c r="L799" s="335"/>
    </row>
    <row r="800" spans="1:33">
      <c r="A800" s="279" t="s">
        <v>2805</v>
      </c>
      <c r="B800" s="280" t="s">
        <v>2829</v>
      </c>
      <c r="C800" s="279" t="s">
        <v>3963</v>
      </c>
      <c r="D800" s="275" t="s">
        <v>3056</v>
      </c>
      <c r="E800" s="275" t="s">
        <v>2802</v>
      </c>
      <c r="F800" s="278">
        <v>44181</v>
      </c>
      <c r="G800" s="275" t="s">
        <v>2803</v>
      </c>
      <c r="H800" s="277">
        <v>9.65</v>
      </c>
      <c r="I800" s="277">
        <v>52</v>
      </c>
      <c r="J800" s="277">
        <v>2.85</v>
      </c>
      <c r="K800" s="276">
        <f t="shared" si="12"/>
        <v>6.8000000000000007</v>
      </c>
      <c r="L800" s="335"/>
    </row>
    <row r="801" spans="1:12">
      <c r="A801" s="279" t="s">
        <v>2809</v>
      </c>
      <c r="B801" s="280" t="s">
        <v>2854</v>
      </c>
      <c r="C801" s="279" t="s">
        <v>3964</v>
      </c>
      <c r="D801" s="275" t="s">
        <v>3056</v>
      </c>
      <c r="E801" s="275" t="s">
        <v>2802</v>
      </c>
      <c r="F801" s="278">
        <v>44188</v>
      </c>
      <c r="G801" s="275" t="s">
        <v>2803</v>
      </c>
      <c r="H801" s="277">
        <v>10</v>
      </c>
      <c r="I801" s="277">
        <v>52.53</v>
      </c>
      <c r="J801" s="277">
        <v>2.85</v>
      </c>
      <c r="K801" s="276">
        <f t="shared" si="12"/>
        <v>7.15</v>
      </c>
      <c r="L801" s="335"/>
    </row>
    <row r="802" spans="1:12">
      <c r="A802" s="279" t="s">
        <v>2801</v>
      </c>
      <c r="B802" s="280" t="s">
        <v>2849</v>
      </c>
      <c r="C802" s="279" t="s">
        <v>3965</v>
      </c>
      <c r="D802" s="275" t="s">
        <v>3056</v>
      </c>
      <c r="E802" s="275" t="s">
        <v>2802</v>
      </c>
      <c r="F802" s="278">
        <v>44209</v>
      </c>
      <c r="G802" s="275" t="s">
        <v>2803</v>
      </c>
      <c r="H802" s="277">
        <v>9.67</v>
      </c>
      <c r="I802" s="277">
        <v>52</v>
      </c>
      <c r="J802" s="277">
        <v>2.85</v>
      </c>
      <c r="K802" s="276">
        <f t="shared" si="12"/>
        <v>6.82</v>
      </c>
      <c r="L802" s="335"/>
    </row>
    <row r="803" spans="1:12">
      <c r="A803" s="275" t="s">
        <v>2804</v>
      </c>
      <c r="B803" s="275" t="s">
        <v>3500</v>
      </c>
      <c r="C803" s="275" t="s">
        <v>3966</v>
      </c>
      <c r="D803" s="275" t="s">
        <v>3056</v>
      </c>
      <c r="E803" s="275" t="s">
        <v>2802</v>
      </c>
      <c r="F803" s="278">
        <v>44246</v>
      </c>
      <c r="G803" s="275" t="s">
        <v>2803</v>
      </c>
      <c r="H803" s="274">
        <v>9.86</v>
      </c>
      <c r="I803" s="274">
        <v>54.19</v>
      </c>
      <c r="J803" s="277">
        <v>2.91</v>
      </c>
      <c r="K803" s="276">
        <f t="shared" si="12"/>
        <v>6.9499999999999993</v>
      </c>
      <c r="L803" s="335"/>
    </row>
    <row r="804" spans="1:12">
      <c r="A804" s="275" t="s">
        <v>2805</v>
      </c>
      <c r="B804" s="275" t="s">
        <v>3079</v>
      </c>
      <c r="C804" s="275" t="s">
        <v>4034</v>
      </c>
      <c r="D804" s="275" t="s">
        <v>3056</v>
      </c>
      <c r="E804" s="275" t="s">
        <v>2802</v>
      </c>
      <c r="F804" s="278">
        <v>44295</v>
      </c>
      <c r="G804" s="275" t="s">
        <v>2803</v>
      </c>
      <c r="H804" s="274">
        <v>9.6999999999999993</v>
      </c>
      <c r="I804" s="274">
        <v>52.03</v>
      </c>
      <c r="J804" s="277">
        <v>3.09</v>
      </c>
      <c r="K804" s="276">
        <f t="shared" si="12"/>
        <v>6.6099999999999994</v>
      </c>
      <c r="L804" s="335"/>
    </row>
    <row r="805" spans="1:12">
      <c r="A805" s="275" t="s">
        <v>2842</v>
      </c>
      <c r="B805" s="275" t="s">
        <v>3769</v>
      </c>
      <c r="C805" s="275" t="s">
        <v>4035</v>
      </c>
      <c r="D805" s="275" t="s">
        <v>3056</v>
      </c>
      <c r="E805" s="275" t="s">
        <v>2802</v>
      </c>
      <c r="F805" s="278">
        <v>44334</v>
      </c>
      <c r="G805" s="275" t="s">
        <v>2803</v>
      </c>
      <c r="H805" s="274">
        <v>9.4</v>
      </c>
      <c r="I805" s="274">
        <v>49.1</v>
      </c>
      <c r="J805" s="277">
        <v>3.3</v>
      </c>
      <c r="K805" s="276">
        <f t="shared" si="12"/>
        <v>6.1000000000000005</v>
      </c>
      <c r="L805" s="335"/>
    </row>
    <row r="806" spans="1:12">
      <c r="A806" s="275" t="s">
        <v>2811</v>
      </c>
      <c r="B806" s="275" t="s">
        <v>4033</v>
      </c>
      <c r="C806" s="275" t="s">
        <v>4036</v>
      </c>
      <c r="D806" s="275" t="s">
        <v>3056</v>
      </c>
      <c r="E806" s="275" t="s">
        <v>2802</v>
      </c>
      <c r="F806" s="278">
        <v>44335</v>
      </c>
      <c r="G806" s="275" t="s">
        <v>2803</v>
      </c>
      <c r="H806" s="274">
        <v>8.8000000000000007</v>
      </c>
      <c r="I806" s="274">
        <v>48</v>
      </c>
      <c r="J806" s="277">
        <v>3.3</v>
      </c>
      <c r="K806" s="276">
        <f t="shared" si="12"/>
        <v>5.5000000000000009</v>
      </c>
      <c r="L806" s="335"/>
    </row>
    <row r="807" spans="1:12">
      <c r="A807" s="275" t="s">
        <v>2804</v>
      </c>
      <c r="B807" s="275" t="s">
        <v>4373</v>
      </c>
      <c r="C807" s="275" t="s">
        <v>4037</v>
      </c>
      <c r="D807" s="275" t="s">
        <v>3056</v>
      </c>
      <c r="E807" s="275" t="s">
        <v>2802</v>
      </c>
      <c r="F807" s="278">
        <v>44364</v>
      </c>
      <c r="G807" s="275" t="s">
        <v>2803</v>
      </c>
      <c r="H807" s="274">
        <v>10.24</v>
      </c>
      <c r="I807" s="274">
        <v>53.38</v>
      </c>
      <c r="J807" s="277">
        <v>3.33</v>
      </c>
      <c r="K807" s="276">
        <f t="shared" si="12"/>
        <v>6.91</v>
      </c>
      <c r="L807" s="335"/>
    </row>
    <row r="808" spans="1:12">
      <c r="A808" s="275" t="s">
        <v>2831</v>
      </c>
      <c r="B808" s="275" t="s">
        <v>4019</v>
      </c>
      <c r="C808" s="275" t="s">
        <v>4038</v>
      </c>
      <c r="D808" s="275" t="s">
        <v>3056</v>
      </c>
      <c r="E808" s="275" t="s">
        <v>2802</v>
      </c>
      <c r="F808" s="278">
        <v>44404</v>
      </c>
      <c r="G808" s="275" t="s">
        <v>2803</v>
      </c>
      <c r="H808" s="274">
        <v>9.5399999999999991</v>
      </c>
      <c r="I808" s="274">
        <v>46.26</v>
      </c>
      <c r="J808" s="277">
        <v>3.16</v>
      </c>
      <c r="K808" s="276">
        <f t="shared" si="12"/>
        <v>6.379999999999999</v>
      </c>
      <c r="L808" s="335"/>
    </row>
    <row r="809" spans="1:12">
      <c r="A809" s="275" t="s">
        <v>2801</v>
      </c>
      <c r="B809" s="275" t="s">
        <v>3139</v>
      </c>
      <c r="C809" s="275" t="s">
        <v>4089</v>
      </c>
      <c r="D809" s="275" t="s">
        <v>3056</v>
      </c>
      <c r="E809" s="275" t="s">
        <v>2802</v>
      </c>
      <c r="F809" s="278">
        <v>44447</v>
      </c>
      <c r="G809" s="275" t="s">
        <v>2803</v>
      </c>
      <c r="H809" s="274">
        <v>9.67</v>
      </c>
      <c r="I809" s="274">
        <v>51.58</v>
      </c>
      <c r="J809" s="277">
        <v>2.95</v>
      </c>
      <c r="K809" s="276">
        <f t="shared" si="12"/>
        <v>6.72</v>
      </c>
      <c r="L809" s="335"/>
    </row>
    <row r="810" spans="1:12">
      <c r="A810" s="275" t="s">
        <v>2807</v>
      </c>
      <c r="B810" s="275" t="s">
        <v>3103</v>
      </c>
      <c r="C810" s="275" t="s">
        <v>4090</v>
      </c>
      <c r="D810" s="275" t="s">
        <v>3056</v>
      </c>
      <c r="E810" s="275" t="s">
        <v>2802</v>
      </c>
      <c r="F810" s="278">
        <v>44469</v>
      </c>
      <c r="G810" s="275" t="s">
        <v>2803</v>
      </c>
      <c r="H810" s="274">
        <v>9.6999999999999993</v>
      </c>
      <c r="I810" s="274">
        <v>53.44</v>
      </c>
      <c r="J810" s="277">
        <v>2.95</v>
      </c>
      <c r="K810" s="276">
        <f t="shared" si="12"/>
        <v>6.7499999999999991</v>
      </c>
      <c r="L810" s="335"/>
    </row>
    <row r="811" spans="1:12">
      <c r="A811" s="275" t="s">
        <v>2860</v>
      </c>
      <c r="B811" s="275" t="s">
        <v>3060</v>
      </c>
      <c r="C811" s="275" t="s">
        <v>4369</v>
      </c>
      <c r="D811" s="275" t="s">
        <v>3056</v>
      </c>
      <c r="E811" s="275" t="s">
        <v>2802</v>
      </c>
      <c r="F811" s="278">
        <v>44496</v>
      </c>
      <c r="G811" s="275" t="s">
        <v>2803</v>
      </c>
      <c r="H811" s="274">
        <v>9.3699999999999992</v>
      </c>
      <c r="I811" s="274">
        <v>49.86</v>
      </c>
      <c r="J811" s="277">
        <v>2.96</v>
      </c>
      <c r="K811" s="276">
        <f t="shared" si="12"/>
        <v>6.4099999999999993</v>
      </c>
    </row>
    <row r="812" spans="1:12">
      <c r="A812" s="275" t="s">
        <v>2801</v>
      </c>
      <c r="B812" s="275" t="s">
        <v>3089</v>
      </c>
      <c r="C812" s="275" t="s">
        <v>4095</v>
      </c>
      <c r="D812" s="275" t="s">
        <v>3056</v>
      </c>
      <c r="E812" s="275" t="s">
        <v>2802</v>
      </c>
      <c r="F812" s="278">
        <v>44518</v>
      </c>
      <c r="G812" s="275" t="s">
        <v>2803</v>
      </c>
      <c r="H812" s="274">
        <v>9.75</v>
      </c>
      <c r="I812" s="274">
        <v>54.46</v>
      </c>
      <c r="J812" s="277">
        <v>3.09</v>
      </c>
      <c r="K812" s="276">
        <f t="shared" si="12"/>
        <v>6.66</v>
      </c>
    </row>
    <row r="813" spans="1:12">
      <c r="A813" s="275" t="s">
        <v>2805</v>
      </c>
      <c r="B813" s="275" t="s">
        <v>3086</v>
      </c>
      <c r="C813" s="275" t="s">
        <v>4370</v>
      </c>
      <c r="D813" s="275" t="s">
        <v>3056</v>
      </c>
      <c r="E813" s="275" t="s">
        <v>2802</v>
      </c>
      <c r="F813" s="278">
        <v>44533</v>
      </c>
      <c r="G813" s="275" t="s">
        <v>2803</v>
      </c>
      <c r="H813" s="274">
        <v>9.65</v>
      </c>
      <c r="I813" s="274">
        <v>52.95</v>
      </c>
      <c r="J813" s="277">
        <v>3.09</v>
      </c>
      <c r="K813" s="276">
        <f t="shared" si="12"/>
        <v>6.5600000000000005</v>
      </c>
    </row>
    <row r="814" spans="1:12">
      <c r="A814" s="275" t="s">
        <v>2851</v>
      </c>
      <c r="B814" s="275" t="s">
        <v>3105</v>
      </c>
      <c r="C814" s="275" t="s">
        <v>4371</v>
      </c>
      <c r="D814" s="275" t="s">
        <v>3056</v>
      </c>
      <c r="E814" s="275" t="s">
        <v>2802</v>
      </c>
      <c r="F814" s="278">
        <v>44539</v>
      </c>
      <c r="G814" s="275" t="s">
        <v>2803</v>
      </c>
      <c r="H814" s="274">
        <v>9.9</v>
      </c>
      <c r="I814" s="274">
        <v>39.229999999999997</v>
      </c>
      <c r="J814" s="277">
        <v>3.09</v>
      </c>
      <c r="K814" s="276">
        <f t="shared" si="12"/>
        <v>6.8100000000000005</v>
      </c>
    </row>
    <row r="815" spans="1:12">
      <c r="A815" s="275" t="s">
        <v>2835</v>
      </c>
      <c r="B815" s="275" t="s">
        <v>3075</v>
      </c>
      <c r="C815" s="275" t="s">
        <v>4372</v>
      </c>
      <c r="D815" s="275" t="s">
        <v>3056</v>
      </c>
      <c r="E815" s="275" t="s">
        <v>2802</v>
      </c>
      <c r="F815" s="278">
        <v>44700</v>
      </c>
      <c r="G815" s="275" t="s">
        <v>2803</v>
      </c>
      <c r="H815" s="274">
        <v>9.23</v>
      </c>
      <c r="I815" s="274">
        <v>54.5</v>
      </c>
      <c r="J815" s="277">
        <v>4.32</v>
      </c>
      <c r="K815" s="276">
        <f t="shared" si="12"/>
        <v>4.91</v>
      </c>
    </row>
    <row r="816" spans="1:12">
      <c r="A816" s="275" t="s">
        <v>2856</v>
      </c>
      <c r="B816" s="275" t="s">
        <v>3292</v>
      </c>
      <c r="C816" s="275" t="s">
        <v>4574</v>
      </c>
      <c r="D816" s="275" t="s">
        <v>3056</v>
      </c>
      <c r="E816" s="275" t="s">
        <v>2802</v>
      </c>
      <c r="F816" s="278">
        <v>44844</v>
      </c>
      <c r="G816" s="275" t="s">
        <v>2803</v>
      </c>
      <c r="H816" s="274">
        <v>9.6</v>
      </c>
      <c r="I816" s="274">
        <v>45</v>
      </c>
      <c r="J816" s="277">
        <v>4.76</v>
      </c>
      <c r="K816" s="276">
        <f t="shared" si="12"/>
        <v>4.84</v>
      </c>
    </row>
    <row r="817" spans="1:11">
      <c r="A817" s="275" t="s">
        <v>2822</v>
      </c>
      <c r="B817" s="275" t="s">
        <v>2823</v>
      </c>
      <c r="C817" s="275" t="s">
        <v>4575</v>
      </c>
      <c r="D817" s="275" t="s">
        <v>3056</v>
      </c>
      <c r="E817" s="275" t="s">
        <v>2802</v>
      </c>
      <c r="F817" s="278">
        <v>44859</v>
      </c>
      <c r="G817" s="275" t="s">
        <v>2803</v>
      </c>
      <c r="H817" s="274">
        <v>9.1999999999999993</v>
      </c>
      <c r="I817" s="274">
        <v>53.78</v>
      </c>
      <c r="J817" s="277">
        <v>5.28</v>
      </c>
      <c r="K817" s="276">
        <f t="shared" si="12"/>
        <v>3.919999999999999</v>
      </c>
    </row>
    <row r="818" spans="1:11">
      <c r="A818" s="275" t="s">
        <v>2844</v>
      </c>
      <c r="B818" s="275" t="s">
        <v>2848</v>
      </c>
      <c r="C818" s="275" t="s">
        <v>4576</v>
      </c>
      <c r="D818" s="275" t="s">
        <v>3056</v>
      </c>
      <c r="E818" s="275" t="s">
        <v>2802</v>
      </c>
      <c r="F818" s="278">
        <v>44868</v>
      </c>
      <c r="G818" s="275" t="s">
        <v>2803</v>
      </c>
      <c r="H818" s="274">
        <v>10.199999999999999</v>
      </c>
      <c r="I818" s="274">
        <v>52</v>
      </c>
      <c r="J818" s="277">
        <v>5.28</v>
      </c>
      <c r="K818" s="276">
        <f t="shared" si="12"/>
        <v>4.919999999999999</v>
      </c>
    </row>
    <row r="819" spans="1:11">
      <c r="A819" s="275" t="s">
        <v>2844</v>
      </c>
      <c r="B819" s="275" t="s">
        <v>3084</v>
      </c>
      <c r="C819" s="275" t="s">
        <v>4577</v>
      </c>
      <c r="D819" s="275" t="s">
        <v>3056</v>
      </c>
      <c r="E819" s="275" t="s">
        <v>2802</v>
      </c>
      <c r="F819" s="278">
        <v>44910</v>
      </c>
      <c r="G819" s="275" t="s">
        <v>2803</v>
      </c>
      <c r="H819" s="274">
        <v>9.8000000000000007</v>
      </c>
      <c r="I819" s="274">
        <v>52</v>
      </c>
      <c r="J819" s="277">
        <v>5.75</v>
      </c>
      <c r="K819" s="276">
        <f t="shared" si="12"/>
        <v>4.0500000000000007</v>
      </c>
    </row>
    <row r="820" spans="1:11">
      <c r="A820" s="275" t="s">
        <v>2809</v>
      </c>
      <c r="B820" s="275" t="s">
        <v>2853</v>
      </c>
      <c r="C820" s="275" t="s">
        <v>4578</v>
      </c>
      <c r="D820" s="275" t="s">
        <v>3056</v>
      </c>
      <c r="E820" s="275" t="s">
        <v>2802</v>
      </c>
      <c r="F820" s="278">
        <v>44917</v>
      </c>
      <c r="G820" s="275" t="s">
        <v>2803</v>
      </c>
      <c r="H820" s="274">
        <v>9.8000000000000007</v>
      </c>
      <c r="I820" s="274">
        <v>53.4</v>
      </c>
      <c r="J820" s="277">
        <v>5.75</v>
      </c>
      <c r="K820" s="276">
        <f t="shared" si="12"/>
        <v>4.0500000000000007</v>
      </c>
    </row>
    <row r="821" spans="1:11">
      <c r="A821" s="275" t="s">
        <v>2821</v>
      </c>
      <c r="B821" s="275" t="s">
        <v>4579</v>
      </c>
      <c r="C821" s="275" t="s">
        <v>4580</v>
      </c>
      <c r="D821" s="275" t="s">
        <v>3056</v>
      </c>
      <c r="E821" s="275" t="s">
        <v>2802</v>
      </c>
      <c r="F821" s="278">
        <v>44918</v>
      </c>
      <c r="G821" s="275" t="s">
        <v>2803</v>
      </c>
      <c r="H821" s="274">
        <v>9.6</v>
      </c>
      <c r="I821" s="274">
        <v>51</v>
      </c>
      <c r="J821" s="277">
        <v>5.75</v>
      </c>
      <c r="K821" s="276">
        <f t="shared" si="12"/>
        <v>3.8499999999999996</v>
      </c>
    </row>
    <row r="822" spans="1:11">
      <c r="A822" s="275" t="s">
        <v>2809</v>
      </c>
      <c r="B822" s="275" t="s">
        <v>2879</v>
      </c>
      <c r="C822" s="275" t="s">
        <v>4581</v>
      </c>
      <c r="D822" s="275" t="s">
        <v>3056</v>
      </c>
      <c r="E822" s="275" t="s">
        <v>2802</v>
      </c>
      <c r="F822" s="278">
        <v>44924</v>
      </c>
      <c r="G822" s="275" t="s">
        <v>2803</v>
      </c>
      <c r="H822" s="274">
        <v>9.8000000000000007</v>
      </c>
      <c r="I822" s="274">
        <v>53</v>
      </c>
      <c r="J822" s="277">
        <v>5.75</v>
      </c>
      <c r="K822" s="276">
        <f t="shared" si="12"/>
        <v>4.0500000000000007</v>
      </c>
    </row>
    <row r="823" spans="1:11">
      <c r="A823" s="275" t="s">
        <v>2809</v>
      </c>
      <c r="B823" s="275" t="s">
        <v>3142</v>
      </c>
      <c r="C823" s="275" t="s">
        <v>4582</v>
      </c>
      <c r="D823" s="275" t="s">
        <v>3056</v>
      </c>
      <c r="E823" s="275" t="s">
        <v>2802</v>
      </c>
      <c r="F823" s="278">
        <v>44924</v>
      </c>
      <c r="G823" s="275" t="s">
        <v>2803</v>
      </c>
      <c r="H823" s="274">
        <v>9.8000000000000007</v>
      </c>
      <c r="I823" s="274">
        <v>53</v>
      </c>
      <c r="J823" s="277">
        <v>5.75</v>
      </c>
      <c r="K823" s="276">
        <f t="shared" ref="K823" si="13">H823-J823</f>
        <v>4.0500000000000007</v>
      </c>
    </row>
    <row r="824" spans="1:11">
      <c r="A824" s="275"/>
      <c r="B824" s="275"/>
      <c r="C824" s="275"/>
      <c r="D824" s="275"/>
      <c r="E824" s="275"/>
      <c r="F824" s="278"/>
      <c r="G824" s="275"/>
      <c r="H824" s="274"/>
      <c r="I824" s="274"/>
      <c r="J824" s="277"/>
      <c r="K824" s="276"/>
    </row>
    <row r="825" spans="1:11">
      <c r="A825" s="275"/>
      <c r="B825" s="275"/>
      <c r="C825" s="275"/>
      <c r="D825" s="275"/>
      <c r="E825" s="275"/>
      <c r="F825" s="278"/>
      <c r="G825" s="275"/>
      <c r="H825" s="274"/>
      <c r="I825" s="274"/>
      <c r="J825" s="277"/>
      <c r="K825" s="276"/>
    </row>
    <row r="826" spans="1:11">
      <c r="A826" s="275"/>
      <c r="B826" s="275"/>
      <c r="C826" s="275"/>
      <c r="D826" s="275"/>
      <c r="E826" s="275"/>
      <c r="F826" s="278"/>
      <c r="G826" s="275"/>
      <c r="H826" s="274"/>
      <c r="I826" s="274"/>
      <c r="J826" s="277"/>
      <c r="K826" s="276"/>
    </row>
    <row r="827" spans="1:11">
      <c r="A827" s="275"/>
      <c r="B827" s="275"/>
      <c r="C827" s="275"/>
      <c r="D827" s="275"/>
      <c r="E827" s="275"/>
      <c r="F827" s="278"/>
      <c r="G827" s="275"/>
      <c r="H827" s="274"/>
      <c r="I827" s="274"/>
      <c r="J827" s="277"/>
      <c r="K827" s="276"/>
    </row>
    <row r="828" spans="1:11">
      <c r="A828" s="275"/>
      <c r="B828" s="275"/>
      <c r="C828" s="275"/>
      <c r="D828" s="275"/>
      <c r="E828" s="275"/>
      <c r="F828" s="278"/>
      <c r="G828" s="275"/>
      <c r="H828" s="274"/>
      <c r="I828" s="274"/>
      <c r="J828" s="277"/>
      <c r="K828" s="276"/>
    </row>
    <row r="829" spans="1:11">
      <c r="A829" s="275"/>
      <c r="B829" s="275"/>
      <c r="C829" s="275"/>
      <c r="D829" s="275"/>
      <c r="E829" s="275"/>
      <c r="F829" s="278"/>
      <c r="G829" s="275"/>
      <c r="H829" s="274"/>
      <c r="I829" s="274"/>
      <c r="J829" s="277"/>
      <c r="K829" s="276"/>
    </row>
    <row r="830" spans="1:11">
      <c r="A830" s="275"/>
      <c r="B830" s="275"/>
      <c r="C830" s="275"/>
      <c r="D830" s="275"/>
      <c r="E830" s="275"/>
      <c r="F830" s="278"/>
      <c r="G830" s="275"/>
      <c r="H830" s="274"/>
      <c r="I830" s="274"/>
      <c r="J830" s="277"/>
      <c r="K830" s="276"/>
    </row>
    <row r="831" spans="1:11">
      <c r="A831" s="275"/>
      <c r="B831" s="275"/>
      <c r="C831" s="275"/>
      <c r="D831" s="275"/>
      <c r="E831" s="275"/>
      <c r="F831" s="278"/>
      <c r="G831" s="275"/>
      <c r="H831" s="274"/>
      <c r="I831" s="274"/>
      <c r="J831" s="277"/>
      <c r="K831" s="276"/>
    </row>
    <row r="832" spans="1:11">
      <c r="A832" s="275"/>
      <c r="B832" s="275"/>
      <c r="C832" s="275"/>
      <c r="D832" s="275"/>
      <c r="E832" s="275"/>
      <c r="F832" s="278"/>
      <c r="G832" s="275"/>
      <c r="H832" s="274"/>
      <c r="I832" s="274"/>
      <c r="J832" s="277"/>
      <c r="K832" s="276"/>
    </row>
    <row r="833" spans="1:11">
      <c r="A833" s="275"/>
      <c r="B833" s="275"/>
      <c r="C833" s="275"/>
      <c r="D833" s="275"/>
      <c r="E833" s="275"/>
      <c r="F833" s="278"/>
      <c r="G833" s="275"/>
      <c r="H833" s="274"/>
      <c r="I833" s="274"/>
      <c r="J833" s="277"/>
      <c r="K833" s="276"/>
    </row>
    <row r="834" spans="1:11">
      <c r="A834" s="275"/>
      <c r="B834" s="275"/>
      <c r="C834" s="275"/>
      <c r="D834" s="275"/>
      <c r="E834" s="275"/>
      <c r="F834" s="278"/>
      <c r="G834" s="275"/>
      <c r="H834" s="274"/>
      <c r="I834" s="274"/>
      <c r="J834" s="277"/>
      <c r="K834" s="276"/>
    </row>
    <row r="835" spans="1:11">
      <c r="A835" s="275"/>
      <c r="B835" s="275"/>
      <c r="C835" s="275"/>
      <c r="D835" s="275"/>
      <c r="E835" s="275"/>
      <c r="F835" s="278"/>
      <c r="G835" s="275"/>
      <c r="H835" s="274"/>
      <c r="I835" s="274"/>
      <c r="J835" s="277"/>
      <c r="K835" s="276"/>
    </row>
    <row r="836" spans="1:11">
      <c r="A836" s="275"/>
      <c r="B836" s="275"/>
      <c r="C836" s="275"/>
      <c r="D836" s="275"/>
      <c r="E836" s="275"/>
      <c r="F836" s="278"/>
      <c r="G836" s="275"/>
      <c r="H836" s="274"/>
      <c r="I836" s="274"/>
      <c r="J836" s="277"/>
      <c r="K836" s="276"/>
    </row>
    <row r="837" spans="1:11">
      <c r="A837" s="275"/>
      <c r="B837" s="275"/>
      <c r="C837" s="275"/>
      <c r="D837" s="275"/>
      <c r="E837" s="275"/>
      <c r="F837" s="278"/>
      <c r="G837" s="275"/>
      <c r="H837" s="274"/>
      <c r="I837" s="274"/>
      <c r="J837" s="277"/>
      <c r="K837" s="276"/>
    </row>
    <row r="838" spans="1:11">
      <c r="A838" s="275"/>
      <c r="B838" s="275"/>
      <c r="C838" s="275"/>
      <c r="D838" s="275"/>
      <c r="E838" s="275"/>
      <c r="F838" s="278"/>
      <c r="G838" s="275"/>
      <c r="H838" s="274"/>
      <c r="I838" s="274"/>
      <c r="J838" s="277"/>
      <c r="K838" s="276"/>
    </row>
    <row r="839" spans="1:11">
      <c r="A839" s="275"/>
      <c r="B839" s="275"/>
      <c r="C839" s="275"/>
      <c r="D839" s="275"/>
      <c r="E839" s="275"/>
      <c r="F839" s="278"/>
      <c r="G839" s="275"/>
      <c r="H839" s="274"/>
      <c r="I839" s="274"/>
      <c r="J839" s="277"/>
      <c r="K839" s="276"/>
    </row>
    <row r="840" spans="1:11">
      <c r="A840" s="275"/>
      <c r="B840" s="275"/>
      <c r="C840" s="275"/>
      <c r="D840" s="275"/>
      <c r="E840" s="275"/>
      <c r="F840" s="278"/>
      <c r="G840" s="275"/>
      <c r="H840" s="274"/>
      <c r="I840" s="274"/>
      <c r="J840" s="277"/>
      <c r="K840" s="276"/>
    </row>
    <row r="841" spans="1:11">
      <c r="A841" s="275"/>
      <c r="B841" s="275"/>
      <c r="C841" s="275"/>
      <c r="D841" s="275"/>
      <c r="E841" s="275"/>
      <c r="F841" s="278"/>
      <c r="G841" s="275"/>
      <c r="H841" s="274"/>
      <c r="I841" s="274"/>
      <c r="J841" s="277"/>
      <c r="K841" s="276"/>
    </row>
    <row r="842" spans="1:11">
      <c r="A842" s="275"/>
      <c r="B842" s="275"/>
      <c r="C842" s="275"/>
      <c r="D842" s="275"/>
      <c r="E842" s="275"/>
      <c r="F842" s="278"/>
      <c r="G842" s="275"/>
      <c r="H842" s="274"/>
      <c r="I842" s="274"/>
      <c r="J842" s="277"/>
      <c r="K842" s="276"/>
    </row>
    <row r="843" spans="1:11">
      <c r="A843" s="275"/>
      <c r="B843" s="275"/>
      <c r="C843" s="275"/>
      <c r="D843" s="275"/>
      <c r="E843" s="275"/>
      <c r="F843" s="278"/>
      <c r="G843" s="275"/>
      <c r="H843" s="274"/>
      <c r="I843" s="274"/>
      <c r="J843" s="277"/>
      <c r="K843" s="276"/>
    </row>
    <row r="844" spans="1:11">
      <c r="A844" s="275"/>
      <c r="B844" s="275"/>
      <c r="C844" s="275"/>
      <c r="D844" s="275"/>
      <c r="E844" s="275"/>
      <c r="F844" s="278"/>
      <c r="G844" s="275"/>
      <c r="H844" s="274"/>
      <c r="I844" s="274"/>
      <c r="J844" s="277"/>
      <c r="K844" s="276"/>
    </row>
    <row r="845" spans="1:11">
      <c r="A845" s="275"/>
      <c r="B845" s="275"/>
      <c r="C845" s="275"/>
      <c r="D845" s="275"/>
      <c r="E845" s="275"/>
      <c r="F845" s="278"/>
      <c r="G845" s="275"/>
      <c r="H845" s="274"/>
      <c r="I845" s="274"/>
      <c r="J845" s="277"/>
      <c r="K845" s="276"/>
    </row>
    <row r="846" spans="1:11">
      <c r="A846" s="275"/>
      <c r="B846" s="275"/>
      <c r="C846" s="275"/>
      <c r="D846" s="275"/>
      <c r="E846" s="275"/>
      <c r="F846" s="275"/>
      <c r="G846" s="275"/>
      <c r="H846" s="274"/>
      <c r="I846" s="274"/>
      <c r="J846" s="277"/>
      <c r="K846" s="274"/>
    </row>
    <row r="847" spans="1:11">
      <c r="A847" s="275">
        <f>COUNTA(A6:A823)</f>
        <v>818</v>
      </c>
      <c r="B847" s="275"/>
      <c r="C847" s="275"/>
      <c r="D847" s="275"/>
      <c r="E847" s="275"/>
      <c r="F847" s="275"/>
      <c r="G847" s="275"/>
      <c r="H847" s="274"/>
      <c r="I847" s="274"/>
      <c r="J847" s="275"/>
      <c r="K847" s="274"/>
    </row>
    <row r="848" spans="1:11">
      <c r="A848" s="275"/>
      <c r="B848" s="275"/>
      <c r="C848" s="275"/>
      <c r="D848" s="275"/>
      <c r="E848" s="275"/>
      <c r="F848" s="275"/>
      <c r="G848" s="275"/>
      <c r="H848" s="274"/>
      <c r="I848" s="274"/>
      <c r="J848" s="275"/>
      <c r="K848" s="274"/>
    </row>
    <row r="849" spans="1:11">
      <c r="A849" s="275"/>
      <c r="B849" s="275"/>
      <c r="C849" s="275"/>
      <c r="D849" s="275"/>
      <c r="E849" s="275"/>
      <c r="F849" s="275"/>
      <c r="G849" s="275"/>
      <c r="H849" s="274"/>
      <c r="I849" s="274"/>
      <c r="J849" s="275"/>
      <c r="K849" s="274"/>
    </row>
    <row r="850" spans="1:11">
      <c r="A850" s="275"/>
      <c r="B850" s="275"/>
      <c r="C850" s="275"/>
      <c r="D850" s="275"/>
      <c r="E850" s="275"/>
      <c r="F850" s="275"/>
      <c r="G850" s="275"/>
      <c r="H850" s="274"/>
      <c r="I850" s="274"/>
      <c r="J850" s="275"/>
      <c r="K850" s="274"/>
    </row>
    <row r="851" spans="1:11">
      <c r="A851" s="275"/>
      <c r="B851" s="275"/>
      <c r="C851" s="275"/>
      <c r="D851" s="275"/>
      <c r="E851" s="275"/>
      <c r="F851" s="275"/>
      <c r="G851" s="275"/>
      <c r="H851" s="274"/>
      <c r="I851" s="274"/>
      <c r="J851" s="275"/>
      <c r="K851" s="274"/>
    </row>
    <row r="852" spans="1:11">
      <c r="A852" s="275"/>
      <c r="B852" s="275"/>
      <c r="C852" s="275"/>
      <c r="D852" s="275"/>
      <c r="E852" s="275"/>
      <c r="F852" s="275"/>
      <c r="G852" s="275"/>
      <c r="H852" s="274"/>
      <c r="I852" s="274"/>
      <c r="J852" s="275"/>
      <c r="K852" s="274"/>
    </row>
    <row r="853" spans="1:11">
      <c r="A853" s="275"/>
      <c r="B853" s="275"/>
      <c r="C853" s="275"/>
      <c r="D853" s="275"/>
      <c r="E853" s="275"/>
      <c r="F853" s="275"/>
      <c r="G853" s="275"/>
      <c r="H853" s="274"/>
      <c r="I853" s="274"/>
      <c r="J853" s="275"/>
      <c r="K853" s="274"/>
    </row>
    <row r="854" spans="1:11">
      <c r="A854" s="275"/>
      <c r="B854" s="275"/>
      <c r="C854" s="275"/>
      <c r="D854" s="275"/>
      <c r="E854" s="275"/>
      <c r="F854" s="275"/>
      <c r="G854" s="275"/>
      <c r="H854" s="274"/>
      <c r="I854" s="274"/>
      <c r="J854" s="275"/>
      <c r="K854" s="274"/>
    </row>
    <row r="855" spans="1:11">
      <c r="A855" s="275"/>
      <c r="B855" s="275"/>
      <c r="C855" s="275"/>
      <c r="D855" s="275"/>
      <c r="E855" s="275"/>
      <c r="F855" s="275"/>
      <c r="G855" s="275"/>
      <c r="H855" s="274"/>
      <c r="I855" s="274"/>
      <c r="J855" s="275"/>
      <c r="K855" s="274"/>
    </row>
    <row r="856" spans="1:11">
      <c r="A856" s="275"/>
      <c r="B856" s="275"/>
      <c r="C856" s="275"/>
      <c r="D856" s="275"/>
      <c r="E856" s="275"/>
      <c r="F856" s="275"/>
      <c r="G856" s="275"/>
      <c r="H856" s="274"/>
      <c r="I856" s="274"/>
      <c r="J856" s="275"/>
      <c r="K856" s="274"/>
    </row>
    <row r="857" spans="1:11">
      <c r="A857" s="275"/>
      <c r="B857" s="275"/>
      <c r="C857" s="275"/>
      <c r="D857" s="275"/>
      <c r="E857" s="275"/>
      <c r="F857" s="275"/>
      <c r="G857" s="275"/>
      <c r="H857" s="274"/>
      <c r="I857" s="274"/>
      <c r="J857" s="275"/>
      <c r="K857" s="274"/>
    </row>
    <row r="858" spans="1:11">
      <c r="A858" s="275"/>
      <c r="B858" s="275"/>
      <c r="C858" s="275"/>
      <c r="D858" s="275"/>
      <c r="E858" s="275"/>
      <c r="F858" s="275"/>
      <c r="G858" s="275"/>
      <c r="H858" s="274"/>
      <c r="I858" s="274"/>
      <c r="J858" s="275"/>
      <c r="K858" s="274"/>
    </row>
    <row r="859" spans="1:11">
      <c r="A859" s="275"/>
      <c r="B859" s="275"/>
      <c r="C859" s="275"/>
      <c r="D859" s="275"/>
      <c r="E859" s="275"/>
      <c r="F859" s="275"/>
      <c r="G859" s="275"/>
      <c r="H859" s="274"/>
      <c r="I859" s="274"/>
      <c r="J859" s="275"/>
      <c r="K859" s="274"/>
    </row>
    <row r="860" spans="1:11">
      <c r="A860" s="275"/>
      <c r="B860" s="275"/>
      <c r="C860" s="275"/>
      <c r="D860" s="275"/>
      <c r="E860" s="275"/>
      <c r="F860" s="275"/>
      <c r="G860" s="275"/>
      <c r="H860" s="274"/>
      <c r="I860" s="274"/>
      <c r="J860" s="275"/>
      <c r="K860" s="274"/>
    </row>
    <row r="861" spans="1:11">
      <c r="A861" s="275"/>
      <c r="B861" s="275"/>
      <c r="C861" s="275"/>
      <c r="D861" s="275"/>
      <c r="E861" s="275"/>
      <c r="F861" s="275"/>
      <c r="G861" s="275"/>
      <c r="H861" s="274"/>
      <c r="I861" s="274"/>
      <c r="J861" s="275"/>
      <c r="K861" s="274"/>
    </row>
    <row r="862" spans="1:11">
      <c r="A862" s="275"/>
      <c r="B862" s="275"/>
      <c r="C862" s="275"/>
      <c r="D862" s="275"/>
      <c r="E862" s="275"/>
      <c r="F862" s="275"/>
      <c r="G862" s="275"/>
      <c r="H862" s="274"/>
      <c r="I862" s="274"/>
      <c r="J862" s="275"/>
      <c r="K862" s="274"/>
    </row>
    <row r="863" spans="1:11">
      <c r="A863" s="275"/>
      <c r="B863" s="275"/>
      <c r="C863" s="275"/>
      <c r="D863" s="275"/>
      <c r="E863" s="275"/>
      <c r="F863" s="275"/>
      <c r="G863" s="275"/>
      <c r="H863" s="274"/>
      <c r="I863" s="274"/>
      <c r="J863" s="275"/>
      <c r="K863" s="274"/>
    </row>
    <row r="864" spans="1:11">
      <c r="A864" s="275"/>
      <c r="B864" s="275"/>
      <c r="C864" s="275"/>
      <c r="D864" s="275"/>
      <c r="E864" s="275"/>
      <c r="F864" s="275"/>
      <c r="G864" s="275"/>
      <c r="H864" s="274"/>
      <c r="I864" s="274"/>
      <c r="J864" s="275"/>
      <c r="K864" s="274"/>
    </row>
    <row r="865" spans="1:11">
      <c r="A865" s="275"/>
      <c r="B865" s="275"/>
      <c r="C865" s="275"/>
      <c r="D865" s="275"/>
      <c r="E865" s="275"/>
      <c r="F865" s="275"/>
      <c r="G865" s="275"/>
      <c r="H865" s="274"/>
      <c r="I865" s="274"/>
      <c r="J865" s="275"/>
      <c r="K865" s="274"/>
    </row>
    <row r="866" spans="1:11">
      <c r="A866" s="275"/>
      <c r="B866" s="275"/>
      <c r="C866" s="275"/>
      <c r="D866" s="275"/>
      <c r="E866" s="275"/>
      <c r="F866" s="275"/>
      <c r="G866" s="275"/>
      <c r="H866" s="274"/>
      <c r="I866" s="274"/>
      <c r="J866" s="275"/>
      <c r="K866" s="274"/>
    </row>
    <row r="867" spans="1:11">
      <c r="A867" s="275"/>
      <c r="B867" s="275"/>
      <c r="C867" s="275"/>
      <c r="D867" s="275"/>
      <c r="E867" s="275"/>
      <c r="F867" s="275"/>
      <c r="G867" s="275"/>
      <c r="H867" s="274"/>
      <c r="I867" s="274"/>
      <c r="J867" s="275"/>
      <c r="K867" s="274"/>
    </row>
    <row r="868" spans="1:11">
      <c r="A868" s="275"/>
      <c r="B868" s="275"/>
      <c r="C868" s="275"/>
      <c r="D868" s="275"/>
      <c r="E868" s="275"/>
      <c r="F868" s="275"/>
      <c r="G868" s="275"/>
      <c r="H868" s="274"/>
      <c r="I868" s="274"/>
      <c r="J868" s="275"/>
      <c r="K868" s="274"/>
    </row>
    <row r="869" spans="1:11">
      <c r="A869" s="275"/>
      <c r="B869" s="275"/>
      <c r="C869" s="275"/>
      <c r="D869" s="275"/>
      <c r="E869" s="275"/>
      <c r="F869" s="275"/>
      <c r="G869" s="275"/>
      <c r="H869" s="274"/>
      <c r="I869" s="274"/>
      <c r="J869" s="275"/>
      <c r="K869" s="274"/>
    </row>
    <row r="870" spans="1:11">
      <c r="A870" s="275"/>
      <c r="B870" s="275"/>
      <c r="C870" s="275"/>
      <c r="D870" s="275"/>
      <c r="E870" s="275"/>
      <c r="F870" s="275"/>
      <c r="G870" s="275"/>
      <c r="H870" s="274"/>
      <c r="I870" s="274"/>
      <c r="J870" s="275"/>
      <c r="K870" s="274"/>
    </row>
    <row r="871" spans="1:11">
      <c r="A871" s="275"/>
      <c r="B871" s="275"/>
      <c r="C871" s="275"/>
      <c r="D871" s="275"/>
      <c r="E871" s="275"/>
      <c r="F871" s="275"/>
      <c r="G871" s="275"/>
      <c r="H871" s="274"/>
      <c r="I871" s="274"/>
      <c r="J871" s="275"/>
      <c r="K871" s="274"/>
    </row>
    <row r="872" spans="1:11">
      <c r="A872" s="275"/>
      <c r="B872" s="275"/>
      <c r="C872" s="275"/>
      <c r="D872" s="275"/>
      <c r="E872" s="275"/>
      <c r="F872" s="275"/>
      <c r="G872" s="275"/>
      <c r="H872" s="274"/>
      <c r="I872" s="274"/>
      <c r="J872" s="275"/>
      <c r="K872" s="274"/>
    </row>
    <row r="873" spans="1:11">
      <c r="A873" s="275"/>
      <c r="B873" s="275"/>
      <c r="C873" s="275"/>
      <c r="D873" s="275"/>
      <c r="E873" s="275"/>
      <c r="F873" s="275"/>
      <c r="G873" s="275"/>
      <c r="H873" s="274"/>
      <c r="I873" s="274"/>
      <c r="J873" s="275"/>
      <c r="K873" s="274"/>
    </row>
    <row r="874" spans="1:11">
      <c r="A874" s="275"/>
      <c r="B874" s="275"/>
      <c r="C874" s="275"/>
      <c r="D874" s="275"/>
      <c r="E874" s="275"/>
      <c r="F874" s="275"/>
      <c r="G874" s="275"/>
      <c r="H874" s="274"/>
      <c r="I874" s="274"/>
      <c r="J874" s="275"/>
      <c r="K874" s="274"/>
    </row>
    <row r="875" spans="1:11">
      <c r="A875" s="275"/>
      <c r="B875" s="275"/>
      <c r="C875" s="275"/>
      <c r="D875" s="275"/>
      <c r="E875" s="275"/>
      <c r="F875" s="275"/>
      <c r="G875" s="275"/>
      <c r="H875" s="274"/>
      <c r="I875" s="274"/>
      <c r="J875" s="275"/>
      <c r="K875" s="274"/>
    </row>
    <row r="876" spans="1:11">
      <c r="A876" s="275"/>
      <c r="B876" s="275"/>
      <c r="C876" s="275"/>
      <c r="D876" s="275"/>
      <c r="E876" s="275"/>
      <c r="F876" s="275"/>
      <c r="G876" s="275"/>
      <c r="H876" s="274"/>
      <c r="I876" s="274"/>
      <c r="J876" s="275"/>
      <c r="K876" s="274"/>
    </row>
    <row r="877" spans="1:11">
      <c r="A877" s="275"/>
      <c r="B877" s="275"/>
      <c r="C877" s="275"/>
      <c r="D877" s="275"/>
      <c r="E877" s="275"/>
      <c r="F877" s="275"/>
      <c r="G877" s="275"/>
      <c r="H877" s="274"/>
      <c r="I877" s="274"/>
      <c r="J877" s="275"/>
      <c r="K877" s="274"/>
    </row>
    <row r="878" spans="1:11">
      <c r="A878" s="275"/>
      <c r="B878" s="275"/>
      <c r="C878" s="275"/>
      <c r="D878" s="275"/>
      <c r="E878" s="275"/>
      <c r="F878" s="275"/>
      <c r="G878" s="275"/>
      <c r="H878" s="274"/>
      <c r="I878" s="274"/>
      <c r="J878" s="275"/>
      <c r="K878" s="274"/>
    </row>
    <row r="879" spans="1:11">
      <c r="A879" s="275"/>
      <c r="B879" s="275"/>
      <c r="C879" s="275"/>
      <c r="D879" s="275"/>
      <c r="E879" s="275"/>
      <c r="F879" s="275"/>
      <c r="G879" s="275"/>
      <c r="H879" s="274"/>
      <c r="I879" s="274"/>
      <c r="J879" s="275"/>
      <c r="K879" s="274"/>
    </row>
    <row r="880" spans="1:11">
      <c r="A880" s="275"/>
      <c r="B880" s="275"/>
      <c r="C880" s="275"/>
      <c r="D880" s="275"/>
      <c r="E880" s="275"/>
      <c r="F880" s="275"/>
      <c r="G880" s="275"/>
      <c r="H880" s="274"/>
      <c r="I880" s="274"/>
      <c r="J880" s="275"/>
      <c r="K880" s="274"/>
    </row>
    <row r="881" spans="1:11">
      <c r="A881" s="275"/>
      <c r="B881" s="275"/>
      <c r="C881" s="275"/>
      <c r="D881" s="275"/>
      <c r="E881" s="275"/>
      <c r="F881" s="275"/>
      <c r="G881" s="275"/>
      <c r="H881" s="274"/>
      <c r="I881" s="274"/>
      <c r="J881" s="275"/>
      <c r="K881" s="274"/>
    </row>
    <row r="882" spans="1:11">
      <c r="A882" s="275"/>
      <c r="B882" s="275"/>
      <c r="C882" s="275"/>
      <c r="D882" s="275"/>
      <c r="E882" s="275"/>
      <c r="F882" s="275"/>
      <c r="G882" s="275"/>
      <c r="H882" s="274"/>
      <c r="I882" s="274"/>
      <c r="J882" s="275"/>
      <c r="K882" s="274"/>
    </row>
    <row r="883" spans="1:11">
      <c r="A883" s="275"/>
      <c r="B883" s="275"/>
      <c r="C883" s="275"/>
      <c r="D883" s="275"/>
      <c r="E883" s="275"/>
      <c r="F883" s="275"/>
      <c r="G883" s="275"/>
      <c r="H883" s="274"/>
      <c r="I883" s="274"/>
      <c r="J883" s="275"/>
      <c r="K883" s="274"/>
    </row>
    <row r="884" spans="1:11">
      <c r="A884" s="275"/>
      <c r="B884" s="275"/>
      <c r="C884" s="275"/>
      <c r="D884" s="275"/>
      <c r="E884" s="275"/>
      <c r="F884" s="275"/>
      <c r="G884" s="275"/>
      <c r="H884" s="274"/>
      <c r="I884" s="274"/>
      <c r="J884" s="275"/>
      <c r="K884" s="274"/>
    </row>
    <row r="885" spans="1:11">
      <c r="A885" s="275"/>
      <c r="B885" s="275"/>
      <c r="C885" s="275"/>
      <c r="D885" s="275"/>
      <c r="E885" s="275"/>
      <c r="F885" s="275"/>
      <c r="G885" s="275"/>
      <c r="H885" s="274"/>
      <c r="I885" s="274"/>
      <c r="J885" s="275"/>
      <c r="K885" s="274"/>
    </row>
    <row r="886" spans="1:11">
      <c r="A886" s="275"/>
      <c r="B886" s="275"/>
      <c r="C886" s="275"/>
      <c r="D886" s="275"/>
      <c r="E886" s="275"/>
      <c r="F886" s="275"/>
      <c r="G886" s="275"/>
      <c r="H886" s="274"/>
      <c r="I886" s="274"/>
      <c r="J886" s="275"/>
      <c r="K886" s="274"/>
    </row>
    <row r="887" spans="1:11">
      <c r="A887" s="275"/>
      <c r="B887" s="275"/>
      <c r="C887" s="275"/>
      <c r="D887" s="275"/>
      <c r="E887" s="275"/>
      <c r="F887" s="275"/>
      <c r="G887" s="275"/>
      <c r="H887" s="274"/>
      <c r="I887" s="274"/>
      <c r="J887" s="275"/>
      <c r="K887" s="274"/>
    </row>
    <row r="888" spans="1:11">
      <c r="A888" s="275"/>
      <c r="B888" s="275"/>
      <c r="C888" s="275"/>
      <c r="D888" s="275"/>
      <c r="E888" s="275"/>
      <c r="F888" s="275"/>
      <c r="G888" s="275"/>
      <c r="H888" s="274"/>
      <c r="I888" s="274"/>
      <c r="J888" s="275"/>
      <c r="K888" s="274"/>
    </row>
    <row r="889" spans="1:11">
      <c r="A889" s="275"/>
      <c r="B889" s="275"/>
      <c r="C889" s="275"/>
      <c r="D889" s="275"/>
      <c r="E889" s="275"/>
      <c r="F889" s="275"/>
      <c r="G889" s="275"/>
      <c r="H889" s="274"/>
      <c r="I889" s="274"/>
      <c r="J889" s="275"/>
      <c r="K889" s="274"/>
    </row>
    <row r="890" spans="1:11">
      <c r="A890" s="275"/>
      <c r="B890" s="275"/>
      <c r="C890" s="275"/>
      <c r="D890" s="275"/>
      <c r="E890" s="275"/>
      <c r="F890" s="275"/>
      <c r="G890" s="275"/>
      <c r="H890" s="274"/>
      <c r="I890" s="274"/>
      <c r="J890" s="275"/>
      <c r="K890" s="274"/>
    </row>
    <row r="891" spans="1:11">
      <c r="A891" s="275"/>
      <c r="B891" s="275"/>
      <c r="C891" s="275"/>
      <c r="D891" s="275"/>
      <c r="E891" s="275"/>
      <c r="F891" s="275"/>
      <c r="G891" s="275"/>
      <c r="H891" s="274"/>
      <c r="I891" s="274"/>
      <c r="J891" s="275"/>
      <c r="K891" s="274"/>
    </row>
    <row r="892" spans="1:11">
      <c r="A892" s="275"/>
      <c r="B892" s="275"/>
      <c r="C892" s="275"/>
      <c r="D892" s="275"/>
      <c r="E892" s="275"/>
      <c r="F892" s="275"/>
      <c r="G892" s="275"/>
      <c r="H892" s="274"/>
      <c r="I892" s="274"/>
      <c r="J892" s="275"/>
      <c r="K892" s="274"/>
    </row>
    <row r="893" spans="1:11">
      <c r="A893" s="275"/>
      <c r="B893" s="275"/>
      <c r="C893" s="275"/>
      <c r="D893" s="275"/>
      <c r="E893" s="275"/>
      <c r="F893" s="275"/>
      <c r="G893" s="275"/>
      <c r="H893" s="274"/>
      <c r="I893" s="274"/>
      <c r="J893" s="275"/>
      <c r="K893" s="274"/>
    </row>
    <row r="894" spans="1:11">
      <c r="A894" s="275"/>
      <c r="B894" s="275"/>
      <c r="C894" s="275"/>
      <c r="D894" s="275"/>
      <c r="E894" s="275"/>
      <c r="F894" s="275"/>
      <c r="G894" s="275"/>
      <c r="H894" s="274"/>
      <c r="I894" s="274"/>
      <c r="J894" s="275"/>
      <c r="K894" s="274"/>
    </row>
    <row r="895" spans="1:11">
      <c r="A895" s="275"/>
      <c r="B895" s="275"/>
      <c r="C895" s="275"/>
      <c r="D895" s="275"/>
      <c r="E895" s="275"/>
      <c r="F895" s="275"/>
      <c r="G895" s="275"/>
      <c r="H895" s="274"/>
      <c r="I895" s="274"/>
      <c r="J895" s="275"/>
      <c r="K895" s="274"/>
    </row>
    <row r="896" spans="1:11">
      <c r="A896" s="275"/>
      <c r="B896" s="275"/>
      <c r="C896" s="275"/>
      <c r="D896" s="275"/>
      <c r="E896" s="275"/>
      <c r="F896" s="275"/>
      <c r="G896" s="275"/>
      <c r="H896" s="274"/>
      <c r="I896" s="274"/>
      <c r="J896" s="275"/>
      <c r="K896" s="274"/>
    </row>
    <row r="897" spans="1:11">
      <c r="A897" s="275"/>
      <c r="B897" s="275"/>
      <c r="C897" s="275"/>
      <c r="D897" s="275"/>
      <c r="E897" s="275"/>
      <c r="F897" s="275"/>
      <c r="G897" s="275"/>
      <c r="H897" s="274"/>
      <c r="I897" s="274"/>
      <c r="J897" s="275"/>
      <c r="K897" s="274"/>
    </row>
    <row r="898" spans="1:11">
      <c r="A898" s="275"/>
      <c r="B898" s="275"/>
      <c r="C898" s="275"/>
      <c r="D898" s="275"/>
      <c r="E898" s="275"/>
      <c r="F898" s="275"/>
      <c r="G898" s="275"/>
      <c r="H898" s="274"/>
      <c r="I898" s="274"/>
      <c r="J898" s="275"/>
      <c r="K898" s="274"/>
    </row>
    <row r="899" spans="1:11">
      <c r="A899" s="275"/>
      <c r="B899" s="275"/>
      <c r="C899" s="275"/>
      <c r="D899" s="275"/>
      <c r="E899" s="275"/>
      <c r="F899" s="275"/>
      <c r="G899" s="275"/>
      <c r="H899" s="274"/>
      <c r="I899" s="274"/>
      <c r="J899" s="275"/>
      <c r="K899" s="274"/>
    </row>
    <row r="900" spans="1:11">
      <c r="A900" s="275"/>
      <c r="B900" s="275"/>
      <c r="C900" s="275"/>
      <c r="D900" s="275"/>
      <c r="E900" s="275"/>
      <c r="F900" s="275"/>
      <c r="G900" s="275"/>
      <c r="H900" s="274"/>
      <c r="I900" s="274"/>
      <c r="J900" s="275"/>
      <c r="K900" s="274"/>
    </row>
    <row r="901" spans="1:11">
      <c r="A901" s="275"/>
      <c r="B901" s="275"/>
      <c r="C901" s="275"/>
      <c r="D901" s="275"/>
      <c r="E901" s="275"/>
      <c r="F901" s="275"/>
      <c r="G901" s="275"/>
      <c r="H901" s="274"/>
      <c r="I901" s="274"/>
      <c r="J901" s="275"/>
      <c r="K901" s="274"/>
    </row>
    <row r="902" spans="1:11">
      <c r="A902" s="275"/>
      <c r="B902" s="275"/>
      <c r="C902" s="275"/>
      <c r="D902" s="275"/>
      <c r="E902" s="275"/>
      <c r="F902" s="275"/>
      <c r="G902" s="275"/>
      <c r="H902" s="274"/>
      <c r="I902" s="274"/>
      <c r="J902" s="275"/>
      <c r="K902" s="274"/>
    </row>
    <row r="903" spans="1:11">
      <c r="A903" s="275"/>
      <c r="B903" s="275"/>
      <c r="C903" s="275"/>
      <c r="D903" s="275"/>
      <c r="E903" s="275"/>
      <c r="F903" s="275"/>
      <c r="G903" s="275"/>
      <c r="H903" s="274"/>
      <c r="I903" s="274"/>
      <c r="J903" s="275"/>
      <c r="K903" s="274"/>
    </row>
    <row r="904" spans="1:11">
      <c r="A904" s="275"/>
      <c r="B904" s="275"/>
      <c r="C904" s="275"/>
      <c r="D904" s="275"/>
      <c r="E904" s="275"/>
      <c r="F904" s="275"/>
      <c r="G904" s="275"/>
      <c r="H904" s="274"/>
      <c r="I904" s="274"/>
      <c r="J904" s="275"/>
      <c r="K904" s="274"/>
    </row>
    <row r="905" spans="1:11">
      <c r="A905" s="275"/>
      <c r="B905" s="275"/>
      <c r="C905" s="275"/>
      <c r="D905" s="275"/>
      <c r="E905" s="275"/>
      <c r="F905" s="275"/>
      <c r="G905" s="275"/>
      <c r="H905" s="274"/>
      <c r="I905" s="274"/>
      <c r="J905" s="275"/>
      <c r="K905" s="274"/>
    </row>
    <row r="906" spans="1:11">
      <c r="A906" s="275"/>
      <c r="B906" s="275"/>
      <c r="C906" s="275"/>
      <c r="D906" s="275"/>
      <c r="E906" s="275"/>
      <c r="F906" s="275"/>
      <c r="G906" s="275"/>
      <c r="H906" s="274"/>
      <c r="I906" s="274"/>
      <c r="J906" s="275"/>
      <c r="K906" s="274"/>
    </row>
    <row r="907" spans="1:11">
      <c r="A907" s="275"/>
      <c r="B907" s="275"/>
      <c r="C907" s="275"/>
      <c r="D907" s="275"/>
      <c r="E907" s="275"/>
      <c r="F907" s="275"/>
      <c r="G907" s="275"/>
      <c r="H907" s="274"/>
      <c r="I907" s="274"/>
      <c r="J907" s="275"/>
      <c r="K907" s="274"/>
    </row>
    <row r="908" spans="1:11">
      <c r="A908" s="275"/>
      <c r="B908" s="275"/>
      <c r="C908" s="275"/>
      <c r="D908" s="275"/>
      <c r="E908" s="275"/>
      <c r="F908" s="275"/>
      <c r="G908" s="275"/>
      <c r="H908" s="274"/>
      <c r="I908" s="274"/>
      <c r="J908" s="275"/>
      <c r="K908" s="274"/>
    </row>
    <row r="909" spans="1:11">
      <c r="A909" s="275"/>
      <c r="B909" s="275"/>
      <c r="C909" s="275"/>
      <c r="D909" s="275"/>
      <c r="E909" s="275"/>
      <c r="F909" s="275"/>
      <c r="G909" s="275"/>
      <c r="H909" s="274"/>
      <c r="I909" s="274"/>
      <c r="J909" s="275"/>
      <c r="K909" s="274"/>
    </row>
    <row r="910" spans="1:11">
      <c r="A910" s="275"/>
      <c r="B910" s="275"/>
      <c r="C910" s="275"/>
      <c r="D910" s="275"/>
      <c r="E910" s="275"/>
      <c r="F910" s="275"/>
      <c r="G910" s="275"/>
      <c r="H910" s="274"/>
      <c r="I910" s="274"/>
      <c r="J910" s="275"/>
      <c r="K910" s="274"/>
    </row>
    <row r="911" spans="1:11">
      <c r="A911" s="275"/>
      <c r="B911" s="275"/>
      <c r="C911" s="275"/>
      <c r="D911" s="275"/>
      <c r="E911" s="275"/>
      <c r="F911" s="275"/>
      <c r="G911" s="275"/>
      <c r="H911" s="274"/>
      <c r="I911" s="274"/>
      <c r="J911" s="275"/>
      <c r="K911" s="274"/>
    </row>
    <row r="912" spans="1:11">
      <c r="A912" s="275"/>
      <c r="B912" s="275"/>
      <c r="C912" s="275"/>
      <c r="D912" s="275"/>
      <c r="E912" s="275"/>
      <c r="F912" s="275"/>
      <c r="G912" s="275"/>
      <c r="H912" s="274"/>
      <c r="I912" s="274"/>
      <c r="J912" s="275"/>
      <c r="K912" s="274"/>
    </row>
    <row r="913" spans="1:11">
      <c r="A913" s="275"/>
      <c r="B913" s="275"/>
      <c r="C913" s="275"/>
      <c r="D913" s="275"/>
      <c r="E913" s="275"/>
      <c r="F913" s="275"/>
      <c r="G913" s="275"/>
      <c r="H913" s="274"/>
      <c r="I913" s="274"/>
      <c r="J913" s="275"/>
      <c r="K913" s="274"/>
    </row>
    <row r="914" spans="1:11">
      <c r="A914" s="275"/>
      <c r="B914" s="275"/>
      <c r="C914" s="275"/>
      <c r="D914" s="275"/>
      <c r="E914" s="275"/>
      <c r="F914" s="275"/>
      <c r="G914" s="275"/>
      <c r="H914" s="274"/>
      <c r="I914" s="274"/>
      <c r="J914" s="275"/>
      <c r="K914" s="274"/>
    </row>
    <row r="915" spans="1:11">
      <c r="A915" s="275"/>
      <c r="B915" s="275"/>
      <c r="C915" s="275"/>
      <c r="D915" s="275"/>
      <c r="E915" s="275"/>
      <c r="F915" s="275"/>
      <c r="G915" s="275"/>
      <c r="H915" s="274"/>
      <c r="I915" s="274"/>
      <c r="J915" s="275"/>
      <c r="K915" s="274"/>
    </row>
    <row r="916" spans="1:11">
      <c r="A916" s="275"/>
      <c r="B916" s="275"/>
      <c r="C916" s="275"/>
      <c r="D916" s="275"/>
      <c r="E916" s="275"/>
      <c r="F916" s="275"/>
      <c r="G916" s="275"/>
      <c r="H916" s="274"/>
      <c r="I916" s="274"/>
      <c r="J916" s="275"/>
      <c r="K916" s="274"/>
    </row>
    <row r="917" spans="1:11">
      <c r="A917" s="275"/>
      <c r="B917" s="275"/>
      <c r="C917" s="275"/>
      <c r="D917" s="275"/>
      <c r="E917" s="275"/>
      <c r="F917" s="275"/>
      <c r="G917" s="275"/>
      <c r="H917" s="274"/>
      <c r="I917" s="274"/>
      <c r="J917" s="275"/>
      <c r="K917" s="274"/>
    </row>
    <row r="918" spans="1:11">
      <c r="A918" s="275"/>
      <c r="B918" s="275"/>
      <c r="C918" s="275"/>
      <c r="D918" s="275"/>
      <c r="E918" s="275"/>
      <c r="F918" s="275"/>
      <c r="G918" s="275"/>
      <c r="H918" s="274"/>
      <c r="I918" s="274"/>
      <c r="J918" s="275"/>
      <c r="K918" s="274"/>
    </row>
    <row r="919" spans="1:11">
      <c r="A919" s="275"/>
      <c r="B919" s="275"/>
      <c r="C919" s="275"/>
      <c r="D919" s="275"/>
      <c r="E919" s="275"/>
      <c r="F919" s="275"/>
      <c r="G919" s="275"/>
      <c r="H919" s="274"/>
      <c r="I919" s="274"/>
      <c r="J919" s="275"/>
      <c r="K919" s="274"/>
    </row>
    <row r="920" spans="1:11">
      <c r="A920" s="275"/>
      <c r="B920" s="275"/>
      <c r="C920" s="275"/>
      <c r="D920" s="275"/>
      <c r="E920" s="275"/>
      <c r="F920" s="275"/>
      <c r="G920" s="275"/>
      <c r="H920" s="274"/>
      <c r="I920" s="274"/>
      <c r="J920" s="275"/>
      <c r="K920" s="274"/>
    </row>
    <row r="921" spans="1:11">
      <c r="A921" s="275"/>
      <c r="B921" s="275"/>
      <c r="C921" s="275"/>
      <c r="D921" s="275"/>
      <c r="E921" s="275"/>
      <c r="F921" s="275"/>
      <c r="G921" s="275"/>
      <c r="H921" s="274"/>
      <c r="I921" s="274"/>
      <c r="J921" s="275"/>
      <c r="K921" s="274"/>
    </row>
    <row r="922" spans="1:11">
      <c r="A922" s="275"/>
      <c r="B922" s="275"/>
      <c r="C922" s="275"/>
      <c r="D922" s="275"/>
      <c r="E922" s="275"/>
      <c r="F922" s="275"/>
      <c r="G922" s="275"/>
      <c r="H922" s="274"/>
      <c r="I922" s="274"/>
      <c r="J922" s="275"/>
      <c r="K922" s="274"/>
    </row>
    <row r="923" spans="1:11">
      <c r="A923" s="275"/>
      <c r="B923" s="275"/>
      <c r="C923" s="275"/>
      <c r="D923" s="275"/>
      <c r="E923" s="275"/>
      <c r="F923" s="275"/>
      <c r="G923" s="275"/>
      <c r="H923" s="274"/>
      <c r="I923" s="274"/>
      <c r="J923" s="275"/>
      <c r="K923" s="274"/>
    </row>
    <row r="924" spans="1:11">
      <c r="A924" s="275"/>
      <c r="B924" s="275"/>
      <c r="C924" s="275"/>
      <c r="D924" s="275"/>
      <c r="E924" s="275"/>
      <c r="F924" s="275"/>
      <c r="G924" s="275"/>
      <c r="H924" s="274"/>
      <c r="I924" s="274"/>
      <c r="J924" s="275"/>
      <c r="K924" s="274"/>
    </row>
    <row r="925" spans="1:11">
      <c r="A925" s="275"/>
      <c r="B925" s="275"/>
      <c r="C925" s="275"/>
      <c r="D925" s="275"/>
      <c r="E925" s="275"/>
      <c r="F925" s="275"/>
      <c r="G925" s="275"/>
      <c r="H925" s="274"/>
      <c r="I925" s="274"/>
      <c r="J925" s="275"/>
      <c r="K925" s="274"/>
    </row>
    <row r="926" spans="1:11">
      <c r="A926" s="275"/>
      <c r="B926" s="275"/>
      <c r="C926" s="275"/>
      <c r="D926" s="275"/>
      <c r="E926" s="275"/>
      <c r="F926" s="275"/>
      <c r="G926" s="275"/>
      <c r="H926" s="274"/>
      <c r="I926" s="274"/>
      <c r="J926" s="275"/>
      <c r="K926" s="274"/>
    </row>
    <row r="927" spans="1:11">
      <c r="A927" s="275"/>
      <c r="B927" s="275"/>
      <c r="C927" s="275"/>
      <c r="D927" s="275"/>
      <c r="E927" s="275"/>
      <c r="F927" s="275"/>
      <c r="G927" s="275"/>
      <c r="H927" s="274"/>
      <c r="I927" s="274"/>
      <c r="J927" s="275"/>
      <c r="K927" s="274"/>
    </row>
    <row r="928" spans="1:11">
      <c r="A928" s="275"/>
      <c r="B928" s="275"/>
      <c r="C928" s="275"/>
      <c r="D928" s="275"/>
      <c r="E928" s="275"/>
      <c r="F928" s="275"/>
      <c r="G928" s="275"/>
      <c r="H928" s="274"/>
      <c r="I928" s="274"/>
      <c r="J928" s="275"/>
      <c r="K928" s="274"/>
    </row>
    <row r="929" spans="1:11">
      <c r="A929" s="275"/>
      <c r="B929" s="275"/>
      <c r="C929" s="275"/>
      <c r="D929" s="275"/>
      <c r="E929" s="275"/>
      <c r="F929" s="275"/>
      <c r="G929" s="275"/>
      <c r="H929" s="274"/>
      <c r="I929" s="274"/>
      <c r="J929" s="275"/>
      <c r="K929" s="274"/>
    </row>
    <row r="930" spans="1:11">
      <c r="A930" s="275"/>
      <c r="B930" s="275"/>
      <c r="C930" s="275"/>
      <c r="D930" s="275"/>
      <c r="E930" s="275"/>
      <c r="F930" s="275"/>
      <c r="G930" s="275"/>
      <c r="H930" s="274"/>
      <c r="I930" s="274"/>
      <c r="J930" s="275"/>
      <c r="K930" s="274"/>
    </row>
    <row r="931" spans="1:11">
      <c r="A931" s="275"/>
      <c r="B931" s="275"/>
      <c r="C931" s="275"/>
      <c r="D931" s="275"/>
      <c r="E931" s="275"/>
      <c r="F931" s="275"/>
      <c r="G931" s="275"/>
      <c r="H931" s="274"/>
      <c r="I931" s="274"/>
      <c r="J931" s="275"/>
      <c r="K931" s="274"/>
    </row>
    <row r="932" spans="1:11">
      <c r="A932" s="275"/>
      <c r="B932" s="275"/>
      <c r="C932" s="275"/>
      <c r="D932" s="275"/>
      <c r="E932" s="275"/>
      <c r="F932" s="275"/>
      <c r="G932" s="275"/>
      <c r="H932" s="274"/>
      <c r="I932" s="274"/>
      <c r="J932" s="275"/>
      <c r="K932" s="274"/>
    </row>
    <row r="933" spans="1:11">
      <c r="A933" s="275"/>
      <c r="B933" s="275"/>
      <c r="C933" s="275"/>
      <c r="D933" s="275"/>
      <c r="E933" s="275"/>
      <c r="F933" s="275"/>
      <c r="G933" s="275"/>
      <c r="H933" s="274"/>
      <c r="I933" s="274"/>
      <c r="J933" s="275"/>
      <c r="K933" s="274"/>
    </row>
    <row r="934" spans="1:11">
      <c r="A934" s="275"/>
      <c r="B934" s="275"/>
      <c r="C934" s="275"/>
      <c r="D934" s="275"/>
      <c r="E934" s="275"/>
      <c r="F934" s="275"/>
      <c r="G934" s="275"/>
      <c r="H934" s="274"/>
      <c r="I934" s="274"/>
      <c r="J934" s="275"/>
      <c r="K934" s="274"/>
    </row>
    <row r="935" spans="1:11">
      <c r="A935" s="275"/>
      <c r="B935" s="275"/>
      <c r="C935" s="275"/>
      <c r="D935" s="275"/>
      <c r="E935" s="275"/>
      <c r="F935" s="275"/>
      <c r="G935" s="275"/>
      <c r="H935" s="274"/>
      <c r="I935" s="274"/>
      <c r="J935" s="275"/>
      <c r="K935" s="274"/>
    </row>
    <row r="936" spans="1:11">
      <c r="A936" s="275"/>
      <c r="B936" s="275"/>
      <c r="C936" s="275"/>
      <c r="D936" s="275"/>
      <c r="E936" s="275"/>
      <c r="F936" s="275"/>
      <c r="G936" s="275"/>
      <c r="H936" s="274"/>
      <c r="I936" s="274"/>
      <c r="J936" s="275"/>
      <c r="K936" s="274"/>
    </row>
    <row r="937" spans="1:11">
      <c r="A937" s="275"/>
      <c r="B937" s="275"/>
      <c r="C937" s="275"/>
      <c r="D937" s="275"/>
      <c r="E937" s="275"/>
      <c r="F937" s="275"/>
      <c r="G937" s="275"/>
      <c r="H937" s="274"/>
      <c r="I937" s="274"/>
      <c r="J937" s="275"/>
      <c r="K937" s="274"/>
    </row>
    <row r="938" spans="1:11">
      <c r="A938" s="275"/>
      <c r="B938" s="275"/>
      <c r="C938" s="275"/>
      <c r="D938" s="275"/>
      <c r="E938" s="275"/>
      <c r="F938" s="275"/>
      <c r="G938" s="275"/>
      <c r="H938" s="274"/>
      <c r="I938" s="274"/>
      <c r="J938" s="275"/>
      <c r="K938" s="274"/>
    </row>
    <row r="939" spans="1:11">
      <c r="A939" s="275"/>
      <c r="B939" s="275"/>
      <c r="C939" s="275"/>
      <c r="D939" s="275"/>
      <c r="E939" s="275"/>
      <c r="F939" s="275"/>
      <c r="G939" s="275"/>
      <c r="H939" s="274"/>
      <c r="I939" s="274"/>
      <c r="J939" s="275"/>
      <c r="K939" s="274"/>
    </row>
    <row r="940" spans="1:11">
      <c r="A940" s="275"/>
      <c r="B940" s="275"/>
      <c r="C940" s="275"/>
      <c r="D940" s="275"/>
      <c r="E940" s="275"/>
      <c r="F940" s="275"/>
      <c r="G940" s="275"/>
      <c r="H940" s="274"/>
      <c r="I940" s="274"/>
      <c r="J940" s="275"/>
      <c r="K940" s="274"/>
    </row>
    <row r="941" spans="1:11">
      <c r="A941" s="275"/>
      <c r="B941" s="275"/>
      <c r="C941" s="275"/>
      <c r="D941" s="275"/>
      <c r="E941" s="275"/>
      <c r="F941" s="275"/>
      <c r="G941" s="275"/>
      <c r="H941" s="274"/>
      <c r="I941" s="274"/>
      <c r="J941" s="275"/>
      <c r="K941" s="274"/>
    </row>
    <row r="942" spans="1:11">
      <c r="A942" s="275"/>
      <c r="B942" s="275"/>
      <c r="C942" s="275"/>
      <c r="D942" s="275"/>
      <c r="E942" s="275"/>
      <c r="F942" s="275"/>
      <c r="G942" s="275"/>
      <c r="H942" s="274"/>
      <c r="I942" s="274"/>
      <c r="J942" s="275"/>
      <c r="K942" s="274"/>
    </row>
    <row r="943" spans="1:11">
      <c r="A943" s="275"/>
      <c r="B943" s="275"/>
      <c r="C943" s="275"/>
      <c r="D943" s="275"/>
      <c r="E943" s="275"/>
      <c r="F943" s="275"/>
      <c r="G943" s="275"/>
      <c r="H943" s="274"/>
      <c r="I943" s="274"/>
      <c r="J943" s="275"/>
      <c r="K943" s="274"/>
    </row>
    <row r="944" spans="1:11">
      <c r="A944" s="275"/>
      <c r="B944" s="275"/>
      <c r="C944" s="275"/>
      <c r="D944" s="275"/>
      <c r="E944" s="275"/>
      <c r="F944" s="275"/>
      <c r="G944" s="275"/>
      <c r="H944" s="274"/>
      <c r="I944" s="274"/>
      <c r="J944" s="275"/>
      <c r="K944" s="274"/>
    </row>
    <row r="945" spans="1:11">
      <c r="A945" s="275"/>
      <c r="B945" s="275"/>
      <c r="C945" s="275"/>
      <c r="D945" s="275"/>
      <c r="E945" s="275"/>
      <c r="F945" s="275"/>
      <c r="G945" s="275"/>
      <c r="H945" s="274"/>
      <c r="I945" s="274"/>
      <c r="J945" s="275"/>
      <c r="K945" s="274"/>
    </row>
    <row r="946" spans="1:11">
      <c r="A946" s="275"/>
      <c r="B946" s="275"/>
      <c r="C946" s="275"/>
      <c r="D946" s="275"/>
      <c r="E946" s="275"/>
      <c r="F946" s="275"/>
      <c r="G946" s="275"/>
      <c r="H946" s="274"/>
      <c r="I946" s="274"/>
      <c r="J946" s="275"/>
      <c r="K946" s="274"/>
    </row>
    <row r="947" spans="1:11">
      <c r="A947" s="275"/>
      <c r="B947" s="275"/>
      <c r="C947" s="275"/>
      <c r="D947" s="275"/>
      <c r="E947" s="275"/>
      <c r="F947" s="275"/>
      <c r="G947" s="275"/>
      <c r="H947" s="274"/>
      <c r="I947" s="274"/>
      <c r="J947" s="275"/>
      <c r="K947" s="274"/>
    </row>
    <row r="948" spans="1:11">
      <c r="A948" s="275"/>
      <c r="B948" s="275"/>
      <c r="C948" s="275"/>
      <c r="D948" s="275"/>
      <c r="E948" s="275"/>
      <c r="F948" s="275"/>
      <c r="G948" s="275"/>
      <c r="H948" s="274"/>
      <c r="I948" s="274"/>
      <c r="J948" s="275"/>
      <c r="K948" s="274"/>
    </row>
    <row r="949" spans="1:11">
      <c r="A949" s="275"/>
      <c r="B949" s="275"/>
      <c r="C949" s="275"/>
      <c r="D949" s="275"/>
      <c r="E949" s="275"/>
      <c r="F949" s="275"/>
      <c r="G949" s="275"/>
      <c r="H949" s="274"/>
      <c r="I949" s="274"/>
      <c r="J949" s="275"/>
      <c r="K949" s="274"/>
    </row>
    <row r="950" spans="1:11">
      <c r="A950" s="275"/>
      <c r="B950" s="275"/>
      <c r="C950" s="275"/>
      <c r="D950" s="275"/>
      <c r="E950" s="275"/>
      <c r="F950" s="275"/>
      <c r="G950" s="275"/>
      <c r="H950" s="274"/>
      <c r="I950" s="274"/>
      <c r="J950" s="275"/>
      <c r="K950" s="274"/>
    </row>
    <row r="951" spans="1:11">
      <c r="A951" s="275"/>
      <c r="B951" s="275"/>
      <c r="C951" s="275"/>
      <c r="D951" s="275"/>
      <c r="E951" s="275"/>
      <c r="F951" s="275"/>
      <c r="G951" s="275"/>
      <c r="H951" s="274"/>
      <c r="I951" s="274"/>
      <c r="J951" s="275"/>
      <c r="K951" s="274"/>
    </row>
    <row r="952" spans="1:11">
      <c r="A952" s="275"/>
      <c r="B952" s="275"/>
      <c r="C952" s="275"/>
      <c r="D952" s="275"/>
      <c r="E952" s="275"/>
      <c r="F952" s="275"/>
      <c r="G952" s="275"/>
      <c r="H952" s="274"/>
      <c r="I952" s="274"/>
      <c r="J952" s="275"/>
      <c r="K952" s="274"/>
    </row>
    <row r="953" spans="1:11">
      <c r="A953" s="275"/>
      <c r="B953" s="275"/>
      <c r="C953" s="275"/>
      <c r="D953" s="275"/>
      <c r="E953" s="275"/>
      <c r="F953" s="275"/>
      <c r="G953" s="275"/>
      <c r="H953" s="274"/>
      <c r="I953" s="274"/>
      <c r="J953" s="275"/>
      <c r="K953" s="274"/>
    </row>
    <row r="954" spans="1:11">
      <c r="A954" s="275"/>
      <c r="B954" s="275"/>
      <c r="C954" s="275"/>
      <c r="D954" s="275"/>
      <c r="E954" s="275"/>
      <c r="F954" s="275"/>
      <c r="G954" s="275"/>
      <c r="H954" s="274"/>
      <c r="I954" s="274"/>
      <c r="J954" s="275"/>
      <c r="K954" s="274"/>
    </row>
    <row r="955" spans="1:11">
      <c r="A955" s="275"/>
      <c r="B955" s="275"/>
      <c r="C955" s="275"/>
      <c r="D955" s="275"/>
      <c r="E955" s="275"/>
      <c r="F955" s="275"/>
      <c r="G955" s="275"/>
      <c r="H955" s="274"/>
      <c r="I955" s="274"/>
      <c r="J955" s="275"/>
      <c r="K955" s="274"/>
    </row>
    <row r="956" spans="1:11">
      <c r="A956" s="275"/>
      <c r="B956" s="275"/>
      <c r="C956" s="275"/>
      <c r="D956" s="275"/>
      <c r="E956" s="275"/>
      <c r="F956" s="275"/>
      <c r="G956" s="275"/>
      <c r="H956" s="274"/>
      <c r="I956" s="274"/>
      <c r="J956" s="275"/>
      <c r="K956" s="274"/>
    </row>
    <row r="957" spans="1:11">
      <c r="A957" s="275"/>
      <c r="B957" s="275"/>
      <c r="C957" s="275"/>
      <c r="D957" s="275"/>
      <c r="E957" s="275"/>
      <c r="F957" s="275"/>
      <c r="G957" s="275"/>
      <c r="H957" s="274"/>
      <c r="I957" s="274"/>
      <c r="J957" s="275"/>
      <c r="K957" s="274"/>
    </row>
    <row r="958" spans="1:11">
      <c r="A958" s="275"/>
      <c r="B958" s="275"/>
      <c r="C958" s="275"/>
      <c r="D958" s="275"/>
      <c r="E958" s="275"/>
      <c r="F958" s="275"/>
      <c r="G958" s="275"/>
      <c r="H958" s="274"/>
      <c r="I958" s="274"/>
      <c r="J958" s="275"/>
      <c r="K958" s="274"/>
    </row>
    <row r="959" spans="1:11">
      <c r="A959" s="275"/>
      <c r="B959" s="275"/>
      <c r="C959" s="275"/>
      <c r="D959" s="275"/>
      <c r="E959" s="275"/>
      <c r="F959" s="275"/>
      <c r="G959" s="275"/>
      <c r="H959" s="274"/>
      <c r="I959" s="274"/>
      <c r="J959" s="275"/>
      <c r="K959" s="274"/>
    </row>
    <row r="960" spans="1:11">
      <c r="A960" s="275"/>
      <c r="B960" s="275"/>
      <c r="C960" s="275"/>
      <c r="D960" s="275"/>
      <c r="E960" s="275"/>
      <c r="F960" s="275"/>
      <c r="G960" s="275"/>
      <c r="H960" s="274"/>
      <c r="I960" s="274"/>
      <c r="J960" s="275"/>
      <c r="K960" s="274"/>
    </row>
    <row r="961" spans="1:11">
      <c r="A961" s="275"/>
      <c r="B961" s="275"/>
      <c r="C961" s="275"/>
      <c r="D961" s="275"/>
      <c r="E961" s="275"/>
      <c r="F961" s="275"/>
      <c r="G961" s="275"/>
      <c r="H961" s="274"/>
      <c r="I961" s="274"/>
      <c r="J961" s="275"/>
      <c r="K961" s="274"/>
    </row>
    <row r="962" spans="1:11">
      <c r="A962" s="275"/>
      <c r="B962" s="275"/>
      <c r="C962" s="275"/>
      <c r="D962" s="275"/>
      <c r="E962" s="275"/>
      <c r="F962" s="275"/>
      <c r="G962" s="275"/>
      <c r="H962" s="274"/>
      <c r="I962" s="274"/>
      <c r="J962" s="275"/>
      <c r="K962" s="274"/>
    </row>
    <row r="963" spans="1:11">
      <c r="A963" s="275"/>
      <c r="B963" s="275"/>
      <c r="C963" s="275"/>
      <c r="D963" s="275"/>
      <c r="E963" s="275"/>
      <c r="F963" s="275"/>
      <c r="G963" s="275"/>
      <c r="H963" s="274"/>
      <c r="I963" s="274"/>
      <c r="J963" s="275"/>
      <c r="K963" s="274"/>
    </row>
    <row r="964" spans="1:11">
      <c r="A964" s="275"/>
      <c r="B964" s="275"/>
      <c r="C964" s="275"/>
      <c r="D964" s="275"/>
      <c r="E964" s="275"/>
      <c r="F964" s="275"/>
      <c r="G964" s="275"/>
      <c r="H964" s="274"/>
      <c r="I964" s="274"/>
      <c r="J964" s="275"/>
      <c r="K964" s="274"/>
    </row>
    <row r="965" spans="1:11">
      <c r="A965" s="275"/>
      <c r="B965" s="275"/>
      <c r="C965" s="275"/>
      <c r="D965" s="275"/>
      <c r="E965" s="275"/>
      <c r="F965" s="275"/>
      <c r="G965" s="275"/>
      <c r="H965" s="274"/>
      <c r="I965" s="274"/>
      <c r="J965" s="275"/>
      <c r="K965" s="274"/>
    </row>
    <row r="966" spans="1:11">
      <c r="A966" s="275"/>
      <c r="B966" s="275"/>
      <c r="C966" s="275"/>
      <c r="D966" s="275"/>
      <c r="E966" s="275"/>
      <c r="F966" s="275"/>
      <c r="G966" s="275"/>
      <c r="H966" s="274"/>
      <c r="I966" s="274"/>
      <c r="J966" s="275"/>
      <c r="K966" s="274"/>
    </row>
    <row r="967" spans="1:11">
      <c r="A967" s="275"/>
      <c r="B967" s="275"/>
      <c r="C967" s="275"/>
      <c r="D967" s="275"/>
      <c r="E967" s="275"/>
      <c r="F967" s="275"/>
      <c r="G967" s="275"/>
      <c r="H967" s="274"/>
      <c r="I967" s="274"/>
      <c r="J967" s="275"/>
      <c r="K967" s="274"/>
    </row>
    <row r="968" spans="1:11">
      <c r="A968" s="275"/>
      <c r="B968" s="275"/>
      <c r="C968" s="275"/>
      <c r="D968" s="275"/>
      <c r="E968" s="275"/>
      <c r="F968" s="275"/>
      <c r="G968" s="275"/>
      <c r="H968" s="274"/>
      <c r="I968" s="274"/>
      <c r="J968" s="275"/>
      <c r="K968" s="274"/>
    </row>
    <row r="969" spans="1:11">
      <c r="A969" s="275"/>
      <c r="B969" s="275"/>
      <c r="C969" s="275"/>
      <c r="D969" s="275"/>
      <c r="E969" s="275"/>
      <c r="F969" s="275"/>
      <c r="G969" s="275"/>
      <c r="H969" s="274"/>
      <c r="I969" s="274"/>
      <c r="J969" s="275"/>
      <c r="K969" s="274"/>
    </row>
    <row r="970" spans="1:11">
      <c r="A970" s="275"/>
      <c r="B970" s="275"/>
      <c r="C970" s="275"/>
      <c r="D970" s="275"/>
      <c r="E970" s="275"/>
      <c r="F970" s="275"/>
      <c r="G970" s="275"/>
      <c r="H970" s="274"/>
      <c r="I970" s="274"/>
      <c r="J970" s="275"/>
      <c r="K970" s="274"/>
    </row>
    <row r="971" spans="1:11">
      <c r="A971" s="275"/>
      <c r="B971" s="275"/>
      <c r="C971" s="275"/>
      <c r="D971" s="275"/>
      <c r="E971" s="275"/>
      <c r="F971" s="275"/>
      <c r="G971" s="275"/>
      <c r="H971" s="274"/>
      <c r="I971" s="274"/>
      <c r="J971" s="275"/>
      <c r="K971" s="274"/>
    </row>
    <row r="972" spans="1:11">
      <c r="A972" s="275"/>
      <c r="B972" s="275"/>
      <c r="C972" s="275"/>
      <c r="D972" s="275"/>
      <c r="E972" s="275"/>
      <c r="F972" s="275"/>
      <c r="G972" s="275"/>
      <c r="H972" s="274"/>
      <c r="I972" s="274"/>
      <c r="J972" s="275"/>
      <c r="K972" s="274"/>
    </row>
    <row r="973" spans="1:11">
      <c r="A973" s="275"/>
      <c r="B973" s="275"/>
      <c r="C973" s="275"/>
      <c r="D973" s="275"/>
      <c r="E973" s="275"/>
      <c r="F973" s="275"/>
      <c r="G973" s="275"/>
      <c r="H973" s="274"/>
      <c r="I973" s="274"/>
      <c r="J973" s="275"/>
      <c r="K973" s="274"/>
    </row>
    <row r="974" spans="1:11">
      <c r="A974" s="275"/>
      <c r="B974" s="275"/>
      <c r="C974" s="275"/>
      <c r="D974" s="275"/>
      <c r="E974" s="275"/>
      <c r="F974" s="275"/>
      <c r="G974" s="275"/>
      <c r="H974" s="274"/>
      <c r="I974" s="274"/>
      <c r="J974" s="275"/>
      <c r="K974" s="274"/>
    </row>
    <row r="975" spans="1:11">
      <c r="A975" s="275"/>
      <c r="B975" s="275"/>
      <c r="C975" s="275"/>
      <c r="D975" s="275"/>
      <c r="E975" s="275"/>
      <c r="F975" s="275"/>
      <c r="G975" s="275"/>
      <c r="H975" s="274"/>
      <c r="I975" s="274"/>
      <c r="J975" s="275"/>
      <c r="K975" s="274"/>
    </row>
    <row r="976" spans="1:11">
      <c r="A976" s="275"/>
      <c r="B976" s="275"/>
      <c r="C976" s="275"/>
      <c r="D976" s="275"/>
      <c r="E976" s="275"/>
      <c r="F976" s="275"/>
      <c r="G976" s="275"/>
      <c r="H976" s="274"/>
      <c r="I976" s="274"/>
      <c r="J976" s="275"/>
      <c r="K976" s="274"/>
    </row>
    <row r="977" spans="1:11">
      <c r="A977" s="275"/>
      <c r="B977" s="275"/>
      <c r="C977" s="275"/>
      <c r="D977" s="275"/>
      <c r="E977" s="275"/>
      <c r="F977" s="275"/>
      <c r="G977" s="275"/>
      <c r="H977" s="274"/>
      <c r="I977" s="274"/>
      <c r="J977" s="275"/>
      <c r="K977" s="274"/>
    </row>
    <row r="978" spans="1:11">
      <c r="A978" s="275"/>
      <c r="B978" s="275"/>
      <c r="C978" s="275"/>
      <c r="D978" s="275"/>
      <c r="E978" s="275"/>
      <c r="F978" s="275"/>
      <c r="G978" s="275"/>
      <c r="H978" s="274"/>
      <c r="I978" s="274"/>
      <c r="J978" s="275"/>
      <c r="K978" s="274"/>
    </row>
    <row r="979" spans="1:11">
      <c r="A979" s="275"/>
      <c r="B979" s="275"/>
      <c r="C979" s="275"/>
      <c r="D979" s="275"/>
      <c r="E979" s="275"/>
      <c r="F979" s="275"/>
      <c r="G979" s="275"/>
      <c r="H979" s="274"/>
      <c r="I979" s="274"/>
      <c r="J979" s="275"/>
      <c r="K979" s="274"/>
    </row>
    <row r="980" spans="1:11">
      <c r="A980" s="275"/>
      <c r="B980" s="275"/>
      <c r="C980" s="275"/>
      <c r="D980" s="275"/>
      <c r="E980" s="275"/>
      <c r="F980" s="275"/>
      <c r="G980" s="275"/>
      <c r="H980" s="274"/>
      <c r="I980" s="274"/>
      <c r="J980" s="275"/>
      <c r="K980" s="274"/>
    </row>
    <row r="981" spans="1:11">
      <c r="A981" s="275"/>
      <c r="B981" s="275"/>
      <c r="C981" s="275"/>
      <c r="D981" s="275"/>
      <c r="E981" s="275"/>
      <c r="F981" s="275"/>
      <c r="G981" s="275"/>
      <c r="H981" s="274"/>
      <c r="I981" s="274"/>
      <c r="J981" s="275"/>
      <c r="K981" s="274"/>
    </row>
    <row r="982" spans="1:11">
      <c r="A982" s="275"/>
      <c r="B982" s="275"/>
      <c r="C982" s="275"/>
      <c r="D982" s="275"/>
      <c r="E982" s="275"/>
      <c r="F982" s="275"/>
      <c r="G982" s="275"/>
      <c r="H982" s="274"/>
      <c r="I982" s="274"/>
      <c r="J982" s="275"/>
      <c r="K982" s="274"/>
    </row>
    <row r="983" spans="1:11">
      <c r="A983" s="275"/>
      <c r="B983" s="275"/>
      <c r="C983" s="275"/>
      <c r="D983" s="275"/>
      <c r="E983" s="275"/>
      <c r="F983" s="275"/>
      <c r="G983" s="275"/>
      <c r="H983" s="274"/>
      <c r="I983" s="274"/>
      <c r="J983" s="275"/>
      <c r="K983" s="274"/>
    </row>
    <row r="984" spans="1:11">
      <c r="A984" s="275"/>
      <c r="B984" s="275"/>
      <c r="C984" s="275"/>
      <c r="D984" s="275"/>
      <c r="E984" s="275"/>
      <c r="F984" s="275"/>
      <c r="G984" s="275"/>
      <c r="H984" s="274"/>
      <c r="I984" s="274"/>
      <c r="J984" s="275"/>
      <c r="K984" s="274"/>
    </row>
    <row r="985" spans="1:11">
      <c r="A985" s="275"/>
      <c r="B985" s="275"/>
      <c r="C985" s="275"/>
      <c r="D985" s="275"/>
      <c r="E985" s="275"/>
      <c r="F985" s="275"/>
      <c r="G985" s="275"/>
      <c r="H985" s="274"/>
      <c r="I985" s="274"/>
      <c r="J985" s="275"/>
      <c r="K985" s="274"/>
    </row>
    <row r="986" spans="1:11">
      <c r="A986" s="275"/>
      <c r="B986" s="275"/>
      <c r="C986" s="275"/>
      <c r="D986" s="275"/>
      <c r="E986" s="275"/>
      <c r="F986" s="275"/>
      <c r="G986" s="275"/>
      <c r="H986" s="274"/>
      <c r="I986" s="274"/>
      <c r="J986" s="275"/>
      <c r="K986" s="274"/>
    </row>
    <row r="987" spans="1:11">
      <c r="A987" s="275"/>
      <c r="B987" s="275"/>
      <c r="C987" s="275"/>
      <c r="D987" s="275"/>
      <c r="E987" s="275"/>
      <c r="F987" s="275"/>
      <c r="G987" s="275"/>
      <c r="H987" s="274"/>
      <c r="I987" s="274"/>
      <c r="J987" s="275"/>
      <c r="K987" s="274"/>
    </row>
    <row r="988" spans="1:11">
      <c r="A988" s="275"/>
      <c r="B988" s="275"/>
      <c r="C988" s="275"/>
      <c r="D988" s="275"/>
      <c r="E988" s="275"/>
      <c r="F988" s="275"/>
      <c r="G988" s="275"/>
      <c r="H988" s="274"/>
      <c r="I988" s="274"/>
      <c r="J988" s="275"/>
      <c r="K988" s="274"/>
    </row>
    <row r="989" spans="1:11">
      <c r="A989" s="275"/>
      <c r="B989" s="275"/>
      <c r="C989" s="275"/>
      <c r="D989" s="275"/>
      <c r="E989" s="275"/>
      <c r="F989" s="275"/>
      <c r="G989" s="275"/>
      <c r="H989" s="274"/>
      <c r="I989" s="274"/>
      <c r="J989" s="275"/>
      <c r="K989" s="274"/>
    </row>
    <row r="990" spans="1:11">
      <c r="A990" s="275"/>
      <c r="B990" s="275"/>
      <c r="C990" s="275"/>
      <c r="D990" s="275"/>
      <c r="E990" s="275"/>
      <c r="F990" s="275"/>
      <c r="G990" s="275"/>
      <c r="H990" s="274"/>
      <c r="I990" s="274"/>
      <c r="J990" s="275"/>
      <c r="K990" s="274"/>
    </row>
    <row r="991" spans="1:11">
      <c r="A991" s="275"/>
      <c r="B991" s="275"/>
      <c r="C991" s="275"/>
      <c r="D991" s="275"/>
      <c r="E991" s="275"/>
      <c r="F991" s="275"/>
      <c r="G991" s="275"/>
      <c r="H991" s="274"/>
      <c r="I991" s="274"/>
      <c r="J991" s="275"/>
      <c r="K991" s="274"/>
    </row>
    <row r="992" spans="1:11">
      <c r="A992" s="275"/>
      <c r="B992" s="275"/>
      <c r="C992" s="275"/>
      <c r="D992" s="275"/>
      <c r="E992" s="275"/>
      <c r="F992" s="275"/>
      <c r="G992" s="275"/>
      <c r="H992" s="274"/>
      <c r="I992" s="274"/>
      <c r="J992" s="275"/>
      <c r="K992" s="274"/>
    </row>
    <row r="993" spans="1:11">
      <c r="A993" s="275"/>
      <c r="B993" s="275"/>
      <c r="C993" s="275"/>
      <c r="D993" s="275"/>
      <c r="E993" s="275"/>
      <c r="F993" s="275"/>
      <c r="G993" s="275"/>
      <c r="H993" s="274"/>
      <c r="I993" s="274"/>
      <c r="J993" s="275"/>
      <c r="K993" s="274"/>
    </row>
    <row r="994" spans="1:11">
      <c r="A994" s="275"/>
      <c r="B994" s="275"/>
      <c r="C994" s="275"/>
      <c r="D994" s="275"/>
      <c r="E994" s="275"/>
      <c r="F994" s="275"/>
      <c r="G994" s="275"/>
      <c r="H994" s="274"/>
      <c r="I994" s="274"/>
      <c r="J994" s="275"/>
      <c r="K994" s="274"/>
    </row>
    <row r="995" spans="1:11">
      <c r="A995" s="275"/>
      <c r="B995" s="275"/>
      <c r="C995" s="275"/>
      <c r="D995" s="275"/>
      <c r="E995" s="275"/>
      <c r="F995" s="275"/>
      <c r="G995" s="275"/>
      <c r="H995" s="274"/>
      <c r="I995" s="274"/>
      <c r="J995" s="275"/>
      <c r="K995" s="274"/>
    </row>
    <row r="996" spans="1:11">
      <c r="A996" s="275"/>
      <c r="B996" s="275"/>
      <c r="C996" s="275"/>
      <c r="D996" s="275"/>
      <c r="E996" s="275"/>
      <c r="F996" s="275"/>
      <c r="G996" s="275"/>
      <c r="H996" s="274"/>
      <c r="I996" s="274"/>
      <c r="J996" s="275"/>
      <c r="K996" s="274"/>
    </row>
    <row r="997" spans="1:11">
      <c r="A997" s="275"/>
      <c r="B997" s="275"/>
      <c r="C997" s="275"/>
      <c r="D997" s="275"/>
      <c r="E997" s="275"/>
      <c r="F997" s="275"/>
      <c r="G997" s="275"/>
      <c r="H997" s="274"/>
      <c r="I997" s="274"/>
      <c r="J997" s="275"/>
      <c r="K997" s="274"/>
    </row>
    <row r="998" spans="1:11">
      <c r="A998" s="275"/>
      <c r="B998" s="275"/>
      <c r="C998" s="275"/>
      <c r="D998" s="275"/>
      <c r="E998" s="275"/>
      <c r="F998" s="275"/>
      <c r="G998" s="275"/>
      <c r="H998" s="274"/>
      <c r="I998" s="274"/>
      <c r="J998" s="275"/>
      <c r="K998" s="274"/>
    </row>
    <row r="999" spans="1:11">
      <c r="A999" s="275"/>
      <c r="B999" s="275"/>
      <c r="C999" s="275"/>
      <c r="D999" s="275"/>
      <c r="E999" s="275"/>
      <c r="F999" s="275"/>
      <c r="G999" s="275"/>
      <c r="H999" s="274"/>
      <c r="I999" s="274"/>
      <c r="J999" s="275"/>
      <c r="K999" s="274"/>
    </row>
    <row r="1000" spans="1:11">
      <c r="A1000" s="275"/>
      <c r="B1000" s="275"/>
      <c r="C1000" s="275"/>
      <c r="D1000" s="275"/>
      <c r="E1000" s="275"/>
      <c r="F1000" s="275"/>
      <c r="G1000" s="275"/>
      <c r="H1000" s="274"/>
      <c r="I1000" s="274"/>
      <c r="J1000" s="275"/>
      <c r="K1000" s="274"/>
    </row>
    <row r="1001" spans="1:11">
      <c r="A1001" s="275"/>
      <c r="B1001" s="275"/>
      <c r="C1001" s="275"/>
      <c r="D1001" s="275"/>
      <c r="E1001" s="275"/>
      <c r="F1001" s="275"/>
      <c r="G1001" s="275"/>
      <c r="H1001" s="274"/>
      <c r="I1001" s="274"/>
      <c r="J1001" s="275"/>
      <c r="K1001" s="274"/>
    </row>
    <row r="1002" spans="1:11">
      <c r="A1002" s="275"/>
      <c r="B1002" s="275"/>
      <c r="C1002" s="275"/>
      <c r="D1002" s="275"/>
      <c r="E1002" s="275"/>
      <c r="F1002" s="275"/>
      <c r="G1002" s="275"/>
      <c r="H1002" s="274"/>
      <c r="I1002" s="274"/>
      <c r="J1002" s="275"/>
      <c r="K1002" s="274"/>
    </row>
    <row r="1003" spans="1:11">
      <c r="A1003" s="275"/>
      <c r="B1003" s="275"/>
      <c r="C1003" s="275"/>
      <c r="D1003" s="275"/>
      <c r="E1003" s="275"/>
      <c r="F1003" s="275"/>
      <c r="G1003" s="275"/>
      <c r="H1003" s="274"/>
      <c r="I1003" s="274"/>
      <c r="J1003" s="275"/>
      <c r="K1003" s="274"/>
    </row>
    <row r="1004" spans="1:11">
      <c r="A1004" s="275"/>
      <c r="B1004" s="275"/>
      <c r="C1004" s="275"/>
      <c r="D1004" s="275"/>
      <c r="E1004" s="275"/>
      <c r="F1004" s="275"/>
      <c r="G1004" s="275"/>
      <c r="H1004" s="274"/>
      <c r="I1004" s="274"/>
      <c r="J1004" s="275"/>
      <c r="K1004" s="274"/>
    </row>
    <row r="1005" spans="1:11">
      <c r="A1005" s="275"/>
      <c r="B1005" s="275"/>
      <c r="C1005" s="275"/>
      <c r="D1005" s="275"/>
      <c r="E1005" s="275"/>
      <c r="F1005" s="275"/>
      <c r="G1005" s="275"/>
      <c r="H1005" s="274"/>
      <c r="I1005" s="274"/>
      <c r="J1005" s="275"/>
      <c r="K1005" s="274"/>
    </row>
    <row r="1006" spans="1:11">
      <c r="A1006" s="275"/>
      <c r="B1006" s="275"/>
      <c r="C1006" s="275"/>
      <c r="D1006" s="275"/>
      <c r="E1006" s="275"/>
      <c r="F1006" s="275"/>
      <c r="G1006" s="275"/>
      <c r="H1006" s="274"/>
      <c r="I1006" s="274"/>
      <c r="J1006" s="275"/>
      <c r="K1006" s="274"/>
    </row>
    <row r="1007" spans="1:11">
      <c r="A1007" s="275"/>
      <c r="B1007" s="275"/>
      <c r="C1007" s="275"/>
      <c r="D1007" s="275"/>
      <c r="E1007" s="275"/>
      <c r="F1007" s="275"/>
      <c r="G1007" s="275"/>
      <c r="H1007" s="274"/>
      <c r="I1007" s="274"/>
      <c r="J1007" s="275"/>
      <c r="K1007" s="274"/>
    </row>
    <row r="1008" spans="1:11">
      <c r="A1008" s="275"/>
      <c r="B1008" s="275"/>
      <c r="C1008" s="275"/>
      <c r="D1008" s="275"/>
      <c r="E1008" s="275"/>
      <c r="F1008" s="275"/>
      <c r="G1008" s="275"/>
      <c r="H1008" s="274"/>
      <c r="I1008" s="274"/>
      <c r="J1008" s="275"/>
      <c r="K1008" s="274"/>
    </row>
    <row r="1009" spans="1:11">
      <c r="A1009" s="275"/>
      <c r="B1009" s="275"/>
      <c r="C1009" s="275"/>
      <c r="D1009" s="275"/>
      <c r="E1009" s="275"/>
      <c r="F1009" s="275"/>
      <c r="G1009" s="275"/>
      <c r="H1009" s="274"/>
      <c r="I1009" s="274"/>
      <c r="J1009" s="275"/>
      <c r="K1009" s="274"/>
    </row>
    <row r="1010" spans="1:11">
      <c r="A1010" s="275"/>
      <c r="B1010" s="275"/>
      <c r="C1010" s="275"/>
      <c r="D1010" s="275"/>
      <c r="E1010" s="275"/>
      <c r="F1010" s="275"/>
      <c r="G1010" s="275"/>
      <c r="H1010" s="274"/>
      <c r="I1010" s="274"/>
      <c r="J1010" s="275"/>
      <c r="K1010" s="274"/>
    </row>
    <row r="1011" spans="1:11">
      <c r="A1011" s="275"/>
      <c r="B1011" s="275"/>
      <c r="C1011" s="275"/>
      <c r="D1011" s="275"/>
      <c r="E1011" s="275"/>
      <c r="F1011" s="275"/>
      <c r="G1011" s="275"/>
      <c r="H1011" s="274"/>
      <c r="I1011" s="274"/>
      <c r="J1011" s="275"/>
      <c r="K1011" s="274"/>
    </row>
    <row r="1012" spans="1:11">
      <c r="A1012" s="275"/>
      <c r="B1012" s="275"/>
      <c r="C1012" s="275"/>
      <c r="D1012" s="275"/>
      <c r="E1012" s="275"/>
      <c r="F1012" s="275"/>
      <c r="G1012" s="275"/>
      <c r="H1012" s="274"/>
      <c r="I1012" s="274"/>
      <c r="J1012" s="275"/>
      <c r="K1012" s="274"/>
    </row>
    <row r="1013" spans="1:11">
      <c r="A1013" s="275"/>
      <c r="B1013" s="275"/>
      <c r="C1013" s="275"/>
      <c r="D1013" s="275"/>
      <c r="E1013" s="275"/>
      <c r="F1013" s="275"/>
      <c r="G1013" s="275"/>
      <c r="H1013" s="274"/>
      <c r="I1013" s="274"/>
      <c r="J1013" s="275"/>
      <c r="K1013" s="274"/>
    </row>
    <row r="1014" spans="1:11">
      <c r="A1014" s="275"/>
      <c r="B1014" s="275"/>
      <c r="C1014" s="275"/>
      <c r="D1014" s="275"/>
      <c r="E1014" s="275"/>
      <c r="F1014" s="275"/>
      <c r="G1014" s="275"/>
      <c r="H1014" s="274"/>
      <c r="I1014" s="274"/>
      <c r="J1014" s="275"/>
      <c r="K1014" s="274"/>
    </row>
    <row r="1015" spans="1:11">
      <c r="A1015" s="275"/>
      <c r="B1015" s="275"/>
      <c r="C1015" s="275"/>
      <c r="D1015" s="275"/>
      <c r="E1015" s="275"/>
      <c r="F1015" s="275"/>
      <c r="G1015" s="275"/>
      <c r="H1015" s="274"/>
      <c r="I1015" s="274"/>
      <c r="J1015" s="275"/>
      <c r="K1015" s="274"/>
    </row>
    <row r="1016" spans="1:11">
      <c r="A1016" s="275"/>
      <c r="B1016" s="275"/>
      <c r="C1016" s="275"/>
      <c r="D1016" s="275"/>
      <c r="E1016" s="275"/>
      <c r="F1016" s="275"/>
      <c r="G1016" s="275"/>
      <c r="H1016" s="274"/>
      <c r="I1016" s="274"/>
      <c r="J1016" s="275"/>
      <c r="K1016" s="274"/>
    </row>
    <row r="1017" spans="1:11">
      <c r="A1017" s="275"/>
      <c r="B1017" s="275"/>
      <c r="C1017" s="275"/>
      <c r="D1017" s="275"/>
      <c r="E1017" s="275"/>
      <c r="F1017" s="275"/>
      <c r="G1017" s="275"/>
      <c r="H1017" s="274"/>
      <c r="I1017" s="274"/>
      <c r="J1017" s="275"/>
      <c r="K1017" s="274"/>
    </row>
    <row r="1018" spans="1:11">
      <c r="A1018" s="275"/>
      <c r="B1018" s="275"/>
      <c r="C1018" s="275"/>
      <c r="D1018" s="275"/>
      <c r="E1018" s="275"/>
      <c r="F1018" s="275"/>
      <c r="G1018" s="275"/>
      <c r="H1018" s="274"/>
      <c r="I1018" s="274"/>
      <c r="J1018" s="275"/>
      <c r="K1018" s="274"/>
    </row>
    <row r="1019" spans="1:11">
      <c r="A1019" s="275"/>
      <c r="B1019" s="275"/>
      <c r="C1019" s="275"/>
      <c r="D1019" s="275"/>
      <c r="E1019" s="275"/>
      <c r="F1019" s="275"/>
      <c r="G1019" s="275"/>
      <c r="H1019" s="274"/>
      <c r="I1019" s="274"/>
      <c r="J1019" s="275"/>
      <c r="K1019" s="274"/>
    </row>
    <row r="1020" spans="1:11">
      <c r="A1020" s="275"/>
      <c r="B1020" s="275"/>
      <c r="C1020" s="275"/>
      <c r="D1020" s="275"/>
      <c r="E1020" s="275"/>
      <c r="F1020" s="275"/>
      <c r="G1020" s="275"/>
      <c r="H1020" s="274"/>
      <c r="I1020" s="274"/>
      <c r="J1020" s="275"/>
      <c r="K1020" s="274"/>
    </row>
    <row r="1021" spans="1:11">
      <c r="A1021" s="275"/>
      <c r="B1021" s="275"/>
      <c r="C1021" s="275"/>
      <c r="D1021" s="275"/>
      <c r="E1021" s="275"/>
      <c r="F1021" s="275"/>
      <c r="G1021" s="275"/>
      <c r="H1021" s="274"/>
      <c r="I1021" s="274"/>
      <c r="J1021" s="275"/>
      <c r="K1021" s="274"/>
    </row>
    <row r="1022" spans="1:11">
      <c r="A1022" s="275"/>
      <c r="B1022" s="275"/>
      <c r="C1022" s="275"/>
      <c r="D1022" s="275"/>
      <c r="E1022" s="275"/>
      <c r="F1022" s="275"/>
      <c r="G1022" s="275"/>
      <c r="H1022" s="274"/>
      <c r="I1022" s="274"/>
      <c r="J1022" s="275"/>
      <c r="K1022" s="274"/>
    </row>
    <row r="1023" spans="1:11">
      <c r="A1023" s="275"/>
      <c r="B1023" s="275"/>
      <c r="C1023" s="275"/>
      <c r="D1023" s="275"/>
      <c r="E1023" s="275"/>
      <c r="F1023" s="275"/>
      <c r="G1023" s="275"/>
      <c r="H1023" s="274"/>
      <c r="I1023" s="274"/>
      <c r="J1023" s="275"/>
      <c r="K1023" s="274"/>
    </row>
    <row r="1024" spans="1:11">
      <c r="A1024" s="275"/>
      <c r="B1024" s="275"/>
      <c r="C1024" s="275"/>
      <c r="D1024" s="275"/>
      <c r="E1024" s="275"/>
      <c r="F1024" s="275"/>
      <c r="G1024" s="275"/>
      <c r="H1024" s="274"/>
      <c r="I1024" s="274"/>
      <c r="J1024" s="275"/>
      <c r="K1024" s="274"/>
    </row>
    <row r="1025" spans="1:11">
      <c r="A1025" s="275"/>
      <c r="B1025" s="275"/>
      <c r="C1025" s="275"/>
      <c r="D1025" s="275"/>
      <c r="E1025" s="275"/>
      <c r="F1025" s="275"/>
      <c r="G1025" s="275"/>
      <c r="H1025" s="274"/>
      <c r="I1025" s="274"/>
      <c r="J1025" s="275"/>
      <c r="K1025" s="274"/>
    </row>
    <row r="1026" spans="1:11">
      <c r="A1026" s="275"/>
      <c r="B1026" s="275"/>
      <c r="C1026" s="275"/>
      <c r="D1026" s="275"/>
      <c r="E1026" s="275"/>
      <c r="F1026" s="275"/>
      <c r="G1026" s="275"/>
      <c r="H1026" s="274"/>
      <c r="I1026" s="274"/>
      <c r="J1026" s="275"/>
      <c r="K1026" s="274"/>
    </row>
    <row r="1027" spans="1:11">
      <c r="A1027" s="275"/>
      <c r="B1027" s="275"/>
      <c r="C1027" s="275"/>
      <c r="D1027" s="275"/>
      <c r="E1027" s="275"/>
      <c r="F1027" s="275"/>
      <c r="G1027" s="275"/>
      <c r="H1027" s="274"/>
      <c r="I1027" s="274"/>
      <c r="J1027" s="275"/>
      <c r="K1027" s="274"/>
    </row>
    <row r="1028" spans="1:11">
      <c r="A1028" s="275"/>
      <c r="B1028" s="275"/>
      <c r="C1028" s="275"/>
      <c r="D1028" s="275"/>
      <c r="E1028" s="275"/>
      <c r="F1028" s="275"/>
      <c r="G1028" s="275"/>
      <c r="H1028" s="274"/>
      <c r="I1028" s="274"/>
      <c r="J1028" s="275"/>
      <c r="K1028" s="274"/>
    </row>
    <row r="1029" spans="1:11">
      <c r="A1029" s="275"/>
      <c r="B1029" s="275"/>
      <c r="C1029" s="275"/>
      <c r="D1029" s="275"/>
      <c r="E1029" s="275"/>
      <c r="F1029" s="275"/>
      <c r="G1029" s="275"/>
      <c r="H1029" s="274"/>
      <c r="I1029" s="274"/>
      <c r="J1029" s="275"/>
      <c r="K1029" s="274"/>
    </row>
    <row r="1030" spans="1:11">
      <c r="A1030" s="275"/>
      <c r="B1030" s="275"/>
      <c r="C1030" s="275"/>
      <c r="D1030" s="275"/>
      <c r="E1030" s="275"/>
      <c r="F1030" s="275"/>
      <c r="G1030" s="275"/>
      <c r="H1030" s="274"/>
      <c r="I1030" s="274"/>
      <c r="J1030" s="275"/>
      <c r="K1030" s="274"/>
    </row>
    <row r="1031" spans="1:11">
      <c r="A1031" s="275"/>
      <c r="B1031" s="275"/>
      <c r="C1031" s="275"/>
      <c r="D1031" s="275"/>
      <c r="E1031" s="275"/>
      <c r="F1031" s="275"/>
      <c r="G1031" s="275"/>
      <c r="H1031" s="274"/>
      <c r="I1031" s="274"/>
      <c r="J1031" s="275"/>
      <c r="K1031" s="274"/>
    </row>
    <row r="1032" spans="1:11">
      <c r="A1032" s="275"/>
      <c r="B1032" s="275"/>
      <c r="C1032" s="275"/>
      <c r="D1032" s="275"/>
      <c r="E1032" s="275"/>
      <c r="F1032" s="275"/>
      <c r="G1032" s="275"/>
      <c r="H1032" s="274"/>
      <c r="I1032" s="274"/>
      <c r="J1032" s="275"/>
      <c r="K1032" s="274"/>
    </row>
    <row r="1033" spans="1:11">
      <c r="A1033" s="275"/>
      <c r="B1033" s="275"/>
      <c r="C1033" s="275"/>
      <c r="D1033" s="275"/>
      <c r="E1033" s="275"/>
      <c r="F1033" s="275"/>
      <c r="G1033" s="275"/>
      <c r="H1033" s="274"/>
      <c r="I1033" s="274"/>
      <c r="J1033" s="275"/>
      <c r="K1033" s="274"/>
    </row>
    <row r="1034" spans="1:11">
      <c r="A1034" s="275"/>
      <c r="B1034" s="275"/>
      <c r="C1034" s="275"/>
      <c r="D1034" s="275"/>
      <c r="E1034" s="275"/>
      <c r="F1034" s="275"/>
      <c r="G1034" s="275"/>
      <c r="H1034" s="274"/>
      <c r="I1034" s="274"/>
      <c r="J1034" s="275"/>
      <c r="K1034" s="274"/>
    </row>
    <row r="1035" spans="1:11">
      <c r="A1035" s="275"/>
      <c r="B1035" s="275"/>
      <c r="C1035" s="275"/>
      <c r="D1035" s="275"/>
      <c r="E1035" s="275"/>
      <c r="F1035" s="275"/>
      <c r="G1035" s="275"/>
      <c r="H1035" s="274"/>
      <c r="I1035" s="274"/>
      <c r="J1035" s="275"/>
      <c r="K1035" s="274"/>
    </row>
    <row r="1036" spans="1:11">
      <c r="A1036" s="275"/>
      <c r="B1036" s="275"/>
      <c r="C1036" s="275"/>
      <c r="D1036" s="275"/>
      <c r="E1036" s="275"/>
      <c r="F1036" s="275"/>
      <c r="G1036" s="275"/>
      <c r="H1036" s="274"/>
      <c r="I1036" s="274"/>
      <c r="J1036" s="275"/>
      <c r="K1036" s="274"/>
    </row>
    <row r="1037" spans="1:11">
      <c r="A1037" s="275"/>
      <c r="B1037" s="275"/>
      <c r="C1037" s="275"/>
      <c r="D1037" s="275"/>
      <c r="E1037" s="275"/>
      <c r="F1037" s="275"/>
      <c r="G1037" s="275"/>
      <c r="H1037" s="274"/>
      <c r="I1037" s="274"/>
      <c r="J1037" s="275"/>
      <c r="K1037" s="274"/>
    </row>
    <row r="1038" spans="1:11">
      <c r="A1038" s="275"/>
      <c r="B1038" s="275"/>
      <c r="C1038" s="275"/>
      <c r="D1038" s="275"/>
      <c r="E1038" s="275"/>
      <c r="F1038" s="275"/>
      <c r="G1038" s="275"/>
      <c r="H1038" s="274"/>
      <c r="I1038" s="274"/>
      <c r="J1038" s="275"/>
      <c r="K1038" s="274"/>
    </row>
    <row r="1039" spans="1:11">
      <c r="A1039" s="275"/>
      <c r="B1039" s="275"/>
      <c r="C1039" s="275"/>
      <c r="D1039" s="275"/>
      <c r="E1039" s="275"/>
      <c r="F1039" s="275"/>
      <c r="G1039" s="275"/>
      <c r="H1039" s="274"/>
      <c r="I1039" s="274"/>
      <c r="J1039" s="275"/>
      <c r="K1039" s="274"/>
    </row>
    <row r="1040" spans="1:11">
      <c r="A1040" s="275"/>
      <c r="B1040" s="275"/>
      <c r="C1040" s="275"/>
      <c r="D1040" s="275"/>
      <c r="E1040" s="275"/>
      <c r="F1040" s="275"/>
      <c r="G1040" s="275"/>
      <c r="H1040" s="274"/>
      <c r="I1040" s="274"/>
      <c r="J1040" s="275"/>
      <c r="K1040" s="274"/>
    </row>
    <row r="1041" spans="1:11">
      <c r="A1041" s="275"/>
      <c r="B1041" s="275"/>
      <c r="C1041" s="275"/>
      <c r="D1041" s="275"/>
      <c r="E1041" s="275"/>
      <c r="F1041" s="275"/>
      <c r="G1041" s="275"/>
      <c r="H1041" s="274"/>
      <c r="I1041" s="274"/>
      <c r="J1041" s="275"/>
      <c r="K1041" s="274"/>
    </row>
    <row r="1042" spans="1:11">
      <c r="A1042" s="275"/>
      <c r="B1042" s="275"/>
      <c r="C1042" s="275"/>
      <c r="D1042" s="275"/>
      <c r="E1042" s="275"/>
      <c r="F1042" s="275"/>
      <c r="G1042" s="275"/>
      <c r="H1042" s="274"/>
      <c r="I1042" s="274"/>
      <c r="J1042" s="275"/>
      <c r="K1042" s="274"/>
    </row>
    <row r="1043" spans="1:11">
      <c r="A1043" s="275"/>
      <c r="B1043" s="275"/>
      <c r="C1043" s="275"/>
      <c r="D1043" s="275"/>
      <c r="E1043" s="275"/>
      <c r="F1043" s="275"/>
      <c r="G1043" s="275"/>
      <c r="H1043" s="274"/>
      <c r="I1043" s="274"/>
      <c r="J1043" s="275"/>
      <c r="K1043" s="274"/>
    </row>
    <row r="1044" spans="1:11">
      <c r="A1044" s="275"/>
      <c r="B1044" s="275"/>
      <c r="C1044" s="275"/>
      <c r="D1044" s="275"/>
      <c r="E1044" s="275"/>
      <c r="F1044" s="275"/>
      <c r="G1044" s="275"/>
      <c r="H1044" s="274"/>
      <c r="I1044" s="274"/>
      <c r="J1044" s="275"/>
      <c r="K1044" s="274"/>
    </row>
    <row r="1045" spans="1:11">
      <c r="A1045" s="275"/>
      <c r="B1045" s="275"/>
      <c r="C1045" s="275"/>
      <c r="D1045" s="275"/>
      <c r="E1045" s="275"/>
      <c r="F1045" s="275"/>
      <c r="G1045" s="275"/>
      <c r="H1045" s="274"/>
      <c r="I1045" s="274"/>
      <c r="J1045" s="275"/>
      <c r="K1045" s="274"/>
    </row>
    <row r="1046" spans="1:11">
      <c r="A1046" s="275"/>
      <c r="B1046" s="275"/>
      <c r="C1046" s="275"/>
      <c r="D1046" s="275"/>
      <c r="E1046" s="275"/>
      <c r="F1046" s="275"/>
      <c r="G1046" s="275"/>
      <c r="H1046" s="274"/>
      <c r="I1046" s="274"/>
      <c r="J1046" s="275"/>
      <c r="K1046" s="274"/>
    </row>
    <row r="1047" spans="1:11">
      <c r="A1047" s="275"/>
      <c r="B1047" s="275"/>
      <c r="C1047" s="275"/>
      <c r="D1047" s="275"/>
      <c r="E1047" s="275"/>
      <c r="F1047" s="275"/>
      <c r="G1047" s="275"/>
      <c r="H1047" s="274"/>
      <c r="I1047" s="274"/>
      <c r="J1047" s="275"/>
      <c r="K1047" s="274"/>
    </row>
    <row r="1048" spans="1:11">
      <c r="A1048" s="275"/>
      <c r="B1048" s="275"/>
      <c r="C1048" s="275"/>
      <c r="D1048" s="275"/>
      <c r="E1048" s="275"/>
      <c r="F1048" s="275"/>
      <c r="G1048" s="275"/>
      <c r="H1048" s="274"/>
      <c r="I1048" s="274"/>
      <c r="J1048" s="275"/>
      <c r="K1048" s="274"/>
    </row>
    <row r="1049" spans="1:11">
      <c r="A1049" s="275"/>
      <c r="B1049" s="275"/>
      <c r="C1049" s="275"/>
      <c r="D1049" s="275"/>
      <c r="E1049" s="275"/>
      <c r="F1049" s="275"/>
      <c r="G1049" s="275"/>
      <c r="H1049" s="274"/>
      <c r="I1049" s="274"/>
      <c r="J1049" s="275"/>
      <c r="K1049" s="274"/>
    </row>
    <row r="1050" spans="1:11">
      <c r="A1050" s="275"/>
      <c r="B1050" s="275"/>
      <c r="C1050" s="275"/>
      <c r="D1050" s="275"/>
      <c r="E1050" s="275"/>
      <c r="F1050" s="275"/>
      <c r="G1050" s="275"/>
      <c r="H1050" s="274"/>
      <c r="I1050" s="274"/>
      <c r="J1050" s="275"/>
      <c r="K1050" s="274"/>
    </row>
    <row r="1051" spans="1:11">
      <c r="A1051" s="275"/>
      <c r="B1051" s="275"/>
      <c r="C1051" s="275"/>
      <c r="D1051" s="275"/>
      <c r="E1051" s="275"/>
      <c r="F1051" s="275"/>
      <c r="G1051" s="275"/>
      <c r="H1051" s="274"/>
      <c r="I1051" s="274"/>
      <c r="J1051" s="275"/>
      <c r="K1051" s="274"/>
    </row>
    <row r="1052" spans="1:11">
      <c r="A1052" s="275"/>
      <c r="B1052" s="275"/>
      <c r="C1052" s="275"/>
      <c r="D1052" s="275"/>
      <c r="E1052" s="275"/>
      <c r="F1052" s="275"/>
      <c r="G1052" s="275"/>
      <c r="H1052" s="274"/>
      <c r="I1052" s="274"/>
      <c r="J1052" s="275"/>
      <c r="K1052" s="274"/>
    </row>
    <row r="1053" spans="1:11">
      <c r="A1053" s="275"/>
      <c r="B1053" s="275"/>
      <c r="C1053" s="275"/>
      <c r="D1053" s="275"/>
      <c r="E1053" s="275"/>
      <c r="F1053" s="275"/>
      <c r="G1053" s="275"/>
      <c r="H1053" s="274"/>
      <c r="I1053" s="274"/>
      <c r="J1053" s="275"/>
      <c r="K1053" s="274"/>
    </row>
    <row r="1054" spans="1:11">
      <c r="A1054" s="275"/>
      <c r="B1054" s="275"/>
      <c r="C1054" s="275"/>
      <c r="D1054" s="275"/>
      <c r="E1054" s="275"/>
      <c r="F1054" s="275"/>
      <c r="G1054" s="275"/>
      <c r="H1054" s="274"/>
      <c r="I1054" s="274"/>
      <c r="J1054" s="275"/>
      <c r="K1054" s="274"/>
    </row>
    <row r="1055" spans="1:11">
      <c r="A1055" s="275"/>
      <c r="B1055" s="275"/>
      <c r="C1055" s="275"/>
      <c r="D1055" s="275"/>
      <c r="E1055" s="275"/>
      <c r="F1055" s="275"/>
      <c r="G1055" s="275"/>
      <c r="H1055" s="274"/>
      <c r="I1055" s="274"/>
      <c r="J1055" s="275"/>
      <c r="K1055" s="274"/>
    </row>
    <row r="1056" spans="1:11">
      <c r="A1056" s="275"/>
      <c r="B1056" s="275"/>
      <c r="C1056" s="275"/>
      <c r="D1056" s="275"/>
      <c r="E1056" s="275"/>
      <c r="F1056" s="275"/>
      <c r="G1056" s="275"/>
      <c r="H1056" s="274"/>
      <c r="I1056" s="274"/>
      <c r="J1056" s="275"/>
      <c r="K1056" s="274"/>
    </row>
    <row r="1057" spans="1:11">
      <c r="A1057" s="275"/>
      <c r="B1057" s="275"/>
      <c r="C1057" s="275"/>
      <c r="D1057" s="275"/>
      <c r="E1057" s="275"/>
      <c r="F1057" s="275"/>
      <c r="G1057" s="275"/>
      <c r="H1057" s="274"/>
      <c r="I1057" s="274"/>
      <c r="J1057" s="275"/>
      <c r="K1057" s="274"/>
    </row>
    <row r="1058" spans="1:11">
      <c r="A1058" s="275"/>
      <c r="B1058" s="275"/>
      <c r="C1058" s="275"/>
      <c r="D1058" s="275"/>
      <c r="E1058" s="275"/>
      <c r="F1058" s="275"/>
      <c r="G1058" s="275"/>
      <c r="H1058" s="274"/>
      <c r="I1058" s="274"/>
      <c r="J1058" s="275"/>
      <c r="K1058" s="274"/>
    </row>
    <row r="1059" spans="1:11">
      <c r="A1059" s="275"/>
      <c r="B1059" s="275"/>
      <c r="C1059" s="275"/>
      <c r="D1059" s="275"/>
      <c r="E1059" s="275"/>
      <c r="F1059" s="275"/>
      <c r="G1059" s="275"/>
      <c r="H1059" s="274"/>
      <c r="I1059" s="274"/>
      <c r="J1059" s="275"/>
      <c r="K1059" s="274"/>
    </row>
    <row r="1060" spans="1:11">
      <c r="A1060" s="275"/>
      <c r="B1060" s="275"/>
      <c r="C1060" s="275"/>
      <c r="D1060" s="275"/>
      <c r="E1060" s="275"/>
      <c r="F1060" s="275"/>
      <c r="G1060" s="275"/>
      <c r="H1060" s="274"/>
      <c r="I1060" s="274"/>
      <c r="J1060" s="275"/>
      <c r="K1060" s="274"/>
    </row>
    <row r="1061" spans="1:11">
      <c r="A1061" s="275"/>
      <c r="B1061" s="275"/>
      <c r="C1061" s="275"/>
      <c r="D1061" s="275"/>
      <c r="E1061" s="275"/>
      <c r="F1061" s="275"/>
      <c r="G1061" s="275"/>
      <c r="H1061" s="274"/>
      <c r="I1061" s="274"/>
      <c r="J1061" s="275"/>
      <c r="K1061" s="274"/>
    </row>
    <row r="1062" spans="1:11">
      <c r="A1062" s="275"/>
      <c r="B1062" s="275"/>
      <c r="C1062" s="275"/>
      <c r="D1062" s="275"/>
      <c r="E1062" s="275"/>
      <c r="F1062" s="275"/>
      <c r="G1062" s="275"/>
      <c r="H1062" s="274"/>
      <c r="I1062" s="274"/>
      <c r="J1062" s="275"/>
      <c r="K1062" s="274"/>
    </row>
    <row r="1063" spans="1:11">
      <c r="A1063" s="275"/>
      <c r="B1063" s="275"/>
      <c r="C1063" s="275"/>
      <c r="D1063" s="275"/>
      <c r="E1063" s="275"/>
      <c r="F1063" s="275"/>
      <c r="G1063" s="275"/>
      <c r="H1063" s="274"/>
      <c r="I1063" s="274"/>
      <c r="J1063" s="275"/>
      <c r="K1063" s="274"/>
    </row>
    <row r="1064" spans="1:11">
      <c r="A1064" s="275"/>
      <c r="B1064" s="275"/>
      <c r="C1064" s="275"/>
      <c r="D1064" s="275"/>
      <c r="E1064" s="275"/>
      <c r="F1064" s="275"/>
      <c r="G1064" s="275"/>
      <c r="H1064" s="274"/>
      <c r="I1064" s="274"/>
      <c r="J1064" s="275"/>
      <c r="K1064" s="274"/>
    </row>
    <row r="1065" spans="1:11">
      <c r="A1065" s="275"/>
      <c r="B1065" s="275"/>
      <c r="C1065" s="275"/>
      <c r="D1065" s="275"/>
      <c r="E1065" s="275"/>
      <c r="F1065" s="275"/>
      <c r="G1065" s="275"/>
      <c r="H1065" s="274"/>
      <c r="I1065" s="274"/>
      <c r="J1065" s="275"/>
      <c r="K1065" s="274"/>
    </row>
    <row r="1066" spans="1:11">
      <c r="A1066" s="275"/>
      <c r="B1066" s="275"/>
      <c r="C1066" s="275"/>
      <c r="D1066" s="275"/>
      <c r="E1066" s="275"/>
      <c r="F1066" s="275"/>
      <c r="G1066" s="275"/>
      <c r="H1066" s="274"/>
      <c r="I1066" s="274"/>
      <c r="J1066" s="275"/>
      <c r="K1066" s="274"/>
    </row>
    <row r="1067" spans="1:11">
      <c r="A1067" s="275"/>
      <c r="B1067" s="275"/>
      <c r="C1067" s="275"/>
      <c r="D1067" s="275"/>
      <c r="E1067" s="275"/>
      <c r="F1067" s="275"/>
      <c r="G1067" s="275"/>
      <c r="H1067" s="274"/>
      <c r="I1067" s="274"/>
      <c r="J1067" s="275"/>
      <c r="K1067" s="274"/>
    </row>
    <row r="1068" spans="1:11">
      <c r="A1068" s="275"/>
      <c r="B1068" s="275"/>
      <c r="C1068" s="275"/>
      <c r="D1068" s="275"/>
      <c r="E1068" s="275"/>
      <c r="F1068" s="275"/>
      <c r="G1068" s="275"/>
      <c r="H1068" s="274"/>
      <c r="I1068" s="274"/>
      <c r="J1068" s="275"/>
      <c r="K1068" s="274"/>
    </row>
    <row r="1069" spans="1:11">
      <c r="A1069" s="275"/>
      <c r="B1069" s="275"/>
      <c r="C1069" s="275"/>
      <c r="D1069" s="275"/>
      <c r="E1069" s="275"/>
      <c r="F1069" s="275"/>
      <c r="G1069" s="275"/>
      <c r="H1069" s="274"/>
      <c r="I1069" s="274"/>
      <c r="J1069" s="275"/>
      <c r="K1069" s="274"/>
    </row>
    <row r="1070" spans="1:11">
      <c r="A1070" s="275"/>
      <c r="B1070" s="275"/>
      <c r="C1070" s="275"/>
      <c r="D1070" s="275"/>
      <c r="E1070" s="275"/>
      <c r="F1070" s="275"/>
      <c r="G1070" s="275"/>
      <c r="H1070" s="274"/>
      <c r="I1070" s="274"/>
      <c r="J1070" s="275"/>
      <c r="K1070" s="274"/>
    </row>
    <row r="1071" spans="1:11">
      <c r="A1071" s="275"/>
      <c r="B1071" s="275"/>
      <c r="C1071" s="275"/>
      <c r="D1071" s="275"/>
      <c r="E1071" s="275"/>
      <c r="F1071" s="275"/>
      <c r="G1071" s="275"/>
      <c r="H1071" s="274"/>
      <c r="I1071" s="274"/>
      <c r="J1071" s="275"/>
      <c r="K1071" s="274"/>
    </row>
    <row r="1072" spans="1:11">
      <c r="A1072" s="275"/>
      <c r="B1072" s="275"/>
      <c r="C1072" s="275"/>
      <c r="D1072" s="275"/>
      <c r="E1072" s="275"/>
      <c r="F1072" s="275"/>
      <c r="G1072" s="275"/>
      <c r="H1072" s="274"/>
      <c r="I1072" s="274"/>
      <c r="J1072" s="275"/>
      <c r="K1072" s="274"/>
    </row>
    <row r="1073" spans="1:11">
      <c r="A1073" s="275"/>
      <c r="B1073" s="275"/>
      <c r="C1073" s="275"/>
      <c r="D1073" s="275"/>
      <c r="E1073" s="275"/>
      <c r="F1073" s="275"/>
      <c r="G1073" s="275"/>
      <c r="H1073" s="274"/>
      <c r="I1073" s="274"/>
      <c r="J1073" s="275"/>
      <c r="K1073" s="274"/>
    </row>
    <row r="1074" spans="1:11">
      <c r="A1074" s="275"/>
      <c r="B1074" s="275"/>
      <c r="C1074" s="275"/>
      <c r="D1074" s="275"/>
      <c r="E1074" s="275"/>
      <c r="F1074" s="275"/>
      <c r="G1074" s="275"/>
      <c r="H1074" s="274"/>
      <c r="I1074" s="274"/>
      <c r="J1074" s="275"/>
      <c r="K1074" s="274"/>
    </row>
    <row r="1075" spans="1:11">
      <c r="A1075" s="275"/>
      <c r="B1075" s="275"/>
      <c r="C1075" s="275"/>
      <c r="D1075" s="275"/>
      <c r="E1075" s="275"/>
      <c r="F1075" s="275"/>
      <c r="G1075" s="275"/>
      <c r="H1075" s="274"/>
      <c r="I1075" s="274"/>
      <c r="J1075" s="275"/>
      <c r="K1075" s="274"/>
    </row>
    <row r="1076" spans="1:11">
      <c r="A1076" s="275"/>
      <c r="B1076" s="275"/>
      <c r="C1076" s="275"/>
      <c r="D1076" s="275"/>
      <c r="E1076" s="275"/>
      <c r="F1076" s="275"/>
      <c r="G1076" s="275"/>
      <c r="H1076" s="274"/>
      <c r="I1076" s="274"/>
      <c r="J1076" s="275"/>
      <c r="K1076" s="274"/>
    </row>
    <row r="1077" spans="1:11">
      <c r="A1077" s="275"/>
      <c r="B1077" s="275"/>
      <c r="C1077" s="275"/>
      <c r="D1077" s="275"/>
      <c r="E1077" s="275"/>
      <c r="F1077" s="275"/>
      <c r="G1077" s="275"/>
      <c r="H1077" s="274"/>
      <c r="I1077" s="274"/>
      <c r="J1077" s="275"/>
      <c r="K1077" s="274"/>
    </row>
    <row r="1078" spans="1:11">
      <c r="A1078" s="275"/>
      <c r="B1078" s="275"/>
      <c r="C1078" s="275"/>
      <c r="D1078" s="275"/>
      <c r="E1078" s="275"/>
      <c r="F1078" s="275"/>
      <c r="G1078" s="275"/>
      <c r="H1078" s="274"/>
      <c r="I1078" s="274"/>
      <c r="J1078" s="275"/>
      <c r="K1078" s="274"/>
    </row>
    <row r="1079" spans="1:11">
      <c r="A1079" s="275"/>
      <c r="B1079" s="275"/>
      <c r="C1079" s="275"/>
      <c r="D1079" s="275"/>
      <c r="E1079" s="275"/>
      <c r="F1079" s="275"/>
      <c r="G1079" s="275"/>
      <c r="H1079" s="274"/>
      <c r="I1079" s="274"/>
      <c r="J1079" s="275"/>
      <c r="K1079" s="274"/>
    </row>
    <row r="1080" spans="1:11">
      <c r="A1080" s="275"/>
      <c r="B1080" s="275"/>
      <c r="C1080" s="275"/>
      <c r="D1080" s="275"/>
      <c r="E1080" s="275"/>
      <c r="F1080" s="275"/>
      <c r="G1080" s="275"/>
      <c r="H1080" s="274"/>
      <c r="I1080" s="274"/>
      <c r="J1080" s="275"/>
      <c r="K1080" s="274"/>
    </row>
    <row r="1081" spans="1:11">
      <c r="A1081" s="275"/>
      <c r="B1081" s="275"/>
      <c r="C1081" s="275"/>
      <c r="D1081" s="275"/>
      <c r="E1081" s="275"/>
      <c r="F1081" s="275"/>
      <c r="G1081" s="275"/>
      <c r="H1081" s="274"/>
      <c r="I1081" s="274"/>
      <c r="J1081" s="275"/>
      <c r="K1081" s="274"/>
    </row>
    <row r="1082" spans="1:11">
      <c r="A1082" s="275"/>
      <c r="B1082" s="275"/>
      <c r="C1082" s="275"/>
      <c r="D1082" s="275"/>
      <c r="E1082" s="275"/>
      <c r="F1082" s="275"/>
      <c r="G1082" s="275"/>
      <c r="H1082" s="274"/>
      <c r="I1082" s="274"/>
      <c r="J1082" s="275"/>
      <c r="K1082" s="274"/>
    </row>
    <row r="1083" spans="1:11">
      <c r="A1083" s="275"/>
      <c r="B1083" s="275"/>
      <c r="C1083" s="275"/>
      <c r="D1083" s="275"/>
      <c r="E1083" s="275"/>
      <c r="F1083" s="275"/>
      <c r="G1083" s="275"/>
      <c r="H1083" s="274"/>
      <c r="I1083" s="274"/>
      <c r="J1083" s="275"/>
      <c r="K1083" s="274"/>
    </row>
    <row r="1084" spans="1:11">
      <c r="A1084" s="275"/>
      <c r="B1084" s="275"/>
      <c r="C1084" s="275"/>
      <c r="D1084" s="275"/>
      <c r="E1084" s="275"/>
      <c r="F1084" s="275"/>
      <c r="G1084" s="275"/>
      <c r="H1084" s="274"/>
      <c r="I1084" s="274"/>
      <c r="J1084" s="275"/>
      <c r="K1084" s="274"/>
    </row>
    <row r="1085" spans="1:11">
      <c r="A1085" s="275"/>
      <c r="B1085" s="275"/>
      <c r="C1085" s="275"/>
      <c r="D1085" s="275"/>
      <c r="E1085" s="275"/>
      <c r="F1085" s="275"/>
      <c r="G1085" s="275"/>
      <c r="H1085" s="274"/>
      <c r="I1085" s="274"/>
      <c r="J1085" s="275"/>
      <c r="K1085" s="274"/>
    </row>
    <row r="1086" spans="1:11">
      <c r="A1086" s="275"/>
      <c r="B1086" s="275"/>
      <c r="C1086" s="275"/>
      <c r="D1086" s="275"/>
      <c r="E1086" s="275"/>
      <c r="F1086" s="275"/>
      <c r="G1086" s="275"/>
      <c r="H1086" s="274"/>
      <c r="I1086" s="274"/>
      <c r="J1086" s="275"/>
      <c r="K1086" s="274"/>
    </row>
    <row r="1087" spans="1:11">
      <c r="A1087" s="275"/>
      <c r="B1087" s="275"/>
      <c r="C1087" s="275"/>
      <c r="D1087" s="275"/>
      <c r="E1087" s="275"/>
      <c r="F1087" s="275"/>
      <c r="G1087" s="275"/>
      <c r="H1087" s="274"/>
      <c r="I1087" s="274"/>
      <c r="J1087" s="275"/>
      <c r="K1087" s="274"/>
    </row>
    <row r="1088" spans="1:11">
      <c r="A1088" s="275"/>
      <c r="B1088" s="275"/>
      <c r="C1088" s="275"/>
      <c r="D1088" s="275"/>
      <c r="E1088" s="275"/>
      <c r="F1088" s="275"/>
      <c r="G1088" s="275"/>
      <c r="H1088" s="274"/>
      <c r="I1088" s="274"/>
      <c r="J1088" s="275"/>
      <c r="K1088" s="274"/>
    </row>
    <row r="1089" spans="1:11">
      <c r="A1089" s="275"/>
      <c r="B1089" s="275"/>
      <c r="C1089" s="275"/>
      <c r="D1089" s="275"/>
      <c r="E1089" s="275"/>
      <c r="F1089" s="275"/>
      <c r="G1089" s="275"/>
      <c r="H1089" s="274"/>
      <c r="I1089" s="274"/>
      <c r="J1089" s="275"/>
      <c r="K1089" s="274"/>
    </row>
    <row r="1090" spans="1:11">
      <c r="A1090" s="275"/>
      <c r="B1090" s="275"/>
      <c r="C1090" s="275"/>
      <c r="D1090" s="275"/>
      <c r="E1090" s="275"/>
      <c r="F1090" s="275"/>
      <c r="G1090" s="275"/>
      <c r="H1090" s="274"/>
      <c r="I1090" s="274"/>
      <c r="J1090" s="275"/>
      <c r="K1090" s="274"/>
    </row>
    <row r="1091" spans="1:11">
      <c r="A1091" s="275"/>
      <c r="B1091" s="275"/>
      <c r="C1091" s="275"/>
      <c r="D1091" s="275"/>
      <c r="E1091" s="275"/>
      <c r="F1091" s="275"/>
      <c r="G1091" s="275"/>
      <c r="H1091" s="274"/>
      <c r="I1091" s="274"/>
      <c r="J1091" s="275"/>
      <c r="K1091" s="274"/>
    </row>
    <row r="1092" spans="1:11">
      <c r="A1092" s="275"/>
      <c r="B1092" s="275"/>
      <c r="C1092" s="275"/>
      <c r="D1092" s="275"/>
      <c r="E1092" s="275"/>
      <c r="F1092" s="275"/>
      <c r="G1092" s="275"/>
      <c r="H1092" s="274"/>
      <c r="I1092" s="274"/>
      <c r="J1092" s="275"/>
      <c r="K1092" s="274"/>
    </row>
    <row r="1093" spans="1:11">
      <c r="A1093" s="275"/>
      <c r="B1093" s="275"/>
      <c r="C1093" s="275"/>
      <c r="D1093" s="275"/>
      <c r="E1093" s="275"/>
      <c r="F1093" s="275"/>
      <c r="G1093" s="275"/>
      <c r="H1093" s="274"/>
      <c r="I1093" s="274"/>
      <c r="J1093" s="275"/>
      <c r="K1093" s="274"/>
    </row>
    <row r="1094" spans="1:11">
      <c r="A1094" s="275"/>
      <c r="B1094" s="275"/>
      <c r="C1094" s="275"/>
      <c r="D1094" s="275"/>
      <c r="E1094" s="275"/>
      <c r="F1094" s="275"/>
      <c r="G1094" s="275"/>
      <c r="H1094" s="274"/>
      <c r="I1094" s="274"/>
      <c r="J1094" s="275"/>
      <c r="K1094" s="274"/>
    </row>
    <row r="1095" spans="1:11">
      <c r="A1095" s="275"/>
      <c r="B1095" s="275"/>
      <c r="C1095" s="275"/>
      <c r="D1095" s="275"/>
      <c r="E1095" s="275"/>
      <c r="F1095" s="275"/>
      <c r="G1095" s="275"/>
      <c r="H1095" s="274"/>
      <c r="I1095" s="274"/>
      <c r="J1095" s="275"/>
      <c r="K1095" s="274"/>
    </row>
    <row r="1096" spans="1:11">
      <c r="A1096" s="275"/>
      <c r="B1096" s="275"/>
      <c r="C1096" s="275"/>
      <c r="D1096" s="275"/>
      <c r="E1096" s="275"/>
      <c r="F1096" s="275"/>
      <c r="G1096" s="275"/>
      <c r="H1096" s="274"/>
      <c r="I1096" s="274"/>
      <c r="J1096" s="275"/>
      <c r="K1096" s="274"/>
    </row>
    <row r="1097" spans="1:11">
      <c r="A1097" s="275"/>
      <c r="B1097" s="275"/>
      <c r="C1097" s="275"/>
      <c r="D1097" s="275"/>
      <c r="E1097" s="275"/>
      <c r="F1097" s="275"/>
      <c r="G1097" s="275"/>
      <c r="H1097" s="274"/>
      <c r="I1097" s="274"/>
      <c r="J1097" s="275"/>
      <c r="K1097" s="274"/>
    </row>
    <row r="1098" spans="1:11">
      <c r="A1098" s="275"/>
      <c r="B1098" s="275"/>
      <c r="C1098" s="275"/>
      <c r="D1098" s="275"/>
      <c r="E1098" s="275"/>
      <c r="F1098" s="275"/>
      <c r="G1098" s="275"/>
      <c r="H1098" s="274"/>
      <c r="I1098" s="274"/>
      <c r="J1098" s="275"/>
      <c r="K1098" s="274"/>
    </row>
    <row r="1099" spans="1:11">
      <c r="A1099" s="275"/>
      <c r="B1099" s="275"/>
      <c r="C1099" s="275"/>
      <c r="D1099" s="275"/>
      <c r="E1099" s="275"/>
      <c r="F1099" s="275"/>
      <c r="G1099" s="275"/>
      <c r="H1099" s="274"/>
      <c r="I1099" s="274"/>
      <c r="J1099" s="275"/>
      <c r="K1099" s="274"/>
    </row>
    <row r="1100" spans="1:11">
      <c r="A1100" s="275"/>
      <c r="B1100" s="275"/>
      <c r="C1100" s="275"/>
      <c r="D1100" s="275"/>
      <c r="E1100" s="275"/>
      <c r="F1100" s="275"/>
      <c r="G1100" s="275"/>
      <c r="H1100" s="274"/>
      <c r="I1100" s="274"/>
      <c r="J1100" s="275"/>
      <c r="K1100" s="274"/>
    </row>
    <row r="1101" spans="1:11">
      <c r="A1101" s="275"/>
      <c r="B1101" s="275"/>
      <c r="C1101" s="275"/>
      <c r="D1101" s="275"/>
      <c r="E1101" s="275"/>
      <c r="F1101" s="275"/>
      <c r="G1101" s="275"/>
      <c r="H1101" s="274"/>
      <c r="I1101" s="274"/>
      <c r="J1101" s="275"/>
      <c r="K1101" s="274"/>
    </row>
    <row r="1102" spans="1:11">
      <c r="A1102" s="275"/>
      <c r="B1102" s="275"/>
      <c r="C1102" s="275"/>
      <c r="D1102" s="275"/>
      <c r="E1102" s="275"/>
      <c r="F1102" s="275"/>
      <c r="G1102" s="275"/>
      <c r="H1102" s="274"/>
      <c r="I1102" s="274"/>
      <c r="J1102" s="275"/>
      <c r="K1102" s="274"/>
    </row>
    <row r="1103" spans="1:11">
      <c r="A1103" s="275"/>
      <c r="B1103" s="275"/>
      <c r="C1103" s="275"/>
      <c r="D1103" s="275"/>
      <c r="E1103" s="275"/>
      <c r="F1103" s="275"/>
      <c r="G1103" s="275"/>
      <c r="H1103" s="274"/>
      <c r="I1103" s="274"/>
      <c r="J1103" s="275"/>
      <c r="K1103" s="274"/>
    </row>
    <row r="1104" spans="1:11">
      <c r="A1104" s="275"/>
      <c r="B1104" s="275"/>
      <c r="C1104" s="275"/>
      <c r="D1104" s="275"/>
      <c r="E1104" s="275"/>
      <c r="F1104" s="275"/>
      <c r="G1104" s="275"/>
      <c r="H1104" s="274"/>
      <c r="I1104" s="274"/>
      <c r="J1104" s="275"/>
      <c r="K1104" s="274"/>
    </row>
    <row r="1105" spans="1:11">
      <c r="A1105" s="275"/>
      <c r="B1105" s="275"/>
      <c r="C1105" s="275"/>
      <c r="D1105" s="275"/>
      <c r="E1105" s="275"/>
      <c r="F1105" s="275"/>
      <c r="G1105" s="275"/>
      <c r="H1105" s="274"/>
      <c r="I1105" s="274"/>
      <c r="J1105" s="275"/>
      <c r="K1105" s="274"/>
    </row>
    <row r="1106" spans="1:11">
      <c r="A1106" s="275"/>
      <c r="B1106" s="275"/>
      <c r="C1106" s="275"/>
      <c r="D1106" s="275"/>
      <c r="E1106" s="275"/>
      <c r="F1106" s="275"/>
      <c r="G1106" s="275"/>
      <c r="H1106" s="274"/>
      <c r="I1106" s="274"/>
      <c r="J1106" s="275"/>
      <c r="K1106" s="274"/>
    </row>
    <row r="1107" spans="1:11">
      <c r="A1107" s="275"/>
      <c r="B1107" s="275"/>
      <c r="C1107" s="275"/>
      <c r="D1107" s="275"/>
      <c r="E1107" s="275"/>
      <c r="F1107" s="275"/>
      <c r="G1107" s="275"/>
      <c r="H1107" s="274"/>
      <c r="I1107" s="274"/>
      <c r="J1107" s="275"/>
      <c r="K1107" s="274"/>
    </row>
    <row r="1108" spans="1:11">
      <c r="A1108" s="275"/>
      <c r="B1108" s="275"/>
      <c r="C1108" s="275"/>
      <c r="D1108" s="275"/>
      <c r="E1108" s="275"/>
      <c r="F1108" s="275"/>
      <c r="G1108" s="275"/>
      <c r="H1108" s="274"/>
      <c r="I1108" s="274"/>
      <c r="J1108" s="275"/>
      <c r="K1108" s="274"/>
    </row>
    <row r="1109" spans="1:11">
      <c r="A1109" s="275"/>
      <c r="B1109" s="275"/>
      <c r="C1109" s="275"/>
      <c r="D1109" s="275"/>
      <c r="E1109" s="275"/>
      <c r="F1109" s="275"/>
      <c r="G1109" s="275"/>
      <c r="H1109" s="274"/>
      <c r="I1109" s="274"/>
      <c r="J1109" s="275"/>
      <c r="K1109" s="274"/>
    </row>
    <row r="1110" spans="1:11">
      <c r="A1110" s="275"/>
      <c r="B1110" s="275"/>
      <c r="C1110" s="275"/>
      <c r="D1110" s="275"/>
      <c r="E1110" s="275"/>
      <c r="F1110" s="275"/>
      <c r="G1110" s="275"/>
      <c r="H1110" s="274"/>
      <c r="I1110" s="274"/>
      <c r="J1110" s="275"/>
      <c r="K1110" s="274"/>
    </row>
    <row r="1111" spans="1:11">
      <c r="A1111" s="275"/>
      <c r="B1111" s="275"/>
      <c r="C1111" s="275"/>
      <c r="D1111" s="275"/>
      <c r="E1111" s="275"/>
      <c r="F1111" s="275"/>
      <c r="G1111" s="275"/>
      <c r="H1111" s="274"/>
      <c r="I1111" s="274"/>
      <c r="J1111" s="275"/>
      <c r="K1111" s="274"/>
    </row>
    <row r="1112" spans="1:11">
      <c r="A1112" s="275"/>
      <c r="B1112" s="275"/>
      <c r="C1112" s="275"/>
      <c r="D1112" s="275"/>
      <c r="E1112" s="275"/>
      <c r="F1112" s="275"/>
      <c r="G1112" s="275"/>
      <c r="H1112" s="274"/>
      <c r="I1112" s="274"/>
      <c r="J1112" s="275"/>
      <c r="K1112" s="274"/>
    </row>
    <row r="1113" spans="1:11">
      <c r="A1113" s="275"/>
      <c r="B1113" s="275"/>
      <c r="C1113" s="275"/>
      <c r="D1113" s="275"/>
      <c r="E1113" s="275"/>
      <c r="F1113" s="275"/>
      <c r="G1113" s="275"/>
      <c r="H1113" s="274"/>
      <c r="I1113" s="274"/>
      <c r="J1113" s="275"/>
      <c r="K1113" s="274"/>
    </row>
    <row r="1114" spans="1:11">
      <c r="A1114" s="275"/>
      <c r="B1114" s="275"/>
      <c r="C1114" s="275"/>
      <c r="D1114" s="275"/>
      <c r="E1114" s="275"/>
      <c r="F1114" s="275"/>
      <c r="G1114" s="275"/>
      <c r="H1114" s="274"/>
      <c r="I1114" s="274"/>
      <c r="J1114" s="275"/>
      <c r="K1114" s="274"/>
    </row>
    <row r="1115" spans="1:11">
      <c r="A1115" s="275"/>
      <c r="B1115" s="275"/>
      <c r="C1115" s="275"/>
      <c r="D1115" s="275"/>
      <c r="E1115" s="275"/>
      <c r="F1115" s="275"/>
      <c r="G1115" s="275"/>
      <c r="H1115" s="274"/>
      <c r="I1115" s="274"/>
      <c r="J1115" s="275"/>
      <c r="K1115" s="274"/>
    </row>
    <row r="1116" spans="1:11">
      <c r="A1116" s="275"/>
      <c r="B1116" s="275"/>
      <c r="C1116" s="275"/>
      <c r="D1116" s="275"/>
      <c r="E1116" s="275"/>
      <c r="F1116" s="275"/>
      <c r="G1116" s="275"/>
      <c r="H1116" s="274"/>
      <c r="I1116" s="274"/>
      <c r="J1116" s="275"/>
      <c r="K1116" s="274"/>
    </row>
    <row r="1117" spans="1:11">
      <c r="A1117" s="275"/>
      <c r="B1117" s="275"/>
      <c r="C1117" s="275"/>
      <c r="D1117" s="275"/>
      <c r="E1117" s="275"/>
      <c r="F1117" s="275"/>
      <c r="G1117" s="275"/>
      <c r="H1117" s="274"/>
      <c r="I1117" s="274"/>
      <c r="J1117" s="275"/>
      <c r="K1117" s="274"/>
    </row>
    <row r="1118" spans="1:11">
      <c r="A1118" s="275"/>
      <c r="B1118" s="275"/>
      <c r="C1118" s="275"/>
      <c r="D1118" s="275"/>
      <c r="E1118" s="275"/>
      <c r="F1118" s="275"/>
      <c r="G1118" s="275"/>
      <c r="H1118" s="274"/>
      <c r="I1118" s="274"/>
      <c r="J1118" s="275"/>
      <c r="K1118" s="274"/>
    </row>
    <row r="1119" spans="1:11">
      <c r="A1119" s="275"/>
      <c r="B1119" s="275"/>
      <c r="C1119" s="275"/>
      <c r="D1119" s="275"/>
      <c r="E1119" s="275"/>
      <c r="F1119" s="275"/>
      <c r="G1119" s="275"/>
      <c r="H1119" s="274"/>
      <c r="I1119" s="274"/>
      <c r="J1119" s="275"/>
      <c r="K1119" s="274"/>
    </row>
    <row r="1120" spans="1:11">
      <c r="A1120" s="275"/>
      <c r="B1120" s="275"/>
      <c r="C1120" s="275"/>
      <c r="D1120" s="275"/>
      <c r="E1120" s="275"/>
      <c r="F1120" s="275"/>
      <c r="G1120" s="275"/>
      <c r="H1120" s="274"/>
      <c r="I1120" s="274"/>
      <c r="J1120" s="275"/>
      <c r="K1120" s="274"/>
    </row>
    <row r="1121" spans="1:11">
      <c r="A1121" s="275"/>
      <c r="B1121" s="275"/>
      <c r="C1121" s="275"/>
      <c r="D1121" s="275"/>
      <c r="E1121" s="275"/>
      <c r="F1121" s="275"/>
      <c r="G1121" s="275"/>
      <c r="H1121" s="274"/>
      <c r="I1121" s="274"/>
      <c r="J1121" s="275"/>
      <c r="K1121" s="274"/>
    </row>
    <row r="1122" spans="1:11">
      <c r="A1122" s="275"/>
      <c r="B1122" s="275"/>
      <c r="C1122" s="275"/>
      <c r="D1122" s="275"/>
      <c r="E1122" s="275"/>
      <c r="F1122" s="275"/>
      <c r="G1122" s="275"/>
      <c r="H1122" s="274"/>
      <c r="I1122" s="274"/>
      <c r="J1122" s="275"/>
      <c r="K1122" s="274"/>
    </row>
    <row r="1123" spans="1:11">
      <c r="A1123" s="275"/>
      <c r="B1123" s="275"/>
      <c r="C1123" s="275"/>
      <c r="D1123" s="275"/>
      <c r="E1123" s="275"/>
      <c r="F1123" s="275"/>
      <c r="G1123" s="275"/>
      <c r="H1123" s="274"/>
      <c r="I1123" s="274"/>
      <c r="J1123" s="275"/>
      <c r="K1123" s="274"/>
    </row>
    <row r="1124" spans="1:11">
      <c r="A1124" s="275"/>
      <c r="B1124" s="275"/>
      <c r="C1124" s="275"/>
      <c r="D1124" s="275"/>
      <c r="E1124" s="275"/>
      <c r="F1124" s="275"/>
      <c r="G1124" s="275"/>
      <c r="H1124" s="274"/>
      <c r="I1124" s="274"/>
      <c r="J1124" s="275"/>
      <c r="K1124" s="274"/>
    </row>
    <row r="1125" spans="1:11">
      <c r="A1125" s="275"/>
      <c r="B1125" s="275"/>
      <c r="C1125" s="275"/>
      <c r="D1125" s="275"/>
      <c r="E1125" s="275"/>
      <c r="F1125" s="275"/>
      <c r="G1125" s="275"/>
      <c r="H1125" s="274"/>
      <c r="I1125" s="274"/>
      <c r="J1125" s="275"/>
      <c r="K1125" s="274"/>
    </row>
    <row r="1126" spans="1:11">
      <c r="A1126" s="275"/>
      <c r="B1126" s="275"/>
      <c r="C1126" s="275"/>
      <c r="D1126" s="275"/>
      <c r="E1126" s="275"/>
      <c r="F1126" s="275"/>
      <c r="G1126" s="275"/>
      <c r="H1126" s="274"/>
      <c r="I1126" s="274"/>
      <c r="J1126" s="275"/>
      <c r="K1126" s="274"/>
    </row>
    <row r="1127" spans="1:11">
      <c r="A1127" s="275"/>
      <c r="B1127" s="275"/>
      <c r="C1127" s="275"/>
      <c r="D1127" s="275"/>
      <c r="E1127" s="275"/>
      <c r="F1127" s="275"/>
      <c r="G1127" s="275"/>
      <c r="H1127" s="274"/>
      <c r="I1127" s="274"/>
      <c r="J1127" s="275"/>
      <c r="K1127" s="274"/>
    </row>
    <row r="1128" spans="1:11">
      <c r="A1128" s="275"/>
      <c r="B1128" s="275"/>
      <c r="C1128" s="275"/>
      <c r="D1128" s="275"/>
      <c r="E1128" s="275"/>
      <c r="F1128" s="275"/>
      <c r="G1128" s="275"/>
      <c r="H1128" s="274"/>
      <c r="I1128" s="274"/>
      <c r="J1128" s="275"/>
      <c r="K1128" s="274"/>
    </row>
    <row r="1129" spans="1:11">
      <c r="A1129" s="275"/>
      <c r="B1129" s="275"/>
      <c r="C1129" s="275"/>
      <c r="D1129" s="275"/>
      <c r="E1129" s="275"/>
      <c r="F1129" s="275"/>
      <c r="G1129" s="275"/>
      <c r="H1129" s="274"/>
      <c r="I1129" s="274"/>
      <c r="J1129" s="275"/>
      <c r="K1129" s="274"/>
    </row>
    <row r="1130" spans="1:11">
      <c r="A1130" s="275"/>
      <c r="B1130" s="275"/>
      <c r="C1130" s="275"/>
      <c r="D1130" s="275"/>
      <c r="E1130" s="275"/>
      <c r="F1130" s="275"/>
      <c r="G1130" s="275"/>
      <c r="H1130" s="274"/>
      <c r="I1130" s="274"/>
      <c r="J1130" s="275"/>
      <c r="K1130" s="274"/>
    </row>
    <row r="1131" spans="1:11">
      <c r="A1131" s="275"/>
      <c r="B1131" s="275"/>
      <c r="C1131" s="275"/>
      <c r="D1131" s="275"/>
      <c r="E1131" s="275"/>
      <c r="F1131" s="275"/>
      <c r="G1131" s="275"/>
      <c r="H1131" s="274"/>
      <c r="I1131" s="274"/>
      <c r="J1131" s="275"/>
      <c r="K1131" s="274"/>
    </row>
    <row r="1132" spans="1:11">
      <c r="A1132" s="275"/>
      <c r="B1132" s="275"/>
      <c r="C1132" s="275"/>
      <c r="D1132" s="275"/>
      <c r="E1132" s="275"/>
      <c r="F1132" s="275"/>
      <c r="G1132" s="275"/>
      <c r="H1132" s="274"/>
      <c r="I1132" s="274"/>
      <c r="J1132" s="275"/>
      <c r="K1132" s="274"/>
    </row>
    <row r="1133" spans="1:11">
      <c r="A1133" s="275"/>
      <c r="B1133" s="275"/>
      <c r="C1133" s="275"/>
      <c r="D1133" s="275"/>
      <c r="E1133" s="275"/>
      <c r="F1133" s="275"/>
      <c r="G1133" s="275"/>
      <c r="H1133" s="274"/>
      <c r="I1133" s="274"/>
      <c r="J1133" s="275"/>
      <c r="K1133" s="274"/>
    </row>
    <row r="1134" spans="1:11">
      <c r="A1134" s="275"/>
      <c r="B1134" s="275"/>
      <c r="C1134" s="275"/>
      <c r="D1134" s="275"/>
      <c r="E1134" s="275"/>
      <c r="F1134" s="275"/>
      <c r="G1134" s="275"/>
      <c r="H1134" s="274"/>
      <c r="I1134" s="274"/>
      <c r="J1134" s="275"/>
      <c r="K1134" s="274"/>
    </row>
    <row r="1135" spans="1:11">
      <c r="A1135" s="275"/>
      <c r="B1135" s="275"/>
      <c r="C1135" s="275"/>
      <c r="D1135" s="275"/>
      <c r="E1135" s="275"/>
      <c r="F1135" s="275"/>
      <c r="G1135" s="275"/>
      <c r="H1135" s="274"/>
      <c r="I1135" s="274"/>
      <c r="J1135" s="275"/>
      <c r="K1135" s="274"/>
    </row>
    <row r="1136" spans="1:11">
      <c r="A1136" s="275"/>
      <c r="B1136" s="275"/>
      <c r="C1136" s="275"/>
      <c r="D1136" s="275"/>
      <c r="E1136" s="275"/>
      <c r="F1136" s="275"/>
      <c r="G1136" s="275"/>
      <c r="H1136" s="274"/>
      <c r="I1136" s="274"/>
      <c r="J1136" s="275"/>
      <c r="K1136" s="274"/>
    </row>
    <row r="1137" spans="1:11">
      <c r="A1137" s="275"/>
      <c r="B1137" s="275"/>
      <c r="C1137" s="275"/>
      <c r="D1137" s="275"/>
      <c r="E1137" s="275"/>
      <c r="F1137" s="275"/>
      <c r="G1137" s="275"/>
      <c r="H1137" s="274"/>
      <c r="I1137" s="274"/>
      <c r="J1137" s="275"/>
      <c r="K1137" s="274"/>
    </row>
    <row r="1138" spans="1:11">
      <c r="A1138" s="275"/>
      <c r="B1138" s="275"/>
      <c r="C1138" s="275"/>
      <c r="D1138" s="275"/>
      <c r="E1138" s="275"/>
      <c r="F1138" s="275"/>
      <c r="G1138" s="275"/>
      <c r="H1138" s="274"/>
      <c r="I1138" s="274"/>
      <c r="J1138" s="275"/>
      <c r="K1138" s="274"/>
    </row>
    <row r="1139" spans="1:11">
      <c r="A1139" s="275"/>
      <c r="B1139" s="275"/>
      <c r="C1139" s="275"/>
      <c r="D1139" s="275"/>
      <c r="E1139" s="275"/>
      <c r="F1139" s="275"/>
      <c r="G1139" s="275"/>
      <c r="H1139" s="274"/>
      <c r="I1139" s="274"/>
      <c r="J1139" s="275"/>
      <c r="K1139" s="274"/>
    </row>
    <row r="1140" spans="1:11">
      <c r="A1140" s="275"/>
      <c r="B1140" s="275"/>
      <c r="C1140" s="275"/>
      <c r="D1140" s="275"/>
      <c r="E1140" s="275"/>
      <c r="F1140" s="275"/>
      <c r="G1140" s="275"/>
      <c r="H1140" s="274"/>
      <c r="I1140" s="274"/>
      <c r="J1140" s="275"/>
      <c r="K1140" s="274"/>
    </row>
    <row r="1141" spans="1:11">
      <c r="A1141" s="275"/>
      <c r="B1141" s="275"/>
      <c r="C1141" s="275"/>
      <c r="D1141" s="275"/>
      <c r="E1141" s="275"/>
      <c r="F1141" s="275"/>
      <c r="G1141" s="275"/>
      <c r="H1141" s="274"/>
      <c r="I1141" s="274"/>
      <c r="J1141" s="275"/>
      <c r="K1141" s="274"/>
    </row>
    <row r="1142" spans="1:11">
      <c r="A1142" s="275"/>
      <c r="B1142" s="275"/>
      <c r="C1142" s="275"/>
      <c r="D1142" s="275"/>
      <c r="E1142" s="275"/>
      <c r="F1142" s="275"/>
      <c r="G1142" s="275"/>
      <c r="H1142" s="274"/>
      <c r="I1142" s="274"/>
      <c r="J1142" s="275"/>
      <c r="K1142" s="274"/>
    </row>
    <row r="1143" spans="1:11">
      <c r="A1143" s="275"/>
      <c r="B1143" s="275"/>
      <c r="C1143" s="275"/>
      <c r="D1143" s="275"/>
      <c r="E1143" s="275"/>
      <c r="F1143" s="275"/>
      <c r="G1143" s="275"/>
      <c r="H1143" s="274"/>
      <c r="I1143" s="274"/>
      <c r="J1143" s="275"/>
      <c r="K1143" s="274"/>
    </row>
    <row r="1144" spans="1:11">
      <c r="A1144" s="275"/>
      <c r="B1144" s="275"/>
      <c r="C1144" s="275"/>
      <c r="D1144" s="275"/>
      <c r="E1144" s="275"/>
      <c r="F1144" s="275"/>
      <c r="G1144" s="275"/>
      <c r="H1144" s="274"/>
      <c r="I1144" s="274"/>
      <c r="J1144" s="275"/>
      <c r="K1144" s="274"/>
    </row>
    <row r="1145" spans="1:11">
      <c r="A1145" s="275"/>
      <c r="B1145" s="275"/>
      <c r="C1145" s="275"/>
      <c r="D1145" s="275"/>
      <c r="E1145" s="275"/>
      <c r="F1145" s="275"/>
      <c r="G1145" s="275"/>
      <c r="H1145" s="274"/>
      <c r="I1145" s="274"/>
      <c r="J1145" s="275"/>
      <c r="K1145" s="274"/>
    </row>
    <row r="1146" spans="1:11">
      <c r="A1146" s="275"/>
      <c r="B1146" s="275"/>
      <c r="C1146" s="275"/>
      <c r="D1146" s="275"/>
      <c r="E1146" s="275"/>
      <c r="F1146" s="275"/>
      <c r="G1146" s="275"/>
      <c r="H1146" s="274"/>
      <c r="I1146" s="274"/>
      <c r="J1146" s="275"/>
      <c r="K1146" s="274"/>
    </row>
    <row r="1147" spans="1:11">
      <c r="A1147" s="275"/>
      <c r="B1147" s="275"/>
      <c r="C1147" s="275"/>
      <c r="D1147" s="275"/>
      <c r="E1147" s="275"/>
      <c r="F1147" s="275"/>
      <c r="G1147" s="275"/>
      <c r="H1147" s="274"/>
      <c r="I1147" s="274"/>
      <c r="J1147" s="275"/>
      <c r="K1147" s="274"/>
    </row>
    <row r="1148" spans="1:11">
      <c r="A1148" s="275"/>
      <c r="B1148" s="275"/>
      <c r="C1148" s="275"/>
      <c r="D1148" s="275"/>
      <c r="E1148" s="275"/>
      <c r="F1148" s="275"/>
      <c r="G1148" s="275"/>
      <c r="H1148" s="274"/>
      <c r="I1148" s="274"/>
      <c r="J1148" s="275"/>
      <c r="K1148" s="274"/>
    </row>
    <row r="1149" spans="1:11">
      <c r="A1149" s="275"/>
      <c r="B1149" s="275"/>
      <c r="C1149" s="275"/>
      <c r="D1149" s="275"/>
      <c r="E1149" s="275"/>
      <c r="F1149" s="275"/>
      <c r="G1149" s="275"/>
      <c r="H1149" s="274"/>
      <c r="I1149" s="274"/>
      <c r="J1149" s="275"/>
      <c r="K1149" s="274"/>
    </row>
    <row r="1150" spans="1:11">
      <c r="A1150" s="275"/>
      <c r="B1150" s="275"/>
      <c r="C1150" s="275"/>
      <c r="D1150" s="275"/>
      <c r="E1150" s="275"/>
      <c r="F1150" s="275"/>
      <c r="G1150" s="275"/>
      <c r="H1150" s="274"/>
      <c r="I1150" s="274"/>
      <c r="J1150" s="275"/>
      <c r="K1150" s="274"/>
    </row>
    <row r="1151" spans="1:11">
      <c r="A1151" s="275"/>
      <c r="B1151" s="275"/>
      <c r="C1151" s="275"/>
      <c r="D1151" s="275"/>
      <c r="E1151" s="275"/>
      <c r="F1151" s="275"/>
      <c r="G1151" s="275"/>
      <c r="H1151" s="274"/>
      <c r="I1151" s="274"/>
      <c r="J1151" s="275"/>
      <c r="K1151" s="274"/>
    </row>
    <row r="1152" spans="1:11">
      <c r="A1152" s="275"/>
      <c r="B1152" s="275"/>
      <c r="C1152" s="275"/>
      <c r="D1152" s="275"/>
      <c r="E1152" s="275"/>
      <c r="F1152" s="275"/>
      <c r="G1152" s="275"/>
      <c r="H1152" s="274"/>
      <c r="I1152" s="274"/>
      <c r="J1152" s="275"/>
      <c r="K1152" s="274"/>
    </row>
    <row r="1153" spans="1:11">
      <c r="A1153" s="275"/>
      <c r="B1153" s="275"/>
      <c r="C1153" s="275"/>
      <c r="D1153" s="275"/>
      <c r="E1153" s="275"/>
      <c r="F1153" s="275"/>
      <c r="G1153" s="275"/>
      <c r="H1153" s="274"/>
      <c r="I1153" s="274"/>
      <c r="J1153" s="275"/>
      <c r="K1153" s="274"/>
    </row>
    <row r="1154" spans="1:11">
      <c r="A1154" s="275"/>
      <c r="B1154" s="275"/>
      <c r="C1154" s="275"/>
      <c r="D1154" s="275"/>
      <c r="E1154" s="275"/>
      <c r="F1154" s="275"/>
      <c r="G1154" s="275"/>
      <c r="H1154" s="274"/>
      <c r="I1154" s="274"/>
      <c r="J1154" s="275"/>
      <c r="K1154" s="274"/>
    </row>
    <row r="1155" spans="1:11">
      <c r="A1155" s="275"/>
      <c r="B1155" s="275"/>
      <c r="C1155" s="275"/>
      <c r="D1155" s="275"/>
      <c r="E1155" s="275"/>
      <c r="F1155" s="275"/>
      <c r="G1155" s="275"/>
      <c r="H1155" s="274"/>
      <c r="I1155" s="274"/>
      <c r="J1155" s="275"/>
      <c r="K1155" s="274"/>
    </row>
    <row r="1156" spans="1:11">
      <c r="A1156" s="275"/>
      <c r="B1156" s="275"/>
      <c r="C1156" s="275"/>
      <c r="D1156" s="275"/>
      <c r="E1156" s="275"/>
      <c r="F1156" s="275"/>
      <c r="G1156" s="275"/>
      <c r="H1156" s="274"/>
      <c r="I1156" s="274"/>
      <c r="J1156" s="275"/>
      <c r="K1156" s="274"/>
    </row>
    <row r="1157" spans="1:11">
      <c r="A1157" s="275"/>
      <c r="B1157" s="275"/>
      <c r="C1157" s="275"/>
      <c r="D1157" s="275"/>
      <c r="E1157" s="275"/>
      <c r="F1157" s="275"/>
      <c r="G1157" s="275"/>
      <c r="H1157" s="274"/>
      <c r="I1157" s="274"/>
      <c r="J1157" s="275"/>
      <c r="K1157" s="274"/>
    </row>
    <row r="1158" spans="1:11">
      <c r="A1158" s="275"/>
      <c r="B1158" s="275"/>
      <c r="C1158" s="275"/>
      <c r="D1158" s="275"/>
      <c r="E1158" s="275"/>
      <c r="F1158" s="275"/>
      <c r="G1158" s="275"/>
      <c r="H1158" s="274"/>
      <c r="I1158" s="274"/>
      <c r="J1158" s="275"/>
      <c r="K1158" s="274"/>
    </row>
    <row r="1159" spans="1:11">
      <c r="A1159" s="275"/>
      <c r="B1159" s="275"/>
      <c r="C1159" s="275"/>
      <c r="D1159" s="275"/>
      <c r="E1159" s="275"/>
      <c r="F1159" s="275"/>
      <c r="G1159" s="275"/>
      <c r="H1159" s="274"/>
      <c r="I1159" s="274"/>
      <c r="J1159" s="275"/>
      <c r="K1159" s="274"/>
    </row>
    <row r="1160" spans="1:11">
      <c r="A1160" s="275"/>
      <c r="B1160" s="275"/>
      <c r="C1160" s="275"/>
      <c r="D1160" s="275"/>
      <c r="E1160" s="275"/>
      <c r="F1160" s="275"/>
      <c r="G1160" s="275"/>
      <c r="H1160" s="274"/>
      <c r="I1160" s="274"/>
      <c r="J1160" s="275"/>
      <c r="K1160" s="274"/>
    </row>
    <row r="1161" spans="1:11">
      <c r="A1161" s="275"/>
      <c r="B1161" s="275"/>
      <c r="C1161" s="275"/>
      <c r="D1161" s="275"/>
      <c r="E1161" s="275"/>
      <c r="F1161" s="275"/>
      <c r="G1161" s="275"/>
      <c r="H1161" s="274"/>
      <c r="I1161" s="274"/>
      <c r="J1161" s="275"/>
      <c r="K1161" s="274"/>
    </row>
    <row r="1162" spans="1:11">
      <c r="A1162" s="275"/>
      <c r="B1162" s="275"/>
      <c r="C1162" s="275"/>
      <c r="D1162" s="275"/>
      <c r="E1162" s="275"/>
      <c r="F1162" s="275"/>
      <c r="G1162" s="275"/>
      <c r="H1162" s="274"/>
      <c r="I1162" s="274"/>
      <c r="J1162" s="275"/>
      <c r="K1162" s="274"/>
    </row>
    <row r="1163" spans="1:11">
      <c r="A1163" s="275"/>
      <c r="B1163" s="275"/>
      <c r="C1163" s="275"/>
      <c r="D1163" s="275"/>
      <c r="E1163" s="275"/>
      <c r="F1163" s="275"/>
      <c r="G1163" s="275"/>
      <c r="H1163" s="274"/>
      <c r="I1163" s="274"/>
      <c r="J1163" s="275"/>
      <c r="K1163" s="274"/>
    </row>
    <row r="1164" spans="1:11">
      <c r="A1164" s="275"/>
      <c r="B1164" s="275"/>
      <c r="C1164" s="275"/>
      <c r="D1164" s="275"/>
      <c r="E1164" s="275"/>
      <c r="F1164" s="275"/>
      <c r="G1164" s="275"/>
      <c r="H1164" s="274"/>
      <c r="I1164" s="274"/>
      <c r="J1164" s="275"/>
      <c r="K1164" s="274"/>
    </row>
    <row r="1165" spans="1:11">
      <c r="A1165" s="275"/>
      <c r="B1165" s="275"/>
      <c r="C1165" s="275"/>
      <c r="D1165" s="275"/>
      <c r="E1165" s="275"/>
      <c r="F1165" s="275"/>
      <c r="G1165" s="275"/>
      <c r="H1165" s="274"/>
      <c r="I1165" s="274"/>
      <c r="J1165" s="275"/>
      <c r="K1165" s="274"/>
    </row>
    <row r="1166" spans="1:11">
      <c r="A1166" s="275"/>
      <c r="B1166" s="275"/>
      <c r="C1166" s="275"/>
      <c r="D1166" s="275"/>
      <c r="E1166" s="275"/>
      <c r="F1166" s="275"/>
      <c r="G1166" s="275"/>
      <c r="H1166" s="274"/>
      <c r="I1166" s="274"/>
      <c r="J1166" s="275"/>
      <c r="K1166" s="274"/>
    </row>
    <row r="1167" spans="1:11">
      <c r="A1167" s="275"/>
      <c r="B1167" s="275"/>
      <c r="C1167" s="275"/>
      <c r="D1167" s="275"/>
      <c r="E1167" s="275"/>
      <c r="F1167" s="275"/>
      <c r="G1167" s="275"/>
      <c r="H1167" s="274"/>
      <c r="I1167" s="274"/>
      <c r="J1167" s="275"/>
      <c r="K1167" s="274"/>
    </row>
    <row r="1168" spans="1:11">
      <c r="A1168" s="275"/>
      <c r="B1168" s="275"/>
      <c r="C1168" s="275"/>
      <c r="D1168" s="275"/>
      <c r="E1168" s="275"/>
      <c r="F1168" s="275"/>
      <c r="G1168" s="275"/>
      <c r="H1168" s="274"/>
      <c r="I1168" s="274"/>
      <c r="J1168" s="275"/>
      <c r="K1168" s="274"/>
    </row>
    <row r="1169" spans="1:11">
      <c r="A1169" s="275"/>
      <c r="B1169" s="275"/>
      <c r="C1169" s="275"/>
      <c r="D1169" s="275"/>
      <c r="E1169" s="275"/>
      <c r="F1169" s="275"/>
      <c r="G1169" s="275"/>
      <c r="H1169" s="274"/>
      <c r="I1169" s="274"/>
      <c r="J1169" s="275"/>
      <c r="K1169" s="274"/>
    </row>
    <row r="1170" spans="1:11">
      <c r="A1170" s="275"/>
      <c r="B1170" s="275"/>
      <c r="C1170" s="275"/>
      <c r="D1170" s="275"/>
      <c r="E1170" s="275"/>
      <c r="F1170" s="275"/>
      <c r="G1170" s="275"/>
      <c r="H1170" s="274"/>
      <c r="I1170" s="274"/>
      <c r="J1170" s="275"/>
      <c r="K1170" s="274"/>
    </row>
    <row r="1171" spans="1:11">
      <c r="A1171" s="275"/>
      <c r="B1171" s="275"/>
      <c r="C1171" s="275"/>
      <c r="D1171" s="275"/>
      <c r="E1171" s="275"/>
      <c r="F1171" s="275"/>
      <c r="G1171" s="275"/>
      <c r="H1171" s="274"/>
      <c r="I1171" s="274"/>
      <c r="J1171" s="275"/>
      <c r="K1171" s="274"/>
    </row>
    <row r="1172" spans="1:11">
      <c r="A1172" s="275"/>
      <c r="B1172" s="275"/>
      <c r="C1172" s="275"/>
      <c r="D1172" s="275"/>
      <c r="E1172" s="275"/>
      <c r="F1172" s="275"/>
      <c r="G1172" s="275"/>
      <c r="H1172" s="274"/>
      <c r="I1172" s="274"/>
      <c r="J1172" s="275"/>
      <c r="K1172" s="274"/>
    </row>
    <row r="1173" spans="1:11">
      <c r="A1173" s="275"/>
      <c r="B1173" s="275"/>
      <c r="C1173" s="275"/>
      <c r="D1173" s="275"/>
      <c r="E1173" s="275"/>
      <c r="F1173" s="275"/>
      <c r="G1173" s="275"/>
      <c r="H1173" s="274"/>
      <c r="I1173" s="274"/>
      <c r="J1173" s="275"/>
      <c r="K1173" s="274"/>
    </row>
    <row r="1174" spans="1:11">
      <c r="A1174" s="275"/>
      <c r="B1174" s="275"/>
      <c r="C1174" s="275"/>
      <c r="D1174" s="275"/>
      <c r="E1174" s="275"/>
      <c r="F1174" s="275"/>
      <c r="G1174" s="275"/>
      <c r="H1174" s="274"/>
      <c r="I1174" s="274"/>
      <c r="J1174" s="275"/>
      <c r="K1174" s="274"/>
    </row>
    <row r="1175" spans="1:11">
      <c r="A1175" s="275"/>
      <c r="B1175" s="275"/>
      <c r="C1175" s="275"/>
      <c r="D1175" s="275"/>
      <c r="E1175" s="275"/>
      <c r="F1175" s="275"/>
      <c r="G1175" s="275"/>
      <c r="H1175" s="274"/>
      <c r="I1175" s="274"/>
      <c r="J1175" s="275"/>
      <c r="K1175" s="274"/>
    </row>
    <row r="1176" spans="1:11">
      <c r="A1176" s="275"/>
      <c r="B1176" s="275"/>
      <c r="C1176" s="275"/>
      <c r="D1176" s="275"/>
      <c r="E1176" s="275"/>
      <c r="F1176" s="275"/>
      <c r="G1176" s="275"/>
      <c r="H1176" s="274"/>
      <c r="I1176" s="274"/>
      <c r="J1176" s="275"/>
      <c r="K1176" s="274"/>
    </row>
    <row r="1177" spans="1:11">
      <c r="A1177" s="275"/>
      <c r="B1177" s="275"/>
      <c r="C1177" s="275"/>
      <c r="D1177" s="275"/>
      <c r="E1177" s="275"/>
      <c r="F1177" s="275"/>
      <c r="G1177" s="275"/>
      <c r="H1177" s="274"/>
      <c r="I1177" s="274"/>
      <c r="J1177" s="275"/>
      <c r="K1177" s="274"/>
    </row>
    <row r="1178" spans="1:11">
      <c r="A1178" s="275"/>
      <c r="B1178" s="275"/>
      <c r="C1178" s="275"/>
      <c r="D1178" s="275"/>
      <c r="E1178" s="275"/>
      <c r="F1178" s="275"/>
      <c r="G1178" s="275"/>
      <c r="H1178" s="274"/>
      <c r="I1178" s="274"/>
      <c r="J1178" s="275"/>
      <c r="K1178" s="274"/>
    </row>
    <row r="1179" spans="1:11">
      <c r="A1179" s="275"/>
      <c r="B1179" s="275"/>
      <c r="C1179" s="275"/>
      <c r="D1179" s="275"/>
      <c r="E1179" s="275"/>
      <c r="F1179" s="275"/>
      <c r="G1179" s="275"/>
      <c r="H1179" s="274"/>
      <c r="I1179" s="274"/>
      <c r="J1179" s="275"/>
      <c r="K1179" s="274"/>
    </row>
    <row r="1180" spans="1:11">
      <c r="A1180" s="275"/>
      <c r="B1180" s="275"/>
      <c r="C1180" s="275"/>
      <c r="D1180" s="275"/>
      <c r="E1180" s="275"/>
      <c r="F1180" s="275"/>
      <c r="G1180" s="275"/>
      <c r="H1180" s="274"/>
      <c r="I1180" s="274"/>
      <c r="J1180" s="275"/>
      <c r="K1180" s="274"/>
    </row>
    <row r="1181" spans="1:11">
      <c r="A1181" s="275"/>
      <c r="B1181" s="275"/>
      <c r="C1181" s="275"/>
      <c r="D1181" s="275"/>
      <c r="E1181" s="275"/>
      <c r="F1181" s="275"/>
      <c r="G1181" s="275"/>
      <c r="H1181" s="274"/>
      <c r="I1181" s="274"/>
      <c r="J1181" s="275"/>
      <c r="K1181" s="274"/>
    </row>
    <row r="1182" spans="1:11">
      <c r="A1182" s="275"/>
      <c r="B1182" s="275"/>
      <c r="C1182" s="275"/>
      <c r="D1182" s="275"/>
      <c r="E1182" s="275"/>
      <c r="F1182" s="275"/>
      <c r="G1182" s="275"/>
      <c r="H1182" s="274"/>
      <c r="I1182" s="274"/>
      <c r="J1182" s="275"/>
      <c r="K1182" s="274"/>
    </row>
    <row r="1183" spans="1:11">
      <c r="A1183" s="275"/>
      <c r="B1183" s="275"/>
      <c r="C1183" s="275"/>
      <c r="D1183" s="275"/>
      <c r="E1183" s="275"/>
      <c r="F1183" s="275"/>
      <c r="G1183" s="275"/>
      <c r="H1183" s="274"/>
      <c r="I1183" s="274"/>
      <c r="J1183" s="275"/>
      <c r="K1183" s="274"/>
    </row>
    <row r="1184" spans="1:11">
      <c r="A1184" s="275"/>
      <c r="B1184" s="275"/>
      <c r="C1184" s="275"/>
      <c r="D1184" s="275"/>
      <c r="E1184" s="275"/>
      <c r="F1184" s="275"/>
      <c r="G1184" s="275"/>
      <c r="H1184" s="274"/>
      <c r="I1184" s="274"/>
      <c r="J1184" s="275"/>
      <c r="K1184" s="274"/>
    </row>
    <row r="1185" spans="1:11">
      <c r="A1185" s="275"/>
      <c r="B1185" s="275"/>
      <c r="C1185" s="275"/>
      <c r="D1185" s="275"/>
      <c r="E1185" s="275"/>
      <c r="F1185" s="275"/>
      <c r="G1185" s="275"/>
      <c r="H1185" s="274"/>
      <c r="I1185" s="274"/>
      <c r="J1185" s="275"/>
      <c r="K1185" s="274"/>
    </row>
    <row r="1186" spans="1:11">
      <c r="A1186" s="275"/>
      <c r="B1186" s="275"/>
      <c r="C1186" s="275"/>
      <c r="D1186" s="275"/>
      <c r="E1186" s="275"/>
      <c r="F1186" s="275"/>
      <c r="G1186" s="275"/>
      <c r="H1186" s="274"/>
      <c r="I1186" s="274"/>
      <c r="J1186" s="275"/>
      <c r="K1186" s="274"/>
    </row>
    <row r="1187" spans="1:11">
      <c r="A1187" s="275"/>
      <c r="B1187" s="275"/>
      <c r="C1187" s="275"/>
      <c r="D1187" s="275"/>
      <c r="E1187" s="275"/>
      <c r="F1187" s="275"/>
      <c r="G1187" s="275"/>
      <c r="H1187" s="274"/>
      <c r="I1187" s="274"/>
      <c r="J1187" s="275"/>
      <c r="K1187" s="274"/>
    </row>
    <row r="1188" spans="1:11">
      <c r="A1188" s="275"/>
      <c r="B1188" s="275"/>
      <c r="C1188" s="275"/>
      <c r="D1188" s="275"/>
      <c r="E1188" s="275"/>
      <c r="F1188" s="275"/>
      <c r="G1188" s="275"/>
      <c r="H1188" s="274"/>
      <c r="I1188" s="274"/>
      <c r="J1188" s="275"/>
      <c r="K1188" s="274"/>
    </row>
    <row r="1189" spans="1:11">
      <c r="A1189" s="275"/>
      <c r="B1189" s="275"/>
      <c r="C1189" s="275"/>
      <c r="D1189" s="275"/>
      <c r="E1189" s="275"/>
      <c r="F1189" s="275"/>
      <c r="G1189" s="275"/>
      <c r="H1189" s="274"/>
      <c r="I1189" s="274"/>
      <c r="J1189" s="275"/>
      <c r="K1189" s="274"/>
    </row>
    <row r="1190" spans="1:11">
      <c r="A1190" s="275"/>
      <c r="B1190" s="275"/>
      <c r="C1190" s="275"/>
      <c r="D1190" s="275"/>
      <c r="E1190" s="275"/>
      <c r="F1190" s="275"/>
      <c r="G1190" s="275"/>
      <c r="H1190" s="274"/>
      <c r="I1190" s="274"/>
      <c r="J1190" s="275"/>
      <c r="K1190" s="274"/>
    </row>
    <row r="1191" spans="1:11">
      <c r="A1191" s="275"/>
      <c r="B1191" s="275"/>
      <c r="C1191" s="275"/>
      <c r="D1191" s="275"/>
      <c r="E1191" s="275"/>
      <c r="F1191" s="275"/>
      <c r="G1191" s="275"/>
      <c r="H1191" s="274"/>
      <c r="I1191" s="274"/>
      <c r="J1191" s="275"/>
      <c r="K1191" s="274"/>
    </row>
    <row r="1192" spans="1:11">
      <c r="A1192" s="275"/>
      <c r="B1192" s="275"/>
      <c r="C1192" s="275"/>
      <c r="D1192" s="275"/>
      <c r="E1192" s="275"/>
      <c r="F1192" s="275"/>
      <c r="G1192" s="275"/>
      <c r="H1192" s="274"/>
      <c r="I1192" s="274"/>
      <c r="J1192" s="275"/>
      <c r="K1192" s="274"/>
    </row>
    <row r="1193" spans="1:11">
      <c r="A1193" s="275"/>
      <c r="B1193" s="275"/>
      <c r="C1193" s="275"/>
      <c r="D1193" s="275"/>
      <c r="E1193" s="275"/>
      <c r="F1193" s="275"/>
      <c r="G1193" s="275"/>
      <c r="H1193" s="274"/>
      <c r="I1193" s="274"/>
      <c r="J1193" s="275"/>
      <c r="K1193" s="274"/>
    </row>
    <row r="1194" spans="1:11">
      <c r="A1194" s="275"/>
      <c r="B1194" s="275"/>
      <c r="C1194" s="275"/>
      <c r="D1194" s="275"/>
      <c r="E1194" s="275"/>
      <c r="F1194" s="275"/>
      <c r="G1194" s="275"/>
      <c r="H1194" s="274"/>
      <c r="I1194" s="274"/>
      <c r="J1194" s="275"/>
      <c r="K1194" s="274"/>
    </row>
    <row r="1195" spans="1:11">
      <c r="A1195" s="275"/>
      <c r="B1195" s="275"/>
      <c r="C1195" s="275"/>
      <c r="D1195" s="275"/>
      <c r="E1195" s="275"/>
      <c r="F1195" s="275"/>
      <c r="G1195" s="275"/>
      <c r="H1195" s="274"/>
      <c r="I1195" s="274"/>
      <c r="J1195" s="275"/>
      <c r="K1195" s="274"/>
    </row>
    <row r="1196" spans="1:11">
      <c r="A1196" s="275"/>
      <c r="B1196" s="275"/>
      <c r="C1196" s="275"/>
      <c r="D1196" s="275"/>
      <c r="E1196" s="275"/>
      <c r="F1196" s="275"/>
      <c r="G1196" s="275"/>
      <c r="H1196" s="274"/>
      <c r="I1196" s="274"/>
      <c r="J1196" s="275"/>
      <c r="K1196" s="274"/>
    </row>
    <row r="1197" spans="1:11">
      <c r="A1197" s="275"/>
      <c r="B1197" s="275"/>
      <c r="C1197" s="275"/>
      <c r="D1197" s="275"/>
      <c r="E1197" s="275"/>
      <c r="F1197" s="275"/>
      <c r="G1197" s="275"/>
      <c r="H1197" s="274"/>
      <c r="I1197" s="274"/>
      <c r="J1197" s="275"/>
      <c r="K1197" s="274"/>
    </row>
    <row r="1198" spans="1:11">
      <c r="A1198" s="275"/>
      <c r="B1198" s="275"/>
      <c r="C1198" s="275"/>
      <c r="D1198" s="275"/>
      <c r="E1198" s="275"/>
      <c r="F1198" s="275"/>
      <c r="G1198" s="275"/>
      <c r="H1198" s="274"/>
      <c r="I1198" s="274"/>
      <c r="J1198" s="275"/>
      <c r="K1198" s="274"/>
    </row>
    <row r="1199" spans="1:11">
      <c r="A1199" s="275"/>
      <c r="B1199" s="275"/>
      <c r="C1199" s="275"/>
      <c r="D1199" s="275"/>
      <c r="E1199" s="275"/>
      <c r="F1199" s="275"/>
      <c r="G1199" s="275"/>
      <c r="H1199" s="274"/>
      <c r="I1199" s="274"/>
      <c r="J1199" s="275"/>
      <c r="K1199" s="274"/>
    </row>
    <row r="1200" spans="1:11">
      <c r="A1200" s="275"/>
      <c r="B1200" s="275"/>
      <c r="C1200" s="275"/>
      <c r="D1200" s="275"/>
      <c r="E1200" s="275"/>
      <c r="F1200" s="275"/>
      <c r="G1200" s="275"/>
      <c r="H1200" s="274"/>
      <c r="I1200" s="274"/>
      <c r="J1200" s="275"/>
      <c r="K1200" s="274"/>
    </row>
    <row r="1201" spans="1:11">
      <c r="A1201" s="275"/>
      <c r="B1201" s="275"/>
      <c r="C1201" s="275"/>
      <c r="D1201" s="275"/>
      <c r="E1201" s="275"/>
      <c r="F1201" s="275"/>
      <c r="G1201" s="275"/>
      <c r="H1201" s="274"/>
      <c r="I1201" s="274"/>
      <c r="J1201" s="275"/>
      <c r="K1201" s="274"/>
    </row>
    <row r="1202" spans="1:11">
      <c r="A1202" s="275"/>
      <c r="B1202" s="275"/>
      <c r="C1202" s="275"/>
      <c r="D1202" s="275"/>
      <c r="E1202" s="275"/>
      <c r="F1202" s="275"/>
      <c r="G1202" s="275"/>
      <c r="H1202" s="274"/>
      <c r="I1202" s="274"/>
      <c r="J1202" s="275"/>
      <c r="K1202" s="274"/>
    </row>
    <row r="1203" spans="1:11">
      <c r="A1203" s="275"/>
      <c r="B1203" s="275"/>
      <c r="C1203" s="275"/>
      <c r="D1203" s="275"/>
      <c r="E1203" s="275"/>
      <c r="F1203" s="275"/>
      <c r="G1203" s="275"/>
      <c r="H1203" s="274"/>
      <c r="I1203" s="274"/>
      <c r="J1203" s="275"/>
      <c r="K1203" s="274"/>
    </row>
    <row r="1204" spans="1:11">
      <c r="A1204" s="275"/>
      <c r="B1204" s="275"/>
      <c r="C1204" s="275"/>
      <c r="D1204" s="275"/>
      <c r="E1204" s="275"/>
      <c r="F1204" s="275"/>
      <c r="G1204" s="275"/>
      <c r="H1204" s="274"/>
      <c r="I1204" s="274"/>
      <c r="J1204" s="275"/>
      <c r="K1204" s="274"/>
    </row>
    <row r="1205" spans="1:11">
      <c r="A1205" s="275"/>
      <c r="B1205" s="275"/>
      <c r="C1205" s="275"/>
      <c r="D1205" s="275"/>
      <c r="E1205" s="275"/>
      <c r="F1205" s="275"/>
      <c r="G1205" s="275"/>
      <c r="H1205" s="274"/>
      <c r="I1205" s="274"/>
      <c r="J1205" s="275"/>
      <c r="K1205" s="274"/>
    </row>
    <row r="1206" spans="1:11">
      <c r="A1206" s="275"/>
      <c r="B1206" s="275"/>
      <c r="C1206" s="275"/>
      <c r="D1206" s="275"/>
      <c r="E1206" s="275"/>
      <c r="F1206" s="275"/>
      <c r="G1206" s="275"/>
      <c r="H1206" s="274"/>
      <c r="I1206" s="274"/>
      <c r="J1206" s="275"/>
      <c r="K1206" s="274"/>
    </row>
    <row r="1207" spans="1:11">
      <c r="A1207" s="275"/>
      <c r="B1207" s="275"/>
      <c r="C1207" s="275"/>
      <c r="D1207" s="275"/>
      <c r="E1207" s="275"/>
      <c r="F1207" s="275"/>
      <c r="G1207" s="275"/>
      <c r="H1207" s="274"/>
      <c r="I1207" s="274"/>
      <c r="J1207" s="275"/>
      <c r="K1207" s="274"/>
    </row>
    <row r="1208" spans="1:11">
      <c r="A1208" s="275"/>
      <c r="B1208" s="275"/>
      <c r="C1208" s="275"/>
      <c r="D1208" s="275"/>
      <c r="E1208" s="275"/>
      <c r="F1208" s="275"/>
      <c r="G1208" s="275"/>
      <c r="H1208" s="274"/>
      <c r="I1208" s="274"/>
      <c r="J1208" s="275"/>
      <c r="K1208" s="274"/>
    </row>
    <row r="1209" spans="1:11">
      <c r="A1209" s="275"/>
      <c r="B1209" s="275"/>
      <c r="C1209" s="275"/>
      <c r="D1209" s="275"/>
      <c r="E1209" s="275"/>
      <c r="F1209" s="275"/>
      <c r="G1209" s="275"/>
      <c r="H1209" s="274"/>
      <c r="I1209" s="274"/>
      <c r="J1209" s="275"/>
      <c r="K1209" s="274"/>
    </row>
    <row r="1210" spans="1:11">
      <c r="A1210" s="275"/>
      <c r="B1210" s="275"/>
      <c r="C1210" s="275"/>
      <c r="D1210" s="275"/>
      <c r="E1210" s="275"/>
      <c r="F1210" s="275"/>
      <c r="G1210" s="275"/>
      <c r="H1210" s="274"/>
      <c r="I1210" s="274"/>
      <c r="J1210" s="275"/>
      <c r="K1210" s="274"/>
    </row>
    <row r="1211" spans="1:11">
      <c r="A1211" s="275"/>
      <c r="B1211" s="275"/>
      <c r="C1211" s="275"/>
      <c r="D1211" s="275"/>
      <c r="E1211" s="275"/>
      <c r="F1211" s="275"/>
      <c r="G1211" s="275"/>
      <c r="H1211" s="274"/>
      <c r="I1211" s="274"/>
      <c r="J1211" s="275"/>
      <c r="K1211" s="274"/>
    </row>
    <row r="1212" spans="1:11">
      <c r="A1212" s="275"/>
      <c r="B1212" s="275"/>
      <c r="C1212" s="275"/>
      <c r="D1212" s="275"/>
      <c r="E1212" s="275"/>
      <c r="F1212" s="275"/>
      <c r="G1212" s="275"/>
      <c r="H1212" s="274"/>
      <c r="I1212" s="274"/>
      <c r="J1212" s="275"/>
      <c r="K1212" s="274"/>
    </row>
    <row r="1213" spans="1:11">
      <c r="A1213" s="275"/>
      <c r="B1213" s="275"/>
      <c r="C1213" s="275"/>
      <c r="D1213" s="275"/>
      <c r="E1213" s="275"/>
      <c r="F1213" s="275"/>
      <c r="G1213" s="275"/>
      <c r="H1213" s="274"/>
      <c r="I1213" s="274"/>
      <c r="J1213" s="275"/>
      <c r="K1213" s="274"/>
    </row>
    <row r="1214" spans="1:11">
      <c r="A1214" s="275"/>
      <c r="B1214" s="275"/>
      <c r="C1214" s="275"/>
      <c r="D1214" s="275"/>
      <c r="E1214" s="275"/>
      <c r="F1214" s="275"/>
      <c r="G1214" s="275"/>
      <c r="H1214" s="274"/>
      <c r="I1214" s="274"/>
      <c r="J1214" s="275"/>
      <c r="K1214" s="274"/>
    </row>
    <row r="1215" spans="1:11">
      <c r="A1215" s="275"/>
      <c r="B1215" s="275"/>
      <c r="C1215" s="275"/>
      <c r="D1215" s="275"/>
      <c r="E1215" s="275"/>
      <c r="F1215" s="275"/>
      <c r="G1215" s="275"/>
      <c r="H1215" s="274"/>
      <c r="I1215" s="274"/>
      <c r="J1215" s="275"/>
      <c r="K1215" s="274"/>
    </row>
    <row r="1216" spans="1:11">
      <c r="A1216" s="275"/>
      <c r="B1216" s="275"/>
      <c r="C1216" s="275"/>
      <c r="D1216" s="275"/>
      <c r="E1216" s="275"/>
      <c r="F1216" s="275"/>
      <c r="G1216" s="275"/>
      <c r="H1216" s="274"/>
      <c r="I1216" s="274"/>
      <c r="J1216" s="275"/>
      <c r="K1216" s="274"/>
    </row>
    <row r="1217" spans="1:11">
      <c r="A1217" s="275"/>
      <c r="B1217" s="275"/>
      <c r="C1217" s="275"/>
      <c r="D1217" s="275"/>
      <c r="E1217" s="275"/>
      <c r="F1217" s="275"/>
      <c r="G1217" s="275"/>
      <c r="H1217" s="274"/>
      <c r="I1217" s="274"/>
      <c r="J1217" s="275"/>
      <c r="K1217" s="274"/>
    </row>
    <row r="1218" spans="1:11">
      <c r="A1218" s="275"/>
      <c r="B1218" s="275"/>
      <c r="C1218" s="275"/>
      <c r="D1218" s="275"/>
      <c r="E1218" s="275"/>
      <c r="F1218" s="275"/>
      <c r="G1218" s="275"/>
      <c r="H1218" s="274"/>
      <c r="I1218" s="274"/>
      <c r="J1218" s="275"/>
      <c r="K1218" s="274"/>
    </row>
    <row r="1219" spans="1:11">
      <c r="A1219" s="275"/>
      <c r="B1219" s="275"/>
      <c r="C1219" s="275"/>
      <c r="D1219" s="275"/>
      <c r="E1219" s="275"/>
      <c r="F1219" s="275"/>
      <c r="G1219" s="275"/>
      <c r="H1219" s="274"/>
      <c r="I1219" s="274"/>
      <c r="J1219" s="275"/>
      <c r="K1219" s="274"/>
    </row>
    <row r="1220" spans="1:11">
      <c r="A1220" s="275"/>
      <c r="B1220" s="275"/>
      <c r="C1220" s="275"/>
      <c r="D1220" s="275"/>
      <c r="E1220" s="275"/>
      <c r="F1220" s="275"/>
      <c r="G1220" s="275"/>
      <c r="H1220" s="274"/>
      <c r="I1220" s="274"/>
      <c r="J1220" s="275"/>
      <c r="K1220" s="274"/>
    </row>
    <row r="1221" spans="1:11">
      <c r="A1221" s="275"/>
      <c r="B1221" s="275"/>
      <c r="C1221" s="275"/>
      <c r="D1221" s="275"/>
      <c r="E1221" s="275"/>
      <c r="F1221" s="275"/>
      <c r="G1221" s="275"/>
      <c r="H1221" s="274"/>
      <c r="I1221" s="274"/>
      <c r="J1221" s="275"/>
      <c r="K1221" s="274"/>
    </row>
    <row r="1222" spans="1:11">
      <c r="A1222" s="275"/>
      <c r="B1222" s="275"/>
      <c r="C1222" s="275"/>
      <c r="D1222" s="275"/>
      <c r="E1222" s="275"/>
      <c r="F1222" s="275"/>
      <c r="G1222" s="275"/>
      <c r="H1222" s="274"/>
      <c r="I1222" s="274"/>
      <c r="J1222" s="275"/>
      <c r="K1222" s="274"/>
    </row>
    <row r="1223" spans="1:11">
      <c r="A1223" s="275"/>
      <c r="B1223" s="275"/>
      <c r="C1223" s="275"/>
      <c r="D1223" s="275"/>
      <c r="E1223" s="275"/>
      <c r="F1223" s="275"/>
      <c r="G1223" s="275"/>
      <c r="H1223" s="274"/>
      <c r="I1223" s="274"/>
      <c r="J1223" s="275"/>
      <c r="K1223" s="274"/>
    </row>
    <row r="1224" spans="1:11">
      <c r="A1224" s="275"/>
      <c r="B1224" s="275"/>
      <c r="C1224" s="275"/>
      <c r="D1224" s="275"/>
      <c r="E1224" s="275"/>
      <c r="F1224" s="275"/>
      <c r="G1224" s="275"/>
      <c r="H1224" s="274"/>
      <c r="I1224" s="274"/>
      <c r="J1224" s="275"/>
      <c r="K1224" s="274"/>
    </row>
    <row r="1225" spans="1:11">
      <c r="A1225" s="275"/>
      <c r="B1225" s="275"/>
      <c r="C1225" s="275"/>
      <c r="D1225" s="275"/>
      <c r="E1225" s="275"/>
      <c r="F1225" s="275"/>
      <c r="G1225" s="275"/>
      <c r="H1225" s="274"/>
      <c r="I1225" s="274"/>
      <c r="J1225" s="275"/>
      <c r="K1225" s="274"/>
    </row>
    <row r="1226" spans="1:11">
      <c r="A1226" s="275"/>
      <c r="B1226" s="275"/>
      <c r="C1226" s="275"/>
      <c r="D1226" s="275"/>
      <c r="E1226" s="275"/>
      <c r="F1226" s="275"/>
      <c r="G1226" s="275"/>
      <c r="H1226" s="274"/>
      <c r="I1226" s="274"/>
      <c r="J1226" s="275"/>
      <c r="K1226" s="274"/>
    </row>
    <row r="1227" spans="1:11">
      <c r="A1227" s="275"/>
      <c r="B1227" s="275"/>
      <c r="C1227" s="275"/>
      <c r="D1227" s="275"/>
      <c r="E1227" s="275"/>
      <c r="F1227" s="275"/>
      <c r="G1227" s="275"/>
      <c r="H1227" s="274"/>
      <c r="I1227" s="274"/>
      <c r="J1227" s="275"/>
      <c r="K1227" s="274"/>
    </row>
    <row r="1228" spans="1:11">
      <c r="A1228" s="275"/>
      <c r="B1228" s="275"/>
      <c r="C1228" s="275"/>
      <c r="D1228" s="275"/>
      <c r="E1228" s="275"/>
      <c r="F1228" s="275"/>
      <c r="G1228" s="275"/>
      <c r="H1228" s="274"/>
      <c r="I1228" s="274"/>
      <c r="J1228" s="275"/>
      <c r="K1228" s="274"/>
    </row>
    <row r="1229" spans="1:11">
      <c r="A1229" s="275"/>
      <c r="B1229" s="275"/>
      <c r="C1229" s="275"/>
      <c r="D1229" s="275"/>
      <c r="E1229" s="275"/>
      <c r="F1229" s="275"/>
      <c r="G1229" s="275"/>
      <c r="H1229" s="274"/>
      <c r="I1229" s="274"/>
      <c r="J1229" s="275"/>
      <c r="K1229" s="274"/>
    </row>
    <row r="1230" spans="1:11">
      <c r="A1230" s="275"/>
      <c r="B1230" s="275"/>
      <c r="C1230" s="275"/>
      <c r="D1230" s="275"/>
      <c r="E1230" s="275"/>
      <c r="F1230" s="275"/>
      <c r="G1230" s="275"/>
      <c r="H1230" s="274"/>
      <c r="I1230" s="274"/>
      <c r="J1230" s="275"/>
      <c r="K1230" s="274"/>
    </row>
    <row r="1231" spans="1:11">
      <c r="A1231" s="275"/>
      <c r="B1231" s="275"/>
      <c r="C1231" s="275"/>
      <c r="D1231" s="275"/>
      <c r="E1231" s="275"/>
      <c r="F1231" s="275"/>
      <c r="G1231" s="275"/>
      <c r="H1231" s="274"/>
      <c r="I1231" s="274"/>
      <c r="J1231" s="275"/>
      <c r="K1231" s="274"/>
    </row>
    <row r="1232" spans="1:11">
      <c r="A1232" s="275"/>
      <c r="B1232" s="275"/>
      <c r="C1232" s="275"/>
      <c r="D1232" s="275"/>
      <c r="E1232" s="275"/>
      <c r="F1232" s="275"/>
      <c r="G1232" s="275"/>
      <c r="H1232" s="274"/>
      <c r="I1232" s="274"/>
      <c r="J1232" s="275"/>
      <c r="K1232" s="274"/>
    </row>
    <row r="1233" spans="1:11">
      <c r="A1233" s="275"/>
      <c r="B1233" s="275"/>
      <c r="C1233" s="275"/>
      <c r="D1233" s="275"/>
      <c r="E1233" s="275"/>
      <c r="F1233" s="275"/>
      <c r="G1233" s="275"/>
      <c r="H1233" s="274"/>
      <c r="I1233" s="274"/>
      <c r="J1233" s="275"/>
      <c r="K1233" s="274"/>
    </row>
    <row r="1234" spans="1:11">
      <c r="A1234" s="275"/>
      <c r="B1234" s="275"/>
      <c r="C1234" s="275"/>
      <c r="D1234" s="275"/>
      <c r="E1234" s="275"/>
      <c r="F1234" s="275"/>
      <c r="G1234" s="275"/>
      <c r="H1234" s="274"/>
      <c r="I1234" s="274"/>
      <c r="J1234" s="275"/>
      <c r="K1234" s="274"/>
    </row>
    <row r="1235" spans="1:11">
      <c r="A1235" s="275"/>
      <c r="B1235" s="275"/>
      <c r="C1235" s="275"/>
      <c r="D1235" s="275"/>
      <c r="E1235" s="275"/>
      <c r="F1235" s="275"/>
      <c r="G1235" s="275"/>
      <c r="H1235" s="274"/>
      <c r="I1235" s="274"/>
      <c r="J1235" s="275"/>
      <c r="K1235" s="274"/>
    </row>
    <row r="1236" spans="1:11">
      <c r="A1236" s="275"/>
      <c r="B1236" s="275"/>
      <c r="C1236" s="275"/>
      <c r="D1236" s="275"/>
      <c r="E1236" s="275"/>
      <c r="F1236" s="275"/>
      <c r="G1236" s="275"/>
      <c r="H1236" s="274"/>
      <c r="I1236" s="274"/>
      <c r="J1236" s="275"/>
      <c r="K1236" s="274"/>
    </row>
    <row r="1237" spans="1:11">
      <c r="A1237" s="275"/>
      <c r="B1237" s="275"/>
      <c r="C1237" s="275"/>
      <c r="D1237" s="275"/>
      <c r="E1237" s="275"/>
      <c r="F1237" s="275"/>
      <c r="G1237" s="275"/>
      <c r="H1237" s="274"/>
      <c r="I1237" s="274"/>
      <c r="J1237" s="275"/>
      <c r="K1237" s="274"/>
    </row>
    <row r="1238" spans="1:11">
      <c r="A1238" s="275"/>
      <c r="B1238" s="275"/>
      <c r="C1238" s="275"/>
      <c r="D1238" s="275"/>
      <c r="E1238" s="275"/>
      <c r="F1238" s="275"/>
      <c r="G1238" s="275"/>
      <c r="H1238" s="274"/>
      <c r="I1238" s="274"/>
      <c r="J1238" s="275"/>
      <c r="K1238" s="274"/>
    </row>
    <row r="1239" spans="1:11">
      <c r="A1239" s="275"/>
      <c r="B1239" s="275"/>
      <c r="C1239" s="275"/>
      <c r="D1239" s="275"/>
      <c r="E1239" s="275"/>
      <c r="F1239" s="275"/>
      <c r="G1239" s="275"/>
      <c r="H1239" s="274"/>
      <c r="I1239" s="274"/>
      <c r="J1239" s="275"/>
      <c r="K1239" s="274"/>
    </row>
    <row r="1240" spans="1:11">
      <c r="A1240" s="275"/>
      <c r="B1240" s="275"/>
      <c r="C1240" s="275"/>
      <c r="D1240" s="275"/>
      <c r="E1240" s="275"/>
      <c r="F1240" s="275"/>
      <c r="G1240" s="275"/>
      <c r="H1240" s="274"/>
      <c r="I1240" s="274"/>
      <c r="J1240" s="275"/>
      <c r="K1240" s="274"/>
    </row>
    <row r="1241" spans="1:11">
      <c r="A1241" s="275"/>
      <c r="B1241" s="275"/>
      <c r="C1241" s="275"/>
      <c r="D1241" s="275"/>
      <c r="E1241" s="275"/>
      <c r="F1241" s="275"/>
      <c r="G1241" s="275"/>
      <c r="H1241" s="274"/>
      <c r="I1241" s="274"/>
      <c r="J1241" s="275"/>
      <c r="K1241" s="274"/>
    </row>
    <row r="1242" spans="1:11">
      <c r="A1242" s="275"/>
      <c r="B1242" s="275"/>
      <c r="C1242" s="275"/>
      <c r="D1242" s="275"/>
      <c r="E1242" s="275"/>
      <c r="F1242" s="275"/>
      <c r="G1242" s="275"/>
      <c r="H1242" s="274"/>
      <c r="I1242" s="274"/>
      <c r="J1242" s="275"/>
      <c r="K1242" s="274"/>
    </row>
    <row r="1243" spans="1:11">
      <c r="A1243" s="275"/>
      <c r="B1243" s="275"/>
      <c r="C1243" s="275"/>
      <c r="D1243" s="275"/>
      <c r="E1243" s="275"/>
      <c r="F1243" s="275"/>
      <c r="G1243" s="275"/>
      <c r="H1243" s="274"/>
      <c r="I1243" s="274"/>
      <c r="J1243" s="275"/>
      <c r="K1243" s="274"/>
    </row>
    <row r="1244" spans="1:11">
      <c r="A1244" s="275"/>
      <c r="B1244" s="275"/>
      <c r="C1244" s="275"/>
      <c r="D1244" s="275"/>
      <c r="E1244" s="275"/>
      <c r="F1244" s="275"/>
      <c r="G1244" s="275"/>
      <c r="H1244" s="274"/>
      <c r="I1244" s="274"/>
      <c r="J1244" s="275"/>
      <c r="K1244" s="274"/>
    </row>
    <row r="1245" spans="1:11">
      <c r="A1245" s="275"/>
      <c r="B1245" s="275"/>
      <c r="C1245" s="275"/>
      <c r="D1245" s="275"/>
      <c r="E1245" s="275"/>
      <c r="F1245" s="275"/>
      <c r="G1245" s="275"/>
      <c r="H1245" s="274"/>
      <c r="I1245" s="274"/>
      <c r="J1245" s="275"/>
      <c r="K1245" s="274"/>
    </row>
    <row r="1246" spans="1:11">
      <c r="A1246" s="275"/>
      <c r="B1246" s="275"/>
      <c r="C1246" s="275"/>
      <c r="D1246" s="275"/>
      <c r="E1246" s="275"/>
      <c r="F1246" s="275"/>
      <c r="G1246" s="275"/>
      <c r="H1246" s="274"/>
      <c r="I1246" s="274"/>
      <c r="J1246" s="275"/>
      <c r="K1246" s="274"/>
    </row>
    <row r="1247" spans="1:11">
      <c r="A1247" s="275"/>
      <c r="B1247" s="275"/>
      <c r="C1247" s="275"/>
      <c r="D1247" s="275"/>
      <c r="E1247" s="275"/>
      <c r="F1247" s="275"/>
      <c r="G1247" s="275"/>
      <c r="H1247" s="274"/>
      <c r="I1247" s="274"/>
      <c r="J1247" s="275"/>
      <c r="K1247" s="274"/>
    </row>
    <row r="1248" spans="1:11">
      <c r="A1248" s="275"/>
      <c r="B1248" s="275"/>
      <c r="C1248" s="275"/>
      <c r="D1248" s="275"/>
      <c r="E1248" s="275"/>
      <c r="F1248" s="275"/>
      <c r="G1248" s="275"/>
      <c r="H1248" s="274"/>
      <c r="I1248" s="274"/>
      <c r="J1248" s="275"/>
      <c r="K1248" s="274"/>
    </row>
    <row r="1249" spans="1:11">
      <c r="A1249" s="275"/>
      <c r="B1249" s="275"/>
      <c r="C1249" s="275"/>
      <c r="D1249" s="275"/>
      <c r="E1249" s="275"/>
      <c r="F1249" s="275"/>
      <c r="G1249" s="275"/>
      <c r="H1249" s="274"/>
      <c r="I1249" s="274"/>
      <c r="J1249" s="275"/>
      <c r="K1249" s="274"/>
    </row>
    <row r="1250" spans="1:11">
      <c r="A1250" s="275"/>
      <c r="B1250" s="275"/>
      <c r="C1250" s="275"/>
      <c r="D1250" s="275"/>
      <c r="E1250" s="275"/>
      <c r="F1250" s="275"/>
      <c r="G1250" s="275"/>
      <c r="H1250" s="274"/>
      <c r="I1250" s="274"/>
      <c r="J1250" s="275"/>
      <c r="K1250" s="274"/>
    </row>
    <row r="1251" spans="1:11">
      <c r="A1251" s="275"/>
      <c r="B1251" s="275"/>
      <c r="C1251" s="275"/>
      <c r="D1251" s="275"/>
      <c r="E1251" s="275"/>
      <c r="F1251" s="275"/>
      <c r="G1251" s="275"/>
      <c r="H1251" s="274"/>
      <c r="I1251" s="274"/>
      <c r="J1251" s="275"/>
      <c r="K1251" s="274"/>
    </row>
    <row r="1252" spans="1:11">
      <c r="A1252" s="275"/>
      <c r="B1252" s="275"/>
      <c r="C1252" s="275"/>
      <c r="D1252" s="275"/>
      <c r="E1252" s="275"/>
      <c r="F1252" s="275"/>
      <c r="G1252" s="275"/>
      <c r="H1252" s="274"/>
      <c r="I1252" s="274"/>
      <c r="J1252" s="275"/>
      <c r="K1252" s="274"/>
    </row>
    <row r="1253" spans="1:11">
      <c r="A1253" s="275"/>
      <c r="B1253" s="275"/>
      <c r="C1253" s="275"/>
      <c r="D1253" s="275"/>
      <c r="E1253" s="275"/>
      <c r="F1253" s="275"/>
      <c r="G1253" s="275"/>
      <c r="H1253" s="274"/>
      <c r="I1253" s="274"/>
      <c r="J1253" s="275"/>
      <c r="K1253" s="274"/>
    </row>
    <row r="1254" spans="1:11">
      <c r="A1254" s="275"/>
      <c r="B1254" s="275"/>
      <c r="C1254" s="275"/>
      <c r="D1254" s="275"/>
      <c r="E1254" s="275"/>
      <c r="F1254" s="275"/>
      <c r="G1254" s="275"/>
      <c r="H1254" s="274"/>
      <c r="I1254" s="274"/>
      <c r="J1254" s="275"/>
      <c r="K1254" s="274"/>
    </row>
    <row r="1255" spans="1:11">
      <c r="A1255" s="275"/>
      <c r="B1255" s="275"/>
      <c r="C1255" s="275"/>
      <c r="D1255" s="275"/>
      <c r="E1255" s="275"/>
      <c r="F1255" s="275"/>
      <c r="G1255" s="275"/>
      <c r="H1255" s="274"/>
      <c r="I1255" s="274"/>
      <c r="J1255" s="275"/>
      <c r="K1255" s="274"/>
    </row>
    <row r="1256" spans="1:11">
      <c r="A1256" s="275"/>
      <c r="B1256" s="275"/>
      <c r="C1256" s="275"/>
      <c r="D1256" s="275"/>
      <c r="E1256" s="275"/>
      <c r="F1256" s="275"/>
      <c r="G1256" s="275"/>
      <c r="H1256" s="274"/>
      <c r="I1256" s="274"/>
      <c r="J1256" s="275"/>
      <c r="K1256" s="274"/>
    </row>
    <row r="1257" spans="1:11">
      <c r="A1257" s="275"/>
      <c r="B1257" s="275"/>
      <c r="C1257" s="275"/>
      <c r="D1257" s="275"/>
      <c r="E1257" s="275"/>
      <c r="F1257" s="275"/>
      <c r="G1257" s="275"/>
      <c r="H1257" s="274"/>
      <c r="I1257" s="274"/>
      <c r="J1257" s="275"/>
      <c r="K1257" s="274"/>
    </row>
    <row r="1258" spans="1:11">
      <c r="A1258" s="275"/>
      <c r="B1258" s="275"/>
      <c r="C1258" s="275"/>
      <c r="D1258" s="275"/>
      <c r="E1258" s="275"/>
      <c r="F1258" s="275"/>
      <c r="G1258" s="275"/>
      <c r="H1258" s="274"/>
      <c r="I1258" s="274"/>
      <c r="J1258" s="275"/>
      <c r="K1258" s="274"/>
    </row>
    <row r="1259" spans="1:11">
      <c r="A1259" s="275"/>
      <c r="B1259" s="275"/>
      <c r="C1259" s="275"/>
      <c r="D1259" s="275"/>
      <c r="E1259" s="275"/>
      <c r="F1259" s="275"/>
      <c r="G1259" s="275"/>
      <c r="H1259" s="274"/>
      <c r="I1259" s="274"/>
      <c r="J1259" s="275"/>
      <c r="K1259" s="274"/>
    </row>
    <row r="1260" spans="1:11">
      <c r="A1260" s="275"/>
      <c r="B1260" s="275"/>
      <c r="C1260" s="275"/>
      <c r="D1260" s="275"/>
      <c r="E1260" s="275"/>
      <c r="F1260" s="275"/>
      <c r="G1260" s="275"/>
      <c r="H1260" s="274"/>
      <c r="I1260" s="274"/>
      <c r="J1260" s="275"/>
      <c r="K1260" s="274"/>
    </row>
    <row r="1261" spans="1:11">
      <c r="A1261" s="275"/>
      <c r="B1261" s="275"/>
      <c r="C1261" s="275"/>
      <c r="D1261" s="275"/>
      <c r="E1261" s="275"/>
      <c r="F1261" s="275"/>
      <c r="G1261" s="275"/>
      <c r="H1261" s="274"/>
      <c r="I1261" s="274"/>
      <c r="J1261" s="275"/>
      <c r="K1261" s="274"/>
    </row>
    <row r="1262" spans="1:11">
      <c r="A1262" s="275"/>
      <c r="B1262" s="275"/>
      <c r="C1262" s="275"/>
      <c r="D1262" s="275"/>
      <c r="E1262" s="275"/>
      <c r="F1262" s="275"/>
      <c r="G1262" s="275"/>
      <c r="H1262" s="274"/>
      <c r="I1262" s="274"/>
      <c r="J1262" s="275"/>
      <c r="K1262" s="274"/>
    </row>
    <row r="1263" spans="1:11">
      <c r="A1263" s="275"/>
      <c r="B1263" s="275"/>
      <c r="C1263" s="275"/>
      <c r="D1263" s="275"/>
      <c r="E1263" s="275"/>
      <c r="F1263" s="275"/>
      <c r="G1263" s="275"/>
      <c r="H1263" s="274"/>
      <c r="I1263" s="274"/>
      <c r="J1263" s="275"/>
      <c r="K1263" s="274"/>
    </row>
    <row r="1264" spans="1:11">
      <c r="A1264" s="275"/>
      <c r="B1264" s="275"/>
      <c r="C1264" s="275"/>
      <c r="D1264" s="275"/>
      <c r="E1264" s="275"/>
      <c r="F1264" s="275"/>
      <c r="G1264" s="275"/>
      <c r="H1264" s="274"/>
      <c r="I1264" s="274"/>
      <c r="J1264" s="275"/>
      <c r="K1264" s="274"/>
    </row>
    <row r="1265" spans="1:11">
      <c r="A1265" s="275"/>
      <c r="B1265" s="275"/>
      <c r="C1265" s="275"/>
      <c r="D1265" s="275"/>
      <c r="E1265" s="275"/>
      <c r="F1265" s="275"/>
      <c r="G1265" s="275"/>
      <c r="H1265" s="274"/>
      <c r="I1265" s="274"/>
      <c r="J1265" s="275"/>
      <c r="K1265" s="274"/>
    </row>
    <row r="1266" spans="1:11">
      <c r="A1266" s="275"/>
      <c r="B1266" s="275"/>
      <c r="C1266" s="275"/>
      <c r="D1266" s="275"/>
      <c r="E1266" s="275"/>
      <c r="F1266" s="275"/>
      <c r="G1266" s="275"/>
      <c r="H1266" s="274"/>
      <c r="I1266" s="274"/>
      <c r="J1266" s="275"/>
      <c r="K1266" s="274"/>
    </row>
    <row r="1267" spans="1:11">
      <c r="A1267" s="275"/>
      <c r="B1267" s="275"/>
      <c r="C1267" s="275"/>
      <c r="D1267" s="275"/>
      <c r="E1267" s="275"/>
      <c r="F1267" s="275"/>
      <c r="G1267" s="275"/>
      <c r="H1267" s="274"/>
      <c r="I1267" s="274"/>
      <c r="J1267" s="275"/>
      <c r="K1267" s="274"/>
    </row>
    <row r="1268" spans="1:11">
      <c r="A1268" s="275"/>
      <c r="B1268" s="275"/>
      <c r="C1268" s="275"/>
      <c r="D1268" s="275"/>
      <c r="E1268" s="275"/>
      <c r="F1268" s="275"/>
      <c r="G1268" s="275"/>
      <c r="H1268" s="274"/>
      <c r="I1268" s="274"/>
      <c r="J1268" s="275"/>
      <c r="K1268" s="274"/>
    </row>
    <row r="1269" spans="1:11">
      <c r="A1269" s="275"/>
      <c r="B1269" s="275"/>
      <c r="C1269" s="275"/>
      <c r="D1269" s="275"/>
      <c r="E1269" s="275"/>
      <c r="F1269" s="275"/>
      <c r="G1269" s="275"/>
      <c r="H1269" s="274"/>
      <c r="I1269" s="274"/>
      <c r="J1269" s="275"/>
      <c r="K1269" s="274"/>
    </row>
    <row r="1270" spans="1:11">
      <c r="A1270" s="275"/>
      <c r="B1270" s="275"/>
      <c r="C1270" s="275"/>
      <c r="D1270" s="275"/>
      <c r="E1270" s="275"/>
      <c r="F1270" s="275"/>
      <c r="G1270" s="275"/>
      <c r="H1270" s="274"/>
      <c r="I1270" s="274"/>
      <c r="J1270" s="275"/>
      <c r="K1270" s="274"/>
    </row>
    <row r="1271" spans="1:11">
      <c r="A1271" s="275"/>
      <c r="B1271" s="275"/>
      <c r="C1271" s="275"/>
      <c r="D1271" s="275"/>
      <c r="E1271" s="275"/>
      <c r="F1271" s="275"/>
      <c r="G1271" s="275"/>
      <c r="H1271" s="274"/>
      <c r="I1271" s="274"/>
      <c r="J1271" s="275"/>
      <c r="K1271" s="274"/>
    </row>
    <row r="1272" spans="1:11">
      <c r="A1272" s="275"/>
      <c r="B1272" s="275"/>
      <c r="C1272" s="275"/>
      <c r="D1272" s="275"/>
      <c r="E1272" s="275"/>
      <c r="F1272" s="275"/>
      <c r="G1272" s="275"/>
      <c r="H1272" s="274"/>
      <c r="I1272" s="274"/>
      <c r="J1272" s="275"/>
      <c r="K1272" s="274"/>
    </row>
    <row r="1273" spans="1:11">
      <c r="A1273" s="275"/>
      <c r="B1273" s="275"/>
      <c r="C1273" s="275"/>
      <c r="D1273" s="275"/>
      <c r="E1273" s="275"/>
      <c r="F1273" s="275"/>
      <c r="G1273" s="275"/>
      <c r="H1273" s="274"/>
      <c r="I1273" s="274"/>
      <c r="J1273" s="275"/>
      <c r="K1273" s="274"/>
    </row>
    <row r="1274" spans="1:11">
      <c r="A1274" s="275"/>
      <c r="B1274" s="275"/>
      <c r="C1274" s="275"/>
      <c r="D1274" s="275"/>
      <c r="E1274" s="275"/>
      <c r="F1274" s="275"/>
      <c r="G1274" s="275"/>
      <c r="H1274" s="274"/>
      <c r="I1274" s="274"/>
      <c r="J1274" s="275"/>
      <c r="K1274" s="274"/>
    </row>
    <row r="1275" spans="1:11">
      <c r="A1275" s="275"/>
      <c r="B1275" s="275"/>
      <c r="C1275" s="275"/>
      <c r="D1275" s="275"/>
      <c r="E1275" s="275"/>
      <c r="F1275" s="275"/>
      <c r="G1275" s="275"/>
      <c r="H1275" s="274"/>
      <c r="I1275" s="274"/>
      <c r="J1275" s="275"/>
      <c r="K1275" s="274"/>
    </row>
    <row r="1276" spans="1:11">
      <c r="A1276" s="275"/>
      <c r="B1276" s="275"/>
      <c r="C1276" s="275"/>
      <c r="D1276" s="275"/>
      <c r="E1276" s="275"/>
      <c r="F1276" s="275"/>
      <c r="G1276" s="275"/>
      <c r="H1276" s="274"/>
      <c r="I1276" s="274"/>
      <c r="J1276" s="275"/>
      <c r="K1276" s="274"/>
    </row>
    <row r="1277" spans="1:11">
      <c r="A1277" s="275"/>
      <c r="B1277" s="275"/>
      <c r="C1277" s="275"/>
      <c r="D1277" s="275"/>
      <c r="E1277" s="275"/>
      <c r="F1277" s="275"/>
      <c r="G1277" s="275"/>
      <c r="H1277" s="274"/>
      <c r="I1277" s="274"/>
      <c r="J1277" s="275"/>
      <c r="K1277" s="274"/>
    </row>
    <row r="1278" spans="1:11">
      <c r="A1278" s="275"/>
      <c r="B1278" s="275"/>
      <c r="C1278" s="275"/>
      <c r="D1278" s="275"/>
      <c r="E1278" s="275"/>
      <c r="F1278" s="275"/>
      <c r="G1278" s="275"/>
      <c r="H1278" s="274"/>
      <c r="I1278" s="274"/>
      <c r="J1278" s="275"/>
      <c r="K1278" s="274"/>
    </row>
    <row r="1279" spans="1:11">
      <c r="A1279" s="275"/>
      <c r="B1279" s="275"/>
      <c r="C1279" s="275"/>
      <c r="D1279" s="275"/>
      <c r="E1279" s="275"/>
      <c r="F1279" s="275"/>
      <c r="G1279" s="275"/>
      <c r="H1279" s="274"/>
      <c r="I1279" s="274"/>
      <c r="J1279" s="275"/>
      <c r="K1279" s="274"/>
    </row>
    <row r="1280" spans="1:11">
      <c r="A1280" s="275"/>
      <c r="B1280" s="275"/>
      <c r="C1280" s="275"/>
      <c r="D1280" s="275"/>
      <c r="E1280" s="275"/>
      <c r="F1280" s="275"/>
      <c r="G1280" s="275"/>
      <c r="H1280" s="274"/>
      <c r="I1280" s="274"/>
      <c r="J1280" s="275"/>
      <c r="K1280" s="274"/>
    </row>
    <row r="1281" spans="1:11">
      <c r="A1281" s="275"/>
      <c r="B1281" s="275"/>
      <c r="C1281" s="275"/>
      <c r="D1281" s="275"/>
      <c r="E1281" s="275"/>
      <c r="F1281" s="275"/>
      <c r="G1281" s="275"/>
      <c r="H1281" s="274"/>
      <c r="I1281" s="274"/>
      <c r="J1281" s="275"/>
      <c r="K1281" s="274"/>
    </row>
    <row r="1282" spans="1:11">
      <c r="A1282" s="275"/>
      <c r="B1282" s="275"/>
      <c r="C1282" s="275"/>
      <c r="D1282" s="275"/>
      <c r="E1282" s="275"/>
      <c r="F1282" s="275"/>
      <c r="G1282" s="275"/>
      <c r="H1282" s="274"/>
      <c r="I1282" s="274"/>
      <c r="J1282" s="275"/>
      <c r="K1282" s="274"/>
    </row>
    <row r="1283" spans="1:11">
      <c r="A1283" s="275"/>
      <c r="B1283" s="275"/>
      <c r="C1283" s="275"/>
      <c r="D1283" s="275"/>
      <c r="E1283" s="275"/>
      <c r="F1283" s="275"/>
      <c r="G1283" s="275"/>
      <c r="H1283" s="274"/>
      <c r="I1283" s="274"/>
      <c r="J1283" s="275"/>
      <c r="K1283" s="274"/>
    </row>
    <row r="1284" spans="1:11">
      <c r="A1284" s="275"/>
      <c r="B1284" s="275"/>
      <c r="C1284" s="275"/>
      <c r="D1284" s="275"/>
      <c r="E1284" s="275"/>
      <c r="F1284" s="275"/>
      <c r="G1284" s="275"/>
      <c r="H1284" s="274"/>
      <c r="I1284" s="274"/>
      <c r="J1284" s="275"/>
      <c r="K1284" s="274"/>
    </row>
    <row r="1285" spans="1:11">
      <c r="A1285" s="275"/>
      <c r="B1285" s="275"/>
      <c r="C1285" s="275"/>
      <c r="D1285" s="275"/>
      <c r="E1285" s="275"/>
      <c r="F1285" s="275"/>
      <c r="G1285" s="275"/>
      <c r="H1285" s="274"/>
      <c r="I1285" s="274"/>
      <c r="J1285" s="275"/>
      <c r="K1285" s="274"/>
    </row>
    <row r="1286" spans="1:11">
      <c r="A1286" s="275"/>
      <c r="B1286" s="275"/>
      <c r="C1286" s="275"/>
      <c r="D1286" s="275"/>
      <c r="E1286" s="275"/>
      <c r="F1286" s="275"/>
      <c r="G1286" s="275"/>
      <c r="H1286" s="274"/>
      <c r="I1286" s="274"/>
      <c r="J1286" s="275"/>
      <c r="K1286" s="274"/>
    </row>
    <row r="1287" spans="1:11">
      <c r="A1287" s="275"/>
      <c r="B1287" s="275"/>
      <c r="C1287" s="275"/>
      <c r="D1287" s="275"/>
      <c r="E1287" s="275"/>
      <c r="F1287" s="275"/>
      <c r="G1287" s="275"/>
      <c r="H1287" s="274"/>
      <c r="I1287" s="274"/>
      <c r="J1287" s="275"/>
      <c r="K1287" s="274"/>
    </row>
    <row r="1288" spans="1:11">
      <c r="A1288" s="275"/>
      <c r="B1288" s="275"/>
      <c r="C1288" s="275"/>
      <c r="D1288" s="275"/>
      <c r="E1288" s="275"/>
      <c r="F1288" s="275"/>
      <c r="G1288" s="275"/>
      <c r="H1288" s="274"/>
      <c r="I1288" s="274"/>
      <c r="J1288" s="275"/>
      <c r="K1288" s="274"/>
    </row>
    <row r="1289" spans="1:11">
      <c r="A1289" s="275"/>
      <c r="B1289" s="275"/>
      <c r="C1289" s="275"/>
      <c r="D1289" s="275"/>
      <c r="E1289" s="275"/>
      <c r="F1289" s="275"/>
      <c r="G1289" s="275"/>
      <c r="H1289" s="274"/>
      <c r="I1289" s="274"/>
      <c r="J1289" s="275"/>
      <c r="K1289" s="274"/>
    </row>
    <row r="1290" spans="1:11">
      <c r="A1290" s="275"/>
      <c r="B1290" s="275"/>
      <c r="C1290" s="275"/>
      <c r="D1290" s="275"/>
      <c r="E1290" s="275"/>
      <c r="F1290" s="275"/>
      <c r="G1290" s="275"/>
      <c r="H1290" s="274"/>
      <c r="I1290" s="274"/>
      <c r="J1290" s="275"/>
      <c r="K1290" s="274"/>
    </row>
    <row r="1291" spans="1:11">
      <c r="A1291" s="275"/>
      <c r="B1291" s="275"/>
      <c r="C1291" s="275"/>
      <c r="D1291" s="275"/>
      <c r="E1291" s="275"/>
      <c r="F1291" s="275"/>
      <c r="G1291" s="275"/>
      <c r="H1291" s="274"/>
      <c r="I1291" s="274"/>
      <c r="J1291" s="275"/>
      <c r="K1291" s="274"/>
    </row>
    <row r="1292" spans="1:11">
      <c r="A1292" s="275"/>
      <c r="B1292" s="275"/>
      <c r="C1292" s="275"/>
      <c r="D1292" s="275"/>
      <c r="E1292" s="275"/>
      <c r="F1292" s="275"/>
      <c r="G1292" s="275"/>
      <c r="H1292" s="274"/>
      <c r="I1292" s="274"/>
      <c r="J1292" s="275"/>
      <c r="K1292" s="274"/>
    </row>
    <row r="1293" spans="1:11">
      <c r="A1293" s="275"/>
      <c r="B1293" s="275"/>
      <c r="C1293" s="275"/>
      <c r="D1293" s="275"/>
      <c r="E1293" s="275"/>
      <c r="F1293" s="275"/>
      <c r="G1293" s="275"/>
      <c r="H1293" s="274"/>
      <c r="I1293" s="274"/>
      <c r="J1293" s="275"/>
      <c r="K1293" s="274"/>
    </row>
    <row r="1294" spans="1:11">
      <c r="A1294" s="275"/>
      <c r="B1294" s="275"/>
      <c r="C1294" s="275"/>
      <c r="D1294" s="275"/>
      <c r="E1294" s="275"/>
      <c r="F1294" s="275"/>
      <c r="G1294" s="275"/>
      <c r="H1294" s="274"/>
      <c r="I1294" s="274"/>
      <c r="J1294" s="275"/>
      <c r="K1294" s="274"/>
    </row>
    <row r="1295" spans="1:11">
      <c r="A1295" s="275"/>
      <c r="B1295" s="275"/>
      <c r="C1295" s="275"/>
      <c r="D1295" s="275"/>
      <c r="E1295" s="275"/>
      <c r="F1295" s="275"/>
      <c r="G1295" s="275"/>
      <c r="H1295" s="274"/>
      <c r="I1295" s="274"/>
      <c r="J1295" s="275"/>
      <c r="K1295" s="274"/>
    </row>
    <row r="1296" spans="1:11">
      <c r="A1296" s="275"/>
      <c r="B1296" s="275"/>
      <c r="C1296" s="275"/>
      <c r="D1296" s="275"/>
      <c r="E1296" s="275"/>
      <c r="F1296" s="275"/>
      <c r="G1296" s="275"/>
      <c r="H1296" s="274"/>
      <c r="I1296" s="274"/>
      <c r="J1296" s="275"/>
      <c r="K1296" s="274"/>
    </row>
    <row r="1297" spans="1:11">
      <c r="A1297" s="275"/>
      <c r="B1297" s="275"/>
      <c r="C1297" s="275"/>
      <c r="D1297" s="275"/>
      <c r="E1297" s="275"/>
      <c r="F1297" s="275"/>
      <c r="G1297" s="275"/>
      <c r="H1297" s="274"/>
      <c r="I1297" s="274"/>
      <c r="J1297" s="275"/>
      <c r="K1297" s="274"/>
    </row>
    <row r="1298" spans="1:11">
      <c r="A1298" s="275"/>
      <c r="B1298" s="275"/>
      <c r="C1298" s="275"/>
      <c r="D1298" s="275"/>
      <c r="E1298" s="275"/>
      <c r="F1298" s="275"/>
      <c r="G1298" s="275"/>
      <c r="H1298" s="274"/>
      <c r="I1298" s="274"/>
      <c r="J1298" s="275"/>
      <c r="K1298" s="274"/>
    </row>
    <row r="1299" spans="1:11">
      <c r="A1299" s="275"/>
      <c r="B1299" s="275"/>
      <c r="C1299" s="275"/>
      <c r="D1299" s="275"/>
      <c r="E1299" s="275"/>
      <c r="F1299" s="275"/>
      <c r="G1299" s="275"/>
      <c r="H1299" s="274"/>
      <c r="I1299" s="274"/>
      <c r="J1299" s="275"/>
      <c r="K1299" s="274"/>
    </row>
    <row r="1300" spans="1:11">
      <c r="A1300" s="275"/>
      <c r="B1300" s="275"/>
      <c r="C1300" s="275"/>
      <c r="D1300" s="275"/>
      <c r="E1300" s="275"/>
      <c r="F1300" s="275"/>
      <c r="G1300" s="275"/>
      <c r="H1300" s="274"/>
      <c r="I1300" s="274"/>
      <c r="J1300" s="275"/>
      <c r="K1300" s="274"/>
    </row>
    <row r="1301" spans="1:11">
      <c r="A1301" s="275"/>
      <c r="B1301" s="275"/>
      <c r="C1301" s="275"/>
      <c r="D1301" s="275"/>
      <c r="E1301" s="275"/>
      <c r="F1301" s="275"/>
      <c r="G1301" s="275"/>
      <c r="H1301" s="274"/>
      <c r="I1301" s="274"/>
      <c r="J1301" s="275"/>
      <c r="K1301" s="274"/>
    </row>
    <row r="1302" spans="1:11">
      <c r="A1302" s="275"/>
      <c r="B1302" s="275"/>
      <c r="C1302" s="275"/>
      <c r="D1302" s="275"/>
      <c r="E1302" s="275"/>
      <c r="F1302" s="275"/>
      <c r="G1302" s="275"/>
      <c r="H1302" s="274"/>
      <c r="I1302" s="274"/>
      <c r="J1302" s="275"/>
      <c r="K1302" s="274"/>
    </row>
    <row r="1303" spans="1:11">
      <c r="A1303" s="275"/>
      <c r="B1303" s="275"/>
      <c r="C1303" s="275"/>
      <c r="D1303" s="275"/>
      <c r="E1303" s="275"/>
      <c r="F1303" s="275"/>
      <c r="G1303" s="275"/>
      <c r="H1303" s="274"/>
      <c r="I1303" s="274"/>
      <c r="J1303" s="275"/>
      <c r="K1303" s="274"/>
    </row>
    <row r="1304" spans="1:11">
      <c r="A1304" s="275"/>
      <c r="B1304" s="275"/>
      <c r="C1304" s="275"/>
      <c r="D1304" s="275"/>
      <c r="E1304" s="275"/>
      <c r="F1304" s="275"/>
      <c r="G1304" s="275"/>
      <c r="H1304" s="274"/>
      <c r="I1304" s="274"/>
      <c r="J1304" s="275"/>
      <c r="K1304" s="274"/>
    </row>
    <row r="1305" spans="1:11">
      <c r="A1305" s="275"/>
      <c r="B1305" s="275"/>
      <c r="C1305" s="275"/>
      <c r="D1305" s="275"/>
      <c r="E1305" s="275"/>
      <c r="F1305" s="275"/>
      <c r="G1305" s="275"/>
      <c r="H1305" s="274"/>
      <c r="I1305" s="274"/>
      <c r="J1305" s="275"/>
      <c r="K1305" s="274"/>
    </row>
    <row r="1306" spans="1:11">
      <c r="A1306" s="275"/>
      <c r="B1306" s="275"/>
      <c r="C1306" s="275"/>
      <c r="D1306" s="275"/>
      <c r="E1306" s="275"/>
      <c r="F1306" s="275"/>
      <c r="G1306" s="275"/>
      <c r="H1306" s="274"/>
      <c r="I1306" s="274"/>
      <c r="J1306" s="275"/>
      <c r="K1306" s="274"/>
    </row>
    <row r="1307" spans="1:11">
      <c r="A1307" s="275"/>
      <c r="B1307" s="275"/>
      <c r="C1307" s="275"/>
      <c r="D1307" s="275"/>
      <c r="E1307" s="275"/>
      <c r="F1307" s="275"/>
      <c r="G1307" s="275"/>
      <c r="H1307" s="274"/>
      <c r="I1307" s="274"/>
      <c r="J1307" s="275"/>
      <c r="K1307" s="274"/>
    </row>
    <row r="1308" spans="1:11">
      <c r="A1308" s="275"/>
      <c r="B1308" s="275"/>
      <c r="C1308" s="275"/>
      <c r="D1308" s="275"/>
      <c r="E1308" s="275"/>
      <c r="F1308" s="275"/>
      <c r="G1308" s="275"/>
      <c r="H1308" s="274"/>
      <c r="I1308" s="274"/>
      <c r="J1308" s="275"/>
      <c r="K1308" s="274"/>
    </row>
    <row r="1309" spans="1:11">
      <c r="A1309" s="275"/>
      <c r="B1309" s="275"/>
      <c r="C1309" s="275"/>
      <c r="D1309" s="275"/>
      <c r="E1309" s="275"/>
      <c r="F1309" s="275"/>
      <c r="G1309" s="275"/>
      <c r="H1309" s="274"/>
      <c r="I1309" s="274"/>
      <c r="J1309" s="275"/>
      <c r="K1309" s="274"/>
    </row>
    <row r="1310" spans="1:11">
      <c r="A1310" s="275"/>
      <c r="B1310" s="275"/>
      <c r="C1310" s="275"/>
      <c r="D1310" s="275"/>
      <c r="E1310" s="275"/>
      <c r="F1310" s="275"/>
      <c r="G1310" s="275"/>
      <c r="H1310" s="274"/>
      <c r="I1310" s="274"/>
      <c r="J1310" s="275"/>
      <c r="K1310" s="274"/>
    </row>
    <row r="1311" spans="1:11">
      <c r="A1311" s="275"/>
      <c r="B1311" s="275"/>
      <c r="C1311" s="275"/>
      <c r="D1311" s="275"/>
      <c r="E1311" s="275"/>
      <c r="F1311" s="275"/>
      <c r="G1311" s="275"/>
      <c r="H1311" s="274"/>
      <c r="I1311" s="274"/>
      <c r="J1311" s="275"/>
      <c r="K1311" s="274"/>
    </row>
    <row r="1312" spans="1:11">
      <c r="A1312" s="275"/>
      <c r="B1312" s="275"/>
      <c r="C1312" s="275"/>
      <c r="D1312" s="275"/>
      <c r="E1312" s="275"/>
      <c r="F1312" s="275"/>
      <c r="G1312" s="275"/>
      <c r="H1312" s="274"/>
      <c r="I1312" s="274"/>
      <c r="J1312" s="275"/>
      <c r="K1312" s="274"/>
    </row>
    <row r="1313" spans="1:11">
      <c r="A1313" s="275"/>
      <c r="B1313" s="275"/>
      <c r="C1313" s="275"/>
      <c r="D1313" s="275"/>
      <c r="E1313" s="275"/>
      <c r="F1313" s="275"/>
      <c r="G1313" s="275"/>
      <c r="H1313" s="274"/>
      <c r="I1313" s="274"/>
      <c r="J1313" s="275"/>
      <c r="K1313" s="274"/>
    </row>
    <row r="1314" spans="1:11">
      <c r="A1314" s="275"/>
      <c r="B1314" s="275"/>
      <c r="C1314" s="275"/>
      <c r="D1314" s="275"/>
      <c r="E1314" s="275"/>
      <c r="F1314" s="275"/>
      <c r="G1314" s="275"/>
      <c r="H1314" s="274"/>
      <c r="I1314" s="274"/>
      <c r="J1314" s="275"/>
      <c r="K1314" s="274"/>
    </row>
    <row r="1315" spans="1:11">
      <c r="A1315" s="275"/>
      <c r="B1315" s="275"/>
      <c r="C1315" s="275"/>
      <c r="D1315" s="275"/>
      <c r="E1315" s="275"/>
      <c r="F1315" s="275"/>
      <c r="G1315" s="275"/>
      <c r="H1315" s="274"/>
      <c r="I1315" s="274"/>
      <c r="J1315" s="275"/>
      <c r="K1315" s="274"/>
    </row>
    <row r="1316" spans="1:11">
      <c r="A1316" s="275"/>
      <c r="B1316" s="275"/>
      <c r="C1316" s="275"/>
      <c r="D1316" s="275"/>
      <c r="E1316" s="275"/>
      <c r="F1316" s="275"/>
      <c r="G1316" s="275"/>
      <c r="H1316" s="274"/>
      <c r="I1316" s="274"/>
      <c r="J1316" s="275"/>
      <c r="K1316" s="274"/>
    </row>
    <row r="1317" spans="1:11">
      <c r="A1317" s="275"/>
      <c r="B1317" s="275"/>
      <c r="C1317" s="275"/>
      <c r="D1317" s="275"/>
      <c r="E1317" s="275"/>
      <c r="F1317" s="275"/>
      <c r="G1317" s="275"/>
      <c r="H1317" s="274"/>
      <c r="I1317" s="274"/>
      <c r="J1317" s="275"/>
      <c r="K1317" s="274"/>
    </row>
    <row r="1318" spans="1:11">
      <c r="A1318" s="275"/>
      <c r="B1318" s="275"/>
      <c r="C1318" s="275"/>
      <c r="D1318" s="275"/>
      <c r="E1318" s="275"/>
      <c r="F1318" s="275"/>
      <c r="G1318" s="275"/>
      <c r="H1318" s="274"/>
      <c r="I1318" s="274"/>
      <c r="J1318" s="275"/>
      <c r="K1318" s="274"/>
    </row>
    <row r="1319" spans="1:11">
      <c r="A1319" s="275"/>
      <c r="B1319" s="275"/>
      <c r="C1319" s="275"/>
      <c r="D1319" s="275"/>
      <c r="E1319" s="275"/>
      <c r="F1319" s="275"/>
      <c r="G1319" s="275"/>
      <c r="H1319" s="274"/>
      <c r="I1319" s="274"/>
      <c r="J1319" s="275"/>
      <c r="K1319" s="274"/>
    </row>
    <row r="1320" spans="1:11">
      <c r="A1320" s="275"/>
      <c r="B1320" s="275"/>
      <c r="C1320" s="275"/>
      <c r="D1320" s="275"/>
      <c r="E1320" s="275"/>
      <c r="F1320" s="275"/>
      <c r="G1320" s="275"/>
      <c r="H1320" s="274"/>
      <c r="I1320" s="274"/>
      <c r="J1320" s="275"/>
      <c r="K1320" s="274"/>
    </row>
    <row r="1321" spans="1:11">
      <c r="A1321" s="275"/>
      <c r="B1321" s="275"/>
      <c r="C1321" s="275"/>
      <c r="D1321" s="275"/>
      <c r="E1321" s="275"/>
      <c r="F1321" s="275"/>
      <c r="G1321" s="275"/>
      <c r="H1321" s="274"/>
      <c r="I1321" s="274"/>
      <c r="J1321" s="275"/>
      <c r="K1321" s="274"/>
    </row>
    <row r="1322" spans="1:11">
      <c r="A1322" s="275"/>
      <c r="B1322" s="275"/>
      <c r="C1322" s="275"/>
      <c r="D1322" s="275"/>
      <c r="E1322" s="275"/>
      <c r="F1322" s="275"/>
      <c r="G1322" s="275"/>
      <c r="H1322" s="274"/>
      <c r="I1322" s="274"/>
      <c r="J1322" s="275"/>
      <c r="K1322" s="274"/>
    </row>
    <row r="1323" spans="1:11">
      <c r="A1323" s="275"/>
      <c r="B1323" s="275"/>
      <c r="C1323" s="275"/>
      <c r="D1323" s="275"/>
      <c r="E1323" s="275"/>
      <c r="F1323" s="275"/>
      <c r="G1323" s="275"/>
      <c r="H1323" s="274"/>
      <c r="I1323" s="274"/>
      <c r="J1323" s="275"/>
      <c r="K1323" s="274"/>
    </row>
    <row r="1324" spans="1:11">
      <c r="A1324" s="275"/>
      <c r="B1324" s="275"/>
      <c r="C1324" s="275"/>
      <c r="D1324" s="275"/>
      <c r="E1324" s="275"/>
      <c r="F1324" s="275"/>
      <c r="G1324" s="275"/>
      <c r="H1324" s="274"/>
      <c r="I1324" s="274"/>
      <c r="J1324" s="275"/>
      <c r="K1324" s="274"/>
    </row>
    <row r="1325" spans="1:11">
      <c r="A1325" s="275"/>
      <c r="B1325" s="275"/>
      <c r="C1325" s="275"/>
      <c r="D1325" s="275"/>
      <c r="E1325" s="275"/>
      <c r="F1325" s="275"/>
      <c r="G1325" s="275"/>
      <c r="H1325" s="274"/>
      <c r="I1325" s="274"/>
      <c r="J1325" s="275"/>
      <c r="K1325" s="274"/>
    </row>
    <row r="1326" spans="1:11">
      <c r="A1326" s="275"/>
      <c r="B1326" s="275"/>
      <c r="C1326" s="275"/>
      <c r="D1326" s="275"/>
      <c r="E1326" s="275"/>
      <c r="F1326" s="275"/>
      <c r="G1326" s="275"/>
      <c r="H1326" s="274"/>
      <c r="I1326" s="274"/>
      <c r="J1326" s="275"/>
      <c r="K1326" s="274"/>
    </row>
    <row r="1327" spans="1:11">
      <c r="A1327" s="275"/>
      <c r="B1327" s="275"/>
      <c r="C1327" s="275"/>
      <c r="D1327" s="275"/>
      <c r="E1327" s="275"/>
      <c r="F1327" s="275"/>
      <c r="G1327" s="275"/>
      <c r="H1327" s="274"/>
      <c r="I1327" s="274"/>
      <c r="J1327" s="275"/>
      <c r="K1327" s="274"/>
    </row>
    <row r="1328" spans="1:11">
      <c r="A1328" s="275"/>
      <c r="B1328" s="275"/>
      <c r="C1328" s="275"/>
      <c r="D1328" s="275"/>
      <c r="E1328" s="275"/>
      <c r="F1328" s="275"/>
      <c r="G1328" s="275"/>
      <c r="H1328" s="274"/>
      <c r="I1328" s="274"/>
      <c r="J1328" s="275"/>
      <c r="K1328" s="274"/>
    </row>
    <row r="1329" spans="1:11">
      <c r="A1329" s="275"/>
      <c r="B1329" s="275"/>
      <c r="C1329" s="275"/>
      <c r="D1329" s="275"/>
      <c r="E1329" s="275"/>
      <c r="F1329" s="275"/>
      <c r="G1329" s="275"/>
      <c r="H1329" s="274"/>
      <c r="I1329" s="274"/>
      <c r="J1329" s="275"/>
      <c r="K1329" s="274"/>
    </row>
    <row r="1330" spans="1:11">
      <c r="A1330" s="275"/>
      <c r="B1330" s="275"/>
      <c r="C1330" s="275"/>
      <c r="D1330" s="275"/>
      <c r="E1330" s="275"/>
      <c r="F1330" s="275"/>
      <c r="G1330" s="275"/>
      <c r="H1330" s="274"/>
      <c r="I1330" s="274"/>
      <c r="J1330" s="275"/>
      <c r="K1330" s="274"/>
    </row>
    <row r="1331" spans="1:11">
      <c r="A1331" s="275"/>
      <c r="B1331" s="275"/>
      <c r="C1331" s="275"/>
      <c r="D1331" s="275"/>
      <c r="E1331" s="275"/>
      <c r="F1331" s="275"/>
      <c r="G1331" s="275"/>
      <c r="H1331" s="274"/>
      <c r="I1331" s="274"/>
      <c r="J1331" s="275"/>
      <c r="K1331" s="274"/>
    </row>
    <row r="1332" spans="1:11">
      <c r="A1332" s="275"/>
      <c r="B1332" s="275"/>
      <c r="C1332" s="275"/>
      <c r="D1332" s="275"/>
      <c r="E1332" s="275"/>
      <c r="F1332" s="275"/>
      <c r="G1332" s="275"/>
      <c r="H1332" s="274"/>
      <c r="I1332" s="274"/>
      <c r="J1332" s="275"/>
      <c r="K1332" s="274"/>
    </row>
    <row r="1333" spans="1:11">
      <c r="A1333" s="275"/>
      <c r="B1333" s="275"/>
      <c r="C1333" s="275"/>
      <c r="D1333" s="275"/>
      <c r="E1333" s="275"/>
      <c r="F1333" s="275"/>
      <c r="G1333" s="275"/>
      <c r="H1333" s="274"/>
      <c r="I1333" s="274"/>
      <c r="J1333" s="275"/>
      <c r="K1333" s="274"/>
    </row>
    <row r="1334" spans="1:11">
      <c r="A1334" s="275"/>
      <c r="B1334" s="275"/>
      <c r="C1334" s="275"/>
      <c r="D1334" s="275"/>
      <c r="E1334" s="275"/>
      <c r="F1334" s="275"/>
      <c r="G1334" s="275"/>
      <c r="H1334" s="274"/>
      <c r="I1334" s="274"/>
      <c r="J1334" s="275"/>
      <c r="K1334" s="274"/>
    </row>
    <row r="1335" spans="1:11">
      <c r="A1335" s="275"/>
      <c r="B1335" s="275"/>
      <c r="C1335" s="275"/>
      <c r="D1335" s="275"/>
      <c r="E1335" s="275"/>
      <c r="F1335" s="275"/>
      <c r="G1335" s="275"/>
      <c r="H1335" s="274"/>
      <c r="I1335" s="274"/>
      <c r="J1335" s="275"/>
      <c r="K1335" s="274"/>
    </row>
    <row r="1336" spans="1:11">
      <c r="A1336" s="275"/>
      <c r="B1336" s="275"/>
      <c r="C1336" s="275"/>
      <c r="D1336" s="275"/>
      <c r="E1336" s="275"/>
      <c r="F1336" s="275"/>
      <c r="G1336" s="275"/>
      <c r="H1336" s="274"/>
      <c r="I1336" s="274"/>
      <c r="J1336" s="275"/>
      <c r="K1336" s="274"/>
    </row>
    <row r="1337" spans="1:11">
      <c r="A1337" s="275"/>
      <c r="B1337" s="275"/>
      <c r="C1337" s="275"/>
      <c r="D1337" s="275"/>
      <c r="E1337" s="275"/>
      <c r="F1337" s="275"/>
      <c r="G1337" s="275"/>
      <c r="H1337" s="274"/>
      <c r="I1337" s="274"/>
      <c r="J1337" s="275"/>
      <c r="K1337" s="274"/>
    </row>
    <row r="1338" spans="1:11">
      <c r="A1338" s="275"/>
      <c r="B1338" s="275"/>
      <c r="C1338" s="275"/>
      <c r="D1338" s="275"/>
      <c r="E1338" s="275"/>
      <c r="F1338" s="275"/>
      <c r="G1338" s="275"/>
      <c r="H1338" s="274"/>
      <c r="I1338" s="274"/>
      <c r="J1338" s="275"/>
      <c r="K1338" s="274"/>
    </row>
    <row r="1339" spans="1:11">
      <c r="A1339" s="275"/>
      <c r="B1339" s="275"/>
      <c r="C1339" s="275"/>
      <c r="D1339" s="275"/>
      <c r="E1339" s="275"/>
      <c r="F1339" s="275"/>
      <c r="G1339" s="275"/>
      <c r="H1339" s="274"/>
      <c r="I1339" s="274"/>
      <c r="J1339" s="275"/>
      <c r="K1339" s="274"/>
    </row>
    <row r="1340" spans="1:11">
      <c r="A1340" s="275"/>
      <c r="B1340" s="275"/>
      <c r="C1340" s="275"/>
      <c r="D1340" s="275"/>
      <c r="E1340" s="275"/>
      <c r="F1340" s="275"/>
      <c r="G1340" s="275"/>
      <c r="H1340" s="274"/>
      <c r="I1340" s="274"/>
      <c r="J1340" s="275"/>
      <c r="K1340" s="274"/>
    </row>
    <row r="1341" spans="1:11">
      <c r="A1341" s="275"/>
      <c r="B1341" s="275"/>
      <c r="C1341" s="275"/>
      <c r="D1341" s="275"/>
      <c r="E1341" s="275"/>
      <c r="F1341" s="275"/>
      <c r="G1341" s="275"/>
      <c r="H1341" s="274"/>
      <c r="I1341" s="274"/>
      <c r="J1341" s="275"/>
      <c r="K1341" s="274"/>
    </row>
    <row r="1342" spans="1:11">
      <c r="A1342" s="275"/>
      <c r="B1342" s="275"/>
      <c r="C1342" s="275"/>
      <c r="D1342" s="275"/>
      <c r="E1342" s="275"/>
      <c r="F1342" s="275"/>
      <c r="G1342" s="275"/>
      <c r="H1342" s="274"/>
      <c r="I1342" s="274"/>
      <c r="J1342" s="275"/>
      <c r="K1342" s="274"/>
    </row>
    <row r="1343" spans="1:11">
      <c r="A1343" s="275"/>
      <c r="B1343" s="275"/>
      <c r="C1343" s="275"/>
      <c r="D1343" s="275"/>
      <c r="E1343" s="275"/>
      <c r="F1343" s="275"/>
      <c r="G1343" s="275"/>
      <c r="H1343" s="274"/>
      <c r="I1343" s="274"/>
      <c r="J1343" s="275"/>
      <c r="K1343" s="274"/>
    </row>
    <row r="1344" spans="1:11">
      <c r="A1344" s="275"/>
      <c r="B1344" s="275"/>
      <c r="C1344" s="275"/>
      <c r="D1344" s="275"/>
      <c r="E1344" s="275"/>
      <c r="F1344" s="275"/>
      <c r="G1344" s="275"/>
      <c r="H1344" s="274"/>
      <c r="I1344" s="274"/>
      <c r="J1344" s="275"/>
      <c r="K1344" s="274"/>
    </row>
    <row r="1345" spans="1:11">
      <c r="A1345" s="275"/>
      <c r="B1345" s="275"/>
      <c r="C1345" s="275"/>
      <c r="D1345" s="275"/>
      <c r="E1345" s="275"/>
      <c r="F1345" s="275"/>
      <c r="G1345" s="275"/>
      <c r="H1345" s="274"/>
      <c r="I1345" s="274"/>
      <c r="J1345" s="275"/>
      <c r="K1345" s="274"/>
    </row>
    <row r="1346" spans="1:11">
      <c r="A1346" s="275"/>
      <c r="B1346" s="275"/>
      <c r="C1346" s="275"/>
      <c r="D1346" s="275"/>
      <c r="E1346" s="275"/>
      <c r="F1346" s="275"/>
      <c r="G1346" s="275"/>
      <c r="H1346" s="274"/>
      <c r="I1346" s="274"/>
      <c r="J1346" s="275"/>
      <c r="K1346" s="274"/>
    </row>
    <row r="1347" spans="1:11">
      <c r="A1347" s="275"/>
      <c r="B1347" s="275"/>
      <c r="C1347" s="275"/>
      <c r="D1347" s="275"/>
      <c r="E1347" s="275"/>
      <c r="F1347" s="275"/>
      <c r="G1347" s="275"/>
      <c r="H1347" s="274"/>
      <c r="I1347" s="274"/>
      <c r="J1347" s="275"/>
      <c r="K1347" s="274"/>
    </row>
    <row r="1348" spans="1:11">
      <c r="A1348" s="275"/>
      <c r="B1348" s="275"/>
      <c r="C1348" s="275"/>
      <c r="D1348" s="275"/>
      <c r="E1348" s="275"/>
      <c r="F1348" s="275"/>
      <c r="G1348" s="275"/>
      <c r="H1348" s="274"/>
      <c r="I1348" s="274"/>
      <c r="J1348" s="275"/>
      <c r="K1348" s="274"/>
    </row>
    <row r="1349" spans="1:11">
      <c r="A1349" s="275"/>
      <c r="B1349" s="275"/>
      <c r="C1349" s="275"/>
      <c r="D1349" s="275"/>
      <c r="E1349" s="275"/>
      <c r="F1349" s="275"/>
      <c r="G1349" s="275"/>
      <c r="H1349" s="274"/>
      <c r="I1349" s="274"/>
      <c r="J1349" s="275"/>
      <c r="K1349" s="274"/>
    </row>
    <row r="1350" spans="1:11">
      <c r="A1350" s="275"/>
      <c r="B1350" s="275"/>
      <c r="C1350" s="275"/>
      <c r="D1350" s="275"/>
      <c r="E1350" s="275"/>
      <c r="F1350" s="275"/>
      <c r="G1350" s="275"/>
      <c r="H1350" s="274"/>
      <c r="I1350" s="274"/>
      <c r="J1350" s="275"/>
      <c r="K1350" s="274"/>
    </row>
    <row r="1351" spans="1:11">
      <c r="A1351" s="275"/>
      <c r="B1351" s="275"/>
      <c r="C1351" s="275"/>
      <c r="D1351" s="275"/>
      <c r="E1351" s="275"/>
      <c r="F1351" s="275"/>
      <c r="G1351" s="275"/>
      <c r="H1351" s="274"/>
      <c r="I1351" s="274"/>
      <c r="J1351" s="275"/>
      <c r="K1351" s="274"/>
    </row>
    <row r="1352" spans="1:11">
      <c r="A1352" s="275"/>
      <c r="B1352" s="275"/>
      <c r="C1352" s="275"/>
      <c r="D1352" s="275"/>
      <c r="E1352" s="275"/>
      <c r="F1352" s="275"/>
      <c r="G1352" s="275"/>
      <c r="H1352" s="274"/>
      <c r="I1352" s="274"/>
      <c r="J1352" s="275"/>
      <c r="K1352" s="274"/>
    </row>
    <row r="1353" spans="1:11">
      <c r="A1353" s="275"/>
      <c r="B1353" s="275"/>
      <c r="C1353" s="275"/>
      <c r="D1353" s="275"/>
      <c r="E1353" s="275"/>
      <c r="F1353" s="275"/>
      <c r="G1353" s="275"/>
      <c r="H1353" s="274"/>
      <c r="I1353" s="274"/>
      <c r="J1353" s="275"/>
      <c r="K1353" s="274"/>
    </row>
    <row r="1354" spans="1:11">
      <c r="A1354" s="275"/>
      <c r="B1354" s="275"/>
      <c r="C1354" s="275"/>
      <c r="D1354" s="275"/>
      <c r="E1354" s="275"/>
      <c r="F1354" s="275"/>
      <c r="G1354" s="275"/>
      <c r="H1354" s="274"/>
      <c r="I1354" s="274"/>
      <c r="J1354" s="275"/>
      <c r="K1354" s="274"/>
    </row>
    <row r="1355" spans="1:11">
      <c r="A1355" s="275"/>
      <c r="B1355" s="275"/>
      <c r="C1355" s="275"/>
      <c r="D1355" s="275"/>
      <c r="E1355" s="275"/>
      <c r="F1355" s="275"/>
      <c r="G1355" s="275"/>
      <c r="H1355" s="274"/>
      <c r="I1355" s="274"/>
      <c r="J1355" s="275"/>
      <c r="K1355" s="274"/>
    </row>
    <row r="1356" spans="1:11">
      <c r="A1356" s="275"/>
      <c r="B1356" s="275"/>
      <c r="C1356" s="275"/>
      <c r="D1356" s="275"/>
      <c r="E1356" s="275"/>
      <c r="F1356" s="275"/>
      <c r="G1356" s="275"/>
      <c r="H1356" s="274"/>
      <c r="I1356" s="274"/>
      <c r="J1356" s="275"/>
      <c r="K1356" s="274"/>
    </row>
    <row r="1357" spans="1:11">
      <c r="A1357" s="275"/>
      <c r="B1357" s="275"/>
      <c r="C1357" s="275"/>
      <c r="D1357" s="275"/>
      <c r="E1357" s="275"/>
      <c r="F1357" s="275"/>
      <c r="G1357" s="275"/>
      <c r="H1357" s="274"/>
      <c r="I1357" s="274"/>
      <c r="J1357" s="275"/>
      <c r="K1357" s="274"/>
    </row>
    <row r="1358" spans="1:11">
      <c r="A1358" s="275"/>
      <c r="B1358" s="275"/>
      <c r="C1358" s="275"/>
      <c r="D1358" s="275"/>
      <c r="E1358" s="275"/>
      <c r="F1358" s="275"/>
      <c r="G1358" s="275"/>
      <c r="H1358" s="274"/>
      <c r="I1358" s="274"/>
      <c r="J1358" s="275"/>
      <c r="K1358" s="274"/>
    </row>
    <row r="1359" spans="1:11">
      <c r="A1359" s="275"/>
      <c r="B1359" s="275"/>
      <c r="C1359" s="275"/>
      <c r="D1359" s="275"/>
      <c r="E1359" s="275"/>
      <c r="F1359" s="275"/>
      <c r="G1359" s="275"/>
      <c r="H1359" s="274"/>
      <c r="I1359" s="274"/>
      <c r="J1359" s="275"/>
      <c r="K1359" s="274"/>
    </row>
    <row r="1360" spans="1:11">
      <c r="A1360" s="275"/>
      <c r="B1360" s="275"/>
      <c r="C1360" s="275"/>
      <c r="D1360" s="275"/>
      <c r="E1360" s="275"/>
      <c r="F1360" s="275"/>
      <c r="G1360" s="275"/>
      <c r="H1360" s="274"/>
      <c r="I1360" s="274"/>
      <c r="J1360" s="275"/>
      <c r="K1360" s="274"/>
    </row>
    <row r="1361" spans="1:11">
      <c r="A1361" s="275"/>
      <c r="B1361" s="275"/>
      <c r="C1361" s="275"/>
      <c r="D1361" s="275"/>
      <c r="E1361" s="275"/>
      <c r="F1361" s="275"/>
      <c r="G1361" s="275"/>
      <c r="H1361" s="274"/>
      <c r="I1361" s="274"/>
      <c r="J1361" s="275"/>
      <c r="K1361" s="274"/>
    </row>
    <row r="1362" spans="1:11">
      <c r="A1362" s="275"/>
      <c r="B1362" s="275"/>
      <c r="C1362" s="275"/>
      <c r="D1362" s="275"/>
      <c r="E1362" s="275"/>
      <c r="F1362" s="275"/>
      <c r="G1362" s="275"/>
      <c r="H1362" s="274"/>
      <c r="I1362" s="274"/>
      <c r="J1362" s="275"/>
      <c r="K1362" s="274"/>
    </row>
    <row r="1363" spans="1:11">
      <c r="A1363" s="275"/>
      <c r="B1363" s="275"/>
      <c r="C1363" s="275"/>
      <c r="D1363" s="275"/>
      <c r="E1363" s="275"/>
      <c r="F1363" s="275"/>
      <c r="G1363" s="275"/>
      <c r="H1363" s="274"/>
      <c r="I1363" s="274"/>
      <c r="J1363" s="275"/>
      <c r="K1363" s="274"/>
    </row>
    <row r="1364" spans="1:11">
      <c r="A1364" s="275"/>
      <c r="B1364" s="275"/>
      <c r="C1364" s="275"/>
      <c r="D1364" s="275"/>
      <c r="E1364" s="275"/>
      <c r="F1364" s="275"/>
      <c r="G1364" s="275"/>
      <c r="H1364" s="274"/>
      <c r="I1364" s="274"/>
      <c r="J1364" s="275"/>
      <c r="K1364" s="274"/>
    </row>
    <row r="1365" spans="1:11">
      <c r="A1365" s="275"/>
      <c r="B1365" s="275"/>
      <c r="C1365" s="275"/>
      <c r="D1365" s="275"/>
      <c r="E1365" s="275"/>
      <c r="F1365" s="275"/>
      <c r="G1365" s="275"/>
      <c r="H1365" s="274"/>
      <c r="I1365" s="274"/>
      <c r="J1365" s="275"/>
      <c r="K1365" s="274"/>
    </row>
    <row r="1366" spans="1:11">
      <c r="A1366" s="275"/>
      <c r="B1366" s="275"/>
      <c r="C1366" s="275"/>
      <c r="D1366" s="275"/>
      <c r="E1366" s="275"/>
      <c r="F1366" s="275"/>
      <c r="G1366" s="275"/>
      <c r="H1366" s="274"/>
      <c r="I1366" s="274"/>
      <c r="J1366" s="275"/>
      <c r="K1366" s="274"/>
    </row>
    <row r="1367" spans="1:11">
      <c r="A1367" s="275"/>
      <c r="B1367" s="275"/>
      <c r="C1367" s="275"/>
      <c r="D1367" s="275"/>
      <c r="E1367" s="275"/>
      <c r="F1367" s="275"/>
      <c r="G1367" s="275"/>
      <c r="H1367" s="274"/>
      <c r="I1367" s="274"/>
      <c r="J1367" s="275"/>
      <c r="K1367" s="274"/>
    </row>
    <row r="1368" spans="1:11">
      <c r="A1368" s="275"/>
      <c r="B1368" s="275"/>
      <c r="C1368" s="275"/>
      <c r="D1368" s="275"/>
      <c r="E1368" s="275"/>
      <c r="F1368" s="275"/>
      <c r="G1368" s="275"/>
      <c r="H1368" s="274"/>
      <c r="I1368" s="274"/>
      <c r="J1368" s="275"/>
      <c r="K1368" s="274"/>
    </row>
    <row r="1369" spans="1:11">
      <c r="A1369" s="275"/>
      <c r="B1369" s="275"/>
      <c r="C1369" s="275"/>
      <c r="D1369" s="275"/>
      <c r="E1369" s="275"/>
      <c r="F1369" s="275"/>
      <c r="G1369" s="275"/>
      <c r="H1369" s="274"/>
      <c r="I1369" s="274"/>
      <c r="J1369" s="275"/>
      <c r="K1369" s="274"/>
    </row>
    <row r="1370" spans="1:11">
      <c r="A1370" s="275"/>
      <c r="B1370" s="275"/>
      <c r="C1370" s="275"/>
      <c r="D1370" s="275"/>
      <c r="E1370" s="275"/>
      <c r="F1370" s="275"/>
      <c r="G1370" s="275"/>
      <c r="H1370" s="274"/>
      <c r="I1370" s="274"/>
      <c r="J1370" s="275"/>
      <c r="K1370" s="274"/>
    </row>
    <row r="1371" spans="1:11">
      <c r="A1371" s="275"/>
      <c r="B1371" s="275"/>
      <c r="C1371" s="275"/>
      <c r="D1371" s="275"/>
      <c r="E1371" s="275"/>
      <c r="F1371" s="275"/>
      <c r="G1371" s="275"/>
      <c r="H1371" s="274"/>
      <c r="I1371" s="274"/>
      <c r="J1371" s="275"/>
      <c r="K1371" s="274"/>
    </row>
    <row r="1372" spans="1:11">
      <c r="A1372" s="275"/>
      <c r="B1372" s="275"/>
      <c r="C1372" s="275"/>
      <c r="D1372" s="275"/>
      <c r="E1372" s="275"/>
      <c r="F1372" s="275"/>
      <c r="G1372" s="275"/>
      <c r="H1372" s="274"/>
      <c r="I1372" s="274"/>
      <c r="J1372" s="275"/>
      <c r="K1372" s="274"/>
    </row>
    <row r="1373" spans="1:11">
      <c r="A1373" s="275"/>
      <c r="B1373" s="275"/>
      <c r="C1373" s="275"/>
      <c r="D1373" s="275"/>
      <c r="E1373" s="275"/>
      <c r="F1373" s="275"/>
      <c r="G1373" s="275"/>
      <c r="H1373" s="274"/>
      <c r="I1373" s="274"/>
      <c r="J1373" s="275"/>
      <c r="K1373" s="274"/>
    </row>
    <row r="1374" spans="1:11">
      <c r="A1374" s="275"/>
      <c r="B1374" s="275"/>
      <c r="C1374" s="275"/>
      <c r="D1374" s="275"/>
      <c r="E1374" s="275"/>
      <c r="F1374" s="275"/>
      <c r="G1374" s="275"/>
      <c r="H1374" s="274"/>
      <c r="I1374" s="274"/>
      <c r="J1374" s="275"/>
      <c r="K1374" s="274"/>
    </row>
    <row r="1375" spans="1:11">
      <c r="A1375" s="275"/>
      <c r="B1375" s="275"/>
      <c r="C1375" s="275"/>
      <c r="D1375" s="275"/>
      <c r="E1375" s="275"/>
      <c r="F1375" s="275"/>
      <c r="G1375" s="275"/>
      <c r="H1375" s="274"/>
      <c r="I1375" s="274"/>
      <c r="J1375" s="275"/>
      <c r="K1375" s="274"/>
    </row>
    <row r="1376" spans="1:11">
      <c r="A1376" s="275"/>
      <c r="B1376" s="275"/>
      <c r="C1376" s="275"/>
      <c r="D1376" s="275"/>
      <c r="E1376" s="275"/>
      <c r="F1376" s="275"/>
      <c r="G1376" s="275"/>
      <c r="H1376" s="274"/>
      <c r="I1376" s="274"/>
      <c r="J1376" s="275"/>
      <c r="K1376" s="274"/>
    </row>
    <row r="1377" spans="1:11">
      <c r="A1377" s="275"/>
      <c r="B1377" s="275"/>
      <c r="C1377" s="275"/>
      <c r="D1377" s="275"/>
      <c r="E1377" s="275"/>
      <c r="F1377" s="275"/>
      <c r="G1377" s="275"/>
      <c r="H1377" s="274"/>
      <c r="I1377" s="274"/>
      <c r="J1377" s="275"/>
      <c r="K1377" s="274"/>
    </row>
    <row r="1378" spans="1:11">
      <c r="A1378" s="275"/>
      <c r="B1378" s="275"/>
      <c r="C1378" s="275"/>
      <c r="D1378" s="275"/>
      <c r="E1378" s="275"/>
      <c r="F1378" s="275"/>
      <c r="G1378" s="275"/>
      <c r="H1378" s="274"/>
      <c r="I1378" s="274"/>
      <c r="J1378" s="275"/>
      <c r="K1378" s="274"/>
    </row>
    <row r="1379" spans="1:11">
      <c r="A1379" s="275"/>
      <c r="B1379" s="275"/>
      <c r="C1379" s="275"/>
      <c r="D1379" s="275"/>
      <c r="E1379" s="275"/>
      <c r="F1379" s="275"/>
      <c r="G1379" s="275"/>
      <c r="H1379" s="274"/>
      <c r="I1379" s="274"/>
      <c r="J1379" s="275"/>
      <c r="K1379" s="274"/>
    </row>
    <row r="1380" spans="1:11">
      <c r="A1380" s="275"/>
      <c r="B1380" s="275"/>
      <c r="C1380" s="275"/>
      <c r="D1380" s="275"/>
      <c r="E1380" s="275"/>
      <c r="F1380" s="275"/>
      <c r="G1380" s="275"/>
      <c r="H1380" s="274"/>
      <c r="I1380" s="274"/>
      <c r="J1380" s="275"/>
      <c r="K1380" s="274"/>
    </row>
    <row r="1381" spans="1:11">
      <c r="A1381" s="275"/>
      <c r="B1381" s="275"/>
      <c r="C1381" s="275"/>
      <c r="D1381" s="275"/>
      <c r="E1381" s="275"/>
      <c r="F1381" s="275"/>
      <c r="G1381" s="275"/>
      <c r="H1381" s="274"/>
      <c r="I1381" s="274"/>
      <c r="J1381" s="275"/>
      <c r="K1381" s="274"/>
    </row>
    <row r="1382" spans="1:11">
      <c r="A1382" s="275"/>
      <c r="B1382" s="275"/>
      <c r="C1382" s="275"/>
      <c r="D1382" s="275"/>
      <c r="E1382" s="275"/>
      <c r="F1382" s="275"/>
      <c r="G1382" s="275"/>
      <c r="H1382" s="274"/>
      <c r="I1382" s="274"/>
      <c r="J1382" s="275"/>
      <c r="K1382" s="274"/>
    </row>
    <row r="1383" spans="1:11">
      <c r="A1383" s="275"/>
      <c r="B1383" s="275"/>
      <c r="C1383" s="275"/>
      <c r="D1383" s="275"/>
      <c r="E1383" s="275"/>
      <c r="F1383" s="275"/>
      <c r="G1383" s="275"/>
      <c r="H1383" s="274"/>
      <c r="I1383" s="274"/>
      <c r="J1383" s="275"/>
      <c r="K1383" s="274"/>
    </row>
    <row r="1384" spans="1:11">
      <c r="A1384" s="275"/>
      <c r="B1384" s="275"/>
      <c r="C1384" s="275"/>
      <c r="D1384" s="275"/>
      <c r="E1384" s="275"/>
      <c r="F1384" s="275"/>
      <c r="G1384" s="275"/>
      <c r="H1384" s="274"/>
      <c r="I1384" s="274"/>
      <c r="J1384" s="275"/>
      <c r="K1384" s="274"/>
    </row>
    <row r="1385" spans="1:11">
      <c r="A1385" s="275"/>
      <c r="B1385" s="275"/>
      <c r="C1385" s="275"/>
      <c r="D1385" s="275"/>
      <c r="E1385" s="275"/>
      <c r="F1385" s="275"/>
      <c r="G1385" s="275"/>
      <c r="H1385" s="274"/>
      <c r="I1385" s="274"/>
      <c r="J1385" s="275"/>
      <c r="K1385" s="274"/>
    </row>
    <row r="1386" spans="1:11">
      <c r="A1386" s="275"/>
      <c r="B1386" s="275"/>
      <c r="C1386" s="275"/>
      <c r="D1386" s="275"/>
      <c r="E1386" s="275"/>
      <c r="F1386" s="275"/>
      <c r="G1386" s="275"/>
      <c r="H1386" s="274"/>
      <c r="I1386" s="274"/>
      <c r="J1386" s="275"/>
      <c r="K1386" s="274"/>
    </row>
    <row r="1387" spans="1:11">
      <c r="A1387" s="275"/>
      <c r="B1387" s="275"/>
      <c r="C1387" s="275"/>
      <c r="D1387" s="275"/>
      <c r="E1387" s="275"/>
      <c r="F1387" s="275"/>
      <c r="G1387" s="275"/>
      <c r="H1387" s="274"/>
      <c r="I1387" s="274"/>
      <c r="J1387" s="275"/>
      <c r="K1387" s="274"/>
    </row>
    <row r="1388" spans="1:11">
      <c r="A1388" s="275"/>
      <c r="B1388" s="275"/>
      <c r="C1388" s="275"/>
      <c r="D1388" s="275"/>
      <c r="E1388" s="275"/>
      <c r="F1388" s="275"/>
      <c r="G1388" s="275"/>
      <c r="H1388" s="274"/>
      <c r="I1388" s="274"/>
      <c r="J1388" s="275"/>
      <c r="K1388" s="274"/>
    </row>
    <row r="1389" spans="1:11">
      <c r="A1389" s="275"/>
      <c r="B1389" s="275"/>
      <c r="C1389" s="275"/>
      <c r="D1389" s="275"/>
      <c r="E1389" s="275"/>
      <c r="F1389" s="275"/>
      <c r="G1389" s="275"/>
      <c r="H1389" s="274"/>
      <c r="I1389" s="274"/>
      <c r="J1389" s="275"/>
      <c r="K1389" s="274"/>
    </row>
    <row r="1390" spans="1:11">
      <c r="A1390" s="275"/>
      <c r="B1390" s="275"/>
      <c r="C1390" s="275"/>
      <c r="D1390" s="275"/>
      <c r="E1390" s="275"/>
      <c r="F1390" s="275"/>
      <c r="G1390" s="275"/>
      <c r="H1390" s="274"/>
      <c r="I1390" s="274"/>
      <c r="J1390" s="275"/>
      <c r="K1390" s="274"/>
    </row>
    <row r="1391" spans="1:11">
      <c r="A1391" s="275"/>
      <c r="B1391" s="275"/>
      <c r="C1391" s="275"/>
      <c r="D1391" s="275"/>
      <c r="E1391" s="275"/>
      <c r="F1391" s="275"/>
      <c r="G1391" s="275"/>
      <c r="H1391" s="274"/>
      <c r="I1391" s="274"/>
      <c r="J1391" s="275"/>
      <c r="K1391" s="274"/>
    </row>
    <row r="1392" spans="1:11">
      <c r="A1392" s="275"/>
      <c r="B1392" s="275"/>
      <c r="C1392" s="275"/>
      <c r="D1392" s="275"/>
      <c r="E1392" s="275"/>
      <c r="F1392" s="275"/>
      <c r="G1392" s="275"/>
      <c r="H1392" s="274"/>
      <c r="I1392" s="274"/>
      <c r="J1392" s="275"/>
      <c r="K1392" s="274"/>
    </row>
    <row r="1393" spans="1:11">
      <c r="A1393" s="275"/>
      <c r="B1393" s="275"/>
      <c r="C1393" s="275"/>
      <c r="D1393" s="275"/>
      <c r="E1393" s="275"/>
      <c r="F1393" s="275"/>
      <c r="G1393" s="275"/>
      <c r="H1393" s="274"/>
      <c r="I1393" s="274"/>
      <c r="J1393" s="275"/>
      <c r="K1393" s="274"/>
    </row>
    <row r="1394" spans="1:11">
      <c r="A1394" s="275"/>
      <c r="B1394" s="275"/>
      <c r="C1394" s="275"/>
      <c r="D1394" s="275"/>
      <c r="E1394" s="275"/>
      <c r="F1394" s="275"/>
      <c r="G1394" s="275"/>
      <c r="H1394" s="274"/>
      <c r="I1394" s="274"/>
      <c r="J1394" s="275"/>
      <c r="K1394" s="274"/>
    </row>
    <row r="1395" spans="1:11">
      <c r="A1395" s="275"/>
      <c r="B1395" s="275"/>
      <c r="C1395" s="275"/>
      <c r="D1395" s="275"/>
      <c r="E1395" s="275"/>
      <c r="F1395" s="275"/>
      <c r="G1395" s="275"/>
      <c r="H1395" s="274"/>
      <c r="I1395" s="274"/>
      <c r="J1395" s="275"/>
      <c r="K1395" s="274"/>
    </row>
    <row r="1396" spans="1:11">
      <c r="A1396" s="275"/>
      <c r="B1396" s="275"/>
      <c r="C1396" s="275"/>
      <c r="D1396" s="275"/>
      <c r="E1396" s="275"/>
      <c r="F1396" s="275"/>
      <c r="G1396" s="275"/>
      <c r="H1396" s="274"/>
      <c r="I1396" s="274"/>
      <c r="J1396" s="275"/>
      <c r="K1396" s="274"/>
    </row>
    <row r="1397" spans="1:11">
      <c r="A1397" s="275"/>
      <c r="B1397" s="275"/>
      <c r="C1397" s="275"/>
      <c r="D1397" s="275"/>
      <c r="E1397" s="275"/>
      <c r="F1397" s="275"/>
      <c r="G1397" s="275"/>
      <c r="H1397" s="274"/>
      <c r="I1397" s="274"/>
      <c r="J1397" s="275"/>
      <c r="K1397" s="274"/>
    </row>
    <row r="1398" spans="1:11">
      <c r="A1398" s="275"/>
      <c r="B1398" s="275"/>
      <c r="C1398" s="275"/>
      <c r="D1398" s="275"/>
      <c r="E1398" s="275"/>
      <c r="F1398" s="275"/>
      <c r="G1398" s="275"/>
      <c r="H1398" s="274"/>
      <c r="I1398" s="274"/>
      <c r="J1398" s="275"/>
      <c r="K1398" s="274"/>
    </row>
    <row r="1399" spans="1:11">
      <c r="A1399" s="275"/>
      <c r="B1399" s="275"/>
      <c r="C1399" s="275"/>
      <c r="D1399" s="275"/>
      <c r="E1399" s="275"/>
      <c r="F1399" s="275"/>
      <c r="G1399" s="275"/>
      <c r="H1399" s="274"/>
      <c r="I1399" s="274"/>
      <c r="J1399" s="275"/>
      <c r="K1399" s="274"/>
    </row>
    <row r="1400" spans="1:11">
      <c r="A1400" s="275"/>
      <c r="B1400" s="275"/>
      <c r="C1400" s="275"/>
      <c r="D1400" s="275"/>
      <c r="E1400" s="275"/>
      <c r="F1400" s="275"/>
      <c r="G1400" s="275"/>
      <c r="H1400" s="274"/>
      <c r="I1400" s="274"/>
      <c r="J1400" s="275"/>
      <c r="K1400" s="274"/>
    </row>
    <row r="1401" spans="1:11">
      <c r="A1401" s="275"/>
      <c r="B1401" s="275"/>
      <c r="C1401" s="275"/>
      <c r="D1401" s="275"/>
      <c r="E1401" s="275"/>
      <c r="F1401" s="275"/>
      <c r="G1401" s="275"/>
      <c r="H1401" s="274"/>
      <c r="I1401" s="274"/>
      <c r="J1401" s="275"/>
      <c r="K1401" s="274"/>
    </row>
    <row r="1402" spans="1:11">
      <c r="A1402" s="275"/>
      <c r="B1402" s="275"/>
      <c r="C1402" s="275"/>
      <c r="D1402" s="275"/>
      <c r="E1402" s="275"/>
      <c r="F1402" s="275"/>
      <c r="G1402" s="275"/>
      <c r="H1402" s="274"/>
      <c r="I1402" s="274"/>
      <c r="J1402" s="275"/>
      <c r="K1402" s="274"/>
    </row>
    <row r="1403" spans="1:11">
      <c r="A1403" s="275"/>
      <c r="B1403" s="275"/>
      <c r="C1403" s="275"/>
      <c r="D1403" s="275"/>
      <c r="E1403" s="275"/>
      <c r="F1403" s="275"/>
      <c r="G1403" s="275"/>
      <c r="H1403" s="274"/>
      <c r="I1403" s="274"/>
      <c r="J1403" s="275"/>
      <c r="K1403" s="274"/>
    </row>
    <row r="1404" spans="1:11">
      <c r="A1404" s="275"/>
      <c r="B1404" s="275"/>
      <c r="C1404" s="275"/>
      <c r="D1404" s="275"/>
      <c r="E1404" s="275"/>
      <c r="F1404" s="275"/>
      <c r="G1404" s="275"/>
      <c r="H1404" s="274"/>
      <c r="I1404" s="274"/>
      <c r="J1404" s="275"/>
      <c r="K1404" s="274"/>
    </row>
    <row r="1405" spans="1:11">
      <c r="A1405" s="275"/>
      <c r="B1405" s="275"/>
      <c r="C1405" s="275"/>
      <c r="D1405" s="275"/>
      <c r="E1405" s="275"/>
      <c r="F1405" s="275"/>
      <c r="G1405" s="275"/>
      <c r="H1405" s="274"/>
      <c r="I1405" s="274"/>
      <c r="J1405" s="275"/>
      <c r="K1405" s="274"/>
    </row>
    <row r="1406" spans="1:11">
      <c r="A1406" s="275"/>
      <c r="B1406" s="275"/>
      <c r="C1406" s="275"/>
      <c r="D1406" s="275"/>
      <c r="E1406" s="275"/>
      <c r="F1406" s="275"/>
      <c r="G1406" s="275"/>
      <c r="H1406" s="274"/>
      <c r="I1406" s="274"/>
      <c r="J1406" s="275"/>
      <c r="K1406" s="274"/>
    </row>
    <row r="1407" spans="1:11">
      <c r="A1407" s="275"/>
      <c r="B1407" s="275"/>
      <c r="C1407" s="275"/>
      <c r="D1407" s="275"/>
      <c r="E1407" s="275"/>
      <c r="F1407" s="275"/>
      <c r="G1407" s="275"/>
      <c r="H1407" s="274"/>
      <c r="I1407" s="274"/>
      <c r="J1407" s="275"/>
      <c r="K1407" s="274"/>
    </row>
    <row r="1408" spans="1:11">
      <c r="A1408" s="275"/>
      <c r="B1408" s="275"/>
      <c r="C1408" s="275"/>
      <c r="D1408" s="275"/>
      <c r="E1408" s="275"/>
      <c r="F1408" s="275"/>
      <c r="G1408" s="275"/>
      <c r="H1408" s="274"/>
      <c r="I1408" s="274"/>
      <c r="J1408" s="275"/>
      <c r="K1408" s="274"/>
    </row>
    <row r="1409" spans="1:11">
      <c r="A1409" s="275"/>
      <c r="B1409" s="275"/>
      <c r="C1409" s="275"/>
      <c r="D1409" s="275"/>
      <c r="E1409" s="275"/>
      <c r="F1409" s="275"/>
      <c r="G1409" s="275"/>
      <c r="H1409" s="274"/>
      <c r="I1409" s="274"/>
      <c r="J1409" s="275"/>
      <c r="K1409" s="274"/>
    </row>
    <row r="1410" spans="1:11">
      <c r="A1410" s="275"/>
      <c r="B1410" s="275"/>
      <c r="C1410" s="275"/>
      <c r="D1410" s="275"/>
      <c r="E1410" s="275"/>
      <c r="F1410" s="275"/>
      <c r="G1410" s="275"/>
      <c r="H1410" s="274"/>
      <c r="I1410" s="274"/>
      <c r="J1410" s="275"/>
      <c r="K1410" s="274"/>
    </row>
    <row r="1411" spans="1:11">
      <c r="A1411" s="275"/>
      <c r="B1411" s="275"/>
      <c r="C1411" s="275"/>
      <c r="D1411" s="275"/>
      <c r="E1411" s="275"/>
      <c r="F1411" s="275"/>
      <c r="G1411" s="275"/>
      <c r="H1411" s="274"/>
      <c r="I1411" s="274"/>
      <c r="J1411" s="275"/>
      <c r="K1411" s="274"/>
    </row>
    <row r="1412" spans="1:11">
      <c r="A1412" s="275"/>
      <c r="B1412" s="275"/>
      <c r="C1412" s="275"/>
      <c r="D1412" s="275"/>
      <c r="E1412" s="275"/>
      <c r="F1412" s="275"/>
      <c r="G1412" s="275"/>
      <c r="H1412" s="274"/>
      <c r="I1412" s="274"/>
      <c r="J1412" s="275"/>
      <c r="K1412" s="274"/>
    </row>
    <row r="1413" spans="1:11">
      <c r="A1413" s="275"/>
      <c r="B1413" s="275"/>
      <c r="C1413" s="275"/>
      <c r="D1413" s="275"/>
      <c r="E1413" s="275"/>
      <c r="F1413" s="275"/>
      <c r="G1413" s="275"/>
      <c r="H1413" s="274"/>
      <c r="I1413" s="274"/>
      <c r="J1413" s="275"/>
      <c r="K1413" s="274"/>
    </row>
    <row r="1414" spans="1:11">
      <c r="A1414" s="275"/>
      <c r="B1414" s="275"/>
      <c r="C1414" s="275"/>
      <c r="D1414" s="275"/>
      <c r="E1414" s="275"/>
      <c r="F1414" s="275"/>
      <c r="G1414" s="275"/>
      <c r="H1414" s="274"/>
      <c r="I1414" s="274"/>
      <c r="J1414" s="275"/>
      <c r="K1414" s="274"/>
    </row>
    <row r="1415" spans="1:11">
      <c r="A1415" s="275"/>
      <c r="B1415" s="275"/>
      <c r="C1415" s="275"/>
      <c r="D1415" s="275"/>
      <c r="E1415" s="275"/>
      <c r="F1415" s="275"/>
      <c r="G1415" s="275"/>
      <c r="H1415" s="274"/>
      <c r="I1415" s="274"/>
      <c r="J1415" s="275"/>
      <c r="K1415" s="274"/>
    </row>
    <row r="1416" spans="1:11">
      <c r="A1416" s="275"/>
      <c r="B1416" s="275"/>
      <c r="C1416" s="275"/>
      <c r="D1416" s="275"/>
      <c r="E1416" s="275"/>
      <c r="F1416" s="275"/>
      <c r="G1416" s="275"/>
      <c r="H1416" s="274"/>
      <c r="I1416" s="274"/>
      <c r="J1416" s="275"/>
      <c r="K1416" s="274"/>
    </row>
    <row r="1417" spans="1:11">
      <c r="A1417" s="275"/>
      <c r="B1417" s="275"/>
      <c r="C1417" s="275"/>
      <c r="D1417" s="275"/>
      <c r="E1417" s="275"/>
      <c r="F1417" s="275"/>
      <c r="G1417" s="275"/>
      <c r="H1417" s="274"/>
      <c r="I1417" s="274"/>
      <c r="J1417" s="275"/>
      <c r="K1417" s="274"/>
    </row>
    <row r="1418" spans="1:11">
      <c r="A1418" s="275"/>
      <c r="B1418" s="275"/>
      <c r="C1418" s="275"/>
      <c r="D1418" s="275"/>
      <c r="E1418" s="275"/>
      <c r="F1418" s="275"/>
      <c r="G1418" s="275"/>
      <c r="H1418" s="274"/>
      <c r="I1418" s="274"/>
      <c r="J1418" s="275"/>
      <c r="K1418" s="274"/>
    </row>
    <row r="1419" spans="1:11">
      <c r="A1419" s="275"/>
      <c r="B1419" s="275"/>
      <c r="C1419" s="275"/>
      <c r="D1419" s="275"/>
      <c r="E1419" s="275"/>
      <c r="F1419" s="275"/>
      <c r="G1419" s="275"/>
      <c r="H1419" s="274"/>
      <c r="I1419" s="274"/>
      <c r="J1419" s="275"/>
      <c r="K1419" s="274"/>
    </row>
    <row r="1420" spans="1:11">
      <c r="A1420" s="275"/>
      <c r="B1420" s="275"/>
      <c r="C1420" s="275"/>
      <c r="D1420" s="275"/>
      <c r="E1420" s="275"/>
      <c r="F1420" s="275"/>
      <c r="G1420" s="275"/>
      <c r="H1420" s="274"/>
      <c r="I1420" s="274"/>
      <c r="J1420" s="275"/>
      <c r="K1420" s="274"/>
    </row>
    <row r="1421" spans="1:11">
      <c r="A1421" s="275"/>
      <c r="B1421" s="275"/>
      <c r="C1421" s="275"/>
      <c r="D1421" s="275"/>
      <c r="E1421" s="275"/>
      <c r="F1421" s="275"/>
      <c r="G1421" s="275"/>
      <c r="H1421" s="274"/>
      <c r="I1421" s="274"/>
      <c r="J1421" s="275"/>
      <c r="K1421" s="274"/>
    </row>
    <row r="1422" spans="1:11">
      <c r="A1422" s="275"/>
      <c r="B1422" s="275"/>
      <c r="C1422" s="275"/>
      <c r="D1422" s="275"/>
      <c r="E1422" s="275"/>
      <c r="F1422" s="275"/>
      <c r="G1422" s="275"/>
      <c r="H1422" s="274"/>
      <c r="I1422" s="274"/>
      <c r="J1422" s="275"/>
      <c r="K1422" s="274"/>
    </row>
    <row r="1423" spans="1:11">
      <c r="A1423" s="275"/>
      <c r="B1423" s="275"/>
      <c r="C1423" s="275"/>
      <c r="D1423" s="275"/>
      <c r="E1423" s="275"/>
      <c r="F1423" s="275"/>
      <c r="G1423" s="275"/>
      <c r="H1423" s="274"/>
      <c r="I1423" s="274"/>
      <c r="J1423" s="275"/>
      <c r="K1423" s="274"/>
    </row>
    <row r="1424" spans="1:11">
      <c r="A1424" s="275"/>
      <c r="B1424" s="275"/>
      <c r="C1424" s="275"/>
      <c r="D1424" s="275"/>
      <c r="E1424" s="275"/>
      <c r="F1424" s="275"/>
      <c r="G1424" s="275"/>
      <c r="H1424" s="274"/>
      <c r="I1424" s="274"/>
      <c r="J1424" s="275"/>
      <c r="K1424" s="274"/>
    </row>
    <row r="1425" spans="1:11">
      <c r="A1425" s="275"/>
      <c r="B1425" s="275"/>
      <c r="C1425" s="275"/>
      <c r="D1425" s="275"/>
      <c r="E1425" s="275"/>
      <c r="F1425" s="275"/>
      <c r="G1425" s="275"/>
      <c r="H1425" s="274"/>
      <c r="I1425" s="274"/>
      <c r="J1425" s="275"/>
      <c r="K1425" s="274"/>
    </row>
    <row r="1426" spans="1:11">
      <c r="A1426" s="275"/>
      <c r="B1426" s="275"/>
      <c r="C1426" s="275"/>
      <c r="D1426" s="275"/>
      <c r="E1426" s="275"/>
      <c r="F1426" s="275"/>
      <c r="G1426" s="275"/>
      <c r="H1426" s="274"/>
      <c r="I1426" s="274"/>
      <c r="J1426" s="275"/>
      <c r="K1426" s="274"/>
    </row>
    <row r="1427" spans="1:11">
      <c r="A1427" s="275"/>
      <c r="B1427" s="275"/>
      <c r="C1427" s="275"/>
      <c r="D1427" s="275"/>
      <c r="E1427" s="275"/>
      <c r="F1427" s="275"/>
      <c r="G1427" s="275"/>
      <c r="H1427" s="274"/>
      <c r="I1427" s="274"/>
      <c r="J1427" s="275"/>
      <c r="K1427" s="274"/>
    </row>
    <row r="1428" spans="1:11">
      <c r="A1428" s="275"/>
      <c r="B1428" s="275"/>
      <c r="C1428" s="275"/>
      <c r="D1428" s="275"/>
      <c r="E1428" s="275"/>
      <c r="F1428" s="275"/>
      <c r="G1428" s="275"/>
      <c r="H1428" s="274"/>
      <c r="I1428" s="274"/>
      <c r="J1428" s="275"/>
      <c r="K1428" s="274"/>
    </row>
    <row r="1429" spans="1:11">
      <c r="A1429" s="275"/>
      <c r="B1429" s="275"/>
      <c r="C1429" s="275"/>
      <c r="D1429" s="275"/>
      <c r="E1429" s="275"/>
      <c r="F1429" s="275"/>
      <c r="G1429" s="275"/>
      <c r="H1429" s="274"/>
      <c r="I1429" s="274"/>
      <c r="J1429" s="275"/>
      <c r="K1429" s="274"/>
    </row>
    <row r="1430" spans="1:11">
      <c r="A1430" s="275"/>
      <c r="B1430" s="275"/>
      <c r="C1430" s="275"/>
      <c r="D1430" s="275"/>
      <c r="E1430" s="275"/>
      <c r="F1430" s="275"/>
      <c r="G1430" s="275"/>
      <c r="H1430" s="274"/>
      <c r="I1430" s="274"/>
      <c r="J1430" s="275"/>
      <c r="K1430" s="274"/>
    </row>
    <row r="1431" spans="1:11">
      <c r="A1431" s="275"/>
      <c r="B1431" s="275"/>
      <c r="C1431" s="275"/>
      <c r="D1431" s="275"/>
      <c r="E1431" s="275"/>
      <c r="F1431" s="275"/>
      <c r="G1431" s="275"/>
      <c r="H1431" s="274"/>
      <c r="I1431" s="274"/>
      <c r="J1431" s="275"/>
      <c r="K1431" s="274"/>
    </row>
    <row r="1432" spans="1:11">
      <c r="A1432" s="275"/>
      <c r="B1432" s="275"/>
      <c r="C1432" s="275"/>
      <c r="D1432" s="275"/>
      <c r="E1432" s="275"/>
      <c r="F1432" s="275"/>
      <c r="G1432" s="275"/>
      <c r="H1432" s="274"/>
      <c r="I1432" s="274"/>
      <c r="J1432" s="275"/>
      <c r="K1432" s="274"/>
    </row>
    <row r="1433" spans="1:11">
      <c r="A1433" s="275"/>
      <c r="B1433" s="275"/>
      <c r="C1433" s="275"/>
      <c r="D1433" s="275"/>
      <c r="E1433" s="275"/>
      <c r="F1433" s="275"/>
      <c r="G1433" s="275"/>
      <c r="H1433" s="274"/>
      <c r="I1433" s="274"/>
      <c r="J1433" s="275"/>
      <c r="K1433" s="274"/>
    </row>
    <row r="1434" spans="1:11">
      <c r="A1434" s="275"/>
      <c r="B1434" s="275"/>
      <c r="C1434" s="275"/>
      <c r="D1434" s="275"/>
      <c r="E1434" s="275"/>
      <c r="F1434" s="275"/>
      <c r="G1434" s="275"/>
      <c r="H1434" s="274"/>
      <c r="I1434" s="274"/>
      <c r="J1434" s="275"/>
      <c r="K1434" s="274"/>
    </row>
    <row r="1435" spans="1:11">
      <c r="A1435" s="275"/>
      <c r="B1435" s="275"/>
      <c r="C1435" s="275"/>
      <c r="D1435" s="275"/>
      <c r="E1435" s="275"/>
      <c r="F1435" s="275"/>
      <c r="G1435" s="275"/>
      <c r="H1435" s="274"/>
      <c r="I1435" s="274"/>
      <c r="J1435" s="275"/>
      <c r="K1435" s="274"/>
    </row>
    <row r="1436" spans="1:11">
      <c r="A1436" s="275"/>
      <c r="B1436" s="275"/>
      <c r="C1436" s="275"/>
      <c r="D1436" s="275"/>
      <c r="E1436" s="275"/>
      <c r="F1436" s="275"/>
      <c r="G1436" s="275"/>
      <c r="H1436" s="274"/>
      <c r="I1436" s="274"/>
      <c r="J1436" s="275"/>
      <c r="K1436" s="274"/>
    </row>
    <row r="1437" spans="1:11">
      <c r="A1437" s="275"/>
      <c r="B1437" s="275"/>
      <c r="C1437" s="275"/>
      <c r="D1437" s="275"/>
      <c r="E1437" s="275"/>
      <c r="F1437" s="275"/>
      <c r="G1437" s="275"/>
      <c r="H1437" s="274"/>
      <c r="I1437" s="274"/>
      <c r="J1437" s="275"/>
      <c r="K1437" s="274"/>
    </row>
    <row r="1438" spans="1:11">
      <c r="A1438" s="275"/>
      <c r="B1438" s="275"/>
      <c r="C1438" s="275"/>
      <c r="D1438" s="275"/>
      <c r="E1438" s="275"/>
      <c r="F1438" s="275"/>
      <c r="G1438" s="275"/>
      <c r="H1438" s="274"/>
      <c r="I1438" s="274"/>
      <c r="J1438" s="275"/>
      <c r="K1438" s="274"/>
    </row>
    <row r="1439" spans="1:11">
      <c r="A1439" s="275"/>
      <c r="B1439" s="275"/>
      <c r="C1439" s="275"/>
      <c r="D1439" s="275"/>
      <c r="E1439" s="275"/>
      <c r="F1439" s="275"/>
      <c r="G1439" s="275"/>
      <c r="H1439" s="274"/>
      <c r="I1439" s="274"/>
      <c r="J1439" s="275"/>
      <c r="K1439" s="274"/>
    </row>
    <row r="1440" spans="1:11">
      <c r="A1440" s="275"/>
      <c r="B1440" s="275"/>
      <c r="C1440" s="275"/>
      <c r="D1440" s="275"/>
      <c r="E1440" s="275"/>
      <c r="F1440" s="275"/>
      <c r="G1440" s="275"/>
      <c r="H1440" s="274"/>
      <c r="I1440" s="274"/>
      <c r="J1440" s="275"/>
      <c r="K1440" s="274"/>
    </row>
    <row r="1441" spans="1:11">
      <c r="A1441" s="275"/>
      <c r="B1441" s="275"/>
      <c r="C1441" s="275"/>
      <c r="D1441" s="275"/>
      <c r="E1441" s="275"/>
      <c r="F1441" s="275"/>
      <c r="G1441" s="275"/>
      <c r="H1441" s="274"/>
      <c r="I1441" s="274"/>
      <c r="J1441" s="275"/>
      <c r="K1441" s="274"/>
    </row>
    <row r="1442" spans="1:11">
      <c r="A1442" s="275"/>
      <c r="B1442" s="275"/>
      <c r="C1442" s="275"/>
      <c r="D1442" s="275"/>
      <c r="E1442" s="275"/>
      <c r="F1442" s="275"/>
      <c r="G1442" s="275"/>
      <c r="H1442" s="274"/>
      <c r="I1442" s="274"/>
      <c r="J1442" s="275"/>
      <c r="K1442" s="274"/>
    </row>
    <row r="1443" spans="1:11">
      <c r="A1443" s="275"/>
      <c r="B1443" s="275"/>
      <c r="C1443" s="275"/>
      <c r="D1443" s="275"/>
      <c r="E1443" s="275"/>
      <c r="F1443" s="275"/>
      <c r="G1443" s="275"/>
      <c r="H1443" s="274"/>
      <c r="I1443" s="274"/>
      <c r="J1443" s="275"/>
      <c r="K1443" s="274"/>
    </row>
    <row r="1444" spans="1:11">
      <c r="A1444" s="275"/>
      <c r="B1444" s="275"/>
      <c r="C1444" s="275"/>
      <c r="D1444" s="275"/>
      <c r="E1444" s="275"/>
      <c r="F1444" s="275"/>
      <c r="G1444" s="275"/>
      <c r="H1444" s="274"/>
      <c r="I1444" s="274"/>
      <c r="J1444" s="275"/>
      <c r="K1444" s="274"/>
    </row>
    <row r="1445" spans="1:11">
      <c r="A1445" s="275"/>
      <c r="B1445" s="275"/>
      <c r="C1445" s="275"/>
      <c r="D1445" s="275"/>
      <c r="E1445" s="275"/>
      <c r="F1445" s="275"/>
      <c r="G1445" s="275"/>
      <c r="H1445" s="274"/>
      <c r="I1445" s="274"/>
      <c r="J1445" s="275"/>
      <c r="K1445" s="274"/>
    </row>
    <row r="1446" spans="1:11">
      <c r="A1446" s="275"/>
      <c r="B1446" s="275"/>
      <c r="C1446" s="275"/>
      <c r="D1446" s="275"/>
      <c r="E1446" s="275"/>
      <c r="F1446" s="275"/>
      <c r="G1446" s="275"/>
      <c r="H1446" s="274"/>
      <c r="I1446" s="274"/>
      <c r="J1446" s="275"/>
      <c r="K1446" s="274"/>
    </row>
    <row r="1447" spans="1:11">
      <c r="A1447" s="275"/>
      <c r="B1447" s="275"/>
      <c r="C1447" s="275"/>
      <c r="D1447" s="275"/>
      <c r="E1447" s="275"/>
      <c r="F1447" s="275"/>
      <c r="G1447" s="275"/>
      <c r="H1447" s="274"/>
      <c r="I1447" s="274"/>
      <c r="J1447" s="275"/>
      <c r="K1447" s="274"/>
    </row>
    <row r="1448" spans="1:11">
      <c r="A1448" s="275"/>
      <c r="B1448" s="275"/>
      <c r="C1448" s="275"/>
      <c r="D1448" s="275"/>
      <c r="E1448" s="275"/>
      <c r="F1448" s="275"/>
      <c r="G1448" s="275"/>
      <c r="H1448" s="274"/>
      <c r="I1448" s="274"/>
      <c r="J1448" s="275"/>
      <c r="K1448" s="274"/>
    </row>
    <row r="1449" spans="1:11">
      <c r="A1449" s="275"/>
      <c r="B1449" s="275"/>
      <c r="C1449" s="275"/>
      <c r="D1449" s="275"/>
      <c r="E1449" s="275"/>
      <c r="F1449" s="275"/>
      <c r="G1449" s="275"/>
      <c r="H1449" s="274"/>
      <c r="I1449" s="274"/>
      <c r="J1449" s="275"/>
      <c r="K1449" s="274"/>
    </row>
    <row r="1450" spans="1:11">
      <c r="A1450" s="275"/>
      <c r="B1450" s="275"/>
      <c r="C1450" s="275"/>
      <c r="D1450" s="275"/>
      <c r="E1450" s="275"/>
      <c r="F1450" s="275"/>
      <c r="G1450" s="275"/>
      <c r="H1450" s="274"/>
      <c r="I1450" s="274"/>
      <c r="J1450" s="275"/>
      <c r="K1450" s="274"/>
    </row>
    <row r="1451" spans="1:11">
      <c r="A1451" s="275"/>
      <c r="B1451" s="275"/>
      <c r="C1451" s="275"/>
      <c r="D1451" s="275"/>
      <c r="E1451" s="275"/>
      <c r="F1451" s="275"/>
      <c r="G1451" s="275"/>
      <c r="H1451" s="274"/>
      <c r="I1451" s="274"/>
      <c r="J1451" s="275"/>
      <c r="K1451" s="274"/>
    </row>
    <row r="1452" spans="1:11">
      <c r="A1452" s="275"/>
      <c r="B1452" s="275"/>
      <c r="C1452" s="275"/>
      <c r="D1452" s="275"/>
      <c r="E1452" s="275"/>
      <c r="F1452" s="275"/>
      <c r="G1452" s="275"/>
      <c r="H1452" s="274"/>
      <c r="I1452" s="274"/>
      <c r="J1452" s="275"/>
      <c r="K1452" s="274"/>
    </row>
    <row r="1453" spans="1:11">
      <c r="A1453" s="275"/>
      <c r="B1453" s="275"/>
      <c r="C1453" s="275"/>
      <c r="D1453" s="275"/>
      <c r="E1453" s="275"/>
      <c r="F1453" s="275"/>
      <c r="G1453" s="275"/>
      <c r="H1453" s="274"/>
      <c r="I1453" s="274"/>
      <c r="J1453" s="275"/>
      <c r="K1453" s="274"/>
    </row>
    <row r="1454" spans="1:11">
      <c r="A1454" s="275"/>
      <c r="B1454" s="275"/>
      <c r="C1454" s="275"/>
      <c r="D1454" s="275"/>
      <c r="E1454" s="275"/>
      <c r="F1454" s="275"/>
      <c r="G1454" s="275"/>
      <c r="H1454" s="274"/>
      <c r="I1454" s="274"/>
      <c r="J1454" s="275"/>
      <c r="K1454" s="274"/>
    </row>
    <row r="1455" spans="1:11">
      <c r="A1455" s="275"/>
      <c r="B1455" s="275"/>
      <c r="C1455" s="275"/>
      <c r="D1455" s="275"/>
      <c r="E1455" s="275"/>
      <c r="F1455" s="275"/>
      <c r="G1455" s="275"/>
      <c r="H1455" s="274"/>
      <c r="I1455" s="274"/>
      <c r="J1455" s="275"/>
      <c r="K1455" s="274"/>
    </row>
    <row r="1456" spans="1:11">
      <c r="A1456" s="275"/>
      <c r="B1456" s="275"/>
      <c r="C1456" s="275"/>
      <c r="D1456" s="275"/>
      <c r="E1456" s="275"/>
      <c r="F1456" s="275"/>
      <c r="G1456" s="275"/>
      <c r="H1456" s="274"/>
      <c r="I1456" s="274"/>
      <c r="J1456" s="275"/>
      <c r="K1456" s="274"/>
    </row>
    <row r="1457" spans="1:11">
      <c r="A1457" s="275"/>
      <c r="B1457" s="275"/>
      <c r="C1457" s="275"/>
      <c r="D1457" s="275"/>
      <c r="E1457" s="275"/>
      <c r="F1457" s="275"/>
      <c r="G1457" s="275"/>
      <c r="H1457" s="274"/>
      <c r="I1457" s="274"/>
      <c r="J1457" s="275"/>
      <c r="K1457" s="274"/>
    </row>
    <row r="1458" spans="1:11">
      <c r="A1458" s="275"/>
      <c r="B1458" s="275"/>
      <c r="C1458" s="275"/>
      <c r="D1458" s="275"/>
      <c r="E1458" s="275"/>
      <c r="F1458" s="275"/>
      <c r="G1458" s="275"/>
      <c r="H1458" s="274"/>
      <c r="I1458" s="274"/>
      <c r="J1458" s="275"/>
      <c r="K1458" s="274"/>
    </row>
    <row r="1459" spans="1:11">
      <c r="A1459" s="275"/>
      <c r="B1459" s="275"/>
      <c r="C1459" s="275"/>
      <c r="D1459" s="275"/>
      <c r="E1459" s="275"/>
      <c r="F1459" s="275"/>
      <c r="G1459" s="275"/>
      <c r="H1459" s="274"/>
      <c r="I1459" s="274"/>
      <c r="J1459" s="275"/>
      <c r="K1459" s="274"/>
    </row>
    <row r="1460" spans="1:11">
      <c r="A1460" s="275"/>
      <c r="B1460" s="275"/>
      <c r="C1460" s="275"/>
      <c r="D1460" s="275"/>
      <c r="E1460" s="275"/>
      <c r="F1460" s="275"/>
      <c r="G1460" s="275"/>
      <c r="H1460" s="274"/>
      <c r="I1460" s="274"/>
      <c r="J1460" s="275"/>
      <c r="K1460" s="274"/>
    </row>
    <row r="1461" spans="1:11">
      <c r="A1461" s="275"/>
      <c r="B1461" s="275"/>
      <c r="C1461" s="275"/>
      <c r="D1461" s="275"/>
      <c r="E1461" s="275"/>
      <c r="F1461" s="275"/>
      <c r="G1461" s="275"/>
      <c r="H1461" s="274"/>
      <c r="I1461" s="274"/>
      <c r="J1461" s="275"/>
      <c r="K1461" s="274"/>
    </row>
    <row r="1462" spans="1:11">
      <c r="A1462" s="275"/>
      <c r="B1462" s="275"/>
      <c r="C1462" s="275"/>
      <c r="D1462" s="275"/>
      <c r="E1462" s="275"/>
      <c r="F1462" s="275"/>
      <c r="G1462" s="275"/>
      <c r="H1462" s="274"/>
      <c r="I1462" s="274"/>
      <c r="J1462" s="275"/>
      <c r="K1462" s="274"/>
    </row>
    <row r="1464" spans="1:11">
      <c r="F1464" s="273">
        <f>COUNTA(F1367:F1462)</f>
        <v>0</v>
      </c>
    </row>
  </sheetData>
  <mergeCells count="1">
    <mergeCell ref="F4:K4"/>
  </mergeCells>
  <printOptions horizontalCentered="1"/>
  <pageMargins left="0.7" right="0.7" top="0.75" bottom="0.75" header="0.3" footer="0.3"/>
  <pageSetup firstPageNumber="4294967295" fitToHeight="100" orientation="portrait" horizontalDpi="1200" verticalDpi="1200" r:id="rId1"/>
  <headerFooter alignWithMargins="0">
    <oddHeader>&amp;R</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I18"/>
  <sheetViews>
    <sheetView tabSelected="1" view="pageBreakPreview" zoomScale="85" zoomScaleNormal="100" zoomScaleSheetLayoutView="85" workbookViewId="0">
      <selection activeCell="I20" sqref="I20"/>
    </sheetView>
  </sheetViews>
  <sheetFormatPr defaultColWidth="8.85546875" defaultRowHeight="15.75"/>
  <cols>
    <col min="1" max="1" width="5.7109375" style="355" customWidth="1"/>
    <col min="2" max="2" width="18" style="355" customWidth="1"/>
    <col min="3" max="3" width="5.7109375" style="355" customWidth="1"/>
    <col min="4" max="4" width="13.140625" style="355" bestFit="1" customWidth="1"/>
    <col min="5" max="5" width="5.7109375" style="355" customWidth="1"/>
    <col min="6" max="6" width="12.5703125" style="355" customWidth="1"/>
    <col min="7" max="7" width="5.7109375" style="355" customWidth="1"/>
    <col min="8" max="8" width="19.140625" style="355" customWidth="1"/>
    <col min="9" max="9" width="5.7109375" style="355" customWidth="1"/>
    <col min="10" max="16384" width="8.85546875" style="355"/>
  </cols>
  <sheetData>
    <row r="1" spans="1:9" ht="20.25">
      <c r="A1" s="985" t="str">
        <f>Input!G28</f>
        <v>Peoples Gas System</v>
      </c>
      <c r="B1" s="985"/>
      <c r="C1" s="985"/>
      <c r="D1" s="985"/>
      <c r="E1" s="985"/>
      <c r="F1" s="985"/>
      <c r="G1" s="985"/>
      <c r="H1" s="985"/>
      <c r="I1" s="985"/>
    </row>
    <row r="2" spans="1:9" ht="20.25">
      <c r="A2" s="986" t="s">
        <v>4050</v>
      </c>
      <c r="B2" s="986"/>
      <c r="C2" s="986"/>
      <c r="D2" s="986"/>
      <c r="E2" s="986"/>
      <c r="F2" s="986"/>
      <c r="G2" s="986"/>
      <c r="H2" s="986"/>
      <c r="I2" s="986"/>
    </row>
    <row r="3" spans="1:9" ht="20.25">
      <c r="A3" s="985" t="s">
        <v>4051</v>
      </c>
      <c r="B3" s="985"/>
      <c r="C3" s="985"/>
      <c r="D3" s="985"/>
      <c r="E3" s="985"/>
      <c r="F3" s="985"/>
      <c r="G3" s="985"/>
      <c r="H3" s="985"/>
      <c r="I3" s="985"/>
    </row>
    <row r="4" spans="1:9" ht="20.25">
      <c r="A4" s="752"/>
      <c r="B4" s="752"/>
      <c r="C4" s="752"/>
      <c r="D4" s="752"/>
      <c r="E4" s="752"/>
      <c r="F4" s="752"/>
      <c r="G4" s="752"/>
      <c r="H4" s="752"/>
      <c r="I4" s="752"/>
    </row>
    <row r="5" spans="1:9" ht="20.25">
      <c r="A5" s="752"/>
      <c r="B5" s="752"/>
      <c r="C5" s="752"/>
      <c r="D5" s="752"/>
      <c r="E5" s="752"/>
      <c r="F5" s="752"/>
      <c r="G5" s="752"/>
      <c r="H5" s="752"/>
      <c r="I5" s="752"/>
    </row>
    <row r="6" spans="1:9" ht="41.25" customHeight="1">
      <c r="A6" s="752"/>
      <c r="B6" s="753" t="s">
        <v>4052</v>
      </c>
      <c r="C6" s="752"/>
      <c r="D6" s="754" t="s">
        <v>4053</v>
      </c>
      <c r="E6" s="751"/>
      <c r="F6" s="754" t="s">
        <v>4054</v>
      </c>
      <c r="G6" s="752"/>
      <c r="H6" s="755" t="s">
        <v>4055</v>
      </c>
      <c r="I6" s="752"/>
    </row>
    <row r="7" spans="1:9" ht="20.25">
      <c r="A7" s="752"/>
      <c r="B7" s="752"/>
      <c r="C7" s="752"/>
      <c r="D7" s="752"/>
      <c r="E7" s="752"/>
      <c r="F7" s="752"/>
      <c r="G7" s="752"/>
      <c r="H7" s="752"/>
      <c r="I7" s="752"/>
    </row>
    <row r="8" spans="1:9" ht="20.25">
      <c r="A8" s="752"/>
      <c r="B8" s="752" t="s">
        <v>4056</v>
      </c>
      <c r="C8" s="752"/>
      <c r="D8" s="756">
        <v>0.40479999999999999</v>
      </c>
      <c r="E8" s="760"/>
      <c r="F8" s="756">
        <v>5.5399999999999998E-2</v>
      </c>
      <c r="G8" s="982" t="s">
        <v>95</v>
      </c>
      <c r="H8" s="756">
        <v>2.24E-2</v>
      </c>
      <c r="I8" s="752"/>
    </row>
    <row r="9" spans="1:9" ht="20.25">
      <c r="A9" s="752"/>
      <c r="B9" s="752" t="s">
        <v>4616</v>
      </c>
      <c r="C9" s="752"/>
      <c r="D9" s="756">
        <v>4.8399999999999999E-2</v>
      </c>
      <c r="E9" s="760"/>
      <c r="F9" s="756">
        <v>4.8500000000000001E-2</v>
      </c>
      <c r="G9" s="982" t="s">
        <v>95</v>
      </c>
      <c r="H9" s="756">
        <v>2.3999999999999998E-3</v>
      </c>
      <c r="I9" s="752"/>
    </row>
    <row r="10" spans="1:9" ht="20.25">
      <c r="A10" s="752"/>
      <c r="B10" s="752" t="s">
        <v>10</v>
      </c>
      <c r="C10" s="752"/>
      <c r="D10" s="757">
        <v>0.54679999999999995</v>
      </c>
      <c r="E10" s="982"/>
      <c r="F10" s="758">
        <f>'1.2 Summary of CE Models'!E23</f>
        <v>0.11</v>
      </c>
      <c r="G10" s="982" t="s">
        <v>96</v>
      </c>
      <c r="H10" s="757">
        <f>ROUND(F10*D10,4)</f>
        <v>6.0100000000000001E-2</v>
      </c>
      <c r="I10" s="752"/>
    </row>
    <row r="11" spans="1:9" ht="20.25">
      <c r="A11" s="752"/>
      <c r="B11" s="752"/>
      <c r="C11" s="752"/>
      <c r="D11" s="756"/>
      <c r="E11" s="760"/>
      <c r="F11" s="756"/>
      <c r="G11" s="760"/>
      <c r="H11" s="760"/>
      <c r="I11" s="752"/>
    </row>
    <row r="12" spans="1:9" ht="21" thickBot="1">
      <c r="A12" s="752"/>
      <c r="B12" s="752" t="s">
        <v>86</v>
      </c>
      <c r="C12" s="752"/>
      <c r="D12" s="759">
        <f>SUM(D8:D10)</f>
        <v>1</v>
      </c>
      <c r="E12" s="760"/>
      <c r="F12" s="756"/>
      <c r="G12" s="760"/>
      <c r="H12" s="759">
        <f>SUM(H8:H10)</f>
        <v>8.4900000000000003E-2</v>
      </c>
      <c r="I12" s="752"/>
    </row>
    <row r="13" spans="1:9" ht="21" thickTop="1">
      <c r="A13" s="752"/>
      <c r="B13" s="752"/>
      <c r="C13" s="752"/>
      <c r="D13" s="760"/>
      <c r="E13" s="752"/>
      <c r="F13" s="752"/>
      <c r="G13" s="752"/>
      <c r="H13" s="756"/>
      <c r="I13" s="752"/>
    </row>
    <row r="14" spans="1:9" ht="20.25">
      <c r="A14" s="752"/>
      <c r="B14" s="752"/>
      <c r="C14" s="752"/>
      <c r="D14" s="760"/>
      <c r="E14" s="752"/>
      <c r="F14" s="752"/>
      <c r="G14" s="752"/>
      <c r="H14" s="756"/>
      <c r="I14" s="752"/>
    </row>
    <row r="15" spans="1:9" ht="20.25">
      <c r="A15" s="752" t="s">
        <v>94</v>
      </c>
      <c r="B15" s="752"/>
      <c r="C15" s="752"/>
      <c r="D15" s="752"/>
      <c r="E15" s="752"/>
      <c r="F15" s="752"/>
      <c r="G15" s="752"/>
      <c r="H15" s="752"/>
      <c r="I15" s="752"/>
    </row>
    <row r="16" spans="1:9" ht="20.25">
      <c r="A16" s="761" t="s">
        <v>95</v>
      </c>
      <c r="B16" s="762" t="s">
        <v>4617</v>
      </c>
      <c r="C16" s="762"/>
      <c r="D16" s="762"/>
      <c r="E16" s="762"/>
      <c r="F16" s="762"/>
      <c r="G16" s="752"/>
      <c r="H16" s="752"/>
      <c r="I16" s="752"/>
    </row>
    <row r="17" spans="1:9" ht="25.5" customHeight="1">
      <c r="A17" s="761" t="s">
        <v>96</v>
      </c>
      <c r="B17" s="983" t="s">
        <v>4398</v>
      </c>
      <c r="C17" s="983"/>
      <c r="D17" s="983"/>
      <c r="E17" s="983"/>
      <c r="F17" s="983"/>
      <c r="G17" s="752"/>
      <c r="H17" s="752"/>
      <c r="I17" s="752"/>
    </row>
    <row r="18" spans="1:9">
      <c r="A18" s="356"/>
      <c r="B18" s="984"/>
      <c r="C18" s="984"/>
      <c r="D18" s="984"/>
      <c r="E18" s="984"/>
      <c r="F18" s="984"/>
    </row>
  </sheetData>
  <mergeCells count="5">
    <mergeCell ref="B17:F17"/>
    <mergeCell ref="B18:F18"/>
    <mergeCell ref="A3:I3"/>
    <mergeCell ref="A2:I2"/>
    <mergeCell ref="A1:I1"/>
  </mergeCells>
  <printOptions horizontalCentered="1"/>
  <pageMargins left="0.7" right="0.7" top="0.75" bottom="0.75" header="0.3" footer="0.3"/>
  <pageSetup orientation="portrait" r:id="rId1"/>
  <ignoredErrors>
    <ignoredError sqref="G8:G10 A16:A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W39"/>
  <sheetViews>
    <sheetView view="pageBreakPreview" zoomScale="85" zoomScaleNormal="85" zoomScaleSheetLayoutView="85" workbookViewId="0"/>
  </sheetViews>
  <sheetFormatPr defaultColWidth="9" defaultRowHeight="15.75"/>
  <cols>
    <col min="1" max="1" width="9" style="3"/>
    <col min="2" max="2" width="38.85546875" style="3" customWidth="1"/>
    <col min="3" max="3" width="3" style="3" customWidth="1"/>
    <col min="4" max="4" width="11" style="3" customWidth="1"/>
    <col min="5" max="5" width="3.28515625" style="3" customWidth="1"/>
    <col min="6" max="6" width="14.5703125" style="3" customWidth="1"/>
    <col min="7" max="7" width="3.28515625" style="3" customWidth="1"/>
    <col min="8" max="8" width="11" style="3" customWidth="1"/>
    <col min="9" max="9" width="3" style="3" customWidth="1"/>
    <col min="10" max="10" width="10.5703125" style="3" bestFit="1" customWidth="1"/>
    <col min="11" max="11" width="3.5703125" style="3" customWidth="1"/>
    <col min="12" max="12" width="3" style="3" customWidth="1"/>
    <col min="13" max="13" width="9.5703125" style="3" customWidth="1"/>
    <col min="14" max="14" width="3.5703125" style="3" customWidth="1"/>
    <col min="15" max="15" width="3" style="3" customWidth="1"/>
    <col min="16" max="16" width="9.5703125" style="3" customWidth="1"/>
    <col min="17" max="17" width="3.5703125" style="3" customWidth="1"/>
    <col min="18" max="18" width="3" style="3" customWidth="1"/>
    <col min="19" max="19" width="9.5703125" style="3" customWidth="1"/>
    <col min="20" max="20" width="3.5703125" style="3" customWidth="1"/>
    <col min="21" max="21" width="3" style="3" customWidth="1"/>
    <col min="22" max="22" width="9.5703125" style="3" customWidth="1"/>
    <col min="23" max="23" width="3.5703125" style="3" customWidth="1"/>
    <col min="24" max="16384" width="9" style="3"/>
  </cols>
  <sheetData>
    <row r="1" spans="1:23">
      <c r="B1" s="1" t="str">
        <f>Input!G28</f>
        <v>Peoples Gas System</v>
      </c>
      <c r="C1" s="2"/>
      <c r="D1" s="2"/>
      <c r="E1" s="2"/>
      <c r="F1" s="2"/>
      <c r="G1" s="2"/>
      <c r="H1" s="2"/>
      <c r="I1" s="2"/>
      <c r="J1" s="2"/>
      <c r="K1" s="2"/>
      <c r="L1" s="2"/>
      <c r="M1" s="2"/>
      <c r="N1" s="2"/>
      <c r="O1" s="2"/>
      <c r="P1" s="2"/>
      <c r="Q1" s="2"/>
      <c r="R1" s="2"/>
      <c r="S1" s="2"/>
      <c r="T1" s="2"/>
      <c r="U1" s="2"/>
      <c r="V1" s="2"/>
      <c r="W1" s="2"/>
    </row>
    <row r="2" spans="1:23">
      <c r="B2" s="2" t="s">
        <v>166</v>
      </c>
      <c r="C2" s="2"/>
      <c r="D2" s="2"/>
      <c r="E2" s="2"/>
      <c r="F2" s="2"/>
      <c r="G2" s="2"/>
      <c r="H2" s="2"/>
      <c r="I2" s="2"/>
      <c r="J2" s="2"/>
      <c r="K2" s="2"/>
      <c r="L2" s="2"/>
      <c r="M2" s="2"/>
      <c r="N2" s="2"/>
      <c r="O2" s="2"/>
      <c r="P2" s="2"/>
      <c r="Q2" s="2"/>
      <c r="R2" s="2"/>
      <c r="S2" s="2"/>
      <c r="T2" s="2"/>
      <c r="U2" s="2"/>
      <c r="V2" s="2"/>
      <c r="W2" s="2"/>
    </row>
    <row r="3" spans="1:23">
      <c r="B3" s="1" t="s">
        <v>167</v>
      </c>
      <c r="C3" s="2"/>
      <c r="D3" s="2"/>
      <c r="E3" s="2"/>
      <c r="F3" s="2"/>
      <c r="G3" s="2"/>
      <c r="H3" s="2"/>
      <c r="I3" s="2"/>
      <c r="J3" s="2"/>
      <c r="K3" s="2"/>
      <c r="L3" s="2"/>
      <c r="M3" s="2"/>
      <c r="N3" s="2"/>
      <c r="O3" s="2"/>
      <c r="P3" s="2"/>
      <c r="Q3" s="2"/>
      <c r="R3" s="2"/>
      <c r="S3" s="2"/>
      <c r="T3" s="2"/>
      <c r="U3" s="2"/>
      <c r="V3" s="2"/>
      <c r="W3" s="2"/>
    </row>
    <row r="5" spans="1:23">
      <c r="D5" s="5" t="s">
        <v>1337</v>
      </c>
      <c r="E5" s="5"/>
      <c r="F5" s="5" t="s">
        <v>1336</v>
      </c>
      <c r="G5" s="5"/>
      <c r="H5" s="5" t="s">
        <v>1335</v>
      </c>
      <c r="J5" s="2" t="s">
        <v>1341</v>
      </c>
      <c r="K5" s="2"/>
      <c r="M5" s="2" t="s">
        <v>1342</v>
      </c>
      <c r="N5" s="2"/>
      <c r="P5" s="2" t="s">
        <v>1345</v>
      </c>
      <c r="Q5" s="2"/>
      <c r="S5" s="2" t="s">
        <v>1346</v>
      </c>
      <c r="T5" s="2"/>
      <c r="V5" s="2" t="s">
        <v>1357</v>
      </c>
      <c r="W5" s="2"/>
    </row>
    <row r="7" spans="1:23" ht="63">
      <c r="B7" s="438" t="str">
        <f>'6.1 Comp Earnings Criteria'!C7</f>
        <v>Proxy Group of Six Natural Gas Companies</v>
      </c>
      <c r="D7" s="439" t="s">
        <v>168</v>
      </c>
      <c r="E7" s="226"/>
      <c r="F7" s="439" t="s">
        <v>1328</v>
      </c>
      <c r="G7" s="226"/>
      <c r="H7" s="439" t="s">
        <v>1322</v>
      </c>
      <c r="I7" s="5"/>
      <c r="J7" s="1003" t="s">
        <v>169</v>
      </c>
      <c r="K7" s="1022"/>
      <c r="L7" s="5"/>
      <c r="M7" s="1003" t="s">
        <v>170</v>
      </c>
      <c r="N7" s="1022"/>
      <c r="O7" s="5"/>
      <c r="P7" s="1003" t="s">
        <v>1351</v>
      </c>
      <c r="Q7" s="1022"/>
      <c r="R7" s="5"/>
      <c r="S7" s="1003" t="s">
        <v>1352</v>
      </c>
      <c r="T7" s="1022"/>
      <c r="U7" s="5"/>
      <c r="V7" s="1003" t="s">
        <v>4145</v>
      </c>
      <c r="W7" s="1023"/>
    </row>
    <row r="8" spans="1:23" ht="15.75" customHeight="1"/>
    <row r="9" spans="1:23" ht="15.75" customHeight="1">
      <c r="A9" s="3" t="str">
        <f>'6.1 Comp Earnings Criteria'!A9</f>
        <v>ATO</v>
      </c>
      <c r="B9" s="340" t="str">
        <f>'Proxy Data Lookup'!B3</f>
        <v>Atmos Energy Corporation</v>
      </c>
      <c r="D9" s="7">
        <f>'MRP WP1'!C74</f>
        <v>0.8</v>
      </c>
      <c r="E9" s="7"/>
      <c r="F9" s="7">
        <f>'Proxy Data Lookup'!G3</f>
        <v>0.73475563526153564</v>
      </c>
      <c r="G9" s="7"/>
      <c r="H9" s="7">
        <f>IFERROR(ROUND(AVERAGE(D9:F9),2),"NA")</f>
        <v>0.77</v>
      </c>
      <c r="I9" s="8"/>
      <c r="J9" s="7">
        <f>'MRP WP1'!$H$65</f>
        <v>9.7498071769275878</v>
      </c>
      <c r="K9" s="227" t="s">
        <v>18</v>
      </c>
      <c r="L9" s="8"/>
      <c r="M9" s="7">
        <f>'MRP WP1'!$F$37</f>
        <v>3.91</v>
      </c>
      <c r="N9" s="227" t="s">
        <v>18</v>
      </c>
      <c r="O9" s="8"/>
      <c r="P9" s="9">
        <f>IFERROR((H9*J9) + M9,"NA")</f>
        <v>11.417351526234242</v>
      </c>
      <c r="Q9" s="227" t="s">
        <v>18</v>
      </c>
      <c r="R9" s="8"/>
      <c r="S9" s="9">
        <f>IFERROR((0.75*(H9*J9))+(0.25*J9)+M9,"NA")</f>
        <v>11.97796543890758</v>
      </c>
      <c r="T9" s="227" t="s">
        <v>18</v>
      </c>
      <c r="U9" s="8"/>
      <c r="V9" s="9">
        <f>IFERROR(ROUND(AVERAGE(P9:S9),2),"NA")</f>
        <v>11.7</v>
      </c>
      <c r="W9" s="8" t="s">
        <v>18</v>
      </c>
    </row>
    <row r="10" spans="1:23" ht="15.75" customHeight="1">
      <c r="A10" s="3" t="str">
        <f>'6.1 Comp Earnings Criteria'!A10</f>
        <v>NJR</v>
      </c>
      <c r="B10" s="340" t="str">
        <f>'Proxy Data Lookup'!B4</f>
        <v>New Jersey Resources Corporation</v>
      </c>
      <c r="D10" s="7">
        <f>'MRP WP1'!C75</f>
        <v>0.95</v>
      </c>
      <c r="E10" s="7"/>
      <c r="F10" s="7">
        <f>'Proxy Data Lookup'!G4</f>
        <v>0.70650196075439453</v>
      </c>
      <c r="G10" s="7"/>
      <c r="H10" s="7">
        <f t="shared" ref="H10:H14" si="0">IFERROR(ROUND(AVERAGE(D10:F10),2),"NA")</f>
        <v>0.83</v>
      </c>
      <c r="I10" s="8"/>
      <c r="J10" s="7">
        <f>'MRP WP1'!$H$65</f>
        <v>9.7498071769275878</v>
      </c>
      <c r="K10" s="227"/>
      <c r="L10" s="8"/>
      <c r="M10" s="7">
        <f>'MRP WP1'!$F$37</f>
        <v>3.91</v>
      </c>
      <c r="N10" s="227"/>
      <c r="O10" s="8"/>
      <c r="P10" s="9">
        <f t="shared" ref="P10:P14" si="1">IFERROR((H10*J10) + M10,"NA")</f>
        <v>12.002339956849898</v>
      </c>
      <c r="Q10" s="227"/>
      <c r="R10" s="8"/>
      <c r="S10" s="9">
        <f t="shared" ref="S10:S14" si="2">IFERROR((0.75*(H10*J10))+(0.25*J10)+M10,"NA")</f>
        <v>12.416706761869321</v>
      </c>
      <c r="T10" s="227"/>
      <c r="U10" s="8"/>
      <c r="V10" s="9">
        <f t="shared" ref="V10:V14" si="3">IFERROR(ROUND(AVERAGE(P10:S10),2),"NA")</f>
        <v>12.21</v>
      </c>
      <c r="W10" s="227"/>
    </row>
    <row r="11" spans="1:23" ht="15.75" customHeight="1">
      <c r="A11" s="3" t="str">
        <f>'6.1 Comp Earnings Criteria'!A11</f>
        <v>NI</v>
      </c>
      <c r="B11" s="340" t="str">
        <f>'Proxy Data Lookup'!B5</f>
        <v>NiSource Inc.</v>
      </c>
      <c r="D11" s="7">
        <f>'MRP WP1'!C76</f>
        <v>0.85</v>
      </c>
      <c r="E11" s="7"/>
      <c r="F11" s="7">
        <f>'Proxy Data Lookup'!G5</f>
        <v>0.73715859651565552</v>
      </c>
      <c r="G11" s="7"/>
      <c r="H11" s="7">
        <f t="shared" si="0"/>
        <v>0.79</v>
      </c>
      <c r="I11" s="8"/>
      <c r="J11" s="7">
        <f>'MRP WP1'!$H$65</f>
        <v>9.7498071769275878</v>
      </c>
      <c r="K11" s="227"/>
      <c r="L11" s="8"/>
      <c r="M11" s="7">
        <f>'MRP WP1'!$F$37</f>
        <v>3.91</v>
      </c>
      <c r="N11" s="227"/>
      <c r="O11" s="8"/>
      <c r="P11" s="9">
        <f t="shared" si="1"/>
        <v>11.612347669772795</v>
      </c>
      <c r="Q11" s="227"/>
      <c r="R11" s="8"/>
      <c r="S11" s="9">
        <f t="shared" si="2"/>
        <v>12.124212546561493</v>
      </c>
      <c r="T11" s="227"/>
      <c r="U11" s="8"/>
      <c r="V11" s="9">
        <f t="shared" si="3"/>
        <v>11.87</v>
      </c>
      <c r="W11" s="227"/>
    </row>
    <row r="12" spans="1:23" ht="15.75" customHeight="1">
      <c r="A12" s="3" t="str">
        <f>'6.1 Comp Earnings Criteria'!A12</f>
        <v>NWN</v>
      </c>
      <c r="B12" s="340" t="str">
        <f>'Proxy Data Lookup'!B6</f>
        <v>Northwest Natural Holding Company</v>
      </c>
      <c r="D12" s="7">
        <f>'MRP WP1'!C77</f>
        <v>0.8</v>
      </c>
      <c r="E12" s="7"/>
      <c r="F12" s="7">
        <f>'Proxy Data Lookup'!G6</f>
        <v>0.52684015035629272</v>
      </c>
      <c r="G12" s="7"/>
      <c r="H12" s="7">
        <f t="shared" si="0"/>
        <v>0.66</v>
      </c>
      <c r="I12" s="8"/>
      <c r="J12" s="7">
        <f>'MRP WP1'!$H$65</f>
        <v>9.7498071769275878</v>
      </c>
      <c r="K12" s="227"/>
      <c r="L12" s="8"/>
      <c r="M12" s="7">
        <f>'MRP WP1'!$F$37</f>
        <v>3.91</v>
      </c>
      <c r="N12" s="227"/>
      <c r="O12" s="8"/>
      <c r="P12" s="9">
        <f t="shared" si="1"/>
        <v>10.344872736772208</v>
      </c>
      <c r="Q12" s="227"/>
      <c r="R12" s="8"/>
      <c r="S12" s="9">
        <f t="shared" si="2"/>
        <v>11.173606346811054</v>
      </c>
      <c r="T12" s="227"/>
      <c r="U12" s="8"/>
      <c r="V12" s="9">
        <f t="shared" si="3"/>
        <v>10.76</v>
      </c>
      <c r="W12" s="227"/>
    </row>
    <row r="13" spans="1:23" ht="15.75" customHeight="1">
      <c r="A13" s="3" t="str">
        <f>'6.1 Comp Earnings Criteria'!A13</f>
        <v>OGS</v>
      </c>
      <c r="B13" s="340" t="str">
        <f>'Proxy Data Lookup'!B7</f>
        <v>ONE Gas, Inc.</v>
      </c>
      <c r="D13" s="7">
        <f>'MRP WP1'!C78</f>
        <v>0.8</v>
      </c>
      <c r="E13" s="7"/>
      <c r="F13" s="7">
        <f>'Proxy Data Lookup'!G7</f>
        <v>0.58262908458709717</v>
      </c>
      <c r="G13" s="7"/>
      <c r="H13" s="7">
        <f t="shared" si="0"/>
        <v>0.69</v>
      </c>
      <c r="I13" s="8"/>
      <c r="J13" s="7">
        <f>'MRP WP1'!$H$65</f>
        <v>9.7498071769275878</v>
      </c>
      <c r="K13" s="227"/>
      <c r="L13" s="8"/>
      <c r="M13" s="7">
        <f>'MRP WP1'!$F$37</f>
        <v>3.91</v>
      </c>
      <c r="N13" s="227"/>
      <c r="O13" s="8"/>
      <c r="P13" s="9">
        <f t="shared" si="1"/>
        <v>10.637366952080036</v>
      </c>
      <c r="Q13" s="227"/>
      <c r="R13" s="8"/>
      <c r="S13" s="9">
        <f t="shared" si="2"/>
        <v>11.392977008291924</v>
      </c>
      <c r="T13" s="227"/>
      <c r="U13" s="8"/>
      <c r="V13" s="9">
        <f t="shared" si="3"/>
        <v>11.02</v>
      </c>
      <c r="W13" s="227"/>
    </row>
    <row r="14" spans="1:23" ht="15.75" customHeight="1">
      <c r="A14" s="3" t="str">
        <f>'6.1 Comp Earnings Criteria'!A14</f>
        <v>SR</v>
      </c>
      <c r="B14" s="340" t="str">
        <f>'Proxy Data Lookup'!B8</f>
        <v>Spire Inc.</v>
      </c>
      <c r="D14" s="7">
        <f>'MRP WP1'!C79</f>
        <v>0.85</v>
      </c>
      <c r="E14" s="7"/>
      <c r="F14" s="7">
        <f>'Proxy Data Lookup'!G8</f>
        <v>0.69245487451553345</v>
      </c>
      <c r="G14" s="7"/>
      <c r="H14" s="7">
        <f t="shared" si="0"/>
        <v>0.77</v>
      </c>
      <c r="I14" s="8"/>
      <c r="J14" s="7">
        <f>'MRP WP1'!$H$65</f>
        <v>9.7498071769275878</v>
      </c>
      <c r="K14" s="227"/>
      <c r="L14" s="8"/>
      <c r="M14" s="7">
        <f>'MRP WP1'!$F$37</f>
        <v>3.91</v>
      </c>
      <c r="N14" s="227"/>
      <c r="O14" s="8"/>
      <c r="P14" s="9">
        <f t="shared" si="1"/>
        <v>11.417351526234242</v>
      </c>
      <c r="Q14" s="227"/>
      <c r="R14" s="8"/>
      <c r="S14" s="9">
        <f t="shared" si="2"/>
        <v>11.97796543890758</v>
      </c>
      <c r="T14" s="227"/>
      <c r="U14" s="8"/>
      <c r="V14" s="9">
        <f t="shared" si="3"/>
        <v>11.7</v>
      </c>
      <c r="W14" s="227"/>
    </row>
    <row r="15" spans="1:23" ht="15.75" customHeight="1">
      <c r="D15" s="7"/>
      <c r="E15" s="7"/>
      <c r="F15" s="7"/>
      <c r="G15" s="7"/>
      <c r="H15" s="447"/>
      <c r="I15" s="8"/>
      <c r="J15" s="8"/>
      <c r="K15" s="8"/>
      <c r="L15" s="8"/>
      <c r="M15" s="8"/>
      <c r="N15" s="8"/>
      <c r="O15" s="8"/>
      <c r="P15" s="447"/>
      <c r="Q15" s="8"/>
      <c r="R15" s="8"/>
      <c r="S15" s="447"/>
      <c r="T15" s="8"/>
      <c r="U15" s="8"/>
      <c r="V15" s="447"/>
      <c r="W15" s="8"/>
    </row>
    <row r="16" spans="1:23" ht="15.75" customHeight="1" thickBot="1">
      <c r="B16" s="10" t="s">
        <v>1377</v>
      </c>
      <c r="D16" s="9"/>
      <c r="E16" s="9"/>
      <c r="F16" s="9"/>
      <c r="G16" s="9"/>
      <c r="H16" s="81">
        <f>IFERROR(ROUND(AVERAGE(H9:H14),2),"NA")</f>
        <v>0.75</v>
      </c>
      <c r="I16" s="8"/>
      <c r="J16" s="8"/>
      <c r="K16" s="8"/>
      <c r="L16" s="8"/>
      <c r="M16" s="8"/>
      <c r="N16" s="8"/>
      <c r="O16" s="8"/>
      <c r="P16" s="81">
        <f>IFERROR(ROUND(AVERAGE(P9:P14),2),"NA")</f>
        <v>11.24</v>
      </c>
      <c r="Q16" s="227" t="s">
        <v>18</v>
      </c>
      <c r="R16" s="8"/>
      <c r="S16" s="81">
        <f>IFERROR(ROUND(AVERAGE(S9:S14),2),"NA")</f>
        <v>11.84</v>
      </c>
      <c r="T16" s="227" t="s">
        <v>18</v>
      </c>
      <c r="U16" s="8"/>
      <c r="V16" s="81">
        <f>IFERROR(ROUND(AVERAGE(V9:V14),2),"NA")</f>
        <v>11.54</v>
      </c>
      <c r="W16" s="227" t="s">
        <v>18</v>
      </c>
    </row>
    <row r="17" spans="2:23" ht="15.75" customHeight="1" thickTop="1">
      <c r="D17" s="9"/>
      <c r="E17" s="7"/>
      <c r="F17" s="7"/>
      <c r="G17" s="7"/>
      <c r="H17" s="7"/>
      <c r="I17" s="8"/>
      <c r="J17" s="8"/>
      <c r="K17" s="8"/>
      <c r="L17" s="8"/>
      <c r="M17" s="8"/>
      <c r="N17" s="8"/>
      <c r="O17" s="8"/>
      <c r="P17" s="7"/>
      <c r="Q17" s="8"/>
      <c r="R17" s="8"/>
      <c r="S17" s="7"/>
      <c r="T17" s="8"/>
      <c r="U17" s="8"/>
      <c r="V17" s="7"/>
      <c r="W17" s="8"/>
    </row>
    <row r="18" spans="2:23" ht="15.75" customHeight="1" thickBot="1">
      <c r="B18" s="10" t="s">
        <v>183</v>
      </c>
      <c r="D18" s="9"/>
      <c r="E18" s="9"/>
      <c r="F18" s="9"/>
      <c r="G18" s="9"/>
      <c r="H18" s="81">
        <f>IFERROR(ROUND(MEDIAN(H9:H14),2),"NA")</f>
        <v>0.77</v>
      </c>
      <c r="I18" s="8"/>
      <c r="J18" s="8"/>
      <c r="K18" s="8"/>
      <c r="L18" s="8"/>
      <c r="M18" s="8"/>
      <c r="N18" s="8"/>
      <c r="O18" s="8"/>
      <c r="P18" s="81">
        <f>IFERROR(ROUND(MEDIAN(P9:P14),2),"NA")</f>
        <v>11.42</v>
      </c>
      <c r="Q18" s="227" t="s">
        <v>18</v>
      </c>
      <c r="R18" s="8"/>
      <c r="S18" s="81">
        <f>IFERROR(ROUND(MEDIAN(S9:S14),2),"NA")</f>
        <v>11.98</v>
      </c>
      <c r="T18" s="227" t="s">
        <v>18</v>
      </c>
      <c r="U18" s="8"/>
      <c r="V18" s="81">
        <f>IFERROR(ROUND(MEDIAN(V9:V14),2),"NA")</f>
        <v>11.7</v>
      </c>
      <c r="W18" s="227" t="s">
        <v>18</v>
      </c>
    </row>
    <row r="19" spans="2:23" ht="15.75" customHeight="1" thickTop="1">
      <c r="D19" s="7"/>
      <c r="E19" s="7"/>
      <c r="F19" s="7"/>
      <c r="G19" s="7"/>
      <c r="H19" s="7"/>
      <c r="P19" s="7"/>
      <c r="S19" s="7"/>
      <c r="V19" s="7"/>
    </row>
    <row r="20" spans="2:23" ht="15.75" customHeight="1" thickBot="1">
      <c r="B20" s="10" t="s">
        <v>1376</v>
      </c>
      <c r="D20" s="7"/>
      <c r="E20" s="7"/>
      <c r="F20" s="7"/>
      <c r="G20" s="7"/>
      <c r="H20" s="81">
        <f>IFERROR(ROUND(AVERAGE(H16:H18),2),"NA")</f>
        <v>0.76</v>
      </c>
      <c r="P20" s="81">
        <f>IFERROR(ROUND(AVERAGE(P16:P18),2),"NA")</f>
        <v>11.33</v>
      </c>
      <c r="Q20" s="3" t="s">
        <v>18</v>
      </c>
      <c r="S20" s="81">
        <f>IFERROR(ROUND(AVERAGE(S16:S18),2),"NA")</f>
        <v>11.91</v>
      </c>
      <c r="T20" s="3" t="s">
        <v>18</v>
      </c>
      <c r="V20" s="81">
        <f>IFERROR(ROUND(AVERAGE(V16:V18),2),"NA")</f>
        <v>11.62</v>
      </c>
      <c r="W20" s="3" t="s">
        <v>18</v>
      </c>
    </row>
    <row r="21" spans="2:23" ht="16.5" thickTop="1">
      <c r="S21" s="10"/>
      <c r="V21" s="8"/>
    </row>
    <row r="22" spans="2:23">
      <c r="S22" s="10"/>
      <c r="V22" s="8"/>
    </row>
    <row r="24" spans="2:23">
      <c r="B24" s="10" t="s">
        <v>4440</v>
      </c>
    </row>
    <row r="28" spans="2:23">
      <c r="B28" s="340"/>
      <c r="D28" s="9"/>
      <c r="E28" s="9"/>
      <c r="F28" s="9"/>
      <c r="G28" s="9"/>
      <c r="H28" s="9"/>
      <c r="I28" s="8"/>
      <c r="J28" s="9"/>
      <c r="K28" s="227"/>
      <c r="L28" s="8"/>
      <c r="M28" s="9"/>
      <c r="N28" s="227"/>
      <c r="O28" s="8"/>
      <c r="P28" s="9"/>
      <c r="Q28" s="227"/>
      <c r="R28" s="8"/>
      <c r="S28" s="9"/>
      <c r="T28" s="227"/>
      <c r="U28" s="8"/>
      <c r="V28" s="9"/>
      <c r="W28" s="8"/>
    </row>
    <row r="29" spans="2:23">
      <c r="B29" s="340"/>
      <c r="D29" s="9"/>
      <c r="E29" s="9"/>
      <c r="F29" s="9"/>
      <c r="G29" s="9"/>
      <c r="H29" s="9"/>
      <c r="I29" s="8"/>
      <c r="J29" s="9"/>
      <c r="K29" s="227"/>
      <c r="L29" s="8"/>
      <c r="M29" s="9"/>
      <c r="N29" s="227"/>
      <c r="O29" s="8"/>
      <c r="P29" s="9"/>
      <c r="Q29" s="227"/>
      <c r="R29" s="8"/>
      <c r="S29" s="9"/>
      <c r="T29" s="227"/>
      <c r="U29" s="8"/>
      <c r="V29" s="9"/>
      <c r="W29" s="227"/>
    </row>
    <row r="30" spans="2:23">
      <c r="B30" s="340"/>
      <c r="D30" s="9"/>
      <c r="E30" s="9"/>
      <c r="F30" s="9"/>
      <c r="G30" s="9"/>
      <c r="H30" s="9"/>
      <c r="I30" s="8"/>
      <c r="J30" s="9"/>
      <c r="K30" s="227"/>
      <c r="L30" s="8"/>
      <c r="M30" s="9"/>
      <c r="N30" s="227"/>
      <c r="O30" s="8"/>
      <c r="P30" s="9"/>
      <c r="Q30" s="227"/>
      <c r="R30" s="8"/>
      <c r="S30" s="9"/>
      <c r="T30" s="227"/>
      <c r="U30" s="8"/>
      <c r="V30" s="9"/>
      <c r="W30" s="227"/>
    </row>
    <row r="31" spans="2:23">
      <c r="B31" s="340"/>
      <c r="D31" s="9"/>
      <c r="E31" s="9"/>
      <c r="F31" s="9"/>
      <c r="G31" s="9"/>
      <c r="H31" s="9"/>
      <c r="I31" s="8"/>
      <c r="J31" s="9"/>
      <c r="K31" s="227"/>
      <c r="L31" s="8"/>
      <c r="M31" s="9"/>
      <c r="N31" s="227"/>
      <c r="O31" s="8"/>
      <c r="P31" s="9"/>
      <c r="Q31" s="227"/>
      <c r="R31" s="8"/>
      <c r="S31" s="9"/>
      <c r="T31" s="227"/>
      <c r="U31" s="8"/>
      <c r="V31" s="9"/>
      <c r="W31" s="227"/>
    </row>
    <row r="32" spans="2:23">
      <c r="B32" s="340"/>
      <c r="D32" s="9"/>
      <c r="E32" s="9"/>
      <c r="F32" s="9"/>
      <c r="G32" s="9"/>
      <c r="H32" s="9"/>
      <c r="I32" s="8"/>
      <c r="J32" s="9"/>
      <c r="K32" s="227"/>
      <c r="L32" s="8"/>
      <c r="M32" s="9"/>
      <c r="N32" s="227"/>
      <c r="O32" s="8"/>
      <c r="P32" s="9"/>
      <c r="Q32" s="227"/>
      <c r="R32" s="8"/>
      <c r="S32" s="9"/>
      <c r="T32" s="227"/>
      <c r="U32" s="8"/>
      <c r="V32" s="9"/>
      <c r="W32" s="227"/>
    </row>
    <row r="33" spans="2:23">
      <c r="B33" s="340"/>
      <c r="D33" s="9"/>
      <c r="E33" s="9"/>
      <c r="F33" s="9"/>
      <c r="G33" s="9"/>
      <c r="H33" s="9"/>
      <c r="I33" s="8"/>
      <c r="J33" s="9"/>
      <c r="K33" s="227"/>
      <c r="L33" s="8"/>
      <c r="M33" s="9"/>
      <c r="N33" s="227"/>
      <c r="O33" s="8"/>
      <c r="P33" s="9"/>
      <c r="Q33" s="227"/>
      <c r="R33" s="8"/>
      <c r="S33" s="9"/>
      <c r="T33" s="227"/>
      <c r="U33" s="8"/>
      <c r="V33" s="9"/>
      <c r="W33" s="227"/>
    </row>
    <row r="34" spans="2:23">
      <c r="D34" s="9"/>
      <c r="E34" s="9"/>
      <c r="F34" s="9"/>
      <c r="G34" s="9"/>
      <c r="H34" s="9"/>
      <c r="I34" s="8"/>
      <c r="J34" s="8"/>
      <c r="K34" s="8"/>
      <c r="L34" s="8"/>
      <c r="M34" s="8"/>
      <c r="N34" s="8"/>
      <c r="O34" s="8"/>
      <c r="P34" s="9"/>
      <c r="Q34" s="8"/>
      <c r="R34" s="8"/>
      <c r="S34" s="9"/>
      <c r="T34" s="8"/>
      <c r="U34" s="8"/>
      <c r="V34" s="9"/>
      <c r="W34" s="8"/>
    </row>
    <row r="35" spans="2:23">
      <c r="B35" s="10"/>
      <c r="D35" s="9"/>
      <c r="E35" s="9"/>
      <c r="F35" s="9"/>
      <c r="G35" s="9"/>
      <c r="H35" s="9"/>
      <c r="I35" s="8"/>
      <c r="J35" s="8"/>
      <c r="K35" s="8"/>
      <c r="L35" s="8"/>
      <c r="M35" s="8"/>
      <c r="N35" s="8"/>
      <c r="O35" s="8"/>
      <c r="P35" s="9"/>
      <c r="Q35" s="227"/>
      <c r="R35" s="8"/>
      <c r="S35" s="9"/>
      <c r="T35" s="227"/>
      <c r="U35" s="8"/>
      <c r="V35" s="9"/>
      <c r="W35" s="227"/>
    </row>
    <row r="36" spans="2:23">
      <c r="D36" s="9"/>
      <c r="E36" s="9"/>
      <c r="F36" s="9"/>
      <c r="G36" s="9"/>
      <c r="H36" s="9"/>
      <c r="I36" s="8"/>
      <c r="J36" s="8"/>
      <c r="K36" s="8"/>
      <c r="L36" s="8"/>
      <c r="M36" s="8"/>
      <c r="N36" s="8"/>
      <c r="O36" s="8"/>
      <c r="P36" s="9"/>
      <c r="Q36" s="8"/>
      <c r="R36" s="8"/>
      <c r="S36" s="9"/>
      <c r="T36" s="8"/>
      <c r="U36" s="8"/>
      <c r="V36" s="9"/>
      <c r="W36" s="8"/>
    </row>
    <row r="37" spans="2:23">
      <c r="B37" s="10"/>
      <c r="D37" s="9"/>
      <c r="E37" s="9"/>
      <c r="F37" s="9"/>
      <c r="G37" s="9"/>
      <c r="H37" s="9"/>
      <c r="I37" s="8"/>
      <c r="J37" s="8"/>
      <c r="K37" s="8"/>
      <c r="L37" s="8"/>
      <c r="M37" s="8"/>
      <c r="N37" s="8"/>
      <c r="O37" s="8"/>
      <c r="P37" s="9"/>
      <c r="Q37" s="227"/>
      <c r="R37" s="8"/>
      <c r="S37" s="9"/>
      <c r="T37" s="227"/>
      <c r="U37" s="8"/>
      <c r="V37" s="9"/>
      <c r="W37" s="227"/>
    </row>
    <row r="38" spans="2:23">
      <c r="D38" s="9"/>
      <c r="E38" s="9"/>
      <c r="F38" s="9"/>
      <c r="G38" s="9"/>
      <c r="H38" s="9"/>
      <c r="P38" s="9"/>
      <c r="S38" s="9"/>
      <c r="V38" s="9"/>
    </row>
    <row r="39" spans="2:23">
      <c r="B39" s="10"/>
      <c r="D39" s="9"/>
      <c r="E39" s="9"/>
      <c r="F39" s="9"/>
      <c r="G39" s="9"/>
      <c r="H39" s="9"/>
      <c r="P39" s="9"/>
      <c r="S39" s="9"/>
      <c r="V39" s="9"/>
    </row>
  </sheetData>
  <mergeCells count="5">
    <mergeCell ref="J7:K7"/>
    <mergeCell ref="M7:N7"/>
    <mergeCell ref="P7:Q7"/>
    <mergeCell ref="S7:T7"/>
    <mergeCell ref="V7:W7"/>
  </mergeCells>
  <printOptions horizontalCentered="1"/>
  <pageMargins left="0.7" right="0.7" top="0.75" bottom="0.75" header="0.3" footer="0.3"/>
  <pageSetup scale="74" orientation="landscape" horizontalDpi="4294967294"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Q62"/>
  <sheetViews>
    <sheetView view="pageBreakPreview" zoomScale="85" zoomScaleNormal="100" zoomScaleSheetLayoutView="85" workbookViewId="0">
      <selection sqref="A1:O1"/>
    </sheetView>
  </sheetViews>
  <sheetFormatPr defaultColWidth="8.85546875" defaultRowHeight="15.75"/>
  <cols>
    <col min="1" max="1" width="4.7109375" style="3" customWidth="1"/>
    <col min="2" max="2" width="10.28515625" style="3" bestFit="1" customWidth="1"/>
    <col min="3" max="9" width="8.85546875" style="3"/>
    <col min="10" max="10" width="10.5703125" style="3" bestFit="1" customWidth="1"/>
    <col min="11" max="14" width="8.85546875" style="3"/>
    <col min="15" max="15" width="3.85546875" style="3" customWidth="1"/>
    <col min="16" max="16384" width="8.85546875" style="3"/>
  </cols>
  <sheetData>
    <row r="1" spans="1:15">
      <c r="A1" s="1006" t="str">
        <f>Input!G28</f>
        <v>Peoples Gas System</v>
      </c>
      <c r="B1" s="1006"/>
      <c r="C1" s="1006"/>
      <c r="D1" s="1006"/>
      <c r="E1" s="1006"/>
      <c r="F1" s="1006"/>
      <c r="G1" s="1006"/>
      <c r="H1" s="1006"/>
      <c r="I1" s="1006"/>
      <c r="J1" s="1006"/>
      <c r="K1" s="1006"/>
      <c r="L1" s="1006"/>
      <c r="M1" s="1006"/>
      <c r="N1" s="1006"/>
      <c r="O1" s="1006"/>
    </row>
    <row r="2" spans="1:15" ht="15.75" customHeight="1">
      <c r="A2" s="1026" t="s">
        <v>2219</v>
      </c>
      <c r="B2" s="1026"/>
      <c r="C2" s="1026"/>
      <c r="D2" s="1026"/>
      <c r="E2" s="1026"/>
      <c r="F2" s="1026"/>
      <c r="G2" s="1026"/>
      <c r="H2" s="1026"/>
      <c r="I2" s="1026"/>
      <c r="J2" s="1026"/>
      <c r="K2" s="1026"/>
      <c r="L2" s="1026"/>
      <c r="M2" s="1026"/>
      <c r="N2" s="1026"/>
      <c r="O2" s="1026"/>
    </row>
    <row r="4" spans="1:15">
      <c r="A4" s="640" t="s">
        <v>94</v>
      </c>
    </row>
    <row r="5" spans="1:15" ht="34.5" customHeight="1">
      <c r="A5" s="228" t="s">
        <v>95</v>
      </c>
      <c r="B5" s="1001" t="s">
        <v>4563</v>
      </c>
      <c r="C5" s="1001"/>
      <c r="D5" s="1001"/>
      <c r="E5" s="1001"/>
      <c r="F5" s="1001"/>
      <c r="G5" s="1001"/>
      <c r="H5" s="1001"/>
      <c r="I5" s="1001"/>
      <c r="J5" s="1001"/>
      <c r="K5" s="1001"/>
      <c r="L5" s="1001"/>
      <c r="M5" s="1001"/>
      <c r="N5" s="1001"/>
      <c r="O5" s="1001"/>
    </row>
    <row r="6" spans="1:15">
      <c r="A6" s="228"/>
      <c r="B6" s="304"/>
      <c r="C6" s="304"/>
      <c r="D6" s="304"/>
      <c r="E6" s="304"/>
      <c r="F6" s="304"/>
      <c r="G6" s="304"/>
      <c r="H6" s="304"/>
      <c r="I6" s="304"/>
      <c r="J6" s="304"/>
      <c r="K6" s="304"/>
      <c r="L6" s="304"/>
      <c r="M6" s="304"/>
      <c r="N6" s="304"/>
      <c r="O6" s="304"/>
    </row>
    <row r="7" spans="1:15">
      <c r="B7" s="216" t="s">
        <v>2254</v>
      </c>
      <c r="L7" s="10"/>
      <c r="N7" s="1025"/>
      <c r="O7" s="1025"/>
    </row>
    <row r="9" spans="1:15">
      <c r="B9" s="3" t="str">
        <f>CONCATENATE("Measure 1: Kroll Arithmetic Mean MRP ",MID(Input!E20,FIND("(",Input!E20),11))</f>
        <v>Measure 1: Kroll Arithmetic Mean MRP (1926-2021)</v>
      </c>
    </row>
    <row r="11" spans="1:15">
      <c r="B11" s="3" t="str">
        <f>CONCATENATE("Arithmetic Mean Monthly Returns for Large Stocks ",MID(Input!E20,FIND("1",Input!E20),9),":")</f>
        <v>Arithmetic Mean Monthly Returns for Large Stocks 1926-2021:</v>
      </c>
      <c r="N11" s="51">
        <f>'MRP WP1'!H50</f>
        <v>12.37</v>
      </c>
      <c r="O11" s="3" t="s">
        <v>18</v>
      </c>
    </row>
    <row r="12" spans="1:15">
      <c r="B12" s="3" t="s">
        <v>1348</v>
      </c>
      <c r="N12" s="80">
        <f>'MRP WP1'!H52</f>
        <v>5.0199999999999996</v>
      </c>
    </row>
    <row r="13" spans="1:15" ht="16.5" thickBot="1">
      <c r="B13" s="3" t="s">
        <v>4564</v>
      </c>
      <c r="N13" s="71">
        <f>N11-N12</f>
        <v>7.35</v>
      </c>
      <c r="O13" s="3" t="s">
        <v>18</v>
      </c>
    </row>
    <row r="14" spans="1:15" ht="16.5" thickTop="1"/>
    <row r="15" spans="1:15">
      <c r="B15" s="3" t="s">
        <v>4565</v>
      </c>
      <c r="O15" s="51"/>
    </row>
    <row r="16" spans="1:15" ht="16.5" thickBot="1">
      <c r="B16" s="3" t="s">
        <v>4365</v>
      </c>
      <c r="N16" s="81">
        <f>'MRP ERP WP'!AA42*100</f>
        <v>8.7068916532172782</v>
      </c>
      <c r="O16" s="3" t="s">
        <v>18</v>
      </c>
    </row>
    <row r="17" spans="1:17" ht="16.5" thickTop="1">
      <c r="Q17" s="51"/>
    </row>
    <row r="18" spans="1:17">
      <c r="B18" s="3" t="s">
        <v>4566</v>
      </c>
    </row>
    <row r="19" spans="1:17" ht="16.5" thickBot="1">
      <c r="B19" s="3" t="str">
        <f>CONCATENATE("(January 1926 - ",Input!G25,")")</f>
        <v>(January 1926 - December 2022)</v>
      </c>
      <c r="N19" s="71">
        <f>'MRP WP1'!H47</f>
        <v>10.862499418503081</v>
      </c>
      <c r="O19" s="3" t="s">
        <v>18</v>
      </c>
    </row>
    <row r="20" spans="1:17" ht="16.5" thickTop="1"/>
    <row r="21" spans="1:17">
      <c r="A21" s="228"/>
      <c r="B21" s="114" t="s">
        <v>2247</v>
      </c>
      <c r="C21" s="304"/>
      <c r="D21" s="304"/>
      <c r="E21" s="304"/>
      <c r="F21" s="304"/>
      <c r="G21" s="304"/>
      <c r="H21" s="304"/>
      <c r="I21" s="304"/>
      <c r="J21" s="304"/>
      <c r="K21" s="304"/>
      <c r="L21" s="304"/>
      <c r="M21" s="304"/>
      <c r="N21" s="304"/>
      <c r="O21" s="304"/>
    </row>
    <row r="23" spans="1:17">
      <c r="B23" s="3" t="str">
        <f>CONCATENATE("Measure 4: Value Line Projected MRP (Thirteen weeks ending ",TEXT('MRP WP1'!B7,"mmmm dd, yyyy)"))</f>
        <v>Measure 4: Value Line Projected MRP (Thirteen weeks ending December 30, 2022)</v>
      </c>
    </row>
    <row r="25" spans="1:17">
      <c r="B25" s="3" t="s">
        <v>2252</v>
      </c>
      <c r="N25" s="7">
        <f>'MRP WP1'!M22*100</f>
        <v>16.580000000000002</v>
      </c>
      <c r="O25" s="3" t="s">
        <v>18</v>
      </c>
    </row>
    <row r="26" spans="1:17">
      <c r="B26" s="3" t="s">
        <v>2249</v>
      </c>
      <c r="N26" s="80">
        <f>'MRP WP1'!F37</f>
        <v>3.91</v>
      </c>
    </row>
    <row r="27" spans="1:17" ht="16.5" thickBot="1">
      <c r="B27" s="3" t="s">
        <v>1347</v>
      </c>
      <c r="N27" s="81">
        <f>N25-N26</f>
        <v>12.670000000000002</v>
      </c>
      <c r="O27" s="3" t="s">
        <v>18</v>
      </c>
    </row>
    <row r="28" spans="1:17" ht="16.5" thickTop="1">
      <c r="C28" s="3" t="s">
        <v>2251</v>
      </c>
      <c r="N28" s="9"/>
    </row>
    <row r="29" spans="1:17">
      <c r="N29" s="9"/>
    </row>
    <row r="30" spans="1:17">
      <c r="B30" s="3" t="s">
        <v>2253</v>
      </c>
      <c r="N30" s="9"/>
    </row>
    <row r="31" spans="1:17">
      <c r="N31" s="9"/>
    </row>
    <row r="32" spans="1:17">
      <c r="B32" s="3" t="s">
        <v>1349</v>
      </c>
      <c r="N32" s="9">
        <f>'MRP WP3'!H504*100</f>
        <v>15.671050750081154</v>
      </c>
      <c r="O32" s="3" t="s">
        <v>18</v>
      </c>
    </row>
    <row r="33" spans="1:17">
      <c r="B33" s="3" t="s">
        <v>2249</v>
      </c>
      <c r="N33" s="90">
        <f>N54</f>
        <v>3.91</v>
      </c>
    </row>
    <row r="34" spans="1:17" ht="16.5" thickBot="1">
      <c r="B34" s="3" t="s">
        <v>2250</v>
      </c>
      <c r="N34" s="71">
        <f>IFERROR(N32-N33,"NA")</f>
        <v>11.761050750081154</v>
      </c>
      <c r="O34" s="3" t="s">
        <v>18</v>
      </c>
    </row>
    <row r="35" spans="1:17" ht="16.5" thickTop="1">
      <c r="N35" s="9"/>
    </row>
    <row r="36" spans="1:17">
      <c r="B36" s="3" t="s">
        <v>2248</v>
      </c>
    </row>
    <row r="38" spans="1:17">
      <c r="B38" s="3" t="s">
        <v>1349</v>
      </c>
      <c r="N38" s="7">
        <f>'MRP WP2'!Q504*100</f>
        <v>11.058401239764015</v>
      </c>
      <c r="O38" s="3" t="s">
        <v>18</v>
      </c>
    </row>
    <row r="39" spans="1:17">
      <c r="B39" s="3" t="s">
        <v>2249</v>
      </c>
      <c r="N39" s="80">
        <f>'MRP WP1'!F37</f>
        <v>3.91</v>
      </c>
    </row>
    <row r="40" spans="1:17" ht="16.5" thickBot="1">
      <c r="L40" s="10" t="s">
        <v>1350</v>
      </c>
      <c r="N40" s="71">
        <f>IFERROR(N38-N39,"NA")</f>
        <v>7.1484012397640146</v>
      </c>
      <c r="O40" s="3" t="s">
        <v>18</v>
      </c>
    </row>
    <row r="41" spans="1:17" ht="16.5" thickTop="1"/>
    <row r="42" spans="1:17" ht="16.5" thickBot="1">
      <c r="L42" s="10" t="s">
        <v>4567</v>
      </c>
      <c r="N42" s="71">
        <f>AVERAGE(N13,N16,N19,N27,N34,N40)</f>
        <v>9.7498071769275878</v>
      </c>
      <c r="O42" s="3" t="s">
        <v>18</v>
      </c>
      <c r="Q42" s="51"/>
    </row>
    <row r="43" spans="1:17" ht="16.5" thickTop="1"/>
    <row r="44" spans="1:17" ht="51" customHeight="1">
      <c r="A44" s="228" t="s">
        <v>96</v>
      </c>
      <c r="B44" s="1001" t="s">
        <v>4447</v>
      </c>
      <c r="C44" s="1001"/>
      <c r="D44" s="1001"/>
      <c r="E44" s="1001"/>
      <c r="F44" s="1001"/>
      <c r="G44" s="1001"/>
      <c r="H44" s="1001"/>
      <c r="I44" s="1001"/>
      <c r="J44" s="1001"/>
      <c r="K44" s="1001"/>
      <c r="L44" s="1001"/>
      <c r="M44" s="1001"/>
      <c r="N44" s="1001"/>
      <c r="O44" s="1001"/>
    </row>
    <row r="45" spans="1:17">
      <c r="A45" s="228"/>
      <c r="B45" s="304"/>
      <c r="C45" s="304"/>
      <c r="D45" s="304"/>
      <c r="E45" s="304"/>
      <c r="F45" s="304"/>
      <c r="G45" s="304"/>
      <c r="H45" s="304"/>
      <c r="I45" s="304"/>
      <c r="J45" s="304"/>
      <c r="K45" s="304"/>
      <c r="L45" s="304"/>
      <c r="M45" s="304"/>
      <c r="N45" s="304"/>
      <c r="O45" s="304"/>
    </row>
    <row r="46" spans="1:17">
      <c r="J46" s="10" t="str">
        <f>'MRP WP1'!B28</f>
        <v>First Quarter 2023</v>
      </c>
      <c r="N46" s="51">
        <f>'MRP WP1'!F28</f>
        <v>4</v>
      </c>
      <c r="O46" s="3" t="s">
        <v>18</v>
      </c>
    </row>
    <row r="47" spans="1:17">
      <c r="J47" s="10" t="str">
        <f>'MRP WP1'!B29</f>
        <v>Second Quarter 2023</v>
      </c>
      <c r="N47" s="51">
        <f>'MRP WP1'!F29</f>
        <v>4</v>
      </c>
    </row>
    <row r="48" spans="1:17">
      <c r="J48" s="10" t="str">
        <f>'MRP WP1'!B30</f>
        <v>Third Quarter 2023</v>
      </c>
      <c r="N48" s="51">
        <f>'MRP WP1'!F30</f>
        <v>3.9</v>
      </c>
    </row>
    <row r="49" spans="1:15">
      <c r="J49" s="10" t="str">
        <f>'MRP WP1'!B31</f>
        <v>Fourth Quarter 2023</v>
      </c>
      <c r="N49" s="51">
        <f>'MRP WP1'!F31</f>
        <v>3.9</v>
      </c>
    </row>
    <row r="50" spans="1:15">
      <c r="J50" s="10" t="str">
        <f>'MRP WP1'!B32</f>
        <v>First Quarter 2024</v>
      </c>
      <c r="N50" s="51">
        <f>'MRP WP1'!F32</f>
        <v>3.8</v>
      </c>
    </row>
    <row r="51" spans="1:15">
      <c r="J51" s="10" t="str">
        <f>'MRP WP1'!B33</f>
        <v>Second Quarter 2024</v>
      </c>
      <c r="N51" s="51">
        <f>'MRP WP1'!F33</f>
        <v>3.8</v>
      </c>
    </row>
    <row r="52" spans="1:15">
      <c r="J52" s="10" t="str">
        <f>'MRP WP1'!B34</f>
        <v>2024-2028</v>
      </c>
      <c r="N52" s="51">
        <f>'MRP WP1'!F34</f>
        <v>3.9</v>
      </c>
    </row>
    <row r="53" spans="1:15">
      <c r="J53" s="10" t="str">
        <f>'MRP WP1'!B35</f>
        <v>2029-2033</v>
      </c>
      <c r="N53" s="51">
        <f>'MRP WP1'!F35</f>
        <v>4</v>
      </c>
    </row>
    <row r="54" spans="1:15" ht="16.5" thickBot="1">
      <c r="N54" s="229">
        <f>ROUND(AVERAGE(N46:N53),2)</f>
        <v>3.91</v>
      </c>
      <c r="O54" s="3" t="s">
        <v>18</v>
      </c>
    </row>
    <row r="55" spans="1:15" ht="16.5" thickTop="1">
      <c r="N55" s="51"/>
    </row>
    <row r="56" spans="1:15">
      <c r="A56" s="230" t="s">
        <v>97</v>
      </c>
      <c r="B56" s="3" t="s">
        <v>1353</v>
      </c>
    </row>
    <row r="58" spans="1:15">
      <c r="A58" s="3" t="s">
        <v>151</v>
      </c>
    </row>
    <row r="59" spans="1:15">
      <c r="B59" s="3" t="s">
        <v>4223</v>
      </c>
    </row>
    <row r="60" spans="1:15">
      <c r="B60" s="3" t="str">
        <f>'4.8-4.9 Beta Adjusted ERP'!C49</f>
        <v>Blue Chip Financial Forecasts December 2, 2022 and January 1, 2022.</v>
      </c>
    </row>
    <row r="61" spans="1:15">
      <c r="B61" s="1024" t="str">
        <f>'4.8-4.9 Beta Adjusted ERP'!C47</f>
        <v>Stocks, Bonds, Bills, and Inflation -  2022 SBBI Yearbook, Kroll.</v>
      </c>
      <c r="C61" s="1024"/>
      <c r="D61" s="1024"/>
      <c r="E61" s="1024"/>
      <c r="F61" s="1024"/>
      <c r="G61" s="1024"/>
      <c r="H61" s="1024"/>
      <c r="I61" s="1024"/>
      <c r="J61" s="1024"/>
      <c r="K61" s="1024"/>
      <c r="L61" s="1024"/>
      <c r="M61" s="1024"/>
    </row>
    <row r="62" spans="1:15">
      <c r="B62" s="3" t="s">
        <v>4222</v>
      </c>
    </row>
  </sheetData>
  <mergeCells count="6">
    <mergeCell ref="B61:M61"/>
    <mergeCell ref="N7:O7"/>
    <mergeCell ref="B5:O5"/>
    <mergeCell ref="A1:O1"/>
    <mergeCell ref="A2:O2"/>
    <mergeCell ref="B44:O44"/>
  </mergeCells>
  <printOptions horizontalCentered="1"/>
  <pageMargins left="0.7" right="0.7" top="0.75" bottom="0.75" header="0.3" footer="0.3"/>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41"/>
  <sheetViews>
    <sheetView view="pageBreakPreview" zoomScale="85" zoomScaleNormal="85" zoomScaleSheetLayoutView="85" workbookViewId="0"/>
  </sheetViews>
  <sheetFormatPr defaultColWidth="9" defaultRowHeight="18"/>
  <cols>
    <col min="1" max="1" width="13" style="3" customWidth="1"/>
    <col min="2" max="2" width="3.28515625" style="3" customWidth="1"/>
    <col min="3" max="3" width="37.28515625" style="807" customWidth="1"/>
    <col min="4" max="4" width="4.5703125" style="807" customWidth="1"/>
    <col min="5" max="5" width="15.5703125" style="807" customWidth="1"/>
    <col min="6" max="6" width="3.28515625" style="807" customWidth="1"/>
    <col min="7" max="7" width="14.5703125" style="807" customWidth="1"/>
    <col min="8" max="8" width="3.28515625" style="807" customWidth="1"/>
    <col min="9" max="9" width="22" style="807" customWidth="1"/>
    <col min="10" max="10" width="3.28515625" style="807" customWidth="1"/>
    <col min="11" max="11" width="19" style="807" customWidth="1"/>
    <col min="12" max="12" width="10.5703125" style="807" customWidth="1"/>
    <col min="13" max="13" width="3.28515625" style="3" customWidth="1"/>
    <col min="14" max="14" width="10.5703125" style="3" customWidth="1"/>
    <col min="15" max="15" width="3.28515625" style="3" customWidth="1"/>
    <col min="16" max="16" width="10.5703125" style="3" customWidth="1"/>
    <col min="17" max="16384" width="9" style="3"/>
  </cols>
  <sheetData>
    <row r="1" spans="1:16">
      <c r="A1" s="75"/>
      <c r="C1" s="1027" t="str">
        <f>Input!G28</f>
        <v>Peoples Gas System</v>
      </c>
      <c r="D1" s="1028"/>
      <c r="E1" s="1028"/>
      <c r="F1" s="1028"/>
      <c r="G1" s="1028"/>
      <c r="H1" s="1028"/>
      <c r="I1" s="1028"/>
      <c r="J1" s="1028"/>
      <c r="K1" s="1028"/>
    </row>
    <row r="2" spans="1:16">
      <c r="C2" s="1028" t="s">
        <v>171</v>
      </c>
      <c r="D2" s="1028"/>
      <c r="E2" s="1028"/>
      <c r="F2" s="1028"/>
      <c r="G2" s="1028"/>
      <c r="H2" s="1028"/>
      <c r="I2" s="1028"/>
      <c r="J2" s="1028"/>
      <c r="K2" s="1028"/>
    </row>
    <row r="3" spans="1:16">
      <c r="C3" s="1027" t="s">
        <v>172</v>
      </c>
      <c r="D3" s="1028"/>
      <c r="E3" s="1028"/>
      <c r="F3" s="1028"/>
      <c r="G3" s="1028"/>
      <c r="H3" s="1028"/>
      <c r="I3" s="1028"/>
      <c r="J3" s="1028"/>
      <c r="K3" s="1028"/>
    </row>
    <row r="4" spans="1:16">
      <c r="A4" s="10" t="s">
        <v>173</v>
      </c>
      <c r="B4" s="10"/>
      <c r="C4" s="808"/>
      <c r="D4" s="808"/>
      <c r="E4" s="808"/>
      <c r="F4" s="808"/>
      <c r="G4" s="808"/>
      <c r="H4" s="808"/>
      <c r="I4" s="808"/>
      <c r="J4" s="808"/>
      <c r="K4" s="808"/>
      <c r="L4" s="808"/>
      <c r="M4" s="10"/>
      <c r="N4" s="10"/>
      <c r="O4" s="10"/>
      <c r="P4" s="10"/>
    </row>
    <row r="5" spans="1:16">
      <c r="A5" s="10"/>
      <c r="B5" s="10"/>
      <c r="C5" s="808"/>
      <c r="D5" s="808"/>
      <c r="E5" s="806" t="s">
        <v>1337</v>
      </c>
      <c r="F5" s="806"/>
      <c r="G5" s="806" t="s">
        <v>1336</v>
      </c>
      <c r="H5" s="806"/>
      <c r="I5" s="806" t="s">
        <v>1335</v>
      </c>
      <c r="J5" s="806"/>
      <c r="K5" s="806" t="s">
        <v>1341</v>
      </c>
    </row>
    <row r="6" spans="1:16">
      <c r="A6" s="10" t="s">
        <v>174</v>
      </c>
      <c r="B6" s="10"/>
      <c r="C6" s="808"/>
      <c r="D6" s="808"/>
      <c r="E6" s="808"/>
      <c r="F6" s="808"/>
      <c r="G6" s="808"/>
      <c r="H6" s="808"/>
      <c r="I6" s="808"/>
      <c r="J6" s="808"/>
      <c r="K6" s="808"/>
    </row>
    <row r="7" spans="1:16" ht="66.75" customHeight="1">
      <c r="C7" s="809" t="str">
        <f>Input!I30</f>
        <v>Proxy Group of Six Natural Gas Companies</v>
      </c>
      <c r="E7" s="810" t="s">
        <v>168</v>
      </c>
      <c r="G7" s="810" t="s">
        <v>175</v>
      </c>
      <c r="I7" s="810" t="s">
        <v>176</v>
      </c>
      <c r="K7" s="810" t="s">
        <v>177</v>
      </c>
    </row>
    <row r="8" spans="1:16">
      <c r="G8" s="811"/>
    </row>
    <row r="9" spans="1:16">
      <c r="A9" s="3" t="str">
        <f>Input!A2</f>
        <v>ATO</v>
      </c>
      <c r="C9" s="812" t="str">
        <f>'Proxy Data Lookup'!B3</f>
        <v>Atmos Energy Corporation</v>
      </c>
      <c r="E9" s="813">
        <f>'Proxy Data Lookup'!F3</f>
        <v>0.8</v>
      </c>
      <c r="F9" s="813"/>
      <c r="G9" s="813">
        <f>'Proxy Data Lookup'!H3</f>
        <v>0.68</v>
      </c>
      <c r="H9" s="814"/>
      <c r="I9" s="815">
        <f>'Proxy Data Lookup'!K3</f>
        <v>2.7458</v>
      </c>
      <c r="J9" s="815"/>
      <c r="K9" s="815">
        <f>'Proxy Data Lookup'!M3</f>
        <v>6.8400000000000002E-2</v>
      </c>
    </row>
    <row r="10" spans="1:16">
      <c r="A10" s="3" t="str">
        <f>Input!A3</f>
        <v>NJR</v>
      </c>
      <c r="C10" s="812" t="str">
        <f>'Proxy Data Lookup'!B4</f>
        <v>New Jersey Resources Corporation</v>
      </c>
      <c r="E10" s="813">
        <f>'Proxy Data Lookup'!F4</f>
        <v>1</v>
      </c>
      <c r="F10" s="813"/>
      <c r="G10" s="813">
        <f>'Proxy Data Lookup'!H4</f>
        <v>0.94</v>
      </c>
      <c r="H10" s="814"/>
      <c r="I10" s="815">
        <f>'Proxy Data Lookup'!K4</f>
        <v>2.9752000000000001</v>
      </c>
      <c r="J10" s="815"/>
      <c r="K10" s="815">
        <f>'Proxy Data Lookup'!M4</f>
        <v>7.4099999999999999E-2</v>
      </c>
    </row>
    <row r="11" spans="1:16">
      <c r="A11" s="3" t="str">
        <f>Input!A4</f>
        <v>NI</v>
      </c>
      <c r="C11" s="812" t="str">
        <f>'Proxy Data Lookup'!B5</f>
        <v>NiSource Inc.</v>
      </c>
      <c r="E11" s="813">
        <f>'Proxy Data Lookup'!F5</f>
        <v>0.85</v>
      </c>
      <c r="F11" s="813"/>
      <c r="G11" s="813">
        <f>'Proxy Data Lookup'!H5</f>
        <v>0.71</v>
      </c>
      <c r="H11" s="814"/>
      <c r="I11" s="815">
        <f>'Proxy Data Lookup'!K5</f>
        <v>2.4801000000000002</v>
      </c>
      <c r="J11" s="815"/>
      <c r="K11" s="815">
        <f>'Proxy Data Lookup'!M5</f>
        <v>6.1699999999999998E-2</v>
      </c>
    </row>
    <row r="12" spans="1:16">
      <c r="A12" s="3" t="str">
        <f>Input!A5</f>
        <v>NWN</v>
      </c>
      <c r="C12" s="812" t="str">
        <f>'Proxy Data Lookup'!B6</f>
        <v>Northwest Natural Holding Company</v>
      </c>
      <c r="E12" s="813">
        <f>'Proxy Data Lookup'!F6</f>
        <v>0.85</v>
      </c>
      <c r="F12" s="813"/>
      <c r="G12" s="813">
        <f>'Proxy Data Lookup'!H6</f>
        <v>0.7</v>
      </c>
      <c r="H12" s="814"/>
      <c r="I12" s="815">
        <f>'Proxy Data Lookup'!K6</f>
        <v>3.1227999999999998</v>
      </c>
      <c r="J12" s="815"/>
      <c r="K12" s="815">
        <f>'Proxy Data Lookup'!M6</f>
        <v>7.7700000000000005E-2</v>
      </c>
    </row>
    <row r="13" spans="1:16">
      <c r="A13" s="3" t="str">
        <f>Input!A6</f>
        <v>OGS</v>
      </c>
      <c r="C13" s="812" t="str">
        <f>'Proxy Data Lookup'!B7</f>
        <v>ONE Gas, Inc.</v>
      </c>
      <c r="E13" s="813">
        <f>'Proxy Data Lookup'!F7</f>
        <v>0.8</v>
      </c>
      <c r="F13" s="813"/>
      <c r="G13" s="813">
        <f>'Proxy Data Lookup'!H7</f>
        <v>0.66</v>
      </c>
      <c r="H13" s="814"/>
      <c r="I13" s="815">
        <f>'Proxy Data Lookup'!K7</f>
        <v>2.7000999999999999</v>
      </c>
      <c r="J13" s="815"/>
      <c r="K13" s="815">
        <f>'Proxy Data Lookup'!M7</f>
        <v>6.7199999999999996E-2</v>
      </c>
    </row>
    <row r="14" spans="1:16">
      <c r="A14" s="3" t="str">
        <f>Input!A7</f>
        <v>SR</v>
      </c>
      <c r="C14" s="812" t="str">
        <f>'Proxy Data Lookup'!B8</f>
        <v>Spire Inc.</v>
      </c>
      <c r="E14" s="816">
        <f>'Proxy Data Lookup'!F8</f>
        <v>0.85</v>
      </c>
      <c r="F14" s="813"/>
      <c r="G14" s="816">
        <f>'Proxy Data Lookup'!H8</f>
        <v>0.72</v>
      </c>
      <c r="H14" s="814"/>
      <c r="I14" s="817">
        <f>'Proxy Data Lookup'!K8</f>
        <v>2.8254999999999999</v>
      </c>
      <c r="J14" s="815"/>
      <c r="K14" s="817">
        <f>'Proxy Data Lookup'!M8</f>
        <v>7.0300000000000001E-2</v>
      </c>
    </row>
    <row r="15" spans="1:16">
      <c r="C15" s="812"/>
      <c r="E15" s="813"/>
      <c r="F15" s="813"/>
      <c r="G15" s="813"/>
      <c r="H15" s="814"/>
      <c r="I15" s="815"/>
      <c r="J15" s="815"/>
      <c r="K15" s="815"/>
    </row>
    <row r="16" spans="1:16" ht="18.75" thickBot="1">
      <c r="C16" s="808" t="s">
        <v>80</v>
      </c>
      <c r="E16" s="818">
        <f>ROUND(AVERAGE(E9:E14),2)</f>
        <v>0.86</v>
      </c>
      <c r="F16" s="814"/>
      <c r="G16" s="818">
        <f>ROUND(AVERAGE(G9:G14),2)</f>
        <v>0.74</v>
      </c>
      <c r="H16" s="814"/>
      <c r="I16" s="819">
        <f>ROUND(AVERAGE(I9:I14),4)</f>
        <v>2.8083</v>
      </c>
      <c r="J16" s="815"/>
      <c r="K16" s="819">
        <f>ROUND(AVERAGE(K9:K14),4)</f>
        <v>6.9900000000000004E-2</v>
      </c>
    </row>
    <row r="17" spans="3:14" ht="18.75" thickTop="1">
      <c r="E17" s="811"/>
      <c r="F17" s="811"/>
      <c r="G17" s="811"/>
      <c r="I17" s="820"/>
      <c r="J17" s="820"/>
      <c r="K17" s="820"/>
    </row>
    <row r="18" spans="3:14">
      <c r="C18" s="807" t="s">
        <v>3048</v>
      </c>
      <c r="E18" s="811">
        <f>G16-E19</f>
        <v>0.6</v>
      </c>
      <c r="F18" s="811"/>
      <c r="G18" s="811">
        <f>G16+E19</f>
        <v>0.88</v>
      </c>
      <c r="I18" s="811"/>
    </row>
    <row r="19" spans="3:14">
      <c r="C19" s="807" t="s">
        <v>3043</v>
      </c>
      <c r="E19" s="811">
        <f>ROUND((K16*2),2)</f>
        <v>0.14000000000000001</v>
      </c>
    </row>
    <row r="21" spans="3:14">
      <c r="C21" s="807" t="s">
        <v>3049</v>
      </c>
    </row>
    <row r="22" spans="3:14">
      <c r="C22" s="807" t="s">
        <v>178</v>
      </c>
      <c r="E22" s="820">
        <f>I16-E26</f>
        <v>2.5615000000000001</v>
      </c>
      <c r="F22" s="820"/>
      <c r="G22" s="820">
        <f>I16+E26</f>
        <v>3.0550999999999999</v>
      </c>
    </row>
    <row r="24" spans="3:14">
      <c r="C24" s="807" t="s">
        <v>179</v>
      </c>
      <c r="E24" s="820">
        <f>ROUND((I16/22.7596),4)</f>
        <v>0.1234</v>
      </c>
    </row>
    <row r="26" spans="3:14">
      <c r="C26" s="807" t="s">
        <v>3044</v>
      </c>
      <c r="E26" s="820">
        <f>ROUND((2*E24),4)</f>
        <v>0.24679999999999999</v>
      </c>
    </row>
    <row r="28" spans="3:14" ht="15.75" customHeight="1">
      <c r="C28" s="808" t="s">
        <v>146</v>
      </c>
      <c r="E28" s="807" t="str">
        <f>'6.2 Proxy Group Equivalent'!E54</f>
        <v>Value Line Proprietary Database, December 2022.</v>
      </c>
    </row>
    <row r="29" spans="3:14">
      <c r="C29" s="821"/>
      <c r="E29" s="821"/>
      <c r="G29" s="821"/>
      <c r="I29" s="821"/>
      <c r="K29" s="821"/>
      <c r="L29" s="821"/>
      <c r="N29" s="11"/>
    </row>
    <row r="30" spans="3:14">
      <c r="C30" s="821"/>
      <c r="E30" s="821"/>
      <c r="G30" s="821"/>
      <c r="I30" s="821"/>
      <c r="K30" s="821"/>
      <c r="L30" s="821"/>
      <c r="N30" s="11"/>
    </row>
    <row r="31" spans="3:14">
      <c r="C31" s="821"/>
      <c r="E31" s="821"/>
      <c r="G31" s="821"/>
      <c r="I31" s="821"/>
      <c r="K31" s="821"/>
      <c r="L31" s="821"/>
      <c r="N31" s="11"/>
    </row>
    <row r="32" spans="3:14">
      <c r="C32" s="821"/>
      <c r="E32" s="821"/>
      <c r="G32" s="821"/>
      <c r="I32" s="821"/>
      <c r="K32" s="821"/>
      <c r="L32" s="821"/>
      <c r="N32" s="11"/>
    </row>
    <row r="33" spans="3:14">
      <c r="C33" s="821"/>
      <c r="E33" s="821"/>
      <c r="G33" s="821"/>
      <c r="I33" s="821"/>
      <c r="K33" s="821"/>
      <c r="L33" s="821"/>
      <c r="N33" s="11"/>
    </row>
    <row r="34" spans="3:14">
      <c r="C34" s="821"/>
      <c r="E34" s="821"/>
      <c r="G34" s="821"/>
      <c r="I34" s="821"/>
      <c r="K34" s="821"/>
      <c r="L34" s="821"/>
      <c r="N34" s="11"/>
    </row>
    <row r="35" spans="3:14">
      <c r="C35" s="821"/>
      <c r="E35" s="821"/>
      <c r="G35" s="821"/>
      <c r="I35" s="821"/>
      <c r="K35" s="821"/>
      <c r="L35" s="821"/>
      <c r="N35" s="11"/>
    </row>
    <row r="36" spans="3:14">
      <c r="C36" s="821"/>
      <c r="E36" s="821"/>
      <c r="G36" s="821"/>
      <c r="I36" s="821"/>
      <c r="K36" s="821"/>
      <c r="L36" s="821"/>
      <c r="N36" s="11"/>
    </row>
    <row r="37" spans="3:14">
      <c r="C37" s="821"/>
      <c r="E37" s="821"/>
      <c r="G37" s="821"/>
      <c r="I37" s="821"/>
      <c r="K37" s="821"/>
      <c r="L37" s="821"/>
      <c r="N37" s="11"/>
    </row>
    <row r="38" spans="3:14">
      <c r="C38" s="821"/>
      <c r="E38" s="821"/>
      <c r="G38" s="821"/>
      <c r="I38" s="821"/>
      <c r="K38" s="821"/>
      <c r="L38" s="821"/>
      <c r="N38" s="11"/>
    </row>
    <row r="39" spans="3:14">
      <c r="C39" s="821"/>
      <c r="E39" s="821"/>
      <c r="G39" s="821"/>
      <c r="I39" s="821"/>
      <c r="K39" s="821"/>
      <c r="L39" s="821"/>
      <c r="N39" s="11"/>
    </row>
    <row r="40" spans="3:14">
      <c r="C40" s="821"/>
      <c r="E40" s="821"/>
      <c r="G40" s="821"/>
      <c r="I40" s="821"/>
      <c r="K40" s="821"/>
      <c r="L40" s="821"/>
      <c r="N40" s="11"/>
    </row>
    <row r="41" spans="3:14">
      <c r="C41" s="821"/>
      <c r="E41" s="821"/>
      <c r="G41" s="821"/>
      <c r="I41" s="821"/>
      <c r="K41" s="821"/>
      <c r="L41" s="821"/>
      <c r="N41" s="11"/>
    </row>
  </sheetData>
  <mergeCells count="3">
    <mergeCell ref="C1:K1"/>
    <mergeCell ref="C2:K2"/>
    <mergeCell ref="C3:K3"/>
  </mergeCells>
  <printOptions horizontalCentered="1"/>
  <pageMargins left="0.7" right="0.7" top="0.75" bottom="0.75" header="0.3" footer="0.3"/>
  <pageSetup scale="70" orientation="portrait" horizontalDpi="4294967294"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54"/>
  <sheetViews>
    <sheetView view="pageBreakPreview" topLeftCell="A36" zoomScale="85" zoomScaleNormal="100" zoomScaleSheetLayoutView="85" workbookViewId="0">
      <selection activeCell="E54" sqref="E54"/>
    </sheetView>
  </sheetViews>
  <sheetFormatPr defaultColWidth="9" defaultRowHeight="15.75"/>
  <cols>
    <col min="1" max="1" width="13.5703125" style="3" customWidth="1"/>
    <col min="2" max="2" width="2.5703125" style="3" customWidth="1"/>
    <col min="3" max="3" width="35.5703125" style="3" customWidth="1"/>
    <col min="4" max="4" width="5" style="3" customWidth="1"/>
    <col min="5" max="5" width="13.5703125" style="3" customWidth="1"/>
    <col min="6" max="6" width="4.85546875" style="3" customWidth="1"/>
    <col min="7" max="7" width="13.5703125" style="3" customWidth="1"/>
    <col min="8" max="8" width="4.5703125" style="3" customWidth="1"/>
    <col min="9" max="9" width="18.140625" style="3" customWidth="1"/>
    <col min="10" max="10" width="5.85546875" style="3" customWidth="1"/>
    <col min="11" max="12" width="13.5703125" style="3" customWidth="1"/>
    <col min="13" max="13" width="4.7109375" style="3" customWidth="1"/>
    <col min="14" max="14" width="13.5703125" style="3" customWidth="1"/>
    <col min="15" max="15" width="4.5703125" style="3" customWidth="1"/>
    <col min="16" max="16" width="13" style="3" customWidth="1"/>
    <col min="17" max="17" width="4.7109375" style="3" customWidth="1"/>
    <col min="18" max="16384" width="9" style="3"/>
  </cols>
  <sheetData>
    <row r="1" spans="1:16">
      <c r="C1" s="1006" t="str">
        <f>Input!G28</f>
        <v>Peoples Gas System</v>
      </c>
      <c r="D1" s="1006"/>
      <c r="E1" s="1006"/>
      <c r="F1" s="1006"/>
      <c r="G1" s="1006"/>
      <c r="H1" s="1006"/>
      <c r="I1" s="1006"/>
      <c r="J1" s="1006"/>
      <c r="K1" s="1006"/>
    </row>
    <row r="2" spans="1:16">
      <c r="C2" s="1005" t="s">
        <v>180</v>
      </c>
      <c r="D2" s="1005"/>
      <c r="E2" s="1005"/>
      <c r="F2" s="1005"/>
      <c r="G2" s="1005"/>
      <c r="H2" s="1005"/>
      <c r="I2" s="1005"/>
      <c r="J2" s="1005"/>
      <c r="K2" s="1005"/>
    </row>
    <row r="3" spans="1:16">
      <c r="C3" s="1005" t="s">
        <v>2216</v>
      </c>
      <c r="D3" s="1005"/>
      <c r="E3" s="1005"/>
      <c r="F3" s="1005"/>
      <c r="G3" s="1005"/>
      <c r="H3" s="1005"/>
      <c r="I3" s="1005"/>
      <c r="J3" s="1005"/>
      <c r="K3" s="1005"/>
    </row>
    <row r="4" spans="1:16">
      <c r="C4" s="1" t="str">
        <f>Input!I29</f>
        <v>Utility Proxy Group</v>
      </c>
      <c r="D4" s="1"/>
      <c r="E4" s="1"/>
      <c r="F4" s="1"/>
      <c r="G4" s="1"/>
      <c r="H4" s="1"/>
      <c r="I4" s="1"/>
      <c r="J4" s="1"/>
      <c r="K4" s="1"/>
    </row>
    <row r="5" spans="1:16">
      <c r="C5" s="104"/>
      <c r="D5" s="104"/>
      <c r="E5" s="104"/>
      <c r="F5" s="104"/>
      <c r="G5" s="104"/>
      <c r="H5" s="104"/>
      <c r="I5" s="104"/>
      <c r="J5" s="104"/>
      <c r="K5" s="104"/>
    </row>
    <row r="6" spans="1:16">
      <c r="C6" s="104"/>
      <c r="D6" s="104"/>
      <c r="E6" s="76" t="s">
        <v>1337</v>
      </c>
      <c r="F6" s="5"/>
      <c r="G6" s="5" t="s">
        <v>1336</v>
      </c>
      <c r="H6" s="5"/>
      <c r="I6" s="5" t="s">
        <v>1335</v>
      </c>
      <c r="J6" s="5"/>
      <c r="K6" s="5" t="s">
        <v>1341</v>
      </c>
    </row>
    <row r="8" spans="1:16" ht="57.75" customHeight="1">
      <c r="A8" s="5" t="s">
        <v>181</v>
      </c>
      <c r="C8" s="438" t="str">
        <f>'7.1 CEM Summary'!E7</f>
        <v>Proxy Group of Thirty Nine Non-Price Regulated Companies</v>
      </c>
      <c r="D8" s="12"/>
      <c r="E8" s="439" t="s">
        <v>168</v>
      </c>
      <c r="F8" s="12"/>
      <c r="G8" s="439" t="s">
        <v>175</v>
      </c>
      <c r="H8" s="12"/>
      <c r="I8" s="439" t="s">
        <v>176</v>
      </c>
      <c r="J8" s="12"/>
      <c r="K8" s="439" t="s">
        <v>177</v>
      </c>
      <c r="L8" s="226"/>
      <c r="M8" s="12"/>
      <c r="N8" s="226"/>
      <c r="O8" s="12"/>
      <c r="P8" s="226"/>
    </row>
    <row r="9" spans="1:16" ht="15.75" customHeight="1"/>
    <row r="10" spans="1:16" ht="15.75" customHeight="1">
      <c r="A10" s="11" t="str">
        <f>'7.2 CEM DCF'!A9</f>
        <v>A</v>
      </c>
      <c r="B10" s="11"/>
      <c r="C10" s="11" t="str">
        <f>'7.2 CEM DCF'!B9</f>
        <v>Agilent Technologies</v>
      </c>
      <c r="D10" s="11"/>
      <c r="E10" s="103">
        <f>VLOOKUP($A10,'CEM Data Lookup'!$A:$P,6,FALSE)</f>
        <v>0.85</v>
      </c>
      <c r="F10" s="83"/>
      <c r="G10" s="83">
        <f>VLOOKUP($A10,'CEM Data Lookup'!$A:$P,8,FALSE)</f>
        <v>0.77</v>
      </c>
      <c r="H10" s="11"/>
      <c r="I10" s="84">
        <f>VLOOKUP($A10,'CEM Data Lookup'!$A:$P,13,FALSE)</f>
        <v>2.6442000000000001</v>
      </c>
      <c r="J10" s="84"/>
      <c r="K10" s="84">
        <f>VLOOKUP($A10,'CEM Data Lookup'!$A:$P,15,FALSE)</f>
        <v>6.5799999999999997E-2</v>
      </c>
      <c r="L10" s="345"/>
      <c r="M10" s="345"/>
      <c r="N10" s="345"/>
      <c r="O10" s="100"/>
      <c r="P10" s="100"/>
    </row>
    <row r="11" spans="1:16" ht="15.75" customHeight="1">
      <c r="A11" s="11" t="str">
        <f>'7.2 CEM DCF'!A10</f>
        <v>ABT</v>
      </c>
      <c r="B11" s="11"/>
      <c r="C11" s="11" t="str">
        <f>'7.2 CEM DCF'!B10</f>
        <v xml:space="preserve">Abbott Labs.        </v>
      </c>
      <c r="D11" s="11"/>
      <c r="E11" s="103">
        <f>VLOOKUP($A11,'CEM Data Lookup'!$A:$P,6,FALSE)</f>
        <v>0.9</v>
      </c>
      <c r="F11" s="83"/>
      <c r="G11" s="83">
        <f>VLOOKUP($A11,'CEM Data Lookup'!$A:$P,8,FALSE)</f>
        <v>0.81</v>
      </c>
      <c r="H11" s="11"/>
      <c r="I11" s="84">
        <f>VLOOKUP($A11,'CEM Data Lookup'!$A:$P,13,FALSE)</f>
        <v>2.7622</v>
      </c>
      <c r="J11" s="84"/>
      <c r="K11" s="84">
        <f>VLOOKUP($A11,'CEM Data Lookup'!$A:$P,15,FALSE)</f>
        <v>6.88E-2</v>
      </c>
      <c r="L11" s="345"/>
      <c r="M11" s="345"/>
      <c r="N11" s="345"/>
      <c r="O11" s="100"/>
      <c r="P11" s="100"/>
    </row>
    <row r="12" spans="1:16" ht="15.75" customHeight="1">
      <c r="A12" s="11" t="str">
        <f>'7.2 CEM DCF'!A11</f>
        <v>ADI</v>
      </c>
      <c r="B12" s="11"/>
      <c r="C12" s="11" t="str">
        <f>'7.2 CEM DCF'!B11</f>
        <v xml:space="preserve">Analog Devices      </v>
      </c>
      <c r="D12" s="11"/>
      <c r="E12" s="103">
        <f>VLOOKUP($A12,'CEM Data Lookup'!$A:$P,6,FALSE)</f>
        <v>0.95</v>
      </c>
      <c r="F12" s="83"/>
      <c r="G12" s="83">
        <f>VLOOKUP($A12,'CEM Data Lookup'!$A:$P,8,FALSE)</f>
        <v>0.87</v>
      </c>
      <c r="H12" s="11"/>
      <c r="I12" s="84">
        <f>VLOOKUP($A12,'CEM Data Lookup'!$A:$P,13,FALSE)</f>
        <v>2.8416999999999999</v>
      </c>
      <c r="J12" s="84"/>
      <c r="K12" s="84">
        <f>VLOOKUP($A12,'CEM Data Lookup'!$A:$P,15,FALSE)</f>
        <v>7.0699999999999999E-2</v>
      </c>
      <c r="L12" s="345"/>
      <c r="M12" s="345"/>
      <c r="N12" s="345"/>
      <c r="O12" s="100"/>
      <c r="P12" s="100"/>
    </row>
    <row r="13" spans="1:16" ht="15.75" customHeight="1">
      <c r="A13" s="11" t="str">
        <f>'7.2 CEM DCF'!A12</f>
        <v>AIZ</v>
      </c>
      <c r="B13" s="11"/>
      <c r="C13" s="11" t="str">
        <f>'7.2 CEM DCF'!B12</f>
        <v xml:space="preserve">Assurant Inc.       </v>
      </c>
      <c r="D13" s="11"/>
      <c r="E13" s="103">
        <f>VLOOKUP($A13,'CEM Data Lookup'!$A:$P,6,FALSE)</f>
        <v>0.95</v>
      </c>
      <c r="F13" s="83"/>
      <c r="G13" s="83">
        <f>VLOOKUP($A13,'CEM Data Lookup'!$A:$P,8,FALSE)</f>
        <v>0.85</v>
      </c>
      <c r="H13" s="11"/>
      <c r="I13" s="84">
        <f>VLOOKUP($A13,'CEM Data Lookup'!$A:$P,13,FALSE)</f>
        <v>2.7366000000000001</v>
      </c>
      <c r="J13" s="84"/>
      <c r="K13" s="84">
        <f>VLOOKUP($A13,'CEM Data Lookup'!$A:$P,15,FALSE)</f>
        <v>6.8099999999999994E-2</v>
      </c>
      <c r="L13" s="345"/>
      <c r="M13" s="345"/>
      <c r="N13" s="345"/>
      <c r="O13" s="100"/>
      <c r="P13" s="100"/>
    </row>
    <row r="14" spans="1:16" ht="15.75" customHeight="1">
      <c r="A14" s="11" t="str">
        <f>'7.2 CEM DCF'!A13</f>
        <v>AOS</v>
      </c>
      <c r="B14" s="11"/>
      <c r="C14" s="11" t="str">
        <f>'7.2 CEM DCF'!B13</f>
        <v xml:space="preserve">Smith (A.O.)        </v>
      </c>
      <c r="D14" s="11"/>
      <c r="E14" s="103">
        <f>VLOOKUP($A14,'CEM Data Lookup'!$A:$P,6,FALSE)</f>
        <v>0.85</v>
      </c>
      <c r="F14" s="83"/>
      <c r="G14" s="83">
        <f>VLOOKUP($A14,'CEM Data Lookup'!$A:$P,8,FALSE)</f>
        <v>0.76</v>
      </c>
      <c r="H14" s="11"/>
      <c r="I14" s="84">
        <f>VLOOKUP($A14,'CEM Data Lookup'!$A:$P,13,FALSE)</f>
        <v>2.7271999999999998</v>
      </c>
      <c r="J14" s="84"/>
      <c r="K14" s="84">
        <f>VLOOKUP($A14,'CEM Data Lookup'!$A:$P,15,FALSE)</f>
        <v>6.7900000000000002E-2</v>
      </c>
      <c r="L14" s="345"/>
      <c r="M14" s="345"/>
      <c r="N14" s="345"/>
      <c r="O14" s="100"/>
      <c r="P14" s="100"/>
    </row>
    <row r="15" spans="1:16" ht="15.75" customHeight="1">
      <c r="A15" s="11" t="str">
        <f>'7.2 CEM DCF'!A14</f>
        <v>APD</v>
      </c>
      <c r="B15" s="11"/>
      <c r="C15" s="11" t="str">
        <f>'7.2 CEM DCF'!B14</f>
        <v>Air Products &amp; Chem.</v>
      </c>
      <c r="D15" s="11"/>
      <c r="E15" s="103">
        <f>VLOOKUP($A15,'CEM Data Lookup'!$A:$P,6,FALSE)</f>
        <v>0.9</v>
      </c>
      <c r="F15" s="83"/>
      <c r="G15" s="83">
        <f>VLOOKUP($A15,'CEM Data Lookup'!$A:$P,8,FALSE)</f>
        <v>0.79</v>
      </c>
      <c r="H15" s="11"/>
      <c r="I15" s="84">
        <f>VLOOKUP($A15,'CEM Data Lookup'!$A:$P,13,FALSE)</f>
        <v>2.6236999999999999</v>
      </c>
      <c r="J15" s="84"/>
      <c r="K15" s="84">
        <f>VLOOKUP($A15,'CEM Data Lookup'!$A:$P,15,FALSE)</f>
        <v>6.5299999999999997E-2</v>
      </c>
      <c r="L15" s="345"/>
      <c r="M15" s="345"/>
      <c r="N15" s="345"/>
      <c r="O15" s="100"/>
      <c r="P15" s="100"/>
    </row>
    <row r="16" spans="1:16" ht="15.75" customHeight="1">
      <c r="A16" s="11" t="str">
        <f>'7.2 CEM DCF'!A15</f>
        <v>BFB</v>
      </c>
      <c r="B16" s="11"/>
      <c r="C16" s="11" t="str">
        <f>'7.2 CEM DCF'!B15</f>
        <v xml:space="preserve">Brown-Forman 'B'    </v>
      </c>
      <c r="D16" s="11"/>
      <c r="E16" s="103">
        <f>VLOOKUP($A16,'CEM Data Lookup'!$A:$P,6,FALSE)</f>
        <v>0.9</v>
      </c>
      <c r="F16" s="83"/>
      <c r="G16" s="83">
        <f>VLOOKUP($A16,'CEM Data Lookup'!$A:$P,8,FALSE)</f>
        <v>0.8</v>
      </c>
      <c r="H16" s="11"/>
      <c r="I16" s="84">
        <f>VLOOKUP($A16,'CEM Data Lookup'!$A:$P,13,FALSE)</f>
        <v>2.6915</v>
      </c>
      <c r="J16" s="84"/>
      <c r="K16" s="84">
        <f>VLOOKUP($A16,'CEM Data Lookup'!$A:$P,15,FALSE)</f>
        <v>6.7000000000000004E-2</v>
      </c>
      <c r="L16" s="345"/>
      <c r="M16" s="345"/>
      <c r="N16" s="345"/>
      <c r="O16" s="100"/>
      <c r="P16" s="100"/>
    </row>
    <row r="17" spans="1:16" ht="15.75" customHeight="1">
      <c r="A17" s="11" t="str">
        <f>'7.2 CEM DCF'!A16</f>
        <v>BMY</v>
      </c>
      <c r="B17" s="11"/>
      <c r="C17" s="11" t="str">
        <f>'7.2 CEM DCF'!B16</f>
        <v>Bristol-Myers Squibb</v>
      </c>
      <c r="D17" s="11"/>
      <c r="E17" s="103">
        <f>VLOOKUP($A17,'CEM Data Lookup'!$A:$P,6,FALSE)</f>
        <v>0.85</v>
      </c>
      <c r="F17" s="83"/>
      <c r="G17" s="83">
        <f>VLOOKUP($A17,'CEM Data Lookup'!$A:$P,8,FALSE)</f>
        <v>0.76</v>
      </c>
      <c r="H17" s="11"/>
      <c r="I17" s="84">
        <f>VLOOKUP($A17,'CEM Data Lookup'!$A:$P,13,FALSE)</f>
        <v>3.0329999999999999</v>
      </c>
      <c r="J17" s="84"/>
      <c r="K17" s="84">
        <f>VLOOKUP($A17,'CEM Data Lookup'!$A:$P,15,FALSE)</f>
        <v>7.5499999999999998E-2</v>
      </c>
      <c r="L17" s="345"/>
      <c r="M17" s="345"/>
      <c r="N17" s="345"/>
      <c r="O17" s="100"/>
      <c r="P17" s="100"/>
    </row>
    <row r="18" spans="1:16" ht="15.75" customHeight="1">
      <c r="A18" s="11" t="str">
        <f>'7.2 CEM DCF'!A17</f>
        <v>BR</v>
      </c>
      <c r="B18" s="11"/>
      <c r="C18" s="11" t="str">
        <f>'7.2 CEM DCF'!B17</f>
        <v xml:space="preserve">Broadridge Fin'l    </v>
      </c>
      <c r="D18" s="11"/>
      <c r="E18" s="103">
        <f>VLOOKUP($A18,'CEM Data Lookup'!$A:$P,6,FALSE)</f>
        <v>0.85</v>
      </c>
      <c r="F18" s="83"/>
      <c r="G18" s="83">
        <f>VLOOKUP($A18,'CEM Data Lookup'!$A:$P,8,FALSE)</f>
        <v>0.7</v>
      </c>
      <c r="H18" s="11"/>
      <c r="I18" s="84">
        <f>VLOOKUP($A18,'CEM Data Lookup'!$A:$P,13,FALSE)</f>
        <v>2.7610000000000001</v>
      </c>
      <c r="J18" s="84"/>
      <c r="K18" s="84">
        <f>VLOOKUP($A18,'CEM Data Lookup'!$A:$P,15,FALSE)</f>
        <v>6.8699999999999997E-2</v>
      </c>
      <c r="L18" s="345"/>
      <c r="M18" s="345"/>
      <c r="N18" s="345"/>
      <c r="O18" s="100"/>
      <c r="P18" s="100"/>
    </row>
    <row r="19" spans="1:16" ht="15.75" customHeight="1">
      <c r="A19" s="11" t="str">
        <f>'7.2 CEM DCF'!A18</f>
        <v>CACI</v>
      </c>
      <c r="B19" s="11"/>
      <c r="C19" s="11" t="str">
        <f>'7.2 CEM DCF'!B18</f>
        <v xml:space="preserve">CACI Int'l          </v>
      </c>
      <c r="D19" s="11"/>
      <c r="E19" s="103">
        <f>VLOOKUP($A19,'CEM Data Lookup'!$A:$P,6,FALSE)</f>
        <v>0.9</v>
      </c>
      <c r="F19" s="83"/>
      <c r="G19" s="83">
        <f>VLOOKUP($A19,'CEM Data Lookup'!$A:$P,8,FALSE)</f>
        <v>0.84</v>
      </c>
      <c r="H19" s="11"/>
      <c r="I19" s="84">
        <f>VLOOKUP($A19,'CEM Data Lookup'!$A:$P,13,FALSE)</f>
        <v>2.9845999999999999</v>
      </c>
      <c r="J19" s="84"/>
      <c r="K19" s="84">
        <f>VLOOKUP($A19,'CEM Data Lookup'!$A:$P,15,FALSE)</f>
        <v>7.4300000000000005E-2</v>
      </c>
      <c r="L19" s="345"/>
      <c r="M19" s="345"/>
      <c r="N19" s="345"/>
      <c r="O19" s="100"/>
      <c r="P19" s="100"/>
    </row>
    <row r="20" spans="1:16" ht="15.75" customHeight="1">
      <c r="A20" s="11" t="str">
        <f>'7.2 CEM DCF'!A19</f>
        <v>CHE</v>
      </c>
      <c r="B20" s="11"/>
      <c r="C20" s="11" t="str">
        <f>'7.2 CEM DCF'!B19</f>
        <v xml:space="preserve">Chemed Corp.        </v>
      </c>
      <c r="D20" s="11"/>
      <c r="E20" s="103">
        <f>VLOOKUP($A20,'CEM Data Lookup'!$A:$P,6,FALSE)</f>
        <v>0.85</v>
      </c>
      <c r="F20" s="83"/>
      <c r="G20" s="83">
        <f>VLOOKUP($A20,'CEM Data Lookup'!$A:$P,8,FALSE)</f>
        <v>0.7</v>
      </c>
      <c r="H20" s="11"/>
      <c r="I20" s="84">
        <f>VLOOKUP($A20,'CEM Data Lookup'!$A:$P,13,FALSE)</f>
        <v>2.7214999999999998</v>
      </c>
      <c r="J20" s="84"/>
      <c r="K20" s="84">
        <f>VLOOKUP($A20,'CEM Data Lookup'!$A:$P,15,FALSE)</f>
        <v>6.7699999999999996E-2</v>
      </c>
      <c r="L20" s="345"/>
      <c r="M20" s="345"/>
      <c r="N20" s="345"/>
      <c r="O20" s="100"/>
      <c r="P20" s="100"/>
    </row>
    <row r="21" spans="1:16" ht="15.75" customHeight="1">
      <c r="A21" s="11" t="str">
        <f>'7.2 CEM DCF'!A20</f>
        <v>CSWI</v>
      </c>
      <c r="B21" s="11"/>
      <c r="C21" s="11" t="str">
        <f>'7.2 CEM DCF'!B20</f>
        <v xml:space="preserve">CSW Industrials     </v>
      </c>
      <c r="D21" s="11"/>
      <c r="E21" s="103">
        <f>VLOOKUP($A21,'CEM Data Lookup'!$A:$P,6,FALSE)</f>
        <v>0.9</v>
      </c>
      <c r="F21" s="83"/>
      <c r="G21" s="83">
        <f>VLOOKUP($A21,'CEM Data Lookup'!$A:$P,8,FALSE)</f>
        <v>0.8</v>
      </c>
      <c r="H21" s="11"/>
      <c r="I21" s="84">
        <f>VLOOKUP($A21,'CEM Data Lookup'!$A:$P,13,FALSE)</f>
        <v>2.9127000000000001</v>
      </c>
      <c r="J21" s="84"/>
      <c r="K21" s="84">
        <f>VLOOKUP($A21,'CEM Data Lookup'!$A:$P,15,FALSE)</f>
        <v>7.2499999999999995E-2</v>
      </c>
      <c r="L21" s="345"/>
      <c r="M21" s="345"/>
      <c r="N21" s="345"/>
      <c r="O21" s="100"/>
      <c r="P21" s="100"/>
    </row>
    <row r="22" spans="1:16" ht="15.75" customHeight="1">
      <c r="A22" s="11" t="str">
        <f>'7.2 CEM DCF'!A21</f>
        <v>DGX</v>
      </c>
      <c r="B22" s="11"/>
      <c r="C22" s="11" t="str">
        <f>'7.2 CEM DCF'!B21</f>
        <v xml:space="preserve">Quest Diagnostics   </v>
      </c>
      <c r="D22" s="11"/>
      <c r="E22" s="103">
        <f>VLOOKUP($A22,'CEM Data Lookup'!$A:$P,6,FALSE)</f>
        <v>0.8</v>
      </c>
      <c r="F22" s="83"/>
      <c r="G22" s="83">
        <f>VLOOKUP($A22,'CEM Data Lookup'!$A:$P,8,FALSE)</f>
        <v>0.69</v>
      </c>
      <c r="H22" s="11"/>
      <c r="I22" s="84">
        <f>VLOOKUP($A22,'CEM Data Lookup'!$A:$P,13,FALSE)</f>
        <v>3.0217999999999998</v>
      </c>
      <c r="J22" s="84"/>
      <c r="K22" s="84">
        <f>VLOOKUP($A22,'CEM Data Lookup'!$A:$P,15,FALSE)</f>
        <v>7.5200000000000003E-2</v>
      </c>
      <c r="L22" s="345"/>
      <c r="M22" s="345"/>
      <c r="N22" s="345"/>
      <c r="O22" s="100"/>
      <c r="P22" s="100"/>
    </row>
    <row r="23" spans="1:16" ht="15.75" customHeight="1">
      <c r="A23" s="11" t="str">
        <f>'7.2 CEM DCF'!A22</f>
        <v>EXPO</v>
      </c>
      <c r="B23" s="11"/>
      <c r="C23" s="11" t="str">
        <f>'7.2 CEM DCF'!B22</f>
        <v xml:space="preserve">Exponent, Inc.      </v>
      </c>
      <c r="D23" s="11"/>
      <c r="E23" s="103">
        <f>VLOOKUP($A23,'CEM Data Lookup'!$A:$P,6,FALSE)</f>
        <v>0.9</v>
      </c>
      <c r="F23" s="83"/>
      <c r="G23" s="83">
        <f>VLOOKUP($A23,'CEM Data Lookup'!$A:$P,8,FALSE)</f>
        <v>0.8</v>
      </c>
      <c r="H23" s="11"/>
      <c r="I23" s="84">
        <f>VLOOKUP($A23,'CEM Data Lookup'!$A:$P,13,FALSE)</f>
        <v>2.8742000000000001</v>
      </c>
      <c r="J23" s="84"/>
      <c r="K23" s="84">
        <f>VLOOKUP($A23,'CEM Data Lookup'!$A:$P,15,FALSE)</f>
        <v>7.1499999999999994E-2</v>
      </c>
      <c r="L23" s="345"/>
      <c r="M23" s="345"/>
      <c r="N23" s="345"/>
      <c r="O23" s="100"/>
      <c r="P23" s="100"/>
    </row>
    <row r="24" spans="1:16" ht="15.75" customHeight="1">
      <c r="A24" s="11" t="str">
        <f>'7.2 CEM DCF'!A23</f>
        <v>INGR</v>
      </c>
      <c r="B24" s="11"/>
      <c r="C24" s="11" t="str">
        <f>'7.2 CEM DCF'!B23</f>
        <v xml:space="preserve">Ingredion Inc.      </v>
      </c>
      <c r="D24" s="11"/>
      <c r="E24" s="103">
        <f>VLOOKUP($A24,'CEM Data Lookup'!$A:$P,6,FALSE)</f>
        <v>0.9</v>
      </c>
      <c r="F24" s="83"/>
      <c r="G24" s="83">
        <f>VLOOKUP($A24,'CEM Data Lookup'!$A:$P,8,FALSE)</f>
        <v>0.85</v>
      </c>
      <c r="H24" s="11"/>
      <c r="I24" s="84">
        <f>VLOOKUP($A24,'CEM Data Lookup'!$A:$P,13,FALSE)</f>
        <v>2.8616999999999999</v>
      </c>
      <c r="J24" s="84"/>
      <c r="K24" s="84">
        <f>VLOOKUP($A24,'CEM Data Lookup'!$A:$P,15,FALSE)</f>
        <v>7.1199999999999999E-2</v>
      </c>
      <c r="L24" s="345"/>
      <c r="M24" s="345"/>
      <c r="N24" s="345"/>
      <c r="O24" s="100"/>
      <c r="P24" s="100"/>
    </row>
    <row r="25" spans="1:16" ht="15.75" customHeight="1">
      <c r="A25" s="11" t="str">
        <f>'7.2 CEM DCF'!A24</f>
        <v>JJSF</v>
      </c>
      <c r="B25" s="11"/>
      <c r="C25" s="11" t="str">
        <f>'7.2 CEM DCF'!B24</f>
        <v xml:space="preserve">J&amp;J Snack Foods     </v>
      </c>
      <c r="D25" s="11"/>
      <c r="E25" s="103">
        <f>VLOOKUP($A25,'CEM Data Lookup'!$A:$P,6,FALSE)</f>
        <v>0.95</v>
      </c>
      <c r="F25" s="83"/>
      <c r="G25" s="83">
        <f>VLOOKUP($A25,'CEM Data Lookup'!$A:$P,8,FALSE)</f>
        <v>0.87</v>
      </c>
      <c r="H25" s="11"/>
      <c r="I25" s="84">
        <f>VLOOKUP($A25,'CEM Data Lookup'!$A:$P,13,FALSE)</f>
        <v>2.9765999999999999</v>
      </c>
      <c r="J25" s="84"/>
      <c r="K25" s="84">
        <f>VLOOKUP($A25,'CEM Data Lookup'!$A:$P,15,FALSE)</f>
        <v>7.4099999999999999E-2</v>
      </c>
      <c r="L25" s="345"/>
      <c r="M25" s="345"/>
      <c r="N25" s="345"/>
      <c r="O25" s="100"/>
      <c r="P25" s="100"/>
    </row>
    <row r="26" spans="1:16" ht="15.75" customHeight="1">
      <c r="A26" s="11" t="str">
        <f>'7.2 CEM DCF'!A25</f>
        <v>JKHY</v>
      </c>
      <c r="B26" s="11"/>
      <c r="C26" s="11" t="str">
        <f>'7.2 CEM DCF'!B25</f>
        <v>Henry (Jack) &amp; Assoc</v>
      </c>
      <c r="D26" s="11"/>
      <c r="E26" s="103">
        <f>VLOOKUP($A26,'CEM Data Lookup'!$A:$P,6,FALSE)</f>
        <v>0.85</v>
      </c>
      <c r="F26" s="83"/>
      <c r="G26" s="83">
        <f>VLOOKUP($A26,'CEM Data Lookup'!$A:$P,8,FALSE)</f>
        <v>0.7</v>
      </c>
      <c r="H26" s="11"/>
      <c r="I26" s="84">
        <f>VLOOKUP($A26,'CEM Data Lookup'!$A:$P,13,FALSE)</f>
        <v>2.8820999999999999</v>
      </c>
      <c r="J26" s="84"/>
      <c r="K26" s="84">
        <f>VLOOKUP($A26,'CEM Data Lookup'!$A:$P,15,FALSE)</f>
        <v>7.17E-2</v>
      </c>
      <c r="L26" s="345"/>
      <c r="M26" s="345"/>
      <c r="N26" s="345"/>
      <c r="O26" s="100"/>
      <c r="P26" s="100"/>
    </row>
    <row r="27" spans="1:16" ht="15.75" customHeight="1">
      <c r="A27" s="11" t="str">
        <f>'7.2 CEM DCF'!A26</f>
        <v>MKC</v>
      </c>
      <c r="B27" s="11"/>
      <c r="C27" s="11" t="str">
        <f>'7.2 CEM DCF'!B26</f>
        <v xml:space="preserve">McCormick &amp; Co.     </v>
      </c>
      <c r="D27" s="11"/>
      <c r="E27" s="103">
        <f>VLOOKUP($A27,'CEM Data Lookup'!$A:$P,6,FALSE)</f>
        <v>0.8</v>
      </c>
      <c r="F27" s="83"/>
      <c r="G27" s="83">
        <f>VLOOKUP($A27,'CEM Data Lookup'!$A:$P,8,FALSE)</f>
        <v>0.66</v>
      </c>
      <c r="H27" s="11"/>
      <c r="I27" s="84">
        <f>VLOOKUP($A27,'CEM Data Lookup'!$A:$P,13,FALSE)</f>
        <v>2.8331</v>
      </c>
      <c r="J27" s="84"/>
      <c r="K27" s="84">
        <f>VLOOKUP($A27,'CEM Data Lookup'!$A:$P,15,FALSE)</f>
        <v>7.0499999999999993E-2</v>
      </c>
      <c r="L27" s="345"/>
      <c r="M27" s="345"/>
      <c r="N27" s="345"/>
      <c r="O27" s="100"/>
      <c r="P27" s="100"/>
    </row>
    <row r="28" spans="1:16" ht="15.75" customHeight="1">
      <c r="A28" s="11" t="str">
        <f>'7.2 CEM DCF'!A27</f>
        <v>MRK</v>
      </c>
      <c r="B28" s="11"/>
      <c r="C28" s="11" t="str">
        <f>'7.2 CEM DCF'!B27</f>
        <v xml:space="preserve">Merck &amp; Co.         </v>
      </c>
      <c r="D28" s="11"/>
      <c r="E28" s="103">
        <f>VLOOKUP($A28,'CEM Data Lookup'!$A:$P,6,FALSE)</f>
        <v>0.8</v>
      </c>
      <c r="F28" s="83"/>
      <c r="G28" s="83">
        <f>VLOOKUP($A28,'CEM Data Lookup'!$A:$P,8,FALSE)</f>
        <v>0.64</v>
      </c>
      <c r="H28" s="11"/>
      <c r="I28" s="84">
        <f>VLOOKUP($A28,'CEM Data Lookup'!$A:$P,13,FALSE)</f>
        <v>2.6539999999999999</v>
      </c>
      <c r="J28" s="84"/>
      <c r="K28" s="84">
        <f>VLOOKUP($A28,'CEM Data Lookup'!$A:$P,15,FALSE)</f>
        <v>6.6100000000000006E-2</v>
      </c>
      <c r="L28" s="345"/>
      <c r="M28" s="345"/>
      <c r="N28" s="345"/>
      <c r="O28" s="100"/>
      <c r="P28" s="100"/>
    </row>
    <row r="29" spans="1:16" ht="15.75" customHeight="1">
      <c r="A29" s="11" t="str">
        <f>'7.2 CEM DCF'!A28</f>
        <v>MSCI</v>
      </c>
      <c r="B29" s="11"/>
      <c r="C29" s="11" t="str">
        <f>'7.2 CEM DCF'!B28</f>
        <v xml:space="preserve">MSCI Inc.           </v>
      </c>
      <c r="D29" s="11"/>
      <c r="E29" s="103">
        <f>VLOOKUP($A29,'CEM Data Lookup'!$A:$P,6,FALSE)</f>
        <v>0.95</v>
      </c>
      <c r="F29" s="83"/>
      <c r="G29" s="83">
        <f>VLOOKUP($A29,'CEM Data Lookup'!$A:$P,8,FALSE)</f>
        <v>0.85</v>
      </c>
      <c r="H29" s="11"/>
      <c r="I29" s="84">
        <f>VLOOKUP($A29,'CEM Data Lookup'!$A:$P,13,FALSE)</f>
        <v>3.0171000000000001</v>
      </c>
      <c r="J29" s="84"/>
      <c r="K29" s="84">
        <f>VLOOKUP($A29,'CEM Data Lookup'!$A:$P,15,FALSE)</f>
        <v>7.51E-2</v>
      </c>
      <c r="L29" s="345"/>
      <c r="M29" s="345"/>
      <c r="N29" s="345"/>
      <c r="O29" s="100"/>
      <c r="P29" s="100"/>
    </row>
    <row r="30" spans="1:16" ht="15.75" customHeight="1">
      <c r="A30" s="11" t="str">
        <f>'7.2 CEM DCF'!A29</f>
        <v>MSI</v>
      </c>
      <c r="B30" s="11"/>
      <c r="C30" s="11" t="str">
        <f>'7.2 CEM DCF'!B29</f>
        <v xml:space="preserve">Motorola Solutions  </v>
      </c>
      <c r="D30" s="11"/>
      <c r="E30" s="103">
        <f>VLOOKUP($A30,'CEM Data Lookup'!$A:$P,6,FALSE)</f>
        <v>0.9</v>
      </c>
      <c r="F30" s="83"/>
      <c r="G30" s="83">
        <f>VLOOKUP($A30,'CEM Data Lookup'!$A:$P,8,FALSE)</f>
        <v>0.79</v>
      </c>
      <c r="H30" s="11"/>
      <c r="I30" s="84">
        <f>VLOOKUP($A30,'CEM Data Lookup'!$A:$P,13,FALSE)</f>
        <v>2.6757</v>
      </c>
      <c r="J30" s="84"/>
      <c r="K30" s="84">
        <f>VLOOKUP($A30,'CEM Data Lookup'!$A:$P,15,FALSE)</f>
        <v>6.6600000000000006E-2</v>
      </c>
      <c r="L30" s="345"/>
      <c r="M30" s="345"/>
      <c r="N30" s="345"/>
      <c r="O30" s="100"/>
      <c r="P30" s="100"/>
    </row>
    <row r="31" spans="1:16" ht="15.75" customHeight="1">
      <c r="A31" s="11" t="str">
        <f>'7.2 CEM DCF'!A30</f>
        <v>NEU</v>
      </c>
      <c r="B31" s="11"/>
      <c r="C31" s="11" t="str">
        <f>'7.2 CEM DCF'!B30</f>
        <v xml:space="preserve">NewMarket Corp.     </v>
      </c>
      <c r="D31" s="11"/>
      <c r="E31" s="103">
        <f>VLOOKUP($A31,'CEM Data Lookup'!$A:$P,6,FALSE)</f>
        <v>0.75</v>
      </c>
      <c r="F31" s="83"/>
      <c r="G31" s="83">
        <f>VLOOKUP($A31,'CEM Data Lookup'!$A:$P,8,FALSE)</f>
        <v>0.61</v>
      </c>
      <c r="H31" s="11"/>
      <c r="I31" s="84">
        <f>VLOOKUP($A31,'CEM Data Lookup'!$A:$P,13,FALSE)</f>
        <v>2.6488999999999998</v>
      </c>
      <c r="J31" s="84"/>
      <c r="K31" s="84">
        <f>VLOOKUP($A31,'CEM Data Lookup'!$A:$P,15,FALSE)</f>
        <v>6.59E-2</v>
      </c>
      <c r="L31" s="345"/>
      <c r="M31" s="345"/>
      <c r="N31" s="345"/>
      <c r="O31" s="100"/>
      <c r="P31" s="100"/>
    </row>
    <row r="32" spans="1:16" ht="15.75" customHeight="1">
      <c r="A32" s="11" t="str">
        <f>'7.2 CEM DCF'!A31</f>
        <v>NOC</v>
      </c>
      <c r="C32" s="11" t="str">
        <f>'7.2 CEM DCF'!B31</f>
        <v xml:space="preserve">Northrop Grumman    </v>
      </c>
      <c r="D32" s="11"/>
      <c r="E32" s="103">
        <f>VLOOKUP($A32,'CEM Data Lookup'!$A:$P,6,FALSE)</f>
        <v>0.85</v>
      </c>
      <c r="F32" s="83"/>
      <c r="G32" s="83">
        <f>VLOOKUP($A32,'CEM Data Lookup'!$A:$P,8,FALSE)</f>
        <v>0.74</v>
      </c>
      <c r="H32" s="11"/>
      <c r="I32" s="84">
        <f>VLOOKUP($A32,'CEM Data Lookup'!$A:$P,13,FALSE)</f>
        <v>2.9186000000000001</v>
      </c>
      <c r="J32" s="84"/>
      <c r="K32" s="84">
        <f>VLOOKUP($A32,'CEM Data Lookup'!$A:$P,15,FALSE)</f>
        <v>7.2700000000000001E-2</v>
      </c>
      <c r="L32" s="345"/>
      <c r="M32" s="345"/>
      <c r="N32" s="345"/>
      <c r="O32" s="100"/>
      <c r="P32" s="100"/>
    </row>
    <row r="33" spans="1:16" ht="15.75" customHeight="1">
      <c r="A33" s="11" t="str">
        <f>'7.2 CEM DCF'!A32</f>
        <v>ODFL</v>
      </c>
      <c r="C33" s="11" t="str">
        <f>'7.2 CEM DCF'!B32</f>
        <v>Old Dominion Freight</v>
      </c>
      <c r="D33" s="11"/>
      <c r="E33" s="103">
        <f>VLOOKUP($A33,'CEM Data Lookup'!$A:$P,6,FALSE)</f>
        <v>0.95</v>
      </c>
      <c r="F33" s="83"/>
      <c r="G33" s="83">
        <f>VLOOKUP($A33,'CEM Data Lookup'!$A:$P,8,FALSE)</f>
        <v>0.85</v>
      </c>
      <c r="H33" s="11"/>
      <c r="I33" s="84">
        <f>VLOOKUP($A33,'CEM Data Lookup'!$A:$P,13,FALSE)</f>
        <v>2.9676999999999998</v>
      </c>
      <c r="J33" s="84"/>
      <c r="K33" s="84">
        <f>VLOOKUP($A33,'CEM Data Lookup'!$A:$P,15,FALSE)</f>
        <v>7.3899999999999993E-2</v>
      </c>
      <c r="L33" s="345"/>
      <c r="M33" s="345"/>
      <c r="N33" s="345"/>
      <c r="O33" s="100"/>
      <c r="P33" s="100"/>
    </row>
    <row r="34" spans="1:16" ht="15.75" customHeight="1">
      <c r="A34" s="11" t="str">
        <f>'7.2 CEM DCF'!A33</f>
        <v>ORCL</v>
      </c>
      <c r="C34" s="11" t="str">
        <f>'7.2 CEM DCF'!B33</f>
        <v xml:space="preserve">Oracle Corp.        </v>
      </c>
      <c r="D34" s="11"/>
      <c r="E34" s="103">
        <f>VLOOKUP($A34,'CEM Data Lookup'!$A:$P,6,FALSE)</f>
        <v>0.75</v>
      </c>
      <c r="F34" s="83"/>
      <c r="G34" s="83">
        <f>VLOOKUP($A34,'CEM Data Lookup'!$A:$P,8,FALSE)</f>
        <v>0.61</v>
      </c>
      <c r="H34" s="11"/>
      <c r="I34" s="84">
        <f>VLOOKUP($A34,'CEM Data Lookup'!$A:$P,13,FALSE)</f>
        <v>2.6634000000000002</v>
      </c>
      <c r="J34" s="84"/>
      <c r="K34" s="84">
        <f>VLOOKUP($A34,'CEM Data Lookup'!$A:$P,15,FALSE)</f>
        <v>6.6299999999999998E-2</v>
      </c>
      <c r="L34" s="345"/>
      <c r="M34" s="345"/>
      <c r="N34" s="345"/>
      <c r="O34" s="100"/>
      <c r="P34" s="100"/>
    </row>
    <row r="35" spans="1:16" ht="15.75" customHeight="1">
      <c r="A35" s="11" t="str">
        <f>'7.2 CEM DCF'!A34</f>
        <v>PGR</v>
      </c>
      <c r="C35" s="11" t="str">
        <f>'7.2 CEM DCF'!B34</f>
        <v xml:space="preserve">Progressive Corp.   </v>
      </c>
      <c r="D35" s="11"/>
      <c r="E35" s="103">
        <f>VLOOKUP($A35,'CEM Data Lookup'!$A:$P,6,FALSE)</f>
        <v>0.75</v>
      </c>
      <c r="F35" s="83"/>
      <c r="G35" s="83">
        <f>VLOOKUP($A35,'CEM Data Lookup'!$A:$P,8,FALSE)</f>
        <v>0.6</v>
      </c>
      <c r="H35" s="11"/>
      <c r="I35" s="84">
        <f>VLOOKUP($A35,'CEM Data Lookup'!$A:$P,13,FALSE)</f>
        <v>2.8616999999999999</v>
      </c>
      <c r="J35" s="84"/>
      <c r="K35" s="84">
        <f>VLOOKUP($A35,'CEM Data Lookup'!$A:$P,15,FALSE)</f>
        <v>7.1199999999999999E-2</v>
      </c>
      <c r="L35" s="345"/>
      <c r="M35" s="345"/>
      <c r="N35" s="345"/>
      <c r="O35" s="100"/>
      <c r="P35" s="100"/>
    </row>
    <row r="36" spans="1:16" ht="15.75" customHeight="1">
      <c r="A36" s="11" t="str">
        <f>'7.2 CEM DCF'!A35</f>
        <v>POST</v>
      </c>
      <c r="C36" s="11" t="str">
        <f>'7.2 CEM DCF'!B35</f>
        <v xml:space="preserve">Post Holdings       </v>
      </c>
      <c r="D36" s="11"/>
      <c r="E36" s="103">
        <f>VLOOKUP($A36,'CEM Data Lookup'!$A:$P,6,FALSE)</f>
        <v>0.95</v>
      </c>
      <c r="F36" s="83"/>
      <c r="G36" s="83">
        <f>VLOOKUP($A36,'CEM Data Lookup'!$A:$P,8,FALSE)</f>
        <v>0.86</v>
      </c>
      <c r="H36" s="11"/>
      <c r="I36" s="84">
        <f>VLOOKUP($A36,'CEM Data Lookup'!$A:$P,13,FALSE)</f>
        <v>2.9243999999999999</v>
      </c>
      <c r="J36" s="84"/>
      <c r="K36" s="84">
        <f>VLOOKUP($A36,'CEM Data Lookup'!$A:$P,15,FALSE)</f>
        <v>7.2800000000000004E-2</v>
      </c>
      <c r="L36" s="345"/>
      <c r="M36" s="345"/>
      <c r="N36" s="345"/>
      <c r="O36" s="100"/>
      <c r="P36" s="100"/>
    </row>
    <row r="37" spans="1:16" ht="15.75" customHeight="1">
      <c r="A37" s="11" t="str">
        <f>'7.2 CEM DCF'!A36</f>
        <v>RLI</v>
      </c>
      <c r="C37" s="11" t="str">
        <f>'7.2 CEM DCF'!B36</f>
        <v xml:space="preserve">RLI Corp.           </v>
      </c>
      <c r="D37" s="11"/>
      <c r="E37" s="103">
        <f>VLOOKUP($A37,'CEM Data Lookup'!$A:$P,6,FALSE)</f>
        <v>0.8</v>
      </c>
      <c r="F37" s="83"/>
      <c r="G37" s="83">
        <f>VLOOKUP($A37,'CEM Data Lookup'!$A:$P,8,FALSE)</f>
        <v>0.66</v>
      </c>
      <c r="H37" s="11"/>
      <c r="I37" s="84">
        <f>VLOOKUP($A37,'CEM Data Lookup'!$A:$P,13,FALSE)</f>
        <v>2.8574999999999999</v>
      </c>
      <c r="J37" s="84"/>
      <c r="K37" s="84">
        <f>VLOOKUP($A37,'CEM Data Lookup'!$A:$P,15,FALSE)</f>
        <v>7.1099999999999997E-2</v>
      </c>
      <c r="L37" s="345"/>
      <c r="M37" s="345"/>
      <c r="N37" s="345"/>
      <c r="O37" s="100"/>
      <c r="P37" s="100"/>
    </row>
    <row r="38" spans="1:16" ht="15.75" customHeight="1">
      <c r="A38" s="11" t="str">
        <f>'7.2 CEM DCF'!A37</f>
        <v>ROL</v>
      </c>
      <c r="C38" s="11" t="str">
        <f>'7.2 CEM DCF'!B37</f>
        <v xml:space="preserve">Rollins, Inc.       </v>
      </c>
      <c r="D38" s="11"/>
      <c r="E38" s="103">
        <f>VLOOKUP($A38,'CEM Data Lookup'!$A:$P,6,FALSE)</f>
        <v>0.85</v>
      </c>
      <c r="F38" s="83"/>
      <c r="G38" s="83">
        <f>VLOOKUP($A38,'CEM Data Lookup'!$A:$P,8,FALSE)</f>
        <v>0.72</v>
      </c>
      <c r="H38" s="11"/>
      <c r="I38" s="84">
        <f>VLOOKUP($A38,'CEM Data Lookup'!$A:$P,13,FALSE)</f>
        <v>2.9830999999999999</v>
      </c>
      <c r="J38" s="84"/>
      <c r="K38" s="84">
        <f>VLOOKUP($A38,'CEM Data Lookup'!$A:$P,15,FALSE)</f>
        <v>7.4300000000000005E-2</v>
      </c>
      <c r="L38" s="345"/>
      <c r="M38" s="345"/>
      <c r="N38" s="345"/>
      <c r="O38" s="100"/>
      <c r="P38" s="100"/>
    </row>
    <row r="39" spans="1:16" ht="15.75" customHeight="1">
      <c r="A39" s="11" t="str">
        <f>'7.2 CEM DCF'!A38</f>
        <v>SHW</v>
      </c>
      <c r="C39" s="11" t="str">
        <f>'7.2 CEM DCF'!B38</f>
        <v xml:space="preserve">Sherwin-Williams    </v>
      </c>
      <c r="D39" s="11"/>
      <c r="E39" s="103">
        <f>VLOOKUP($A39,'CEM Data Lookup'!$A:$P,6,FALSE)</f>
        <v>0.9</v>
      </c>
      <c r="F39" s="83"/>
      <c r="G39" s="83">
        <f>VLOOKUP($A39,'CEM Data Lookup'!$A:$P,8,FALSE)</f>
        <v>0.84</v>
      </c>
      <c r="H39" s="11"/>
      <c r="I39" s="84">
        <f>VLOOKUP($A39,'CEM Data Lookup'!$A:$P,13,FALSE)</f>
        <v>2.5642999999999998</v>
      </c>
      <c r="J39" s="84"/>
      <c r="K39" s="84">
        <f>VLOOKUP($A39,'CEM Data Lookup'!$A:$P,15,FALSE)</f>
        <v>6.3799999999999996E-2</v>
      </c>
      <c r="L39" s="345"/>
      <c r="M39" s="345"/>
      <c r="N39" s="345"/>
      <c r="O39" s="100"/>
      <c r="P39" s="100"/>
    </row>
    <row r="40" spans="1:16" ht="15.75" customHeight="1">
      <c r="A40" s="11" t="str">
        <f>'7.2 CEM DCF'!A39</f>
        <v>SIGI</v>
      </c>
      <c r="C40" s="11" t="str">
        <f>'7.2 CEM DCF'!B39</f>
        <v>Selective Ins. Group</v>
      </c>
      <c r="D40" s="11"/>
      <c r="E40" s="103">
        <f>VLOOKUP($A40,'CEM Data Lookup'!$A:$P,6,FALSE)</f>
        <v>0.9</v>
      </c>
      <c r="F40" s="83"/>
      <c r="G40" s="83">
        <f>VLOOKUP($A40,'CEM Data Lookup'!$A:$P,8,FALSE)</f>
        <v>0.81</v>
      </c>
      <c r="H40" s="11"/>
      <c r="I40" s="84">
        <f>VLOOKUP($A40,'CEM Data Lookup'!$A:$P,13,FALSE)</f>
        <v>2.9464000000000001</v>
      </c>
      <c r="J40" s="84"/>
      <c r="K40" s="84">
        <f>VLOOKUP($A40,'CEM Data Lookup'!$A:$P,15,FALSE)</f>
        <v>7.3300000000000004E-2</v>
      </c>
      <c r="L40" s="345"/>
      <c r="M40" s="345"/>
      <c r="N40" s="345"/>
      <c r="O40" s="100"/>
      <c r="P40" s="100"/>
    </row>
    <row r="41" spans="1:16" ht="15.75" customHeight="1">
      <c r="A41" s="11" t="str">
        <f>'7.2 CEM DCF'!A40</f>
        <v>SIRI</v>
      </c>
      <c r="C41" s="11" t="str">
        <f>'7.2 CEM DCF'!B40</f>
        <v xml:space="preserve">Sirius XM Holdings  </v>
      </c>
      <c r="D41" s="11"/>
      <c r="E41" s="103">
        <f>VLOOKUP($A41,'CEM Data Lookup'!$A:$P,6,FALSE)</f>
        <v>0.95</v>
      </c>
      <c r="F41" s="83"/>
      <c r="G41" s="83">
        <f>VLOOKUP($A41,'CEM Data Lookup'!$A:$P,8,FALSE)</f>
        <v>0.86</v>
      </c>
      <c r="H41" s="11"/>
      <c r="I41" s="84">
        <f>VLOOKUP($A41,'CEM Data Lookup'!$A:$P,13,FALSE)</f>
        <v>2.9588999999999999</v>
      </c>
      <c r="J41" s="84"/>
      <c r="K41" s="84">
        <f>VLOOKUP($A41,'CEM Data Lookup'!$A:$P,15,FALSE)</f>
        <v>7.3700000000000002E-2</v>
      </c>
      <c r="L41" s="345"/>
      <c r="M41" s="345"/>
      <c r="N41" s="345"/>
      <c r="O41" s="100"/>
      <c r="P41" s="100"/>
    </row>
    <row r="42" spans="1:16" ht="15.75" customHeight="1">
      <c r="A42" s="11" t="str">
        <f>'7.2 CEM DCF'!A41</f>
        <v>SXT</v>
      </c>
      <c r="C42" s="11" t="str">
        <f>'7.2 CEM DCF'!B41</f>
        <v xml:space="preserve">Sensient Techn.     </v>
      </c>
      <c r="D42" s="11"/>
      <c r="E42" s="103">
        <f>VLOOKUP($A42,'CEM Data Lookup'!$A:$P,6,FALSE)</f>
        <v>0.9</v>
      </c>
      <c r="F42" s="83"/>
      <c r="G42" s="83">
        <f>VLOOKUP($A42,'CEM Data Lookup'!$A:$P,8,FALSE)</f>
        <v>0.82</v>
      </c>
      <c r="H42" s="11"/>
      <c r="I42" s="84">
        <f>VLOOKUP($A42,'CEM Data Lookup'!$A:$P,13,FALSE)</f>
        <v>2.6393</v>
      </c>
      <c r="J42" s="84"/>
      <c r="K42" s="84">
        <f>VLOOKUP($A42,'CEM Data Lookup'!$A:$P,15,FALSE)</f>
        <v>6.5699999999999995E-2</v>
      </c>
      <c r="L42" s="345"/>
      <c r="M42" s="345"/>
      <c r="N42" s="345"/>
      <c r="O42" s="100"/>
      <c r="P42" s="100"/>
    </row>
    <row r="43" spans="1:16" ht="15.75" customHeight="1">
      <c r="A43" s="11" t="str">
        <f>'7.2 CEM DCF'!A42</f>
        <v>TMO</v>
      </c>
      <c r="C43" s="11" t="str">
        <f>'7.2 CEM DCF'!B42</f>
        <v xml:space="preserve">Thermo Fisher Sci.  </v>
      </c>
      <c r="D43" s="11"/>
      <c r="E43" s="103">
        <f>VLOOKUP($A43,'CEM Data Lookup'!$A:$P,6,FALSE)</f>
        <v>0.85</v>
      </c>
      <c r="F43" s="83"/>
      <c r="G43" s="83">
        <f>VLOOKUP($A43,'CEM Data Lookup'!$A:$P,8,FALSE)</f>
        <v>0.7</v>
      </c>
      <c r="H43" s="11"/>
      <c r="I43" s="84">
        <f>VLOOKUP($A43,'CEM Data Lookup'!$A:$P,13,FALSE)</f>
        <v>2.6278999999999999</v>
      </c>
      <c r="J43" s="84"/>
      <c r="K43" s="84">
        <f>VLOOKUP($A43,'CEM Data Lookup'!$A:$P,15,FALSE)</f>
        <v>6.54E-2</v>
      </c>
      <c r="L43" s="345"/>
      <c r="M43" s="345"/>
      <c r="N43" s="345"/>
      <c r="O43" s="100"/>
      <c r="P43" s="100"/>
    </row>
    <row r="44" spans="1:16" ht="15.75" customHeight="1">
      <c r="A44" s="11" t="str">
        <f>'7.2 CEM DCF'!A43</f>
        <v>TXN</v>
      </c>
      <c r="C44" s="11" t="str">
        <f>'7.2 CEM DCF'!B43</f>
        <v xml:space="preserve">Texas Instruments   </v>
      </c>
      <c r="D44" s="11"/>
      <c r="E44" s="103">
        <f>VLOOKUP($A44,'CEM Data Lookup'!$A:$P,6,FALSE)</f>
        <v>0.85</v>
      </c>
      <c r="F44" s="83"/>
      <c r="G44" s="83">
        <f>VLOOKUP($A44,'CEM Data Lookup'!$A:$P,8,FALSE)</f>
        <v>0.75</v>
      </c>
      <c r="H44" s="11"/>
      <c r="I44" s="84">
        <f>VLOOKUP($A44,'CEM Data Lookup'!$A:$P,13,FALSE)</f>
        <v>2.6589999999999998</v>
      </c>
      <c r="J44" s="84"/>
      <c r="K44" s="84">
        <f>VLOOKUP($A44,'CEM Data Lookup'!$A:$P,15,FALSE)</f>
        <v>6.6199999999999995E-2</v>
      </c>
      <c r="L44" s="345"/>
      <c r="M44" s="345"/>
      <c r="N44" s="345"/>
      <c r="O44" s="100"/>
      <c r="P44" s="100"/>
    </row>
    <row r="45" spans="1:16" ht="15.75" customHeight="1">
      <c r="A45" s="11" t="str">
        <f>'7.2 CEM DCF'!A44</f>
        <v>VRSN</v>
      </c>
      <c r="C45" s="11" t="str">
        <f>'7.2 CEM DCF'!B44</f>
        <v xml:space="preserve">VeriSign Inc.       </v>
      </c>
      <c r="D45" s="11"/>
      <c r="E45" s="103">
        <f>VLOOKUP($A45,'CEM Data Lookup'!$A:$P,6,FALSE)</f>
        <v>0.9</v>
      </c>
      <c r="F45" s="83"/>
      <c r="G45" s="83">
        <f>VLOOKUP($A45,'CEM Data Lookup'!$A:$P,8,FALSE)</f>
        <v>0.78</v>
      </c>
      <c r="H45" s="11"/>
      <c r="I45" s="84">
        <f>VLOOKUP($A45,'CEM Data Lookup'!$A:$P,13,FALSE)</f>
        <v>2.5863</v>
      </c>
      <c r="J45" s="84"/>
      <c r="K45" s="84">
        <f>VLOOKUP($A45,'CEM Data Lookup'!$A:$P,15,FALSE)</f>
        <v>6.4399999999999999E-2</v>
      </c>
      <c r="L45" s="345"/>
      <c r="M45" s="345"/>
      <c r="N45" s="345"/>
      <c r="O45" s="100"/>
      <c r="P45" s="100"/>
    </row>
    <row r="46" spans="1:16" ht="15.75" customHeight="1">
      <c r="A46" s="11" t="str">
        <f>'7.2 CEM DCF'!A45</f>
        <v>WAT</v>
      </c>
      <c r="C46" s="11" t="str">
        <f>'7.2 CEM DCF'!B45</f>
        <v xml:space="preserve">Waters Corp.        </v>
      </c>
      <c r="D46" s="11"/>
      <c r="E46" s="103">
        <f>VLOOKUP($A46,'CEM Data Lookup'!$A:$P,6,FALSE)</f>
        <v>0.95</v>
      </c>
      <c r="F46" s="83"/>
      <c r="G46" s="83">
        <f>VLOOKUP($A46,'CEM Data Lookup'!$A:$P,8,FALSE)</f>
        <v>0.87</v>
      </c>
      <c r="H46" s="11"/>
      <c r="I46" s="84">
        <f>VLOOKUP($A46,'CEM Data Lookup'!$A:$P,13,FALSE)</f>
        <v>2.8031999999999999</v>
      </c>
      <c r="J46" s="84"/>
      <c r="K46" s="84">
        <f>VLOOKUP($A46,'CEM Data Lookup'!$A:$P,15,FALSE)</f>
        <v>6.9800000000000001E-2</v>
      </c>
      <c r="L46" s="345"/>
      <c r="M46" s="345"/>
      <c r="N46" s="345"/>
      <c r="O46" s="100"/>
      <c r="P46" s="100"/>
    </row>
    <row r="47" spans="1:16" ht="15.75" customHeight="1">
      <c r="A47" s="11" t="str">
        <f>'7.2 CEM DCF'!A46</f>
        <v>WSO</v>
      </c>
      <c r="C47" s="11" t="str">
        <f>'7.2 CEM DCF'!B46</f>
        <v xml:space="preserve">Watsco, Inc.        </v>
      </c>
      <c r="D47" s="11"/>
      <c r="E47" s="103">
        <f>VLOOKUP($A47,'CEM Data Lookup'!$A:$P,6,FALSE)</f>
        <v>0.85</v>
      </c>
      <c r="F47" s="83"/>
      <c r="G47" s="83">
        <f>VLOOKUP($A47,'CEM Data Lookup'!$A:$P,8,FALSE)</f>
        <v>0.75</v>
      </c>
      <c r="H47" s="11"/>
      <c r="I47" s="84">
        <f>VLOOKUP($A47,'CEM Data Lookup'!$A:$P,13,FALSE)</f>
        <v>2.6936</v>
      </c>
      <c r="J47" s="84"/>
      <c r="K47" s="84">
        <f>VLOOKUP($A47,'CEM Data Lookup'!$A:$P,15,FALSE)</f>
        <v>6.7100000000000007E-2</v>
      </c>
      <c r="L47" s="345"/>
      <c r="M47" s="345"/>
      <c r="N47" s="345"/>
      <c r="O47" s="100"/>
      <c r="P47" s="100"/>
    </row>
    <row r="48" spans="1:16" ht="15.75" customHeight="1">
      <c r="A48" s="11" t="str">
        <f>'7.2 CEM DCF'!A47</f>
        <v>WU</v>
      </c>
      <c r="C48" s="11" t="str">
        <f>'7.2 CEM DCF'!B47</f>
        <v xml:space="preserve">Western Union       </v>
      </c>
      <c r="D48" s="11"/>
      <c r="E48" s="738">
        <f>VLOOKUP($A48,'CEM Data Lookup'!$A:$P,6,FALSE)</f>
        <v>0.8</v>
      </c>
      <c r="F48" s="83"/>
      <c r="G48" s="738">
        <f>VLOOKUP($A48,'CEM Data Lookup'!$A:$P,8,FALSE)</f>
        <v>0.65</v>
      </c>
      <c r="H48" s="11"/>
      <c r="I48" s="739">
        <f>VLOOKUP($A48,'CEM Data Lookup'!$A:$P,13,FALSE)</f>
        <v>2.7094</v>
      </c>
      <c r="J48" s="84"/>
      <c r="K48" s="739">
        <f>VLOOKUP($A48,'CEM Data Lookup'!$A:$P,15,FALSE)</f>
        <v>6.7400000000000002E-2</v>
      </c>
      <c r="L48" s="345"/>
      <c r="M48" s="345"/>
      <c r="N48" s="345"/>
      <c r="O48" s="100"/>
      <c r="P48" s="100"/>
    </row>
    <row r="49" spans="1:16" ht="15.75" customHeight="1">
      <c r="A49" s="11"/>
      <c r="C49" s="11"/>
      <c r="E49" s="449"/>
      <c r="F49" s="85"/>
      <c r="G49" s="449"/>
      <c r="H49" s="10"/>
      <c r="I49" s="450"/>
      <c r="J49" s="98"/>
      <c r="K49" s="450"/>
      <c r="L49" s="100"/>
      <c r="M49" s="100"/>
      <c r="N49" s="100"/>
      <c r="O49" s="100"/>
      <c r="P49" s="100"/>
    </row>
    <row r="50" spans="1:16" ht="15.75" customHeight="1" thickBot="1">
      <c r="A50" s="3">
        <f>COUNTA(A9:A48)</f>
        <v>39</v>
      </c>
      <c r="C50" s="3" t="s">
        <v>80</v>
      </c>
      <c r="E50" s="97">
        <f>ROUND(AVERAGE(E9:E48),2)</f>
        <v>0.87</v>
      </c>
      <c r="F50" s="85"/>
      <c r="G50" s="97">
        <f>ROUND(AVERAGE(G9:G48),2)</f>
        <v>0.76</v>
      </c>
      <c r="H50" s="10"/>
      <c r="I50" s="99">
        <f>ROUND(AVERAGE(I9:I48),4)</f>
        <v>2.8012999999999999</v>
      </c>
      <c r="J50" s="98"/>
      <c r="K50" s="99">
        <f>ROUND(AVERAGE(K9:K48),4)</f>
        <v>6.9699999999999998E-2</v>
      </c>
      <c r="L50" s="101"/>
      <c r="M50" s="100"/>
      <c r="N50" s="101"/>
      <c r="O50" s="100"/>
      <c r="P50" s="101"/>
    </row>
    <row r="51" spans="1:16" ht="15.75" customHeight="1" thickTop="1">
      <c r="E51" s="85"/>
      <c r="F51" s="85"/>
      <c r="G51" s="85"/>
      <c r="H51" s="10"/>
      <c r="I51" s="100"/>
      <c r="J51" s="100"/>
      <c r="K51" s="100"/>
      <c r="L51" s="100"/>
      <c r="M51" s="100"/>
      <c r="N51" s="100"/>
      <c r="O51" s="100"/>
      <c r="P51" s="100"/>
    </row>
    <row r="52" spans="1:16" ht="31.5" customHeight="1" thickBot="1">
      <c r="C52" s="12" t="str">
        <f>Input!I30</f>
        <v>Proxy Group of Six Natural Gas Companies</v>
      </c>
      <c r="E52" s="97">
        <f>'6.1 Comp Earnings Criteria'!E16</f>
        <v>0.86</v>
      </c>
      <c r="F52" s="473"/>
      <c r="G52" s="97">
        <f>'6.1 Comp Earnings Criteria'!G16</f>
        <v>0.74</v>
      </c>
      <c r="H52" s="473"/>
      <c r="I52" s="99">
        <f>'6.1 Comp Earnings Criteria'!I16</f>
        <v>2.8083</v>
      </c>
      <c r="J52" s="473"/>
      <c r="K52" s="99">
        <f>'6.1 Comp Earnings Criteria'!K16</f>
        <v>6.9900000000000004E-2</v>
      </c>
      <c r="L52" s="101"/>
      <c r="M52" s="101"/>
      <c r="N52" s="101"/>
      <c r="O52" s="101"/>
      <c r="P52" s="101"/>
    </row>
    <row r="53" spans="1:16" ht="16.5" thickTop="1">
      <c r="C53" s="12"/>
      <c r="E53" s="448"/>
      <c r="F53" s="102"/>
      <c r="G53" s="448"/>
      <c r="H53" s="5"/>
      <c r="I53" s="101"/>
      <c r="J53" s="101"/>
      <c r="K53" s="101"/>
      <c r="L53" s="101"/>
      <c r="M53" s="101"/>
      <c r="N53" s="101"/>
      <c r="O53" s="101"/>
      <c r="P53" s="101"/>
    </row>
    <row r="54" spans="1:16">
      <c r="C54" s="3" t="s">
        <v>146</v>
      </c>
      <c r="E54" s="3" t="s">
        <v>4573</v>
      </c>
    </row>
  </sheetData>
  <mergeCells count="3">
    <mergeCell ref="C1:K1"/>
    <mergeCell ref="C2:K2"/>
    <mergeCell ref="C3:K3"/>
  </mergeCells>
  <printOptions horizontalCentered="1"/>
  <pageMargins left="0.7" right="0.7" top="0.75" bottom="0.75" header="0.3" footer="0.3"/>
  <pageSetup scale="70" fitToHeight="2" orientation="portrait" horizontalDpi="4294967294"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27"/>
  <sheetViews>
    <sheetView view="pageBreakPreview" zoomScale="85" zoomScaleNormal="100" zoomScaleSheetLayoutView="85" workbookViewId="0">
      <selection activeCell="B13" sqref="B13"/>
    </sheetView>
  </sheetViews>
  <sheetFormatPr defaultColWidth="9" defaultRowHeight="15.75"/>
  <cols>
    <col min="1" max="1" width="7.5703125" style="216" bestFit="1" customWidth="1"/>
    <col min="2" max="2" width="45.28515625" style="3" customWidth="1"/>
    <col min="3" max="4" width="9.5703125" style="3" customWidth="1"/>
    <col min="5" max="5" width="25.42578125" style="3" customWidth="1"/>
    <col min="6" max="6" width="4.7109375" style="3" customWidth="1"/>
    <col min="7" max="16384" width="9" style="3"/>
  </cols>
  <sheetData>
    <row r="1" spans="1:6" ht="18">
      <c r="A1" s="1" t="str">
        <f>Input!G28</f>
        <v>Peoples Gas System</v>
      </c>
      <c r="B1" s="822"/>
      <c r="C1" s="822"/>
      <c r="D1" s="822"/>
      <c r="E1" s="822"/>
      <c r="F1" s="822"/>
    </row>
    <row r="2" spans="1:6" ht="18">
      <c r="A2" s="2" t="s">
        <v>1425</v>
      </c>
      <c r="B2" s="823"/>
      <c r="C2" s="823"/>
      <c r="D2" s="823"/>
      <c r="E2" s="823"/>
      <c r="F2" s="823"/>
    </row>
    <row r="3" spans="1:6" ht="18">
      <c r="A3" s="2" t="s">
        <v>180</v>
      </c>
      <c r="B3" s="823"/>
      <c r="C3" s="823"/>
      <c r="D3" s="823"/>
      <c r="E3" s="823"/>
      <c r="F3" s="823"/>
    </row>
    <row r="4" spans="1:6" ht="18">
      <c r="A4" s="2" t="s">
        <v>2216</v>
      </c>
      <c r="B4" s="823"/>
      <c r="C4" s="823"/>
      <c r="D4" s="823"/>
      <c r="E4" s="823"/>
      <c r="F4" s="823"/>
    </row>
    <row r="5" spans="1:6" ht="18">
      <c r="A5" s="1" t="str">
        <f>Input!I29</f>
        <v>Utility Proxy Group</v>
      </c>
      <c r="B5" s="822"/>
      <c r="C5" s="822"/>
      <c r="D5" s="822"/>
      <c r="E5" s="822"/>
      <c r="F5" s="822"/>
    </row>
    <row r="6" spans="1:6" ht="18">
      <c r="B6" s="807"/>
      <c r="C6" s="807"/>
      <c r="D6" s="807"/>
      <c r="E6" s="807"/>
      <c r="F6" s="807"/>
    </row>
    <row r="7" spans="1:6" ht="79.5" customHeight="1">
      <c r="A7" s="3"/>
      <c r="B7" s="824" t="s">
        <v>134</v>
      </c>
      <c r="C7" s="807"/>
      <c r="D7" s="807"/>
      <c r="E7" s="1029" t="str">
        <f>Input!I31</f>
        <v>Proxy Group of Thirty Nine Non-Price Regulated Companies</v>
      </c>
      <c r="F7" s="1029"/>
    </row>
    <row r="8" spans="1:6" ht="18">
      <c r="A8" s="3"/>
      <c r="B8" s="807"/>
      <c r="C8" s="807"/>
      <c r="D8" s="807"/>
      <c r="E8" s="807"/>
      <c r="F8" s="807"/>
    </row>
    <row r="9" spans="1:6" ht="36">
      <c r="A9" s="3"/>
      <c r="B9" s="825" t="s">
        <v>135</v>
      </c>
      <c r="C9" s="807"/>
      <c r="D9" s="807"/>
      <c r="E9" s="826">
        <f>'7.2 CEM DCF'!V53</f>
        <v>11.57</v>
      </c>
      <c r="F9" s="827" t="s">
        <v>18</v>
      </c>
    </row>
    <row r="10" spans="1:6" ht="18">
      <c r="A10" s="3"/>
      <c r="B10" s="807"/>
      <c r="C10" s="807"/>
      <c r="D10" s="807"/>
      <c r="E10" s="808"/>
      <c r="F10" s="806"/>
    </row>
    <row r="11" spans="1:6" ht="18">
      <c r="A11" s="3"/>
      <c r="B11" s="825" t="s">
        <v>136</v>
      </c>
      <c r="C11" s="807"/>
      <c r="D11" s="807"/>
      <c r="E11" s="828">
        <f>'7.3 CEM RPM Summary'!H20</f>
        <v>13.304444444444444</v>
      </c>
      <c r="F11" s="806"/>
    </row>
    <row r="12" spans="1:6" ht="18">
      <c r="A12" s="3"/>
      <c r="B12" s="807"/>
      <c r="C12" s="807"/>
      <c r="D12" s="807"/>
      <c r="E12" s="808"/>
      <c r="F12" s="806"/>
    </row>
    <row r="13" spans="1:6" ht="36">
      <c r="A13" s="3"/>
      <c r="B13" s="825" t="s">
        <v>137</v>
      </c>
      <c r="C13" s="807"/>
      <c r="D13" s="807"/>
      <c r="E13" s="829">
        <f>'7.6 CEM CAPM Backup'!V53</f>
        <v>12.32</v>
      </c>
      <c r="F13" s="806"/>
    </row>
    <row r="14" spans="1:6" ht="18">
      <c r="B14" s="807"/>
      <c r="C14" s="807"/>
      <c r="D14" s="807"/>
      <c r="E14" s="808"/>
      <c r="F14" s="806"/>
    </row>
    <row r="15" spans="1:6" ht="18.75" thickBot="1">
      <c r="A15" s="3"/>
      <c r="B15" s="807"/>
      <c r="C15" s="807"/>
      <c r="D15" s="808" t="s">
        <v>1377</v>
      </c>
      <c r="E15" s="830">
        <f>ROUND(AVERAGE(E9:E13),2)</f>
        <v>12.4</v>
      </c>
      <c r="F15" s="806" t="s">
        <v>18</v>
      </c>
    </row>
    <row r="16" spans="1:6" ht="18.75" thickTop="1">
      <c r="A16" s="3"/>
      <c r="B16" s="807"/>
      <c r="C16" s="807"/>
      <c r="D16" s="808"/>
      <c r="E16" s="826"/>
      <c r="F16" s="806"/>
    </row>
    <row r="17" spans="1:6" ht="18.75" thickBot="1">
      <c r="A17" s="3"/>
      <c r="B17" s="807"/>
      <c r="C17" s="807"/>
      <c r="D17" s="808" t="s">
        <v>183</v>
      </c>
      <c r="E17" s="830">
        <f>ROUND(MEDIAN(E9:E13),2)</f>
        <v>12.32</v>
      </c>
      <c r="F17" s="806" t="s">
        <v>18</v>
      </c>
    </row>
    <row r="18" spans="1:6" ht="18.75" thickTop="1">
      <c r="A18" s="3"/>
      <c r="B18" s="807"/>
      <c r="C18" s="807"/>
      <c r="D18" s="808"/>
      <c r="E18" s="826"/>
      <c r="F18" s="806"/>
    </row>
    <row r="19" spans="1:6" ht="18.75" thickBot="1">
      <c r="A19" s="3"/>
      <c r="B19" s="807"/>
      <c r="C19" s="807"/>
      <c r="D19" s="808" t="s">
        <v>1376</v>
      </c>
      <c r="E19" s="830">
        <f>ROUND(AVERAGE(E15:E17),2)</f>
        <v>12.36</v>
      </c>
      <c r="F19" s="806" t="s">
        <v>18</v>
      </c>
    </row>
    <row r="20" spans="1:6" ht="18.75" thickTop="1">
      <c r="A20" s="3"/>
      <c r="B20" s="807"/>
      <c r="C20" s="807"/>
      <c r="D20" s="807"/>
      <c r="E20" s="807"/>
      <c r="F20" s="807"/>
    </row>
    <row r="21" spans="1:6" ht="18">
      <c r="B21" s="807"/>
      <c r="C21" s="807"/>
      <c r="D21" s="807"/>
      <c r="E21" s="807"/>
      <c r="F21" s="807"/>
    </row>
    <row r="22" spans="1:6" ht="18">
      <c r="A22" s="10" t="s">
        <v>94</v>
      </c>
      <c r="B22" s="807"/>
      <c r="C22" s="807"/>
      <c r="D22" s="807"/>
      <c r="E22" s="807"/>
      <c r="F22" s="807"/>
    </row>
    <row r="23" spans="1:6" ht="18">
      <c r="A23" s="230" t="s">
        <v>95</v>
      </c>
      <c r="B23" s="807" t="s">
        <v>4448</v>
      </c>
      <c r="C23" s="807"/>
      <c r="D23" s="807"/>
      <c r="E23" s="807"/>
      <c r="F23" s="807"/>
    </row>
    <row r="24" spans="1:6" ht="18">
      <c r="A24" s="230" t="s">
        <v>96</v>
      </c>
      <c r="B24" s="807" t="s">
        <v>4449</v>
      </c>
      <c r="C24" s="807"/>
      <c r="D24" s="807"/>
      <c r="E24" s="807"/>
      <c r="F24" s="807"/>
    </row>
    <row r="25" spans="1:6" ht="18">
      <c r="A25" s="230" t="s">
        <v>97</v>
      </c>
      <c r="B25" s="807" t="s">
        <v>4450</v>
      </c>
      <c r="C25" s="807"/>
      <c r="D25" s="807"/>
      <c r="E25" s="807"/>
      <c r="F25" s="807"/>
    </row>
    <row r="26" spans="1:6" ht="18">
      <c r="B26" s="807"/>
      <c r="C26" s="807"/>
      <c r="D26" s="807"/>
      <c r="E26" s="807"/>
      <c r="F26" s="807"/>
    </row>
    <row r="27" spans="1:6" ht="18">
      <c r="B27" s="807"/>
      <c r="C27" s="807"/>
      <c r="D27" s="807"/>
      <c r="E27" s="807"/>
      <c r="F27" s="807"/>
    </row>
  </sheetData>
  <mergeCells count="1">
    <mergeCell ref="E7:F7"/>
  </mergeCells>
  <printOptions horizontalCentered="1"/>
  <pageMargins left="0.7" right="0.7" top="0.75" bottom="0.75" header="0.3" footer="0.3"/>
  <pageSetup scale="70" orientation="portrait" horizontalDpi="4294967294"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60"/>
  <sheetViews>
    <sheetView view="pageBreakPreview" topLeftCell="A7" zoomScale="55" zoomScaleNormal="44" zoomScaleSheetLayoutView="55" workbookViewId="0">
      <selection activeCell="P21" sqref="P21"/>
    </sheetView>
  </sheetViews>
  <sheetFormatPr defaultColWidth="9" defaultRowHeight="15.75"/>
  <cols>
    <col min="1" max="1" width="9" style="3"/>
    <col min="2" max="2" width="26" style="3" customWidth="1"/>
    <col min="3" max="3" width="2.7109375" style="3" customWidth="1"/>
    <col min="4" max="4" width="11.5703125" style="3" customWidth="1"/>
    <col min="5" max="5" width="4.28515625" style="3" customWidth="1"/>
    <col min="6" max="6" width="2.7109375" style="3" customWidth="1"/>
    <col min="7" max="7" width="13.28515625" style="3" customWidth="1"/>
    <col min="8" max="8" width="4.28515625" style="3" customWidth="1"/>
    <col min="9" max="9" width="2.7109375" style="3" customWidth="1"/>
    <col min="10" max="10" width="11.5703125" style="3" customWidth="1"/>
    <col min="11" max="11" width="4.28515625" style="3" customWidth="1"/>
    <col min="12" max="12" width="2.7109375" style="3" customWidth="1"/>
    <col min="13" max="13" width="11.5703125" style="3" customWidth="1"/>
    <col min="14" max="14" width="4.28515625" style="3" customWidth="1"/>
    <col min="15" max="15" width="2.7109375" style="3" customWidth="1"/>
    <col min="16" max="16" width="12.5703125" style="3" customWidth="1"/>
    <col min="17" max="17" width="4.28515625" style="3" customWidth="1"/>
    <col min="18" max="18" width="2.7109375" style="3" customWidth="1"/>
    <col min="19" max="19" width="10.5703125" style="3" customWidth="1"/>
    <col min="20" max="20" width="4.28515625" style="3" customWidth="1"/>
    <col min="21" max="21" width="2.7109375" style="3" customWidth="1"/>
    <col min="22" max="22" width="13.28515625" style="3" customWidth="1"/>
    <col min="23" max="23" width="4.28515625" style="3" customWidth="1"/>
    <col min="24" max="25" width="9" style="3"/>
    <col min="26" max="26" width="10.85546875" style="3" customWidth="1"/>
    <col min="27" max="27" width="9" style="3"/>
    <col min="28" max="28" width="9.85546875" style="3" customWidth="1"/>
    <col min="29" max="29" width="10.85546875" style="3" bestFit="1" customWidth="1"/>
    <col min="30" max="37" width="9" style="3"/>
    <col min="38" max="38" width="10" style="3" customWidth="1"/>
    <col min="39" max="16384" width="9" style="3"/>
  </cols>
  <sheetData>
    <row r="1" spans="1:78">
      <c r="B1" s="1" t="str">
        <f>Input!G28</f>
        <v>Peoples Gas System</v>
      </c>
      <c r="C1" s="2"/>
      <c r="D1" s="2"/>
      <c r="E1" s="2"/>
      <c r="F1" s="2"/>
      <c r="G1" s="2"/>
      <c r="H1" s="2"/>
      <c r="I1" s="2"/>
      <c r="J1" s="2"/>
      <c r="K1" s="2"/>
      <c r="L1" s="2"/>
      <c r="M1" s="2"/>
      <c r="N1" s="2"/>
      <c r="O1" s="2"/>
      <c r="P1" s="2"/>
      <c r="Q1" s="2"/>
      <c r="R1" s="2"/>
      <c r="S1" s="2"/>
      <c r="T1" s="2"/>
      <c r="U1" s="2"/>
      <c r="V1" s="2"/>
      <c r="W1" s="2"/>
    </row>
    <row r="2" spans="1:78">
      <c r="B2" s="2" t="s">
        <v>2217</v>
      </c>
      <c r="C2" s="2"/>
      <c r="D2" s="2"/>
      <c r="E2" s="2"/>
      <c r="F2" s="2"/>
      <c r="G2" s="2"/>
      <c r="H2" s="2"/>
      <c r="I2" s="2"/>
      <c r="J2" s="2"/>
      <c r="K2" s="2"/>
      <c r="L2" s="2"/>
      <c r="M2" s="2"/>
      <c r="N2" s="2"/>
      <c r="O2" s="2"/>
      <c r="P2" s="2"/>
      <c r="Q2" s="2"/>
      <c r="R2" s="2"/>
      <c r="S2" s="2"/>
      <c r="T2" s="2"/>
      <c r="U2" s="2"/>
      <c r="V2" s="2"/>
      <c r="W2" s="2"/>
    </row>
    <row r="3" spans="1:78">
      <c r="B3" s="1" t="str">
        <f>Input!I29</f>
        <v>Utility Proxy Group</v>
      </c>
      <c r="C3" s="2"/>
      <c r="D3" s="2"/>
      <c r="E3" s="2"/>
      <c r="F3" s="2"/>
      <c r="G3" s="2"/>
      <c r="H3" s="2"/>
      <c r="I3" s="2"/>
      <c r="J3" s="2"/>
      <c r="K3" s="2"/>
      <c r="L3" s="2"/>
      <c r="M3" s="2"/>
      <c r="N3" s="2"/>
      <c r="O3" s="2"/>
      <c r="P3" s="2"/>
      <c r="Q3" s="2"/>
      <c r="R3" s="2"/>
      <c r="S3" s="2"/>
      <c r="T3" s="2"/>
      <c r="U3" s="2"/>
      <c r="V3" s="2"/>
      <c r="W3" s="2"/>
    </row>
    <row r="4" spans="1:78">
      <c r="S4" s="10"/>
      <c r="V4" s="643"/>
    </row>
    <row r="5" spans="1:78">
      <c r="D5" s="1005" t="s">
        <v>1337</v>
      </c>
      <c r="E5" s="1005"/>
      <c r="F5" s="5"/>
      <c r="G5" s="1005" t="s">
        <v>1336</v>
      </c>
      <c r="H5" s="1005"/>
      <c r="I5" s="5"/>
      <c r="J5" s="1005" t="s">
        <v>1335</v>
      </c>
      <c r="K5" s="1005"/>
      <c r="L5" s="5"/>
      <c r="M5" s="1005" t="s">
        <v>1341</v>
      </c>
      <c r="N5" s="1005"/>
      <c r="O5" s="5"/>
      <c r="P5" s="1005" t="s">
        <v>1342</v>
      </c>
      <c r="Q5" s="1005"/>
      <c r="R5" s="5"/>
      <c r="S5" s="1005" t="s">
        <v>1345</v>
      </c>
      <c r="T5" s="1005"/>
      <c r="U5" s="5"/>
      <c r="V5" s="1005" t="s">
        <v>1346</v>
      </c>
      <c r="W5" s="1005"/>
    </row>
    <row r="7" spans="1:78" ht="98.25" customHeight="1">
      <c r="B7" s="644" t="str">
        <f>Input!I31</f>
        <v>Proxy Group of Thirty Nine Non-Price Regulated Companies</v>
      </c>
      <c r="D7" s="1003" t="s">
        <v>148</v>
      </c>
      <c r="E7" s="1003"/>
      <c r="G7" s="1003" t="s">
        <v>187</v>
      </c>
      <c r="H7" s="1003"/>
      <c r="J7" s="1003" t="s">
        <v>161</v>
      </c>
      <c r="K7" s="1003"/>
      <c r="M7" s="1003" t="s">
        <v>162</v>
      </c>
      <c r="N7" s="1003"/>
      <c r="P7" s="1003" t="s">
        <v>188</v>
      </c>
      <c r="Q7" s="1003"/>
      <c r="S7" s="1003" t="s">
        <v>149</v>
      </c>
      <c r="T7" s="1003"/>
      <c r="V7" s="1003" t="s">
        <v>2212</v>
      </c>
      <c r="W7" s="1003"/>
    </row>
    <row r="8" spans="1:78" ht="15.75" customHeight="1">
      <c r="A8" s="5"/>
      <c r="B8" s="5"/>
      <c r="C8" s="5"/>
      <c r="D8" s="5"/>
      <c r="E8" s="5"/>
      <c r="F8" s="5"/>
      <c r="G8" s="5"/>
      <c r="H8" s="5"/>
      <c r="I8" s="5"/>
      <c r="J8" s="5"/>
      <c r="K8" s="5"/>
      <c r="L8" s="5"/>
      <c r="M8" s="5"/>
      <c r="N8" s="5"/>
      <c r="O8" s="5"/>
      <c r="P8" s="5"/>
      <c r="Q8" s="5"/>
      <c r="R8" s="5"/>
      <c r="S8" s="5"/>
      <c r="T8" s="5"/>
      <c r="U8" s="5"/>
      <c r="V8" s="5"/>
      <c r="W8" s="5"/>
      <c r="X8" s="5"/>
      <c r="Y8" s="639"/>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row>
    <row r="9" spans="1:78" ht="15.75" customHeight="1">
      <c r="A9" s="640" t="str">
        <f>Input!C2</f>
        <v>A</v>
      </c>
      <c r="B9" s="640" t="str">
        <f>VLOOKUP($A9,'CEM Data Lookup'!$A$4:$P$60,2,FALSE)</f>
        <v>Agilent Technologies</v>
      </c>
      <c r="C9" s="5"/>
      <c r="D9" s="247">
        <f>HLOOKUP(A9&amp;" US Equity",'CEM PricesDivs'!$B$3:$WS$69,67,FALSE)</f>
        <v>0.63</v>
      </c>
      <c r="E9" s="5" t="s">
        <v>18</v>
      </c>
      <c r="F9" s="5"/>
      <c r="G9" s="445">
        <f>IFERROR('CEM Data Lookup'!E4*100,"NA")</f>
        <v>12</v>
      </c>
      <c r="H9" s="5" t="s">
        <v>18</v>
      </c>
      <c r="I9" s="5"/>
      <c r="J9" s="446">
        <f>IFERROR('CEM Data Lookup'!C4*100,"NA")</f>
        <v>10</v>
      </c>
      <c r="K9" s="5" t="s">
        <v>18</v>
      </c>
      <c r="L9" s="5"/>
      <c r="M9" s="497">
        <f>IFERROR('CEM Data Lookup'!D4*100,"NA")</f>
        <v>11.97</v>
      </c>
      <c r="N9" s="5" t="s">
        <v>18</v>
      </c>
      <c r="O9" s="5"/>
      <c r="P9" s="445">
        <f>IFERROR(ROUND(AVERAGE(G9,J9,M9),2),"NA")</f>
        <v>11.32</v>
      </c>
      <c r="Q9" s="5" t="s">
        <v>18</v>
      </c>
      <c r="R9" s="5"/>
      <c r="S9" s="641">
        <f>IFERROR(ROUND((D9*(1+(0.5*(P9/100)))),2),"NA")</f>
        <v>0.67</v>
      </c>
      <c r="T9" s="5" t="s">
        <v>18</v>
      </c>
      <c r="U9" s="5"/>
      <c r="V9" s="641">
        <f>IFERROR(IF(OR(VALUE(S9)=0,VALUE(P9)=0),"NA",S9+P9),"NA")</f>
        <v>11.99</v>
      </c>
      <c r="W9" s="5" t="s">
        <v>18</v>
      </c>
      <c r="X9" s="5"/>
      <c r="Y9" s="470"/>
      <c r="Z9" s="474"/>
      <c r="AA9" s="474"/>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row>
    <row r="10" spans="1:78" ht="15.75" customHeight="1">
      <c r="A10" s="640" t="str">
        <f>Input!C3</f>
        <v>ABT</v>
      </c>
      <c r="B10" s="640" t="str">
        <f>VLOOKUP($A10,'CEM Data Lookup'!$A$4:$P$60,2,FALSE)</f>
        <v xml:space="preserve">Abbott Labs.        </v>
      </c>
      <c r="C10" s="5"/>
      <c r="D10" s="247">
        <f>HLOOKUP(A10&amp;" US Equity",'CEM PricesDivs'!$B$3:$WS$69,67,FALSE)</f>
        <v>1.97</v>
      </c>
      <c r="E10" s="5"/>
      <c r="F10" s="5"/>
      <c r="G10" s="445">
        <f>IFERROR('CEM Data Lookup'!E5*100,"NA")</f>
        <v>7.0000000000000009</v>
      </c>
      <c r="H10" s="5"/>
      <c r="I10" s="5"/>
      <c r="J10" s="446">
        <f>IFERROR('CEM Data Lookup'!C5*100,"NA")</f>
        <v>5.0999999999999996</v>
      </c>
      <c r="K10" s="5"/>
      <c r="L10" s="5"/>
      <c r="M10" s="497">
        <f>IFERROR('CEM Data Lookup'!D5*100,"NA")</f>
        <v>8.3000000000000007</v>
      </c>
      <c r="N10" s="5"/>
      <c r="O10" s="5"/>
      <c r="P10" s="445">
        <f t="shared" ref="P10:P46" si="0">IFERROR(ROUND(AVERAGE(G10,J10,M10),2),"NA")</f>
        <v>6.8</v>
      </c>
      <c r="Q10" s="5"/>
      <c r="R10" s="5"/>
      <c r="S10" s="641">
        <f t="shared" ref="S10:S47" si="1">IFERROR(ROUND((D10*(1+(0.5*(P10/100)))),2),"NA")</f>
        <v>2.04</v>
      </c>
      <c r="T10" s="5"/>
      <c r="U10" s="5"/>
      <c r="V10" s="641">
        <f t="shared" ref="V10:V47" si="2">IFERROR(IF(OR(VALUE(S10)=0,VALUE(P10)=0),"NA",S10+P10),"NA")</f>
        <v>8.84</v>
      </c>
      <c r="W10" s="5"/>
      <c r="X10" s="5"/>
      <c r="Y10" s="475"/>
      <c r="Z10" s="474"/>
      <c r="AA10" s="474"/>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row>
    <row r="11" spans="1:78" ht="15.75" customHeight="1">
      <c r="A11" s="640" t="str">
        <f>Input!C4</f>
        <v>ADI</v>
      </c>
      <c r="B11" s="640" t="str">
        <f>VLOOKUP($A11,'CEM Data Lookup'!$A$4:$P$60,2,FALSE)</f>
        <v xml:space="preserve">Analog Devices      </v>
      </c>
      <c r="C11" s="5"/>
      <c r="D11" s="247">
        <f>HLOOKUP(A11&amp;" US Equity",'CEM PricesDivs'!$B$3:$WS$69,67,FALSE)</f>
        <v>1.94</v>
      </c>
      <c r="E11" s="5"/>
      <c r="F11" s="5"/>
      <c r="G11" s="445">
        <f>IFERROR('CEM Data Lookup'!E6*100,"NA")</f>
        <v>11.5</v>
      </c>
      <c r="H11" s="5"/>
      <c r="I11" s="5"/>
      <c r="J11" s="446">
        <f>IFERROR('CEM Data Lookup'!C6*100,"NA")</f>
        <v>12.3</v>
      </c>
      <c r="K11" s="5"/>
      <c r="L11" s="5"/>
      <c r="M11" s="497">
        <f>IFERROR('CEM Data Lookup'!D6*100,"NA")</f>
        <v>14.87</v>
      </c>
      <c r="N11" s="5"/>
      <c r="O11" s="5"/>
      <c r="P11" s="445">
        <f t="shared" si="0"/>
        <v>12.89</v>
      </c>
      <c r="Q11" s="5"/>
      <c r="R11" s="5"/>
      <c r="S11" s="641">
        <f t="shared" si="1"/>
        <v>2.0699999999999998</v>
      </c>
      <c r="T11" s="5"/>
      <c r="U11" s="5"/>
      <c r="V11" s="641">
        <f t="shared" si="2"/>
        <v>14.96</v>
      </c>
      <c r="W11" s="5"/>
      <c r="X11" s="5"/>
      <c r="Y11" s="470"/>
      <c r="Z11" s="474"/>
      <c r="AA11" s="474"/>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row>
    <row r="12" spans="1:78" ht="15.75" customHeight="1">
      <c r="A12" s="640" t="str">
        <f>Input!C5</f>
        <v>AIZ</v>
      </c>
      <c r="B12" s="640" t="str">
        <f>VLOOKUP($A12,'CEM Data Lookup'!$A$4:$P$60,2,FALSE)</f>
        <v xml:space="preserve">Assurant Inc.       </v>
      </c>
      <c r="C12" s="5"/>
      <c r="D12" s="247">
        <f>HLOOKUP(A12&amp;" US Equity",'CEM PricesDivs'!$B$3:$WS$69,67,FALSE)</f>
        <v>2.12</v>
      </c>
      <c r="E12" s="5"/>
      <c r="F12" s="5"/>
      <c r="G12" s="445">
        <f>IFERROR('CEM Data Lookup'!E7*100,"NA")</f>
        <v>15.5</v>
      </c>
      <c r="H12" s="5"/>
      <c r="I12" s="5"/>
      <c r="J12" s="446">
        <f>IFERROR('CEM Data Lookup'!C7*100,"NA")</f>
        <v>12.7</v>
      </c>
      <c r="K12" s="5"/>
      <c r="L12" s="5"/>
      <c r="M12" s="497">
        <f>IFERROR('CEM Data Lookup'!D7*100,"NA")</f>
        <v>17.399999999999999</v>
      </c>
      <c r="N12" s="5"/>
      <c r="O12" s="5"/>
      <c r="P12" s="445">
        <f t="shared" si="0"/>
        <v>15.2</v>
      </c>
      <c r="Q12" s="5"/>
      <c r="R12" s="5"/>
      <c r="S12" s="641">
        <f t="shared" si="1"/>
        <v>2.2799999999999998</v>
      </c>
      <c r="T12" s="5"/>
      <c r="U12" s="5"/>
      <c r="V12" s="641">
        <f t="shared" si="2"/>
        <v>17.48</v>
      </c>
      <c r="W12" s="5"/>
      <c r="X12" s="5"/>
      <c r="Y12" s="470"/>
      <c r="Z12" s="474"/>
      <c r="AA12" s="474"/>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row>
    <row r="13" spans="1:78" ht="15.75" customHeight="1">
      <c r="A13" s="640" t="str">
        <f>Input!C6</f>
        <v>AOS</v>
      </c>
      <c r="B13" s="640" t="str">
        <f>VLOOKUP($A13,'CEM Data Lookup'!$A$4:$P$60,2,FALSE)</f>
        <v xml:space="preserve">Smith (A.O.)        </v>
      </c>
      <c r="C13" s="5"/>
      <c r="D13" s="247">
        <f>HLOOKUP(A13&amp;" US Equity",'CEM PricesDivs'!$B$3:$WS$69,67,FALSE)</f>
        <v>2.14</v>
      </c>
      <c r="E13" s="5"/>
      <c r="F13" s="5"/>
      <c r="G13" s="445">
        <f>IFERROR('CEM Data Lookup'!E8*100,"NA")</f>
        <v>11.5</v>
      </c>
      <c r="H13" s="5"/>
      <c r="I13" s="5"/>
      <c r="J13" s="446">
        <f>IFERROR('CEM Data Lookup'!C8*100,"NA")</f>
        <v>9</v>
      </c>
      <c r="K13" s="5"/>
      <c r="L13" s="5"/>
      <c r="M13" s="497">
        <f>IFERROR('CEM Data Lookup'!D8*100,"NA")</f>
        <v>8</v>
      </c>
      <c r="N13" s="5"/>
      <c r="O13" s="5"/>
      <c r="P13" s="445">
        <f t="shared" si="0"/>
        <v>9.5</v>
      </c>
      <c r="Q13" s="5"/>
      <c r="R13" s="5"/>
      <c r="S13" s="641">
        <f t="shared" si="1"/>
        <v>2.2400000000000002</v>
      </c>
      <c r="T13" s="5"/>
      <c r="U13" s="5"/>
      <c r="V13" s="641">
        <f t="shared" si="2"/>
        <v>11.74</v>
      </c>
      <c r="W13" s="5"/>
      <c r="X13" s="5"/>
      <c r="Y13" s="241"/>
      <c r="Z13" s="474"/>
      <c r="AA13" s="474"/>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row>
    <row r="14" spans="1:78" ht="15.75" customHeight="1">
      <c r="A14" s="640" t="str">
        <f>Input!C7</f>
        <v>APD</v>
      </c>
      <c r="B14" s="640" t="str">
        <f>VLOOKUP($A14,'CEM Data Lookup'!$A$4:$P$60,2,FALSE)</f>
        <v>Air Products &amp; Chem.</v>
      </c>
      <c r="C14" s="5"/>
      <c r="D14" s="247">
        <f>HLOOKUP(A14&amp;" US Equity",'CEM PricesDivs'!$B$3:$WS$69,67,FALSE)</f>
        <v>2.2799999999999998</v>
      </c>
      <c r="E14" s="5"/>
      <c r="F14" s="5"/>
      <c r="G14" s="445">
        <f>IFERROR('CEM Data Lookup'!E9*100,"NA")</f>
        <v>11</v>
      </c>
      <c r="H14" s="5"/>
      <c r="I14" s="5"/>
      <c r="J14" s="446">
        <f>IFERROR('CEM Data Lookup'!C9*100,"NA")</f>
        <v>12.2</v>
      </c>
      <c r="K14" s="5"/>
      <c r="L14" s="5"/>
      <c r="M14" s="497">
        <f>IFERROR('CEM Data Lookup'!D9*100,"NA")</f>
        <v>10.65</v>
      </c>
      <c r="N14" s="5"/>
      <c r="O14" s="5"/>
      <c r="P14" s="445">
        <f t="shared" si="0"/>
        <v>11.28</v>
      </c>
      <c r="Q14" s="5"/>
      <c r="R14" s="5"/>
      <c r="S14" s="641">
        <f t="shared" si="1"/>
        <v>2.41</v>
      </c>
      <c r="T14" s="5"/>
      <c r="U14" s="5"/>
      <c r="V14" s="641">
        <f t="shared" si="2"/>
        <v>13.69</v>
      </c>
      <c r="W14" s="5"/>
      <c r="X14" s="5"/>
      <c r="Y14" s="241"/>
      <c r="Z14" s="474"/>
      <c r="AA14" s="474"/>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row>
    <row r="15" spans="1:78" ht="15.75" customHeight="1">
      <c r="A15" s="640" t="str">
        <f>Input!C8</f>
        <v>BFB</v>
      </c>
      <c r="B15" s="640" t="str">
        <f>VLOOKUP($A15,'CEM Data Lookup'!$A$4:$P$60,2,FALSE)</f>
        <v xml:space="preserve">Brown-Forman 'B'    </v>
      </c>
      <c r="C15" s="5"/>
      <c r="D15" s="247">
        <f>HLOOKUP(A15&amp;" US Equity",'CEM PricesDivs'!$B$3:$WS$69,67,FALSE)</f>
        <v>1.21</v>
      </c>
      <c r="E15" s="5"/>
      <c r="F15" s="5"/>
      <c r="G15" s="445">
        <f>IFERROR('CEM Data Lookup'!E10*100,"NA")</f>
        <v>14.499999999999998</v>
      </c>
      <c r="H15" s="5"/>
      <c r="I15" s="5"/>
      <c r="J15" s="446" t="str">
        <f>IFERROR('CEM Data Lookup'!C10*100,"NA")</f>
        <v>NA</v>
      </c>
      <c r="K15" s="5"/>
      <c r="L15" s="5"/>
      <c r="M15" s="497">
        <f>IFERROR('CEM Data Lookup'!D10*100,"NA")</f>
        <v>8.6199999999999992</v>
      </c>
      <c r="N15" s="5"/>
      <c r="O15" s="5"/>
      <c r="P15" s="445">
        <f t="shared" si="0"/>
        <v>11.56</v>
      </c>
      <c r="Q15" s="5"/>
      <c r="R15" s="5"/>
      <c r="S15" s="641">
        <f t="shared" si="1"/>
        <v>1.28</v>
      </c>
      <c r="T15" s="5"/>
      <c r="U15" s="5"/>
      <c r="V15" s="641">
        <f t="shared" si="2"/>
        <v>12.84</v>
      </c>
      <c r="W15" s="5"/>
      <c r="X15" s="5"/>
      <c r="Y15" s="474"/>
      <c r="Z15" s="474"/>
      <c r="AA15" s="474"/>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row>
    <row r="16" spans="1:78" ht="15.75" customHeight="1">
      <c r="A16" s="640" t="str">
        <f>Input!C9</f>
        <v>BMY</v>
      </c>
      <c r="B16" s="640" t="str">
        <f>VLOOKUP($A16,'CEM Data Lookup'!$A$4:$P$60,2,FALSE)</f>
        <v>Bristol-Myers Squibb</v>
      </c>
      <c r="C16" s="5"/>
      <c r="D16" s="247">
        <f>HLOOKUP(A16&amp;" US Equity",'CEM PricesDivs'!$B$3:$WS$69,67,FALSE)</f>
        <v>3.02</v>
      </c>
      <c r="E16" s="5"/>
      <c r="F16" s="5"/>
      <c r="G16" s="445" t="str">
        <f>IFERROR('CEM Data Lookup'!E11*100,"NA")</f>
        <v>NA</v>
      </c>
      <c r="H16" s="5"/>
      <c r="I16" s="5"/>
      <c r="J16" s="446">
        <f>IFERROR('CEM Data Lookup'!C11*100,"NA")</f>
        <v>5.6000000000000005</v>
      </c>
      <c r="K16" s="5"/>
      <c r="L16" s="5"/>
      <c r="M16" s="497">
        <f>IFERROR('CEM Data Lookup'!D11*100,"NA")</f>
        <v>4.1399999999999997</v>
      </c>
      <c r="N16" s="5"/>
      <c r="O16" s="5"/>
      <c r="P16" s="445">
        <f t="shared" si="0"/>
        <v>4.87</v>
      </c>
      <c r="Q16" s="5"/>
      <c r="R16" s="5"/>
      <c r="S16" s="641">
        <f t="shared" si="1"/>
        <v>3.09</v>
      </c>
      <c r="T16" s="5"/>
      <c r="U16" s="5"/>
      <c r="V16" s="641">
        <f t="shared" si="2"/>
        <v>7.96</v>
      </c>
      <c r="W16" s="5"/>
      <c r="X16" s="5"/>
      <c r="Y16" s="474"/>
      <c r="Z16" s="474"/>
      <c r="AA16" s="474"/>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row>
    <row r="17" spans="1:62" ht="15.75" customHeight="1">
      <c r="A17" s="640" t="str">
        <f>Input!C10</f>
        <v>BR</v>
      </c>
      <c r="B17" s="640" t="str">
        <f>VLOOKUP($A17,'CEM Data Lookup'!$A$4:$P$60,2,FALSE)</f>
        <v xml:space="preserve">Broadridge Fin'l    </v>
      </c>
      <c r="C17" s="5"/>
      <c r="D17" s="247">
        <f>HLOOKUP(A17&amp;" US Equity",'CEM PricesDivs'!$B$3:$WS$69,67,FALSE)</f>
        <v>2.0499999999999998</v>
      </c>
      <c r="E17" s="5"/>
      <c r="F17" s="5"/>
      <c r="G17" s="445">
        <f>IFERROR('CEM Data Lookup'!E12*100,"NA")</f>
        <v>9.5</v>
      </c>
      <c r="H17" s="5"/>
      <c r="I17" s="5"/>
      <c r="J17" s="446" t="str">
        <f>IFERROR('CEM Data Lookup'!C12*100,"NA")</f>
        <v>NA</v>
      </c>
      <c r="K17" s="5"/>
      <c r="L17" s="5"/>
      <c r="M17" s="497">
        <f>IFERROR('CEM Data Lookup'!D12*100,"NA")</f>
        <v>11.799999999999999</v>
      </c>
      <c r="N17" s="5"/>
      <c r="O17" s="5"/>
      <c r="P17" s="445">
        <f t="shared" si="0"/>
        <v>10.65</v>
      </c>
      <c r="Q17" s="5"/>
      <c r="R17" s="5"/>
      <c r="S17" s="641">
        <f t="shared" si="1"/>
        <v>2.16</v>
      </c>
      <c r="T17" s="5"/>
      <c r="U17" s="5"/>
      <c r="V17" s="641">
        <f t="shared" si="2"/>
        <v>12.81</v>
      </c>
      <c r="W17" s="5"/>
      <c r="X17" s="5"/>
      <c r="Y17" s="474"/>
      <c r="Z17" s="474"/>
      <c r="AA17" s="474"/>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row>
    <row r="18" spans="1:62" ht="15.75" customHeight="1">
      <c r="A18" s="640" t="str">
        <f>Input!C11</f>
        <v>CACI</v>
      </c>
      <c r="B18" s="640" t="str">
        <f>VLOOKUP($A18,'CEM Data Lookup'!$A$4:$P$60,2,FALSE)</f>
        <v xml:space="preserve">CACI Int'l          </v>
      </c>
      <c r="C18" s="5"/>
      <c r="D18" s="247">
        <f>HLOOKUP(A18&amp;" US Equity",'CEM PricesDivs'!$B$3:$WS$69,67,FALSE)</f>
        <v>0</v>
      </c>
      <c r="E18" s="5"/>
      <c r="F18" s="5"/>
      <c r="G18" s="445">
        <f>IFERROR('CEM Data Lookup'!E13*100,"NA")</f>
        <v>7.0000000000000009</v>
      </c>
      <c r="H18" s="5"/>
      <c r="I18" s="5"/>
      <c r="J18" s="446">
        <f>IFERROR('CEM Data Lookup'!C13*100,"NA")</f>
        <v>6.7</v>
      </c>
      <c r="K18" s="5"/>
      <c r="L18" s="5"/>
      <c r="M18" s="497">
        <f>IFERROR('CEM Data Lookup'!D13*100,"NA")</f>
        <v>2.4</v>
      </c>
      <c r="N18" s="5"/>
      <c r="O18" s="5"/>
      <c r="P18" s="445">
        <f t="shared" si="0"/>
        <v>5.37</v>
      </c>
      <c r="Q18" s="5"/>
      <c r="R18" s="5"/>
      <c r="S18" s="641">
        <f t="shared" si="1"/>
        <v>0</v>
      </c>
      <c r="T18" s="5"/>
      <c r="U18" s="5"/>
      <c r="V18" s="641" t="str">
        <f t="shared" si="2"/>
        <v>NA</v>
      </c>
      <c r="W18" s="5"/>
      <c r="X18" s="5"/>
      <c r="Y18" s="474"/>
      <c r="Z18" s="474"/>
      <c r="AA18" s="474"/>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row>
    <row r="19" spans="1:62" ht="15.75" customHeight="1">
      <c r="A19" s="640" t="str">
        <f>Input!C12</f>
        <v>CHE</v>
      </c>
      <c r="B19" s="640" t="str">
        <f>VLOOKUP($A19,'CEM Data Lookup'!$A$4:$P$60,2,FALSE)</f>
        <v xml:space="preserve">Chemed Corp.        </v>
      </c>
      <c r="C19" s="5"/>
      <c r="D19" s="247">
        <f>HLOOKUP(A19&amp;" US Equity",'CEM PricesDivs'!$B$3:$WS$69,67,FALSE)</f>
        <v>0.31</v>
      </c>
      <c r="E19" s="5"/>
      <c r="F19" s="5"/>
      <c r="G19" s="445">
        <f>IFERROR('CEM Data Lookup'!E14*100,"NA")</f>
        <v>7.0000000000000009</v>
      </c>
      <c r="H19" s="5"/>
      <c r="I19" s="5"/>
      <c r="J19" s="446">
        <f>IFERROR('CEM Data Lookup'!C14*100,"NA")</f>
        <v>6.9</v>
      </c>
      <c r="K19" s="5"/>
      <c r="L19" s="5"/>
      <c r="M19" s="497">
        <f>IFERROR('CEM Data Lookup'!D14*100,"NA")</f>
        <v>6.9500000000000011</v>
      </c>
      <c r="N19" s="5"/>
      <c r="O19" s="5"/>
      <c r="P19" s="445">
        <f t="shared" si="0"/>
        <v>6.95</v>
      </c>
      <c r="Q19" s="5"/>
      <c r="R19" s="5"/>
      <c r="S19" s="641">
        <f t="shared" si="1"/>
        <v>0.32</v>
      </c>
      <c r="T19" s="5"/>
      <c r="U19" s="5"/>
      <c r="V19" s="641">
        <f t="shared" si="2"/>
        <v>7.2700000000000005</v>
      </c>
      <c r="W19" s="5"/>
      <c r="X19" s="5"/>
      <c r="Y19" s="474"/>
      <c r="Z19" s="474"/>
      <c r="AA19" s="474"/>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row>
    <row r="20" spans="1:62" ht="15.75" customHeight="1">
      <c r="A20" s="640" t="str">
        <f>Input!C13</f>
        <v>CSWI</v>
      </c>
      <c r="B20" s="640" t="str">
        <f>VLOOKUP($A20,'CEM Data Lookup'!$A$4:$P$60,2,FALSE)</f>
        <v xml:space="preserve">CSW Industrials     </v>
      </c>
      <c r="C20" s="5"/>
      <c r="D20" s="247">
        <f>HLOOKUP(A20&amp;" US Equity",'CEM PricesDivs'!$B$3:$WS$69,67,FALSE)</f>
        <v>0.56999999999999995</v>
      </c>
      <c r="E20" s="5"/>
      <c r="F20" s="5"/>
      <c r="G20" s="445">
        <f>IFERROR('CEM Data Lookup'!E15*100,"NA")</f>
        <v>11.5</v>
      </c>
      <c r="H20" s="5"/>
      <c r="I20" s="5"/>
      <c r="J20" s="446" t="str">
        <f>IFERROR('CEM Data Lookup'!C15*100,"NA")</f>
        <v>NA</v>
      </c>
      <c r="K20" s="5"/>
      <c r="L20" s="5"/>
      <c r="M20" s="497">
        <f>IFERROR('CEM Data Lookup'!D15*100,"NA")</f>
        <v>12</v>
      </c>
      <c r="N20" s="5"/>
      <c r="O20" s="5"/>
      <c r="P20" s="445">
        <f t="shared" si="0"/>
        <v>11.75</v>
      </c>
      <c r="Q20" s="5"/>
      <c r="R20" s="5"/>
      <c r="S20" s="641">
        <f t="shared" si="1"/>
        <v>0.6</v>
      </c>
      <c r="T20" s="5"/>
      <c r="U20" s="5"/>
      <c r="V20" s="641">
        <f t="shared" si="2"/>
        <v>12.35</v>
      </c>
      <c r="W20" s="5"/>
      <c r="X20" s="5"/>
      <c r="Y20" s="474"/>
      <c r="Z20" s="474"/>
      <c r="AA20" s="474"/>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row>
    <row r="21" spans="1:62" ht="15.75" customHeight="1">
      <c r="A21" s="640" t="str">
        <f>Input!C14</f>
        <v>DGX</v>
      </c>
      <c r="B21" s="640" t="str">
        <f>VLOOKUP($A21,'CEM Data Lookup'!$A$4:$P$60,2,FALSE)</f>
        <v xml:space="preserve">Quest Diagnostics   </v>
      </c>
      <c r="C21" s="5"/>
      <c r="D21" s="247">
        <f>HLOOKUP(A21&amp;" US Equity",'CEM PricesDivs'!$B$3:$WS$69,67,FALSE)</f>
        <v>1.83</v>
      </c>
      <c r="E21" s="5"/>
      <c r="F21" s="5"/>
      <c r="G21" s="445">
        <f>IFERROR('CEM Data Lookup'!E16*100,"NA")</f>
        <v>4</v>
      </c>
      <c r="H21" s="5"/>
      <c r="I21" s="5"/>
      <c r="J21" s="446" t="str">
        <f>IFERROR('CEM Data Lookup'!C16*100,"NA")</f>
        <v>NA</v>
      </c>
      <c r="K21" s="5"/>
      <c r="L21" s="5"/>
      <c r="M21" s="497">
        <f>IFERROR('CEM Data Lookup'!D16*100,"NA")</f>
        <v>-15.6</v>
      </c>
      <c r="N21" s="5"/>
      <c r="O21" s="5"/>
      <c r="P21" s="445">
        <f>IFERROR(ROUND(AVERAGE(G21,J21),2),"NA")</f>
        <v>4</v>
      </c>
      <c r="Q21" s="5"/>
      <c r="R21" s="5"/>
      <c r="S21" s="641">
        <f t="shared" si="1"/>
        <v>1.87</v>
      </c>
      <c r="T21" s="5"/>
      <c r="U21" s="5"/>
      <c r="V21" s="641">
        <f t="shared" si="2"/>
        <v>5.87</v>
      </c>
      <c r="W21" s="5"/>
      <c r="X21" s="5"/>
      <c r="Y21" s="474"/>
      <c r="Z21" s="474"/>
      <c r="AA21" s="474"/>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row>
    <row r="22" spans="1:62" ht="15.75" customHeight="1">
      <c r="A22" s="640" t="str">
        <f>Input!C15</f>
        <v>EXPO</v>
      </c>
      <c r="B22" s="640" t="str">
        <f>VLOOKUP($A22,'CEM Data Lookup'!$A$4:$P$60,2,FALSE)</f>
        <v xml:space="preserve">Exponent, Inc.      </v>
      </c>
      <c r="C22" s="5"/>
      <c r="D22" s="247">
        <f>HLOOKUP(A22&amp;" US Equity",'CEM PricesDivs'!$B$3:$WS$69,67,FALSE)</f>
        <v>0.98</v>
      </c>
      <c r="E22" s="5"/>
      <c r="F22" s="5"/>
      <c r="G22" s="445">
        <f>IFERROR('CEM Data Lookup'!E17*100,"NA")</f>
        <v>10.5</v>
      </c>
      <c r="H22" s="5"/>
      <c r="I22" s="5"/>
      <c r="J22" s="446" t="str">
        <f>IFERROR('CEM Data Lookup'!C17*100,"NA")</f>
        <v>NA</v>
      </c>
      <c r="K22" s="5"/>
      <c r="L22" s="5"/>
      <c r="M22" s="497">
        <f>IFERROR('CEM Data Lookup'!D17*100,"NA")</f>
        <v>15</v>
      </c>
      <c r="N22" s="5"/>
      <c r="O22" s="5"/>
      <c r="P22" s="445">
        <f t="shared" si="0"/>
        <v>12.75</v>
      </c>
      <c r="Q22" s="5"/>
      <c r="R22" s="5"/>
      <c r="S22" s="641">
        <f t="shared" si="1"/>
        <v>1.04</v>
      </c>
      <c r="T22" s="5"/>
      <c r="U22" s="5"/>
      <c r="V22" s="641">
        <f t="shared" si="2"/>
        <v>13.79</v>
      </c>
      <c r="W22" s="5"/>
      <c r="X22" s="5"/>
      <c r="Y22" s="474"/>
      <c r="Z22" s="474"/>
      <c r="AA22" s="474"/>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row>
    <row r="23" spans="1:62" ht="15.75" customHeight="1">
      <c r="A23" s="640" t="str">
        <f>Input!C16</f>
        <v>INGR</v>
      </c>
      <c r="B23" s="640" t="str">
        <f>VLOOKUP($A23,'CEM Data Lookup'!$A$4:$P$60,2,FALSE)</f>
        <v xml:space="preserve">Ingredion Inc.      </v>
      </c>
      <c r="C23" s="5"/>
      <c r="D23" s="247">
        <f>HLOOKUP(A23&amp;" US Equity",'CEM PricesDivs'!$B$3:$WS$69,67,FALSE)</f>
        <v>3.06</v>
      </c>
      <c r="E23" s="5"/>
      <c r="F23" s="5"/>
      <c r="G23" s="445">
        <f>IFERROR('CEM Data Lookup'!E18*100,"NA")</f>
        <v>8</v>
      </c>
      <c r="H23" s="5"/>
      <c r="I23" s="5"/>
      <c r="J23" s="446" t="str">
        <f>IFERROR('CEM Data Lookup'!C18*100,"NA")</f>
        <v>NA</v>
      </c>
      <c r="K23" s="5"/>
      <c r="L23" s="5"/>
      <c r="M23" s="497">
        <f>IFERROR('CEM Data Lookup'!D18*100,"NA")</f>
        <v>9.9</v>
      </c>
      <c r="N23" s="5"/>
      <c r="O23" s="5"/>
      <c r="P23" s="445">
        <f t="shared" si="0"/>
        <v>8.9499999999999993</v>
      </c>
      <c r="Q23" s="5"/>
      <c r="R23" s="5"/>
      <c r="S23" s="641">
        <f t="shared" si="1"/>
        <v>3.2</v>
      </c>
      <c r="T23" s="5"/>
      <c r="U23" s="5"/>
      <c r="V23" s="641">
        <f t="shared" si="2"/>
        <v>12.149999999999999</v>
      </c>
      <c r="W23" s="5"/>
      <c r="X23" s="5"/>
      <c r="Y23" s="474"/>
      <c r="Z23" s="474"/>
      <c r="AA23" s="474"/>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row>
    <row r="24" spans="1:62" ht="15.75" customHeight="1">
      <c r="A24" s="640" t="str">
        <f>Input!C17</f>
        <v>JJSF</v>
      </c>
      <c r="B24" s="640" t="str">
        <f>VLOOKUP($A24,'CEM Data Lookup'!$A$4:$P$60,2,FALSE)</f>
        <v xml:space="preserve">J&amp;J Snack Foods     </v>
      </c>
      <c r="C24" s="5"/>
      <c r="D24" s="247">
        <f>HLOOKUP(A24&amp;" US Equity",'CEM PricesDivs'!$B$3:$WS$69,67,FALSE)</f>
        <v>1.88</v>
      </c>
      <c r="E24" s="5"/>
      <c r="F24" s="5"/>
      <c r="G24" s="445">
        <f>IFERROR('CEM Data Lookup'!E19*100,"NA")</f>
        <v>9</v>
      </c>
      <c r="H24" s="5"/>
      <c r="I24" s="5"/>
      <c r="J24" s="446" t="str">
        <f>IFERROR('CEM Data Lookup'!C19*100,"NA")</f>
        <v>NA</v>
      </c>
      <c r="K24" s="5"/>
      <c r="L24" s="5"/>
      <c r="M24" s="497">
        <f>IFERROR('CEM Data Lookup'!D19*100,"NA")</f>
        <v>73.099999999999994</v>
      </c>
      <c r="N24" s="5"/>
      <c r="O24" s="5"/>
      <c r="P24" s="445">
        <f>IFERROR(ROUND(AVERAGE(G24,J24),2),"NA")</f>
        <v>9</v>
      </c>
      <c r="Q24" s="5"/>
      <c r="R24" s="5"/>
      <c r="S24" s="641">
        <f t="shared" si="1"/>
        <v>1.96</v>
      </c>
      <c r="T24" s="5"/>
      <c r="U24" s="5"/>
      <c r="V24" s="641">
        <f t="shared" si="2"/>
        <v>10.96</v>
      </c>
      <c r="W24" s="5"/>
      <c r="X24" s="5"/>
      <c r="Y24" s="474"/>
      <c r="Z24" s="474"/>
      <c r="AA24" s="474"/>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row>
    <row r="25" spans="1:62" ht="15.75" customHeight="1">
      <c r="A25" s="640" t="str">
        <f>Input!C18</f>
        <v>JKHY</v>
      </c>
      <c r="B25" s="640" t="str">
        <f>VLOOKUP($A25,'CEM Data Lookup'!$A$4:$P$60,2,FALSE)</f>
        <v>Henry (Jack) &amp; Assoc</v>
      </c>
      <c r="C25" s="5"/>
      <c r="D25" s="247">
        <f>HLOOKUP(A25&amp;" US Equity",'CEM PricesDivs'!$B$3:$WS$69,67,FALSE)</f>
        <v>1.06</v>
      </c>
      <c r="E25" s="5"/>
      <c r="F25" s="5"/>
      <c r="G25" s="445">
        <f>IFERROR('CEM Data Lookup'!E20*100,"NA")</f>
        <v>8</v>
      </c>
      <c r="H25" s="5"/>
      <c r="I25" s="5"/>
      <c r="J25" s="446">
        <f>IFERROR('CEM Data Lookup'!C20*100,"NA")</f>
        <v>9</v>
      </c>
      <c r="K25" s="5"/>
      <c r="L25" s="5"/>
      <c r="M25" s="497">
        <f>IFERROR('CEM Data Lookup'!D20*100,"NA")</f>
        <v>9</v>
      </c>
      <c r="N25" s="5"/>
      <c r="O25" s="5"/>
      <c r="P25" s="445">
        <f t="shared" si="0"/>
        <v>8.67</v>
      </c>
      <c r="Q25" s="5"/>
      <c r="R25" s="5"/>
      <c r="S25" s="641">
        <f t="shared" si="1"/>
        <v>1.1100000000000001</v>
      </c>
      <c r="T25" s="5"/>
      <c r="U25" s="5"/>
      <c r="V25" s="641">
        <f t="shared" si="2"/>
        <v>9.7799999999999994</v>
      </c>
      <c r="W25" s="5"/>
      <c r="X25" s="5"/>
      <c r="Y25" s="474"/>
      <c r="Z25" s="474"/>
      <c r="AA25" s="474"/>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row>
    <row r="26" spans="1:62" ht="15.75" customHeight="1">
      <c r="A26" s="640" t="str">
        <f>Input!C19</f>
        <v>MKC</v>
      </c>
      <c r="B26" s="640" t="str">
        <f>VLOOKUP($A26,'CEM Data Lookup'!$A$4:$P$60,2,FALSE)</f>
        <v xml:space="preserve">McCormick &amp; Co.     </v>
      </c>
      <c r="C26" s="5"/>
      <c r="D26" s="247">
        <f>HLOOKUP(A26&amp;" US Equity",'CEM PricesDivs'!$B$3:$WS$69,67,FALSE)</f>
        <v>1.93</v>
      </c>
      <c r="E26" s="5"/>
      <c r="F26" s="5"/>
      <c r="G26" s="445">
        <f>IFERROR('CEM Data Lookup'!E21*100,"NA")</f>
        <v>5</v>
      </c>
      <c r="H26" s="5"/>
      <c r="I26" s="5"/>
      <c r="J26" s="446">
        <f>IFERROR('CEM Data Lookup'!C21*100,"NA")</f>
        <v>5.3</v>
      </c>
      <c r="K26" s="5"/>
      <c r="L26" s="5"/>
      <c r="M26" s="497">
        <f>IFERROR('CEM Data Lookup'!D21*100,"NA")</f>
        <v>5.0999999999999996</v>
      </c>
      <c r="N26" s="5"/>
      <c r="O26" s="5"/>
      <c r="P26" s="445">
        <f t="shared" si="0"/>
        <v>5.13</v>
      </c>
      <c r="Q26" s="5"/>
      <c r="R26" s="5"/>
      <c r="S26" s="641">
        <f t="shared" si="1"/>
        <v>1.98</v>
      </c>
      <c r="T26" s="5"/>
      <c r="U26" s="5"/>
      <c r="V26" s="641">
        <f t="shared" si="2"/>
        <v>7.1099999999999994</v>
      </c>
      <c r="W26" s="5"/>
      <c r="X26" s="5"/>
      <c r="Y26" s="474"/>
      <c r="Z26" s="474"/>
      <c r="AA26" s="474"/>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row>
    <row r="27" spans="1:62" ht="15.75" customHeight="1">
      <c r="A27" s="640" t="str">
        <f>Input!C20</f>
        <v>MRK</v>
      </c>
      <c r="B27" s="640" t="str">
        <f>VLOOKUP($A27,'CEM Data Lookup'!$A$4:$P$60,2,FALSE)</f>
        <v xml:space="preserve">Merck &amp; Co.         </v>
      </c>
      <c r="C27" s="5"/>
      <c r="D27" s="247">
        <f>HLOOKUP(A27&amp;" US Equity",'CEM PricesDivs'!$B$3:$WS$69,67,FALSE)</f>
        <v>2.84</v>
      </c>
      <c r="E27" s="5"/>
      <c r="F27" s="5"/>
      <c r="G27" s="445">
        <f>IFERROR('CEM Data Lookup'!E22*100,"NA")</f>
        <v>8</v>
      </c>
      <c r="H27" s="5"/>
      <c r="I27" s="5"/>
      <c r="J27" s="446">
        <f>IFERROR('CEM Data Lookup'!C22*100,"NA")</f>
        <v>10.4</v>
      </c>
      <c r="K27" s="5"/>
      <c r="L27" s="5"/>
      <c r="M27" s="497">
        <f>IFERROR('CEM Data Lookup'!D22*100,"NA")</f>
        <v>11.89</v>
      </c>
      <c r="N27" s="5"/>
      <c r="O27" s="5"/>
      <c r="P27" s="445">
        <f t="shared" si="0"/>
        <v>10.1</v>
      </c>
      <c r="Q27" s="5"/>
      <c r="R27" s="5"/>
      <c r="S27" s="641">
        <f t="shared" si="1"/>
        <v>2.98</v>
      </c>
      <c r="T27" s="5"/>
      <c r="U27" s="5"/>
      <c r="V27" s="641">
        <f t="shared" si="2"/>
        <v>13.08</v>
      </c>
      <c r="W27" s="5"/>
      <c r="X27" s="5"/>
      <c r="Y27" s="474"/>
      <c r="Z27" s="474"/>
      <c r="AA27" s="474"/>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row>
    <row r="28" spans="1:62" ht="15.75" customHeight="1">
      <c r="A28" s="640" t="str">
        <f>Input!C21</f>
        <v>MSCI</v>
      </c>
      <c r="B28" s="640" t="str">
        <f>VLOOKUP($A28,'CEM Data Lookup'!$A$4:$P$60,2,FALSE)</f>
        <v xml:space="preserve">MSCI Inc.           </v>
      </c>
      <c r="C28" s="5"/>
      <c r="D28" s="247">
        <f>HLOOKUP(A28&amp;" US Equity",'CEM PricesDivs'!$B$3:$WS$69,67,FALSE)</f>
        <v>1.07</v>
      </c>
      <c r="E28" s="5"/>
      <c r="F28" s="5"/>
      <c r="G28" s="445">
        <f>IFERROR('CEM Data Lookup'!E23*100,"NA")</f>
        <v>14.499999999999998</v>
      </c>
      <c r="H28" s="5"/>
      <c r="I28" s="5"/>
      <c r="J28" s="446" t="str">
        <f>IFERROR('CEM Data Lookup'!C23*100,"NA")</f>
        <v>NA</v>
      </c>
      <c r="K28" s="5"/>
      <c r="L28" s="5"/>
      <c r="M28" s="497">
        <f>IFERROR('CEM Data Lookup'!D23*100,"NA")</f>
        <v>12.53</v>
      </c>
      <c r="N28" s="5"/>
      <c r="O28" s="5"/>
      <c r="P28" s="445">
        <f t="shared" si="0"/>
        <v>13.52</v>
      </c>
      <c r="Q28" s="5"/>
      <c r="R28" s="5"/>
      <c r="S28" s="641">
        <f t="shared" si="1"/>
        <v>1.1399999999999999</v>
      </c>
      <c r="T28" s="5"/>
      <c r="U28" s="5"/>
      <c r="V28" s="641">
        <f t="shared" si="2"/>
        <v>14.66</v>
      </c>
      <c r="W28" s="5"/>
      <c r="X28" s="5"/>
      <c r="Y28" s="474"/>
      <c r="Z28" s="474"/>
      <c r="AA28" s="474"/>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row>
    <row r="29" spans="1:62" ht="15.75" customHeight="1">
      <c r="A29" s="640" t="str">
        <f>Input!C22</f>
        <v>MSI</v>
      </c>
      <c r="B29" s="640" t="str">
        <f>VLOOKUP($A29,'CEM Data Lookup'!$A$4:$P$60,2,FALSE)</f>
        <v xml:space="preserve">Motorola Solutions  </v>
      </c>
      <c r="C29" s="5"/>
      <c r="D29" s="247">
        <f>HLOOKUP(A29&amp;" US Equity",'CEM PricesDivs'!$B$3:$WS$69,67,FALSE)</f>
        <v>1.4</v>
      </c>
      <c r="E29" s="5"/>
      <c r="F29" s="5"/>
      <c r="G29" s="445">
        <f>IFERROR('CEM Data Lookup'!E24*100,"NA")</f>
        <v>10.5</v>
      </c>
      <c r="H29" s="5"/>
      <c r="I29" s="5"/>
      <c r="J29" s="446">
        <f>IFERROR('CEM Data Lookup'!C24*100,"NA")</f>
        <v>9</v>
      </c>
      <c r="K29" s="5"/>
      <c r="L29" s="5"/>
      <c r="M29" s="497">
        <f>IFERROR('CEM Data Lookup'!D24*100,"NA")</f>
        <v>11.18</v>
      </c>
      <c r="N29" s="5"/>
      <c r="O29" s="5"/>
      <c r="P29" s="445">
        <f t="shared" si="0"/>
        <v>10.23</v>
      </c>
      <c r="Q29" s="5"/>
      <c r="R29" s="5"/>
      <c r="S29" s="641">
        <f t="shared" si="1"/>
        <v>1.47</v>
      </c>
      <c r="T29" s="5"/>
      <c r="U29" s="5"/>
      <c r="V29" s="641">
        <f t="shared" si="2"/>
        <v>11.700000000000001</v>
      </c>
      <c r="W29" s="5"/>
      <c r="X29" s="5"/>
      <c r="Y29" s="474"/>
      <c r="Z29" s="474"/>
      <c r="AA29" s="474"/>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row>
    <row r="30" spans="1:62" ht="15.75" customHeight="1">
      <c r="A30" s="640" t="str">
        <f>Input!C23</f>
        <v>NEU</v>
      </c>
      <c r="B30" s="640" t="str">
        <f>VLOOKUP($A30,'CEM Data Lookup'!$A$4:$P$60,2,FALSE)</f>
        <v xml:space="preserve">NewMarket Corp.     </v>
      </c>
      <c r="C30" s="5"/>
      <c r="D30" s="247">
        <f>HLOOKUP(A30&amp;" US Equity",'CEM PricesDivs'!$B$3:$WS$69,67,FALSE)</f>
        <v>2.73</v>
      </c>
      <c r="E30" s="5"/>
      <c r="F30" s="5"/>
      <c r="G30" s="445">
        <f>IFERROR('CEM Data Lookup'!E25*100,"NA")</f>
        <v>-1.5</v>
      </c>
      <c r="H30" s="5"/>
      <c r="I30" s="5"/>
      <c r="J30" s="446" t="str">
        <f>IFERROR('CEM Data Lookup'!C25*100,"NA")</f>
        <v>NA</v>
      </c>
      <c r="K30" s="5"/>
      <c r="L30" s="5"/>
      <c r="M30" s="497">
        <f>IFERROR('CEM Data Lookup'!D25*100,"NA")</f>
        <v>7.7</v>
      </c>
      <c r="N30" s="5"/>
      <c r="O30" s="5"/>
      <c r="P30" s="445">
        <f>IFERROR(ROUND(AVERAGE(J30,M30),2),"NA")</f>
        <v>7.7</v>
      </c>
      <c r="Q30" s="5"/>
      <c r="R30" s="5"/>
      <c r="S30" s="641">
        <f t="shared" si="1"/>
        <v>2.84</v>
      </c>
      <c r="T30" s="5"/>
      <c r="U30" s="5"/>
      <c r="V30" s="641">
        <f t="shared" si="2"/>
        <v>10.54</v>
      </c>
      <c r="W30" s="5"/>
      <c r="X30" s="5"/>
      <c r="Y30" s="474"/>
      <c r="Z30" s="474"/>
      <c r="AA30" s="474"/>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row>
    <row r="31" spans="1:62" ht="15.75" customHeight="1">
      <c r="A31" s="640" t="str">
        <f>Input!C24</f>
        <v>NOC</v>
      </c>
      <c r="B31" s="640" t="str">
        <f>VLOOKUP($A31,'CEM Data Lookup'!$A$4:$P$60,2,FALSE)</f>
        <v xml:space="preserve">Northrop Grumman    </v>
      </c>
      <c r="C31" s="5"/>
      <c r="D31" s="247">
        <f>HLOOKUP(A31&amp;" US Equity",'CEM PricesDivs'!$B$3:$WS$69,67,FALSE)</f>
        <v>1.32</v>
      </c>
      <c r="E31" s="5"/>
      <c r="F31" s="5"/>
      <c r="G31" s="445">
        <f>IFERROR('CEM Data Lookup'!E26*100,"NA")</f>
        <v>6.5</v>
      </c>
      <c r="H31" s="5"/>
      <c r="I31" s="5"/>
      <c r="J31" s="446">
        <f>IFERROR('CEM Data Lookup'!C26*100,"NA")</f>
        <v>3.3000000000000003</v>
      </c>
      <c r="K31" s="5"/>
      <c r="L31" s="5"/>
      <c r="M31" s="497">
        <f>IFERROR('CEM Data Lookup'!D26*100,"NA")</f>
        <v>3</v>
      </c>
      <c r="N31" s="5"/>
      <c r="O31" s="5"/>
      <c r="P31" s="445">
        <f t="shared" si="0"/>
        <v>4.2699999999999996</v>
      </c>
      <c r="Q31" s="5"/>
      <c r="R31" s="5"/>
      <c r="S31" s="641">
        <f t="shared" si="1"/>
        <v>1.35</v>
      </c>
      <c r="T31" s="5"/>
      <c r="U31" s="5"/>
      <c r="V31" s="641">
        <f t="shared" si="2"/>
        <v>5.6199999999999992</v>
      </c>
      <c r="W31" s="5"/>
      <c r="X31" s="5"/>
      <c r="Y31" s="474"/>
      <c r="Z31" s="474"/>
      <c r="AA31" s="474"/>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row>
    <row r="32" spans="1:62" ht="15.75" customHeight="1">
      <c r="A32" s="640" t="str">
        <f>Input!C25</f>
        <v>ODFL</v>
      </c>
      <c r="B32" s="640" t="str">
        <f>VLOOKUP($A32,'CEM Data Lookup'!$A$4:$P$60,2,FALSE)</f>
        <v>Old Dominion Freight</v>
      </c>
      <c r="C32" s="5"/>
      <c r="D32" s="247">
        <f>HLOOKUP(A32&amp;" US Equity",'CEM PricesDivs'!$B$3:$WS$69,67,FALSE)</f>
        <v>0.42</v>
      </c>
      <c r="E32" s="5"/>
      <c r="F32" s="5"/>
      <c r="G32" s="445">
        <f>IFERROR('CEM Data Lookup'!E27*100,"NA")</f>
        <v>10.5</v>
      </c>
      <c r="H32" s="5"/>
      <c r="I32" s="5"/>
      <c r="J32" s="446">
        <f>IFERROR('CEM Data Lookup'!C27*100,"NA")</f>
        <v>14.099999999999998</v>
      </c>
      <c r="K32" s="5"/>
      <c r="L32" s="5"/>
      <c r="M32" s="497">
        <f>IFERROR('CEM Data Lookup'!D27*100,"NA")</f>
        <v>14.540000000000001</v>
      </c>
      <c r="N32" s="5"/>
      <c r="O32" s="5"/>
      <c r="P32" s="445">
        <f t="shared" si="0"/>
        <v>13.05</v>
      </c>
      <c r="Q32" s="5"/>
      <c r="R32" s="5"/>
      <c r="S32" s="641">
        <f t="shared" si="1"/>
        <v>0.45</v>
      </c>
      <c r="T32" s="5"/>
      <c r="U32" s="5"/>
      <c r="V32" s="641">
        <f t="shared" si="2"/>
        <v>13.5</v>
      </c>
      <c r="W32" s="5"/>
      <c r="X32" s="5"/>
      <c r="Y32" s="474"/>
      <c r="Z32" s="474"/>
      <c r="AA32" s="474"/>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row>
    <row r="33" spans="1:62" ht="15.75" customHeight="1">
      <c r="A33" s="640" t="str">
        <f>Input!C26</f>
        <v>ORCL</v>
      </c>
      <c r="B33" s="640" t="str">
        <f>VLOOKUP($A33,'CEM Data Lookup'!$A$4:$P$60,2,FALSE)</f>
        <v xml:space="preserve">Oracle Corp.        </v>
      </c>
      <c r="C33" s="5"/>
      <c r="D33" s="247">
        <f>HLOOKUP(A33&amp;" US Equity",'CEM PricesDivs'!$B$3:$WS$69,67,FALSE)</f>
        <v>1.67</v>
      </c>
      <c r="E33" s="5"/>
      <c r="F33" s="5"/>
      <c r="G33" s="445">
        <f>IFERROR('CEM Data Lookup'!E28*100,"NA")</f>
        <v>10</v>
      </c>
      <c r="H33" s="5"/>
      <c r="I33" s="5"/>
      <c r="J33" s="446">
        <f>IFERROR('CEM Data Lookup'!C28*100,"NA")</f>
        <v>8</v>
      </c>
      <c r="K33" s="5"/>
      <c r="L33" s="5"/>
      <c r="M33" s="497">
        <f>IFERROR('CEM Data Lookup'!D28*100,"NA")</f>
        <v>10.25</v>
      </c>
      <c r="N33" s="5"/>
      <c r="O33" s="5"/>
      <c r="P33" s="445">
        <f t="shared" si="0"/>
        <v>9.42</v>
      </c>
      <c r="Q33" s="5"/>
      <c r="R33" s="5"/>
      <c r="S33" s="641">
        <f t="shared" si="1"/>
        <v>1.75</v>
      </c>
      <c r="T33" s="5"/>
      <c r="U33" s="5"/>
      <c r="V33" s="641">
        <f t="shared" si="2"/>
        <v>11.17</v>
      </c>
      <c r="W33" s="5"/>
      <c r="X33" s="5"/>
      <c r="Y33" s="474"/>
      <c r="Z33" s="474"/>
      <c r="AA33" s="474"/>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row>
    <row r="34" spans="1:62" ht="15.75" customHeight="1">
      <c r="A34" s="640" t="str">
        <f>Input!C27</f>
        <v>PGR</v>
      </c>
      <c r="B34" s="640" t="str">
        <f>VLOOKUP($A34,'CEM Data Lookup'!$A$4:$P$60,2,FALSE)</f>
        <v xml:space="preserve">Progressive Corp.   </v>
      </c>
      <c r="C34" s="5"/>
      <c r="D34" s="247">
        <f>HLOOKUP(A34&amp;" US Equity",'CEM PricesDivs'!$B$3:$WS$69,67,FALSE)</f>
        <v>0.32</v>
      </c>
      <c r="E34" s="5"/>
      <c r="F34" s="5"/>
      <c r="G34" s="445">
        <f>IFERROR('CEM Data Lookup'!E29*100,"NA")</f>
        <v>6.5</v>
      </c>
      <c r="H34" s="5"/>
      <c r="I34" s="5"/>
      <c r="J34" s="446">
        <f>IFERROR('CEM Data Lookup'!C29*100,"NA")</f>
        <v>19.900000000000002</v>
      </c>
      <c r="K34" s="5"/>
      <c r="L34" s="5"/>
      <c r="M34" s="497">
        <f>IFERROR('CEM Data Lookup'!D29*100,"NA")</f>
        <v>27.12</v>
      </c>
      <c r="N34" s="5"/>
      <c r="O34" s="5"/>
      <c r="P34" s="445">
        <f>IFERROR(ROUND(AVERAGE(G34,J34),2),"NA")</f>
        <v>13.2</v>
      </c>
      <c r="Q34" s="5"/>
      <c r="R34" s="5"/>
      <c r="S34" s="641">
        <f t="shared" si="1"/>
        <v>0.34</v>
      </c>
      <c r="T34" s="5"/>
      <c r="U34" s="5"/>
      <c r="V34" s="641">
        <f t="shared" si="2"/>
        <v>13.54</v>
      </c>
      <c r="W34" s="5"/>
      <c r="X34" s="5"/>
      <c r="Y34" s="474"/>
      <c r="Z34" s="474"/>
      <c r="AA34" s="474"/>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row>
    <row r="35" spans="1:62" ht="15.75" customHeight="1">
      <c r="A35" s="640" t="str">
        <f>Input!C28</f>
        <v>POST</v>
      </c>
      <c r="B35" s="640" t="str">
        <f>VLOOKUP($A35,'CEM Data Lookup'!$A$4:$P$60,2,FALSE)</f>
        <v xml:space="preserve">Post Holdings       </v>
      </c>
      <c r="C35" s="5"/>
      <c r="D35" s="247">
        <f>HLOOKUP(A35&amp;" US Equity",'CEM PricesDivs'!$B$3:$WS$69,67,FALSE)</f>
        <v>0</v>
      </c>
      <c r="E35" s="5"/>
      <c r="F35" s="5"/>
      <c r="G35" s="445">
        <f>IFERROR('CEM Data Lookup'!E30*100,"NA")</f>
        <v>5</v>
      </c>
      <c r="H35" s="5"/>
      <c r="I35" s="5"/>
      <c r="J35" s="446" t="str">
        <f>IFERROR('CEM Data Lookup'!C30*100,"NA")</f>
        <v>NA</v>
      </c>
      <c r="K35" s="5"/>
      <c r="L35" s="5"/>
      <c r="M35" s="497">
        <f>IFERROR('CEM Data Lookup'!D30*100,"NA")</f>
        <v>32.4</v>
      </c>
      <c r="N35" s="5"/>
      <c r="O35" s="5"/>
      <c r="P35" s="445">
        <f t="shared" si="0"/>
        <v>18.7</v>
      </c>
      <c r="Q35" s="5"/>
      <c r="R35" s="5"/>
      <c r="S35" s="641">
        <f t="shared" si="1"/>
        <v>0</v>
      </c>
      <c r="T35" s="5"/>
      <c r="U35" s="5"/>
      <c r="V35" s="641" t="str">
        <f t="shared" si="2"/>
        <v>NA</v>
      </c>
      <c r="W35" s="5"/>
      <c r="X35" s="5"/>
      <c r="Y35" s="474"/>
      <c r="Z35" s="474"/>
      <c r="AA35" s="474"/>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row>
    <row r="36" spans="1:62" ht="15.75" customHeight="1">
      <c r="A36" s="640" t="str">
        <f>Input!C29</f>
        <v>RLI</v>
      </c>
      <c r="B36" s="640" t="str">
        <f>VLOOKUP($A36,'CEM Data Lookup'!$A$4:$P$60,2,FALSE)</f>
        <v xml:space="preserve">RLI Corp.           </v>
      </c>
      <c r="C36" s="5"/>
      <c r="D36" s="247">
        <f>HLOOKUP(A36&amp;" US Equity",'CEM PricesDivs'!$B$3:$WS$69,67,FALSE)</f>
        <v>0.83</v>
      </c>
      <c r="E36" s="5"/>
      <c r="F36" s="5"/>
      <c r="G36" s="445">
        <f>IFERROR('CEM Data Lookup'!E31*100,"NA")</f>
        <v>12</v>
      </c>
      <c r="H36" s="5"/>
      <c r="I36" s="5"/>
      <c r="J36" s="446" t="str">
        <f>IFERROR('CEM Data Lookup'!C31*100,"NA")</f>
        <v>NA</v>
      </c>
      <c r="K36" s="5"/>
      <c r="L36" s="5"/>
      <c r="M36" s="497">
        <f>IFERROR('CEM Data Lookup'!D31*100,"NA")</f>
        <v>9.8000000000000007</v>
      </c>
      <c r="N36" s="5"/>
      <c r="O36" s="5"/>
      <c r="P36" s="445">
        <f t="shared" si="0"/>
        <v>10.9</v>
      </c>
      <c r="Q36" s="5"/>
      <c r="R36" s="5"/>
      <c r="S36" s="641">
        <f t="shared" si="1"/>
        <v>0.88</v>
      </c>
      <c r="T36" s="5"/>
      <c r="U36" s="5"/>
      <c r="V36" s="641">
        <f t="shared" si="2"/>
        <v>11.780000000000001</v>
      </c>
      <c r="W36" s="5"/>
      <c r="X36" s="5"/>
      <c r="Y36" s="474"/>
      <c r="Z36" s="474"/>
      <c r="AA36" s="474"/>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row>
    <row r="37" spans="1:62" ht="15.75" customHeight="1">
      <c r="A37" s="640" t="str">
        <f>Input!C30</f>
        <v>ROL</v>
      </c>
      <c r="B37" s="640" t="str">
        <f>VLOOKUP($A37,'CEM Data Lookup'!$A$4:$P$60,2,FALSE)</f>
        <v xml:space="preserve">Rollins, Inc.       </v>
      </c>
      <c r="C37" s="5"/>
      <c r="D37" s="247">
        <f>HLOOKUP(A37&amp;" US Equity",'CEM PricesDivs'!$B$3:$WS$69,67,FALSE)</f>
        <v>1.33</v>
      </c>
      <c r="E37" s="5"/>
      <c r="F37" s="5"/>
      <c r="G37" s="445">
        <f>IFERROR('CEM Data Lookup'!E32*100,"NA")</f>
        <v>10.5</v>
      </c>
      <c r="H37" s="5"/>
      <c r="I37" s="5"/>
      <c r="J37" s="446" t="str">
        <f>IFERROR('CEM Data Lookup'!C32*100,"NA")</f>
        <v>NA</v>
      </c>
      <c r="K37" s="5"/>
      <c r="L37" s="5"/>
      <c r="M37" s="497">
        <f>IFERROR('CEM Data Lookup'!D32*100,"NA")</f>
        <v>8.2000000000000011</v>
      </c>
      <c r="N37" s="5"/>
      <c r="O37" s="5"/>
      <c r="P37" s="445">
        <f t="shared" si="0"/>
        <v>9.35</v>
      </c>
      <c r="Q37" s="5"/>
      <c r="R37" s="5"/>
      <c r="S37" s="641">
        <f t="shared" si="1"/>
        <v>1.39</v>
      </c>
      <c r="T37" s="5"/>
      <c r="U37" s="5"/>
      <c r="V37" s="641">
        <f t="shared" si="2"/>
        <v>10.74</v>
      </c>
      <c r="W37" s="5"/>
      <c r="X37" s="5"/>
      <c r="Y37" s="474"/>
      <c r="Z37" s="474"/>
      <c r="AA37" s="474"/>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row>
    <row r="38" spans="1:62" ht="15.75" customHeight="1">
      <c r="A38" s="640" t="str">
        <f>Input!C31</f>
        <v>SHW</v>
      </c>
      <c r="B38" s="640" t="str">
        <f>VLOOKUP($A38,'CEM Data Lookup'!$A$4:$P$60,2,FALSE)</f>
        <v xml:space="preserve">Sherwin-Williams    </v>
      </c>
      <c r="C38" s="5"/>
      <c r="D38" s="247">
        <f>HLOOKUP(A38&amp;" US Equity",'CEM PricesDivs'!$B$3:$WS$69,67,FALSE)</f>
        <v>1.03</v>
      </c>
      <c r="E38" s="5"/>
      <c r="F38" s="5"/>
      <c r="G38" s="445">
        <f>IFERROR('CEM Data Lookup'!E33*100,"NA")</f>
        <v>11.5</v>
      </c>
      <c r="H38" s="5"/>
      <c r="I38" s="5"/>
      <c r="J38" s="446">
        <f>IFERROR('CEM Data Lookup'!C33*100,"NA")</f>
        <v>12.8</v>
      </c>
      <c r="K38" s="5"/>
      <c r="L38" s="5"/>
      <c r="M38" s="497">
        <f>IFERROR('CEM Data Lookup'!D33*100,"NA")</f>
        <v>11.464</v>
      </c>
      <c r="N38" s="5"/>
      <c r="O38" s="5"/>
      <c r="P38" s="445">
        <f t="shared" si="0"/>
        <v>11.92</v>
      </c>
      <c r="Q38" s="5"/>
      <c r="R38" s="5"/>
      <c r="S38" s="641">
        <f t="shared" si="1"/>
        <v>1.0900000000000001</v>
      </c>
      <c r="T38" s="5"/>
      <c r="U38" s="5"/>
      <c r="V38" s="641">
        <f t="shared" si="2"/>
        <v>13.01</v>
      </c>
      <c r="W38" s="5"/>
      <c r="X38" s="5"/>
      <c r="Y38" s="474"/>
      <c r="Z38" s="474"/>
      <c r="AA38" s="474"/>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row>
    <row r="39" spans="1:62" ht="15.75" customHeight="1">
      <c r="A39" s="640" t="str">
        <f>Input!C32</f>
        <v>SIGI</v>
      </c>
      <c r="B39" s="640" t="str">
        <f>VLOOKUP($A39,'CEM Data Lookup'!$A$4:$P$60,2,FALSE)</f>
        <v>Selective Ins. Group</v>
      </c>
      <c r="C39" s="5"/>
      <c r="D39" s="247">
        <f>HLOOKUP(A39&amp;" US Equity",'CEM PricesDivs'!$B$3:$WS$69,67,FALSE)</f>
        <v>1.31</v>
      </c>
      <c r="E39" s="5"/>
      <c r="F39" s="5"/>
      <c r="G39" s="445">
        <f>IFERROR('CEM Data Lookup'!E34*100,"NA")</f>
        <v>9.5</v>
      </c>
      <c r="H39" s="5"/>
      <c r="I39" s="5"/>
      <c r="J39" s="446">
        <f>IFERROR('CEM Data Lookup'!C34*100,"NA")</f>
        <v>6.6000000000000005</v>
      </c>
      <c r="K39" s="5"/>
      <c r="L39" s="5"/>
      <c r="M39" s="497">
        <f>IFERROR('CEM Data Lookup'!D34*100,"NA")</f>
        <v>13.4</v>
      </c>
      <c r="N39" s="5"/>
      <c r="O39" s="5"/>
      <c r="P39" s="445">
        <f t="shared" si="0"/>
        <v>9.83</v>
      </c>
      <c r="Q39" s="5"/>
      <c r="R39" s="5"/>
      <c r="S39" s="641">
        <f t="shared" si="1"/>
        <v>1.37</v>
      </c>
      <c r="T39" s="5"/>
      <c r="U39" s="5"/>
      <c r="V39" s="641">
        <f t="shared" si="2"/>
        <v>11.2</v>
      </c>
      <c r="W39" s="5"/>
      <c r="X39" s="5"/>
      <c r="Y39" s="474"/>
      <c r="Z39" s="474"/>
      <c r="AA39" s="474"/>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row>
    <row r="40" spans="1:62" ht="15.75" customHeight="1">
      <c r="A40" s="640" t="str">
        <f>Input!C33</f>
        <v>SIRI</v>
      </c>
      <c r="B40" s="640" t="str">
        <f>VLOOKUP($A40,'CEM Data Lookup'!$A$4:$P$60,2,FALSE)</f>
        <v xml:space="preserve">Sirius XM Holdings  </v>
      </c>
      <c r="C40" s="5"/>
      <c r="D40" s="247">
        <f>HLOOKUP(A40&amp;" US Equity",'CEM PricesDivs'!$B$3:$WS$69,67,FALSE)</f>
        <v>1.57</v>
      </c>
      <c r="E40" s="5"/>
      <c r="F40" s="5"/>
      <c r="G40" s="445">
        <f>IFERROR('CEM Data Lookup'!E35*100,"NA")</f>
        <v>32.5</v>
      </c>
      <c r="H40" s="5"/>
      <c r="I40" s="5"/>
      <c r="J40" s="446">
        <f>IFERROR('CEM Data Lookup'!C35*100,"NA")</f>
        <v>7.0000000000000009</v>
      </c>
      <c r="K40" s="5"/>
      <c r="L40" s="5"/>
      <c r="M40" s="497">
        <f>IFERROR('CEM Data Lookup'!D35*100,"NA")</f>
        <v>3.54</v>
      </c>
      <c r="N40" s="5"/>
      <c r="O40" s="5"/>
      <c r="P40" s="445">
        <f>IFERROR(ROUND(AVERAGE(J40,M40),2),"NA")</f>
        <v>5.27</v>
      </c>
      <c r="Q40" s="5"/>
      <c r="R40" s="5"/>
      <c r="S40" s="641">
        <f t="shared" si="1"/>
        <v>1.61</v>
      </c>
      <c r="T40" s="5"/>
      <c r="U40" s="5"/>
      <c r="V40" s="641">
        <f t="shared" si="2"/>
        <v>6.88</v>
      </c>
      <c r="W40" s="5"/>
      <c r="X40" s="5"/>
      <c r="Y40" s="474"/>
      <c r="Z40" s="474"/>
      <c r="AA40" s="474"/>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row>
    <row r="41" spans="1:62" ht="15.75" customHeight="1">
      <c r="A41" s="640" t="str">
        <f>Input!C34</f>
        <v>SXT</v>
      </c>
      <c r="B41" s="640" t="str">
        <f>VLOOKUP($A41,'CEM Data Lookup'!$A$4:$P$60,2,FALSE)</f>
        <v xml:space="preserve">Sensient Techn.     </v>
      </c>
      <c r="C41" s="5"/>
      <c r="D41" s="247">
        <f>HLOOKUP(A41&amp;" US Equity",'CEM PricesDivs'!$B$3:$WS$69,67,FALSE)</f>
        <v>2.29</v>
      </c>
      <c r="E41" s="5"/>
      <c r="F41" s="5"/>
      <c r="G41" s="445">
        <f>IFERROR('CEM Data Lookup'!E36*100,"NA")</f>
        <v>2.5</v>
      </c>
      <c r="H41" s="5"/>
      <c r="I41" s="5"/>
      <c r="J41" s="446" t="str">
        <f>IFERROR('CEM Data Lookup'!C36*100,"NA")</f>
        <v>NA</v>
      </c>
      <c r="K41" s="5"/>
      <c r="L41" s="5"/>
      <c r="M41" s="497">
        <f>IFERROR('CEM Data Lookup'!D36*100,"NA")</f>
        <v>3.8</v>
      </c>
      <c r="N41" s="5"/>
      <c r="O41" s="5"/>
      <c r="P41" s="445">
        <f t="shared" si="0"/>
        <v>3.15</v>
      </c>
      <c r="Q41" s="5"/>
      <c r="R41" s="5"/>
      <c r="S41" s="641">
        <f t="shared" si="1"/>
        <v>2.33</v>
      </c>
      <c r="T41" s="5"/>
      <c r="U41" s="5"/>
      <c r="V41" s="641">
        <f t="shared" si="2"/>
        <v>5.48</v>
      </c>
      <c r="W41" s="5"/>
      <c r="X41" s="5"/>
      <c r="Y41" s="474"/>
      <c r="Z41" s="474"/>
      <c r="AA41" s="474"/>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row>
    <row r="42" spans="1:62" ht="15.75" customHeight="1">
      <c r="A42" s="640" t="str">
        <f>Input!C35</f>
        <v>TMO</v>
      </c>
      <c r="B42" s="640" t="str">
        <f>VLOOKUP($A42,'CEM Data Lookup'!$A$4:$P$60,2,FALSE)</f>
        <v xml:space="preserve">Thermo Fisher Sci.  </v>
      </c>
      <c r="C42" s="5"/>
      <c r="D42" s="247">
        <f>HLOOKUP(A42&amp;" US Equity",'CEM PricesDivs'!$B$3:$WS$69,67,FALSE)</f>
        <v>0.23</v>
      </c>
      <c r="E42" s="5"/>
      <c r="F42" s="5"/>
      <c r="G42" s="445">
        <f>IFERROR('CEM Data Lookup'!E37*100,"NA")</f>
        <v>10.5</v>
      </c>
      <c r="H42" s="5"/>
      <c r="I42" s="5"/>
      <c r="J42" s="446">
        <f>IFERROR('CEM Data Lookup'!C37*100,"NA")</f>
        <v>12.5</v>
      </c>
      <c r="K42" s="5"/>
      <c r="L42" s="5"/>
      <c r="M42" s="497">
        <f>IFERROR('CEM Data Lookup'!D37*100,"NA")</f>
        <v>3.51</v>
      </c>
      <c r="N42" s="5"/>
      <c r="O42" s="5"/>
      <c r="P42" s="445">
        <f t="shared" si="0"/>
        <v>8.84</v>
      </c>
      <c r="Q42" s="5"/>
      <c r="R42" s="5"/>
      <c r="S42" s="641">
        <f t="shared" si="1"/>
        <v>0.24</v>
      </c>
      <c r="T42" s="5"/>
      <c r="U42" s="5"/>
      <c r="V42" s="641">
        <f t="shared" si="2"/>
        <v>9.08</v>
      </c>
      <c r="W42" s="5"/>
      <c r="X42" s="5"/>
      <c r="Y42" s="474"/>
      <c r="Z42" s="474"/>
      <c r="AA42" s="474"/>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row>
    <row r="43" spans="1:62" ht="15.75" customHeight="1">
      <c r="A43" s="640" t="str">
        <f>Input!C36</f>
        <v>TXN</v>
      </c>
      <c r="B43" s="640" t="str">
        <f>VLOOKUP($A43,'CEM Data Lookup'!$A$4:$P$60,2,FALSE)</f>
        <v xml:space="preserve">Texas Instruments   </v>
      </c>
      <c r="C43" s="5"/>
      <c r="D43" s="247">
        <f>HLOOKUP(A43&amp;" US Equity",'CEM PricesDivs'!$B$3:$WS$69,67,FALSE)</f>
        <v>2.97</v>
      </c>
      <c r="E43" s="5"/>
      <c r="F43" s="5"/>
      <c r="G43" s="445">
        <f>IFERROR('CEM Data Lookup'!E38*100,"NA")</f>
        <v>7.5</v>
      </c>
      <c r="H43" s="5"/>
      <c r="I43" s="5"/>
      <c r="J43" s="446">
        <f>IFERROR('CEM Data Lookup'!C38*100,"NA")</f>
        <v>9.3000000000000007</v>
      </c>
      <c r="K43" s="5"/>
      <c r="L43" s="5"/>
      <c r="M43" s="497">
        <f>IFERROR('CEM Data Lookup'!D38*100,"NA")</f>
        <v>10</v>
      </c>
      <c r="N43" s="5"/>
      <c r="O43" s="5"/>
      <c r="P43" s="445">
        <f t="shared" si="0"/>
        <v>8.93</v>
      </c>
      <c r="Q43" s="5"/>
      <c r="R43" s="5"/>
      <c r="S43" s="641">
        <f t="shared" si="1"/>
        <v>3.1</v>
      </c>
      <c r="T43" s="5"/>
      <c r="U43" s="5"/>
      <c r="V43" s="641">
        <f t="shared" si="2"/>
        <v>12.03</v>
      </c>
      <c r="W43" s="5"/>
      <c r="X43" s="5"/>
      <c r="Y43" s="474"/>
      <c r="Z43" s="474"/>
      <c r="AA43" s="474"/>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row>
    <row r="44" spans="1:62" ht="15.75" customHeight="1">
      <c r="A44" s="640" t="str">
        <f>Input!C37</f>
        <v>VRSN</v>
      </c>
      <c r="B44" s="640" t="str">
        <f>VLOOKUP($A44,'CEM Data Lookup'!$A$4:$P$60,2,FALSE)</f>
        <v xml:space="preserve">VeriSign Inc.       </v>
      </c>
      <c r="C44" s="5"/>
      <c r="D44" s="247">
        <f>HLOOKUP(A44&amp;" US Equity",'CEM PricesDivs'!$B$3:$WS$69,67,FALSE)</f>
        <v>0</v>
      </c>
      <c r="E44" s="5"/>
      <c r="F44" s="5"/>
      <c r="G44" s="445">
        <f>IFERROR('CEM Data Lookup'!E39*100,"NA")</f>
        <v>11</v>
      </c>
      <c r="H44" s="5"/>
      <c r="I44" s="5"/>
      <c r="J44" s="446" t="str">
        <f>IFERROR('CEM Data Lookup'!C39*100,"NA")</f>
        <v>NA</v>
      </c>
      <c r="K44" s="5"/>
      <c r="L44" s="5"/>
      <c r="M44" s="497">
        <f>IFERROR('CEM Data Lookup'!D39*100,"NA")</f>
        <v>8</v>
      </c>
      <c r="N44" s="5"/>
      <c r="O44" s="5"/>
      <c r="P44" s="445">
        <f t="shared" si="0"/>
        <v>9.5</v>
      </c>
      <c r="Q44" s="5"/>
      <c r="R44" s="5"/>
      <c r="S44" s="641">
        <f t="shared" si="1"/>
        <v>0</v>
      </c>
      <c r="T44" s="5"/>
      <c r="U44" s="5"/>
      <c r="V44" s="641" t="str">
        <f t="shared" si="2"/>
        <v>NA</v>
      </c>
      <c r="W44" s="5"/>
      <c r="X44" s="5"/>
      <c r="Y44" s="474"/>
      <c r="Z44" s="474"/>
      <c r="AA44" s="474"/>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row>
    <row r="45" spans="1:62" ht="15.75" customHeight="1">
      <c r="A45" s="640" t="str">
        <f>Input!C38</f>
        <v>WAT</v>
      </c>
      <c r="B45" s="640" t="str">
        <f>VLOOKUP($A45,'CEM Data Lookup'!$A$4:$P$60,2,FALSE)</f>
        <v xml:space="preserve">Waters Corp.        </v>
      </c>
      <c r="C45" s="5"/>
      <c r="D45" s="247">
        <f>HLOOKUP(A45&amp;" US Equity",'CEM PricesDivs'!$B$3:$WS$69,67,FALSE)</f>
        <v>0</v>
      </c>
      <c r="E45" s="5"/>
      <c r="F45" s="5"/>
      <c r="G45" s="445">
        <f>IFERROR('CEM Data Lookup'!E40*100,"NA")</f>
        <v>6</v>
      </c>
      <c r="H45" s="5"/>
      <c r="I45" s="5"/>
      <c r="J45" s="446">
        <f>IFERROR('CEM Data Lookup'!C40*100,"NA")</f>
        <v>7.1999999999999993</v>
      </c>
      <c r="K45" s="5"/>
      <c r="L45" s="5"/>
      <c r="M45" s="497">
        <f>IFERROR('CEM Data Lookup'!D40*100,"NA")</f>
        <v>8.34</v>
      </c>
      <c r="N45" s="5"/>
      <c r="O45" s="5"/>
      <c r="P45" s="445">
        <f t="shared" si="0"/>
        <v>7.18</v>
      </c>
      <c r="Q45" s="5"/>
      <c r="R45" s="5"/>
      <c r="S45" s="641">
        <f t="shared" si="1"/>
        <v>0</v>
      </c>
      <c r="T45" s="5"/>
      <c r="U45" s="5"/>
      <c r="V45" s="641" t="str">
        <f t="shared" si="2"/>
        <v>NA</v>
      </c>
      <c r="W45" s="5"/>
      <c r="X45" s="5"/>
      <c r="Y45" s="474"/>
      <c r="Z45" s="474"/>
      <c r="AA45" s="474"/>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row>
    <row r="46" spans="1:62" ht="15.75" customHeight="1">
      <c r="A46" s="640" t="str">
        <f>Input!C39</f>
        <v>WSO</v>
      </c>
      <c r="B46" s="640" t="str">
        <f>VLOOKUP($A46,'CEM Data Lookup'!$A$4:$P$60,2,FALSE)</f>
        <v xml:space="preserve">Watsco, Inc.        </v>
      </c>
      <c r="C46" s="5"/>
      <c r="D46" s="247">
        <f>HLOOKUP(A46&amp;" US Equity",'CEM PricesDivs'!$B$3:$WS$69,67,FALSE)</f>
        <v>3.35</v>
      </c>
      <c r="E46" s="5"/>
      <c r="F46" s="5"/>
      <c r="G46" s="445">
        <f>IFERROR('CEM Data Lookup'!E41*100,"NA")</f>
        <v>11.5</v>
      </c>
      <c r="H46" s="5"/>
      <c r="I46" s="5"/>
      <c r="J46" s="446" t="str">
        <f>IFERROR('CEM Data Lookup'!C41*100,"NA")</f>
        <v>NA</v>
      </c>
      <c r="K46" s="5"/>
      <c r="L46" s="5"/>
      <c r="M46" s="497">
        <f>IFERROR('CEM Data Lookup'!D41*100,"NA")</f>
        <v>15</v>
      </c>
      <c r="N46" s="5"/>
      <c r="O46" s="5"/>
      <c r="P46" s="445">
        <f t="shared" si="0"/>
        <v>13.25</v>
      </c>
      <c r="Q46" s="5"/>
      <c r="R46" s="5"/>
      <c r="S46" s="641">
        <f t="shared" si="1"/>
        <v>3.57</v>
      </c>
      <c r="T46" s="5"/>
      <c r="U46" s="5"/>
      <c r="V46" s="641">
        <f t="shared" si="2"/>
        <v>16.82</v>
      </c>
      <c r="W46" s="5"/>
      <c r="X46" s="5"/>
      <c r="Y46" s="474"/>
      <c r="Z46" s="474"/>
      <c r="AA46" s="474"/>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row>
    <row r="47" spans="1:62" ht="15.75" customHeight="1">
      <c r="A47" s="640" t="str">
        <f>Input!C40</f>
        <v>WU</v>
      </c>
      <c r="B47" s="640" t="str">
        <f>VLOOKUP($A47,'CEM Data Lookup'!$A$4:$P$60,2,FALSE)</f>
        <v xml:space="preserve">Western Union       </v>
      </c>
      <c r="C47" s="5"/>
      <c r="D47" s="247">
        <f>HLOOKUP(A47&amp;" US Equity",'CEM PricesDivs'!$B$3:$WS$69,67,FALSE)</f>
        <v>6.82</v>
      </c>
      <c r="E47" s="5"/>
      <c r="F47" s="5"/>
      <c r="G47" s="445">
        <f>IFERROR('CEM Data Lookup'!E42*100,"NA")</f>
        <v>8</v>
      </c>
      <c r="H47" s="5"/>
      <c r="I47" s="5"/>
      <c r="J47" s="446" t="str">
        <f>IFERROR('CEM Data Lookup'!C42*100,"NA")</f>
        <v>NA</v>
      </c>
      <c r="K47" s="5"/>
      <c r="L47" s="5"/>
      <c r="M47" s="497">
        <f>IFERROR('CEM Data Lookup'!D42*100,"NA")</f>
        <v>-11.05</v>
      </c>
      <c r="N47" s="5"/>
      <c r="O47" s="5"/>
      <c r="P47" s="445">
        <f>IFERROR(ROUND(AVERAGE(G47,J47),2),"NA")</f>
        <v>8</v>
      </c>
      <c r="Q47" s="5"/>
      <c r="R47" s="5"/>
      <c r="S47" s="641">
        <f t="shared" si="1"/>
        <v>7.09</v>
      </c>
      <c r="T47" s="5"/>
      <c r="U47" s="5"/>
      <c r="V47" s="641">
        <f t="shared" si="2"/>
        <v>15.09</v>
      </c>
      <c r="W47" s="5"/>
      <c r="X47" s="5"/>
      <c r="Y47" s="474"/>
      <c r="Z47" s="474"/>
      <c r="AA47" s="474"/>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row>
    <row r="48" spans="1:62" ht="15.75" customHeight="1">
      <c r="A48" s="5"/>
      <c r="B48" s="5"/>
      <c r="C48" s="5"/>
      <c r="D48" s="5"/>
      <c r="E48" s="5"/>
      <c r="F48" s="5"/>
      <c r="G48" s="445"/>
      <c r="H48" s="5"/>
      <c r="I48" s="5"/>
      <c r="J48" s="5"/>
      <c r="K48" s="5"/>
      <c r="L48" s="5"/>
      <c r="M48" s="5"/>
      <c r="N48" s="5"/>
      <c r="O48" s="5"/>
      <c r="P48" s="5"/>
      <c r="Q48" s="5"/>
      <c r="R48" s="5"/>
      <c r="S48" s="5"/>
      <c r="T48" s="5"/>
      <c r="U48" s="5"/>
      <c r="V48" s="444"/>
      <c r="W48" s="5"/>
      <c r="X48" s="5"/>
    </row>
    <row r="49" spans="2:23" ht="15.75" customHeight="1" thickBot="1">
      <c r="D49" s="3" t="s">
        <v>194</v>
      </c>
      <c r="S49" s="10" t="s">
        <v>1377</v>
      </c>
      <c r="V49" s="642">
        <f>AVERAGE(V9:V47)</f>
        <v>11.357428571428567</v>
      </c>
      <c r="W49" s="3" t="s">
        <v>18</v>
      </c>
    </row>
    <row r="50" spans="2:23" ht="15.75" customHeight="1" thickTop="1"/>
    <row r="51" spans="2:23" ht="15.75" customHeight="1" thickBot="1">
      <c r="S51" s="10" t="s">
        <v>183</v>
      </c>
      <c r="V51" s="642">
        <f>MEDIAN(V9:V47)</f>
        <v>11.780000000000001</v>
      </c>
      <c r="W51" s="3" t="s">
        <v>18</v>
      </c>
    </row>
    <row r="52" spans="2:23" ht="15.75" customHeight="1" thickTop="1"/>
    <row r="53" spans="2:23" ht="15.75" customHeight="1" thickBot="1">
      <c r="S53" s="10" t="s">
        <v>1376</v>
      </c>
      <c r="V53" s="642">
        <f>ROUND(AVERAGE(V49:V51),2)</f>
        <v>11.57</v>
      </c>
      <c r="W53" s="3" t="s">
        <v>18</v>
      </c>
    </row>
    <row r="54" spans="2:23" ht="15.75" customHeight="1" thickTop="1"/>
    <row r="55" spans="2:23">
      <c r="B55" s="10" t="s">
        <v>94</v>
      </c>
    </row>
    <row r="56" spans="2:23" ht="81" customHeight="1">
      <c r="C56" s="231" t="s">
        <v>95</v>
      </c>
      <c r="D56" s="1030" t="s">
        <v>4598</v>
      </c>
      <c r="E56" s="1030"/>
      <c r="F56" s="1030"/>
      <c r="G56" s="1030"/>
      <c r="H56" s="1030"/>
      <c r="I56" s="1030"/>
      <c r="J56" s="1030"/>
      <c r="K56" s="1030"/>
      <c r="L56" s="1030"/>
      <c r="M56" s="1030"/>
      <c r="N56" s="1030"/>
      <c r="O56" s="1030"/>
      <c r="P56" s="1030"/>
      <c r="Q56" s="1030"/>
      <c r="R56" s="1030"/>
      <c r="S56" s="1030"/>
      <c r="T56" s="1030"/>
      <c r="U56" s="1030"/>
      <c r="V56" s="1030"/>
      <c r="W56" s="1030"/>
    </row>
    <row r="58" spans="2:23">
      <c r="B58" s="3" t="s">
        <v>146</v>
      </c>
      <c r="C58" s="3" t="s">
        <v>4231</v>
      </c>
    </row>
    <row r="59" spans="2:23">
      <c r="C59" s="3" t="str">
        <f>CONCATENATE("www.zacks.com, Downloaded on ",TEXT(Input!E2,"mm/dd/yyyy"))&amp;"."</f>
        <v>www.zacks.com, Downloaded on 12/30/2022.</v>
      </c>
    </row>
    <row r="60" spans="2:23">
      <c r="C60" s="3" t="str">
        <f>CONCATENATE("www.yahoo.com, Downloaded on ",TEXT(Input!E2,"mm/dd/yyyy"))&amp;"."</f>
        <v>www.yahoo.com, Downloaded on 12/30/2022.</v>
      </c>
    </row>
  </sheetData>
  <mergeCells count="15">
    <mergeCell ref="M7:N7"/>
    <mergeCell ref="P7:Q7"/>
    <mergeCell ref="S7:T7"/>
    <mergeCell ref="V7:W7"/>
    <mergeCell ref="D56:W56"/>
    <mergeCell ref="D7:E7"/>
    <mergeCell ref="G7:H7"/>
    <mergeCell ref="J7:K7"/>
    <mergeCell ref="D5:E5"/>
    <mergeCell ref="G5:H5"/>
    <mergeCell ref="J5:K5"/>
    <mergeCell ref="S5:T5"/>
    <mergeCell ref="V5:W5"/>
    <mergeCell ref="M5:N5"/>
    <mergeCell ref="P5:Q5"/>
  </mergeCells>
  <printOptions horizontalCentered="1"/>
  <pageMargins left="0.7" right="0.7" top="0.75" bottom="0.75" header="0.3" footer="0.3"/>
  <pageSetup scale="54" fitToHeight="2" orientation="portrait"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45"/>
  <sheetViews>
    <sheetView view="pageBreakPreview" zoomScale="95" zoomScaleNormal="100" zoomScaleSheetLayoutView="85" workbookViewId="0">
      <selection activeCell="F14" sqref="F14"/>
    </sheetView>
  </sheetViews>
  <sheetFormatPr defaultColWidth="9" defaultRowHeight="15.75"/>
  <cols>
    <col min="1" max="1" width="9.85546875" style="13" customWidth="1"/>
    <col min="2" max="2" width="5.28515625" style="13" customWidth="1"/>
    <col min="3" max="3" width="8" style="13" customWidth="1"/>
    <col min="4" max="4" width="12.28515625" style="13" customWidth="1"/>
    <col min="5" max="5" width="3.28515625" style="13" bestFit="1" customWidth="1"/>
    <col min="6" max="6" width="11.28515625" style="13" customWidth="1"/>
    <col min="7" max="7" width="3.85546875" style="13" customWidth="1"/>
    <col min="8" max="8" width="16.42578125" style="13" customWidth="1"/>
    <col min="9" max="9" width="3.28515625" style="13" bestFit="1" customWidth="1"/>
    <col min="10" max="16384" width="9" style="13"/>
  </cols>
  <sheetData>
    <row r="1" spans="1:9">
      <c r="A1" s="989" t="str">
        <f>Input!G28</f>
        <v>Peoples Gas System</v>
      </c>
      <c r="B1" s="989"/>
      <c r="C1" s="989"/>
      <c r="D1" s="989"/>
      <c r="E1" s="989"/>
      <c r="F1" s="989"/>
      <c r="G1" s="989"/>
      <c r="H1" s="989"/>
      <c r="I1" s="989"/>
    </row>
    <row r="2" spans="1:9">
      <c r="A2" s="1012" t="s">
        <v>123</v>
      </c>
      <c r="B2" s="1012"/>
      <c r="C2" s="1012"/>
      <c r="D2" s="1012"/>
      <c r="E2" s="1012"/>
      <c r="F2" s="1012"/>
      <c r="G2" s="1012"/>
      <c r="H2" s="1012"/>
      <c r="I2" s="1012"/>
    </row>
    <row r="3" spans="1:9">
      <c r="A3" s="1012" t="s">
        <v>124</v>
      </c>
      <c r="B3" s="1012"/>
      <c r="C3" s="1012"/>
      <c r="D3" s="1012"/>
      <c r="E3" s="1012"/>
      <c r="F3" s="1012"/>
      <c r="G3" s="1012"/>
      <c r="H3" s="1012"/>
      <c r="I3" s="1012"/>
    </row>
    <row r="4" spans="1:9">
      <c r="A4" s="989" t="s">
        <v>125</v>
      </c>
      <c r="B4" s="989"/>
      <c r="C4" s="989"/>
      <c r="D4" s="989"/>
      <c r="E4" s="989"/>
      <c r="F4" s="989"/>
      <c r="G4" s="989"/>
      <c r="H4" s="989"/>
      <c r="I4" s="989"/>
    </row>
    <row r="6" spans="1:9" ht="80.25" customHeight="1">
      <c r="A6" s="321" t="s">
        <v>92</v>
      </c>
      <c r="B6" s="321"/>
      <c r="H6" s="1011" t="str">
        <f>'7.4 CEM RPM Bond Ratings'!B8</f>
        <v>Proxy Group of Thirty Nine Non-Price Regulated Companies</v>
      </c>
      <c r="I6" s="1011"/>
    </row>
    <row r="7" spans="1:9">
      <c r="A7" s="16"/>
      <c r="B7" s="16"/>
    </row>
    <row r="8" spans="1:9">
      <c r="A8" s="16" t="s">
        <v>93</v>
      </c>
      <c r="B8" s="16"/>
      <c r="C8" s="13" t="s">
        <v>3936</v>
      </c>
    </row>
    <row r="9" spans="1:9">
      <c r="A9" s="16"/>
      <c r="B9" s="16"/>
      <c r="C9" s="13" t="s">
        <v>127</v>
      </c>
      <c r="H9" s="20">
        <f>$H$32</f>
        <v>6.05</v>
      </c>
      <c r="I9" s="21" t="s">
        <v>18</v>
      </c>
    </row>
    <row r="10" spans="1:9">
      <c r="A10" s="16"/>
      <c r="B10" s="16"/>
      <c r="H10" s="20"/>
      <c r="I10" s="21"/>
    </row>
    <row r="11" spans="1:9" ht="15" customHeight="1">
      <c r="A11" s="16">
        <v>2</v>
      </c>
      <c r="B11" s="16"/>
      <c r="C11" s="79" t="s">
        <v>4376</v>
      </c>
      <c r="D11" s="516"/>
      <c r="E11" s="516"/>
      <c r="F11" s="516"/>
      <c r="H11" s="20"/>
      <c r="I11" s="21"/>
    </row>
    <row r="12" spans="1:9">
      <c r="A12" s="16"/>
      <c r="B12" s="16"/>
      <c r="C12" s="13" t="s">
        <v>4608</v>
      </c>
      <c r="H12" s="472">
        <f>-H42</f>
        <v>-0.16555555555555557</v>
      </c>
      <c r="I12" s="21"/>
    </row>
    <row r="13" spans="1:9">
      <c r="A13" s="16"/>
      <c r="B13" s="16"/>
      <c r="C13" s="13" t="s">
        <v>4609</v>
      </c>
      <c r="H13" s="20"/>
      <c r="I13" s="21"/>
    </row>
    <row r="14" spans="1:9">
      <c r="A14" s="16"/>
      <c r="B14" s="16"/>
      <c r="H14" s="20"/>
      <c r="I14" s="21"/>
    </row>
    <row r="15" spans="1:9">
      <c r="A15" s="16">
        <v>3</v>
      </c>
      <c r="B15" s="16"/>
      <c r="C15" s="13" t="s">
        <v>4384</v>
      </c>
      <c r="H15" s="20">
        <f>SUM(H9:H12)</f>
        <v>5.8844444444444441</v>
      </c>
      <c r="I15" s="21"/>
    </row>
    <row r="16" spans="1:9">
      <c r="A16" s="16"/>
      <c r="B16" s="16"/>
      <c r="H16" s="20"/>
      <c r="I16" s="21"/>
    </row>
    <row r="17" spans="1:9">
      <c r="A17" s="38" t="s">
        <v>104</v>
      </c>
      <c r="B17" s="16"/>
      <c r="C17" s="13" t="s">
        <v>4385</v>
      </c>
      <c r="H17" s="22">
        <f>'7.5 CEM Beta Adjusted RP'!F25</f>
        <v>7.42</v>
      </c>
      <c r="I17" s="24"/>
    </row>
    <row r="18" spans="1:9">
      <c r="A18" s="25"/>
      <c r="B18" s="16"/>
      <c r="H18" s="24"/>
      <c r="I18" s="24"/>
    </row>
    <row r="19" spans="1:9">
      <c r="A19" s="38" t="s">
        <v>105</v>
      </c>
      <c r="B19" s="16"/>
      <c r="C19" s="13" t="s">
        <v>131</v>
      </c>
      <c r="H19" s="24"/>
      <c r="I19" s="24"/>
    </row>
    <row r="20" spans="1:9" ht="16.5" thickBot="1">
      <c r="A20" s="16"/>
      <c r="B20" s="16"/>
      <c r="C20" s="13" t="s">
        <v>132</v>
      </c>
      <c r="H20" s="26">
        <f>SUM(H15:H17)</f>
        <v>13.304444444444444</v>
      </c>
      <c r="I20" s="24" t="s">
        <v>18</v>
      </c>
    </row>
    <row r="21" spans="1:9" ht="16.5" thickTop="1">
      <c r="A21" s="16"/>
      <c r="B21" s="16"/>
    </row>
    <row r="22" spans="1:9" ht="82.5" customHeight="1">
      <c r="A22" s="27" t="s">
        <v>101</v>
      </c>
      <c r="B22" s="28" t="s">
        <v>95</v>
      </c>
      <c r="C22" s="1017" t="s">
        <v>4615</v>
      </c>
      <c r="D22" s="1017"/>
      <c r="E22" s="1017"/>
      <c r="F22" s="1017"/>
      <c r="G22" s="1017"/>
      <c r="H22" s="1017"/>
      <c r="I22" s="1017"/>
    </row>
    <row r="23" spans="1:9">
      <c r="A23" s="27"/>
      <c r="B23" s="28"/>
      <c r="C23" s="45"/>
      <c r="E23" s="45"/>
      <c r="F23" s="34"/>
      <c r="G23" s="45" t="str">
        <f>'MRP WP1'!B28</f>
        <v>First Quarter 2023</v>
      </c>
      <c r="H23" s="34">
        <f>'MRP WP1'!O28</f>
        <v>6.1</v>
      </c>
      <c r="I23" s="34" t="s">
        <v>18</v>
      </c>
    </row>
    <row r="24" spans="1:9">
      <c r="A24" s="27"/>
      <c r="B24" s="28"/>
      <c r="C24" s="45"/>
      <c r="E24" s="45"/>
      <c r="F24" s="34"/>
      <c r="G24" s="45" t="str">
        <f>'MRP WP1'!B29</f>
        <v>Second Quarter 2023</v>
      </c>
      <c r="H24" s="34">
        <f>'MRP WP1'!O29</f>
        <v>6.3</v>
      </c>
      <c r="I24" s="34"/>
    </row>
    <row r="25" spans="1:9">
      <c r="A25" s="27"/>
      <c r="B25" s="28"/>
      <c r="C25" s="45"/>
      <c r="E25" s="45"/>
      <c r="F25" s="34"/>
      <c r="G25" s="45" t="str">
        <f>'MRP WP1'!B30</f>
        <v>Third Quarter 2023</v>
      </c>
      <c r="H25" s="34">
        <f>'MRP WP1'!O30</f>
        <v>6.2</v>
      </c>
      <c r="I25" s="34"/>
    </row>
    <row r="26" spans="1:9">
      <c r="A26" s="27"/>
      <c r="B26" s="28"/>
      <c r="C26" s="45"/>
      <c r="E26" s="45"/>
      <c r="F26" s="34"/>
      <c r="G26" s="45" t="str">
        <f>'MRP WP1'!B31</f>
        <v>Fourth Quarter 2023</v>
      </c>
      <c r="H26" s="34">
        <f>'MRP WP1'!O31</f>
        <v>6.1</v>
      </c>
      <c r="I26" s="34"/>
    </row>
    <row r="27" spans="1:9">
      <c r="A27" s="27"/>
      <c r="B27" s="28"/>
      <c r="C27" s="45"/>
      <c r="E27" s="45"/>
      <c r="F27" s="34"/>
      <c r="G27" s="45" t="str">
        <f>'MRP WP1'!B32</f>
        <v>First Quarter 2024</v>
      </c>
      <c r="H27" s="34">
        <f>'MRP WP1'!O32</f>
        <v>5.9</v>
      </c>
      <c r="I27" s="34"/>
    </row>
    <row r="28" spans="1:9">
      <c r="A28" s="27"/>
      <c r="B28" s="28"/>
      <c r="C28" s="45"/>
      <c r="E28" s="45"/>
      <c r="F28" s="34"/>
      <c r="G28" s="45" t="str">
        <f>'MRP WP1'!B33</f>
        <v>Second Quarter 2024</v>
      </c>
      <c r="H28" s="34">
        <f>'MRP WP1'!O33</f>
        <v>5.8</v>
      </c>
      <c r="I28" s="34"/>
    </row>
    <row r="29" spans="1:9">
      <c r="A29" s="27"/>
      <c r="B29" s="28"/>
      <c r="C29" s="45"/>
      <c r="E29" s="50"/>
      <c r="F29" s="34"/>
      <c r="G29" s="45" t="str">
        <f>'MRP WP1'!B34</f>
        <v>2024-2028</v>
      </c>
      <c r="H29" s="34">
        <f>'MRP WP1'!O34</f>
        <v>6</v>
      </c>
      <c r="I29" s="34"/>
    </row>
    <row r="30" spans="1:9">
      <c r="A30" s="27"/>
      <c r="B30" s="28"/>
      <c r="C30" s="45"/>
      <c r="E30" s="50"/>
      <c r="F30" s="34"/>
      <c r="G30" s="45" t="str">
        <f>'MRP WP1'!B35</f>
        <v>2029-2033</v>
      </c>
      <c r="H30" s="40">
        <f>'MRP WP1'!O35</f>
        <v>6</v>
      </c>
      <c r="I30" s="34"/>
    </row>
    <row r="31" spans="1:9" ht="15" customHeight="1">
      <c r="A31" s="27"/>
      <c r="B31" s="28"/>
      <c r="C31" s="34"/>
      <c r="E31" s="34"/>
      <c r="F31" s="34"/>
      <c r="G31" s="34"/>
      <c r="H31" s="34"/>
      <c r="I31" s="34"/>
    </row>
    <row r="32" spans="1:9" ht="15" customHeight="1" thickBot="1">
      <c r="A32" s="27"/>
      <c r="B32" s="28"/>
      <c r="C32" s="46"/>
      <c r="E32" s="46"/>
      <c r="F32" s="34"/>
      <c r="G32" s="46" t="s">
        <v>80</v>
      </c>
      <c r="H32" s="41">
        <f>ROUND(AVERAGE(H23:H30),2)</f>
        <v>6.05</v>
      </c>
      <c r="I32" s="34" t="s">
        <v>18</v>
      </c>
    </row>
    <row r="33" spans="1:9" ht="15" customHeight="1" thickTop="1">
      <c r="A33" s="27"/>
      <c r="B33" s="28"/>
      <c r="C33" s="46"/>
      <c r="E33" s="46"/>
      <c r="F33" s="34"/>
      <c r="G33" s="46"/>
      <c r="H33" s="34"/>
    </row>
    <row r="34" spans="1:9" ht="15" customHeight="1">
      <c r="A34" s="27"/>
      <c r="B34" s="31" t="s">
        <v>96</v>
      </c>
      <c r="C34" s="1017" t="str">
        <f>CONCATENATE("The average yield spread of Baa rated corporate bonds over A corporate bonds for the three months ending ",TEXT(C38,"mmmm yyyy")," .  To reflect the ", IFERROR('7.4 CEM RPM Bond Ratings'!D50,"NA"), " average rating of the Gas Non-Utility proxy groups, the prosepctive yield on Baa1 corporate bonds must be adjusted by 1/3 of the spread between A and Baa corporate bond yields as shown below:")</f>
        <v>The average yield spread of Baa rated corporate bonds over A corporate bonds for the three months ending December 2022 .  To reflect the Baa1 average rating of the Gas Non-Utility proxy groups, the prosepctive yield on Baa1 corporate bonds must be adjusted by 1/3 of the spread between A and Baa corporate bond yields as shown below:</v>
      </c>
      <c r="D34" s="1017"/>
      <c r="E34" s="1017"/>
      <c r="F34" s="1017"/>
      <c r="G34" s="1017"/>
      <c r="H34" s="1017"/>
      <c r="I34" s="1017"/>
    </row>
    <row r="35" spans="1:9" ht="15" customHeight="1">
      <c r="A35" s="27"/>
      <c r="B35" s="28"/>
      <c r="C35" s="1017"/>
      <c r="D35" s="1017"/>
      <c r="E35" s="1017"/>
      <c r="F35" s="1017"/>
      <c r="G35" s="1017"/>
      <c r="H35" s="1017"/>
      <c r="I35" s="1017"/>
    </row>
    <row r="36" spans="1:9" ht="81.75" customHeight="1">
      <c r="A36" s="27"/>
      <c r="B36" s="28"/>
      <c r="C36" s="1017"/>
      <c r="D36" s="1017"/>
      <c r="E36" s="1017"/>
      <c r="F36" s="1017"/>
      <c r="G36" s="1017"/>
      <c r="H36" s="1017"/>
      <c r="I36" s="1017"/>
    </row>
    <row r="37" spans="1:9" ht="33" customHeight="1">
      <c r="A37" s="27"/>
      <c r="C37" s="28"/>
      <c r="D37" s="1016" t="s">
        <v>4360</v>
      </c>
      <c r="E37" s="1016"/>
      <c r="F37" s="1031" t="s">
        <v>4361</v>
      </c>
      <c r="G37" s="1031"/>
      <c r="H37" s="742" t="s">
        <v>4362</v>
      </c>
    </row>
    <row r="38" spans="1:9">
      <c r="A38" s="27"/>
      <c r="C38" s="511">
        <f>'Market Data'!B1</f>
        <v>44926</v>
      </c>
      <c r="D38" s="86">
        <f>'Market Data'!B6</f>
        <v>5.0999999999999996</v>
      </c>
      <c r="E38" s="39" t="s">
        <v>18</v>
      </c>
      <c r="F38" s="34">
        <f>'Market Data'!B7</f>
        <v>5.58</v>
      </c>
      <c r="G38" s="39" t="s">
        <v>18</v>
      </c>
      <c r="H38" s="512">
        <f>F38-D38</f>
        <v>0.48000000000000043</v>
      </c>
      <c r="I38" s="29" t="s">
        <v>18</v>
      </c>
    </row>
    <row r="39" spans="1:9">
      <c r="A39" s="27"/>
      <c r="C39" s="511">
        <f>'Market Data'!C1</f>
        <v>44895</v>
      </c>
      <c r="D39" s="86">
        <f>'Market Data'!C6</f>
        <v>5.58</v>
      </c>
      <c r="E39" s="46"/>
      <c r="F39" s="34">
        <f>'Market Data'!C7</f>
        <v>6.07</v>
      </c>
      <c r="G39" s="46"/>
      <c r="H39" s="512">
        <f t="shared" ref="H39:H40" si="0">F39-D39</f>
        <v>0.49000000000000021</v>
      </c>
    </row>
    <row r="40" spans="1:9">
      <c r="A40" s="27"/>
      <c r="C40" s="511">
        <f>'Market Data'!D1</f>
        <v>44864</v>
      </c>
      <c r="D40" s="86">
        <f>'Market Data'!D6</f>
        <v>5.74</v>
      </c>
      <c r="E40" s="46"/>
      <c r="F40" s="34">
        <f>'Market Data'!D7</f>
        <v>6.26</v>
      </c>
      <c r="G40" s="46"/>
      <c r="H40" s="741">
        <f t="shared" si="0"/>
        <v>0.51999999999999957</v>
      </c>
    </row>
    <row r="41" spans="1:9">
      <c r="A41" s="27"/>
      <c r="C41" s="28"/>
      <c r="E41" s="46"/>
      <c r="F41" s="34"/>
      <c r="G41" s="46" t="s">
        <v>4363</v>
      </c>
      <c r="H41" s="740">
        <f>AVERAGE(H38:H40)</f>
        <v>0.49666666666666676</v>
      </c>
    </row>
    <row r="42" spans="1:9" ht="16.5" thickBot="1">
      <c r="A42" s="27"/>
      <c r="C42" s="28"/>
      <c r="E42" s="46"/>
      <c r="F42" s="34"/>
      <c r="G42" s="46" t="s">
        <v>4364</v>
      </c>
      <c r="H42" s="513">
        <f>H41*(1/3)</f>
        <v>0.16555555555555557</v>
      </c>
    </row>
    <row r="43" spans="1:9" ht="16.5" thickTop="1">
      <c r="A43" s="27"/>
      <c r="B43" s="28"/>
      <c r="C43" s="46"/>
      <c r="E43" s="46"/>
      <c r="F43" s="34"/>
      <c r="G43" s="46"/>
    </row>
    <row r="44" spans="1:9" ht="15" customHeight="1">
      <c r="A44" s="27"/>
      <c r="B44" s="31" t="s">
        <v>97</v>
      </c>
      <c r="C44" s="1017" t="s">
        <v>4433</v>
      </c>
      <c r="D44" s="1017"/>
      <c r="E44" s="1017"/>
      <c r="F44" s="1017"/>
      <c r="G44" s="1017"/>
      <c r="H44" s="1017"/>
      <c r="I44" s="34"/>
    </row>
    <row r="45" spans="1:9" ht="15.75" customHeight="1"/>
  </sheetData>
  <mergeCells count="10">
    <mergeCell ref="A1:I1"/>
    <mergeCell ref="A2:I2"/>
    <mergeCell ref="A3:I3"/>
    <mergeCell ref="A4:I4"/>
    <mergeCell ref="C44:H44"/>
    <mergeCell ref="H6:I6"/>
    <mergeCell ref="C34:I36"/>
    <mergeCell ref="C22:I22"/>
    <mergeCell ref="D37:E37"/>
    <mergeCell ref="F37:G37"/>
  </mergeCells>
  <printOptions horizontalCentered="1"/>
  <pageMargins left="0.7" right="0.7" top="0.75" bottom="0.75" header="0.3" footer="0.3"/>
  <pageSetup scale="74"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dimension ref="A1:AL56"/>
  <sheetViews>
    <sheetView view="pageBreakPreview" zoomScale="85" zoomScaleNormal="100" zoomScaleSheetLayoutView="85" workbookViewId="0"/>
  </sheetViews>
  <sheetFormatPr defaultColWidth="9" defaultRowHeight="15.75"/>
  <cols>
    <col min="1" max="1" width="9" style="3"/>
    <col min="2" max="2" width="33.28515625" style="3" customWidth="1"/>
    <col min="3" max="3" width="4.28515625" style="3" customWidth="1"/>
    <col min="4" max="4" width="16.85546875" style="3" customWidth="1"/>
    <col min="5" max="5" width="4.28515625" style="3" customWidth="1"/>
    <col min="6" max="6" width="16.85546875" style="3" customWidth="1"/>
    <col min="7" max="7" width="4.28515625" style="3" customWidth="1"/>
    <col min="8" max="8" width="16.85546875" style="3" customWidth="1"/>
    <col min="9" max="9" width="4.28515625" style="3" customWidth="1"/>
    <col min="10" max="10" width="16.85546875" style="3" customWidth="1"/>
    <col min="11" max="16384" width="9" style="3"/>
  </cols>
  <sheetData>
    <row r="1" spans="1:38">
      <c r="B1" s="1" t="str">
        <f>Input!G28</f>
        <v>Peoples Gas System</v>
      </c>
      <c r="C1" s="2"/>
      <c r="D1" s="2"/>
      <c r="E1" s="2"/>
      <c r="F1" s="2"/>
      <c r="G1" s="2"/>
      <c r="H1" s="2"/>
      <c r="I1" s="2"/>
      <c r="J1" s="2"/>
    </row>
    <row r="2" spans="1:38">
      <c r="B2" s="2" t="s">
        <v>1358</v>
      </c>
      <c r="C2" s="2"/>
      <c r="D2" s="2"/>
      <c r="E2" s="2"/>
      <c r="F2" s="2"/>
      <c r="G2" s="2"/>
      <c r="H2" s="2"/>
      <c r="I2" s="2"/>
      <c r="J2" s="2"/>
    </row>
    <row r="3" spans="1:38">
      <c r="B3" s="1" t="str">
        <f>Input!I29</f>
        <v>Utility Proxy Group</v>
      </c>
      <c r="C3" s="2"/>
      <c r="D3" s="2"/>
      <c r="E3" s="2"/>
      <c r="F3" s="2"/>
      <c r="G3" s="2"/>
      <c r="H3" s="2"/>
      <c r="I3" s="2"/>
      <c r="J3" s="2"/>
    </row>
    <row r="4" spans="1:38">
      <c r="B4" s="2"/>
      <c r="C4" s="2"/>
      <c r="D4" s="2"/>
      <c r="E4" s="2"/>
      <c r="F4" s="2"/>
      <c r="G4" s="2"/>
      <c r="H4" s="2"/>
      <c r="I4" s="2"/>
      <c r="J4" s="2"/>
    </row>
    <row r="5" spans="1:38">
      <c r="D5" s="2" t="s">
        <v>140</v>
      </c>
      <c r="E5" s="2"/>
      <c r="F5" s="2"/>
      <c r="H5" s="2" t="s">
        <v>141</v>
      </c>
      <c r="I5" s="2"/>
      <c r="J5" s="2"/>
    </row>
    <row r="6" spans="1:38">
      <c r="D6" s="2" t="s">
        <v>1356</v>
      </c>
      <c r="E6" s="2"/>
      <c r="F6" s="2"/>
      <c r="H6" s="2" t="str">
        <f>D6</f>
        <v>Long-Term Issuer Rating</v>
      </c>
      <c r="I6" s="2"/>
      <c r="J6" s="2"/>
    </row>
    <row r="7" spans="1:38">
      <c r="D7" s="232" t="str">
        <f>TEXT(Input!$E$2, "mmmm yyyy")</f>
        <v>December 2022</v>
      </c>
      <c r="E7" s="233"/>
      <c r="F7" s="233"/>
      <c r="H7" s="232" t="str">
        <f>D7</f>
        <v>December 2022</v>
      </c>
      <c r="I7" s="233"/>
      <c r="J7" s="233"/>
    </row>
    <row r="8" spans="1:38" ht="47.25">
      <c r="B8" s="438" t="str">
        <f>'7.6 CEM CAPM Backup'!B7</f>
        <v>Proxy Group of Thirty Nine Non-Price Regulated Companies</v>
      </c>
      <c r="D8" s="439" t="s">
        <v>1356</v>
      </c>
      <c r="F8" s="439" t="s">
        <v>184</v>
      </c>
      <c r="H8" s="439" t="str">
        <f>D8</f>
        <v>Long-Term Issuer Rating</v>
      </c>
      <c r="J8" s="439" t="s">
        <v>184</v>
      </c>
    </row>
    <row r="9" spans="1:38">
      <c r="L9" s="123"/>
      <c r="M9" s="123"/>
    </row>
    <row r="10" spans="1:38" ht="15.75" customHeight="1">
      <c r="A10" s="3" t="str">
        <f>Input!C2</f>
        <v>A</v>
      </c>
      <c r="B10" s="3" t="str">
        <f>VLOOKUP($A10,'CEM Data Lookup'!$A:$P,2,FALSE)</f>
        <v>Agilent Technologies</v>
      </c>
      <c r="D10" s="510" t="str">
        <f>'CEM Data Lookup'!J4</f>
        <v>Baa2</v>
      </c>
      <c r="E10" s="5"/>
      <c r="F10" s="48">
        <f>IFERROR(VLOOKUP('7.4 CEM RPM Bond Ratings'!D10,'4.6 Moody''s_S&amp;P numbericl'!B:D,3,FALSE),"--")</f>
        <v>9</v>
      </c>
      <c r="G10" s="5"/>
      <c r="H10" s="510" t="str">
        <f>'CEM Data Lookup'!K4</f>
        <v>BBB+</v>
      </c>
      <c r="I10" s="5"/>
      <c r="J10" s="48">
        <f>IFERROR(VLOOKUP(H10, '4.6 Moody''s_S&amp;P numbericl'!$F$6:$H$26, 3, FALSE),"--")</f>
        <v>8</v>
      </c>
      <c r="L10" s="443"/>
      <c r="M10" s="443"/>
    </row>
    <row r="11" spans="1:38" ht="15.75" customHeight="1">
      <c r="A11" s="3" t="str">
        <f>Input!C3</f>
        <v>ABT</v>
      </c>
      <c r="B11" s="3" t="str">
        <f>VLOOKUP($A11,'CEM Data Lookup'!$A:$P,2,FALSE)</f>
        <v xml:space="preserve">Abbott Labs.        </v>
      </c>
      <c r="D11" s="510" t="str">
        <f>'CEM Data Lookup'!J5</f>
        <v>A1</v>
      </c>
      <c r="E11" s="5"/>
      <c r="F11" s="48">
        <f>IFERROR(VLOOKUP('7.4 CEM RPM Bond Ratings'!D11,'4.6 Moody''s_S&amp;P numbericl'!B:D,3,FALSE),"--")</f>
        <v>5</v>
      </c>
      <c r="G11" s="5"/>
      <c r="H11" s="510" t="str">
        <f>'CEM Data Lookup'!K5</f>
        <v>AA-</v>
      </c>
      <c r="I11" s="5"/>
      <c r="J11" s="48">
        <f>IFERROR(VLOOKUP(H11, '4.6 Moody''s_S&amp;P numbericl'!$F$6:$H$26, 3, FALSE),"--")</f>
        <v>4</v>
      </c>
      <c r="L11" s="443"/>
      <c r="M11" s="443"/>
    </row>
    <row r="12" spans="1:38" ht="15.75" customHeight="1">
      <c r="A12" s="3" t="str">
        <f>Input!C4</f>
        <v>ADI</v>
      </c>
      <c r="B12" s="3" t="str">
        <f>VLOOKUP($A12,'CEM Data Lookup'!$A:$P,2,FALSE)</f>
        <v xml:space="preserve">Analog Devices      </v>
      </c>
      <c r="D12" s="510" t="str">
        <f>'CEM Data Lookup'!J6</f>
        <v>A3</v>
      </c>
      <c r="E12" s="5"/>
      <c r="F12" s="48">
        <f>IFERROR(VLOOKUP('7.4 CEM RPM Bond Ratings'!D12,'4.6 Moody''s_S&amp;P numbericl'!B:D,3,FALSE),"--")</f>
        <v>7</v>
      </c>
      <c r="G12" s="5"/>
      <c r="H12" s="510" t="str">
        <f>'CEM Data Lookup'!K6</f>
        <v>A-</v>
      </c>
      <c r="I12" s="5"/>
      <c r="J12" s="48">
        <f>IFERROR(VLOOKUP(H12, '4.6 Moody''s_S&amp;P numbericl'!$F$6:$H$26, 3, FALSE),"--")</f>
        <v>7</v>
      </c>
      <c r="L12" s="443"/>
      <c r="M12" s="443"/>
      <c r="AF12" s="234"/>
      <c r="AG12" s="108"/>
      <c r="AH12" s="234"/>
      <c r="AI12" s="108"/>
      <c r="AJ12" s="234"/>
      <c r="AK12" s="108"/>
      <c r="AL12" s="234"/>
    </row>
    <row r="13" spans="1:38" ht="15.75" customHeight="1">
      <c r="A13" s="3" t="str">
        <f>Input!C5</f>
        <v>AIZ</v>
      </c>
      <c r="B13" s="3" t="str">
        <f>VLOOKUP($A13,'CEM Data Lookup'!$A:$P,2,FALSE)</f>
        <v xml:space="preserve">Assurant Inc.       </v>
      </c>
      <c r="D13" s="510" t="str">
        <f>'CEM Data Lookup'!J7</f>
        <v>Baa2</v>
      </c>
      <c r="E13" s="5"/>
      <c r="F13" s="48">
        <f>IFERROR(VLOOKUP('7.4 CEM RPM Bond Ratings'!D13,'4.6 Moody''s_S&amp;P numbericl'!B:D,3,FALSE),"--")</f>
        <v>9</v>
      </c>
      <c r="G13" s="5"/>
      <c r="H13" s="510" t="str">
        <f>'CEM Data Lookup'!K7</f>
        <v>BBB</v>
      </c>
      <c r="I13" s="5"/>
      <c r="J13" s="48">
        <f>IFERROR(VLOOKUP(H13, '4.6 Moody''s_S&amp;P numbericl'!$F$6:$H$26, 3, FALSE),"--")</f>
        <v>9</v>
      </c>
      <c r="L13" s="443"/>
      <c r="M13" s="443"/>
      <c r="AF13" s="108"/>
      <c r="AG13" s="108"/>
      <c r="AH13" s="108"/>
      <c r="AI13" s="108"/>
      <c r="AJ13" s="111"/>
      <c r="AK13" s="108"/>
      <c r="AL13" s="108"/>
    </row>
    <row r="14" spans="1:38" ht="15.75" customHeight="1">
      <c r="A14" s="3" t="str">
        <f>Input!C6</f>
        <v>AOS</v>
      </c>
      <c r="B14" s="3" t="str">
        <f>VLOOKUP($A14,'CEM Data Lookup'!$A:$P,2,FALSE)</f>
        <v xml:space="preserve">Smith (A.O.)        </v>
      </c>
      <c r="D14" s="510" t="str">
        <f>'CEM Data Lookup'!J8</f>
        <v>NA</v>
      </c>
      <c r="E14" s="5"/>
      <c r="F14" s="48" t="str">
        <f>IFERROR(VLOOKUP('7.4 CEM RPM Bond Ratings'!D14,'4.6 Moody''s_S&amp;P numbericl'!B:D,3,FALSE),"--")</f>
        <v>--</v>
      </c>
      <c r="G14" s="5"/>
      <c r="H14" s="510" t="str">
        <f>'CEM Data Lookup'!K8</f>
        <v>NA</v>
      </c>
      <c r="I14" s="5"/>
      <c r="J14" s="48" t="str">
        <f>IFERROR(VLOOKUP(H14, '4.6 Moody''s_S&amp;P numbericl'!$F$6:$H$26, 3, FALSE),"--")</f>
        <v>--</v>
      </c>
      <c r="L14" s="443"/>
      <c r="M14" s="443"/>
      <c r="AF14" s="111"/>
      <c r="AG14" s="108"/>
      <c r="AH14" s="111"/>
      <c r="AI14" s="108"/>
      <c r="AJ14" s="111"/>
      <c r="AK14" s="112"/>
      <c r="AL14" s="111"/>
    </row>
    <row r="15" spans="1:38" ht="15.75" customHeight="1">
      <c r="A15" s="3" t="str">
        <f>Input!C7</f>
        <v>APD</v>
      </c>
      <c r="B15" s="3" t="str">
        <f>VLOOKUP($A15,'CEM Data Lookup'!$A:$P,2,FALSE)</f>
        <v>Air Products &amp; Chem.</v>
      </c>
      <c r="D15" s="510" t="str">
        <f>'CEM Data Lookup'!J9</f>
        <v>A2</v>
      </c>
      <c r="E15" s="5"/>
      <c r="F15" s="48">
        <f>IFERROR(VLOOKUP('7.4 CEM RPM Bond Ratings'!D15,'4.6 Moody''s_S&amp;P numbericl'!B:D,3,FALSE),"--")</f>
        <v>6</v>
      </c>
      <c r="G15" s="5"/>
      <c r="H15" s="510" t="str">
        <f>'CEM Data Lookup'!K9</f>
        <v>A</v>
      </c>
      <c r="I15" s="5"/>
      <c r="J15" s="48">
        <f>IFERROR(VLOOKUP(H15, '4.6 Moody''s_S&amp;P numbericl'!$F$6:$H$26, 3, FALSE),"--")</f>
        <v>6</v>
      </c>
      <c r="L15" s="443"/>
      <c r="M15" s="443"/>
      <c r="AF15" s="111"/>
      <c r="AG15" s="108"/>
      <c r="AH15" s="111"/>
      <c r="AI15" s="108"/>
      <c r="AJ15" s="111"/>
      <c r="AK15" s="112"/>
      <c r="AL15" s="111"/>
    </row>
    <row r="16" spans="1:38" ht="15.75" customHeight="1">
      <c r="A16" s="3" t="str">
        <f>Input!C8</f>
        <v>BFB</v>
      </c>
      <c r="B16" s="3" t="str">
        <f>VLOOKUP($A16,'CEM Data Lookup'!$A:$P,2,FALSE)</f>
        <v xml:space="preserve">Brown-Forman 'B'    </v>
      </c>
      <c r="D16" s="510" t="str">
        <f>'CEM Data Lookup'!J10</f>
        <v>A1</v>
      </c>
      <c r="E16" s="5"/>
      <c r="F16" s="48">
        <f>IFERROR(VLOOKUP('7.4 CEM RPM Bond Ratings'!D16,'4.6 Moody''s_S&amp;P numbericl'!B:D,3,FALSE),"--")</f>
        <v>5</v>
      </c>
      <c r="G16" s="5"/>
      <c r="H16" s="510" t="str">
        <f>'CEM Data Lookup'!K10</f>
        <v>A-</v>
      </c>
      <c r="I16" s="5"/>
      <c r="J16" s="48">
        <f>IFERROR(VLOOKUP(H16, '4.6 Moody''s_S&amp;P numbericl'!$F$6:$H$26, 3, FALSE),"--")</f>
        <v>7</v>
      </c>
      <c r="L16" s="443"/>
      <c r="M16" s="443"/>
      <c r="AF16" s="111"/>
      <c r="AG16" s="108"/>
      <c r="AH16" s="111"/>
      <c r="AI16" s="108"/>
      <c r="AJ16" s="111"/>
      <c r="AK16" s="112"/>
      <c r="AL16" s="111"/>
    </row>
    <row r="17" spans="1:38" ht="15.75" customHeight="1">
      <c r="A17" s="3" t="str">
        <f>Input!C9</f>
        <v>BMY</v>
      </c>
      <c r="B17" s="3" t="str">
        <f>VLOOKUP($A17,'CEM Data Lookup'!$A:$P,2,FALSE)</f>
        <v>Bristol-Myers Squibb</v>
      </c>
      <c r="D17" s="510" t="str">
        <f>'CEM Data Lookup'!J11</f>
        <v>A2</v>
      </c>
      <c r="E17" s="5"/>
      <c r="F17" s="48">
        <f>IFERROR(VLOOKUP('7.4 CEM RPM Bond Ratings'!D17,'4.6 Moody''s_S&amp;P numbericl'!B:D,3,FALSE),"--")</f>
        <v>6</v>
      </c>
      <c r="G17" s="5"/>
      <c r="H17" s="510" t="str">
        <f>'CEM Data Lookup'!K11</f>
        <v>A+</v>
      </c>
      <c r="I17" s="5"/>
      <c r="J17" s="48">
        <f>IFERROR(VLOOKUP(H17, '4.6 Moody''s_S&amp;P numbericl'!$F$6:$H$26, 3, FALSE),"--")</f>
        <v>5</v>
      </c>
      <c r="L17" s="443"/>
      <c r="M17" s="443"/>
      <c r="AF17" s="111"/>
      <c r="AG17" s="108"/>
      <c r="AH17" s="111"/>
      <c r="AI17" s="108"/>
      <c r="AJ17" s="111"/>
      <c r="AK17" s="112"/>
      <c r="AL17" s="111"/>
    </row>
    <row r="18" spans="1:38" ht="15.75" customHeight="1">
      <c r="A18" s="3" t="str">
        <f>Input!C10</f>
        <v>BR</v>
      </c>
      <c r="B18" s="3" t="str">
        <f>VLOOKUP($A18,'CEM Data Lookup'!$A:$P,2,FALSE)</f>
        <v xml:space="preserve">Broadridge Fin'l    </v>
      </c>
      <c r="D18" s="510" t="str">
        <f>'CEM Data Lookup'!J12</f>
        <v>Baa1</v>
      </c>
      <c r="E18" s="5"/>
      <c r="F18" s="48">
        <f>IFERROR(VLOOKUP('7.4 CEM RPM Bond Ratings'!D18,'4.6 Moody''s_S&amp;P numbericl'!B:D,3,FALSE),"--")</f>
        <v>8</v>
      </c>
      <c r="G18" s="5"/>
      <c r="H18" s="510" t="str">
        <f>'CEM Data Lookup'!K12</f>
        <v>BBB+</v>
      </c>
      <c r="I18" s="5"/>
      <c r="J18" s="48">
        <f>IFERROR(VLOOKUP(H18, '4.6 Moody''s_S&amp;P numbericl'!$F$6:$H$26, 3, FALSE),"--")</f>
        <v>8</v>
      </c>
      <c r="L18" s="443"/>
      <c r="M18" s="443"/>
      <c r="AF18" s="111"/>
      <c r="AG18" s="108"/>
      <c r="AH18" s="111"/>
      <c r="AI18" s="108"/>
      <c r="AJ18" s="111"/>
      <c r="AK18" s="112"/>
      <c r="AL18" s="111"/>
    </row>
    <row r="19" spans="1:38" ht="15.75" customHeight="1">
      <c r="A19" s="3" t="str">
        <f>Input!C11</f>
        <v>CACI</v>
      </c>
      <c r="B19" s="3" t="str">
        <f>VLOOKUP($A19,'CEM Data Lookup'!$A:$P,2,FALSE)</f>
        <v xml:space="preserve">CACI Int'l          </v>
      </c>
      <c r="D19" s="510" t="str">
        <f>'CEM Data Lookup'!J13</f>
        <v>NA</v>
      </c>
      <c r="E19" s="5"/>
      <c r="F19" s="48" t="str">
        <f>IFERROR(VLOOKUP('7.4 CEM RPM Bond Ratings'!D19,'4.6 Moody''s_S&amp;P numbericl'!B:D,3,FALSE),"--")</f>
        <v>--</v>
      </c>
      <c r="G19" s="5"/>
      <c r="H19" s="510" t="str">
        <f>'CEM Data Lookup'!K13</f>
        <v>BB+</v>
      </c>
      <c r="I19" s="5"/>
      <c r="J19" s="48">
        <f>IFERROR(VLOOKUP(H19, '4.6 Moody''s_S&amp;P numbericl'!$F$6:$H$26, 3, FALSE),"--")</f>
        <v>11</v>
      </c>
      <c r="L19" s="443"/>
      <c r="M19" s="443"/>
      <c r="AF19" s="111"/>
      <c r="AG19" s="108"/>
      <c r="AH19" s="111"/>
      <c r="AI19" s="108"/>
      <c r="AJ19" s="111"/>
      <c r="AK19" s="112"/>
      <c r="AL19" s="111"/>
    </row>
    <row r="20" spans="1:38" ht="15.75" customHeight="1">
      <c r="A20" s="3" t="str">
        <f>Input!C12</f>
        <v>CHE</v>
      </c>
      <c r="B20" s="3" t="str">
        <f>VLOOKUP($A20,'CEM Data Lookup'!$A:$P,2,FALSE)</f>
        <v xml:space="preserve">Chemed Corp.        </v>
      </c>
      <c r="D20" s="510" t="str">
        <f>'CEM Data Lookup'!J14</f>
        <v>WR</v>
      </c>
      <c r="E20" s="5"/>
      <c r="F20" s="48" t="str">
        <f>IFERROR(VLOOKUP('7.4 CEM RPM Bond Ratings'!D20,'4.6 Moody''s_S&amp;P numbericl'!B:D,3,FALSE),"--")</f>
        <v>--</v>
      </c>
      <c r="G20" s="5"/>
      <c r="H20" s="510" t="str">
        <f>'CEM Data Lookup'!K14</f>
        <v>NR</v>
      </c>
      <c r="I20" s="5"/>
      <c r="J20" s="48" t="str">
        <f>IFERROR(VLOOKUP(H20, '4.6 Moody''s_S&amp;P numbericl'!$F$6:$H$26, 3, FALSE),"--")</f>
        <v>--</v>
      </c>
      <c r="L20" s="443"/>
      <c r="M20" s="443"/>
      <c r="AF20" s="111"/>
      <c r="AG20" s="108"/>
      <c r="AH20" s="111"/>
      <c r="AI20" s="108"/>
      <c r="AJ20" s="111"/>
      <c r="AK20" s="112"/>
      <c r="AL20" s="111"/>
    </row>
    <row r="21" spans="1:38" ht="15.75" customHeight="1">
      <c r="A21" s="3" t="str">
        <f>Input!C13</f>
        <v>CSWI</v>
      </c>
      <c r="B21" s="3" t="str">
        <f>VLOOKUP($A21,'CEM Data Lookup'!$A:$P,2,FALSE)</f>
        <v xml:space="preserve">CSW Industrials     </v>
      </c>
      <c r="D21" s="510" t="str">
        <f>'CEM Data Lookup'!J15</f>
        <v>NA</v>
      </c>
      <c r="E21" s="5"/>
      <c r="F21" s="48" t="str">
        <f>IFERROR(VLOOKUP('7.4 CEM RPM Bond Ratings'!D21,'4.6 Moody''s_S&amp;P numbericl'!B:D,3,FALSE),"--")</f>
        <v>--</v>
      </c>
      <c r="G21" s="5"/>
      <c r="H21" s="510" t="str">
        <f>'CEM Data Lookup'!K15</f>
        <v>NA</v>
      </c>
      <c r="I21" s="5"/>
      <c r="J21" s="48" t="str">
        <f>IFERROR(VLOOKUP(H21, '4.6 Moody''s_S&amp;P numbericl'!$F$6:$H$26, 3, FALSE),"--")</f>
        <v>--</v>
      </c>
      <c r="L21" s="443"/>
      <c r="M21" s="443"/>
      <c r="AF21" s="111"/>
      <c r="AG21" s="108"/>
      <c r="AH21" s="111"/>
      <c r="AI21" s="108"/>
      <c r="AJ21" s="111"/>
      <c r="AK21" s="112"/>
      <c r="AL21" s="111"/>
    </row>
    <row r="22" spans="1:38" ht="15.75" customHeight="1">
      <c r="A22" s="3" t="str">
        <f>Input!C14</f>
        <v>DGX</v>
      </c>
      <c r="B22" s="3" t="str">
        <f>VLOOKUP($A22,'CEM Data Lookup'!$A:$P,2,FALSE)</f>
        <v xml:space="preserve">Quest Diagnostics   </v>
      </c>
      <c r="D22" s="510" t="str">
        <f>'CEM Data Lookup'!J16</f>
        <v>Baa2</v>
      </c>
      <c r="E22" s="5"/>
      <c r="F22" s="48">
        <f>IFERROR(VLOOKUP('7.4 CEM RPM Bond Ratings'!D22,'4.6 Moody''s_S&amp;P numbericl'!B:D,3,FALSE),"--")</f>
        <v>9</v>
      </c>
      <c r="G22" s="5"/>
      <c r="H22" s="510" t="str">
        <f>'CEM Data Lookup'!K16</f>
        <v>BBB+</v>
      </c>
      <c r="I22" s="5"/>
      <c r="J22" s="48">
        <f>IFERROR(VLOOKUP(H22, '4.6 Moody''s_S&amp;P numbericl'!$F$6:$H$26, 3, FALSE),"--")</f>
        <v>8</v>
      </c>
      <c r="L22" s="443"/>
      <c r="M22" s="443"/>
      <c r="AF22" s="111"/>
      <c r="AG22" s="108"/>
      <c r="AH22" s="111"/>
      <c r="AI22" s="108"/>
      <c r="AJ22" s="111"/>
      <c r="AK22" s="112"/>
      <c r="AL22" s="111"/>
    </row>
    <row r="23" spans="1:38" ht="15.75" customHeight="1">
      <c r="A23" s="3" t="str">
        <f>Input!C15</f>
        <v>EXPO</v>
      </c>
      <c r="B23" s="3" t="str">
        <f>VLOOKUP($A23,'CEM Data Lookup'!$A:$P,2,FALSE)</f>
        <v xml:space="preserve">Exponent, Inc.      </v>
      </c>
      <c r="D23" s="510" t="str">
        <f>'CEM Data Lookup'!J17</f>
        <v>NA</v>
      </c>
      <c r="E23" s="5"/>
      <c r="F23" s="48" t="str">
        <f>IFERROR(VLOOKUP('7.4 CEM RPM Bond Ratings'!D23,'4.6 Moody''s_S&amp;P numbericl'!B:D,3,FALSE),"--")</f>
        <v>--</v>
      </c>
      <c r="G23" s="5"/>
      <c r="H23" s="510" t="str">
        <f>'CEM Data Lookup'!K17</f>
        <v>NA</v>
      </c>
      <c r="I23" s="5"/>
      <c r="J23" s="48" t="str">
        <f>IFERROR(VLOOKUP(H23, '4.6 Moody''s_S&amp;P numbericl'!$F$6:$H$26, 3, FALSE),"--")</f>
        <v>--</v>
      </c>
      <c r="L23" s="443"/>
      <c r="M23" s="443"/>
      <c r="AF23" s="111"/>
      <c r="AG23" s="108"/>
      <c r="AH23" s="111"/>
      <c r="AI23" s="108"/>
      <c r="AJ23" s="111"/>
      <c r="AK23" s="112"/>
      <c r="AL23" s="111"/>
    </row>
    <row r="24" spans="1:38" ht="15.75" customHeight="1">
      <c r="A24" s="3" t="str">
        <f>Input!C16</f>
        <v>INGR</v>
      </c>
      <c r="B24" s="3" t="str">
        <f>VLOOKUP($A24,'CEM Data Lookup'!$A:$P,2,FALSE)</f>
        <v xml:space="preserve">Ingredion Inc.      </v>
      </c>
      <c r="D24" s="510" t="str">
        <f>'CEM Data Lookup'!J18</f>
        <v>Baa1</v>
      </c>
      <c r="E24" s="5"/>
      <c r="F24" s="48">
        <f>IFERROR(VLOOKUP('7.4 CEM RPM Bond Ratings'!D24,'4.6 Moody''s_S&amp;P numbericl'!B:D,3,FALSE),"--")</f>
        <v>8</v>
      </c>
      <c r="G24" s="5"/>
      <c r="H24" s="510" t="str">
        <f>'CEM Data Lookup'!K18</f>
        <v>BBB</v>
      </c>
      <c r="I24" s="5"/>
      <c r="J24" s="48">
        <f>IFERROR(VLOOKUP(H24, '4.6 Moody''s_S&amp;P numbericl'!$F$6:$H$26, 3, FALSE),"--")</f>
        <v>9</v>
      </c>
      <c r="L24" s="443"/>
      <c r="M24" s="443"/>
      <c r="AF24" s="111"/>
      <c r="AG24" s="108"/>
      <c r="AH24" s="111"/>
      <c r="AI24" s="108"/>
      <c r="AJ24" s="111"/>
      <c r="AK24" s="112"/>
      <c r="AL24" s="111"/>
    </row>
    <row r="25" spans="1:38" ht="15.75" customHeight="1">
      <c r="A25" s="3" t="str">
        <f>Input!C17</f>
        <v>JJSF</v>
      </c>
      <c r="B25" s="3" t="str">
        <f>VLOOKUP($A25,'CEM Data Lookup'!$A:$P,2,FALSE)</f>
        <v xml:space="preserve">J&amp;J Snack Foods     </v>
      </c>
      <c r="D25" s="510" t="str">
        <f>'CEM Data Lookup'!J19</f>
        <v>NA</v>
      </c>
      <c r="E25" s="5"/>
      <c r="F25" s="48" t="str">
        <f>IFERROR(VLOOKUP('7.4 CEM RPM Bond Ratings'!D25,'4.6 Moody''s_S&amp;P numbericl'!B:D,3,FALSE),"--")</f>
        <v>--</v>
      </c>
      <c r="G25" s="5"/>
      <c r="H25" s="510" t="str">
        <f>'CEM Data Lookup'!K19</f>
        <v>NA</v>
      </c>
      <c r="I25" s="5"/>
      <c r="J25" s="48" t="str">
        <f>IFERROR(VLOOKUP(H25, '4.6 Moody''s_S&amp;P numbericl'!$F$6:$H$26, 3, FALSE),"--")</f>
        <v>--</v>
      </c>
      <c r="L25" s="443"/>
      <c r="M25" s="443"/>
      <c r="AF25" s="111"/>
      <c r="AG25" s="108"/>
      <c r="AH25" s="111"/>
      <c r="AI25" s="108"/>
      <c r="AJ25" s="111"/>
      <c r="AK25" s="112"/>
      <c r="AL25" s="111"/>
    </row>
    <row r="26" spans="1:38" ht="15.75" customHeight="1">
      <c r="A26" s="3" t="str">
        <f>Input!C18</f>
        <v>JKHY</v>
      </c>
      <c r="B26" s="3" t="str">
        <f>VLOOKUP($A26,'CEM Data Lookup'!$A:$P,2,FALSE)</f>
        <v>Henry (Jack) &amp; Assoc</v>
      </c>
      <c r="D26" s="510" t="str">
        <f>'CEM Data Lookup'!J20</f>
        <v>NA</v>
      </c>
      <c r="E26" s="5"/>
      <c r="F26" s="48" t="str">
        <f>IFERROR(VLOOKUP('7.4 CEM RPM Bond Ratings'!D26,'4.6 Moody''s_S&amp;P numbericl'!B:D,3,FALSE),"--")</f>
        <v>--</v>
      </c>
      <c r="G26" s="5"/>
      <c r="H26" s="510" t="str">
        <f>'CEM Data Lookup'!K20</f>
        <v>NA</v>
      </c>
      <c r="I26" s="5"/>
      <c r="J26" s="48" t="str">
        <f>IFERROR(VLOOKUP(H26, '4.6 Moody''s_S&amp;P numbericl'!$F$6:$H$26, 3, FALSE),"--")</f>
        <v>--</v>
      </c>
      <c r="L26" s="443"/>
      <c r="M26" s="443"/>
      <c r="AF26" s="111"/>
      <c r="AG26" s="108"/>
      <c r="AH26" s="111"/>
      <c r="AI26" s="108"/>
      <c r="AJ26" s="111"/>
      <c r="AK26" s="112"/>
      <c r="AL26" s="111"/>
    </row>
    <row r="27" spans="1:38" ht="15.75" customHeight="1">
      <c r="A27" s="3" t="str">
        <f>Input!C19</f>
        <v>MKC</v>
      </c>
      <c r="B27" s="3" t="str">
        <f>VLOOKUP($A27,'CEM Data Lookup'!$A:$P,2,FALSE)</f>
        <v xml:space="preserve">McCormick &amp; Co.     </v>
      </c>
      <c r="D27" s="510" t="str">
        <f>'CEM Data Lookup'!J21</f>
        <v>Baa2</v>
      </c>
      <c r="E27" s="5"/>
      <c r="F27" s="48">
        <f>IFERROR(VLOOKUP('7.4 CEM RPM Bond Ratings'!D27,'4.6 Moody''s_S&amp;P numbericl'!B:D,3,FALSE),"--")</f>
        <v>9</v>
      </c>
      <c r="G27" s="5"/>
      <c r="H27" s="510" t="str">
        <f>'CEM Data Lookup'!K21</f>
        <v>BBB</v>
      </c>
      <c r="I27" s="5"/>
      <c r="J27" s="48">
        <f>IFERROR(VLOOKUP(H27, '4.6 Moody''s_S&amp;P numbericl'!$F$6:$H$26, 3, FALSE),"--")</f>
        <v>9</v>
      </c>
      <c r="L27" s="443"/>
      <c r="M27" s="443"/>
      <c r="AF27" s="111"/>
      <c r="AG27" s="108"/>
      <c r="AH27" s="111"/>
      <c r="AI27" s="108"/>
      <c r="AJ27" s="111"/>
      <c r="AK27" s="112"/>
      <c r="AL27" s="111"/>
    </row>
    <row r="28" spans="1:38" ht="15.75" customHeight="1">
      <c r="A28" s="3" t="str">
        <f>Input!C20</f>
        <v>MRK</v>
      </c>
      <c r="B28" s="3" t="str">
        <f>VLOOKUP($A28,'CEM Data Lookup'!$A:$P,2,FALSE)</f>
        <v xml:space="preserve">Merck &amp; Co.         </v>
      </c>
      <c r="D28" s="510" t="str">
        <f>'CEM Data Lookup'!J22</f>
        <v>A1</v>
      </c>
      <c r="E28" s="5"/>
      <c r="F28" s="48">
        <f>IFERROR(VLOOKUP('7.4 CEM RPM Bond Ratings'!D28,'4.6 Moody''s_S&amp;P numbericl'!B:D,3,FALSE),"--")</f>
        <v>5</v>
      </c>
      <c r="G28" s="5"/>
      <c r="H28" s="510" t="str">
        <f>'CEM Data Lookup'!K22</f>
        <v>A+</v>
      </c>
      <c r="I28" s="5"/>
      <c r="J28" s="48">
        <f>IFERROR(VLOOKUP(H28, '4.6 Moody''s_S&amp;P numbericl'!$F$6:$H$26, 3, FALSE),"--")</f>
        <v>5</v>
      </c>
      <c r="L28" s="443"/>
      <c r="M28" s="443"/>
      <c r="AF28" s="111"/>
      <c r="AG28" s="108"/>
      <c r="AH28" s="111"/>
      <c r="AI28" s="108"/>
      <c r="AJ28" s="111"/>
      <c r="AK28" s="112"/>
      <c r="AL28" s="111"/>
    </row>
    <row r="29" spans="1:38" ht="15.75" customHeight="1">
      <c r="A29" s="3" t="str">
        <f>Input!C21</f>
        <v>MSCI</v>
      </c>
      <c r="B29" s="3" t="str">
        <f>VLOOKUP($A29,'CEM Data Lookup'!$A:$P,2,FALSE)</f>
        <v xml:space="preserve">MSCI Inc.           </v>
      </c>
      <c r="D29" s="510" t="str">
        <f>'CEM Data Lookup'!J23</f>
        <v>Ba1</v>
      </c>
      <c r="E29" s="5"/>
      <c r="F29" s="48">
        <f>IFERROR(VLOOKUP('7.4 CEM RPM Bond Ratings'!D29,'4.6 Moody''s_S&amp;P numbericl'!B:D,3,FALSE),"--")</f>
        <v>11</v>
      </c>
      <c r="G29" s="5"/>
      <c r="H29" s="510" t="str">
        <f>'CEM Data Lookup'!K23</f>
        <v>BB+</v>
      </c>
      <c r="I29" s="5"/>
      <c r="J29" s="48">
        <f>IFERROR(VLOOKUP(H29, '4.6 Moody''s_S&amp;P numbericl'!$F$6:$H$26, 3, FALSE),"--")</f>
        <v>11</v>
      </c>
      <c r="L29" s="443"/>
      <c r="M29" s="443"/>
      <c r="AF29" s="111"/>
      <c r="AG29" s="108"/>
      <c r="AH29" s="111"/>
      <c r="AI29" s="108"/>
      <c r="AJ29" s="111"/>
      <c r="AK29" s="112"/>
      <c r="AL29" s="111"/>
    </row>
    <row r="30" spans="1:38" ht="15.75" customHeight="1">
      <c r="A30" s="3" t="str">
        <f>Input!C22</f>
        <v>MSI</v>
      </c>
      <c r="B30" s="3" t="str">
        <f>VLOOKUP($A30,'CEM Data Lookup'!$A:$P,2,FALSE)</f>
        <v xml:space="preserve">Motorola Solutions  </v>
      </c>
      <c r="D30" s="510" t="str">
        <f>'CEM Data Lookup'!J24</f>
        <v>Baa3</v>
      </c>
      <c r="E30" s="5"/>
      <c r="F30" s="48">
        <f>IFERROR(VLOOKUP('7.4 CEM RPM Bond Ratings'!D30,'4.6 Moody''s_S&amp;P numbericl'!B:D,3,FALSE),"--")</f>
        <v>10</v>
      </c>
      <c r="G30" s="5"/>
      <c r="H30" s="510" t="str">
        <f>'CEM Data Lookup'!K24</f>
        <v>BBB-</v>
      </c>
      <c r="I30" s="5"/>
      <c r="J30" s="48">
        <f>IFERROR(VLOOKUP(H30, '4.6 Moody''s_S&amp;P numbericl'!$F$6:$H$26, 3, FALSE),"--")</f>
        <v>10</v>
      </c>
      <c r="L30" s="443"/>
      <c r="M30" s="443"/>
      <c r="AF30" s="111"/>
      <c r="AG30" s="108"/>
      <c r="AH30" s="111"/>
      <c r="AI30" s="108"/>
      <c r="AJ30" s="111"/>
      <c r="AK30" s="112"/>
      <c r="AL30" s="111"/>
    </row>
    <row r="31" spans="1:38" ht="15.75" customHeight="1">
      <c r="A31" s="3" t="str">
        <f>Input!C23</f>
        <v>NEU</v>
      </c>
      <c r="B31" s="3" t="str">
        <f>VLOOKUP($A31,'CEM Data Lookup'!$A:$P,2,FALSE)</f>
        <v xml:space="preserve">NewMarket Corp.     </v>
      </c>
      <c r="D31" s="510" t="str">
        <f>'CEM Data Lookup'!J25</f>
        <v>Baa2</v>
      </c>
      <c r="E31" s="5"/>
      <c r="F31" s="48">
        <f>IFERROR(VLOOKUP('7.4 CEM RPM Bond Ratings'!D31,'4.6 Moody''s_S&amp;P numbericl'!B:D,3,FALSE),"--")</f>
        <v>9</v>
      </c>
      <c r="G31" s="5"/>
      <c r="H31" s="510" t="str">
        <f>'CEM Data Lookup'!K25</f>
        <v>BBB+</v>
      </c>
      <c r="I31" s="5"/>
      <c r="J31" s="48">
        <f>IFERROR(VLOOKUP(H31, '4.6 Moody''s_S&amp;P numbericl'!$F$6:$H$26, 3, FALSE),"--")</f>
        <v>8</v>
      </c>
      <c r="L31" s="443"/>
      <c r="M31" s="443"/>
      <c r="AF31" s="111"/>
      <c r="AG31" s="108"/>
      <c r="AH31" s="111"/>
      <c r="AI31" s="108"/>
      <c r="AJ31" s="111"/>
      <c r="AK31" s="112"/>
      <c r="AL31" s="111"/>
    </row>
    <row r="32" spans="1:38" ht="15.75" customHeight="1">
      <c r="A32" s="3" t="str">
        <f>Input!C24</f>
        <v>NOC</v>
      </c>
      <c r="B32" s="3" t="str">
        <f>VLOOKUP($A32,'CEM Data Lookup'!$A:$P,2,FALSE)</f>
        <v xml:space="preserve">Northrop Grumman    </v>
      </c>
      <c r="D32" s="510" t="str">
        <f>'CEM Data Lookup'!J26</f>
        <v>Baa1</v>
      </c>
      <c r="E32" s="5"/>
      <c r="F32" s="48">
        <f>IFERROR(VLOOKUP('7.4 CEM RPM Bond Ratings'!D32,'4.6 Moody''s_S&amp;P numbericl'!B:D,3,FALSE),"--")</f>
        <v>8</v>
      </c>
      <c r="G32" s="5"/>
      <c r="H32" s="510" t="str">
        <f>'CEM Data Lookup'!K26</f>
        <v>BBB+</v>
      </c>
      <c r="I32" s="5"/>
      <c r="J32" s="48">
        <f>IFERROR(VLOOKUP(H32, '4.6 Moody''s_S&amp;P numbericl'!$F$6:$H$26, 3, FALSE),"--")</f>
        <v>8</v>
      </c>
      <c r="L32" s="443"/>
      <c r="M32" s="443"/>
      <c r="AF32" s="111"/>
      <c r="AG32" s="108"/>
      <c r="AH32" s="111"/>
      <c r="AI32" s="108"/>
      <c r="AJ32" s="111"/>
      <c r="AK32" s="112"/>
      <c r="AL32" s="111"/>
    </row>
    <row r="33" spans="1:38" ht="15.75" customHeight="1">
      <c r="A33" s="3" t="str">
        <f>Input!C25</f>
        <v>ODFL</v>
      </c>
      <c r="B33" s="3" t="str">
        <f>VLOOKUP($A33,'CEM Data Lookup'!$A:$P,2,FALSE)</f>
        <v>Old Dominion Freight</v>
      </c>
      <c r="D33" s="510" t="str">
        <f>'CEM Data Lookup'!J27</f>
        <v>NA</v>
      </c>
      <c r="E33" s="5"/>
      <c r="F33" s="48" t="str">
        <f>IFERROR(VLOOKUP('7.4 CEM RPM Bond Ratings'!D33,'4.6 Moody''s_S&amp;P numbericl'!B:D,3,FALSE),"--")</f>
        <v>--</v>
      </c>
      <c r="G33" s="5"/>
      <c r="H33" s="510" t="str">
        <f>'CEM Data Lookup'!K27</f>
        <v>NA</v>
      </c>
      <c r="I33" s="5"/>
      <c r="J33" s="48" t="str">
        <f>IFERROR(VLOOKUP(H33, '4.6 Moody''s_S&amp;P numbericl'!$F$6:$H$26, 3, FALSE),"--")</f>
        <v>--</v>
      </c>
      <c r="L33" s="443"/>
      <c r="M33" s="443"/>
      <c r="AF33" s="111"/>
      <c r="AG33" s="108"/>
      <c r="AH33" s="111"/>
      <c r="AI33" s="108"/>
      <c r="AJ33" s="111"/>
      <c r="AK33" s="112"/>
      <c r="AL33" s="111"/>
    </row>
    <row r="34" spans="1:38" ht="15.75" customHeight="1">
      <c r="A34" s="3" t="str">
        <f>Input!C26</f>
        <v>ORCL</v>
      </c>
      <c r="B34" s="3" t="str">
        <f>VLOOKUP($A34,'CEM Data Lookup'!$A:$P,2,FALSE)</f>
        <v xml:space="preserve">Oracle Corp.        </v>
      </c>
      <c r="D34" s="510" t="str">
        <f>'CEM Data Lookup'!J28</f>
        <v>Baa2</v>
      </c>
      <c r="E34" s="5"/>
      <c r="F34" s="48">
        <f>IFERROR(VLOOKUP('7.4 CEM RPM Bond Ratings'!D34,'4.6 Moody''s_S&amp;P numbericl'!B:D,3,FALSE),"--")</f>
        <v>9</v>
      </c>
      <c r="G34" s="5"/>
      <c r="H34" s="510" t="str">
        <f>'CEM Data Lookup'!K28</f>
        <v>BBB</v>
      </c>
      <c r="I34" s="5"/>
      <c r="J34" s="48">
        <f>IFERROR(VLOOKUP(H34, '4.6 Moody''s_S&amp;P numbericl'!$F$6:$H$26, 3, FALSE),"--")</f>
        <v>9</v>
      </c>
      <c r="L34" s="443"/>
      <c r="M34" s="443"/>
    </row>
    <row r="35" spans="1:38" ht="15.75" customHeight="1">
      <c r="A35" s="3" t="str">
        <f>Input!C27</f>
        <v>PGR</v>
      </c>
      <c r="B35" s="3" t="str">
        <f>VLOOKUP($A35,'CEM Data Lookup'!$A:$P,2,FALSE)</f>
        <v xml:space="preserve">Progressive Corp.   </v>
      </c>
      <c r="D35" s="510" t="str">
        <f>'CEM Data Lookup'!J29</f>
        <v>A2</v>
      </c>
      <c r="E35" s="5"/>
      <c r="F35" s="48">
        <f>IFERROR(VLOOKUP('7.4 CEM RPM Bond Ratings'!D35,'4.6 Moody''s_S&amp;P numbericl'!B:D,3,FALSE),"--")</f>
        <v>6</v>
      </c>
      <c r="G35" s="5"/>
      <c r="H35" s="510" t="str">
        <f>'CEM Data Lookup'!K29</f>
        <v>A</v>
      </c>
      <c r="I35" s="5"/>
      <c r="J35" s="48">
        <f>IFERROR(VLOOKUP(H35, '4.6 Moody''s_S&amp;P numbericl'!$F$6:$H$26, 3, FALSE),"--")</f>
        <v>6</v>
      </c>
      <c r="L35" s="443"/>
      <c r="M35" s="443"/>
    </row>
    <row r="36" spans="1:38" ht="15.75" customHeight="1">
      <c r="A36" s="3" t="str">
        <f>Input!C28</f>
        <v>POST</v>
      </c>
      <c r="B36" s="3" t="str">
        <f>VLOOKUP($A36,'CEM Data Lookup'!$A:$P,2,FALSE)</f>
        <v xml:space="preserve">Post Holdings       </v>
      </c>
      <c r="D36" s="510" t="str">
        <f>'CEM Data Lookup'!J30</f>
        <v>B2</v>
      </c>
      <c r="E36" s="5"/>
      <c r="F36" s="48">
        <f>IFERROR(VLOOKUP('7.4 CEM RPM Bond Ratings'!D36,'4.6 Moody''s_S&amp;P numbericl'!B:D,3,FALSE),"--")</f>
        <v>15</v>
      </c>
      <c r="G36" s="5"/>
      <c r="H36" s="510" t="str">
        <f>'CEM Data Lookup'!K30</f>
        <v>B+</v>
      </c>
      <c r="I36" s="5"/>
      <c r="J36" s="48">
        <f>IFERROR(VLOOKUP(H36, '4.6 Moody''s_S&amp;P numbericl'!$F$6:$H$26, 3, FALSE),"--")</f>
        <v>14</v>
      </c>
      <c r="L36" s="443"/>
      <c r="M36" s="443"/>
    </row>
    <row r="37" spans="1:38" ht="15.75" customHeight="1">
      <c r="A37" s="3" t="str">
        <f>Input!C29</f>
        <v>RLI</v>
      </c>
      <c r="B37" s="3" t="str">
        <f>VLOOKUP($A37,'CEM Data Lookup'!$A:$P,2,FALSE)</f>
        <v xml:space="preserve">RLI Corp.           </v>
      </c>
      <c r="D37" s="510" t="str">
        <f>'CEM Data Lookup'!J31</f>
        <v>Baa2</v>
      </c>
      <c r="E37" s="5"/>
      <c r="F37" s="48">
        <f>IFERROR(VLOOKUP('7.4 CEM RPM Bond Ratings'!D37,'4.6 Moody''s_S&amp;P numbericl'!B:D,3,FALSE),"--")</f>
        <v>9</v>
      </c>
      <c r="G37" s="5"/>
      <c r="H37" s="510" t="str">
        <f>'CEM Data Lookup'!K31</f>
        <v>BBB</v>
      </c>
      <c r="I37" s="5"/>
      <c r="J37" s="48">
        <f>IFERROR(VLOOKUP(H37, '4.6 Moody''s_S&amp;P numbericl'!$F$6:$H$26, 3, FALSE),"--")</f>
        <v>9</v>
      </c>
      <c r="L37" s="443"/>
      <c r="M37" s="443"/>
    </row>
    <row r="38" spans="1:38" ht="15.75" customHeight="1">
      <c r="A38" s="3" t="str">
        <f>Input!C30</f>
        <v>ROL</v>
      </c>
      <c r="B38" s="3" t="str">
        <f>VLOOKUP($A38,'CEM Data Lookup'!$A:$P,2,FALSE)</f>
        <v xml:space="preserve">Rollins, Inc.       </v>
      </c>
      <c r="D38" s="510" t="str">
        <f>'CEM Data Lookup'!J32</f>
        <v>NA</v>
      </c>
      <c r="E38" s="5"/>
      <c r="F38" s="48" t="str">
        <f>IFERROR(VLOOKUP('7.4 CEM RPM Bond Ratings'!D38,'4.6 Moody''s_S&amp;P numbericl'!B:D,3,FALSE),"--")</f>
        <v>--</v>
      </c>
      <c r="G38" s="5"/>
      <c r="H38" s="510" t="str">
        <f>'CEM Data Lookup'!K32</f>
        <v>NA</v>
      </c>
      <c r="I38" s="5"/>
      <c r="J38" s="48" t="str">
        <f>IFERROR(VLOOKUP(H38, '4.6 Moody''s_S&amp;P numbericl'!$F$6:$H$26, 3, FALSE),"--")</f>
        <v>--</v>
      </c>
      <c r="L38" s="443"/>
      <c r="M38" s="443"/>
    </row>
    <row r="39" spans="1:38" ht="15.75" customHeight="1">
      <c r="A39" s="3" t="str">
        <f>Input!C31</f>
        <v>SHW</v>
      </c>
      <c r="B39" s="3" t="str">
        <f>VLOOKUP($A39,'CEM Data Lookup'!$A:$P,2,FALSE)</f>
        <v xml:space="preserve">Sherwin-Williams    </v>
      </c>
      <c r="D39" s="510" t="str">
        <f>'CEM Data Lookup'!J33</f>
        <v>Baa2</v>
      </c>
      <c r="E39" s="5"/>
      <c r="F39" s="48">
        <f>IFERROR(VLOOKUP('7.4 CEM RPM Bond Ratings'!D39,'4.6 Moody''s_S&amp;P numbericl'!B:D,3,FALSE),"--")</f>
        <v>9</v>
      </c>
      <c r="G39" s="5"/>
      <c r="H39" s="510" t="str">
        <f>'CEM Data Lookup'!K33</f>
        <v>BBB</v>
      </c>
      <c r="I39" s="5"/>
      <c r="J39" s="48">
        <f>IFERROR(VLOOKUP(H39, '4.6 Moody''s_S&amp;P numbericl'!$F$6:$H$26, 3, FALSE),"--")</f>
        <v>9</v>
      </c>
      <c r="L39" s="443"/>
      <c r="M39" s="443"/>
    </row>
    <row r="40" spans="1:38" ht="15.75" customHeight="1">
      <c r="A40" s="3" t="str">
        <f>Input!C32</f>
        <v>SIGI</v>
      </c>
      <c r="B40" s="3" t="str">
        <f>VLOOKUP($A40,'CEM Data Lookup'!$A:$P,2,FALSE)</f>
        <v>Selective Ins. Group</v>
      </c>
      <c r="D40" s="510" t="str">
        <f>'CEM Data Lookup'!J34</f>
        <v>Baa2</v>
      </c>
      <c r="E40" s="5"/>
      <c r="F40" s="48">
        <f>IFERROR(VLOOKUP('7.4 CEM RPM Bond Ratings'!D40,'4.6 Moody''s_S&amp;P numbericl'!B:D,3,FALSE),"--")</f>
        <v>9</v>
      </c>
      <c r="G40" s="5"/>
      <c r="H40" s="510" t="str">
        <f>'CEM Data Lookup'!K34</f>
        <v>BBB</v>
      </c>
      <c r="I40" s="5"/>
      <c r="J40" s="48">
        <f>IFERROR(VLOOKUP(H40, '4.6 Moody''s_S&amp;P numbericl'!$F$6:$H$26, 3, FALSE),"--")</f>
        <v>9</v>
      </c>
      <c r="L40" s="443"/>
      <c r="M40" s="443"/>
    </row>
    <row r="41" spans="1:38" ht="15.75" customHeight="1">
      <c r="A41" s="3" t="str">
        <f>Input!C33</f>
        <v>SIRI</v>
      </c>
      <c r="B41" s="3" t="str">
        <f>VLOOKUP($A41,'CEM Data Lookup'!$A:$P,2,FALSE)</f>
        <v xml:space="preserve">Sirius XM Holdings  </v>
      </c>
      <c r="D41" s="510" t="str">
        <f>'CEM Data Lookup'!J35</f>
        <v>NA</v>
      </c>
      <c r="E41" s="5"/>
      <c r="F41" s="48" t="str">
        <f>IFERROR(VLOOKUP('7.4 CEM RPM Bond Ratings'!D41,'4.6 Moody''s_S&amp;P numbericl'!B:D,3,FALSE),"--")</f>
        <v>--</v>
      </c>
      <c r="G41" s="5"/>
      <c r="H41" s="510" t="str">
        <f>'CEM Data Lookup'!K35</f>
        <v>NA</v>
      </c>
      <c r="I41" s="5"/>
      <c r="J41" s="48" t="str">
        <f>IFERROR(VLOOKUP(H41, '4.6 Moody''s_S&amp;P numbericl'!$F$6:$H$26, 3, FALSE),"--")</f>
        <v>--</v>
      </c>
      <c r="L41" s="443"/>
      <c r="M41" s="443"/>
    </row>
    <row r="42" spans="1:38" ht="15.75" customHeight="1">
      <c r="A42" s="3" t="str">
        <f>Input!C34</f>
        <v>SXT</v>
      </c>
      <c r="B42" s="3" t="str">
        <f>VLOOKUP($A42,'CEM Data Lookup'!$A:$P,2,FALSE)</f>
        <v xml:space="preserve">Sensient Techn.     </v>
      </c>
      <c r="D42" s="510" t="str">
        <f>'CEM Data Lookup'!J36</f>
        <v>WR</v>
      </c>
      <c r="E42" s="5"/>
      <c r="F42" s="48" t="str">
        <f>IFERROR(VLOOKUP('7.4 CEM RPM Bond Ratings'!D42,'4.6 Moody''s_S&amp;P numbericl'!B:D,3,FALSE),"--")</f>
        <v>--</v>
      </c>
      <c r="G42" s="5"/>
      <c r="H42" s="510" t="str">
        <f>'CEM Data Lookup'!K36</f>
        <v>NR</v>
      </c>
      <c r="I42" s="5"/>
      <c r="J42" s="48" t="str">
        <f>IFERROR(VLOOKUP(H42, '4.6 Moody''s_S&amp;P numbericl'!$F$6:$H$26, 3, FALSE),"--")</f>
        <v>--</v>
      </c>
      <c r="L42" s="443"/>
      <c r="M42" s="443"/>
    </row>
    <row r="43" spans="1:38" ht="15.75" customHeight="1">
      <c r="A43" s="3" t="str">
        <f>Input!C35</f>
        <v>TMO</v>
      </c>
      <c r="B43" s="3" t="str">
        <f>VLOOKUP($A43,'CEM Data Lookup'!$A:$P,2,FALSE)</f>
        <v xml:space="preserve">Thermo Fisher Sci.  </v>
      </c>
      <c r="D43" s="510" t="str">
        <f>'CEM Data Lookup'!J37</f>
        <v>A3</v>
      </c>
      <c r="E43" s="5"/>
      <c r="F43" s="48">
        <f>IFERROR(VLOOKUP('7.4 CEM RPM Bond Ratings'!D43,'4.6 Moody''s_S&amp;P numbericl'!B:D,3,FALSE),"--")</f>
        <v>7</v>
      </c>
      <c r="G43" s="5"/>
      <c r="H43" s="510" t="str">
        <f>'CEM Data Lookup'!K37</f>
        <v>A-</v>
      </c>
      <c r="I43" s="5"/>
      <c r="J43" s="48">
        <f>IFERROR(VLOOKUP(H43, '4.6 Moody''s_S&amp;P numbericl'!$F$6:$H$26, 3, FALSE),"--")</f>
        <v>7</v>
      </c>
      <c r="L43" s="443"/>
      <c r="M43" s="443"/>
    </row>
    <row r="44" spans="1:38" ht="15.75" customHeight="1">
      <c r="A44" s="3" t="str">
        <f>Input!C36</f>
        <v>TXN</v>
      </c>
      <c r="B44" s="3" t="str">
        <f>VLOOKUP($A44,'CEM Data Lookup'!$A:$P,2,FALSE)</f>
        <v xml:space="preserve">Texas Instruments   </v>
      </c>
      <c r="D44" s="510" t="str">
        <f>'CEM Data Lookup'!J38</f>
        <v>Aa3</v>
      </c>
      <c r="E44" s="5"/>
      <c r="F44" s="48">
        <f>IFERROR(VLOOKUP('7.4 CEM RPM Bond Ratings'!D44,'4.6 Moody''s_S&amp;P numbericl'!B:D,3,FALSE),"--")</f>
        <v>4</v>
      </c>
      <c r="G44" s="5"/>
      <c r="H44" s="510" t="str">
        <f>'CEM Data Lookup'!K38</f>
        <v>A+</v>
      </c>
      <c r="I44" s="5"/>
      <c r="J44" s="48">
        <f>IFERROR(VLOOKUP(H44, '4.6 Moody''s_S&amp;P numbericl'!$F$6:$H$26, 3, FALSE),"--")</f>
        <v>5</v>
      </c>
      <c r="L44" s="443"/>
      <c r="M44" s="443"/>
    </row>
    <row r="45" spans="1:38" ht="15.75" customHeight="1">
      <c r="A45" s="3" t="str">
        <f>Input!C37</f>
        <v>VRSN</v>
      </c>
      <c r="B45" s="3" t="str">
        <f>VLOOKUP($A45,'CEM Data Lookup'!$A:$P,2,FALSE)</f>
        <v xml:space="preserve">VeriSign Inc.       </v>
      </c>
      <c r="D45" s="510" t="str">
        <f>'CEM Data Lookup'!J39</f>
        <v>Baa3</v>
      </c>
      <c r="E45" s="5"/>
      <c r="F45" s="48">
        <f>IFERROR(VLOOKUP('7.4 CEM RPM Bond Ratings'!D45,'4.6 Moody''s_S&amp;P numbericl'!B:D,3,FALSE),"--")</f>
        <v>10</v>
      </c>
      <c r="G45" s="5"/>
      <c r="H45" s="510" t="str">
        <f>'CEM Data Lookup'!K39</f>
        <v>BBB</v>
      </c>
      <c r="I45" s="5"/>
      <c r="J45" s="48">
        <f>IFERROR(VLOOKUP(H45, '4.6 Moody''s_S&amp;P numbericl'!$F$6:$H$26, 3, FALSE),"--")</f>
        <v>9</v>
      </c>
      <c r="L45" s="443"/>
      <c r="M45" s="443"/>
    </row>
    <row r="46" spans="1:38" ht="15.75" customHeight="1">
      <c r="A46" s="3" t="str">
        <f>Input!C38</f>
        <v>WAT</v>
      </c>
      <c r="B46" s="3" t="str">
        <f>VLOOKUP($A46,'CEM Data Lookup'!$A:$P,2,FALSE)</f>
        <v xml:space="preserve">Waters Corp.        </v>
      </c>
      <c r="D46" s="510" t="str">
        <f>'CEM Data Lookup'!J40</f>
        <v>NA</v>
      </c>
      <c r="E46" s="5"/>
      <c r="F46" s="48" t="str">
        <f>IFERROR(VLOOKUP('7.4 CEM RPM Bond Ratings'!D46,'4.6 Moody''s_S&amp;P numbericl'!B:D,3,FALSE),"--")</f>
        <v>--</v>
      </c>
      <c r="G46" s="5"/>
      <c r="H46" s="510" t="str">
        <f>'CEM Data Lookup'!K40</f>
        <v>NA</v>
      </c>
      <c r="I46" s="5"/>
      <c r="J46" s="48" t="str">
        <f>IFERROR(VLOOKUP(H46, '4.6 Moody''s_S&amp;P numbericl'!$F$6:$H$26, 3, FALSE),"--")</f>
        <v>--</v>
      </c>
      <c r="L46" s="443"/>
      <c r="M46" s="443"/>
    </row>
    <row r="47" spans="1:38" ht="15.75" customHeight="1">
      <c r="A47" s="3" t="str">
        <f>Input!C39</f>
        <v>WSO</v>
      </c>
      <c r="B47" s="3" t="str">
        <f>VLOOKUP($A47,'CEM Data Lookup'!$A:$P,2,FALSE)</f>
        <v xml:space="preserve">Watsco, Inc.        </v>
      </c>
      <c r="D47" s="510" t="str">
        <f>'CEM Data Lookup'!J41</f>
        <v>NA</v>
      </c>
      <c r="E47" s="5"/>
      <c r="F47" s="48" t="str">
        <f>IFERROR(VLOOKUP('7.4 CEM RPM Bond Ratings'!D47,'4.6 Moody''s_S&amp;P numbericl'!B:D,3,FALSE),"--")</f>
        <v>--</v>
      </c>
      <c r="G47" s="5"/>
      <c r="H47" s="510" t="str">
        <f>'CEM Data Lookup'!K41</f>
        <v>NA</v>
      </c>
      <c r="I47" s="5"/>
      <c r="J47" s="48" t="str">
        <f>IFERROR(VLOOKUP(H47, '4.6 Moody''s_S&amp;P numbericl'!$F$6:$H$26, 3, FALSE),"--")</f>
        <v>--</v>
      </c>
      <c r="L47" s="443"/>
      <c r="M47" s="443"/>
    </row>
    <row r="48" spans="1:38" ht="15.75" customHeight="1">
      <c r="A48" s="3" t="str">
        <f>Input!C40</f>
        <v>WU</v>
      </c>
      <c r="B48" s="3" t="str">
        <f>VLOOKUP($A48,'CEM Data Lookup'!$A:$P,2,FALSE)</f>
        <v xml:space="preserve">Western Union       </v>
      </c>
      <c r="D48" s="510" t="str">
        <f>'CEM Data Lookup'!J42</f>
        <v>Baa2</v>
      </c>
      <c r="E48" s="5"/>
      <c r="F48" s="48">
        <f>IFERROR(VLOOKUP('7.4 CEM RPM Bond Ratings'!D48,'4.6 Moody''s_S&amp;P numbericl'!B:D,3,FALSE),"--")</f>
        <v>9</v>
      </c>
      <c r="G48" s="5"/>
      <c r="H48" s="510" t="str">
        <f>'CEM Data Lookup'!K42</f>
        <v>BBB</v>
      </c>
      <c r="I48" s="5"/>
      <c r="J48" s="48">
        <f>IFERROR(VLOOKUP(H48, '4.6 Moody''s_S&amp;P numbericl'!$F$6:$H$26, 3, FALSE),"--")</f>
        <v>9</v>
      </c>
      <c r="L48" s="443"/>
      <c r="M48" s="443"/>
    </row>
    <row r="49" spans="2:13" ht="15.75" customHeight="1">
      <c r="D49" s="444"/>
      <c r="E49" s="5"/>
      <c r="F49" s="444"/>
      <c r="G49" s="5"/>
      <c r="H49" s="444"/>
      <c r="I49" s="5"/>
      <c r="J49" s="444"/>
      <c r="L49" s="443"/>
      <c r="M49" s="443"/>
    </row>
    <row r="50" spans="2:13" ht="15.75" customHeight="1" thickBot="1">
      <c r="B50" s="3" t="s">
        <v>80</v>
      </c>
      <c r="D50" s="94" t="s">
        <v>224</v>
      </c>
      <c r="E50" s="5"/>
      <c r="F50" s="49">
        <f>ROUND(AVERAGE(F9:F49),1)</f>
        <v>8.1</v>
      </c>
      <c r="G50" s="5"/>
      <c r="H50" s="94" t="s">
        <v>223</v>
      </c>
      <c r="I50" s="5"/>
      <c r="J50" s="49">
        <f>ROUND(AVERAGE(J9:J49),1)</f>
        <v>8.1</v>
      </c>
    </row>
    <row r="51" spans="2:13" ht="16.5" thickTop="1">
      <c r="D51" s="16"/>
      <c r="E51" s="5"/>
      <c r="F51" s="441"/>
      <c r="G51" s="5"/>
      <c r="H51" s="16"/>
      <c r="I51" s="5"/>
      <c r="J51" s="441"/>
    </row>
    <row r="52" spans="2:13">
      <c r="B52" s="10" t="s">
        <v>94</v>
      </c>
    </row>
    <row r="53" spans="2:13">
      <c r="B53" s="230" t="s">
        <v>95</v>
      </c>
      <c r="C53" s="3" t="s">
        <v>4451</v>
      </c>
    </row>
    <row r="54" spans="2:13">
      <c r="B54" s="230"/>
    </row>
    <row r="55" spans="2:13">
      <c r="B55" s="3" t="s">
        <v>146</v>
      </c>
    </row>
    <row r="56" spans="2:13">
      <c r="B56" s="235" t="s">
        <v>4222</v>
      </c>
    </row>
  </sheetData>
  <printOptions horizontalCentered="1"/>
  <pageMargins left="0.7" right="0.7" top="0.75" bottom="0.75" header="0.3" footer="0.3"/>
  <pageSetup scale="70" fitToHeight="2" orientation="portrait" horizontalDpi="4294967294"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77"/>
  <sheetViews>
    <sheetView view="pageBreakPreview" topLeftCell="A19" zoomScale="80" zoomScaleNormal="100" zoomScaleSheetLayoutView="80" workbookViewId="0">
      <selection activeCell="C38" sqref="C38:G38"/>
    </sheetView>
  </sheetViews>
  <sheetFormatPr defaultColWidth="9" defaultRowHeight="15.75"/>
  <cols>
    <col min="1" max="1" width="9.85546875" style="13" customWidth="1"/>
    <col min="2" max="2" width="4.5703125" style="13" customWidth="1"/>
    <col min="3" max="3" width="43" style="13" customWidth="1"/>
    <col min="4" max="4" width="6" style="13" customWidth="1"/>
    <col min="5" max="5" width="5.5703125" style="13" customWidth="1"/>
    <col min="6" max="6" width="21.42578125" style="13" customWidth="1"/>
    <col min="7" max="7" width="3" style="13" customWidth="1"/>
    <col min="8" max="16384" width="9" style="13"/>
  </cols>
  <sheetData>
    <row r="1" spans="1:7">
      <c r="A1" s="989" t="str">
        <f>Input!G28</f>
        <v>Peoples Gas System</v>
      </c>
      <c r="B1" s="989"/>
      <c r="C1" s="989"/>
      <c r="D1" s="989"/>
      <c r="E1" s="989"/>
      <c r="F1" s="989"/>
      <c r="G1" s="989"/>
    </row>
    <row r="2" spans="1:7">
      <c r="A2" s="1012" t="s">
        <v>102</v>
      </c>
      <c r="B2" s="1012"/>
      <c r="C2" s="1012"/>
      <c r="D2" s="1012"/>
      <c r="E2" s="1012"/>
      <c r="F2" s="1012"/>
      <c r="G2" s="1012"/>
    </row>
    <row r="3" spans="1:7">
      <c r="A3" s="1012" t="s">
        <v>103</v>
      </c>
      <c r="B3" s="1012"/>
      <c r="C3" s="1012"/>
      <c r="D3" s="1012"/>
      <c r="E3" s="1012"/>
      <c r="F3" s="1012"/>
      <c r="G3" s="1012"/>
    </row>
    <row r="4" spans="1:7">
      <c r="A4" s="1012" t="s">
        <v>4219</v>
      </c>
      <c r="B4" s="1012"/>
      <c r="C4" s="1012"/>
      <c r="D4" s="1012"/>
      <c r="E4" s="1012"/>
      <c r="F4" s="1012"/>
      <c r="G4" s="1012"/>
    </row>
    <row r="5" spans="1:7">
      <c r="A5" s="989" t="str">
        <f>Input!I29</f>
        <v>Utility Proxy Group</v>
      </c>
      <c r="B5" s="989"/>
      <c r="C5" s="989"/>
      <c r="D5" s="989"/>
      <c r="E5" s="989"/>
      <c r="F5" s="989"/>
      <c r="G5" s="989"/>
    </row>
    <row r="6" spans="1:7">
      <c r="A6" s="15"/>
      <c r="B6" s="15"/>
      <c r="C6" s="15"/>
      <c r="D6" s="15"/>
      <c r="E6" s="15"/>
      <c r="F6" s="15"/>
      <c r="G6" s="15"/>
    </row>
    <row r="7" spans="1:7" ht="75.75" customHeight="1">
      <c r="A7" s="321" t="s">
        <v>92</v>
      </c>
      <c r="C7" s="33" t="s">
        <v>1323</v>
      </c>
      <c r="E7" s="15"/>
      <c r="F7" s="1016" t="str">
        <f>'7.6 CEM CAPM Backup'!B7</f>
        <v>Proxy Group of Thirty Nine Non-Price Regulated Companies</v>
      </c>
      <c r="G7" s="1016"/>
    </row>
    <row r="9" spans="1:7">
      <c r="A9" s="16" t="s">
        <v>93</v>
      </c>
      <c r="C9" s="34" t="s">
        <v>4560</v>
      </c>
      <c r="D9" s="34"/>
      <c r="E9" s="34"/>
      <c r="F9" s="34">
        <f>'4.8-4.9 Beta Adjusted ERP'!E11</f>
        <v>6.13</v>
      </c>
      <c r="G9" s="35" t="s">
        <v>18</v>
      </c>
    </row>
    <row r="10" spans="1:7">
      <c r="C10" s="34"/>
      <c r="D10" s="34"/>
      <c r="E10" s="34"/>
      <c r="F10" s="34"/>
    </row>
    <row r="11" spans="1:7">
      <c r="A11" s="16" t="s">
        <v>99</v>
      </c>
      <c r="C11" s="34" t="s">
        <v>4561</v>
      </c>
      <c r="D11" s="34"/>
      <c r="E11" s="34"/>
      <c r="F11" s="34">
        <f>'MRP ERP WP'!$AK$42*100</f>
        <v>7.2582293456286067</v>
      </c>
    </row>
    <row r="12" spans="1:7">
      <c r="C12" s="34"/>
      <c r="D12" s="34"/>
      <c r="E12" s="34"/>
      <c r="F12" s="34"/>
    </row>
    <row r="13" spans="1:7">
      <c r="A13" s="16" t="s">
        <v>100</v>
      </c>
      <c r="C13" s="34" t="s">
        <v>4562</v>
      </c>
      <c r="D13" s="34"/>
      <c r="E13" s="34"/>
      <c r="F13" s="34">
        <f>'PRPM WP1'!$J$1181*100</f>
        <v>11.459385708050219</v>
      </c>
    </row>
    <row r="14" spans="1:7">
      <c r="A14" s="16"/>
      <c r="C14" s="34"/>
      <c r="D14" s="34"/>
      <c r="E14" s="34"/>
      <c r="F14" s="34"/>
    </row>
    <row r="15" spans="1:7" ht="31.5">
      <c r="A15" s="38" t="s">
        <v>104</v>
      </c>
      <c r="C15" s="37" t="s">
        <v>4146</v>
      </c>
      <c r="D15" s="34"/>
      <c r="E15" s="34"/>
      <c r="F15" s="34">
        <f>'MRP WP1'!$M$22*100-'MRP WP1'!$M$37</f>
        <v>11.530000000000001</v>
      </c>
    </row>
    <row r="16" spans="1:7">
      <c r="A16" s="38"/>
      <c r="C16" s="37"/>
      <c r="D16" s="34"/>
      <c r="E16" s="34"/>
      <c r="F16" s="34"/>
    </row>
    <row r="17" spans="1:7" ht="31.5">
      <c r="A17" s="36">
        <v>5</v>
      </c>
      <c r="C17" s="37" t="s">
        <v>4147</v>
      </c>
      <c r="D17" s="34"/>
      <c r="E17" s="34"/>
      <c r="F17" s="34">
        <f>'4.8-4.9 Beta Adjusted ERP'!E19</f>
        <v>10.621050750081153</v>
      </c>
    </row>
    <row r="18" spans="1:7">
      <c r="C18" s="37"/>
      <c r="D18" s="34"/>
      <c r="E18" s="34"/>
      <c r="F18" s="34"/>
    </row>
    <row r="19" spans="1:7" ht="31.5">
      <c r="A19" s="38" t="s">
        <v>106</v>
      </c>
      <c r="C19" s="37" t="s">
        <v>4143</v>
      </c>
      <c r="D19" s="34"/>
      <c r="E19" s="34"/>
      <c r="F19" s="40">
        <f>'4.8-4.9 Beta Adjusted ERP'!E21</f>
        <v>6.008401239764015</v>
      </c>
    </row>
    <row r="20" spans="1:7" ht="15.75" customHeight="1">
      <c r="C20" s="34"/>
      <c r="D20" s="34"/>
      <c r="E20" s="34"/>
    </row>
    <row r="21" spans="1:7" ht="15.75" customHeight="1">
      <c r="A21" s="25" t="s">
        <v>108</v>
      </c>
      <c r="C21" s="39" t="s">
        <v>2331</v>
      </c>
      <c r="D21" s="34"/>
      <c r="E21" s="34"/>
      <c r="F21" s="56">
        <f>ROUND(AVERAGE(F9,F11,F13,F15,F17,F19),2)</f>
        <v>8.83</v>
      </c>
      <c r="G21" s="35" t="s">
        <v>18</v>
      </c>
    </row>
    <row r="22" spans="1:7" ht="15.75" customHeight="1">
      <c r="C22" s="34"/>
      <c r="D22" s="34"/>
      <c r="E22" s="34"/>
    </row>
    <row r="23" spans="1:7" ht="15.75" customHeight="1">
      <c r="A23" s="25" t="s">
        <v>109</v>
      </c>
      <c r="C23" s="34" t="s">
        <v>4144</v>
      </c>
      <c r="D23" s="34"/>
      <c r="E23" s="34"/>
      <c r="F23" s="440">
        <f>'7.6 CEM CAPM Backup'!H53</f>
        <v>0.84</v>
      </c>
    </row>
    <row r="24" spans="1:7" ht="15.75" customHeight="1">
      <c r="C24" s="34"/>
      <c r="D24" s="34"/>
      <c r="E24" s="34"/>
    </row>
    <row r="25" spans="1:7" ht="16.5" thickBot="1">
      <c r="A25" s="25" t="s">
        <v>2195</v>
      </c>
      <c r="C25" s="34" t="s">
        <v>107</v>
      </c>
      <c r="D25" s="34"/>
      <c r="E25" s="34"/>
      <c r="F25" s="41">
        <f>ROUND(F21*F23,2)</f>
        <v>7.42</v>
      </c>
      <c r="G25" s="34" t="s">
        <v>18</v>
      </c>
    </row>
    <row r="26" spans="1:7" ht="16.5" thickTop="1">
      <c r="A26" s="25"/>
      <c r="C26" s="34"/>
      <c r="D26" s="34"/>
      <c r="E26" s="34"/>
      <c r="F26" s="34"/>
      <c r="G26" s="34"/>
    </row>
    <row r="27" spans="1:7">
      <c r="A27" s="69" t="s">
        <v>94</v>
      </c>
      <c r="C27" s="34"/>
      <c r="D27" s="34"/>
      <c r="E27" s="34"/>
      <c r="F27" s="34"/>
      <c r="G27" s="34"/>
    </row>
    <row r="28" spans="1:7">
      <c r="A28" s="25"/>
      <c r="B28" s="21" t="s">
        <v>95</v>
      </c>
      <c r="C28" s="34" t="s">
        <v>4506</v>
      </c>
      <c r="D28" s="34"/>
      <c r="E28" s="34"/>
      <c r="F28" s="34"/>
      <c r="G28" s="34"/>
    </row>
    <row r="29" spans="1:7">
      <c r="A29" s="25"/>
      <c r="B29" s="55" t="s">
        <v>96</v>
      </c>
      <c r="C29" s="34" t="s">
        <v>4507</v>
      </c>
      <c r="D29" s="34"/>
      <c r="E29" s="34"/>
      <c r="F29" s="34"/>
      <c r="G29" s="34"/>
    </row>
    <row r="30" spans="1:7">
      <c r="A30" s="25"/>
      <c r="B30" s="55" t="s">
        <v>97</v>
      </c>
      <c r="C30" s="34" t="s">
        <v>4508</v>
      </c>
      <c r="D30" s="34"/>
      <c r="E30" s="34"/>
      <c r="F30" s="34"/>
      <c r="G30" s="34"/>
    </row>
    <row r="31" spans="1:7">
      <c r="A31" s="25"/>
      <c r="B31" s="55" t="s">
        <v>98</v>
      </c>
      <c r="C31" s="34" t="s">
        <v>4509</v>
      </c>
      <c r="D31" s="34"/>
      <c r="E31" s="34"/>
      <c r="F31" s="34"/>
      <c r="G31" s="34"/>
    </row>
    <row r="32" spans="1:7">
      <c r="A32" s="25"/>
      <c r="B32" s="55" t="s">
        <v>110</v>
      </c>
      <c r="C32" s="34" t="s">
        <v>4510</v>
      </c>
      <c r="D32" s="34"/>
      <c r="E32" s="34"/>
      <c r="F32" s="34"/>
      <c r="G32" s="34"/>
    </row>
    <row r="33" spans="1:7">
      <c r="A33" s="25"/>
      <c r="B33" s="55" t="s">
        <v>111</v>
      </c>
      <c r="C33" s="34" t="s">
        <v>4511</v>
      </c>
      <c r="D33" s="34"/>
      <c r="E33" s="34"/>
      <c r="F33" s="34"/>
      <c r="G33" s="34"/>
    </row>
    <row r="34" spans="1:7">
      <c r="A34" s="29"/>
      <c r="B34" s="55" t="s">
        <v>2161</v>
      </c>
      <c r="C34" s="43" t="s">
        <v>4504</v>
      </c>
    </row>
    <row r="35" spans="1:7">
      <c r="A35" s="29"/>
      <c r="B35" s="29"/>
      <c r="C35" s="43"/>
      <c r="D35" s="322"/>
      <c r="E35" s="322"/>
      <c r="F35" s="322"/>
      <c r="G35" s="322"/>
    </row>
    <row r="36" spans="1:7">
      <c r="B36" s="13" t="s">
        <v>151</v>
      </c>
      <c r="C36" s="34"/>
      <c r="D36" s="34"/>
      <c r="E36" s="34"/>
      <c r="F36" s="34"/>
      <c r="G36" s="34"/>
    </row>
    <row r="37" spans="1:7" ht="15.75" customHeight="1">
      <c r="C37" s="1032" t="str">
        <f>'5.2 CAPM Notes'!B61</f>
        <v>Stocks, Bonds, Bills, and Inflation -  2022 SBBI Yearbook, Kroll.</v>
      </c>
      <c r="D37" s="1032"/>
      <c r="E37" s="1032"/>
      <c r="F37" s="1032"/>
      <c r="G37" s="1032"/>
    </row>
    <row r="38" spans="1:7">
      <c r="C38" s="1032" t="s">
        <v>4223</v>
      </c>
      <c r="D38" s="1032"/>
      <c r="E38" s="1032"/>
      <c r="F38" s="1032"/>
      <c r="G38" s="1032"/>
    </row>
    <row r="39" spans="1:7">
      <c r="C39" s="44" t="str">
        <f>'5.2 CAPM Notes'!B60</f>
        <v>Blue Chip Financial Forecasts December 2, 2022 and January 1, 2022.</v>
      </c>
      <c r="D39" s="34"/>
      <c r="E39" s="34"/>
      <c r="F39" s="34"/>
      <c r="G39" s="34"/>
    </row>
    <row r="40" spans="1:7">
      <c r="C40" s="44" t="s">
        <v>4222</v>
      </c>
      <c r="D40" s="34"/>
      <c r="E40" s="34"/>
      <c r="F40" s="34"/>
      <c r="G40" s="34"/>
    </row>
    <row r="41" spans="1:7">
      <c r="C41" s="45"/>
      <c r="D41" s="34"/>
      <c r="E41" s="34"/>
      <c r="F41" s="34"/>
      <c r="G41" s="34"/>
    </row>
    <row r="42" spans="1:7">
      <c r="C42" s="34"/>
      <c r="D42" s="34"/>
      <c r="E42" s="34"/>
      <c r="F42" s="34"/>
      <c r="G42" s="34"/>
    </row>
    <row r="43" spans="1:7">
      <c r="C43" s="46"/>
      <c r="D43" s="34"/>
      <c r="E43" s="34"/>
      <c r="F43" s="34"/>
      <c r="G43" s="34"/>
    </row>
    <row r="44" spans="1:7">
      <c r="C44" s="34"/>
      <c r="D44" s="34"/>
      <c r="E44" s="34"/>
      <c r="F44" s="34"/>
      <c r="G44" s="34"/>
    </row>
    <row r="45" spans="1:7">
      <c r="B45" s="47"/>
      <c r="C45" s="42"/>
      <c r="D45" s="42"/>
      <c r="E45" s="42"/>
      <c r="F45" s="42"/>
      <c r="G45" s="42"/>
    </row>
    <row r="46" spans="1:7" ht="32.25" customHeight="1">
      <c r="B46" s="47"/>
      <c r="C46" s="42"/>
      <c r="D46" s="42"/>
      <c r="E46" s="42"/>
      <c r="F46" s="42"/>
      <c r="G46" s="42"/>
    </row>
    <row r="47" spans="1:7">
      <c r="B47" s="47"/>
      <c r="C47" s="34"/>
      <c r="D47" s="34"/>
      <c r="E47" s="34"/>
      <c r="F47" s="34"/>
      <c r="G47" s="34"/>
    </row>
    <row r="48" spans="1:7">
      <c r="C48" s="34"/>
      <c r="D48" s="34"/>
      <c r="E48" s="34"/>
      <c r="F48" s="34"/>
      <c r="G48" s="34"/>
    </row>
    <row r="49" spans="3:7">
      <c r="C49" s="34"/>
      <c r="D49" s="34"/>
      <c r="E49" s="34"/>
      <c r="F49" s="34"/>
      <c r="G49" s="34"/>
    </row>
    <row r="50" spans="3:7">
      <c r="C50" s="34"/>
      <c r="D50" s="34"/>
      <c r="E50" s="34"/>
      <c r="F50" s="34"/>
      <c r="G50" s="34"/>
    </row>
    <row r="51" spans="3:7">
      <c r="C51" s="34"/>
      <c r="D51" s="34"/>
      <c r="E51" s="34"/>
      <c r="F51" s="34"/>
      <c r="G51" s="34"/>
    </row>
    <row r="52" spans="3:7">
      <c r="C52" s="34"/>
      <c r="D52" s="34"/>
      <c r="E52" s="34"/>
      <c r="F52" s="34"/>
      <c r="G52" s="34"/>
    </row>
    <row r="53" spans="3:7">
      <c r="C53" s="34"/>
      <c r="D53" s="34"/>
      <c r="E53" s="34"/>
      <c r="F53" s="34"/>
      <c r="G53" s="34"/>
    </row>
    <row r="54" spans="3:7">
      <c r="C54" s="34"/>
      <c r="D54" s="34"/>
      <c r="E54" s="34"/>
      <c r="F54" s="34"/>
      <c r="G54" s="34"/>
    </row>
    <row r="55" spans="3:7">
      <c r="C55" s="34"/>
      <c r="D55" s="34"/>
      <c r="E55" s="34"/>
      <c r="F55" s="34"/>
      <c r="G55" s="34"/>
    </row>
    <row r="56" spans="3:7">
      <c r="C56" s="34"/>
      <c r="D56" s="34"/>
      <c r="E56" s="34"/>
      <c r="F56" s="34"/>
      <c r="G56" s="34"/>
    </row>
    <row r="57" spans="3:7">
      <c r="C57" s="34"/>
      <c r="D57" s="34"/>
      <c r="E57" s="34"/>
      <c r="F57" s="34"/>
      <c r="G57" s="34"/>
    </row>
    <row r="58" spans="3:7">
      <c r="C58" s="34"/>
      <c r="D58" s="34"/>
      <c r="E58" s="34"/>
      <c r="F58" s="34"/>
      <c r="G58" s="34"/>
    </row>
    <row r="59" spans="3:7">
      <c r="C59" s="34"/>
      <c r="D59" s="34"/>
      <c r="E59" s="34"/>
      <c r="F59" s="34"/>
      <c r="G59" s="34"/>
    </row>
    <row r="60" spans="3:7">
      <c r="C60" s="34"/>
      <c r="D60" s="34"/>
      <c r="E60" s="34"/>
      <c r="F60" s="34"/>
      <c r="G60" s="34"/>
    </row>
    <row r="61" spans="3:7">
      <c r="C61" s="34"/>
      <c r="D61" s="34"/>
      <c r="E61" s="34"/>
      <c r="F61" s="34"/>
      <c r="G61" s="34"/>
    </row>
    <row r="62" spans="3:7">
      <c r="C62" s="34"/>
      <c r="D62" s="34"/>
      <c r="E62" s="34"/>
      <c r="F62" s="34"/>
      <c r="G62" s="34"/>
    </row>
    <row r="63" spans="3:7">
      <c r="C63" s="34"/>
      <c r="D63" s="34"/>
      <c r="E63" s="34"/>
      <c r="F63" s="34"/>
      <c r="G63" s="34"/>
    </row>
    <row r="64" spans="3:7">
      <c r="C64" s="34"/>
      <c r="D64" s="34"/>
      <c r="E64" s="34"/>
      <c r="F64" s="34"/>
      <c r="G64" s="34"/>
    </row>
    <row r="65" spans="3:7">
      <c r="C65" s="34"/>
      <c r="D65" s="34"/>
      <c r="E65" s="34"/>
      <c r="F65" s="34"/>
      <c r="G65" s="34"/>
    </row>
    <row r="66" spans="3:7">
      <c r="C66" s="34"/>
      <c r="D66" s="34"/>
      <c r="E66" s="34"/>
      <c r="F66" s="34"/>
      <c r="G66" s="34"/>
    </row>
    <row r="67" spans="3:7">
      <c r="C67" s="34"/>
      <c r="D67" s="34"/>
      <c r="E67" s="34"/>
      <c r="F67" s="34"/>
      <c r="G67" s="34"/>
    </row>
    <row r="68" spans="3:7">
      <c r="C68" s="34"/>
      <c r="D68" s="34"/>
      <c r="E68" s="34"/>
      <c r="F68" s="34"/>
      <c r="G68" s="34"/>
    </row>
    <row r="69" spans="3:7">
      <c r="C69" s="34"/>
      <c r="D69" s="34"/>
      <c r="E69" s="34"/>
      <c r="F69" s="34"/>
      <c r="G69" s="34"/>
    </row>
    <row r="70" spans="3:7">
      <c r="C70" s="34"/>
      <c r="D70" s="34"/>
      <c r="E70" s="34"/>
      <c r="F70" s="34"/>
      <c r="G70" s="34"/>
    </row>
    <row r="71" spans="3:7">
      <c r="C71" s="34"/>
      <c r="D71" s="34"/>
      <c r="E71" s="34"/>
      <c r="F71" s="34"/>
      <c r="G71" s="34"/>
    </row>
    <row r="72" spans="3:7">
      <c r="C72" s="34"/>
      <c r="D72" s="34"/>
      <c r="E72" s="34"/>
      <c r="F72" s="34"/>
      <c r="G72" s="34"/>
    </row>
    <row r="73" spans="3:7">
      <c r="C73" s="34"/>
      <c r="D73" s="34"/>
      <c r="E73" s="34"/>
      <c r="F73" s="34"/>
      <c r="G73" s="34"/>
    </row>
    <row r="74" spans="3:7">
      <c r="C74" s="34"/>
      <c r="D74" s="34"/>
      <c r="E74" s="34"/>
      <c r="F74" s="34"/>
      <c r="G74" s="34"/>
    </row>
    <row r="75" spans="3:7">
      <c r="C75" s="34"/>
      <c r="D75" s="34"/>
      <c r="E75" s="34"/>
      <c r="F75" s="34"/>
      <c r="G75" s="34"/>
    </row>
    <row r="76" spans="3:7">
      <c r="C76" s="34"/>
      <c r="D76" s="34"/>
      <c r="E76" s="34"/>
      <c r="F76" s="34"/>
      <c r="G76" s="34"/>
    </row>
    <row r="77" spans="3:7">
      <c r="C77" s="34"/>
      <c r="D77" s="34"/>
      <c r="E77" s="34"/>
      <c r="F77" s="34"/>
      <c r="G77" s="34"/>
    </row>
  </sheetData>
  <mergeCells count="8">
    <mergeCell ref="C38:G38"/>
    <mergeCell ref="C37:G37"/>
    <mergeCell ref="F7:G7"/>
    <mergeCell ref="A1:G1"/>
    <mergeCell ref="A2:G2"/>
    <mergeCell ref="A3:G3"/>
    <mergeCell ref="A4:G4"/>
    <mergeCell ref="A5:G5"/>
  </mergeCells>
  <printOptions horizontalCentered="1"/>
  <pageMargins left="1" right="1" top="1" bottom="1" header="0.3" footer="0.3"/>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Z59"/>
  <sheetViews>
    <sheetView view="pageBreakPreview" zoomScale="70" zoomScaleNormal="100" zoomScaleSheetLayoutView="70" workbookViewId="0"/>
  </sheetViews>
  <sheetFormatPr defaultColWidth="9" defaultRowHeight="18"/>
  <cols>
    <col min="1" max="1" width="9" style="3"/>
    <col min="2" max="2" width="31.5703125" style="807" customWidth="1"/>
    <col min="3" max="3" width="2.7109375" style="807" customWidth="1"/>
    <col min="4" max="4" width="15" style="807" customWidth="1"/>
    <col min="5" max="5" width="2.7109375" style="807" customWidth="1"/>
    <col min="6" max="6" width="13.85546875" style="807" customWidth="1"/>
    <col min="7" max="7" width="2.7109375" style="807" customWidth="1"/>
    <col min="8" max="8" width="11.28515625" style="807" customWidth="1"/>
    <col min="9" max="9" width="2.7109375" style="807" customWidth="1"/>
    <col min="10" max="10" width="13.85546875" style="807" customWidth="1"/>
    <col min="11" max="11" width="4.28515625" style="807" customWidth="1"/>
    <col min="12" max="12" width="2.7109375" style="807" customWidth="1"/>
    <col min="13" max="13" width="11.28515625" style="807" customWidth="1"/>
    <col min="14" max="14" width="4.28515625" style="807" customWidth="1"/>
    <col min="15" max="15" width="2.7109375" style="807" customWidth="1"/>
    <col min="16" max="16" width="9.5703125" style="807" customWidth="1"/>
    <col min="17" max="17" width="4.28515625" style="807" customWidth="1"/>
    <col min="18" max="18" width="2.7109375" style="807" customWidth="1"/>
    <col min="19" max="19" width="11.140625" style="807" customWidth="1"/>
    <col min="20" max="20" width="4.28515625" style="807" customWidth="1"/>
    <col min="21" max="21" width="2.7109375" style="807" customWidth="1"/>
    <col min="22" max="22" width="16" style="807" customWidth="1"/>
    <col min="23" max="23" width="4.28515625" style="807" customWidth="1"/>
    <col min="24" max="16384" width="9" style="3"/>
  </cols>
  <sheetData>
    <row r="1" spans="1:23">
      <c r="B1" s="822" t="str">
        <f>Input!G28</f>
        <v>Peoples Gas System</v>
      </c>
      <c r="C1" s="823"/>
      <c r="D1" s="823"/>
      <c r="E1" s="823"/>
      <c r="F1" s="823"/>
      <c r="G1" s="823"/>
      <c r="H1" s="823"/>
      <c r="I1" s="823"/>
      <c r="J1" s="823"/>
      <c r="K1" s="823"/>
      <c r="L1" s="823"/>
      <c r="M1" s="823"/>
      <c r="N1" s="823"/>
      <c r="O1" s="823"/>
      <c r="P1" s="823"/>
      <c r="Q1" s="823"/>
      <c r="R1" s="823"/>
      <c r="S1" s="823"/>
      <c r="T1" s="823"/>
      <c r="U1" s="823"/>
      <c r="V1" s="823"/>
      <c r="W1" s="823"/>
    </row>
    <row r="2" spans="1:23">
      <c r="B2" s="823" t="s">
        <v>2218</v>
      </c>
      <c r="C2" s="823"/>
      <c r="D2" s="823"/>
      <c r="E2" s="823"/>
      <c r="F2" s="823"/>
      <c r="G2" s="823"/>
      <c r="H2" s="823"/>
      <c r="I2" s="823"/>
      <c r="J2" s="823"/>
      <c r="K2" s="823"/>
      <c r="L2" s="823"/>
      <c r="M2" s="823"/>
      <c r="N2" s="823"/>
      <c r="O2" s="823"/>
      <c r="P2" s="823"/>
      <c r="Q2" s="823"/>
      <c r="R2" s="823"/>
      <c r="S2" s="823"/>
      <c r="T2" s="823"/>
      <c r="U2" s="823"/>
      <c r="V2" s="823"/>
      <c r="W2" s="823"/>
    </row>
    <row r="3" spans="1:23">
      <c r="B3" s="822" t="str">
        <f>'7.5 CEM Beta Adjusted RP'!A5</f>
        <v>Utility Proxy Group</v>
      </c>
      <c r="C3" s="823"/>
      <c r="D3" s="823"/>
      <c r="E3" s="823"/>
      <c r="F3" s="823"/>
      <c r="G3" s="823"/>
      <c r="H3" s="823"/>
      <c r="I3" s="823"/>
      <c r="J3" s="823"/>
      <c r="K3" s="823"/>
      <c r="L3" s="823"/>
      <c r="M3" s="823"/>
      <c r="N3" s="823"/>
      <c r="O3" s="823"/>
      <c r="P3" s="823"/>
      <c r="Q3" s="823"/>
      <c r="R3" s="823"/>
      <c r="S3" s="823"/>
      <c r="T3" s="823"/>
      <c r="U3" s="823"/>
      <c r="V3" s="823"/>
      <c r="W3" s="823"/>
    </row>
    <row r="5" spans="1:23">
      <c r="D5" s="806" t="s">
        <v>1337</v>
      </c>
      <c r="E5" s="806"/>
      <c r="F5" s="806" t="s">
        <v>1336</v>
      </c>
      <c r="G5" s="806"/>
      <c r="H5" s="806" t="s">
        <v>1335</v>
      </c>
      <c r="J5" s="823" t="s">
        <v>1341</v>
      </c>
      <c r="K5" s="823"/>
      <c r="M5" s="823" t="s">
        <v>1342</v>
      </c>
      <c r="N5" s="823"/>
      <c r="P5" s="823" t="s">
        <v>1345</v>
      </c>
      <c r="Q5" s="823"/>
      <c r="S5" s="823" t="s">
        <v>1346</v>
      </c>
      <c r="T5" s="823"/>
      <c r="V5" s="823" t="s">
        <v>1357</v>
      </c>
      <c r="W5" s="823"/>
    </row>
    <row r="7" spans="1:23" ht="74.25" customHeight="1">
      <c r="B7" s="809" t="str">
        <f>Input!I31</f>
        <v>Proxy Group of Thirty Nine Non-Price Regulated Companies</v>
      </c>
      <c r="D7" s="810" t="s">
        <v>168</v>
      </c>
      <c r="E7" s="831"/>
      <c r="F7" s="810" t="s">
        <v>1321</v>
      </c>
      <c r="G7" s="806"/>
      <c r="H7" s="810" t="s">
        <v>1322</v>
      </c>
      <c r="I7" s="806"/>
      <c r="J7" s="1029" t="s">
        <v>169</v>
      </c>
      <c r="K7" s="1029"/>
      <c r="L7" s="806"/>
      <c r="M7" s="1029" t="s">
        <v>170</v>
      </c>
      <c r="N7" s="1034"/>
      <c r="O7" s="806"/>
      <c r="P7" s="1029" t="s">
        <v>1351</v>
      </c>
      <c r="Q7" s="1034"/>
      <c r="R7" s="806"/>
      <c r="S7" s="1029" t="s">
        <v>1352</v>
      </c>
      <c r="T7" s="1034"/>
      <c r="U7" s="806"/>
      <c r="V7" s="1029" t="s">
        <v>4145</v>
      </c>
      <c r="W7" s="1035"/>
    </row>
    <row r="8" spans="1:23" ht="15.75" customHeight="1">
      <c r="P8" s="814"/>
    </row>
    <row r="9" spans="1:23" ht="15.75" customHeight="1">
      <c r="A9" s="122" t="str">
        <f>Input!C2</f>
        <v>A</v>
      </c>
      <c r="B9" s="807" t="str">
        <f>VLOOKUP($A9,'CEM Data Lookup'!$A:$P,2,FALSE)</f>
        <v>Agilent Technologies</v>
      </c>
      <c r="D9" s="826">
        <f>'MRP WP1'!E74</f>
        <v>0.85</v>
      </c>
      <c r="E9" s="813"/>
      <c r="F9" s="813">
        <f>VLOOKUP($A9,'CEM Data Lookup'!$A:$P,7,FALSE)</f>
        <v>1.0691213607788086</v>
      </c>
      <c r="G9" s="832"/>
      <c r="H9" s="832">
        <f>ROUND(AVERAGE(D9:F9),2)</f>
        <v>0.96</v>
      </c>
      <c r="I9" s="832"/>
      <c r="J9" s="814">
        <f>'MRP WP1'!H$65</f>
        <v>9.7498071769275878</v>
      </c>
      <c r="K9" s="832" t="s">
        <v>18</v>
      </c>
      <c r="L9" s="832"/>
      <c r="M9" s="814">
        <f>'MRP WP1'!F$37</f>
        <v>3.91</v>
      </c>
      <c r="N9" s="832" t="s">
        <v>18</v>
      </c>
      <c r="O9" s="832"/>
      <c r="P9" s="833">
        <f>(H9*(J9))+M9</f>
        <v>13.269814889850483</v>
      </c>
      <c r="Q9" s="832" t="s">
        <v>18</v>
      </c>
      <c r="R9" s="832"/>
      <c r="S9" s="833">
        <f>ROUND((0.75*(H9*J9))+(0.25*J9)+M9,4)</f>
        <v>13.3673</v>
      </c>
      <c r="T9" s="832" t="s">
        <v>18</v>
      </c>
      <c r="U9" s="832"/>
      <c r="V9" s="814">
        <f>ROUND(AVERAGE(P9,S9),2)</f>
        <v>13.32</v>
      </c>
      <c r="W9" s="807" t="s">
        <v>18</v>
      </c>
    </row>
    <row r="10" spans="1:23" ht="15.75" customHeight="1">
      <c r="A10" s="122" t="str">
        <f>Input!C3</f>
        <v>ABT</v>
      </c>
      <c r="B10" s="807" t="str">
        <f>VLOOKUP($A10,'CEM Data Lookup'!$A:$P,2,FALSE)</f>
        <v xml:space="preserve">Abbott Labs.        </v>
      </c>
      <c r="D10" s="826">
        <f>'MRP WP1'!E75</f>
        <v>0.9</v>
      </c>
      <c r="E10" s="813"/>
      <c r="F10" s="813">
        <f>VLOOKUP($A10,'CEM Data Lookup'!$A:$P,7,FALSE)</f>
        <v>0.76022017002105713</v>
      </c>
      <c r="G10" s="832"/>
      <c r="H10" s="832">
        <f t="shared" ref="H10:H47" si="0">ROUND(AVERAGE(D10:F10),2)</f>
        <v>0.83</v>
      </c>
      <c r="I10" s="832"/>
      <c r="J10" s="814">
        <f>'MRP WP1'!H$65</f>
        <v>9.7498071769275878</v>
      </c>
      <c r="K10" s="832"/>
      <c r="L10" s="832"/>
      <c r="M10" s="814">
        <f>'MRP WP1'!F$37</f>
        <v>3.91</v>
      </c>
      <c r="N10" s="832"/>
      <c r="O10" s="832"/>
      <c r="P10" s="833">
        <f t="shared" ref="P10:P47" si="1">(H10*(J10))+M10</f>
        <v>12.002339956849898</v>
      </c>
      <c r="Q10" s="832"/>
      <c r="R10" s="832"/>
      <c r="S10" s="833">
        <f t="shared" ref="S10:S47" si="2">ROUND((0.75*(H10*J10))+(0.25*J10)+M10,4)</f>
        <v>12.416700000000001</v>
      </c>
      <c r="T10" s="832"/>
      <c r="U10" s="832"/>
      <c r="V10" s="814">
        <f t="shared" ref="V10:V47" si="3">ROUND(AVERAGE(P10,S10),2)</f>
        <v>12.21</v>
      </c>
    </row>
    <row r="11" spans="1:23" ht="15.75" customHeight="1">
      <c r="A11" s="122" t="str">
        <f>Input!C4</f>
        <v>ADI</v>
      </c>
      <c r="B11" s="807" t="str">
        <f>VLOOKUP($A11,'CEM Data Lookup'!$A:$P,2,FALSE)</f>
        <v xml:space="preserve">Analog Devices      </v>
      </c>
      <c r="D11" s="826">
        <f>'MRP WP1'!E76</f>
        <v>1</v>
      </c>
      <c r="E11" s="813"/>
      <c r="F11" s="813">
        <f>VLOOKUP($A11,'CEM Data Lookup'!$A:$P,7,FALSE)</f>
        <v>1.0239076614379883</v>
      </c>
      <c r="G11" s="832"/>
      <c r="H11" s="832">
        <f t="shared" si="0"/>
        <v>1.01</v>
      </c>
      <c r="I11" s="832"/>
      <c r="J11" s="814">
        <f>'MRP WP1'!H$65</f>
        <v>9.7498071769275878</v>
      </c>
      <c r="L11" s="832"/>
      <c r="M11" s="814">
        <f>'MRP WP1'!F$37</f>
        <v>3.91</v>
      </c>
      <c r="O11" s="832"/>
      <c r="P11" s="833">
        <f t="shared" si="1"/>
        <v>13.757305248696865</v>
      </c>
      <c r="R11" s="832"/>
      <c r="S11" s="833">
        <f t="shared" si="2"/>
        <v>13.732900000000001</v>
      </c>
      <c r="U11" s="832"/>
      <c r="V11" s="814">
        <f t="shared" si="3"/>
        <v>13.75</v>
      </c>
    </row>
    <row r="12" spans="1:23" ht="15.75" customHeight="1">
      <c r="A12" s="122" t="str">
        <f>Input!C5</f>
        <v>AIZ</v>
      </c>
      <c r="B12" s="807" t="str">
        <f>VLOOKUP($A12,'CEM Data Lookup'!$A:$P,2,FALSE)</f>
        <v xml:space="preserve">Assurant Inc.       </v>
      </c>
      <c r="D12" s="826">
        <f>'MRP WP1'!E77</f>
        <v>0.9</v>
      </c>
      <c r="E12" s="813"/>
      <c r="F12" s="813">
        <f>VLOOKUP($A12,'CEM Data Lookup'!$A:$P,7,FALSE)</f>
        <v>0.72135257720947266</v>
      </c>
      <c r="G12" s="832"/>
      <c r="H12" s="832">
        <f t="shared" si="0"/>
        <v>0.81</v>
      </c>
      <c r="I12" s="832"/>
      <c r="J12" s="814">
        <f>'MRP WP1'!H$65</f>
        <v>9.7498071769275878</v>
      </c>
      <c r="L12" s="832"/>
      <c r="M12" s="814">
        <f>'MRP WP1'!F$37</f>
        <v>3.91</v>
      </c>
      <c r="O12" s="832"/>
      <c r="P12" s="833">
        <f t="shared" si="1"/>
        <v>11.807343813311347</v>
      </c>
      <c r="R12" s="832"/>
      <c r="S12" s="833">
        <f t="shared" si="2"/>
        <v>12.2705</v>
      </c>
      <c r="U12" s="832"/>
      <c r="V12" s="814">
        <f t="shared" si="3"/>
        <v>12.04</v>
      </c>
    </row>
    <row r="13" spans="1:23" ht="15.75" customHeight="1">
      <c r="A13" s="122" t="str">
        <f>Input!C6</f>
        <v>AOS</v>
      </c>
      <c r="B13" s="807" t="str">
        <f>VLOOKUP($A13,'CEM Data Lookup'!$A:$P,2,FALSE)</f>
        <v xml:space="preserve">Smith (A.O.)        </v>
      </c>
      <c r="D13" s="826">
        <f>'MRP WP1'!E78</f>
        <v>0.9</v>
      </c>
      <c r="E13" s="813"/>
      <c r="F13" s="813">
        <f>VLOOKUP($A13,'CEM Data Lookup'!$A:$P,7,FALSE)</f>
        <v>1.0350164175033569</v>
      </c>
      <c r="G13" s="832"/>
      <c r="H13" s="832">
        <f t="shared" si="0"/>
        <v>0.97</v>
      </c>
      <c r="I13" s="832"/>
      <c r="J13" s="814">
        <f>'MRP WP1'!H$65</f>
        <v>9.7498071769275878</v>
      </c>
      <c r="L13" s="832"/>
      <c r="M13" s="814">
        <f>'MRP WP1'!F$37</f>
        <v>3.91</v>
      </c>
      <c r="O13" s="832"/>
      <c r="P13" s="833">
        <f t="shared" si="1"/>
        <v>13.36731296161976</v>
      </c>
      <c r="R13" s="832"/>
      <c r="S13" s="833">
        <f t="shared" si="2"/>
        <v>13.4404</v>
      </c>
      <c r="U13" s="832"/>
      <c r="V13" s="814">
        <f t="shared" si="3"/>
        <v>13.4</v>
      </c>
    </row>
    <row r="14" spans="1:23" ht="15.75" customHeight="1">
      <c r="A14" s="122" t="str">
        <f>Input!C7</f>
        <v>APD</v>
      </c>
      <c r="B14" s="807" t="str">
        <f>VLOOKUP($A14,'CEM Data Lookup'!$A:$P,2,FALSE)</f>
        <v>Air Products &amp; Chem.</v>
      </c>
      <c r="D14" s="826">
        <f>'MRP WP1'!E79</f>
        <v>0.9</v>
      </c>
      <c r="E14" s="813"/>
      <c r="F14" s="813">
        <f>VLOOKUP($A14,'CEM Data Lookup'!$A:$P,7,FALSE)</f>
        <v>0.80731379985809326</v>
      </c>
      <c r="G14" s="832"/>
      <c r="H14" s="832">
        <f t="shared" si="0"/>
        <v>0.85</v>
      </c>
      <c r="I14" s="832"/>
      <c r="J14" s="814">
        <f>'MRP WP1'!H$65</f>
        <v>9.7498071769275878</v>
      </c>
      <c r="L14" s="832"/>
      <c r="M14" s="814">
        <f>'MRP WP1'!F$37</f>
        <v>3.91</v>
      </c>
      <c r="O14" s="832"/>
      <c r="P14" s="833">
        <f t="shared" si="1"/>
        <v>12.19733610038845</v>
      </c>
      <c r="R14" s="832"/>
      <c r="S14" s="833">
        <f t="shared" si="2"/>
        <v>12.563000000000001</v>
      </c>
      <c r="U14" s="832"/>
      <c r="V14" s="814">
        <f t="shared" si="3"/>
        <v>12.38</v>
      </c>
    </row>
    <row r="15" spans="1:23" ht="15.75" customHeight="1">
      <c r="A15" s="122" t="str">
        <f>Input!C8</f>
        <v>BFB</v>
      </c>
      <c r="B15" s="807" t="str">
        <f>VLOOKUP($A15,'CEM Data Lookup'!$A:$P,2,FALSE)</f>
        <v xml:space="preserve">Brown-Forman 'B'    </v>
      </c>
      <c r="D15" s="826">
        <f>'MRP WP1'!E80</f>
        <v>0.85</v>
      </c>
      <c r="E15" s="813"/>
      <c r="F15" s="813">
        <f>VLOOKUP($A15,'CEM Data Lookup'!$A:$P,7,FALSE)</f>
        <v>0.79479449987411499</v>
      </c>
      <c r="G15" s="832"/>
      <c r="H15" s="832">
        <f t="shared" si="0"/>
        <v>0.82</v>
      </c>
      <c r="I15" s="832"/>
      <c r="J15" s="814">
        <f>'MRP WP1'!H$65</f>
        <v>9.7498071769275878</v>
      </c>
      <c r="L15" s="832"/>
      <c r="M15" s="814">
        <f>'MRP WP1'!F$37</f>
        <v>3.91</v>
      </c>
      <c r="O15" s="832"/>
      <c r="P15" s="833">
        <f t="shared" si="1"/>
        <v>11.904841885080621</v>
      </c>
      <c r="R15" s="832"/>
      <c r="S15" s="833">
        <f t="shared" si="2"/>
        <v>12.3436</v>
      </c>
      <c r="U15" s="832"/>
      <c r="V15" s="814">
        <f t="shared" si="3"/>
        <v>12.12</v>
      </c>
    </row>
    <row r="16" spans="1:23" ht="15.75" customHeight="1">
      <c r="A16" s="122" t="str">
        <f>Input!C9</f>
        <v>BMY</v>
      </c>
      <c r="B16" s="807" t="str">
        <f>VLOOKUP($A16,'CEM Data Lookup'!$A:$P,2,FALSE)</f>
        <v>Bristol-Myers Squibb</v>
      </c>
      <c r="D16" s="826">
        <f>'MRP WP1'!E81</f>
        <v>0.8</v>
      </c>
      <c r="E16" s="813"/>
      <c r="F16" s="813">
        <f>VLOOKUP($A16,'CEM Data Lookup'!$A:$P,7,FALSE)</f>
        <v>0.49832990765571594</v>
      </c>
      <c r="G16" s="832"/>
      <c r="H16" s="832">
        <f t="shared" si="0"/>
        <v>0.65</v>
      </c>
      <c r="I16" s="832"/>
      <c r="J16" s="814">
        <f>'MRP WP1'!H$65</f>
        <v>9.7498071769275878</v>
      </c>
      <c r="L16" s="832"/>
      <c r="M16" s="814">
        <f>'MRP WP1'!F$37</f>
        <v>3.91</v>
      </c>
      <c r="O16" s="832"/>
      <c r="P16" s="833">
        <f t="shared" si="1"/>
        <v>10.247374665002933</v>
      </c>
      <c r="R16" s="832"/>
      <c r="S16" s="833">
        <f t="shared" si="2"/>
        <v>11.1005</v>
      </c>
      <c r="U16" s="832"/>
      <c r="V16" s="814">
        <f t="shared" si="3"/>
        <v>10.67</v>
      </c>
    </row>
    <row r="17" spans="1:22" ht="15.75" customHeight="1">
      <c r="A17" s="122" t="str">
        <f>Input!C10</f>
        <v>BR</v>
      </c>
      <c r="B17" s="807" t="str">
        <f>VLOOKUP($A17,'CEM Data Lookup'!$A:$P,2,FALSE)</f>
        <v xml:space="preserve">Broadridge Fin'l    </v>
      </c>
      <c r="D17" s="826">
        <f>'MRP WP1'!E82</f>
        <v>0.9</v>
      </c>
      <c r="E17" s="813"/>
      <c r="F17" s="813">
        <f>VLOOKUP($A17,'CEM Data Lookup'!$A:$P,7,FALSE)</f>
        <v>0.98402196168899536</v>
      </c>
      <c r="G17" s="832"/>
      <c r="H17" s="832">
        <f t="shared" si="0"/>
        <v>0.94</v>
      </c>
      <c r="I17" s="832"/>
      <c r="J17" s="814">
        <f>'MRP WP1'!H$65</f>
        <v>9.7498071769275878</v>
      </c>
      <c r="L17" s="832"/>
      <c r="M17" s="814">
        <f>'MRP WP1'!F$37</f>
        <v>3.91</v>
      </c>
      <c r="O17" s="832"/>
      <c r="P17" s="833">
        <f t="shared" si="1"/>
        <v>13.074818746311932</v>
      </c>
      <c r="R17" s="832"/>
      <c r="S17" s="833">
        <f t="shared" si="2"/>
        <v>13.2211</v>
      </c>
      <c r="U17" s="832"/>
      <c r="V17" s="814">
        <f t="shared" si="3"/>
        <v>13.15</v>
      </c>
    </row>
    <row r="18" spans="1:22" ht="15.75" customHeight="1">
      <c r="A18" s="122" t="str">
        <f>Input!C11</f>
        <v>CACI</v>
      </c>
      <c r="B18" s="807" t="str">
        <f>VLOOKUP($A18,'CEM Data Lookup'!$A:$P,2,FALSE)</f>
        <v xml:space="preserve">CACI Int'l          </v>
      </c>
      <c r="D18" s="826">
        <f>'MRP WP1'!E83</f>
        <v>0.9</v>
      </c>
      <c r="E18" s="813"/>
      <c r="F18" s="813">
        <f>VLOOKUP($A18,'CEM Data Lookup'!$A:$P,7,FALSE)</f>
        <v>0.74475908279418945</v>
      </c>
      <c r="G18" s="832"/>
      <c r="H18" s="832">
        <f t="shared" si="0"/>
        <v>0.82</v>
      </c>
      <c r="I18" s="832"/>
      <c r="J18" s="814">
        <f>'MRP WP1'!H$65</f>
        <v>9.7498071769275878</v>
      </c>
      <c r="L18" s="832"/>
      <c r="M18" s="814">
        <f>'MRP WP1'!F$37</f>
        <v>3.91</v>
      </c>
      <c r="O18" s="832"/>
      <c r="P18" s="833">
        <f t="shared" si="1"/>
        <v>11.904841885080621</v>
      </c>
      <c r="R18" s="832"/>
      <c r="S18" s="833">
        <f t="shared" si="2"/>
        <v>12.3436</v>
      </c>
      <c r="U18" s="832"/>
      <c r="V18" s="814">
        <f t="shared" si="3"/>
        <v>12.12</v>
      </c>
    </row>
    <row r="19" spans="1:22" ht="15.75" customHeight="1">
      <c r="A19" s="122" t="str">
        <f>Input!C12</f>
        <v>CHE</v>
      </c>
      <c r="B19" s="807" t="str">
        <f>VLOOKUP($A19,'CEM Data Lookup'!$A:$P,2,FALSE)</f>
        <v xml:space="preserve">Chemed Corp.        </v>
      </c>
      <c r="D19" s="826">
        <f>'MRP WP1'!E84</f>
        <v>0.8</v>
      </c>
      <c r="E19" s="813"/>
      <c r="F19" s="813">
        <f>VLOOKUP($A19,'CEM Data Lookup'!$A:$P,7,FALSE)</f>
        <v>0.72125041484832764</v>
      </c>
      <c r="G19" s="832"/>
      <c r="H19" s="832">
        <f t="shared" si="0"/>
        <v>0.76</v>
      </c>
      <c r="I19" s="832"/>
      <c r="J19" s="814">
        <f>'MRP WP1'!H$65</f>
        <v>9.7498071769275878</v>
      </c>
      <c r="L19" s="832"/>
      <c r="M19" s="814">
        <f>'MRP WP1'!F$37</f>
        <v>3.91</v>
      </c>
      <c r="O19" s="832"/>
      <c r="P19" s="833">
        <f t="shared" si="1"/>
        <v>11.319853454464967</v>
      </c>
      <c r="R19" s="832"/>
      <c r="S19" s="833">
        <f t="shared" si="2"/>
        <v>11.9048</v>
      </c>
      <c r="U19" s="832"/>
      <c r="V19" s="814">
        <f t="shared" si="3"/>
        <v>11.61</v>
      </c>
    </row>
    <row r="20" spans="1:22" ht="15.75" customHeight="1">
      <c r="A20" s="122" t="str">
        <f>Input!C13</f>
        <v>CSWI</v>
      </c>
      <c r="B20" s="807" t="str">
        <f>VLOOKUP($A20,'CEM Data Lookup'!$A:$P,2,FALSE)</f>
        <v xml:space="preserve">CSW Industrials     </v>
      </c>
      <c r="D20" s="826">
        <f>'MRP WP1'!E85</f>
        <v>0.85</v>
      </c>
      <c r="E20" s="813"/>
      <c r="F20" s="813">
        <f>VLOOKUP($A20,'CEM Data Lookup'!$A:$P,7,FALSE)</f>
        <v>0.77070599794387817</v>
      </c>
      <c r="G20" s="832"/>
      <c r="H20" s="832">
        <f t="shared" si="0"/>
        <v>0.81</v>
      </c>
      <c r="I20" s="832"/>
      <c r="J20" s="814">
        <f>'MRP WP1'!H$65</f>
        <v>9.7498071769275878</v>
      </c>
      <c r="L20" s="832"/>
      <c r="M20" s="814">
        <f>'MRP WP1'!F$37</f>
        <v>3.91</v>
      </c>
      <c r="O20" s="832"/>
      <c r="P20" s="833">
        <f t="shared" si="1"/>
        <v>11.807343813311347</v>
      </c>
      <c r="R20" s="832"/>
      <c r="S20" s="833">
        <f t="shared" si="2"/>
        <v>12.2705</v>
      </c>
      <c r="U20" s="832"/>
      <c r="V20" s="814">
        <f t="shared" si="3"/>
        <v>12.04</v>
      </c>
    </row>
    <row r="21" spans="1:22" ht="15.75" customHeight="1">
      <c r="A21" s="122" t="str">
        <f>Input!C14</f>
        <v>DGX</v>
      </c>
      <c r="B21" s="807" t="str">
        <f>VLOOKUP($A21,'CEM Data Lookup'!$A:$P,2,FALSE)</f>
        <v xml:space="preserve">Quest Diagnostics   </v>
      </c>
      <c r="D21" s="826">
        <f>'MRP WP1'!E86</f>
        <v>0.8</v>
      </c>
      <c r="E21" s="813"/>
      <c r="F21" s="813">
        <f>VLOOKUP($A21,'CEM Data Lookup'!$A:$P,7,FALSE)</f>
        <v>0.69651615619659424</v>
      </c>
      <c r="G21" s="832"/>
      <c r="H21" s="832">
        <f t="shared" si="0"/>
        <v>0.75</v>
      </c>
      <c r="I21" s="832"/>
      <c r="J21" s="814">
        <f>'MRP WP1'!H$65</f>
        <v>9.7498071769275878</v>
      </c>
      <c r="L21" s="832"/>
      <c r="M21" s="814">
        <f>'MRP WP1'!F$37</f>
        <v>3.91</v>
      </c>
      <c r="O21" s="832"/>
      <c r="P21" s="833">
        <f t="shared" si="1"/>
        <v>11.222355382695691</v>
      </c>
      <c r="R21" s="832"/>
      <c r="S21" s="833">
        <f t="shared" si="2"/>
        <v>11.8317</v>
      </c>
      <c r="U21" s="832"/>
      <c r="V21" s="814">
        <f t="shared" si="3"/>
        <v>11.53</v>
      </c>
    </row>
    <row r="22" spans="1:22" ht="15.75" customHeight="1">
      <c r="A22" s="122" t="str">
        <f>Input!C15</f>
        <v>EXPO</v>
      </c>
      <c r="B22" s="807" t="str">
        <f>VLOOKUP($A22,'CEM Data Lookup'!$A:$P,2,FALSE)</f>
        <v xml:space="preserve">Exponent, Inc.      </v>
      </c>
      <c r="D22" s="826">
        <f>'MRP WP1'!E87</f>
        <v>0.9</v>
      </c>
      <c r="E22" s="813"/>
      <c r="F22" s="813">
        <f>VLOOKUP($A22,'CEM Data Lookup'!$A:$P,7,FALSE)</f>
        <v>0.99756920337677002</v>
      </c>
      <c r="G22" s="832"/>
      <c r="H22" s="832">
        <f t="shared" si="0"/>
        <v>0.95</v>
      </c>
      <c r="I22" s="832"/>
      <c r="J22" s="814">
        <f>'MRP WP1'!H$65</f>
        <v>9.7498071769275878</v>
      </c>
      <c r="L22" s="832"/>
      <c r="M22" s="814">
        <f>'MRP WP1'!F$37</f>
        <v>3.91</v>
      </c>
      <c r="O22" s="832"/>
      <c r="P22" s="833">
        <f t="shared" si="1"/>
        <v>13.172316818081208</v>
      </c>
      <c r="R22" s="832"/>
      <c r="S22" s="833">
        <f t="shared" si="2"/>
        <v>13.2942</v>
      </c>
      <c r="U22" s="832"/>
      <c r="V22" s="814">
        <f t="shared" si="3"/>
        <v>13.23</v>
      </c>
    </row>
    <row r="23" spans="1:22" ht="15.75" customHeight="1">
      <c r="A23" s="122" t="str">
        <f>Input!C16</f>
        <v>INGR</v>
      </c>
      <c r="B23" s="807" t="str">
        <f>VLOOKUP($A23,'CEM Data Lookup'!$A:$P,2,FALSE)</f>
        <v xml:space="preserve">Ingredion Inc.      </v>
      </c>
      <c r="D23" s="826">
        <f>'MRP WP1'!E88</f>
        <v>0.9</v>
      </c>
      <c r="E23" s="813"/>
      <c r="F23" s="813">
        <f>VLOOKUP($A23,'CEM Data Lookup'!$A:$P,7,FALSE)</f>
        <v>0.68774235248565674</v>
      </c>
      <c r="G23" s="832"/>
      <c r="H23" s="832">
        <f t="shared" si="0"/>
        <v>0.79</v>
      </c>
      <c r="I23" s="832"/>
      <c r="J23" s="814">
        <f>'MRP WP1'!H$65</f>
        <v>9.7498071769275878</v>
      </c>
      <c r="L23" s="832"/>
      <c r="M23" s="814">
        <f>'MRP WP1'!F$37</f>
        <v>3.91</v>
      </c>
      <c r="O23" s="832"/>
      <c r="P23" s="833">
        <f t="shared" si="1"/>
        <v>11.612347669772795</v>
      </c>
      <c r="R23" s="832"/>
      <c r="S23" s="833">
        <f t="shared" si="2"/>
        <v>12.1242</v>
      </c>
      <c r="U23" s="832"/>
      <c r="V23" s="814">
        <f t="shared" si="3"/>
        <v>11.87</v>
      </c>
    </row>
    <row r="24" spans="1:22" ht="15.75" customHeight="1">
      <c r="A24" s="122" t="str">
        <f>Input!C17</f>
        <v>JJSF</v>
      </c>
      <c r="B24" s="807" t="str">
        <f>VLOOKUP($A24,'CEM Data Lookup'!$A:$P,2,FALSE)</f>
        <v xml:space="preserve">J&amp;J Snack Foods     </v>
      </c>
      <c r="D24" s="826">
        <f>'MRP WP1'!E89</f>
        <v>0.9</v>
      </c>
      <c r="E24" s="813"/>
      <c r="F24" s="813">
        <f>VLOOKUP($A24,'CEM Data Lookup'!$A:$P,7,FALSE)</f>
        <v>0.57813775539398193</v>
      </c>
      <c r="G24" s="832"/>
      <c r="H24" s="832">
        <f t="shared" si="0"/>
        <v>0.74</v>
      </c>
      <c r="I24" s="832"/>
      <c r="J24" s="814">
        <f>'MRP WP1'!H$65</f>
        <v>9.7498071769275878</v>
      </c>
      <c r="L24" s="832"/>
      <c r="M24" s="814">
        <f>'MRP WP1'!F$37</f>
        <v>3.91</v>
      </c>
      <c r="O24" s="832"/>
      <c r="P24" s="833">
        <f t="shared" si="1"/>
        <v>11.124857310926416</v>
      </c>
      <c r="R24" s="832"/>
      <c r="S24" s="833">
        <f t="shared" si="2"/>
        <v>11.758599999999999</v>
      </c>
      <c r="U24" s="832"/>
      <c r="V24" s="814">
        <f t="shared" si="3"/>
        <v>11.44</v>
      </c>
    </row>
    <row r="25" spans="1:22" ht="15.75" customHeight="1">
      <c r="A25" s="122" t="str">
        <f>Input!C18</f>
        <v>JKHY</v>
      </c>
      <c r="B25" s="807" t="str">
        <f>VLOOKUP($A25,'CEM Data Lookup'!$A:$P,2,FALSE)</f>
        <v>Henry (Jack) &amp; Assoc</v>
      </c>
      <c r="D25" s="826">
        <f>'MRP WP1'!E90</f>
        <v>0.85</v>
      </c>
      <c r="E25" s="813"/>
      <c r="F25" s="813">
        <f>VLOOKUP($A25,'CEM Data Lookup'!$A:$P,7,FALSE)</f>
        <v>0.7571338415145874</v>
      </c>
      <c r="G25" s="832"/>
      <c r="H25" s="832">
        <f t="shared" si="0"/>
        <v>0.8</v>
      </c>
      <c r="I25" s="832"/>
      <c r="J25" s="814">
        <f>'MRP WP1'!H$65</f>
        <v>9.7498071769275878</v>
      </c>
      <c r="L25" s="832"/>
      <c r="M25" s="814">
        <f>'MRP WP1'!F$37</f>
        <v>3.91</v>
      </c>
      <c r="O25" s="832"/>
      <c r="P25" s="833">
        <f t="shared" si="1"/>
        <v>11.709845741542072</v>
      </c>
      <c r="R25" s="832"/>
      <c r="S25" s="833">
        <f t="shared" si="2"/>
        <v>12.1973</v>
      </c>
      <c r="U25" s="832"/>
      <c r="V25" s="814">
        <f t="shared" si="3"/>
        <v>11.95</v>
      </c>
    </row>
    <row r="26" spans="1:22" ht="15.75" customHeight="1">
      <c r="A26" s="122" t="str">
        <f>Input!C19</f>
        <v>MKC</v>
      </c>
      <c r="B26" s="807" t="str">
        <f>VLOOKUP($A26,'CEM Data Lookup'!$A:$P,2,FALSE)</f>
        <v xml:space="preserve">McCormick &amp; Co.     </v>
      </c>
      <c r="D26" s="826">
        <f>'MRP WP1'!E91</f>
        <v>0.75</v>
      </c>
      <c r="E26" s="813"/>
      <c r="F26" s="813">
        <f>VLOOKUP($A26,'CEM Data Lookup'!$A:$P,7,FALSE)</f>
        <v>0.72053992748260498</v>
      </c>
      <c r="G26" s="832"/>
      <c r="H26" s="832">
        <f t="shared" si="0"/>
        <v>0.74</v>
      </c>
      <c r="I26" s="832"/>
      <c r="J26" s="814">
        <f>'MRP WP1'!H$65</f>
        <v>9.7498071769275878</v>
      </c>
      <c r="L26" s="832"/>
      <c r="M26" s="814">
        <f>'MRP WP1'!F$37</f>
        <v>3.91</v>
      </c>
      <c r="O26" s="832"/>
      <c r="P26" s="833">
        <f t="shared" si="1"/>
        <v>11.124857310926416</v>
      </c>
      <c r="R26" s="832"/>
      <c r="S26" s="833">
        <f t="shared" si="2"/>
        <v>11.758599999999999</v>
      </c>
      <c r="U26" s="832"/>
      <c r="V26" s="814">
        <f t="shared" si="3"/>
        <v>11.44</v>
      </c>
    </row>
    <row r="27" spans="1:22" ht="15.75" customHeight="1">
      <c r="A27" s="122" t="str">
        <f>Input!C20</f>
        <v>MRK</v>
      </c>
      <c r="B27" s="807" t="str">
        <f>VLOOKUP($A27,'CEM Data Lookup'!$A:$P,2,FALSE)</f>
        <v xml:space="preserve">Merck &amp; Co.         </v>
      </c>
      <c r="D27" s="826">
        <f>'MRP WP1'!E92</f>
        <v>0.75</v>
      </c>
      <c r="E27" s="813"/>
      <c r="F27" s="813">
        <f>VLOOKUP($A27,'CEM Data Lookup'!$A:$P,7,FALSE)</f>
        <v>0.4687764048576355</v>
      </c>
      <c r="G27" s="832"/>
      <c r="H27" s="832">
        <f t="shared" si="0"/>
        <v>0.61</v>
      </c>
      <c r="I27" s="832"/>
      <c r="J27" s="814">
        <f>'MRP WP1'!H$65</f>
        <v>9.7498071769275878</v>
      </c>
      <c r="L27" s="832"/>
      <c r="M27" s="814">
        <f>'MRP WP1'!F$37</f>
        <v>3.91</v>
      </c>
      <c r="O27" s="832"/>
      <c r="P27" s="833">
        <f t="shared" si="1"/>
        <v>9.8573823779258287</v>
      </c>
      <c r="R27" s="832"/>
      <c r="S27" s="833">
        <f t="shared" si="2"/>
        <v>10.808</v>
      </c>
      <c r="U27" s="832"/>
      <c r="V27" s="814">
        <f t="shared" si="3"/>
        <v>10.33</v>
      </c>
    </row>
    <row r="28" spans="1:22" ht="15.75" customHeight="1">
      <c r="A28" s="122" t="str">
        <f>Input!C21</f>
        <v>MSCI</v>
      </c>
      <c r="B28" s="807" t="str">
        <f>VLOOKUP($A28,'CEM Data Lookup'!$A:$P,2,FALSE)</f>
        <v xml:space="preserve">MSCI Inc.           </v>
      </c>
      <c r="D28" s="826">
        <f>'MRP WP1'!E93</f>
        <v>1.05</v>
      </c>
      <c r="E28" s="813"/>
      <c r="F28" s="813">
        <f>VLOOKUP($A28,'CEM Data Lookup'!$A:$P,7,FALSE)</f>
        <v>1.3656225204467773</v>
      </c>
      <c r="G28" s="832"/>
      <c r="H28" s="832">
        <f t="shared" si="0"/>
        <v>1.21</v>
      </c>
      <c r="I28" s="832"/>
      <c r="J28" s="814">
        <f>'MRP WP1'!H$65</f>
        <v>9.7498071769275878</v>
      </c>
      <c r="L28" s="832"/>
      <c r="M28" s="814">
        <f>'MRP WP1'!F$37</f>
        <v>3.91</v>
      </c>
      <c r="O28" s="832"/>
      <c r="P28" s="833">
        <f t="shared" si="1"/>
        <v>15.707266684082381</v>
      </c>
      <c r="R28" s="832"/>
      <c r="S28" s="833">
        <f t="shared" si="2"/>
        <v>15.195399999999999</v>
      </c>
      <c r="U28" s="832"/>
      <c r="V28" s="814">
        <f t="shared" si="3"/>
        <v>15.45</v>
      </c>
    </row>
    <row r="29" spans="1:22" ht="15.75" customHeight="1">
      <c r="A29" s="122" t="str">
        <f>Input!C22</f>
        <v>MSI</v>
      </c>
      <c r="B29" s="807" t="str">
        <f>VLOOKUP($A29,'CEM Data Lookup'!$A:$P,2,FALSE)</f>
        <v xml:space="preserve">Motorola Solutions  </v>
      </c>
      <c r="D29" s="826">
        <f>'MRP WP1'!E94</f>
        <v>0.9</v>
      </c>
      <c r="E29" s="813"/>
      <c r="F29" s="813">
        <f>VLOOKUP($A29,'CEM Data Lookup'!$A:$P,7,FALSE)</f>
        <v>0.96679747104644775</v>
      </c>
      <c r="G29" s="832"/>
      <c r="H29" s="832">
        <f t="shared" si="0"/>
        <v>0.93</v>
      </c>
      <c r="I29" s="832"/>
      <c r="J29" s="814">
        <f>'MRP WP1'!H$65</f>
        <v>9.7498071769275878</v>
      </c>
      <c r="L29" s="832"/>
      <c r="M29" s="814">
        <f>'MRP WP1'!F$37</f>
        <v>3.91</v>
      </c>
      <c r="O29" s="832"/>
      <c r="P29" s="833">
        <f t="shared" si="1"/>
        <v>12.977320674542657</v>
      </c>
      <c r="R29" s="832"/>
      <c r="S29" s="833">
        <f t="shared" si="2"/>
        <v>13.1479</v>
      </c>
      <c r="U29" s="832"/>
      <c r="V29" s="814">
        <f t="shared" si="3"/>
        <v>13.06</v>
      </c>
    </row>
    <row r="30" spans="1:22" ht="15.75" customHeight="1">
      <c r="A30" s="122" t="str">
        <f>Input!C23</f>
        <v>NEU</v>
      </c>
      <c r="B30" s="807" t="str">
        <f>VLOOKUP($A30,'CEM Data Lookup'!$A:$P,2,FALSE)</f>
        <v xml:space="preserve">NewMarket Corp.     </v>
      </c>
      <c r="D30" s="826">
        <f>'MRP WP1'!E94</f>
        <v>0.9</v>
      </c>
      <c r="E30" s="813"/>
      <c r="F30" s="813">
        <f>VLOOKUP($A30,'CEM Data Lookup'!$A:$P,7,FALSE)</f>
        <v>0.61711913347244263</v>
      </c>
      <c r="G30" s="832"/>
      <c r="H30" s="832">
        <f t="shared" si="0"/>
        <v>0.76</v>
      </c>
      <c r="I30" s="832"/>
      <c r="J30" s="814">
        <f>'MRP WP1'!H$65</f>
        <v>9.7498071769275878</v>
      </c>
      <c r="L30" s="832"/>
      <c r="M30" s="814">
        <f>'MRP WP1'!F$37</f>
        <v>3.91</v>
      </c>
      <c r="O30" s="832"/>
      <c r="P30" s="833">
        <f t="shared" si="1"/>
        <v>11.319853454464967</v>
      </c>
      <c r="R30" s="832"/>
      <c r="S30" s="833">
        <f t="shared" si="2"/>
        <v>11.9048</v>
      </c>
      <c r="U30" s="832"/>
      <c r="V30" s="814">
        <f t="shared" si="3"/>
        <v>11.61</v>
      </c>
    </row>
    <row r="31" spans="1:22" ht="15.75" customHeight="1">
      <c r="A31" s="122" t="str">
        <f>Input!C24</f>
        <v>NOC</v>
      </c>
      <c r="B31" s="807" t="str">
        <f>VLOOKUP($A31,'CEM Data Lookup'!$A:$P,2,FALSE)</f>
        <v xml:space="preserve">Northrop Grumman    </v>
      </c>
      <c r="D31" s="826">
        <f>'MRP WP1'!E95</f>
        <v>0.75</v>
      </c>
      <c r="E31" s="813"/>
      <c r="F31" s="813">
        <f>VLOOKUP($A31,'CEM Data Lookup'!$A:$P,7,FALSE)</f>
        <v>0.65922749042510986</v>
      </c>
      <c r="G31" s="832"/>
      <c r="H31" s="832">
        <f t="shared" si="0"/>
        <v>0.7</v>
      </c>
      <c r="I31" s="832"/>
      <c r="J31" s="814">
        <f>'MRP WP1'!H$65</f>
        <v>9.7498071769275878</v>
      </c>
      <c r="L31" s="832"/>
      <c r="M31" s="814">
        <f>'MRP WP1'!F$37</f>
        <v>3.91</v>
      </c>
      <c r="O31" s="832"/>
      <c r="P31" s="833">
        <f t="shared" si="1"/>
        <v>10.734865023849311</v>
      </c>
      <c r="R31" s="832"/>
      <c r="S31" s="833">
        <f t="shared" si="2"/>
        <v>11.466100000000001</v>
      </c>
      <c r="U31" s="832"/>
      <c r="V31" s="814">
        <f t="shared" si="3"/>
        <v>11.1</v>
      </c>
    </row>
    <row r="32" spans="1:22" ht="15.75" customHeight="1">
      <c r="A32" s="122" t="str">
        <f>Input!C25</f>
        <v>ODFL</v>
      </c>
      <c r="B32" s="807" t="str">
        <f>VLOOKUP($A32,'CEM Data Lookup'!$A:$P,2,FALSE)</f>
        <v>Old Dominion Freight</v>
      </c>
      <c r="D32" s="826">
        <f>'MRP WP1'!E96</f>
        <v>0.8</v>
      </c>
      <c r="E32" s="813"/>
      <c r="F32" s="813">
        <f>VLOOKUP($A32,'CEM Data Lookup'!$A:$P,7,FALSE)</f>
        <v>1.1335461139678955</v>
      </c>
      <c r="G32" s="832"/>
      <c r="H32" s="832">
        <f t="shared" si="0"/>
        <v>0.97</v>
      </c>
      <c r="I32" s="832"/>
      <c r="J32" s="814">
        <f>'MRP WP1'!H$65</f>
        <v>9.7498071769275878</v>
      </c>
      <c r="L32" s="832"/>
      <c r="M32" s="814">
        <f>'MRP WP1'!F$37</f>
        <v>3.91</v>
      </c>
      <c r="O32" s="832"/>
      <c r="P32" s="833">
        <f t="shared" si="1"/>
        <v>13.36731296161976</v>
      </c>
      <c r="R32" s="832"/>
      <c r="S32" s="833">
        <f t="shared" si="2"/>
        <v>13.4404</v>
      </c>
      <c r="U32" s="832"/>
      <c r="V32" s="814">
        <f t="shared" si="3"/>
        <v>13.4</v>
      </c>
    </row>
    <row r="33" spans="1:22" ht="15.75" customHeight="1">
      <c r="A33" s="122" t="str">
        <f>Input!C26</f>
        <v>ORCL</v>
      </c>
      <c r="B33" s="807" t="str">
        <f>VLOOKUP($A33,'CEM Data Lookup'!$A:$P,2,FALSE)</f>
        <v xml:space="preserve">Oracle Corp.        </v>
      </c>
      <c r="D33" s="826">
        <f>'MRP WP1'!E97</f>
        <v>0.95</v>
      </c>
      <c r="E33" s="813"/>
      <c r="F33" s="813">
        <f>VLOOKUP($A33,'CEM Data Lookup'!$A:$P,7,FALSE)</f>
        <v>0.99250739812850952</v>
      </c>
      <c r="G33" s="832"/>
      <c r="H33" s="832">
        <f t="shared" si="0"/>
        <v>0.97</v>
      </c>
      <c r="I33" s="832"/>
      <c r="J33" s="814">
        <f>'MRP WP1'!H$65</f>
        <v>9.7498071769275878</v>
      </c>
      <c r="L33" s="832"/>
      <c r="M33" s="814">
        <f>'MRP WP1'!F$37</f>
        <v>3.91</v>
      </c>
      <c r="O33" s="832"/>
      <c r="P33" s="833">
        <f t="shared" si="1"/>
        <v>13.36731296161976</v>
      </c>
      <c r="R33" s="832"/>
      <c r="S33" s="833">
        <f t="shared" si="2"/>
        <v>13.4404</v>
      </c>
      <c r="U33" s="832"/>
      <c r="V33" s="814">
        <f t="shared" si="3"/>
        <v>13.4</v>
      </c>
    </row>
    <row r="34" spans="1:22" ht="15.75" customHeight="1">
      <c r="A34" s="122" t="str">
        <f>Input!C27</f>
        <v>PGR</v>
      </c>
      <c r="B34" s="807" t="str">
        <f>VLOOKUP($A34,'CEM Data Lookup'!$A:$P,2,FALSE)</f>
        <v xml:space="preserve">Progressive Corp.   </v>
      </c>
      <c r="D34" s="826">
        <f>'MRP WP1'!E98</f>
        <v>0.8</v>
      </c>
      <c r="E34" s="813"/>
      <c r="F34" s="813">
        <f>VLOOKUP($A34,'CEM Data Lookup'!$A:$P,7,FALSE)</f>
        <v>0.7506294846534729</v>
      </c>
      <c r="G34" s="832"/>
      <c r="H34" s="832">
        <f t="shared" si="0"/>
        <v>0.78</v>
      </c>
      <c r="I34" s="832"/>
      <c r="J34" s="814">
        <f>'MRP WP1'!H$65</f>
        <v>9.7498071769275878</v>
      </c>
      <c r="L34" s="832"/>
      <c r="M34" s="814">
        <f>'MRP WP1'!F$37</f>
        <v>3.91</v>
      </c>
      <c r="O34" s="832"/>
      <c r="P34" s="833">
        <f t="shared" si="1"/>
        <v>11.514849598003519</v>
      </c>
      <c r="R34" s="832"/>
      <c r="S34" s="833">
        <f t="shared" si="2"/>
        <v>12.0511</v>
      </c>
      <c r="U34" s="832"/>
      <c r="V34" s="814">
        <f t="shared" si="3"/>
        <v>11.78</v>
      </c>
    </row>
    <row r="35" spans="1:22" ht="15.75" customHeight="1">
      <c r="A35" s="122" t="str">
        <f>Input!C28</f>
        <v>POST</v>
      </c>
      <c r="B35" s="807" t="str">
        <f>VLOOKUP($A35,'CEM Data Lookup'!$A:$P,2,FALSE)</f>
        <v xml:space="preserve">Post Holdings       </v>
      </c>
      <c r="D35" s="826">
        <f>'MRP WP1'!E99</f>
        <v>0.75</v>
      </c>
      <c r="E35" s="813"/>
      <c r="F35" s="813">
        <f>VLOOKUP($A35,'CEM Data Lookup'!$A:$P,7,FALSE)</f>
        <v>0.65590405464172363</v>
      </c>
      <c r="G35" s="832"/>
      <c r="H35" s="832">
        <f t="shared" si="0"/>
        <v>0.7</v>
      </c>
      <c r="I35" s="832"/>
      <c r="J35" s="814">
        <f>'MRP WP1'!H$65</f>
        <v>9.7498071769275878</v>
      </c>
      <c r="L35" s="832"/>
      <c r="M35" s="814">
        <f>'MRP WP1'!F$37</f>
        <v>3.91</v>
      </c>
      <c r="O35" s="832"/>
      <c r="P35" s="833">
        <f t="shared" si="1"/>
        <v>10.734865023849311</v>
      </c>
      <c r="R35" s="832"/>
      <c r="S35" s="833">
        <f t="shared" si="2"/>
        <v>11.466100000000001</v>
      </c>
      <c r="U35" s="832"/>
      <c r="V35" s="814">
        <f t="shared" si="3"/>
        <v>11.1</v>
      </c>
    </row>
    <row r="36" spans="1:22" ht="15.75" customHeight="1">
      <c r="A36" s="122" t="str">
        <f>Input!C29</f>
        <v>RLI</v>
      </c>
      <c r="B36" s="807" t="str">
        <f>VLOOKUP($A36,'CEM Data Lookup'!$A:$P,2,FALSE)</f>
        <v xml:space="preserve">RLI Corp.           </v>
      </c>
      <c r="D36" s="826" t="str">
        <f>'MRP WP1'!E100</f>
        <v>NMF</v>
      </c>
      <c r="E36" s="813"/>
      <c r="F36" s="813">
        <f>VLOOKUP($A36,'CEM Data Lookup'!$A:$P,7,FALSE)</f>
        <v>0.77834731340408325</v>
      </c>
      <c r="G36" s="832"/>
      <c r="H36" s="832">
        <f t="shared" si="0"/>
        <v>0.78</v>
      </c>
      <c r="I36" s="832"/>
      <c r="J36" s="814">
        <f>'MRP WP1'!H$65</f>
        <v>9.7498071769275878</v>
      </c>
      <c r="L36" s="832"/>
      <c r="M36" s="814">
        <f>'MRP WP1'!F$37</f>
        <v>3.91</v>
      </c>
      <c r="O36" s="832"/>
      <c r="P36" s="833">
        <f t="shared" si="1"/>
        <v>11.514849598003519</v>
      </c>
      <c r="R36" s="832"/>
      <c r="S36" s="833">
        <f t="shared" si="2"/>
        <v>12.0511</v>
      </c>
      <c r="U36" s="832"/>
      <c r="V36" s="814">
        <f t="shared" si="3"/>
        <v>11.78</v>
      </c>
    </row>
    <row r="37" spans="1:22" ht="15.75" customHeight="1">
      <c r="A37" s="122" t="str">
        <f>Input!C30</f>
        <v>ROL</v>
      </c>
      <c r="B37" s="807" t="str">
        <f>VLOOKUP($A37,'CEM Data Lookup'!$A:$P,2,FALSE)</f>
        <v xml:space="preserve">Rollins, Inc.       </v>
      </c>
      <c r="D37" s="826">
        <f>'MRP WP1'!E101</f>
        <v>0.8</v>
      </c>
      <c r="E37" s="813"/>
      <c r="F37" s="813">
        <f>VLOOKUP($A37,'CEM Data Lookup'!$A:$P,7,FALSE)</f>
        <v>0.87550854682922363</v>
      </c>
      <c r="G37" s="832"/>
      <c r="H37" s="832">
        <f t="shared" si="0"/>
        <v>0.84</v>
      </c>
      <c r="I37" s="832"/>
      <c r="J37" s="814">
        <f>'MRP WP1'!H$65</f>
        <v>9.7498071769275878</v>
      </c>
      <c r="L37" s="832"/>
      <c r="M37" s="814">
        <f>'MRP WP1'!F$37</f>
        <v>3.91</v>
      </c>
      <c r="O37" s="832"/>
      <c r="P37" s="833">
        <f t="shared" si="1"/>
        <v>12.099838028619173</v>
      </c>
      <c r="R37" s="832"/>
      <c r="S37" s="833">
        <f t="shared" si="2"/>
        <v>12.489800000000001</v>
      </c>
      <c r="U37" s="832"/>
      <c r="V37" s="814">
        <f t="shared" si="3"/>
        <v>12.29</v>
      </c>
    </row>
    <row r="38" spans="1:22" ht="15.75" customHeight="1">
      <c r="A38" s="122" t="str">
        <f>Input!C31</f>
        <v>SHW</v>
      </c>
      <c r="B38" s="807" t="str">
        <f>VLOOKUP($A38,'CEM Data Lookup'!$A:$P,2,FALSE)</f>
        <v xml:space="preserve">Sherwin-Williams    </v>
      </c>
      <c r="D38" s="826">
        <f>'MRP WP1'!E102</f>
        <v>0.85</v>
      </c>
      <c r="E38" s="813"/>
      <c r="F38" s="813">
        <f>VLOOKUP($A38,'CEM Data Lookup'!$A:$P,7,FALSE)</f>
        <v>1.0015096664428711</v>
      </c>
      <c r="G38" s="832"/>
      <c r="H38" s="832">
        <f t="shared" si="0"/>
        <v>0.93</v>
      </c>
      <c r="I38" s="832"/>
      <c r="J38" s="814">
        <f>'MRP WP1'!H$65</f>
        <v>9.7498071769275878</v>
      </c>
      <c r="L38" s="832"/>
      <c r="M38" s="814">
        <f>'MRP WP1'!F$37</f>
        <v>3.91</v>
      </c>
      <c r="O38" s="832"/>
      <c r="P38" s="833">
        <f t="shared" si="1"/>
        <v>12.977320674542657</v>
      </c>
      <c r="R38" s="832"/>
      <c r="S38" s="833">
        <f t="shared" si="2"/>
        <v>13.1479</v>
      </c>
      <c r="U38" s="832"/>
      <c r="V38" s="814">
        <f t="shared" si="3"/>
        <v>13.06</v>
      </c>
    </row>
    <row r="39" spans="1:22" ht="15.75" customHeight="1">
      <c r="A39" s="122" t="str">
        <f>Input!C32</f>
        <v>SIGI</v>
      </c>
      <c r="B39" s="807" t="str">
        <f>VLOOKUP($A39,'CEM Data Lookup'!$A:$P,2,FALSE)</f>
        <v>Selective Ins. Group</v>
      </c>
      <c r="D39" s="826">
        <f>'MRP WP1'!E103</f>
        <v>0.95</v>
      </c>
      <c r="E39" s="813"/>
      <c r="F39" s="813">
        <f>VLOOKUP($A39,'CEM Data Lookup'!$A:$P,7,FALSE)</f>
        <v>0.69410860538482666</v>
      </c>
      <c r="G39" s="832"/>
      <c r="H39" s="832">
        <f t="shared" si="0"/>
        <v>0.82</v>
      </c>
      <c r="I39" s="832"/>
      <c r="J39" s="814">
        <f>'MRP WP1'!H$65</f>
        <v>9.7498071769275878</v>
      </c>
      <c r="L39" s="832"/>
      <c r="M39" s="814">
        <f>'MRP WP1'!F$37</f>
        <v>3.91</v>
      </c>
      <c r="O39" s="832"/>
      <c r="P39" s="833">
        <f t="shared" si="1"/>
        <v>11.904841885080621</v>
      </c>
      <c r="R39" s="832"/>
      <c r="S39" s="833">
        <f t="shared" si="2"/>
        <v>12.3436</v>
      </c>
      <c r="U39" s="832"/>
      <c r="V39" s="814">
        <f t="shared" si="3"/>
        <v>12.12</v>
      </c>
    </row>
    <row r="40" spans="1:22" ht="15.75" customHeight="1">
      <c r="A40" s="122" t="str">
        <f>Input!C33</f>
        <v>SIRI</v>
      </c>
      <c r="B40" s="807" t="str">
        <f>VLOOKUP($A40,'CEM Data Lookup'!$A:$P,2,FALSE)</f>
        <v xml:space="preserve">Sirius XM Holdings  </v>
      </c>
      <c r="D40" s="826">
        <f>'MRP WP1'!E104</f>
        <v>0.85</v>
      </c>
      <c r="E40" s="813"/>
      <c r="F40" s="813">
        <f>VLOOKUP($A40,'CEM Data Lookup'!$A:$P,7,FALSE)</f>
        <v>0.71677941083908081</v>
      </c>
      <c r="G40" s="832"/>
      <c r="H40" s="832">
        <f t="shared" si="0"/>
        <v>0.78</v>
      </c>
      <c r="I40" s="832"/>
      <c r="J40" s="814">
        <f>'MRP WP1'!H$65</f>
        <v>9.7498071769275878</v>
      </c>
      <c r="L40" s="832"/>
      <c r="M40" s="814">
        <f>'MRP WP1'!F$37</f>
        <v>3.91</v>
      </c>
      <c r="O40" s="832"/>
      <c r="P40" s="833">
        <f t="shared" si="1"/>
        <v>11.514849598003519</v>
      </c>
      <c r="R40" s="832"/>
      <c r="S40" s="833">
        <f t="shared" si="2"/>
        <v>12.0511</v>
      </c>
      <c r="U40" s="832"/>
      <c r="V40" s="814">
        <f t="shared" si="3"/>
        <v>11.78</v>
      </c>
    </row>
    <row r="41" spans="1:22" ht="15.75" customHeight="1">
      <c r="A41" s="122" t="str">
        <f>Input!C34</f>
        <v>SXT</v>
      </c>
      <c r="B41" s="807" t="str">
        <f>VLOOKUP($A41,'CEM Data Lookup'!$A:$P,2,FALSE)</f>
        <v xml:space="preserve">Sensient Techn.     </v>
      </c>
      <c r="D41" s="826">
        <f>'MRP WP1'!E105</f>
        <v>0.9</v>
      </c>
      <c r="E41" s="813"/>
      <c r="F41" s="813">
        <f>VLOOKUP($A41,'CEM Data Lookup'!$A:$P,7,FALSE)</f>
        <v>0.96372032165527344</v>
      </c>
      <c r="G41" s="832"/>
      <c r="H41" s="832">
        <f t="shared" si="0"/>
        <v>0.93</v>
      </c>
      <c r="I41" s="832"/>
      <c r="J41" s="814">
        <f>'MRP WP1'!H$65</f>
        <v>9.7498071769275878</v>
      </c>
      <c r="L41" s="832"/>
      <c r="M41" s="814">
        <f>'MRP WP1'!F$37</f>
        <v>3.91</v>
      </c>
      <c r="O41" s="832"/>
      <c r="P41" s="833">
        <f t="shared" si="1"/>
        <v>12.977320674542657</v>
      </c>
      <c r="R41" s="832"/>
      <c r="S41" s="833">
        <f t="shared" si="2"/>
        <v>13.1479</v>
      </c>
      <c r="U41" s="832"/>
      <c r="V41" s="814">
        <f t="shared" si="3"/>
        <v>13.06</v>
      </c>
    </row>
    <row r="42" spans="1:22" ht="15.75" customHeight="1">
      <c r="A42" s="122" t="str">
        <f>Input!C35</f>
        <v>TMO</v>
      </c>
      <c r="B42" s="807" t="str">
        <f>VLOOKUP($A42,'CEM Data Lookup'!$A:$P,2,FALSE)</f>
        <v xml:space="preserve">Thermo Fisher Sci.  </v>
      </c>
      <c r="D42" s="826">
        <f>'MRP WP1'!E106</f>
        <v>0.95</v>
      </c>
      <c r="E42" s="813"/>
      <c r="F42" s="813">
        <f>VLOOKUP($A42,'CEM Data Lookup'!$A:$P,7,FALSE)</f>
        <v>0.92452317476272583</v>
      </c>
      <c r="G42" s="832"/>
      <c r="H42" s="832">
        <f t="shared" si="0"/>
        <v>0.94</v>
      </c>
      <c r="I42" s="832"/>
      <c r="J42" s="814">
        <f>'MRP WP1'!H$65</f>
        <v>9.7498071769275878</v>
      </c>
      <c r="L42" s="832"/>
      <c r="M42" s="814">
        <f>'MRP WP1'!F$37</f>
        <v>3.91</v>
      </c>
      <c r="O42" s="832"/>
      <c r="P42" s="833">
        <f t="shared" si="1"/>
        <v>13.074818746311932</v>
      </c>
      <c r="R42" s="832"/>
      <c r="S42" s="833">
        <f t="shared" si="2"/>
        <v>13.2211</v>
      </c>
      <c r="U42" s="832"/>
      <c r="V42" s="814">
        <f t="shared" si="3"/>
        <v>13.15</v>
      </c>
    </row>
    <row r="43" spans="1:22" ht="15.75" customHeight="1">
      <c r="A43" s="122" t="str">
        <f>Input!C36</f>
        <v>TXN</v>
      </c>
      <c r="B43" s="807" t="str">
        <f>VLOOKUP($A43,'CEM Data Lookup'!$A:$P,2,FALSE)</f>
        <v xml:space="preserve">Texas Instruments   </v>
      </c>
      <c r="D43" s="826">
        <f>'MRP WP1'!E107</f>
        <v>0.85</v>
      </c>
      <c r="E43" s="813"/>
      <c r="F43" s="813">
        <f>VLOOKUP($A43,'CEM Data Lookup'!$A:$P,7,FALSE)</f>
        <v>0.97030335664749146</v>
      </c>
      <c r="G43" s="832"/>
      <c r="H43" s="832">
        <f t="shared" si="0"/>
        <v>0.91</v>
      </c>
      <c r="I43" s="832"/>
      <c r="J43" s="814">
        <f>'MRP WP1'!H$65</f>
        <v>9.7498071769275878</v>
      </c>
      <c r="L43" s="832"/>
      <c r="M43" s="814">
        <f>'MRP WP1'!F$37</f>
        <v>3.91</v>
      </c>
      <c r="O43" s="832"/>
      <c r="P43" s="833">
        <f t="shared" si="1"/>
        <v>12.782324531004106</v>
      </c>
      <c r="R43" s="832"/>
      <c r="S43" s="833">
        <f t="shared" si="2"/>
        <v>13.0017</v>
      </c>
      <c r="U43" s="832"/>
      <c r="V43" s="814">
        <f t="shared" si="3"/>
        <v>12.89</v>
      </c>
    </row>
    <row r="44" spans="1:22" ht="15.75" customHeight="1">
      <c r="A44" s="122" t="str">
        <f>Input!C37</f>
        <v>VRSN</v>
      </c>
      <c r="B44" s="807" t="str">
        <f>VLOOKUP($A44,'CEM Data Lookup'!$A:$P,2,FALSE)</f>
        <v xml:space="preserve">VeriSign Inc.       </v>
      </c>
      <c r="D44" s="826">
        <f>'MRP WP1'!E108</f>
        <v>0.9</v>
      </c>
      <c r="E44" s="813"/>
      <c r="F44" s="813">
        <f>VLOOKUP($A44,'CEM Data Lookup'!$A:$P,7,FALSE)</f>
        <v>1.0538966655731201</v>
      </c>
      <c r="G44" s="832"/>
      <c r="H44" s="832">
        <f t="shared" si="0"/>
        <v>0.98</v>
      </c>
      <c r="I44" s="832"/>
      <c r="J44" s="814">
        <f>'MRP WP1'!H$65</f>
        <v>9.7498071769275878</v>
      </c>
      <c r="L44" s="832"/>
      <c r="M44" s="814">
        <f>'MRP WP1'!F$37</f>
        <v>3.91</v>
      </c>
      <c r="O44" s="832"/>
      <c r="P44" s="833">
        <f t="shared" si="1"/>
        <v>13.464811033389037</v>
      </c>
      <c r="R44" s="832"/>
      <c r="S44" s="833">
        <f t="shared" si="2"/>
        <v>13.5136</v>
      </c>
      <c r="U44" s="832"/>
      <c r="V44" s="814">
        <f t="shared" si="3"/>
        <v>13.49</v>
      </c>
    </row>
    <row r="45" spans="1:22" ht="15.75" customHeight="1">
      <c r="A45" s="122" t="str">
        <f>Input!C38</f>
        <v>WAT</v>
      </c>
      <c r="B45" s="807" t="str">
        <f>VLOOKUP($A45,'CEM Data Lookup'!$A:$P,2,FALSE)</f>
        <v xml:space="preserve">Waters Corp.        </v>
      </c>
      <c r="D45" s="826">
        <f>'MRP WP1'!E109</f>
        <v>0.95</v>
      </c>
      <c r="E45" s="813"/>
      <c r="F45" s="813">
        <f>VLOOKUP($A45,'CEM Data Lookup'!$A:$P,7,FALSE)</f>
        <v>0.97911584377288818</v>
      </c>
      <c r="G45" s="832"/>
      <c r="H45" s="832">
        <f t="shared" si="0"/>
        <v>0.96</v>
      </c>
      <c r="I45" s="832"/>
      <c r="J45" s="814">
        <f>'MRP WP1'!H$65</f>
        <v>9.7498071769275878</v>
      </c>
      <c r="L45" s="832"/>
      <c r="M45" s="814">
        <f>'MRP WP1'!F$37</f>
        <v>3.91</v>
      </c>
      <c r="O45" s="832"/>
      <c r="P45" s="833">
        <f t="shared" si="1"/>
        <v>13.269814889850483</v>
      </c>
      <c r="R45" s="832"/>
      <c r="S45" s="833">
        <f t="shared" si="2"/>
        <v>13.3673</v>
      </c>
      <c r="U45" s="832"/>
      <c r="V45" s="814">
        <f t="shared" si="3"/>
        <v>13.32</v>
      </c>
    </row>
    <row r="46" spans="1:22" ht="15.75" customHeight="1">
      <c r="A46" s="122" t="str">
        <f>Input!C39</f>
        <v>WSO</v>
      </c>
      <c r="B46" s="807" t="str">
        <f>VLOOKUP($A46,'CEM Data Lookup'!$A:$P,2,FALSE)</f>
        <v xml:space="preserve">Watsco, Inc.        </v>
      </c>
      <c r="D46" s="826">
        <f>'MRP WP1'!E110</f>
        <v>0.95</v>
      </c>
      <c r="E46" s="813"/>
      <c r="F46" s="813">
        <f>VLOOKUP($A46,'CEM Data Lookup'!$A:$P,7,FALSE)</f>
        <v>1.0211198329925537</v>
      </c>
      <c r="G46" s="832"/>
      <c r="H46" s="832">
        <f t="shared" si="0"/>
        <v>0.99</v>
      </c>
      <c r="I46" s="832"/>
      <c r="J46" s="814">
        <f>'MRP WP1'!H$65</f>
        <v>9.7498071769275878</v>
      </c>
      <c r="L46" s="832"/>
      <c r="M46" s="814">
        <f>'MRP WP1'!F$37</f>
        <v>3.91</v>
      </c>
      <c r="O46" s="832"/>
      <c r="P46" s="833">
        <f t="shared" si="1"/>
        <v>13.562309105158311</v>
      </c>
      <c r="R46" s="832"/>
      <c r="S46" s="833">
        <f t="shared" si="2"/>
        <v>13.5867</v>
      </c>
      <c r="U46" s="832"/>
      <c r="V46" s="814">
        <f t="shared" si="3"/>
        <v>13.57</v>
      </c>
    </row>
    <row r="47" spans="1:22" ht="15.75" customHeight="1">
      <c r="A47" s="122" t="str">
        <f>Input!C40</f>
        <v>WU</v>
      </c>
      <c r="B47" s="807" t="str">
        <f>VLOOKUP($A47,'CEM Data Lookup'!$A:$P,2,FALSE)</f>
        <v xml:space="preserve">Western Union       </v>
      </c>
      <c r="D47" s="826">
        <f>'MRP WP1'!E111</f>
        <v>0.85</v>
      </c>
      <c r="E47" s="813"/>
      <c r="F47" s="813">
        <f>VLOOKUP($A47,'CEM Data Lookup'!$A:$P,7,FALSE)</f>
        <v>0.81399881839752197</v>
      </c>
      <c r="G47" s="832"/>
      <c r="H47" s="832">
        <f t="shared" si="0"/>
        <v>0.83</v>
      </c>
      <c r="I47" s="832"/>
      <c r="J47" s="814">
        <f>'MRP WP1'!H$65</f>
        <v>9.7498071769275878</v>
      </c>
      <c r="L47" s="832"/>
      <c r="M47" s="814">
        <f>'MRP WP1'!F$37</f>
        <v>3.91</v>
      </c>
      <c r="O47" s="832"/>
      <c r="P47" s="833">
        <f t="shared" si="1"/>
        <v>12.002339956849898</v>
      </c>
      <c r="R47" s="832"/>
      <c r="S47" s="833">
        <f t="shared" si="2"/>
        <v>12.416700000000001</v>
      </c>
      <c r="U47" s="832"/>
      <c r="V47" s="814">
        <f t="shared" si="3"/>
        <v>12.21</v>
      </c>
    </row>
    <row r="48" spans="1:22" ht="15.75" customHeight="1">
      <c r="D48" s="834"/>
      <c r="E48" s="834"/>
      <c r="F48" s="834"/>
      <c r="G48" s="832"/>
      <c r="H48" s="835"/>
      <c r="I48" s="832"/>
      <c r="J48" s="833"/>
      <c r="K48" s="832"/>
      <c r="L48" s="832"/>
      <c r="M48" s="833"/>
      <c r="N48" s="832"/>
      <c r="O48" s="832"/>
      <c r="P48" s="836"/>
      <c r="Q48" s="832"/>
      <c r="R48" s="832"/>
      <c r="S48" s="836"/>
      <c r="T48" s="832"/>
      <c r="U48" s="832"/>
      <c r="V48" s="833"/>
    </row>
    <row r="49" spans="3:26" ht="15.75" customHeight="1" thickBot="1">
      <c r="D49" s="833"/>
      <c r="E49" s="833"/>
      <c r="F49" s="808" t="s">
        <v>1377</v>
      </c>
      <c r="G49" s="832"/>
      <c r="H49" s="818">
        <f>ROUND(AVERAGE(H8:H47),2)</f>
        <v>0.85</v>
      </c>
      <c r="I49" s="832"/>
      <c r="J49" s="832"/>
      <c r="K49" s="832"/>
      <c r="L49" s="832"/>
      <c r="M49" s="832"/>
      <c r="N49" s="832"/>
      <c r="O49" s="832"/>
      <c r="P49" s="818">
        <f>ROUND(AVERAGE(P8:P47),2)</f>
        <v>12.24</v>
      </c>
      <c r="Q49" s="832" t="s">
        <v>18</v>
      </c>
      <c r="R49" s="832"/>
      <c r="S49" s="818">
        <f>ROUND(AVERAGE(S8:S47),2)</f>
        <v>12.59</v>
      </c>
      <c r="T49" s="832" t="s">
        <v>18</v>
      </c>
      <c r="U49" s="832"/>
      <c r="V49" s="818">
        <f>ROUND(AVERAGE(V8:V47),2)</f>
        <v>12.42</v>
      </c>
      <c r="W49" s="832" t="s">
        <v>18</v>
      </c>
    </row>
    <row r="50" spans="3:26" ht="15.75" customHeight="1" thickTop="1">
      <c r="D50" s="833"/>
      <c r="E50" s="833"/>
      <c r="F50" s="808"/>
      <c r="G50" s="832"/>
      <c r="H50" s="814"/>
      <c r="I50" s="832"/>
      <c r="J50" s="832"/>
      <c r="K50" s="832"/>
      <c r="L50" s="832"/>
      <c r="M50" s="832"/>
      <c r="N50" s="832"/>
      <c r="O50" s="832"/>
      <c r="P50" s="814"/>
      <c r="Q50" s="832"/>
      <c r="R50" s="832"/>
      <c r="S50" s="814"/>
      <c r="T50" s="832"/>
      <c r="U50" s="832"/>
      <c r="V50" s="814"/>
      <c r="W50" s="832"/>
    </row>
    <row r="51" spans="3:26" ht="15.75" customHeight="1" thickBot="1">
      <c r="D51" s="833"/>
      <c r="E51" s="833"/>
      <c r="F51" s="808" t="s">
        <v>183</v>
      </c>
      <c r="G51" s="832"/>
      <c r="H51" s="818">
        <f>ROUND(MEDIAN(H8:H48),2)</f>
        <v>0.83</v>
      </c>
      <c r="I51" s="832"/>
      <c r="J51" s="832"/>
      <c r="K51" s="832"/>
      <c r="L51" s="832"/>
      <c r="M51" s="832"/>
      <c r="N51" s="832"/>
      <c r="O51" s="832"/>
      <c r="P51" s="818">
        <f>ROUND(MEDIAN(P8:P47),2)</f>
        <v>12</v>
      </c>
      <c r="Q51" s="832" t="s">
        <v>18</v>
      </c>
      <c r="R51" s="832"/>
      <c r="S51" s="818">
        <f>ROUND(MEDIAN(S8:S47),2)</f>
        <v>12.42</v>
      </c>
      <c r="T51" s="832" t="s">
        <v>18</v>
      </c>
      <c r="U51" s="832"/>
      <c r="V51" s="818">
        <f>ROUND(MEDIAN(V8:V47),2)</f>
        <v>12.21</v>
      </c>
      <c r="W51" s="832" t="s">
        <v>18</v>
      </c>
    </row>
    <row r="52" spans="3:26" ht="15.75" customHeight="1" thickTop="1">
      <c r="F52" s="808"/>
    </row>
    <row r="53" spans="3:26" ht="15.75" customHeight="1" thickBot="1">
      <c r="F53" s="808" t="s">
        <v>1376</v>
      </c>
      <c r="H53" s="837">
        <f>ROUND(AVERAGE(H49:H51),2)</f>
        <v>0.84</v>
      </c>
      <c r="P53" s="837">
        <f>ROUND(AVERAGE(P49:P51),2)</f>
        <v>12.12</v>
      </c>
      <c r="Q53" s="832" t="s">
        <v>18</v>
      </c>
      <c r="S53" s="837">
        <f>ROUND(AVERAGE(S49:S51),2)</f>
        <v>12.51</v>
      </c>
      <c r="T53" s="832" t="s">
        <v>18</v>
      </c>
      <c r="V53" s="837">
        <f>ROUND(AVERAGE(V49:V51),2)</f>
        <v>12.32</v>
      </c>
      <c r="W53" s="832" t="s">
        <v>18</v>
      </c>
    </row>
    <row r="54" spans="3:26" ht="15.75" customHeight="1" thickTop="1">
      <c r="F54" s="808"/>
      <c r="H54" s="838"/>
      <c r="P54" s="838"/>
      <c r="Q54" s="832"/>
      <c r="S54" s="838"/>
      <c r="T54" s="832"/>
      <c r="V54" s="833"/>
      <c r="W54" s="832"/>
    </row>
    <row r="55" spans="3:26" ht="15.75" customHeight="1">
      <c r="C55" s="808" t="s">
        <v>94</v>
      </c>
    </row>
    <row r="56" spans="3:26" ht="15.75" customHeight="1">
      <c r="C56" s="839" t="s">
        <v>95</v>
      </c>
      <c r="D56" s="807" t="s">
        <v>4452</v>
      </c>
    </row>
    <row r="57" spans="3:26" ht="15.75" customHeight="1">
      <c r="C57" s="839" t="s">
        <v>96</v>
      </c>
      <c r="D57" s="807" t="s">
        <v>4453</v>
      </c>
    </row>
    <row r="58" spans="3:26" ht="15.75" customHeight="1">
      <c r="C58" s="840" t="s">
        <v>97</v>
      </c>
      <c r="D58" s="807" t="s">
        <v>195</v>
      </c>
    </row>
    <row r="59" spans="3:26" ht="15.75" customHeight="1">
      <c r="C59" s="839"/>
      <c r="D59" s="1033"/>
      <c r="E59" s="1033"/>
      <c r="F59" s="1033"/>
      <c r="G59" s="1033"/>
      <c r="H59" s="1033"/>
      <c r="I59" s="1033"/>
      <c r="J59" s="1033"/>
      <c r="K59" s="1033"/>
      <c r="L59" s="1033"/>
      <c r="M59" s="1033"/>
      <c r="N59" s="1033"/>
      <c r="O59" s="1033"/>
      <c r="P59" s="1033"/>
      <c r="Q59" s="1033"/>
      <c r="R59" s="1033"/>
      <c r="S59" s="1033"/>
      <c r="T59" s="1033"/>
      <c r="U59" s="1033"/>
      <c r="V59" s="1033"/>
      <c r="W59" s="1033"/>
      <c r="X59" s="325"/>
      <c r="Y59" s="325"/>
      <c r="Z59" s="325"/>
    </row>
  </sheetData>
  <mergeCells count="6">
    <mergeCell ref="D59:W59"/>
    <mergeCell ref="J7:K7"/>
    <mergeCell ref="M7:N7"/>
    <mergeCell ref="P7:Q7"/>
    <mergeCell ref="S7:T7"/>
    <mergeCell ref="V7:W7"/>
  </mergeCells>
  <printOptions horizontalCentered="1"/>
  <pageMargins left="0.7" right="0.7" top="1" bottom="0.75" header="0.3" footer="0.3"/>
  <pageSetup scale="47" orientation="portrait" horizontalDpi="4294967294"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V38"/>
  <sheetViews>
    <sheetView view="pageBreakPreview" zoomScale="85" zoomScaleNormal="80" zoomScaleSheetLayoutView="85" workbookViewId="0">
      <selection sqref="A1:E1"/>
    </sheetView>
  </sheetViews>
  <sheetFormatPr defaultColWidth="12.28515625" defaultRowHeight="15.75"/>
  <cols>
    <col min="1" max="1" width="8.5703125" style="13" customWidth="1"/>
    <col min="2" max="2" width="4.28515625" style="13" customWidth="1"/>
    <col min="3" max="3" width="55" style="13" customWidth="1"/>
    <col min="4" max="4" width="4.28515625" style="13" customWidth="1"/>
    <col min="5" max="6" width="23" style="13" customWidth="1"/>
    <col min="7" max="7" width="10" style="13" customWidth="1"/>
    <col min="8" max="9" width="9" style="13" bestFit="1" customWidth="1"/>
    <col min="10" max="10" width="12.28515625" style="13"/>
    <col min="11" max="11" width="12.28515625" style="468"/>
    <col min="12" max="16384" width="12.28515625" style="13"/>
  </cols>
  <sheetData>
    <row r="1" spans="1:230" ht="15.75" customHeight="1">
      <c r="A1" s="989" t="str">
        <f>Input!G28</f>
        <v>Peoples Gas System</v>
      </c>
      <c r="B1" s="989"/>
      <c r="C1" s="989"/>
      <c r="D1" s="989"/>
      <c r="E1" s="989"/>
      <c r="F1" s="17"/>
    </row>
    <row r="2" spans="1:230">
      <c r="A2" s="989" t="s">
        <v>133</v>
      </c>
      <c r="B2" s="989"/>
      <c r="C2" s="989"/>
      <c r="D2" s="989"/>
      <c r="E2" s="989"/>
      <c r="F2" s="17"/>
    </row>
    <row r="3" spans="1:230">
      <c r="A3" s="16"/>
      <c r="B3" s="16"/>
      <c r="C3" s="16"/>
      <c r="D3" s="16"/>
      <c r="E3" s="16"/>
      <c r="F3" s="16"/>
    </row>
    <row r="4" spans="1:230" ht="15" customHeight="1">
      <c r="A4" s="16"/>
      <c r="B4" s="16"/>
      <c r="C4" s="16"/>
      <c r="F4" s="19"/>
    </row>
    <row r="5" spans="1:230" ht="47.25">
      <c r="A5" s="299" t="s">
        <v>92</v>
      </c>
      <c r="B5" s="16"/>
      <c r="C5" s="73" t="s">
        <v>134</v>
      </c>
      <c r="D5" s="16"/>
      <c r="E5" s="455" t="str">
        <f>Input!I30</f>
        <v>Proxy Group of Six Natural Gas Companies</v>
      </c>
      <c r="F5" s="19"/>
      <c r="H5" s="17"/>
    </row>
    <row r="6" spans="1:230">
      <c r="A6" s="16"/>
      <c r="B6" s="16"/>
      <c r="C6" s="16"/>
    </row>
    <row r="7" spans="1:230">
      <c r="A7" s="63" t="s">
        <v>93</v>
      </c>
      <c r="B7" s="63"/>
      <c r="C7" s="54" t="s">
        <v>135</v>
      </c>
      <c r="E7" s="300">
        <f>'3.1 DCF Summary'!V20/100</f>
        <v>0.1</v>
      </c>
      <c r="F7" s="166">
        <f>AVERAGE(E7:E13)</f>
        <v>0.1138</v>
      </c>
      <c r="G7" s="339">
        <f>F10</f>
        <v>0.1</v>
      </c>
      <c r="H7" s="166"/>
      <c r="I7" s="339" t="s">
        <v>4600</v>
      </c>
      <c r="J7" s="54"/>
      <c r="K7" s="468">
        <f>E7</f>
        <v>0.1</v>
      </c>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row>
    <row r="8" spans="1:230">
      <c r="A8" s="63"/>
      <c r="B8" s="63"/>
      <c r="C8" s="54"/>
      <c r="D8" s="18"/>
      <c r="E8" s="46"/>
      <c r="F8" s="166">
        <f>MEDIAN(E7:E13)</f>
        <v>0.11579999999999999</v>
      </c>
      <c r="G8" s="339">
        <f>F7</f>
        <v>0.1138</v>
      </c>
      <c r="H8" s="166"/>
      <c r="I8" s="339"/>
      <c r="J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row>
    <row r="9" spans="1:230">
      <c r="A9" s="63" t="s">
        <v>99</v>
      </c>
      <c r="B9" s="63"/>
      <c r="C9" s="54" t="s">
        <v>136</v>
      </c>
      <c r="D9" s="54"/>
      <c r="E9" s="300">
        <f>'4.1 RP Summary'!D10/100</f>
        <v>0.11539999999999999</v>
      </c>
      <c r="F9" s="166">
        <f>MAX(E7:E13)</f>
        <v>0.12359999999999999</v>
      </c>
      <c r="G9" s="339">
        <f>G7+SUM(E17:E19)</f>
        <v>0.10322488334943501</v>
      </c>
      <c r="H9" s="166"/>
      <c r="I9" s="339"/>
      <c r="J9" s="54"/>
      <c r="K9" s="468">
        <f>'4.3 Risk Premium Summary'!J23/100</f>
        <v>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c r="A10" s="63"/>
      <c r="B10" s="63"/>
      <c r="C10" s="63"/>
      <c r="D10" s="54"/>
      <c r="E10" s="301"/>
      <c r="F10" s="166">
        <f>MIN(E7:E13)</f>
        <v>0.1</v>
      </c>
      <c r="G10" s="339">
        <f>G8+SUM(E17:E19)</f>
        <v>0.117024883349435</v>
      </c>
      <c r="H10" s="166"/>
      <c r="I10" s="339"/>
      <c r="J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row>
    <row r="11" spans="1:230">
      <c r="A11" s="63" t="s">
        <v>100</v>
      </c>
      <c r="B11" s="63"/>
      <c r="C11" s="54" t="s">
        <v>137</v>
      </c>
      <c r="E11" s="174">
        <f>'5.1 CAPM'!V20/100</f>
        <v>0.1162</v>
      </c>
      <c r="F11" s="166">
        <f>AVERAGE(F9:F10)</f>
        <v>0.1118</v>
      </c>
      <c r="H11" s="166"/>
      <c r="I11" s="54"/>
      <c r="J11" s="54"/>
      <c r="K11" s="468">
        <f>'5.1 CAPM'!V39/100</f>
        <v>0</v>
      </c>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row>
    <row r="12" spans="1:230">
      <c r="A12" s="63"/>
      <c r="B12" s="63"/>
      <c r="C12" s="54"/>
      <c r="E12" s="46"/>
      <c r="H12" s="24"/>
      <c r="I12" s="54"/>
      <c r="J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row>
    <row r="13" spans="1:230" ht="39" customHeight="1">
      <c r="A13" s="63" t="s">
        <v>104</v>
      </c>
      <c r="B13" s="63"/>
      <c r="C13" s="19" t="s">
        <v>150</v>
      </c>
      <c r="E13" s="467">
        <f>'7.1 CEM Summary'!E19/100</f>
        <v>0.12359999999999999</v>
      </c>
      <c r="H13" s="165"/>
      <c r="I13" s="54"/>
      <c r="J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row>
    <row r="14" spans="1:230">
      <c r="A14" s="63"/>
      <c r="B14" s="63"/>
      <c r="C14" s="63"/>
      <c r="D14" s="54"/>
      <c r="E14" s="46"/>
      <c r="H14" s="54"/>
      <c r="I14" s="54"/>
      <c r="J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row>
    <row r="15" spans="1:230" ht="31.5">
      <c r="A15" s="36" t="s">
        <v>105</v>
      </c>
      <c r="B15" s="16"/>
      <c r="C15" s="32" t="s">
        <v>4603</v>
      </c>
      <c r="D15" s="19"/>
      <c r="E15" s="16" t="str">
        <f>_xlfn.CONCAT(TEXT(E7,"0.00%")," - ",TEXT(E11,"0.00%"))</f>
        <v>10.00% - 11.62%</v>
      </c>
      <c r="F15" s="166"/>
      <c r="H15" s="166"/>
    </row>
    <row r="16" spans="1:230">
      <c r="A16" s="28"/>
      <c r="B16" s="28"/>
      <c r="C16" s="435"/>
      <c r="D16" s="435"/>
      <c r="E16" s="660"/>
    </row>
    <row r="17" spans="1:10">
      <c r="A17" s="31" t="s">
        <v>106</v>
      </c>
      <c r="B17" s="28"/>
      <c r="C17" s="435" t="s">
        <v>4604</v>
      </c>
      <c r="D17" s="435"/>
      <c r="E17" s="300">
        <f>'8.1 Equity Contributions'!M21/100</f>
        <v>1.2248833494350108E-3</v>
      </c>
      <c r="F17" s="166"/>
      <c r="H17" s="166"/>
    </row>
    <row r="18" spans="1:10">
      <c r="A18" s="31"/>
      <c r="B18" s="28"/>
      <c r="C18" s="435"/>
      <c r="D18" s="435"/>
      <c r="E18" s="300"/>
    </row>
    <row r="19" spans="1:10">
      <c r="A19" s="38" t="s">
        <v>108</v>
      </c>
      <c r="B19" s="28"/>
      <c r="C19" s="435" t="s">
        <v>4606</v>
      </c>
      <c r="D19" s="435"/>
      <c r="E19" s="467">
        <v>2E-3</v>
      </c>
      <c r="F19" s="166"/>
      <c r="H19" s="166"/>
    </row>
    <row r="20" spans="1:10">
      <c r="A20" s="38"/>
      <c r="B20" s="28"/>
      <c r="C20" s="435"/>
      <c r="D20" s="435"/>
      <c r="E20" s="300"/>
    </row>
    <row r="21" spans="1:10" ht="34.5" customHeight="1" thickBot="1">
      <c r="A21" s="38" t="s">
        <v>109</v>
      </c>
      <c r="B21" s="16"/>
      <c r="C21" s="435" t="s">
        <v>4441</v>
      </c>
      <c r="D21" s="245"/>
      <c r="E21" s="748" t="str">
        <f>_xlfn.CONCAT(TEXT(G9,"0.00%")," - ",TEXT(G10,"0.00%"))</f>
        <v>10.32% - 11.70%</v>
      </c>
      <c r="F21" s="311"/>
      <c r="H21" s="166"/>
    </row>
    <row r="22" spans="1:10" ht="15.75" customHeight="1" thickTop="1">
      <c r="A22" s="38"/>
      <c r="B22" s="16"/>
      <c r="C22" s="113"/>
      <c r="D22" s="245"/>
      <c r="E22" s="749"/>
      <c r="F22" s="633"/>
      <c r="G22" s="311"/>
      <c r="H22" s="311"/>
    </row>
    <row r="23" spans="1:10" ht="16.5" thickBot="1">
      <c r="A23" s="38" t="s">
        <v>2195</v>
      </c>
      <c r="C23" s="435" t="s">
        <v>4605</v>
      </c>
      <c r="E23" s="750">
        <v>0.11</v>
      </c>
      <c r="F23" s="633"/>
      <c r="G23" s="311"/>
      <c r="H23" s="311"/>
      <c r="J23" s="166"/>
    </row>
    <row r="24" spans="1:10" ht="15" customHeight="1" thickTop="1">
      <c r="A24" s="38"/>
      <c r="B24" s="16"/>
      <c r="C24" s="64"/>
      <c r="D24" s="245"/>
      <c r="E24" s="300"/>
      <c r="F24" s="59"/>
      <c r="G24" s="74"/>
    </row>
    <row r="25" spans="1:10">
      <c r="A25" s="16" t="s">
        <v>139</v>
      </c>
      <c r="B25" s="47" t="s">
        <v>95</v>
      </c>
      <c r="C25" s="13" t="s">
        <v>4399</v>
      </c>
      <c r="D25" s="32"/>
      <c r="E25" s="32"/>
      <c r="F25" s="74"/>
      <c r="G25" s="74"/>
      <c r="H25" s="987"/>
      <c r="I25" s="987"/>
    </row>
    <row r="26" spans="1:10" ht="15" customHeight="1">
      <c r="A26" s="16"/>
      <c r="B26" s="21" t="s">
        <v>96</v>
      </c>
      <c r="C26" s="13" t="s">
        <v>4400</v>
      </c>
      <c r="F26" s="74"/>
      <c r="G26" s="74"/>
      <c r="H26" s="987"/>
      <c r="I26" s="987"/>
    </row>
    <row r="27" spans="1:10" ht="15" customHeight="1">
      <c r="A27" s="16"/>
      <c r="B27" s="21" t="s">
        <v>97</v>
      </c>
      <c r="C27" s="13" t="s">
        <v>4401</v>
      </c>
      <c r="F27" s="251"/>
      <c r="G27" s="74"/>
      <c r="H27" s="74"/>
      <c r="I27" s="74"/>
    </row>
    <row r="28" spans="1:10" ht="15" customHeight="1">
      <c r="A28" s="16"/>
      <c r="B28" s="47" t="s">
        <v>98</v>
      </c>
      <c r="C28" s="13" t="s">
        <v>4442</v>
      </c>
      <c r="F28" s="251"/>
      <c r="G28" s="74"/>
      <c r="H28" s="74"/>
      <c r="I28" s="74"/>
    </row>
    <row r="29" spans="1:10">
      <c r="B29" s="47" t="s">
        <v>110</v>
      </c>
      <c r="C29" s="32" t="s">
        <v>4443</v>
      </c>
      <c r="D29" s="32"/>
      <c r="E29" s="32"/>
      <c r="F29" s="487"/>
    </row>
    <row r="30" spans="1:10" ht="49.5" customHeight="1">
      <c r="B30" s="47" t="s">
        <v>111</v>
      </c>
      <c r="C30" s="988" t="s">
        <v>4612</v>
      </c>
      <c r="D30" s="988"/>
      <c r="E30" s="988"/>
      <c r="F30" s="646"/>
    </row>
    <row r="31" spans="1:10" ht="49.9" customHeight="1">
      <c r="B31" s="47" t="s">
        <v>2161</v>
      </c>
      <c r="C31" s="988" t="s">
        <v>4611</v>
      </c>
      <c r="D31" s="988"/>
      <c r="E31" s="988"/>
      <c r="F31" s="646"/>
    </row>
    <row r="32" spans="1:10">
      <c r="C32" s="64"/>
    </row>
    <row r="33" spans="3:3">
      <c r="C33" s="64"/>
    </row>
    <row r="34" spans="3:3">
      <c r="C34" s="64"/>
    </row>
    <row r="35" spans="3:3">
      <c r="C35" s="64"/>
    </row>
    <row r="36" spans="3:3">
      <c r="C36" s="64"/>
    </row>
    <row r="37" spans="3:3">
      <c r="C37" s="64"/>
    </row>
    <row r="38" spans="3:3">
      <c r="C38" s="64"/>
    </row>
  </sheetData>
  <mergeCells count="5">
    <mergeCell ref="H25:I26"/>
    <mergeCell ref="C30:E30"/>
    <mergeCell ref="C31:E31"/>
    <mergeCell ref="A1:E1"/>
    <mergeCell ref="A2:E2"/>
  </mergeCells>
  <phoneticPr fontId="0" type="noConversion"/>
  <printOptions horizontalCentered="1"/>
  <pageMargins left="0.7" right="0.7" top="0.75" bottom="0.75" header="0.3" footer="0.3"/>
  <pageSetup scale="96" orientation="portrait" r:id="rId1"/>
  <ignoredErrors>
    <ignoredError sqref="B25:B3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7"/>
  <sheetViews>
    <sheetView view="pageBreakPreview" zoomScale="70" zoomScaleNormal="85" zoomScaleSheetLayoutView="70" workbookViewId="0">
      <selection sqref="A1:W1"/>
    </sheetView>
  </sheetViews>
  <sheetFormatPr defaultColWidth="12.5703125" defaultRowHeight="15.75"/>
  <cols>
    <col min="1" max="1" width="28" style="344" bestFit="1" customWidth="1"/>
    <col min="2" max="2" width="5.5703125" style="344" bestFit="1" customWidth="1"/>
    <col min="3" max="3" width="18.5703125" style="344" customWidth="1"/>
    <col min="4" max="4" width="3.28515625" style="344" customWidth="1"/>
    <col min="5" max="5" width="15.28515625" style="344" customWidth="1"/>
    <col min="6" max="6" width="3.28515625" style="344" customWidth="1"/>
    <col min="7" max="7" width="15.28515625" style="344" customWidth="1"/>
    <col min="8" max="8" width="3.28515625" style="344" customWidth="1"/>
    <col min="9" max="9" width="15.28515625" style="344" customWidth="1"/>
    <col min="10" max="10" width="3.28515625" style="344" customWidth="1"/>
    <col min="11" max="11" width="15.28515625" style="344" customWidth="1"/>
    <col min="12" max="12" width="3.28515625" style="344" customWidth="1"/>
    <col min="13" max="13" width="15.28515625" style="344" customWidth="1"/>
    <col min="14" max="14" width="3.28515625" style="344" customWidth="1"/>
    <col min="15" max="15" width="15.28515625" style="344" customWidth="1"/>
    <col min="16" max="16" width="2.7109375" style="344" customWidth="1"/>
    <col min="17" max="17" width="18.5703125" style="344" customWidth="1"/>
    <col min="18" max="18" width="2.7109375" style="344" customWidth="1"/>
    <col min="19" max="19" width="18.5703125" style="344" bestFit="1" customWidth="1"/>
    <col min="20" max="20" width="2.7109375" style="344" customWidth="1"/>
    <col min="21" max="21" width="18.5703125" style="344" bestFit="1" customWidth="1"/>
    <col min="22" max="22" width="2.7109375" style="344" customWidth="1"/>
    <col min="23" max="23" width="15.28515625" style="344" customWidth="1"/>
    <col min="24" max="24" width="17" style="344" bestFit="1" customWidth="1"/>
    <col min="25" max="25" width="15.5703125" style="344" bestFit="1" customWidth="1"/>
    <col min="26" max="16384" width="12.5703125" style="344"/>
  </cols>
  <sheetData>
    <row r="1" spans="1:23">
      <c r="A1" s="1036" t="str">
        <f>Input!G28</f>
        <v>Peoples Gas System</v>
      </c>
      <c r="B1" s="1036"/>
      <c r="C1" s="1036"/>
      <c r="D1" s="1036"/>
      <c r="E1" s="1036"/>
      <c r="F1" s="1036"/>
      <c r="G1" s="1036"/>
      <c r="H1" s="1036"/>
      <c r="I1" s="1036"/>
      <c r="J1" s="1036"/>
      <c r="K1" s="1036"/>
      <c r="L1" s="1036"/>
      <c r="M1" s="1036"/>
      <c r="N1" s="1036"/>
      <c r="O1" s="1036"/>
      <c r="P1" s="1036"/>
      <c r="Q1" s="1036"/>
      <c r="R1" s="1036"/>
      <c r="S1" s="1036"/>
      <c r="T1" s="1036"/>
      <c r="U1" s="1036"/>
      <c r="V1" s="1036"/>
      <c r="W1" s="1036"/>
    </row>
    <row r="2" spans="1:23">
      <c r="A2" s="1036" t="s">
        <v>4122</v>
      </c>
      <c r="B2" s="1036"/>
      <c r="C2" s="1036"/>
      <c r="D2" s="1036"/>
      <c r="E2" s="1036"/>
      <c r="F2" s="1036"/>
      <c r="G2" s="1036"/>
      <c r="H2" s="1036"/>
      <c r="I2" s="1036"/>
      <c r="J2" s="1036"/>
      <c r="K2" s="1036"/>
      <c r="L2" s="1036"/>
      <c r="M2" s="1036"/>
      <c r="N2" s="1036"/>
      <c r="O2" s="1036"/>
      <c r="P2" s="1036"/>
      <c r="Q2" s="1036"/>
      <c r="R2" s="1036"/>
      <c r="S2" s="1036"/>
      <c r="T2" s="1036"/>
      <c r="U2" s="1036"/>
      <c r="V2" s="1036"/>
      <c r="W2" s="1036"/>
    </row>
    <row r="3" spans="1:23">
      <c r="A3" s="407"/>
      <c r="B3" s="407"/>
      <c r="C3" s="407"/>
      <c r="D3" s="407"/>
      <c r="E3" s="407"/>
      <c r="F3" s="407"/>
      <c r="G3" s="407"/>
      <c r="H3" s="407"/>
      <c r="I3" s="407"/>
      <c r="J3" s="407"/>
      <c r="K3" s="407"/>
      <c r="L3" s="407"/>
      <c r="M3" s="407"/>
      <c r="N3" s="407"/>
      <c r="O3" s="407"/>
      <c r="P3" s="407"/>
      <c r="Q3" s="407"/>
    </row>
    <row r="4" spans="1:23">
      <c r="A4" s="407"/>
      <c r="B4" s="407"/>
      <c r="C4" s="407"/>
      <c r="D4" s="407"/>
      <c r="E4" s="407"/>
      <c r="F4" s="407"/>
      <c r="G4" s="407"/>
      <c r="H4" s="407"/>
      <c r="I4" s="407"/>
      <c r="J4" s="407"/>
      <c r="K4" s="407"/>
      <c r="L4" s="407"/>
      <c r="M4" s="407"/>
      <c r="N4" s="407"/>
      <c r="O4" s="407"/>
      <c r="P4" s="407"/>
      <c r="Q4" s="407"/>
    </row>
    <row r="5" spans="1:23">
      <c r="A5" s="1036" t="s">
        <v>4454</v>
      </c>
      <c r="B5" s="1036"/>
      <c r="C5" s="1036"/>
      <c r="D5" s="1036"/>
      <c r="E5" s="1036"/>
      <c r="F5" s="1036"/>
      <c r="G5" s="1036"/>
      <c r="H5" s="1036"/>
      <c r="I5" s="1036"/>
      <c r="J5" s="1036"/>
      <c r="K5" s="1036"/>
      <c r="L5" s="1036"/>
      <c r="M5" s="1036"/>
      <c r="N5" s="1036"/>
      <c r="O5" s="1036"/>
      <c r="P5" s="1036"/>
      <c r="Q5" s="1036"/>
      <c r="R5" s="1036"/>
      <c r="S5" s="1036"/>
      <c r="T5" s="1036"/>
      <c r="U5" s="1036"/>
      <c r="V5" s="1036"/>
      <c r="W5" s="1036"/>
    </row>
    <row r="6" spans="1:23">
      <c r="A6" s="407"/>
      <c r="B6" s="407"/>
      <c r="C6" s="407"/>
      <c r="D6" s="407"/>
      <c r="E6" s="407"/>
      <c r="F6" s="407"/>
      <c r="G6" s="407"/>
      <c r="H6" s="407"/>
      <c r="I6" s="407"/>
      <c r="J6" s="407"/>
      <c r="K6" s="407"/>
      <c r="L6" s="407"/>
      <c r="M6" s="407"/>
      <c r="N6" s="407"/>
      <c r="O6" s="407"/>
      <c r="P6" s="407"/>
      <c r="Q6" s="407"/>
    </row>
    <row r="8" spans="1:23">
      <c r="A8" s="407"/>
      <c r="B8" s="407"/>
      <c r="C8" s="407"/>
      <c r="D8" s="407"/>
      <c r="E8" s="408" t="s">
        <v>4123</v>
      </c>
      <c r="F8" s="409"/>
      <c r="G8" s="408" t="s">
        <v>4124</v>
      </c>
      <c r="H8" s="409"/>
      <c r="I8" s="408" t="s">
        <v>4125</v>
      </c>
      <c r="J8" s="409"/>
      <c r="K8" s="408" t="s">
        <v>4126</v>
      </c>
      <c r="L8" s="409"/>
      <c r="M8" s="408" t="s">
        <v>4127</v>
      </c>
      <c r="N8" s="409"/>
      <c r="O8" s="408" t="s">
        <v>4128</v>
      </c>
      <c r="Q8" s="408" t="s">
        <v>4129</v>
      </c>
      <c r="S8" s="408" t="s">
        <v>4130</v>
      </c>
      <c r="U8" s="408" t="s">
        <v>4131</v>
      </c>
      <c r="W8" s="408" t="s">
        <v>4132</v>
      </c>
    </row>
    <row r="9" spans="1:23">
      <c r="A9" s="407"/>
      <c r="B9" s="407"/>
      <c r="C9" s="407"/>
      <c r="D9" s="407"/>
      <c r="E9" s="408"/>
    </row>
    <row r="10" spans="1:23" ht="47.25">
      <c r="A10" s="662" t="s">
        <v>147</v>
      </c>
      <c r="B10" s="663"/>
      <c r="C10" s="662" t="s">
        <v>4455</v>
      </c>
      <c r="D10" s="663"/>
      <c r="E10" s="410" t="s">
        <v>4225</v>
      </c>
      <c r="F10" s="411"/>
      <c r="G10" s="410" t="s">
        <v>4226</v>
      </c>
      <c r="I10" s="410" t="s">
        <v>4227</v>
      </c>
      <c r="J10" s="412"/>
      <c r="K10" s="410" t="s">
        <v>4468</v>
      </c>
      <c r="M10" s="410" t="s">
        <v>4469</v>
      </c>
      <c r="O10" s="410" t="s">
        <v>4473</v>
      </c>
      <c r="P10" s="411"/>
      <c r="Q10" s="410" t="s">
        <v>4474</v>
      </c>
      <c r="R10" s="412"/>
      <c r="S10" s="410" t="s">
        <v>4475</v>
      </c>
      <c r="T10" s="412"/>
      <c r="U10" s="410" t="s">
        <v>4476</v>
      </c>
      <c r="V10" s="412"/>
      <c r="W10" s="410" t="s">
        <v>4477</v>
      </c>
    </row>
    <row r="11" spans="1:23">
      <c r="A11" s="413"/>
      <c r="B11" s="413"/>
      <c r="C11" s="413"/>
      <c r="D11" s="413"/>
      <c r="E11" s="413"/>
      <c r="I11" s="413"/>
      <c r="J11" s="413"/>
      <c r="O11" s="413"/>
      <c r="R11" s="413"/>
      <c r="S11" s="413"/>
      <c r="T11" s="413"/>
      <c r="U11" s="413"/>
      <c r="V11" s="413"/>
    </row>
    <row r="12" spans="1:23">
      <c r="A12" s="665" t="s">
        <v>4470</v>
      </c>
      <c r="B12" s="664"/>
      <c r="C12" s="667" t="s">
        <v>4471</v>
      </c>
      <c r="D12" s="664"/>
      <c r="E12" s="669">
        <f>1800000+982982</f>
        <v>2782982</v>
      </c>
      <c r="G12" s="674" t="s">
        <v>1447</v>
      </c>
      <c r="H12" s="426"/>
      <c r="I12" s="674" t="s">
        <v>1447</v>
      </c>
      <c r="J12" s="675"/>
      <c r="K12" s="426" t="s">
        <v>1447</v>
      </c>
      <c r="M12" s="182">
        <f>Q12/E12</f>
        <v>0.75458626753604585</v>
      </c>
      <c r="O12" s="676">
        <f>U12/E12</f>
        <v>56.306508629951615</v>
      </c>
      <c r="Q12" s="677">
        <f>S12-U12</f>
        <v>2100000</v>
      </c>
      <c r="R12" s="415"/>
      <c r="S12" s="677">
        <f>100000000+58800000</f>
        <v>158800000</v>
      </c>
      <c r="T12" s="415"/>
      <c r="U12" s="678">
        <f>98700000+58000000</f>
        <v>156700000</v>
      </c>
      <c r="V12" s="414"/>
      <c r="W12" s="311">
        <f t="shared" ref="W12:W14" si="0">Q12/S12</f>
        <v>1.3224181360201511E-2</v>
      </c>
    </row>
    <row r="13" spans="1:23">
      <c r="A13" s="665">
        <v>43087</v>
      </c>
      <c r="B13" s="666"/>
      <c r="C13" s="667" t="s">
        <v>4471</v>
      </c>
      <c r="D13" s="665"/>
      <c r="E13" s="670">
        <f>14614000+1045000</f>
        <v>15659000</v>
      </c>
      <c r="G13" s="673">
        <v>47.98</v>
      </c>
      <c r="I13" s="673">
        <v>47.9</v>
      </c>
      <c r="J13" s="672"/>
      <c r="K13" s="673">
        <v>1.9159999999999999</v>
      </c>
      <c r="M13" s="182">
        <f>450000/E13</f>
        <v>2.8737467271217829E-2</v>
      </c>
      <c r="O13" s="676">
        <f>I13-K13-M13</f>
        <v>45.955262532728781</v>
      </c>
      <c r="Q13" s="677">
        <f>(G13-O13)*E13</f>
        <v>31705363.999999963</v>
      </c>
      <c r="R13" s="415"/>
      <c r="S13" s="677">
        <f t="shared" ref="S13" si="1">E13*G13</f>
        <v>751318820</v>
      </c>
      <c r="T13" s="415"/>
      <c r="U13" s="678">
        <f t="shared" ref="U13:U14" si="2">E13*O13</f>
        <v>719613456</v>
      </c>
      <c r="V13" s="414"/>
      <c r="W13" s="311">
        <f t="shared" si="0"/>
        <v>4.2199613740542215E-2</v>
      </c>
    </row>
    <row r="14" spans="1:23">
      <c r="A14" s="665">
        <v>42712</v>
      </c>
      <c r="B14" s="666"/>
      <c r="C14" s="667" t="s">
        <v>4471</v>
      </c>
      <c r="D14" s="665"/>
      <c r="E14" s="671">
        <f>6630000+994500</f>
        <v>7624500</v>
      </c>
      <c r="G14" s="673">
        <v>44.26</v>
      </c>
      <c r="I14" s="673">
        <v>45.25</v>
      </c>
      <c r="J14" s="672"/>
      <c r="K14" s="673">
        <v>1.81</v>
      </c>
      <c r="M14" s="743">
        <f>450000/E14</f>
        <v>5.9020263623844188E-2</v>
      </c>
      <c r="O14" s="676">
        <f t="shared" ref="O14" si="3">I14-K14-M14</f>
        <v>43.380979736376155</v>
      </c>
      <c r="Q14" s="679">
        <f t="shared" ref="Q14" si="4">(G14-O14)*E14</f>
        <v>6702089.9999999935</v>
      </c>
      <c r="R14" s="415"/>
      <c r="S14" s="679">
        <f>E14*G14</f>
        <v>337460370</v>
      </c>
      <c r="T14" s="415"/>
      <c r="U14" s="680">
        <f t="shared" si="2"/>
        <v>330758280</v>
      </c>
      <c r="V14" s="414"/>
      <c r="W14" s="681">
        <f t="shared" si="0"/>
        <v>1.9860376493986517E-2</v>
      </c>
    </row>
    <row r="15" spans="1:23" ht="16.5" thickBot="1">
      <c r="A15" s="668" t="s">
        <v>5</v>
      </c>
      <c r="B15" s="668"/>
      <c r="C15" s="667" t="s">
        <v>4472</v>
      </c>
      <c r="D15" s="668"/>
      <c r="E15" s="414"/>
      <c r="F15" s="414"/>
      <c r="G15" s="414"/>
      <c r="H15" s="414"/>
      <c r="I15" s="414"/>
      <c r="J15" s="414"/>
      <c r="K15" s="414"/>
      <c r="L15" s="414"/>
      <c r="M15" s="414"/>
      <c r="N15" s="414"/>
      <c r="O15" s="414"/>
      <c r="P15" s="415"/>
      <c r="Q15" s="682">
        <f>SUM(Q12:Q14)</f>
        <v>40507453.999999955</v>
      </c>
      <c r="R15" s="683"/>
      <c r="S15" s="682">
        <f>SUM(S12:S14)</f>
        <v>1247579190</v>
      </c>
      <c r="T15" s="683"/>
      <c r="U15" s="682">
        <f>SUM(U12:U14)</f>
        <v>1207071736</v>
      </c>
      <c r="W15" s="684">
        <f>Q15/S15</f>
        <v>3.2468843921643127E-2</v>
      </c>
    </row>
    <row r="16" spans="1:23" ht="16.5" thickTop="1">
      <c r="A16" s="1037" t="s">
        <v>4133</v>
      </c>
      <c r="B16" s="1037"/>
      <c r="C16" s="1037"/>
      <c r="D16" s="1037"/>
      <c r="E16" s="1037"/>
      <c r="F16" s="1037"/>
      <c r="G16" s="1037"/>
      <c r="H16" s="1037"/>
      <c r="I16" s="1037"/>
      <c r="J16" s="1037"/>
      <c r="K16" s="1037"/>
      <c r="L16" s="1037"/>
      <c r="M16" s="1037"/>
      <c r="N16" s="1037"/>
      <c r="O16" s="1037"/>
      <c r="P16" s="1037"/>
      <c r="Q16" s="1037"/>
      <c r="R16" s="417"/>
      <c r="T16" s="408"/>
      <c r="U16" s="416"/>
    </row>
    <row r="17" spans="1:21">
      <c r="A17" s="418"/>
      <c r="B17" s="418"/>
      <c r="C17" s="418"/>
      <c r="D17" s="418"/>
      <c r="E17" s="418"/>
      <c r="F17" s="418"/>
      <c r="G17" s="418"/>
      <c r="H17" s="418"/>
      <c r="I17" s="418"/>
      <c r="J17" s="418"/>
      <c r="K17" s="418"/>
      <c r="L17" s="418"/>
      <c r="M17" s="418"/>
      <c r="N17" s="418"/>
      <c r="O17" s="418"/>
      <c r="P17" s="418"/>
      <c r="Q17" s="418"/>
      <c r="R17" s="417"/>
      <c r="T17" s="408"/>
      <c r="U17" s="416"/>
    </row>
    <row r="18" spans="1:21">
      <c r="A18" s="418"/>
      <c r="B18" s="418"/>
      <c r="C18" s="408" t="s">
        <v>4456</v>
      </c>
      <c r="E18" s="408" t="s">
        <v>4457</v>
      </c>
      <c r="G18" s="408" t="s">
        <v>4458</v>
      </c>
      <c r="I18" s="408" t="s">
        <v>4459</v>
      </c>
      <c r="K18" s="408" t="s">
        <v>4460</v>
      </c>
      <c r="M18" s="408" t="s">
        <v>4461</v>
      </c>
      <c r="N18" s="418"/>
      <c r="O18" s="418"/>
      <c r="P18" s="418"/>
      <c r="Q18" s="418"/>
      <c r="R18" s="417"/>
      <c r="T18" s="408"/>
      <c r="U18" s="416"/>
    </row>
    <row r="19" spans="1:21">
      <c r="A19" s="418"/>
      <c r="B19" s="418"/>
      <c r="C19" s="408"/>
      <c r="E19" s="408"/>
      <c r="G19" s="408"/>
      <c r="I19" s="408"/>
      <c r="K19" s="408"/>
      <c r="M19" s="408"/>
      <c r="N19" s="418"/>
      <c r="O19" s="418"/>
      <c r="P19" s="418"/>
      <c r="Q19" s="418"/>
      <c r="R19" s="417"/>
      <c r="T19" s="408"/>
      <c r="U19" s="416"/>
    </row>
    <row r="20" spans="1:21" ht="78.75">
      <c r="C20" s="410" t="s">
        <v>4462</v>
      </c>
      <c r="D20" s="412"/>
      <c r="E20" s="410" t="s">
        <v>4463</v>
      </c>
      <c r="F20" s="419"/>
      <c r="G20" s="661" t="s">
        <v>4464</v>
      </c>
      <c r="H20" s="419"/>
      <c r="I20" s="661" t="s">
        <v>4465</v>
      </c>
      <c r="J20" s="419"/>
      <c r="K20" s="661" t="s">
        <v>4466</v>
      </c>
      <c r="L20" s="419"/>
      <c r="M20" s="661" t="s">
        <v>4467</v>
      </c>
      <c r="N20" s="414"/>
    </row>
    <row r="21" spans="1:21" ht="66" customHeight="1" thickBot="1">
      <c r="A21" s="420" t="str">
        <f>Input!I30</f>
        <v>Proxy Group of Six Natural Gas Companies</v>
      </c>
      <c r="C21" s="421">
        <f>AVERAGE('3.1 DCF Summary'!D9:D14)</f>
        <v>3.5383333333333336</v>
      </c>
      <c r="D21" s="424" t="s">
        <v>18</v>
      </c>
      <c r="E21" s="421">
        <f>AVERAGE('3.1 DCF Summary'!P9:P14)</f>
        <v>6.4666666666666677</v>
      </c>
      <c r="F21" s="344" t="s">
        <v>18</v>
      </c>
      <c r="G21" s="422">
        <f>ROUND(C21*(1+(0.5*(E21/100))),2)</f>
        <v>3.65</v>
      </c>
      <c r="H21" s="344" t="s">
        <v>18</v>
      </c>
      <c r="I21" s="421">
        <f>G21+E21</f>
        <v>10.116666666666667</v>
      </c>
      <c r="J21" s="344" t="s">
        <v>18</v>
      </c>
      <c r="K21" s="422">
        <f>(G21/(1-$W$15))+E21</f>
        <v>10.239155001610168</v>
      </c>
      <c r="L21" s="344" t="s">
        <v>18</v>
      </c>
      <c r="M21" s="422">
        <f>K21-I21</f>
        <v>0.12248833494350109</v>
      </c>
      <c r="N21" s="419" t="s">
        <v>18</v>
      </c>
      <c r="Q21" s="423"/>
    </row>
    <row r="22" spans="1:21" ht="12" customHeight="1" thickTop="1">
      <c r="A22" s="411"/>
      <c r="C22" s="425"/>
      <c r="D22" s="424"/>
      <c r="E22" s="425"/>
      <c r="G22" s="416"/>
      <c r="I22" s="425"/>
      <c r="K22" s="416"/>
      <c r="M22" s="416"/>
      <c r="N22" s="419"/>
      <c r="Q22" s="423"/>
    </row>
    <row r="23" spans="1:21">
      <c r="A23" s="426"/>
      <c r="E23" s="425"/>
      <c r="G23" s="416"/>
      <c r="H23" s="413"/>
      <c r="I23" s="416"/>
      <c r="K23" s="416"/>
      <c r="M23" s="416"/>
      <c r="Q23" s="423"/>
    </row>
    <row r="24" spans="1:21">
      <c r="A24" s="426" t="s">
        <v>94</v>
      </c>
      <c r="B24" s="685">
        <v>1</v>
      </c>
      <c r="C24" s="344" t="s">
        <v>4478</v>
      </c>
      <c r="E24" s="425"/>
      <c r="G24" s="416"/>
      <c r="H24" s="413"/>
      <c r="I24" s="416"/>
      <c r="K24" s="416"/>
      <c r="M24" s="416"/>
      <c r="Q24" s="423"/>
    </row>
    <row r="25" spans="1:21">
      <c r="A25" s="426"/>
      <c r="B25" s="685">
        <f>B24+1</f>
        <v>2</v>
      </c>
      <c r="C25" s="344" t="s">
        <v>4479</v>
      </c>
      <c r="E25" s="425"/>
      <c r="G25" s="416"/>
      <c r="H25" s="413"/>
      <c r="I25" s="416"/>
      <c r="K25" s="416"/>
      <c r="M25" s="416"/>
      <c r="Q25" s="423"/>
    </row>
    <row r="26" spans="1:21">
      <c r="A26" s="426"/>
      <c r="B26" s="685">
        <f t="shared" ref="B26:B34" si="5">B25+1</f>
        <v>3</v>
      </c>
      <c r="C26" s="344" t="s">
        <v>4480</v>
      </c>
      <c r="E26" s="425"/>
      <c r="G26" s="416"/>
      <c r="H26" s="413"/>
      <c r="I26" s="416"/>
      <c r="K26" s="416"/>
      <c r="M26" s="416"/>
      <c r="Q26" s="423"/>
    </row>
    <row r="27" spans="1:21">
      <c r="A27" s="426"/>
      <c r="B27" s="685">
        <f t="shared" si="5"/>
        <v>4</v>
      </c>
      <c r="C27" s="344" t="s">
        <v>4481</v>
      </c>
      <c r="E27" s="425"/>
      <c r="G27" s="416"/>
      <c r="H27" s="413"/>
      <c r="I27" s="416"/>
      <c r="K27" s="416"/>
      <c r="M27" s="416"/>
      <c r="Q27" s="423"/>
    </row>
    <row r="28" spans="1:21">
      <c r="A28" s="426"/>
      <c r="B28" s="685">
        <f t="shared" si="5"/>
        <v>5</v>
      </c>
      <c r="C28" s="344" t="s">
        <v>4482</v>
      </c>
      <c r="E28" s="425"/>
      <c r="G28" s="416"/>
      <c r="H28" s="413"/>
      <c r="I28" s="416"/>
      <c r="K28" s="416"/>
      <c r="M28" s="416"/>
      <c r="Q28" s="423"/>
    </row>
    <row r="29" spans="1:21">
      <c r="A29" s="426"/>
      <c r="B29" s="685">
        <f t="shared" si="5"/>
        <v>6</v>
      </c>
      <c r="C29" s="344" t="s">
        <v>4483</v>
      </c>
      <c r="E29" s="425"/>
      <c r="G29" s="416"/>
      <c r="H29" s="413"/>
      <c r="I29" s="416"/>
      <c r="K29" s="416"/>
      <c r="M29" s="416"/>
      <c r="Q29" s="423"/>
    </row>
    <row r="30" spans="1:21">
      <c r="A30" s="426"/>
      <c r="B30" s="685">
        <f t="shared" si="5"/>
        <v>7</v>
      </c>
      <c r="C30" s="344" t="s">
        <v>4484</v>
      </c>
      <c r="E30" s="425"/>
      <c r="G30" s="416"/>
      <c r="H30" s="413"/>
      <c r="I30" s="416"/>
      <c r="K30" s="416"/>
      <c r="M30" s="416"/>
      <c r="Q30" s="423"/>
    </row>
    <row r="31" spans="1:21">
      <c r="A31" s="426"/>
      <c r="B31" s="685">
        <f t="shared" si="5"/>
        <v>8</v>
      </c>
      <c r="C31" s="344" t="s">
        <v>4485</v>
      </c>
      <c r="E31" s="425"/>
      <c r="G31" s="416"/>
      <c r="H31" s="413"/>
      <c r="I31" s="416"/>
      <c r="K31" s="416"/>
      <c r="M31" s="416"/>
      <c r="Q31" s="423"/>
    </row>
    <row r="32" spans="1:21">
      <c r="A32" s="426"/>
      <c r="B32" s="685">
        <f t="shared" si="5"/>
        <v>9</v>
      </c>
      <c r="C32" s="344" t="s">
        <v>4486</v>
      </c>
      <c r="E32" s="425"/>
      <c r="G32" s="416"/>
      <c r="H32" s="413"/>
      <c r="I32" s="416"/>
      <c r="K32" s="416"/>
      <c r="M32" s="416"/>
      <c r="Q32" s="423"/>
    </row>
    <row r="33" spans="1:17">
      <c r="A33" s="426"/>
      <c r="B33" s="685">
        <f t="shared" si="5"/>
        <v>10</v>
      </c>
      <c r="C33" s="344" t="s">
        <v>4487</v>
      </c>
      <c r="E33" s="425"/>
      <c r="G33" s="416"/>
      <c r="H33" s="413"/>
      <c r="I33" s="416"/>
      <c r="K33" s="416"/>
      <c r="M33" s="416"/>
      <c r="Q33" s="423"/>
    </row>
    <row r="34" spans="1:17">
      <c r="A34" s="426"/>
      <c r="B34" s="685">
        <f t="shared" si="5"/>
        <v>11</v>
      </c>
      <c r="C34" s="344" t="s">
        <v>4488</v>
      </c>
      <c r="E34" s="425"/>
      <c r="G34" s="416"/>
      <c r="H34" s="413"/>
      <c r="I34" s="416"/>
      <c r="K34" s="416"/>
      <c r="M34" s="416"/>
      <c r="Q34" s="423"/>
    </row>
    <row r="35" spans="1:17">
      <c r="E35" s="425"/>
      <c r="G35" s="416"/>
      <c r="I35" s="416"/>
      <c r="K35" s="416"/>
      <c r="M35" s="416"/>
      <c r="Q35" s="423"/>
    </row>
    <row r="36" spans="1:17">
      <c r="D36" s="427"/>
      <c r="E36" s="425"/>
      <c r="G36" s="416"/>
      <c r="H36" s="428"/>
      <c r="I36" s="416"/>
      <c r="J36" s="424"/>
      <c r="K36" s="416"/>
      <c r="L36" s="424"/>
      <c r="M36" s="416"/>
      <c r="N36" s="424"/>
      <c r="O36" s="424"/>
      <c r="Q36" s="423"/>
    </row>
    <row r="37" spans="1:17">
      <c r="E37" s="425"/>
      <c r="G37" s="416"/>
      <c r="I37" s="416"/>
      <c r="K37" s="416"/>
      <c r="M37" s="416"/>
    </row>
    <row r="38" spans="1:17">
      <c r="E38" s="425"/>
      <c r="G38" s="416"/>
      <c r="H38" s="426"/>
      <c r="I38" s="416"/>
      <c r="K38" s="416"/>
      <c r="M38" s="416"/>
    </row>
    <row r="39" spans="1:17">
      <c r="E39" s="425"/>
      <c r="G39" s="416"/>
      <c r="I39" s="416"/>
      <c r="K39" s="416"/>
      <c r="M39" s="416"/>
    </row>
    <row r="40" spans="1:17">
      <c r="E40" s="425"/>
      <c r="G40" s="416"/>
      <c r="I40" s="416"/>
      <c r="K40" s="416"/>
      <c r="M40" s="416"/>
      <c r="Q40" s="424"/>
    </row>
    <row r="41" spans="1:17">
      <c r="E41" s="425"/>
      <c r="G41" s="416"/>
      <c r="I41" s="416"/>
      <c r="K41" s="416"/>
      <c r="M41" s="416"/>
      <c r="Q41" s="424"/>
    </row>
    <row r="42" spans="1:17">
      <c r="E42" s="425"/>
      <c r="G42" s="416"/>
      <c r="I42" s="416"/>
      <c r="K42" s="416"/>
      <c r="M42" s="416"/>
      <c r="Q42" s="424"/>
    </row>
    <row r="43" spans="1:17">
      <c r="E43" s="425"/>
      <c r="G43" s="416"/>
      <c r="I43" s="416"/>
      <c r="K43" s="416"/>
      <c r="M43" s="416"/>
    </row>
    <row r="44" spans="1:17">
      <c r="E44" s="425"/>
      <c r="G44" s="416"/>
      <c r="I44" s="416"/>
      <c r="K44" s="416"/>
      <c r="M44" s="416"/>
    </row>
    <row r="45" spans="1:17">
      <c r="E45" s="425"/>
      <c r="G45" s="416"/>
      <c r="I45" s="416"/>
      <c r="K45" s="416"/>
      <c r="M45" s="416"/>
      <c r="Q45" s="423"/>
    </row>
    <row r="46" spans="1:17">
      <c r="E46" s="425"/>
      <c r="G46" s="416"/>
      <c r="I46" s="416"/>
      <c r="K46" s="416"/>
      <c r="M46" s="416"/>
      <c r="P46" s="424"/>
      <c r="Q46" s="429"/>
    </row>
    <row r="47" spans="1:17">
      <c r="E47" s="425"/>
      <c r="G47" s="416"/>
      <c r="I47" s="416"/>
      <c r="K47" s="416"/>
      <c r="M47" s="416"/>
      <c r="P47" s="424"/>
      <c r="Q47" s="429"/>
    </row>
    <row r="48" spans="1:17">
      <c r="E48" s="425"/>
      <c r="G48" s="416"/>
      <c r="I48" s="416"/>
      <c r="K48" s="416"/>
      <c r="M48" s="416"/>
      <c r="Q48" s="423"/>
    </row>
    <row r="49" spans="1:17">
      <c r="P49" s="423"/>
      <c r="Q49" s="423"/>
    </row>
    <row r="50" spans="1:17">
      <c r="C50" s="426"/>
      <c r="G50" s="430"/>
      <c r="H50" s="430"/>
      <c r="I50" s="430"/>
      <c r="J50" s="430"/>
      <c r="K50" s="416"/>
      <c r="L50" s="430"/>
      <c r="M50" s="416"/>
      <c r="N50" s="430"/>
      <c r="O50" s="430"/>
      <c r="P50" s="423"/>
      <c r="Q50" s="423"/>
    </row>
    <row r="51" spans="1:17">
      <c r="A51" s="430"/>
      <c r="G51" s="431"/>
      <c r="H51" s="431"/>
      <c r="I51" s="431"/>
      <c r="J51" s="431"/>
      <c r="K51" s="431"/>
      <c r="L51" s="431"/>
      <c r="M51" s="431"/>
      <c r="N51" s="431"/>
      <c r="O51" s="431"/>
      <c r="P51" s="423"/>
      <c r="Q51" s="423"/>
    </row>
    <row r="52" spans="1:17">
      <c r="A52" s="430"/>
      <c r="G52" s="431"/>
      <c r="H52" s="431"/>
      <c r="I52" s="431"/>
      <c r="J52" s="431"/>
      <c r="K52" s="431"/>
      <c r="L52" s="431"/>
      <c r="M52" s="431"/>
      <c r="N52" s="431"/>
      <c r="O52" s="431"/>
      <c r="P52" s="423"/>
      <c r="Q52" s="423"/>
    </row>
    <row r="53" spans="1:17">
      <c r="A53" s="430"/>
      <c r="G53" s="431"/>
      <c r="H53" s="431"/>
      <c r="I53" s="431"/>
      <c r="J53" s="431"/>
      <c r="K53" s="431"/>
      <c r="L53" s="431"/>
      <c r="M53" s="431"/>
      <c r="N53" s="431"/>
      <c r="O53" s="431"/>
      <c r="P53" s="423"/>
      <c r="Q53" s="423"/>
    </row>
    <row r="54" spans="1:17">
      <c r="A54" s="430"/>
      <c r="G54" s="431"/>
      <c r="H54" s="431"/>
      <c r="I54" s="431"/>
      <c r="J54" s="431"/>
      <c r="K54" s="431"/>
      <c r="L54" s="431"/>
      <c r="M54" s="431"/>
      <c r="N54" s="431"/>
      <c r="O54" s="431"/>
      <c r="P54" s="432"/>
      <c r="Q54" s="432"/>
    </row>
    <row r="55" spans="1:17">
      <c r="A55" s="430"/>
      <c r="G55" s="431"/>
      <c r="H55" s="431"/>
      <c r="I55" s="431"/>
      <c r="J55" s="431"/>
      <c r="K55" s="431"/>
      <c r="L55" s="431"/>
      <c r="M55" s="431"/>
      <c r="N55" s="431"/>
      <c r="O55" s="431"/>
      <c r="P55" s="432"/>
      <c r="Q55" s="432"/>
    </row>
    <row r="56" spans="1:17">
      <c r="A56" s="430"/>
      <c r="G56" s="431"/>
      <c r="H56" s="431"/>
      <c r="I56" s="431"/>
      <c r="J56" s="431"/>
      <c r="K56" s="431"/>
      <c r="L56" s="431"/>
      <c r="M56" s="431"/>
      <c r="N56" s="431"/>
      <c r="O56" s="431"/>
      <c r="P56" s="432"/>
      <c r="Q56" s="432"/>
    </row>
    <row r="57" spans="1:17">
      <c r="A57" s="430"/>
      <c r="G57" s="431"/>
      <c r="H57" s="431"/>
      <c r="I57" s="431"/>
      <c r="J57" s="431"/>
      <c r="K57" s="431"/>
      <c r="L57" s="431"/>
      <c r="M57" s="431"/>
      <c r="N57" s="431"/>
      <c r="O57" s="431"/>
      <c r="P57" s="432"/>
      <c r="Q57" s="432"/>
    </row>
    <row r="58" spans="1:17">
      <c r="A58" s="430"/>
      <c r="G58" s="431"/>
      <c r="H58" s="431"/>
      <c r="I58" s="431"/>
      <c r="J58" s="431"/>
      <c r="K58" s="431"/>
      <c r="L58" s="431"/>
      <c r="M58" s="431"/>
      <c r="N58" s="431"/>
      <c r="O58" s="431"/>
      <c r="P58" s="432"/>
      <c r="Q58" s="432"/>
    </row>
    <row r="59" spans="1:17">
      <c r="A59" s="430"/>
      <c r="G59" s="431"/>
      <c r="H59" s="431"/>
      <c r="I59" s="431"/>
      <c r="J59" s="431"/>
      <c r="K59" s="431"/>
      <c r="L59" s="431"/>
      <c r="M59" s="431"/>
      <c r="N59" s="431"/>
      <c r="O59" s="431"/>
      <c r="P59" s="432"/>
      <c r="Q59" s="432"/>
    </row>
    <row r="60" spans="1:17">
      <c r="A60" s="430"/>
      <c r="G60" s="431"/>
      <c r="H60" s="431"/>
      <c r="I60" s="431"/>
      <c r="J60" s="431"/>
      <c r="K60" s="431"/>
      <c r="L60" s="431"/>
      <c r="M60" s="431"/>
      <c r="N60" s="431"/>
      <c r="O60" s="431"/>
      <c r="P60" s="432"/>
      <c r="Q60" s="432"/>
    </row>
    <row r="61" spans="1:17">
      <c r="A61" s="430"/>
      <c r="G61" s="431"/>
      <c r="H61" s="431"/>
      <c r="I61" s="431"/>
      <c r="J61" s="431"/>
      <c r="K61" s="431"/>
      <c r="L61" s="431"/>
      <c r="M61" s="431"/>
      <c r="N61" s="431"/>
      <c r="O61" s="431"/>
      <c r="P61" s="432"/>
      <c r="Q61" s="432"/>
    </row>
    <row r="62" spans="1:17">
      <c r="A62" s="430"/>
      <c r="G62" s="431"/>
      <c r="H62" s="431"/>
      <c r="I62" s="431"/>
      <c r="J62" s="431"/>
      <c r="K62" s="431"/>
      <c r="L62" s="431"/>
      <c r="M62" s="431"/>
      <c r="N62" s="431"/>
      <c r="O62" s="431"/>
      <c r="P62" s="432"/>
      <c r="Q62" s="432"/>
    </row>
    <row r="63" spans="1:17">
      <c r="A63" s="430"/>
      <c r="G63" s="431"/>
      <c r="H63" s="431"/>
      <c r="I63" s="431"/>
      <c r="J63" s="431"/>
      <c r="K63" s="431"/>
      <c r="L63" s="431"/>
      <c r="M63" s="431"/>
      <c r="N63" s="431"/>
      <c r="O63" s="431"/>
      <c r="P63" s="432"/>
      <c r="Q63" s="432"/>
    </row>
    <row r="64" spans="1:17">
      <c r="A64" s="430"/>
      <c r="G64" s="431"/>
      <c r="H64" s="431"/>
      <c r="I64" s="431"/>
      <c r="J64" s="431"/>
      <c r="K64" s="431"/>
      <c r="L64" s="431"/>
      <c r="M64" s="431"/>
      <c r="N64" s="431"/>
      <c r="O64" s="431"/>
      <c r="P64" s="432"/>
      <c r="Q64" s="432"/>
    </row>
    <row r="65" spans="1:17">
      <c r="A65" s="430"/>
      <c r="G65" s="431"/>
      <c r="H65" s="431"/>
      <c r="I65" s="431"/>
      <c r="J65" s="431"/>
      <c r="K65" s="431"/>
      <c r="L65" s="431"/>
      <c r="M65" s="431"/>
      <c r="N65" s="431"/>
      <c r="O65" s="431"/>
      <c r="P65" s="432"/>
      <c r="Q65" s="432"/>
    </row>
    <row r="66" spans="1:17">
      <c r="A66" s="430"/>
      <c r="G66" s="431"/>
      <c r="H66" s="431"/>
      <c r="I66" s="431"/>
      <c r="J66" s="431"/>
      <c r="K66" s="431"/>
      <c r="L66" s="431"/>
      <c r="M66" s="431"/>
      <c r="N66" s="431"/>
      <c r="O66" s="431"/>
      <c r="P66" s="432"/>
      <c r="Q66" s="432"/>
    </row>
    <row r="67" spans="1:17">
      <c r="A67" s="430"/>
      <c r="G67" s="431"/>
      <c r="H67" s="431"/>
      <c r="I67" s="431"/>
      <c r="J67" s="431"/>
      <c r="K67" s="431"/>
      <c r="L67" s="431"/>
      <c r="M67" s="431"/>
      <c r="N67" s="431"/>
      <c r="O67" s="431"/>
      <c r="P67" s="432"/>
      <c r="Q67" s="432"/>
    </row>
    <row r="68" spans="1:17">
      <c r="A68" s="430"/>
      <c r="G68" s="431"/>
      <c r="H68" s="431"/>
      <c r="I68" s="431"/>
      <c r="J68" s="431"/>
      <c r="K68" s="431"/>
      <c r="L68" s="431"/>
      <c r="M68" s="431"/>
      <c r="N68" s="431"/>
      <c r="O68" s="431"/>
      <c r="P68" s="432"/>
      <c r="Q68" s="432"/>
    </row>
    <row r="69" spans="1:17">
      <c r="A69" s="430"/>
      <c r="G69" s="431"/>
      <c r="H69" s="431"/>
      <c r="I69" s="431"/>
      <c r="J69" s="431"/>
      <c r="K69" s="431"/>
      <c r="L69" s="431"/>
      <c r="M69" s="431"/>
      <c r="N69" s="431"/>
      <c r="O69" s="431"/>
      <c r="P69" s="432"/>
      <c r="Q69" s="432"/>
    </row>
    <row r="70" spans="1:17">
      <c r="A70" s="430"/>
      <c r="G70" s="431"/>
      <c r="H70" s="431"/>
      <c r="I70" s="431"/>
      <c r="J70" s="431"/>
      <c r="K70" s="431"/>
      <c r="L70" s="431"/>
      <c r="M70" s="431"/>
      <c r="N70" s="431"/>
      <c r="O70" s="431"/>
      <c r="P70" s="432"/>
      <c r="Q70" s="432"/>
    </row>
    <row r="71" spans="1:17">
      <c r="A71" s="430"/>
      <c r="G71" s="431"/>
      <c r="H71" s="431"/>
      <c r="I71" s="431"/>
      <c r="J71" s="431"/>
      <c r="K71" s="431"/>
      <c r="L71" s="431"/>
      <c r="M71" s="431"/>
      <c r="N71" s="431"/>
      <c r="O71" s="431"/>
      <c r="P71" s="432"/>
      <c r="Q71" s="432"/>
    </row>
    <row r="72" spans="1:17">
      <c r="A72" s="430"/>
      <c r="G72" s="431"/>
      <c r="H72" s="431"/>
      <c r="I72" s="431"/>
      <c r="J72" s="431"/>
      <c r="K72" s="431"/>
      <c r="L72" s="431"/>
      <c r="M72" s="431"/>
      <c r="N72" s="431"/>
      <c r="O72" s="431"/>
      <c r="P72" s="432"/>
      <c r="Q72" s="432"/>
    </row>
    <row r="73" spans="1:17">
      <c r="A73" s="430"/>
      <c r="G73" s="431"/>
      <c r="H73" s="431"/>
      <c r="I73" s="431"/>
      <c r="J73" s="431"/>
      <c r="K73" s="431"/>
      <c r="L73" s="431"/>
      <c r="M73" s="431"/>
      <c r="N73" s="431"/>
      <c r="O73" s="431"/>
      <c r="P73" s="432"/>
      <c r="Q73" s="432"/>
    </row>
    <row r="74" spans="1:17">
      <c r="A74" s="430"/>
      <c r="G74" s="431"/>
      <c r="H74" s="431"/>
      <c r="I74" s="431"/>
      <c r="J74" s="431"/>
      <c r="K74" s="431"/>
      <c r="L74" s="431"/>
      <c r="M74" s="431"/>
      <c r="N74" s="431"/>
      <c r="O74" s="431"/>
      <c r="P74" s="432"/>
      <c r="Q74" s="432"/>
    </row>
    <row r="75" spans="1:17">
      <c r="A75" s="430"/>
      <c r="G75" s="431"/>
      <c r="H75" s="431"/>
      <c r="I75" s="431"/>
      <c r="J75" s="431"/>
      <c r="K75" s="431"/>
      <c r="L75" s="431"/>
      <c r="M75" s="431"/>
      <c r="N75" s="431"/>
      <c r="O75" s="431"/>
      <c r="P75" s="432"/>
      <c r="Q75" s="432"/>
    </row>
    <row r="76" spans="1:17">
      <c r="A76" s="430"/>
      <c r="G76" s="431"/>
      <c r="H76" s="431"/>
      <c r="I76" s="431"/>
      <c r="J76" s="431"/>
      <c r="K76" s="431"/>
      <c r="L76" s="431"/>
      <c r="M76" s="431"/>
      <c r="N76" s="431"/>
      <c r="O76" s="431"/>
      <c r="P76" s="432"/>
      <c r="Q76" s="432"/>
    </row>
    <row r="77" spans="1:17">
      <c r="A77" s="430"/>
      <c r="G77" s="431"/>
      <c r="H77" s="431"/>
      <c r="I77" s="431"/>
      <c r="J77" s="431"/>
      <c r="K77" s="431"/>
      <c r="L77" s="431"/>
      <c r="M77" s="431"/>
      <c r="N77" s="431"/>
      <c r="O77" s="431"/>
      <c r="P77" s="432"/>
      <c r="Q77" s="432"/>
    </row>
    <row r="78" spans="1:17">
      <c r="A78" s="430"/>
      <c r="G78" s="431"/>
      <c r="H78" s="431"/>
      <c r="I78" s="431"/>
      <c r="J78" s="431"/>
      <c r="K78" s="431"/>
      <c r="L78" s="431"/>
      <c r="M78" s="431"/>
      <c r="N78" s="431"/>
      <c r="O78" s="431"/>
      <c r="P78" s="432"/>
      <c r="Q78" s="432"/>
    </row>
    <row r="79" spans="1:17">
      <c r="A79" s="430"/>
      <c r="G79" s="431"/>
      <c r="H79" s="431"/>
      <c r="I79" s="431"/>
      <c r="J79" s="431"/>
      <c r="K79" s="431"/>
      <c r="L79" s="431"/>
      <c r="M79" s="431"/>
      <c r="N79" s="431"/>
      <c r="O79" s="431"/>
      <c r="P79" s="432"/>
      <c r="Q79" s="432"/>
    </row>
    <row r="80" spans="1:17">
      <c r="A80" s="430"/>
      <c r="G80" s="431"/>
      <c r="H80" s="431"/>
      <c r="I80" s="431"/>
      <c r="J80" s="431"/>
      <c r="K80" s="431"/>
      <c r="L80" s="431"/>
      <c r="M80" s="431"/>
      <c r="N80" s="431"/>
      <c r="O80" s="431"/>
      <c r="P80" s="432"/>
      <c r="Q80" s="432"/>
    </row>
    <row r="81" spans="1:17">
      <c r="A81" s="430"/>
      <c r="G81" s="431"/>
      <c r="H81" s="431"/>
      <c r="I81" s="431"/>
      <c r="J81" s="431"/>
      <c r="K81" s="431"/>
      <c r="L81" s="431"/>
      <c r="M81" s="431"/>
      <c r="N81" s="431"/>
      <c r="O81" s="431"/>
      <c r="P81" s="432"/>
      <c r="Q81" s="432"/>
    </row>
    <row r="82" spans="1:17">
      <c r="A82" s="430"/>
      <c r="G82" s="431"/>
      <c r="H82" s="431"/>
      <c r="I82" s="431"/>
      <c r="J82" s="431"/>
      <c r="K82" s="431"/>
      <c r="L82" s="431"/>
      <c r="M82" s="431"/>
      <c r="N82" s="431"/>
      <c r="O82" s="431"/>
      <c r="P82" s="432"/>
      <c r="Q82" s="432"/>
    </row>
    <row r="83" spans="1:17">
      <c r="A83" s="430"/>
      <c r="G83" s="431"/>
      <c r="H83" s="431"/>
      <c r="I83" s="431"/>
      <c r="J83" s="431"/>
      <c r="K83" s="431"/>
      <c r="L83" s="431"/>
      <c r="M83" s="431"/>
      <c r="N83" s="431"/>
      <c r="O83" s="431"/>
      <c r="P83" s="432"/>
      <c r="Q83" s="432"/>
    </row>
    <row r="84" spans="1:17">
      <c r="A84" s="430"/>
      <c r="G84" s="431"/>
      <c r="H84" s="431"/>
      <c r="I84" s="431"/>
      <c r="J84" s="431"/>
      <c r="K84" s="431"/>
      <c r="L84" s="431"/>
      <c r="M84" s="431"/>
      <c r="N84" s="431"/>
      <c r="O84" s="431"/>
      <c r="P84" s="432"/>
      <c r="Q84" s="432"/>
    </row>
    <row r="85" spans="1:17">
      <c r="A85" s="430"/>
      <c r="G85" s="431"/>
      <c r="H85" s="431"/>
      <c r="I85" s="431"/>
      <c r="J85" s="431"/>
      <c r="K85" s="431"/>
      <c r="L85" s="431"/>
      <c r="M85" s="431"/>
      <c r="N85" s="431"/>
      <c r="O85" s="431"/>
      <c r="P85" s="432"/>
      <c r="Q85" s="432"/>
    </row>
    <row r="86" spans="1:17">
      <c r="A86" s="430"/>
      <c r="G86" s="431"/>
      <c r="H86" s="431"/>
      <c r="I86" s="431"/>
      <c r="J86" s="431"/>
      <c r="K86" s="431"/>
      <c r="L86" s="431"/>
      <c r="M86" s="431"/>
      <c r="N86" s="431"/>
      <c r="O86" s="431"/>
      <c r="P86" s="432"/>
      <c r="Q86" s="432"/>
    </row>
    <row r="87" spans="1:17">
      <c r="A87" s="430"/>
      <c r="G87" s="431"/>
      <c r="H87" s="431"/>
      <c r="I87" s="431"/>
      <c r="J87" s="431"/>
      <c r="K87" s="431"/>
      <c r="L87" s="431"/>
      <c r="M87" s="431"/>
      <c r="N87" s="431"/>
      <c r="O87" s="431"/>
      <c r="P87" s="432"/>
      <c r="Q87" s="432"/>
    </row>
    <row r="88" spans="1:17">
      <c r="A88" s="430"/>
      <c r="G88" s="431"/>
      <c r="H88" s="431"/>
      <c r="I88" s="431"/>
      <c r="J88" s="431"/>
      <c r="K88" s="431"/>
      <c r="L88" s="431"/>
      <c r="M88" s="431"/>
      <c r="N88" s="431"/>
      <c r="O88" s="431"/>
      <c r="P88" s="432"/>
      <c r="Q88" s="432"/>
    </row>
    <row r="89" spans="1:17">
      <c r="A89" s="430"/>
      <c r="G89" s="431"/>
      <c r="H89" s="431"/>
      <c r="I89" s="431"/>
      <c r="J89" s="431"/>
      <c r="K89" s="431"/>
      <c r="L89" s="431"/>
      <c r="M89" s="431"/>
      <c r="N89" s="431"/>
      <c r="O89" s="431"/>
      <c r="P89" s="432"/>
      <c r="Q89" s="432"/>
    </row>
    <row r="90" spans="1:17">
      <c r="A90" s="430"/>
      <c r="G90" s="431"/>
      <c r="H90" s="431"/>
      <c r="I90" s="431"/>
      <c r="J90" s="431"/>
      <c r="K90" s="431"/>
      <c r="L90" s="431"/>
      <c r="M90" s="431"/>
      <c r="N90" s="431"/>
      <c r="O90" s="431"/>
      <c r="P90" s="432"/>
      <c r="Q90" s="432"/>
    </row>
    <row r="91" spans="1:17">
      <c r="A91" s="430"/>
      <c r="G91" s="431"/>
      <c r="H91" s="431"/>
      <c r="I91" s="431"/>
      <c r="J91" s="431"/>
      <c r="K91" s="431"/>
      <c r="L91" s="431"/>
      <c r="M91" s="431"/>
      <c r="N91" s="431"/>
      <c r="O91" s="431"/>
      <c r="P91" s="432"/>
      <c r="Q91" s="432"/>
    </row>
    <row r="92" spans="1:17">
      <c r="A92" s="430"/>
      <c r="G92" s="431"/>
      <c r="H92" s="431"/>
      <c r="I92" s="431"/>
      <c r="J92" s="431"/>
      <c r="K92" s="431"/>
      <c r="L92" s="431"/>
      <c r="M92" s="431"/>
      <c r="N92" s="431"/>
      <c r="O92" s="431"/>
      <c r="P92" s="432"/>
      <c r="Q92" s="432"/>
    </row>
    <row r="93" spans="1:17">
      <c r="A93" s="430"/>
      <c r="G93" s="431"/>
      <c r="H93" s="431"/>
      <c r="I93" s="431"/>
      <c r="J93" s="431"/>
      <c r="K93" s="431"/>
      <c r="L93" s="431"/>
      <c r="M93" s="431"/>
      <c r="N93" s="431"/>
      <c r="O93" s="431"/>
      <c r="P93" s="432"/>
      <c r="Q93" s="432"/>
    </row>
    <row r="94" spans="1:17">
      <c r="A94" s="430"/>
      <c r="G94" s="431"/>
      <c r="H94" s="431"/>
      <c r="I94" s="431"/>
      <c r="J94" s="431"/>
      <c r="K94" s="431"/>
      <c r="L94" s="431"/>
      <c r="M94" s="431"/>
      <c r="N94" s="431"/>
      <c r="O94" s="431"/>
      <c r="P94" s="432"/>
      <c r="Q94" s="432"/>
    </row>
    <row r="95" spans="1:17">
      <c r="A95" s="430"/>
      <c r="G95" s="431"/>
      <c r="H95" s="431"/>
      <c r="I95" s="431"/>
      <c r="J95" s="431"/>
      <c r="K95" s="431"/>
      <c r="L95" s="431"/>
      <c r="M95" s="431"/>
      <c r="N95" s="431"/>
      <c r="O95" s="431"/>
      <c r="P95" s="432"/>
      <c r="Q95" s="432"/>
    </row>
    <row r="96" spans="1:17">
      <c r="A96" s="430"/>
      <c r="G96" s="431"/>
      <c r="H96" s="431"/>
      <c r="I96" s="431"/>
      <c r="J96" s="431"/>
      <c r="K96" s="431"/>
      <c r="L96" s="431"/>
      <c r="M96" s="431"/>
      <c r="N96" s="431"/>
      <c r="O96" s="431"/>
      <c r="P96" s="432"/>
      <c r="Q96" s="432"/>
    </row>
    <row r="97" spans="1:17">
      <c r="A97" s="430"/>
      <c r="G97" s="431"/>
      <c r="H97" s="431"/>
      <c r="I97" s="431"/>
      <c r="J97" s="431"/>
      <c r="K97" s="431"/>
      <c r="L97" s="431"/>
      <c r="M97" s="431"/>
      <c r="N97" s="431"/>
      <c r="O97" s="431"/>
      <c r="P97" s="432"/>
      <c r="Q97" s="432"/>
    </row>
    <row r="98" spans="1:17">
      <c r="A98" s="430"/>
      <c r="G98" s="431"/>
      <c r="H98" s="431"/>
      <c r="I98" s="431"/>
      <c r="J98" s="431"/>
      <c r="K98" s="431"/>
      <c r="L98" s="431"/>
      <c r="M98" s="431"/>
      <c r="N98" s="431"/>
      <c r="O98" s="431"/>
      <c r="P98" s="432"/>
      <c r="Q98" s="432"/>
    </row>
    <row r="99" spans="1:17">
      <c r="A99" s="430"/>
      <c r="G99" s="431"/>
      <c r="H99" s="431"/>
      <c r="I99" s="431"/>
      <c r="J99" s="431"/>
      <c r="K99" s="431"/>
      <c r="L99" s="431"/>
      <c r="M99" s="431"/>
      <c r="N99" s="431"/>
      <c r="O99" s="431"/>
      <c r="P99" s="432"/>
      <c r="Q99" s="432"/>
    </row>
    <row r="100" spans="1:17">
      <c r="A100" s="430"/>
      <c r="G100" s="431"/>
      <c r="H100" s="431"/>
      <c r="I100" s="431"/>
      <c r="J100" s="431"/>
      <c r="K100" s="431"/>
      <c r="L100" s="431"/>
      <c r="M100" s="431"/>
      <c r="N100" s="431"/>
      <c r="O100" s="431"/>
      <c r="P100" s="432"/>
      <c r="Q100" s="432"/>
    </row>
    <row r="101" spans="1:17">
      <c r="A101" s="430"/>
      <c r="G101" s="431"/>
      <c r="H101" s="431"/>
      <c r="I101" s="431"/>
      <c r="J101" s="431"/>
      <c r="K101" s="431"/>
      <c r="L101" s="431"/>
      <c r="M101" s="431"/>
      <c r="N101" s="431"/>
      <c r="O101" s="431"/>
      <c r="P101" s="432"/>
      <c r="Q101" s="432"/>
    </row>
    <row r="102" spans="1:17">
      <c r="A102" s="430"/>
      <c r="G102" s="431"/>
      <c r="H102" s="431"/>
      <c r="I102" s="431"/>
      <c r="J102" s="431"/>
      <c r="K102" s="431"/>
      <c r="L102" s="431"/>
      <c r="M102" s="431"/>
      <c r="N102" s="431"/>
      <c r="O102" s="431"/>
      <c r="P102" s="432"/>
      <c r="Q102" s="432"/>
    </row>
    <row r="103" spans="1:17">
      <c r="A103" s="430"/>
      <c r="G103" s="431"/>
      <c r="H103" s="431"/>
      <c r="I103" s="431"/>
      <c r="J103" s="431"/>
      <c r="K103" s="431"/>
      <c r="L103" s="431"/>
      <c r="M103" s="431"/>
      <c r="N103" s="431"/>
      <c r="O103" s="431"/>
      <c r="P103" s="432"/>
      <c r="Q103" s="432"/>
    </row>
    <row r="104" spans="1:17">
      <c r="A104" s="430"/>
      <c r="G104" s="431"/>
      <c r="H104" s="431"/>
      <c r="I104" s="431"/>
      <c r="J104" s="431"/>
      <c r="K104" s="431"/>
      <c r="L104" s="431"/>
      <c r="M104" s="431"/>
      <c r="N104" s="431"/>
      <c r="O104" s="431"/>
      <c r="P104" s="432"/>
      <c r="Q104" s="432"/>
    </row>
    <row r="105" spans="1:17">
      <c r="A105" s="430"/>
      <c r="G105" s="431"/>
      <c r="H105" s="431"/>
      <c r="I105" s="431"/>
      <c r="J105" s="431"/>
      <c r="K105" s="431"/>
      <c r="L105" s="431"/>
      <c r="M105" s="431"/>
      <c r="N105" s="431"/>
      <c r="O105" s="431"/>
      <c r="P105" s="432"/>
      <c r="Q105" s="432"/>
    </row>
    <row r="106" spans="1:17">
      <c r="A106" s="430"/>
      <c r="G106" s="431"/>
      <c r="H106" s="431"/>
      <c r="I106" s="431"/>
      <c r="J106" s="431"/>
      <c r="K106" s="431"/>
      <c r="L106" s="431"/>
      <c r="M106" s="431"/>
      <c r="N106" s="431"/>
      <c r="O106" s="431"/>
      <c r="P106" s="432"/>
      <c r="Q106" s="432"/>
    </row>
    <row r="107" spans="1:17">
      <c r="A107" s="430"/>
      <c r="G107" s="431"/>
      <c r="H107" s="431"/>
      <c r="I107" s="431"/>
      <c r="J107" s="431"/>
      <c r="K107" s="431"/>
      <c r="L107" s="431"/>
      <c r="M107" s="431"/>
      <c r="N107" s="431"/>
      <c r="O107" s="431"/>
      <c r="P107" s="432"/>
      <c r="Q107" s="432"/>
    </row>
    <row r="108" spans="1:17">
      <c r="A108" s="430"/>
      <c r="G108" s="431"/>
      <c r="H108" s="431"/>
      <c r="I108" s="431"/>
      <c r="J108" s="431"/>
      <c r="K108" s="431"/>
      <c r="L108" s="431"/>
      <c r="M108" s="431"/>
      <c r="N108" s="431"/>
      <c r="O108" s="431"/>
      <c r="P108" s="432"/>
      <c r="Q108" s="432"/>
    </row>
    <row r="109" spans="1:17">
      <c r="A109" s="430"/>
      <c r="G109" s="431"/>
      <c r="H109" s="431"/>
      <c r="I109" s="431"/>
      <c r="J109" s="431"/>
      <c r="K109" s="431"/>
      <c r="L109" s="431"/>
      <c r="M109" s="431"/>
      <c r="N109" s="431"/>
      <c r="O109" s="431"/>
      <c r="P109" s="432"/>
      <c r="Q109" s="432"/>
    </row>
    <row r="110" spans="1:17">
      <c r="A110" s="430"/>
      <c r="G110" s="431"/>
      <c r="H110" s="431"/>
      <c r="I110" s="431"/>
      <c r="J110" s="431"/>
      <c r="K110" s="431"/>
      <c r="L110" s="431"/>
      <c r="M110" s="431"/>
      <c r="N110" s="431"/>
      <c r="O110" s="431"/>
      <c r="P110" s="432"/>
      <c r="Q110" s="432"/>
    </row>
    <row r="111" spans="1:17">
      <c r="A111" s="430"/>
      <c r="G111" s="431"/>
      <c r="H111" s="431"/>
      <c r="I111" s="431"/>
      <c r="J111" s="431"/>
      <c r="K111" s="431"/>
      <c r="L111" s="431"/>
      <c r="M111" s="431"/>
      <c r="N111" s="431"/>
      <c r="O111" s="431"/>
      <c r="P111" s="432"/>
      <c r="Q111" s="432"/>
    </row>
    <row r="112" spans="1:17">
      <c r="A112" s="430"/>
      <c r="G112" s="431"/>
      <c r="H112" s="431"/>
      <c r="I112" s="431"/>
      <c r="J112" s="431"/>
      <c r="K112" s="431"/>
      <c r="L112" s="431"/>
      <c r="M112" s="431"/>
      <c r="N112" s="431"/>
      <c r="O112" s="431"/>
      <c r="P112" s="432"/>
      <c r="Q112" s="432"/>
    </row>
    <row r="113" spans="1:17">
      <c r="A113" s="430"/>
      <c r="G113" s="431"/>
      <c r="H113" s="431"/>
      <c r="I113" s="431"/>
      <c r="J113" s="431"/>
      <c r="K113" s="431"/>
      <c r="L113" s="431"/>
      <c r="M113" s="431"/>
      <c r="N113" s="431"/>
      <c r="O113" s="431"/>
      <c r="P113" s="432"/>
      <c r="Q113" s="432"/>
    </row>
    <row r="114" spans="1:17">
      <c r="A114" s="430"/>
      <c r="P114" s="432"/>
      <c r="Q114" s="432"/>
    </row>
    <row r="115" spans="1:17">
      <c r="A115" s="430"/>
    </row>
    <row r="116" spans="1:17">
      <c r="A116" s="430"/>
    </row>
    <row r="117" spans="1:17">
      <c r="A117" s="430"/>
    </row>
    <row r="118" spans="1:17">
      <c r="A118" s="430"/>
    </row>
    <row r="119" spans="1:17">
      <c r="A119" s="430"/>
    </row>
    <row r="120" spans="1:17">
      <c r="A120" s="430"/>
    </row>
    <row r="121" spans="1:17">
      <c r="A121" s="430"/>
    </row>
    <row r="122" spans="1:17">
      <c r="A122" s="430"/>
    </row>
    <row r="123" spans="1:17">
      <c r="A123" s="430"/>
    </row>
    <row r="124" spans="1:17">
      <c r="A124" s="430"/>
    </row>
    <row r="125" spans="1:17">
      <c r="A125" s="430"/>
    </row>
    <row r="126" spans="1:17">
      <c r="A126" s="430"/>
    </row>
    <row r="127" spans="1:17">
      <c r="A127" s="430"/>
    </row>
    <row r="128" spans="1:17">
      <c r="A128" s="430"/>
    </row>
    <row r="129" spans="1:1">
      <c r="A129" s="430"/>
    </row>
    <row r="130" spans="1:1">
      <c r="A130" s="430"/>
    </row>
    <row r="131" spans="1:1">
      <c r="A131" s="430"/>
    </row>
    <row r="132" spans="1:1">
      <c r="A132" s="430"/>
    </row>
    <row r="133" spans="1:1">
      <c r="A133" s="430"/>
    </row>
    <row r="134" spans="1:1">
      <c r="A134" s="430"/>
    </row>
    <row r="135" spans="1:1">
      <c r="A135" s="430"/>
    </row>
    <row r="136" spans="1:1">
      <c r="A136" s="430"/>
    </row>
    <row r="137" spans="1:1">
      <c r="A137" s="430"/>
    </row>
    <row r="138" spans="1:1">
      <c r="A138" s="430"/>
    </row>
    <row r="139" spans="1:1">
      <c r="A139" s="430"/>
    </row>
    <row r="140" spans="1:1">
      <c r="A140" s="430"/>
    </row>
    <row r="141" spans="1:1">
      <c r="A141" s="430"/>
    </row>
    <row r="142" spans="1:1">
      <c r="A142" s="430"/>
    </row>
    <row r="143" spans="1:1">
      <c r="A143" s="430"/>
    </row>
    <row r="144" spans="1:1">
      <c r="A144" s="430"/>
    </row>
    <row r="145" spans="1:1">
      <c r="A145" s="430"/>
    </row>
    <row r="146" spans="1:1">
      <c r="A146" s="430"/>
    </row>
    <row r="147" spans="1:1">
      <c r="A147" s="430"/>
    </row>
    <row r="148" spans="1:1">
      <c r="A148" s="430"/>
    </row>
    <row r="149" spans="1:1">
      <c r="A149" s="430"/>
    </row>
    <row r="150" spans="1:1">
      <c r="A150" s="430"/>
    </row>
    <row r="151" spans="1:1">
      <c r="A151" s="430"/>
    </row>
    <row r="152" spans="1:1">
      <c r="A152" s="430"/>
    </row>
    <row r="153" spans="1:1">
      <c r="A153" s="430"/>
    </row>
    <row r="154" spans="1:1">
      <c r="A154" s="430"/>
    </row>
    <row r="155" spans="1:1">
      <c r="A155" s="430"/>
    </row>
    <row r="156" spans="1:1">
      <c r="A156" s="430"/>
    </row>
    <row r="157" spans="1:1">
      <c r="A157" s="430"/>
    </row>
  </sheetData>
  <mergeCells count="4">
    <mergeCell ref="A1:W1"/>
    <mergeCell ref="A2:W2"/>
    <mergeCell ref="A5:W5"/>
    <mergeCell ref="A16:Q16"/>
  </mergeCells>
  <printOptions horizontalCentered="1"/>
  <pageMargins left="0.7" right="0.7" top="0.75" bottom="0.75" header="0.3" footer="0.3"/>
  <pageSetup scale="49" orientation="landscape" horizontalDpi="1200" verticalDpi="1200" r:id="rId1"/>
  <ignoredErrors>
    <ignoredError sqref="Q15:U1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
  <sheetViews>
    <sheetView view="pageBreakPreview" zoomScale="69" zoomScaleNormal="85" zoomScaleSheetLayoutView="85" workbookViewId="0"/>
  </sheetViews>
  <sheetFormatPr defaultColWidth="9" defaultRowHeight="15.75"/>
  <cols>
    <col min="1" max="1" width="7.5703125" style="53" bestFit="1" customWidth="1"/>
    <col min="2" max="2" width="2.85546875" style="167" bestFit="1" customWidth="1"/>
    <col min="3" max="3" width="52.28515625" style="53" customWidth="1"/>
    <col min="4" max="4" width="3.85546875" style="53" customWidth="1"/>
    <col min="5" max="5" width="17.5703125" style="53" customWidth="1"/>
    <col min="6" max="6" width="2.7109375" style="53" customWidth="1"/>
    <col min="7" max="7" width="16" style="53" customWidth="1"/>
    <col min="8" max="8" width="2.7109375" style="53" customWidth="1"/>
    <col min="9" max="9" width="19.85546875" style="53" customWidth="1"/>
    <col min="10" max="10" width="2.7109375" style="53" customWidth="1"/>
    <col min="11" max="11" width="20" style="53" customWidth="1"/>
    <col min="12" max="12" width="2.7109375" style="53" customWidth="1"/>
    <col min="13" max="13" width="15" style="53" customWidth="1"/>
    <col min="14" max="14" width="2.5703125" style="53" customWidth="1"/>
    <col min="15" max="15" width="9" style="53"/>
    <col min="16" max="16" width="17.5703125" style="53" customWidth="1"/>
    <col min="17" max="17" width="13.28515625" style="53" customWidth="1"/>
    <col min="18" max="18" width="10.28515625" style="53" bestFit="1" customWidth="1"/>
    <col min="19" max="16384" width="9" style="53"/>
  </cols>
  <sheetData>
    <row r="1" spans="1:17">
      <c r="A1" s="491" t="str">
        <f>Input!G28</f>
        <v>Peoples Gas System</v>
      </c>
      <c r="B1" s="492"/>
      <c r="C1" s="492"/>
      <c r="D1" s="493"/>
      <c r="E1" s="493"/>
      <c r="F1" s="493"/>
      <c r="G1" s="493"/>
      <c r="H1" s="493"/>
      <c r="I1" s="493"/>
      <c r="J1" s="493"/>
      <c r="K1" s="493"/>
      <c r="L1" s="493"/>
      <c r="M1" s="493"/>
      <c r="N1" s="168"/>
    </row>
    <row r="2" spans="1:17">
      <c r="A2" s="492" t="s">
        <v>2935</v>
      </c>
      <c r="B2" s="492"/>
      <c r="C2" s="492"/>
      <c r="D2" s="492"/>
      <c r="E2" s="492"/>
      <c r="F2" s="492"/>
      <c r="G2" s="492"/>
      <c r="H2" s="492"/>
      <c r="I2" s="492"/>
      <c r="J2" s="492"/>
      <c r="K2" s="492"/>
      <c r="L2" s="492"/>
      <c r="M2" s="492"/>
    </row>
    <row r="3" spans="1:17">
      <c r="A3" s="493" t="s">
        <v>4568</v>
      </c>
      <c r="B3" s="492"/>
      <c r="C3" s="492"/>
      <c r="D3" s="493"/>
      <c r="E3" s="493"/>
      <c r="F3" s="493"/>
      <c r="G3" s="493"/>
      <c r="H3" s="493"/>
      <c r="I3" s="493"/>
      <c r="J3" s="493"/>
      <c r="K3" s="493"/>
      <c r="L3" s="493"/>
      <c r="M3" s="493"/>
      <c r="N3" s="168"/>
    </row>
    <row r="4" spans="1:17">
      <c r="C4" s="168"/>
    </row>
    <row r="5" spans="1:17">
      <c r="C5" s="168"/>
    </row>
    <row r="6" spans="1:17">
      <c r="C6" s="168"/>
      <c r="E6" s="1043" t="s">
        <v>1337</v>
      </c>
      <c r="F6" s="1043"/>
      <c r="G6" s="1043"/>
      <c r="I6" s="167" t="s">
        <v>1336</v>
      </c>
      <c r="K6" s="167" t="s">
        <v>1335</v>
      </c>
      <c r="M6" s="167" t="s">
        <v>1341</v>
      </c>
    </row>
    <row r="7" spans="1:17" ht="13.5" customHeight="1">
      <c r="M7" s="1044" t="s">
        <v>2936</v>
      </c>
    </row>
    <row r="8" spans="1:17" ht="13.5" customHeight="1">
      <c r="E8" s="1044" t="s">
        <v>4599</v>
      </c>
      <c r="F8" s="1044"/>
      <c r="G8" s="1044"/>
      <c r="I8" s="1044" t="s">
        <v>2937</v>
      </c>
      <c r="K8" s="167"/>
      <c r="M8" s="1044"/>
    </row>
    <row r="9" spans="1:17">
      <c r="E9" s="1044"/>
      <c r="F9" s="1044"/>
      <c r="G9" s="1044"/>
      <c r="I9" s="1044"/>
      <c r="K9" s="1044" t="s">
        <v>2938</v>
      </c>
      <c r="M9" s="1044"/>
      <c r="Q9" s="53" t="s">
        <v>1418</v>
      </c>
    </row>
    <row r="10" spans="1:17" ht="12.75" customHeight="1">
      <c r="E10" s="1044"/>
      <c r="F10" s="1044"/>
      <c r="G10" s="1044"/>
      <c r="I10" s="1044"/>
      <c r="K10" s="1044"/>
      <c r="M10" s="1044"/>
    </row>
    <row r="11" spans="1:17" ht="30.75" customHeight="1">
      <c r="A11" s="169" t="s">
        <v>92</v>
      </c>
      <c r="E11" s="1045"/>
      <c r="F11" s="1045"/>
      <c r="G11" s="1045"/>
      <c r="I11" s="1045"/>
      <c r="K11" s="1045"/>
      <c r="M11" s="1045"/>
    </row>
    <row r="12" spans="1:17">
      <c r="A12" s="167"/>
      <c r="E12" s="170" t="s">
        <v>2939</v>
      </c>
      <c r="F12" s="170"/>
      <c r="G12" s="167" t="s">
        <v>2940</v>
      </c>
    </row>
    <row r="13" spans="1:17">
      <c r="A13" s="167"/>
    </row>
    <row r="14" spans="1:17" ht="31.5">
      <c r="A14" s="170"/>
      <c r="B14" s="170" t="s">
        <v>4185</v>
      </c>
      <c r="C14" s="334" t="s">
        <v>4388</v>
      </c>
      <c r="E14" s="366">
        <f ca="1">'9.2 Market Cap'!P13</f>
        <v>2179.6631273816597</v>
      </c>
      <c r="F14" s="171"/>
      <c r="G14" s="172"/>
      <c r="I14" s="173">
        <v>6</v>
      </c>
      <c r="K14" s="174">
        <f>VLOOKUP(I14,$G$22:$M$31,7,FALSE)</f>
        <v>1.37E-2</v>
      </c>
    </row>
    <row r="15" spans="1:17">
      <c r="A15" s="170"/>
      <c r="B15" s="170"/>
      <c r="C15" s="171"/>
      <c r="E15" s="175"/>
      <c r="F15" s="171"/>
      <c r="G15" s="172"/>
      <c r="I15" s="173"/>
      <c r="K15" s="176"/>
    </row>
    <row r="16" spans="1:17" ht="31.5" customHeight="1">
      <c r="A16" s="170"/>
      <c r="B16" s="167" t="s">
        <v>4185</v>
      </c>
      <c r="C16" s="437" t="s">
        <v>4242</v>
      </c>
      <c r="E16" s="177">
        <f ca="1">'9.2 Market Cap'!P24</f>
        <v>6634.06</v>
      </c>
      <c r="F16" s="167"/>
      <c r="G16" s="178">
        <f ca="1">ROUND(E16/E14,1)</f>
        <v>3</v>
      </c>
      <c r="H16" s="53" t="s">
        <v>44</v>
      </c>
      <c r="I16" s="167">
        <v>4</v>
      </c>
      <c r="K16" s="174">
        <f>VLOOKUP(I16,$G$22:$M$31,7,FALSE)</f>
        <v>7.4999999999999997E-3</v>
      </c>
      <c r="M16" s="77">
        <f>K14-K16</f>
        <v>6.2000000000000006E-3</v>
      </c>
      <c r="P16" s="468"/>
    </row>
    <row r="17" spans="1:20" ht="45" customHeight="1">
      <c r="A17" s="170"/>
      <c r="C17" s="179"/>
      <c r="E17" s="177"/>
      <c r="F17" s="167"/>
      <c r="G17" s="178"/>
      <c r="I17" s="167"/>
      <c r="K17" s="176"/>
      <c r="M17" s="77"/>
    </row>
    <row r="18" spans="1:20" ht="15" customHeight="1">
      <c r="G18" s="167" t="s">
        <v>2782</v>
      </c>
      <c r="H18" s="167"/>
      <c r="I18" s="167" t="s">
        <v>2783</v>
      </c>
      <c r="J18" s="167"/>
      <c r="K18" s="167" t="s">
        <v>2784</v>
      </c>
      <c r="L18" s="167"/>
      <c r="M18" s="167" t="s">
        <v>2785</v>
      </c>
      <c r="N18" s="180"/>
      <c r="O18" s="180"/>
      <c r="P18" s="180"/>
    </row>
    <row r="19" spans="1:20" ht="67.5" customHeight="1">
      <c r="G19" s="169" t="s">
        <v>2941</v>
      </c>
      <c r="I19" s="169" t="s">
        <v>2942</v>
      </c>
      <c r="J19" s="53" t="s">
        <v>1418</v>
      </c>
      <c r="K19" s="169" t="s">
        <v>2943</v>
      </c>
      <c r="L19" s="53" t="s">
        <v>1418</v>
      </c>
      <c r="M19" s="169" t="s">
        <v>2944</v>
      </c>
      <c r="N19" s="180"/>
      <c r="O19" s="180"/>
      <c r="P19" s="180"/>
      <c r="T19" s="77"/>
    </row>
    <row r="20" spans="1:20">
      <c r="G20" s="53" t="s">
        <v>1418</v>
      </c>
      <c r="I20" s="167" t="s">
        <v>2939</v>
      </c>
      <c r="J20" s="53" t="s">
        <v>1418</v>
      </c>
      <c r="K20" s="167" t="s">
        <v>2939</v>
      </c>
      <c r="L20" s="53" t="s">
        <v>1418</v>
      </c>
      <c r="M20" s="53" t="s">
        <v>1418</v>
      </c>
      <c r="N20" s="180"/>
      <c r="O20" s="180"/>
      <c r="P20" s="180"/>
    </row>
    <row r="21" spans="1:20">
      <c r="G21" s="53" t="s">
        <v>1418</v>
      </c>
      <c r="I21" s="53" t="s">
        <v>1418</v>
      </c>
      <c r="K21" s="53" t="s">
        <v>1418</v>
      </c>
      <c r="L21" s="53" t="s">
        <v>1418</v>
      </c>
      <c r="M21" s="53" t="s">
        <v>1418</v>
      </c>
      <c r="N21" s="180"/>
      <c r="O21" s="180"/>
      <c r="P21" s="180"/>
    </row>
    <row r="22" spans="1:20">
      <c r="E22" s="181" t="s">
        <v>2945</v>
      </c>
      <c r="G22" s="167">
        <v>1</v>
      </c>
      <c r="I22" s="182">
        <v>36160.584000000003</v>
      </c>
      <c r="J22" s="182" t="s">
        <v>1418</v>
      </c>
      <c r="K22" s="182">
        <v>2324390.219</v>
      </c>
      <c r="L22" s="53" t="s">
        <v>1418</v>
      </c>
      <c r="M22" s="311">
        <v>-2.2000000000000001E-3</v>
      </c>
      <c r="N22" s="180"/>
      <c r="O22" s="183"/>
      <c r="P22" s="184"/>
    </row>
    <row r="23" spans="1:20">
      <c r="G23" s="167">
        <v>2</v>
      </c>
      <c r="I23" s="185">
        <v>16759.39</v>
      </c>
      <c r="J23" s="185" t="s">
        <v>1418</v>
      </c>
      <c r="K23" s="185">
        <v>36099.220999999998</v>
      </c>
      <c r="L23" s="53" t="s">
        <v>1418</v>
      </c>
      <c r="M23" s="311">
        <v>4.8999999999999998E-3</v>
      </c>
      <c r="N23" s="180"/>
      <c r="O23" s="183"/>
      <c r="P23" s="184"/>
    </row>
    <row r="24" spans="1:20">
      <c r="G24" s="167">
        <v>3</v>
      </c>
      <c r="I24" s="185">
        <v>8216.3559999999998</v>
      </c>
      <c r="J24" s="185" t="s">
        <v>1418</v>
      </c>
      <c r="K24" s="185">
        <v>16738.364000000001</v>
      </c>
      <c r="L24" s="53" t="s">
        <v>1418</v>
      </c>
      <c r="M24" s="311">
        <v>7.1000000000000004E-3</v>
      </c>
      <c r="N24" s="180"/>
      <c r="O24" s="183"/>
      <c r="P24" s="184"/>
    </row>
    <row r="25" spans="1:20">
      <c r="G25" s="167">
        <v>4</v>
      </c>
      <c r="I25" s="185">
        <v>5019.8829999999998</v>
      </c>
      <c r="J25" s="185" t="s">
        <v>1418</v>
      </c>
      <c r="K25" s="185">
        <v>8212.6380000000008</v>
      </c>
      <c r="L25" s="53" t="s">
        <v>1418</v>
      </c>
      <c r="M25" s="311">
        <v>7.4999999999999997E-3</v>
      </c>
      <c r="N25" s="180"/>
      <c r="O25" s="183"/>
      <c r="P25" s="184"/>
      <c r="Q25" s="186"/>
    </row>
    <row r="26" spans="1:20">
      <c r="E26" s="181"/>
      <c r="G26" s="167">
        <v>5</v>
      </c>
      <c r="I26" s="185">
        <v>3281.009</v>
      </c>
      <c r="J26" s="185"/>
      <c r="K26" s="185">
        <v>5003.7470000000003</v>
      </c>
      <c r="L26" s="53" t="s">
        <v>1418</v>
      </c>
      <c r="M26" s="311">
        <v>1.09E-2</v>
      </c>
      <c r="N26" s="180"/>
      <c r="O26" s="183"/>
      <c r="P26" s="184"/>
      <c r="Q26" s="187"/>
    </row>
    <row r="27" spans="1:20">
      <c r="E27" s="181"/>
      <c r="G27" s="167">
        <v>6</v>
      </c>
      <c r="I27" s="185">
        <v>2170.3150000000001</v>
      </c>
      <c r="J27" s="185" t="s">
        <v>1418</v>
      </c>
      <c r="K27" s="185">
        <v>3276.5529999999999</v>
      </c>
      <c r="L27" s="53" t="s">
        <v>1418</v>
      </c>
      <c r="M27" s="311">
        <v>1.37E-2</v>
      </c>
      <c r="N27" s="180"/>
      <c r="O27" s="183"/>
      <c r="P27" s="184"/>
    </row>
    <row r="28" spans="1:20">
      <c r="E28" s="181"/>
      <c r="G28" s="167">
        <v>7</v>
      </c>
      <c r="I28" s="185">
        <v>1306.402</v>
      </c>
      <c r="J28" s="185"/>
      <c r="K28" s="185">
        <v>2164.5239999999999</v>
      </c>
      <c r="L28" s="53" t="s">
        <v>1418</v>
      </c>
      <c r="M28" s="311">
        <v>1.54E-2</v>
      </c>
      <c r="N28" s="180"/>
      <c r="O28" s="183"/>
      <c r="P28" s="184"/>
    </row>
    <row r="29" spans="1:20">
      <c r="E29" s="181"/>
      <c r="G29" s="167">
        <v>8</v>
      </c>
      <c r="I29" s="185">
        <v>629.11800000000005</v>
      </c>
      <c r="J29" s="185" t="s">
        <v>1418</v>
      </c>
      <c r="K29" s="185">
        <v>1306.038</v>
      </c>
      <c r="L29" s="53" t="s">
        <v>1418</v>
      </c>
      <c r="M29" s="311">
        <v>1.46E-2</v>
      </c>
      <c r="N29" s="180"/>
      <c r="O29" s="183"/>
      <c r="P29" s="184"/>
      <c r="R29" s="188"/>
    </row>
    <row r="30" spans="1:20">
      <c r="E30" s="181"/>
      <c r="G30" s="167">
        <v>9</v>
      </c>
      <c r="I30" s="185">
        <v>290.00200000000001</v>
      </c>
      <c r="J30" s="185" t="s">
        <v>1418</v>
      </c>
      <c r="K30" s="185">
        <v>627.803</v>
      </c>
      <c r="L30" s="53" t="s">
        <v>1418</v>
      </c>
      <c r="M30" s="311">
        <v>2.29E-2</v>
      </c>
      <c r="N30" s="180"/>
      <c r="O30" s="183"/>
      <c r="P30" s="184"/>
      <c r="R30" s="188"/>
    </row>
    <row r="31" spans="1:20">
      <c r="E31" s="181" t="s">
        <v>2946</v>
      </c>
      <c r="G31" s="167">
        <v>10</v>
      </c>
      <c r="I31" s="185">
        <v>10.587999999999999</v>
      </c>
      <c r="J31" s="185" t="s">
        <v>1418</v>
      </c>
      <c r="K31" s="185">
        <v>289.00700000000001</v>
      </c>
      <c r="L31" s="53" t="s">
        <v>1418</v>
      </c>
      <c r="M31" s="311">
        <v>5.0099999999999999E-2</v>
      </c>
      <c r="N31" s="180"/>
      <c r="O31" s="180"/>
      <c r="P31" s="180"/>
    </row>
    <row r="32" spans="1:20">
      <c r="E32" s="53" t="s">
        <v>1418</v>
      </c>
      <c r="F32" s="53" t="s">
        <v>1418</v>
      </c>
      <c r="H32" s="53" t="s">
        <v>4594</v>
      </c>
      <c r="I32" s="189"/>
      <c r="J32" s="189"/>
      <c r="K32" s="189"/>
      <c r="M32" s="125"/>
      <c r="P32" s="186"/>
      <c r="Q32" s="190"/>
    </row>
    <row r="33" spans="3:16">
      <c r="C33" s="181" t="s">
        <v>94</v>
      </c>
      <c r="E33" s="191"/>
      <c r="G33" s="191"/>
      <c r="K33" s="191"/>
      <c r="P33" s="186"/>
    </row>
    <row r="34" spans="3:16">
      <c r="D34" s="192" t="s">
        <v>95</v>
      </c>
      <c r="E34" s="368" t="s">
        <v>4398</v>
      </c>
      <c r="F34" s="368"/>
      <c r="G34" s="193"/>
      <c r="H34" s="194"/>
      <c r="I34" s="195"/>
      <c r="J34" s="194"/>
      <c r="K34" s="195"/>
      <c r="L34" s="194"/>
      <c r="M34" s="194"/>
      <c r="P34" s="186"/>
    </row>
    <row r="35" spans="3:16" ht="31.5" customHeight="1">
      <c r="D35" s="192" t="s">
        <v>96</v>
      </c>
      <c r="E35" s="1038" t="s">
        <v>2947</v>
      </c>
      <c r="F35" s="1039"/>
      <c r="G35" s="1039"/>
      <c r="H35" s="1039"/>
      <c r="I35" s="1039"/>
      <c r="J35" s="1039"/>
      <c r="K35" s="1039"/>
      <c r="L35" s="1039"/>
      <c r="M35" s="1039"/>
    </row>
    <row r="36" spans="3:16" ht="15" customHeight="1">
      <c r="D36" s="192" t="s">
        <v>97</v>
      </c>
      <c r="E36" s="194" t="s">
        <v>2948</v>
      </c>
      <c r="F36" s="194"/>
      <c r="G36" s="194"/>
      <c r="H36" s="194"/>
      <c r="I36" s="194"/>
      <c r="J36" s="194"/>
      <c r="K36" s="194"/>
      <c r="L36" s="194"/>
      <c r="M36" s="194"/>
    </row>
    <row r="37" spans="3:16">
      <c r="D37" s="192" t="s">
        <v>98</v>
      </c>
      <c r="E37" s="1040" t="str">
        <f>CONCATENATE("Line No. 1 Column [3] – Line No. 2 Column [3].  For example, the ",TEXT((M16*100),"#0.00"),"%  in Column [4], Line No. 2 is derived as follows ",TEXT((M16*100),"#0.00"),"% = ",K14*100,"% - ",TEXT((K16*100),"#0.00"),"%.")</f>
        <v>Line No. 1 Column [3] – Line No. 2 Column [3].  For example, the 0.62%  in Column [4], Line No. 2 is derived as follows 0.62% = 1.37% - 0.75%.</v>
      </c>
      <c r="F37" s="1041"/>
      <c r="G37" s="1041"/>
      <c r="H37" s="1041"/>
      <c r="I37" s="1041"/>
      <c r="J37" s="1041"/>
      <c r="K37" s="1041"/>
      <c r="L37" s="1041"/>
      <c r="M37" s="1041"/>
    </row>
    <row r="38" spans="3:16" ht="15.75" customHeight="1">
      <c r="E38" s="1042"/>
      <c r="F38" s="1042"/>
      <c r="G38" s="1042"/>
      <c r="H38" s="1042"/>
      <c r="I38" s="1042"/>
      <c r="J38" s="1042"/>
      <c r="K38" s="1042"/>
      <c r="L38" s="1042"/>
      <c r="M38" s="1042"/>
    </row>
  </sheetData>
  <mergeCells count="7">
    <mergeCell ref="E35:M35"/>
    <mergeCell ref="E37:M38"/>
    <mergeCell ref="E6:G6"/>
    <mergeCell ref="M7:M11"/>
    <mergeCell ref="E8:G11"/>
    <mergeCell ref="I8:I11"/>
    <mergeCell ref="K9:K11"/>
  </mergeCells>
  <printOptions horizontalCentered="1"/>
  <pageMargins left="0.7" right="0.7" top="0.75" bottom="0.75" header="0.3" footer="0.3"/>
  <pageSetup scale="53" orientation="landscape" horizontalDpi="4294967293"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T40"/>
  <sheetViews>
    <sheetView view="pageBreakPreview" zoomScale="70" zoomScaleNormal="100" zoomScaleSheetLayoutView="70" workbookViewId="0"/>
  </sheetViews>
  <sheetFormatPr defaultColWidth="9" defaultRowHeight="15.75"/>
  <cols>
    <col min="1" max="1" width="9" style="196"/>
    <col min="2" max="2" width="39.5703125" style="196" customWidth="1"/>
    <col min="3" max="3" width="2.7109375" style="196" customWidth="1"/>
    <col min="4" max="4" width="12.5703125" style="196" customWidth="1"/>
    <col min="5" max="5" width="4.140625" style="196" customWidth="1"/>
    <col min="6" max="6" width="21.28515625" style="196" customWidth="1"/>
    <col min="7" max="7" width="2.7109375" style="196" customWidth="1"/>
    <col min="8" max="8" width="21.28515625" style="196" customWidth="1"/>
    <col min="9" max="9" width="2.7109375" style="196" customWidth="1"/>
    <col min="10" max="10" width="21.5703125" style="196" customWidth="1"/>
    <col min="11" max="11" width="4" style="196" customWidth="1"/>
    <col min="12" max="12" width="21.5703125" style="196" customWidth="1"/>
    <col min="13" max="13" width="2.28515625" style="196" customWidth="1"/>
    <col min="14" max="14" width="21.5703125" style="196" customWidth="1"/>
    <col min="15" max="15" width="4.140625" style="196" customWidth="1"/>
    <col min="16" max="16" width="21.28515625" style="196" customWidth="1"/>
    <col min="17" max="17" width="4.140625" style="196" customWidth="1"/>
    <col min="18" max="18" width="9" style="196"/>
    <col min="19" max="19" width="9" style="196" customWidth="1"/>
    <col min="20" max="16384" width="9" style="196"/>
  </cols>
  <sheetData>
    <row r="1" spans="1:17">
      <c r="A1" s="197" t="str">
        <f>Input!G28</f>
        <v>Peoples Gas System</v>
      </c>
      <c r="B1" s="198"/>
      <c r="C1" s="198"/>
      <c r="D1" s="198"/>
      <c r="E1" s="198"/>
      <c r="F1" s="198"/>
      <c r="G1" s="198"/>
      <c r="H1" s="198"/>
      <c r="I1" s="198"/>
      <c r="J1" s="198"/>
      <c r="K1" s="198"/>
      <c r="L1" s="198"/>
      <c r="M1" s="198"/>
      <c r="N1" s="198"/>
      <c r="O1" s="198"/>
      <c r="P1" s="198"/>
      <c r="Q1" s="198"/>
    </row>
    <row r="2" spans="1:17">
      <c r="A2" s="198" t="str">
        <f>CONCATENATE("Market Capitalization of ",A1," and the")</f>
        <v>Market Capitalization of Peoples Gas System and the</v>
      </c>
      <c r="B2" s="198"/>
      <c r="C2" s="198"/>
      <c r="D2" s="198"/>
      <c r="E2" s="198"/>
      <c r="F2" s="198"/>
      <c r="G2" s="198"/>
      <c r="H2" s="198"/>
      <c r="I2" s="198"/>
      <c r="J2" s="198"/>
      <c r="K2" s="198"/>
      <c r="L2" s="198"/>
      <c r="M2" s="198"/>
      <c r="N2" s="198"/>
      <c r="O2" s="198"/>
      <c r="P2" s="198"/>
      <c r="Q2" s="198"/>
    </row>
    <row r="3" spans="1:17">
      <c r="A3" s="198" t="str">
        <f>Input!I29</f>
        <v>Utility Proxy Group</v>
      </c>
      <c r="B3" s="197"/>
      <c r="C3" s="198"/>
      <c r="D3" s="198"/>
      <c r="E3" s="198"/>
      <c r="F3" s="198"/>
      <c r="G3" s="198"/>
      <c r="H3" s="198"/>
      <c r="I3" s="198"/>
      <c r="J3" s="198"/>
      <c r="K3" s="198"/>
      <c r="L3" s="198"/>
      <c r="M3" s="198"/>
      <c r="N3" s="198"/>
      <c r="O3" s="198"/>
      <c r="P3" s="198"/>
      <c r="Q3" s="198"/>
    </row>
    <row r="6" spans="1:17">
      <c r="F6" s="199" t="s">
        <v>1337</v>
      </c>
      <c r="G6" s="199"/>
      <c r="H6" s="199" t="s">
        <v>1336</v>
      </c>
      <c r="I6" s="199"/>
      <c r="J6" s="199" t="s">
        <v>1335</v>
      </c>
      <c r="K6" s="199"/>
      <c r="L6" s="199" t="s">
        <v>1341</v>
      </c>
      <c r="M6" s="199"/>
      <c r="N6" s="199" t="s">
        <v>1342</v>
      </c>
      <c r="O6" s="199"/>
      <c r="P6" s="199" t="s">
        <v>1345</v>
      </c>
    </row>
    <row r="8" spans="1:17" ht="84.75" customHeight="1">
      <c r="B8" s="200" t="s">
        <v>158</v>
      </c>
      <c r="D8" s="200" t="s">
        <v>2949</v>
      </c>
      <c r="F8" s="200" t="str">
        <f>CONCATENATE("Common Stock Shares Outstanding at Fiscal Year End ",YEAR(Input!G49))</f>
        <v>Common Stock Shares Outstanding at Fiscal Year End 2021</v>
      </c>
      <c r="H8" s="200" t="s">
        <v>4387</v>
      </c>
      <c r="J8" s="200" t="str">
        <f>CONCATENATE("Total Common Equity at Fiscal Year End ",YEAR(Input!G49))</f>
        <v>Total Common Equity at Fiscal Year End 2021</v>
      </c>
      <c r="L8" s="200" t="str">
        <f>CONCATENATE("Closing Stock Market Price on ",TEXT(Input!E2,"mmmm dd, yyyy"))</f>
        <v>Closing Stock Market Price on December 30, 2022</v>
      </c>
      <c r="N8" s="200" t="str">
        <f>CONCATENATE("Market-to-Book Ratio on ",TEXT(Input!E2,"mmmm dd, yyyy")," (2)")</f>
        <v>Market-to-Book Ratio on December 30, 2022 (2)</v>
      </c>
      <c r="P8" s="200" t="str">
        <f>CONCATENATE("Market Capitalization on ",TEXT(Input!E2,"mmmm dd, yyyy")," (3)")</f>
        <v>Market Capitalization on December 30, 2022 (3)</v>
      </c>
    </row>
    <row r="9" spans="1:17">
      <c r="B9" s="199"/>
      <c r="C9" s="199"/>
      <c r="D9" s="199"/>
      <c r="E9" s="199"/>
      <c r="F9" s="201" t="s">
        <v>2939</v>
      </c>
      <c r="G9" s="199"/>
      <c r="H9" s="199"/>
      <c r="I9" s="199"/>
      <c r="J9" s="201" t="s">
        <v>2939</v>
      </c>
      <c r="K9" s="199"/>
      <c r="L9" s="199"/>
      <c r="M9" s="199"/>
      <c r="N9" s="199"/>
      <c r="O9" s="199"/>
      <c r="P9" s="201" t="s">
        <v>2939</v>
      </c>
    </row>
    <row r="11" spans="1:17" ht="16.5" thickBot="1">
      <c r="B11" s="202" t="str">
        <f>Input!G28</f>
        <v>Peoples Gas System</v>
      </c>
      <c r="F11" s="203" t="s">
        <v>1447</v>
      </c>
      <c r="G11" s="204"/>
      <c r="H11" s="203" t="s">
        <v>1447</v>
      </c>
      <c r="J11" s="747">
        <f>(Input!G43)/1000000*Input!F14</f>
        <v>1124.1171363494893</v>
      </c>
      <c r="K11" s="204" t="s">
        <v>98</v>
      </c>
      <c r="L11" s="203" t="s">
        <v>1447</v>
      </c>
    </row>
    <row r="12" spans="1:17" ht="16.5" thickTop="1"/>
    <row r="13" spans="1:17" ht="32.25" thickBot="1">
      <c r="B13" s="4" t="str">
        <f>CONCATENATE("Based upon ",B16)</f>
        <v>Based upon Proxy Group of Six Natural Gas Companies</v>
      </c>
      <c r="N13" s="250">
        <f ca="1">N24</f>
        <v>193.9</v>
      </c>
      <c r="O13" s="205" t="s">
        <v>110</v>
      </c>
      <c r="P13" s="206">
        <f ca="1">IFERROR(N13*J11/100,"NA")</f>
        <v>2179.6631273816597</v>
      </c>
      <c r="Q13" s="204" t="s">
        <v>111</v>
      </c>
    </row>
    <row r="14" spans="1:17" ht="16.5" thickTop="1">
      <c r="B14" s="12"/>
      <c r="N14" s="208"/>
      <c r="O14" s="205"/>
      <c r="P14" s="209"/>
      <c r="Q14" s="204"/>
    </row>
    <row r="15" spans="1:17">
      <c r="B15" s="207"/>
      <c r="N15" s="208"/>
      <c r="O15" s="205"/>
      <c r="P15" s="209"/>
      <c r="Q15" s="204"/>
    </row>
    <row r="16" spans="1:17">
      <c r="B16" s="546" t="str">
        <f>Input!I30</f>
        <v>Proxy Group of Six Natural Gas Companies</v>
      </c>
    </row>
    <row r="17" spans="1:20">
      <c r="A17" s="196" t="str">
        <f>Input!A2</f>
        <v>ATO</v>
      </c>
      <c r="B17" s="542" t="str">
        <f>'Proxy Data Lookup'!B3</f>
        <v>Atmos Energy Corporation</v>
      </c>
      <c r="D17" s="196" t="str">
        <f>Input!B2</f>
        <v>NYSE</v>
      </c>
      <c r="F17" s="369" cm="1">
        <f t="array" aca="1" ref="F17" ca="1">INDIRECT("'3. "&amp;$A17&amp;"'!C15")/1000000</f>
        <v>132.41975400000001</v>
      </c>
      <c r="H17" s="648">
        <f t="shared" ref="H17:H22" ca="1" si="0">IFERROR(ROUND(J17/F17,3),"NA")</f>
        <v>59.710999999999999</v>
      </c>
      <c r="I17" s="649"/>
      <c r="J17" s="503" cm="1">
        <f t="array" aca="1" ref="J17" ca="1">INDIRECT("'3. "&amp;$A17&amp;"'!C16")/1000000</f>
        <v>7906.8890000000001</v>
      </c>
      <c r="K17" s="650"/>
      <c r="L17" s="650">
        <f>HLOOKUP(A17,'Proxy Price Data'!$D$1:$I$3,3,FALSE)</f>
        <v>112.07</v>
      </c>
      <c r="N17" s="370">
        <f t="shared" ref="N17:N22" ca="1" si="1">IFERROR(ROUND(L17/H17*100,1),"NA")</f>
        <v>187.7</v>
      </c>
      <c r="O17" s="204" t="s">
        <v>18</v>
      </c>
      <c r="P17" s="302">
        <f t="shared" ref="P17:P22" ca="1" si="2">IFERROR(ROUND(F17*L17,3),"NA")</f>
        <v>14840.281999999999</v>
      </c>
    </row>
    <row r="18" spans="1:20">
      <c r="A18" s="196" t="str">
        <f>Input!A3</f>
        <v>NJR</v>
      </c>
      <c r="B18" s="542" t="str">
        <f>'Proxy Data Lookup'!B4</f>
        <v>New Jersey Resources Corporation</v>
      </c>
      <c r="D18" s="196" t="str">
        <f>Input!B3</f>
        <v>NYSE</v>
      </c>
      <c r="F18" s="369" cm="1">
        <f t="array" aca="1" ref="F18" ca="1">INDIRECT("'3. "&amp;$A18&amp;"'!C15")/1000000</f>
        <v>95.709661999999994</v>
      </c>
      <c r="H18" s="648">
        <f t="shared" ca="1" si="0"/>
        <v>17.04</v>
      </c>
      <c r="I18" s="649"/>
      <c r="J18" s="651" cm="1">
        <f t="array" aca="1" ref="J18" ca="1">INDIRECT("'3. "&amp;$A18&amp;"'!C16")/1000000</f>
        <v>1630.8620000000001</v>
      </c>
      <c r="K18" s="650"/>
      <c r="L18" s="650">
        <f>HLOOKUP(A18,'Proxy Price Data'!$D$1:$I$3,3,FALSE)</f>
        <v>49.62</v>
      </c>
      <c r="N18" s="370">
        <f t="shared" ca="1" si="1"/>
        <v>291.2</v>
      </c>
      <c r="O18" s="204"/>
      <c r="P18" s="6">
        <f t="shared" ca="1" si="2"/>
        <v>4749.1130000000003</v>
      </c>
    </row>
    <row r="19" spans="1:20">
      <c r="A19" s="196" t="str">
        <f>Input!A4</f>
        <v>NI</v>
      </c>
      <c r="B19" s="542" t="str">
        <f>'Proxy Data Lookup'!B5</f>
        <v>NiSource Inc.</v>
      </c>
      <c r="D19" s="196" t="str">
        <f>Input!B4</f>
        <v>NYSE</v>
      </c>
      <c r="F19" s="369" cm="1">
        <f t="array" aca="1" ref="F19" ca="1">INDIRECT("'3. "&amp;$A19&amp;"'!C15")/1000000</f>
        <v>405.303023</v>
      </c>
      <c r="H19" s="648">
        <f t="shared" ca="1" si="0"/>
        <v>13.324999999999999</v>
      </c>
      <c r="I19" s="649"/>
      <c r="J19" s="651" cm="1">
        <f t="array" aca="1" ref="J19" ca="1">INDIRECT("'3. "&amp;$A19&amp;"'!C16")/1000000</f>
        <v>5400.8</v>
      </c>
      <c r="K19" s="650"/>
      <c r="L19" s="650">
        <f>HLOOKUP(A19,'Proxy Price Data'!$D$1:$I$3,3,FALSE)</f>
        <v>27.42</v>
      </c>
      <c r="N19" s="370">
        <f t="shared" ca="1" si="1"/>
        <v>205.8</v>
      </c>
      <c r="O19" s="204"/>
      <c r="P19" s="6">
        <f t="shared" ca="1" si="2"/>
        <v>11113.409</v>
      </c>
    </row>
    <row r="20" spans="1:20">
      <c r="A20" s="196" t="str">
        <f>Input!A5</f>
        <v>NWN</v>
      </c>
      <c r="B20" s="542" t="str">
        <f>'Proxy Data Lookup'!B6</f>
        <v>Northwest Natural Holding Company</v>
      </c>
      <c r="D20" s="196" t="str">
        <f>Input!B5</f>
        <v>NYSE</v>
      </c>
      <c r="F20" s="369" cm="1">
        <f t="array" aca="1" ref="F20" ca="1">INDIRECT("'3. "&amp;$A20&amp;"'!C15")/1000000</f>
        <v>31.129000000000001</v>
      </c>
      <c r="H20" s="648">
        <f t="shared" ca="1" si="0"/>
        <v>30.041</v>
      </c>
      <c r="I20" s="649"/>
      <c r="J20" s="651" cm="1">
        <f t="array" aca="1" ref="J20" ca="1">INDIRECT("'3. "&amp;$A20&amp;"'!C16")/1000000</f>
        <v>935.14599999999996</v>
      </c>
      <c r="K20" s="650"/>
      <c r="L20" s="650">
        <f>HLOOKUP(A20,'Proxy Price Data'!$D$1:$I$3,3,FALSE)</f>
        <v>47.59</v>
      </c>
      <c r="N20" s="370">
        <f t="shared" ca="1" si="1"/>
        <v>158.4</v>
      </c>
      <c r="O20" s="204"/>
      <c r="P20" s="6">
        <f t="shared" ca="1" si="2"/>
        <v>1481.4290000000001</v>
      </c>
    </row>
    <row r="21" spans="1:20">
      <c r="A21" s="196" t="str">
        <f>Input!A6</f>
        <v>OGS</v>
      </c>
      <c r="B21" s="542" t="str">
        <f>'Proxy Data Lookup'!B7</f>
        <v>ONE Gas, Inc.</v>
      </c>
      <c r="D21" s="196" t="str">
        <f>Input!B6</f>
        <v>NYSE</v>
      </c>
      <c r="F21" s="369" cm="1">
        <f t="array" aca="1" ref="F21" ca="1">INDIRECT("'3. "&amp;$A21&amp;"'!C15")/1000000</f>
        <v>53.633209999999998</v>
      </c>
      <c r="H21" s="648">
        <f t="shared" ca="1" si="0"/>
        <v>43.807000000000002</v>
      </c>
      <c r="I21" s="649"/>
      <c r="J21" s="651" cm="1">
        <f t="array" aca="1" ref="J21" ca="1">INDIRECT("'3. "&amp;$A21&amp;"'!C16")/1000000</f>
        <v>2349.5320000000002</v>
      </c>
      <c r="K21" s="650"/>
      <c r="L21" s="650">
        <f>HLOOKUP(A21,'Proxy Price Data'!$D$1:$I$3,3,FALSE)</f>
        <v>75.72</v>
      </c>
      <c r="N21" s="370">
        <f t="shared" ca="1" si="1"/>
        <v>172.8</v>
      </c>
      <c r="O21" s="204"/>
      <c r="P21" s="6">
        <f t="shared" ca="1" si="2"/>
        <v>4061.107</v>
      </c>
    </row>
    <row r="22" spans="1:20">
      <c r="A22" s="196" t="str">
        <f>Input!A7</f>
        <v>SR</v>
      </c>
      <c r="B22" s="542" t="str">
        <f>'Proxy Data Lookup'!B8</f>
        <v>Spire Inc.</v>
      </c>
      <c r="D22" s="196" t="str">
        <f>Input!B7</f>
        <v>NYSE</v>
      </c>
      <c r="F22" s="504" cm="1">
        <f t="array" aca="1" ref="F22" ca="1">INDIRECT("'3. "&amp;$A22&amp;"'!C15")/1000000</f>
        <v>51.684882999999999</v>
      </c>
      <c r="H22" s="652">
        <f t="shared" ca="1" si="0"/>
        <v>46.749000000000002</v>
      </c>
      <c r="I22" s="649"/>
      <c r="J22" s="653" cm="1">
        <f t="array" aca="1" ref="J22" ca="1">INDIRECT("'3. "&amp;$A22&amp;"'!C16")/1000000</f>
        <v>2416.1999999999998</v>
      </c>
      <c r="K22" s="650"/>
      <c r="L22" s="654">
        <f>HLOOKUP(A22,'Proxy Price Data'!$D$1:$I$3,3,FALSE)</f>
        <v>68.86</v>
      </c>
      <c r="N22" s="509">
        <f t="shared" ca="1" si="1"/>
        <v>147.30000000000001</v>
      </c>
      <c r="O22" s="204"/>
      <c r="P22" s="476">
        <f t="shared" ca="1" si="2"/>
        <v>3559.0210000000002</v>
      </c>
    </row>
    <row r="24" spans="1:20" ht="16.5" thickBot="1">
      <c r="B24" s="196" t="s">
        <v>80</v>
      </c>
      <c r="F24" s="371">
        <f ca="1">ROUND(AVERAGE(F16:F23),3)</f>
        <v>128.31299999999999</v>
      </c>
      <c r="H24" s="372">
        <f ca="1">ROUND(AVERAGE(H16:H23),3)</f>
        <v>35.112000000000002</v>
      </c>
      <c r="J24" s="372">
        <f ca="1">ROUND(AVERAGE(J16:J23),3)</f>
        <v>3439.9050000000002</v>
      </c>
      <c r="L24" s="372">
        <f>ROUND(AVERAGE(L16:L23),3)</f>
        <v>63.546999999999997</v>
      </c>
      <c r="N24" s="373">
        <f ca="1">ROUND(AVERAGE(N16:N23),1)</f>
        <v>193.9</v>
      </c>
      <c r="O24" s="204" t="s">
        <v>18</v>
      </c>
      <c r="P24" s="372">
        <f ca="1">ROUND(AVERAGE(P16:P23),3)</f>
        <v>6634.06</v>
      </c>
      <c r="T24" s="302"/>
    </row>
    <row r="25" spans="1:20" ht="16.5" thickTop="1">
      <c r="F25" s="369"/>
      <c r="H25" s="302"/>
      <c r="J25" s="302"/>
      <c r="L25" s="302"/>
      <c r="N25" s="370"/>
      <c r="O25" s="204"/>
      <c r="P25" s="302"/>
    </row>
    <row r="26" spans="1:20">
      <c r="F26" s="369"/>
      <c r="H26" s="302"/>
      <c r="J26" s="302"/>
      <c r="L26" s="302"/>
      <c r="N26" s="370"/>
      <c r="O26" s="204"/>
      <c r="P26" s="302"/>
    </row>
    <row r="27" spans="1:20">
      <c r="F27" s="369"/>
      <c r="H27" s="302"/>
      <c r="J27" s="302"/>
      <c r="L27" s="302"/>
      <c r="N27" s="370"/>
      <c r="O27" s="204"/>
      <c r="P27" s="302"/>
    </row>
    <row r="28" spans="1:20">
      <c r="C28" s="196" t="s">
        <v>194</v>
      </c>
      <c r="N28" s="303"/>
    </row>
    <row r="29" spans="1:20">
      <c r="N29" s="303"/>
    </row>
    <row r="30" spans="1:20">
      <c r="D30" s="210" t="s">
        <v>94</v>
      </c>
      <c r="E30" s="204" t="s">
        <v>95</v>
      </c>
      <c r="F30" s="196" t="s">
        <v>2950</v>
      </c>
      <c r="N30" s="303"/>
    </row>
    <row r="31" spans="1:20">
      <c r="E31" s="204" t="s">
        <v>96</v>
      </c>
      <c r="F31" s="196" t="s">
        <v>2951</v>
      </c>
    </row>
    <row r="32" spans="1:20">
      <c r="E32" s="204" t="s">
        <v>97</v>
      </c>
      <c r="F32" s="196" t="s">
        <v>2952</v>
      </c>
    </row>
    <row r="33" spans="2:16" ht="14.25" customHeight="1">
      <c r="E33" s="204" t="s">
        <v>98</v>
      </c>
      <c r="F33" s="196" t="s">
        <v>3937</v>
      </c>
    </row>
    <row r="34" spans="2:16" ht="32.25" customHeight="1">
      <c r="E34" s="211" t="s">
        <v>110</v>
      </c>
      <c r="F34" s="1046" t="str">
        <f>CONCATENATE("The market-to-book ratio of ",Input!G28," on ",TEXT(Input!E2,"mmmm dd, yyyy")," is assumed to be equal to the market-to-book ratio of ",'9.2 Market Cap'!B3," on ",TEXT(Input!E2,"mmmm dd, yyyy")," as appropriate.")</f>
        <v>The market-to-book ratio of Peoples Gas System on December 30, 2022 is assumed to be equal to the market-to-book ratio of  on December 30, 2022 as appropriate.</v>
      </c>
      <c r="G34" s="1046"/>
      <c r="H34" s="1046"/>
      <c r="I34" s="1046"/>
      <c r="J34" s="1046"/>
      <c r="K34" s="1046"/>
      <c r="L34" s="1046"/>
      <c r="M34" s="1046"/>
      <c r="N34" s="1046"/>
      <c r="O34" s="1046"/>
      <c r="P34" s="1046"/>
    </row>
    <row r="35" spans="2:16">
      <c r="E35" s="211" t="s">
        <v>111</v>
      </c>
      <c r="F35" s="1046" t="s">
        <v>2953</v>
      </c>
      <c r="G35" s="1046"/>
      <c r="H35" s="1046"/>
      <c r="I35" s="1046"/>
      <c r="J35" s="1046"/>
      <c r="K35" s="1046"/>
      <c r="L35" s="1046"/>
      <c r="M35" s="1046"/>
      <c r="N35" s="1046"/>
      <c r="O35" s="1046"/>
      <c r="P35" s="1046"/>
    </row>
    <row r="36" spans="2:16">
      <c r="E36" s="204"/>
      <c r="F36" s="212"/>
      <c r="G36" s="212"/>
      <c r="H36" s="212"/>
      <c r="I36" s="212"/>
      <c r="J36" s="212"/>
      <c r="K36" s="212"/>
      <c r="L36" s="212"/>
      <c r="M36" s="212"/>
      <c r="N36" s="212"/>
      <c r="O36" s="212"/>
      <c r="P36" s="212"/>
    </row>
    <row r="38" spans="2:16">
      <c r="B38" s="210" t="s">
        <v>146</v>
      </c>
      <c r="C38" s="196" t="str">
        <f>CONCATENATE(YEAR(Input!G49)," Annual Forms 10K.")</f>
        <v>2021 Annual Forms 10K.</v>
      </c>
    </row>
    <row r="39" spans="2:16">
      <c r="C39" s="196" t="s">
        <v>4234</v>
      </c>
    </row>
    <row r="40" spans="2:16">
      <c r="C40" s="196" t="s">
        <v>4222</v>
      </c>
    </row>
  </sheetData>
  <mergeCells count="2">
    <mergeCell ref="F34:P34"/>
    <mergeCell ref="F35:P35"/>
  </mergeCells>
  <printOptions horizontalCentered="1"/>
  <pageMargins left="0.45" right="0.45" top="0.75" bottom="0.75" header="0.3" footer="0.3"/>
  <pageSetup scale="56" orientation="landscape" horizontalDpi="4294967294"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7"/>
  <sheetViews>
    <sheetView view="pageBreakPreview" zoomScale="66" zoomScaleNormal="58" zoomScaleSheetLayoutView="66" workbookViewId="0"/>
  </sheetViews>
  <sheetFormatPr defaultColWidth="9" defaultRowHeight="15.75"/>
  <cols>
    <col min="1" max="1" width="9" style="687"/>
    <col min="2" max="2" width="22.42578125" style="687" bestFit="1" customWidth="1"/>
    <col min="3" max="3" width="14.28515625" style="688" bestFit="1" customWidth="1"/>
    <col min="4" max="4" width="16" style="687" customWidth="1"/>
    <col min="5" max="5" width="17" style="687" customWidth="1"/>
    <col min="6" max="6" width="17.85546875" style="687" customWidth="1"/>
    <col min="7" max="7" width="15" style="687" customWidth="1"/>
    <col min="8" max="8" width="15.5703125" style="687" customWidth="1"/>
    <col min="9" max="9" width="16.42578125" style="687" customWidth="1"/>
    <col min="10" max="10" width="2.7109375" style="687" customWidth="1"/>
    <col min="11" max="11" width="14.5703125" style="687" customWidth="1"/>
    <col min="12" max="12" width="49.42578125" style="687" bestFit="1" customWidth="1"/>
    <col min="13" max="13" width="2.7109375" style="687" customWidth="1"/>
    <col min="14" max="14" width="23.7109375" style="690" customWidth="1"/>
    <col min="15" max="15" width="11.7109375" style="690" customWidth="1"/>
    <col min="16" max="16384" width="9" style="687"/>
  </cols>
  <sheetData>
    <row r="2" spans="1:25">
      <c r="C2" s="688" t="s">
        <v>4492</v>
      </c>
      <c r="D2" s="689">
        <v>44895</v>
      </c>
      <c r="E2" s="689">
        <f>D2</f>
        <v>44895</v>
      </c>
      <c r="F2" s="689">
        <f t="shared" ref="F2:I2" si="0">E2</f>
        <v>44895</v>
      </c>
      <c r="G2" s="689">
        <f t="shared" si="0"/>
        <v>44895</v>
      </c>
      <c r="H2" s="689">
        <f t="shared" si="0"/>
        <v>44895</v>
      </c>
      <c r="I2" s="689">
        <f t="shared" si="0"/>
        <v>44895</v>
      </c>
      <c r="R2" s="1047" t="str">
        <f>Input!G28</f>
        <v>Peoples Gas System</v>
      </c>
      <c r="S2" s="1047"/>
      <c r="T2" s="1047"/>
      <c r="U2" s="1047"/>
      <c r="V2" s="1047"/>
      <c r="W2" s="1047"/>
      <c r="X2" s="1047"/>
      <c r="Y2" s="1047"/>
    </row>
    <row r="3" spans="1:25">
      <c r="A3" s="687">
        <v>1</v>
      </c>
      <c r="D3" s="690" t="s">
        <v>2333</v>
      </c>
      <c r="E3" s="690" t="s">
        <v>3051</v>
      </c>
      <c r="F3" s="690" t="s">
        <v>214</v>
      </c>
      <c r="G3" s="690" t="s">
        <v>3052</v>
      </c>
      <c r="H3" s="690" t="s">
        <v>3053</v>
      </c>
      <c r="I3" s="690" t="s">
        <v>3055</v>
      </c>
      <c r="K3" s="690" t="s">
        <v>4495</v>
      </c>
      <c r="N3" s="690" t="s">
        <v>181</v>
      </c>
      <c r="O3" s="690" t="s">
        <v>4498</v>
      </c>
      <c r="R3" s="1047" t="s">
        <v>4501</v>
      </c>
      <c r="S3" s="1047"/>
      <c r="T3" s="1047"/>
      <c r="U3" s="1047"/>
      <c r="V3" s="1047"/>
      <c r="W3" s="1047"/>
      <c r="X3" s="1047"/>
      <c r="Y3" s="1047"/>
    </row>
    <row r="4" spans="1:25">
      <c r="A4" s="687">
        <v>2</v>
      </c>
      <c r="B4" s="687" t="s">
        <v>4489</v>
      </c>
      <c r="C4" s="688">
        <v>2022</v>
      </c>
      <c r="D4" s="691">
        <v>17.2</v>
      </c>
      <c r="E4" s="731">
        <v>6.05</v>
      </c>
      <c r="F4" s="731">
        <v>6.15</v>
      </c>
      <c r="G4" s="731">
        <v>9.5</v>
      </c>
      <c r="H4" s="731">
        <v>9.5500000000000007</v>
      </c>
      <c r="I4" s="731">
        <v>10.5</v>
      </c>
      <c r="K4" s="692">
        <v>399.11675865999996</v>
      </c>
      <c r="L4" s="687" t="s">
        <v>4496</v>
      </c>
      <c r="N4" s="690" t="s">
        <v>3053</v>
      </c>
      <c r="O4" s="693">
        <f t="shared" ref="O4:O10" si="1">HLOOKUP(N4,D$3:K$26,A$23,FALSE)</f>
        <v>0.3064526555529869</v>
      </c>
    </row>
    <row r="5" spans="1:25">
      <c r="A5" s="687">
        <v>3</v>
      </c>
      <c r="C5" s="688">
        <v>2023</v>
      </c>
      <c r="D5" s="691">
        <v>18.5</v>
      </c>
      <c r="E5" s="731">
        <v>5.15</v>
      </c>
      <c r="F5" s="731">
        <v>7.35</v>
      </c>
      <c r="G5" s="731">
        <v>7.75</v>
      </c>
      <c r="H5" s="731">
        <v>9.75</v>
      </c>
      <c r="I5" s="731">
        <v>13.35</v>
      </c>
      <c r="K5" s="692">
        <v>362.40470378000009</v>
      </c>
      <c r="L5" s="687" t="s">
        <v>4496</v>
      </c>
      <c r="N5" s="690" t="s">
        <v>3052</v>
      </c>
      <c r="O5" s="693">
        <f t="shared" si="1"/>
        <v>0.31633330237669588</v>
      </c>
    </row>
    <row r="6" spans="1:25">
      <c r="A6" s="687">
        <v>4</v>
      </c>
      <c r="C6" s="688">
        <v>2024</v>
      </c>
      <c r="D6" s="694">
        <f>D5+((D$8-D$5)/3)</f>
        <v>18.333333333333332</v>
      </c>
      <c r="E6" s="732">
        <f t="shared" ref="E6:I7" si="2">E5+((E$8-E$5)/3)</f>
        <v>6.2666666666666666</v>
      </c>
      <c r="F6" s="732">
        <f t="shared" si="2"/>
        <v>7.3166666666666664</v>
      </c>
      <c r="G6" s="732">
        <f t="shared" si="2"/>
        <v>8.3333333333333339</v>
      </c>
      <c r="H6" s="732">
        <f t="shared" si="2"/>
        <v>9.8666666666666671</v>
      </c>
      <c r="I6" s="732">
        <f t="shared" si="2"/>
        <v>12.9</v>
      </c>
      <c r="K6" s="692">
        <v>310.62985200000003</v>
      </c>
      <c r="L6" s="687" t="s">
        <v>4496</v>
      </c>
      <c r="N6" s="690" t="s">
        <v>3055</v>
      </c>
      <c r="O6" s="693">
        <f t="shared" si="1"/>
        <v>0.38047550289771942</v>
      </c>
    </row>
    <row r="7" spans="1:25">
      <c r="A7" s="687">
        <v>5</v>
      </c>
      <c r="C7" s="688">
        <v>2025</v>
      </c>
      <c r="D7" s="694">
        <f>D6+((D$8-D$5)/3)</f>
        <v>18.166666666666664</v>
      </c>
      <c r="E7" s="732">
        <f t="shared" si="2"/>
        <v>7.3833333333333329</v>
      </c>
      <c r="F7" s="732">
        <f t="shared" si="2"/>
        <v>7.2833333333333332</v>
      </c>
      <c r="G7" s="732">
        <f t="shared" si="2"/>
        <v>8.9166666666666679</v>
      </c>
      <c r="H7" s="732">
        <f t="shared" si="2"/>
        <v>9.9833333333333343</v>
      </c>
      <c r="I7" s="732">
        <f t="shared" si="2"/>
        <v>12.450000000000001</v>
      </c>
      <c r="K7" s="692">
        <v>312.65410600000001</v>
      </c>
      <c r="L7" s="687" t="s">
        <v>4496</v>
      </c>
      <c r="N7" s="690" t="s">
        <v>3051</v>
      </c>
      <c r="O7" s="693">
        <f t="shared" si="1"/>
        <v>0.41062009677887212</v>
      </c>
    </row>
    <row r="8" spans="1:25">
      <c r="A8" s="687">
        <v>6</v>
      </c>
      <c r="C8" s="688" t="s">
        <v>4493</v>
      </c>
      <c r="D8" s="691">
        <v>18</v>
      </c>
      <c r="E8" s="731">
        <v>8.5</v>
      </c>
      <c r="F8" s="731">
        <v>7.25</v>
      </c>
      <c r="G8" s="731">
        <v>9.5</v>
      </c>
      <c r="H8" s="731">
        <v>10.1</v>
      </c>
      <c r="I8" s="731">
        <v>12</v>
      </c>
      <c r="K8" s="692">
        <v>274.730436</v>
      </c>
      <c r="L8" s="687" t="s">
        <v>4496</v>
      </c>
      <c r="N8" s="690" t="s">
        <v>214</v>
      </c>
      <c r="O8" s="693">
        <f t="shared" si="1"/>
        <v>0.47425657706694507</v>
      </c>
    </row>
    <row r="9" spans="1:25">
      <c r="A9" s="687">
        <v>7</v>
      </c>
      <c r="C9" s="688">
        <v>2027</v>
      </c>
      <c r="D9" s="694">
        <f>D8+(D$8-D$7)</f>
        <v>17.833333333333336</v>
      </c>
      <c r="E9" s="694">
        <f t="shared" ref="E9:I9" si="3">E8+(E$8-E$7)</f>
        <v>9.6166666666666671</v>
      </c>
      <c r="F9" s="732">
        <f t="shared" si="3"/>
        <v>7.2166666666666668</v>
      </c>
      <c r="G9" s="732">
        <f t="shared" si="3"/>
        <v>10.083333333333332</v>
      </c>
      <c r="H9" s="694">
        <f t="shared" si="3"/>
        <v>10.216666666666665</v>
      </c>
      <c r="I9" s="694">
        <f t="shared" si="3"/>
        <v>11.549999999999999</v>
      </c>
      <c r="N9" s="690" t="s">
        <v>2333</v>
      </c>
      <c r="O9" s="693">
        <f t="shared" si="1"/>
        <v>0.51892001534194843</v>
      </c>
    </row>
    <row r="10" spans="1:25">
      <c r="A10" s="687">
        <v>8</v>
      </c>
      <c r="D10" s="695"/>
      <c r="E10" s="695"/>
      <c r="F10" s="695"/>
      <c r="G10" s="695"/>
      <c r="H10" s="695"/>
      <c r="I10" s="695"/>
      <c r="K10" s="695"/>
      <c r="N10" s="690" t="s">
        <v>4495</v>
      </c>
      <c r="O10" s="693">
        <f t="shared" si="1"/>
        <v>0.60283217492135466</v>
      </c>
    </row>
    <row r="11" spans="1:25">
      <c r="A11" s="687">
        <v>9</v>
      </c>
      <c r="B11" s="687" t="s">
        <v>4512</v>
      </c>
      <c r="C11" s="688">
        <v>2022</v>
      </c>
      <c r="D11" s="696">
        <v>142</v>
      </c>
      <c r="E11" s="729">
        <v>98</v>
      </c>
      <c r="F11" s="729">
        <v>406</v>
      </c>
      <c r="G11" s="729">
        <v>35</v>
      </c>
      <c r="H11" s="729">
        <v>54.5</v>
      </c>
      <c r="I11" s="729">
        <v>52.5</v>
      </c>
      <c r="K11" s="695"/>
      <c r="O11" s="693"/>
    </row>
    <row r="12" spans="1:25">
      <c r="A12" s="687">
        <v>10</v>
      </c>
      <c r="C12" s="688">
        <v>2023</v>
      </c>
      <c r="D12" s="696">
        <v>146</v>
      </c>
      <c r="E12" s="729">
        <v>99</v>
      </c>
      <c r="F12" s="729">
        <v>408</v>
      </c>
      <c r="G12" s="729">
        <v>35.5</v>
      </c>
      <c r="H12" s="729">
        <v>54.5</v>
      </c>
      <c r="I12" s="729">
        <v>52.5</v>
      </c>
      <c r="K12" s="695"/>
      <c r="N12" s="690" t="s">
        <v>4499</v>
      </c>
      <c r="O12" s="693">
        <f>MEDIAN(O4:O9)</f>
        <v>0.3955477998382958</v>
      </c>
    </row>
    <row r="13" spans="1:25">
      <c r="A13" s="687">
        <v>11</v>
      </c>
      <c r="C13" s="688">
        <v>2024</v>
      </c>
      <c r="D13" s="697">
        <f>D12+((D$8-D$5)/3)</f>
        <v>145.83333333333334</v>
      </c>
      <c r="E13" s="730">
        <f t="shared" ref="E13:I14" si="4">E12+((E$8-E$5)/3)</f>
        <v>100.11666666666666</v>
      </c>
      <c r="F13" s="730">
        <f t="shared" si="4"/>
        <v>407.96666666666664</v>
      </c>
      <c r="G13" s="730">
        <f t="shared" si="4"/>
        <v>36.083333333333336</v>
      </c>
      <c r="H13" s="730">
        <f t="shared" si="4"/>
        <v>54.616666666666667</v>
      </c>
      <c r="I13" s="730">
        <f t="shared" si="4"/>
        <v>52.05</v>
      </c>
      <c r="K13" s="695"/>
      <c r="O13" s="693"/>
    </row>
    <row r="14" spans="1:25">
      <c r="A14" s="687">
        <v>12</v>
      </c>
      <c r="C14" s="688">
        <v>2025</v>
      </c>
      <c r="D14" s="697">
        <f>D13+((D$8-D$5)/3)</f>
        <v>145.66666666666669</v>
      </c>
      <c r="E14" s="730">
        <f t="shared" si="4"/>
        <v>101.23333333333332</v>
      </c>
      <c r="F14" s="730">
        <f t="shared" si="4"/>
        <v>407.93333333333328</v>
      </c>
      <c r="G14" s="730">
        <f t="shared" si="4"/>
        <v>36.666666666666671</v>
      </c>
      <c r="H14" s="730">
        <f t="shared" si="4"/>
        <v>54.733333333333334</v>
      </c>
      <c r="I14" s="730">
        <f t="shared" si="4"/>
        <v>51.599999999999994</v>
      </c>
      <c r="K14" s="695"/>
      <c r="N14" s="690" t="s">
        <v>4500</v>
      </c>
      <c r="O14" s="693">
        <f>O10-O12</f>
        <v>0.20728437508305886</v>
      </c>
    </row>
    <row r="15" spans="1:25">
      <c r="A15" s="687">
        <v>13</v>
      </c>
      <c r="C15" s="688" t="s">
        <v>4493</v>
      </c>
      <c r="D15" s="696">
        <v>155</v>
      </c>
      <c r="E15" s="729">
        <v>100</v>
      </c>
      <c r="F15" s="729">
        <v>415</v>
      </c>
      <c r="G15" s="729">
        <v>38</v>
      </c>
      <c r="H15" s="729">
        <v>57</v>
      </c>
      <c r="I15" s="729">
        <v>55</v>
      </c>
      <c r="K15" s="695"/>
      <c r="O15" s="693"/>
    </row>
    <row r="16" spans="1:25">
      <c r="A16" s="687">
        <v>14</v>
      </c>
      <c r="C16" s="688">
        <v>2027</v>
      </c>
      <c r="D16" s="697">
        <f>D15+(D$8-D$7)</f>
        <v>154.83333333333334</v>
      </c>
      <c r="E16" s="697">
        <f t="shared" ref="E16:I16" si="5">E15+(E$8-E$7)</f>
        <v>101.11666666666667</v>
      </c>
      <c r="F16" s="697">
        <f t="shared" si="5"/>
        <v>414.96666666666664</v>
      </c>
      <c r="G16" s="697">
        <f t="shared" si="5"/>
        <v>38.583333333333329</v>
      </c>
      <c r="H16" s="697">
        <f t="shared" si="5"/>
        <v>57.116666666666667</v>
      </c>
      <c r="I16" s="697">
        <f t="shared" si="5"/>
        <v>54.55</v>
      </c>
      <c r="K16" s="695"/>
      <c r="O16" s="693">
        <f>O14/O12</f>
        <v>0.52404380751908852</v>
      </c>
    </row>
    <row r="17" spans="1:20">
      <c r="A17" s="687">
        <v>15</v>
      </c>
      <c r="D17" s="695"/>
      <c r="E17" s="695"/>
      <c r="F17" s="695"/>
      <c r="G17" s="695"/>
      <c r="H17" s="695"/>
      <c r="I17" s="695"/>
      <c r="K17" s="695"/>
    </row>
    <row r="18" spans="1:20">
      <c r="A18" s="687">
        <v>16</v>
      </c>
      <c r="D18" s="695"/>
      <c r="E18" s="695"/>
      <c r="F18" s="695"/>
      <c r="G18" s="695"/>
      <c r="H18" s="695"/>
      <c r="I18" s="695"/>
      <c r="K18" s="695"/>
    </row>
    <row r="19" spans="1:20">
      <c r="A19" s="687">
        <v>17</v>
      </c>
      <c r="B19" s="687" t="s">
        <v>4490</v>
      </c>
      <c r="C19" s="688">
        <v>2021</v>
      </c>
      <c r="D19" s="692">
        <v>15064</v>
      </c>
      <c r="E19" s="692">
        <v>4213.5</v>
      </c>
      <c r="F19" s="692">
        <v>17882</v>
      </c>
      <c r="G19" s="692">
        <v>2871.4</v>
      </c>
      <c r="H19" s="692">
        <v>5190.8</v>
      </c>
      <c r="I19" s="692">
        <v>5055.7</v>
      </c>
      <c r="K19" s="692">
        <f>1778523707/1000000</f>
        <v>1778.5237070000001</v>
      </c>
      <c r="L19" s="687" t="s">
        <v>4497</v>
      </c>
    </row>
    <row r="20" spans="1:20">
      <c r="A20" s="687">
        <v>18</v>
      </c>
      <c r="D20" s="695"/>
      <c r="E20" s="695"/>
      <c r="F20" s="695"/>
      <c r="G20" s="695"/>
      <c r="H20" s="695"/>
      <c r="I20" s="695"/>
      <c r="K20" s="695"/>
    </row>
    <row r="21" spans="1:20">
      <c r="A21" s="687">
        <v>19</v>
      </c>
      <c r="D21" s="695"/>
      <c r="E21" s="695"/>
      <c r="F21" s="695"/>
      <c r="G21" s="695"/>
      <c r="H21" s="695"/>
      <c r="I21" s="695"/>
      <c r="K21" s="695"/>
    </row>
    <row r="22" spans="1:20">
      <c r="A22" s="687">
        <v>20</v>
      </c>
      <c r="B22" s="687" t="s">
        <v>4613</v>
      </c>
      <c r="D22" s="695">
        <f t="shared" ref="D22:I22" si="6">(D4*D11)+(D5*D12)+(D6*D13)</f>
        <v>7817.0111111111109</v>
      </c>
      <c r="E22" s="695">
        <f t="shared" si="6"/>
        <v>1730.1477777777777</v>
      </c>
      <c r="F22" s="695">
        <f t="shared" si="6"/>
        <v>8480.6561111111114</v>
      </c>
      <c r="G22" s="695">
        <f t="shared" si="6"/>
        <v>908.31944444444457</v>
      </c>
      <c r="H22" s="695">
        <f t="shared" si="6"/>
        <v>1590.7344444444443</v>
      </c>
      <c r="I22" s="695">
        <f t="shared" si="6"/>
        <v>1923.57</v>
      </c>
      <c r="K22" s="695">
        <f>SUM(K4:K6)</f>
        <v>1072.1513144400001</v>
      </c>
    </row>
    <row r="23" spans="1:20">
      <c r="A23" s="687">
        <v>21</v>
      </c>
      <c r="B23" s="687" t="s">
        <v>4494</v>
      </c>
      <c r="D23" s="693">
        <f t="shared" ref="D23:I23" si="7">D22/D19</f>
        <v>0.51892001534194843</v>
      </c>
      <c r="E23" s="693">
        <f t="shared" si="7"/>
        <v>0.41062009677887212</v>
      </c>
      <c r="F23" s="693">
        <f t="shared" si="7"/>
        <v>0.47425657706694507</v>
      </c>
      <c r="G23" s="693">
        <f t="shared" si="7"/>
        <v>0.31633330237669588</v>
      </c>
      <c r="H23" s="693">
        <f t="shared" si="7"/>
        <v>0.3064526555529869</v>
      </c>
      <c r="I23" s="693">
        <f t="shared" si="7"/>
        <v>0.38047550289771942</v>
      </c>
      <c r="K23" s="693">
        <f>K22/K19</f>
        <v>0.60283217492135466</v>
      </c>
    </row>
    <row r="24" spans="1:20">
      <c r="S24" s="698" t="s">
        <v>151</v>
      </c>
      <c r="T24" s="698"/>
    </row>
    <row r="25" spans="1:20">
      <c r="S25" s="698"/>
      <c r="T25" s="698" t="s">
        <v>1325</v>
      </c>
    </row>
    <row r="26" spans="1:20">
      <c r="B26" s="687" t="s">
        <v>4491</v>
      </c>
      <c r="D26" s="690" t="str">
        <f>D3</f>
        <v>ATO</v>
      </c>
      <c r="E26" s="690" t="str">
        <f t="shared" ref="E26:I26" si="8">E3</f>
        <v>NJR</v>
      </c>
      <c r="F26" s="690" t="str">
        <f t="shared" si="8"/>
        <v>NI</v>
      </c>
      <c r="G26" s="690" t="str">
        <f t="shared" si="8"/>
        <v>NWN</v>
      </c>
      <c r="H26" s="690" t="str">
        <f t="shared" si="8"/>
        <v>OGS</v>
      </c>
      <c r="I26" s="690" t="str">
        <f t="shared" si="8"/>
        <v>SR</v>
      </c>
      <c r="K26" s="690"/>
      <c r="S26" s="698"/>
      <c r="T26" s="698" t="s">
        <v>4502</v>
      </c>
    </row>
    <row r="27" spans="1:20">
      <c r="T27" s="698" t="s">
        <v>4496</v>
      </c>
    </row>
  </sheetData>
  <autoFilter ref="N3:O10">
    <sortState ref="N4:O10">
      <sortCondition ref="O3:O10"/>
    </sortState>
  </autoFilter>
  <mergeCells count="2">
    <mergeCell ref="R2:Y2"/>
    <mergeCell ref="R3:Y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3"/>
  <sheetViews>
    <sheetView zoomScale="85" zoomScaleNormal="85" workbookViewId="0">
      <selection activeCell="F13" sqref="F13"/>
    </sheetView>
  </sheetViews>
  <sheetFormatPr defaultColWidth="8.85546875" defaultRowHeight="14.25"/>
  <cols>
    <col min="1" max="1" width="12" style="146" bestFit="1" customWidth="1"/>
    <col min="2" max="2" width="16" style="146" bestFit="1" customWidth="1"/>
    <col min="3" max="3" width="10.28515625" style="146" bestFit="1" customWidth="1"/>
    <col min="4" max="4" width="2" style="146" customWidth="1"/>
    <col min="5" max="5" width="38.28515625" style="146" bestFit="1" customWidth="1"/>
    <col min="6" max="6" width="10.42578125" style="146" bestFit="1" customWidth="1"/>
    <col min="7" max="7" width="39" style="146" customWidth="1"/>
    <col min="8" max="8" width="8.85546875" style="146"/>
    <col min="9" max="9" width="40.28515625" style="146" bestFit="1" customWidth="1"/>
    <col min="10" max="10" width="34.28515625" style="146" bestFit="1" customWidth="1"/>
    <col min="11" max="16384" width="8.85546875" style="146"/>
  </cols>
  <sheetData>
    <row r="1" spans="1:21" ht="45.75" customHeight="1" thickBot="1">
      <c r="A1" s="145" t="s">
        <v>1393</v>
      </c>
      <c r="B1" s="145" t="s">
        <v>1419</v>
      </c>
      <c r="C1" s="145" t="s">
        <v>1394</v>
      </c>
      <c r="E1" s="147" t="s">
        <v>1395</v>
      </c>
      <c r="G1" s="147"/>
    </row>
    <row r="2" spans="1:21" ht="15.75" thickBot="1">
      <c r="A2" s="346" t="s">
        <v>2333</v>
      </c>
      <c r="B2" s="348" t="s">
        <v>1446</v>
      </c>
      <c r="C2" s="350" t="s">
        <v>192</v>
      </c>
      <c r="D2"/>
      <c r="E2" s="351">
        <v>44925</v>
      </c>
      <c r="G2" s="150"/>
      <c r="I2" s="258"/>
      <c r="J2"/>
      <c r="K2"/>
    </row>
    <row r="3" spans="1:21" ht="15">
      <c r="A3" s="346" t="s">
        <v>3051</v>
      </c>
      <c r="B3" s="348" t="s">
        <v>1446</v>
      </c>
      <c r="C3" s="346" t="s">
        <v>1495</v>
      </c>
      <c r="D3"/>
      <c r="I3" s="258"/>
      <c r="J3"/>
      <c r="K3"/>
    </row>
    <row r="4" spans="1:21" ht="15.75" thickBot="1">
      <c r="A4" s="346" t="s">
        <v>214</v>
      </c>
      <c r="B4" s="348" t="s">
        <v>1446</v>
      </c>
      <c r="C4" s="346" t="s">
        <v>1501</v>
      </c>
      <c r="D4"/>
      <c r="E4" s="147" t="s">
        <v>1396</v>
      </c>
      <c r="I4" s="258"/>
      <c r="J4"/>
      <c r="K4"/>
    </row>
    <row r="5" spans="1:21" ht="15.75" thickBot="1">
      <c r="A5" s="346" t="s">
        <v>3052</v>
      </c>
      <c r="B5" s="348" t="s">
        <v>1446</v>
      </c>
      <c r="C5" s="346" t="s">
        <v>1516</v>
      </c>
      <c r="D5"/>
      <c r="E5" s="151"/>
      <c r="I5" s="258"/>
      <c r="J5"/>
      <c r="K5"/>
    </row>
    <row r="6" spans="1:21" ht="15">
      <c r="A6" s="346" t="s">
        <v>3053</v>
      </c>
      <c r="B6" s="348" t="s">
        <v>1446</v>
      </c>
      <c r="C6" s="346" t="s">
        <v>2275</v>
      </c>
      <c r="D6"/>
      <c r="I6" s="258"/>
      <c r="J6"/>
      <c r="K6"/>
    </row>
    <row r="7" spans="1:21" ht="15.75" thickBot="1">
      <c r="A7" s="346" t="s">
        <v>3055</v>
      </c>
      <c r="B7" s="348" t="s">
        <v>1446</v>
      </c>
      <c r="C7" s="346" t="s">
        <v>1545</v>
      </c>
      <c r="D7"/>
      <c r="E7" s="147" t="s">
        <v>138</v>
      </c>
      <c r="I7" s="258"/>
      <c r="J7"/>
      <c r="K7"/>
    </row>
    <row r="8" spans="1:21" ht="15.75" thickBot="1">
      <c r="A8" s="346"/>
      <c r="B8" s="347"/>
      <c r="C8" s="376" t="s">
        <v>4154</v>
      </c>
      <c r="D8"/>
      <c r="E8" s="153"/>
      <c r="I8" s="258"/>
      <c r="J8"/>
      <c r="K8"/>
    </row>
    <row r="9" spans="1:21" ht="15">
      <c r="A9" s="346"/>
      <c r="B9" s="347"/>
      <c r="C9" s="346" t="s">
        <v>1582</v>
      </c>
      <c r="D9"/>
      <c r="I9" s="258"/>
      <c r="J9"/>
      <c r="K9"/>
    </row>
    <row r="10" spans="1:21" ht="15.75">
      <c r="A10" s="346"/>
      <c r="B10" s="347"/>
      <c r="C10" s="346" t="s">
        <v>2399</v>
      </c>
      <c r="D10"/>
      <c r="E10" s="116" t="s">
        <v>1386</v>
      </c>
      <c r="F10" s="88"/>
      <c r="G10" s="88"/>
      <c r="H10" s="88"/>
      <c r="I10" s="258"/>
      <c r="J10"/>
      <c r="K10"/>
      <c r="O10" s="88"/>
      <c r="P10" s="88"/>
      <c r="Q10" s="88"/>
      <c r="R10" s="88"/>
      <c r="S10" s="88"/>
      <c r="T10" s="88"/>
      <c r="U10" s="88"/>
    </row>
    <row r="11" spans="1:21" ht="15">
      <c r="A11" s="346"/>
      <c r="B11" s="347"/>
      <c r="C11" s="346" t="s">
        <v>3974</v>
      </c>
      <c r="D11"/>
      <c r="E11" s="88"/>
      <c r="F11" s="88"/>
      <c r="G11" s="88"/>
      <c r="H11" s="88"/>
      <c r="I11" s="258"/>
      <c r="J11"/>
      <c r="K11"/>
      <c r="O11" s="88"/>
      <c r="P11" s="88"/>
      <c r="Q11" s="88"/>
      <c r="R11" s="88"/>
      <c r="S11" s="88"/>
      <c r="T11" s="88"/>
      <c r="U11" s="88"/>
    </row>
    <row r="12" spans="1:21" ht="16.5" thickBot="1">
      <c r="A12" s="152"/>
      <c r="B12" s="347"/>
      <c r="C12" s="346" t="s">
        <v>4155</v>
      </c>
      <c r="D12"/>
      <c r="E12" s="117" t="s">
        <v>1385</v>
      </c>
      <c r="F12" s="3"/>
      <c r="G12" s="118" t="s">
        <v>1384</v>
      </c>
      <c r="H12" s="88"/>
      <c r="I12" s="258"/>
      <c r="J12"/>
      <c r="K12"/>
      <c r="Q12" s="88"/>
      <c r="R12" s="88"/>
      <c r="S12" s="88"/>
      <c r="T12" s="88"/>
      <c r="U12" s="88"/>
    </row>
    <row r="13" spans="1:21" ht="15">
      <c r="A13" s="346"/>
      <c r="B13" s="349"/>
      <c r="C13" s="346" t="s">
        <v>4061</v>
      </c>
      <c r="D13"/>
      <c r="E13" s="88" t="s">
        <v>4059</v>
      </c>
      <c r="F13" s="979">
        <v>0.40476565351532917</v>
      </c>
      <c r="G13" s="119" t="s">
        <v>158</v>
      </c>
      <c r="H13" s="88"/>
      <c r="I13" s="258"/>
      <c r="J13"/>
      <c r="K13"/>
      <c r="Q13" s="88"/>
      <c r="R13" s="88"/>
      <c r="S13" s="88"/>
      <c r="T13" s="88"/>
      <c r="U13" s="88"/>
    </row>
    <row r="14" spans="1:21" ht="15">
      <c r="A14" s="346"/>
      <c r="B14" s="347"/>
      <c r="C14" s="346" t="s">
        <v>1670</v>
      </c>
      <c r="D14"/>
      <c r="E14" s="88" t="s">
        <v>1383</v>
      </c>
      <c r="F14" s="980">
        <v>0.54675532705499608</v>
      </c>
      <c r="G14" s="119" t="s">
        <v>158</v>
      </c>
      <c r="H14" s="365"/>
      <c r="I14" s="258"/>
      <c r="J14"/>
      <c r="K14"/>
      <c r="Q14" s="88"/>
      <c r="R14" s="88"/>
      <c r="S14" s="88"/>
      <c r="T14" s="88"/>
      <c r="U14" s="88"/>
    </row>
    <row r="15" spans="1:21" ht="15">
      <c r="A15" s="346"/>
      <c r="B15" s="347"/>
      <c r="C15" s="346" t="s">
        <v>3016</v>
      </c>
      <c r="D15"/>
      <c r="E15" s="88" t="s">
        <v>3925</v>
      </c>
      <c r="F15" s="978">
        <v>4.8479019429674697E-2</v>
      </c>
      <c r="G15" s="119" t="s">
        <v>158</v>
      </c>
      <c r="H15" s="88"/>
      <c r="I15" s="258"/>
      <c r="J15"/>
      <c r="K15"/>
      <c r="O15" s="88"/>
      <c r="P15" s="88"/>
      <c r="Q15" s="88"/>
      <c r="R15" s="88"/>
      <c r="S15" s="88"/>
      <c r="T15" s="88"/>
      <c r="U15" s="88"/>
    </row>
    <row r="16" spans="1:21" ht="15">
      <c r="A16" s="346"/>
      <c r="B16" s="349"/>
      <c r="C16" s="346" t="s">
        <v>3017</v>
      </c>
      <c r="D16"/>
      <c r="E16" s="88" t="s">
        <v>4060</v>
      </c>
      <c r="F16" s="978">
        <v>5.5399999999999998E-2</v>
      </c>
      <c r="G16" s="119" t="s">
        <v>158</v>
      </c>
      <c r="H16" s="88"/>
      <c r="I16" s="258"/>
      <c r="J16"/>
      <c r="K16"/>
      <c r="O16" s="88"/>
      <c r="P16" s="88"/>
      <c r="Q16" s="88"/>
      <c r="R16" s="88"/>
      <c r="S16" s="88"/>
      <c r="T16" s="88"/>
      <c r="U16" s="88"/>
    </row>
    <row r="17" spans="1:21" ht="15.75" thickBot="1">
      <c r="A17" s="346"/>
      <c r="B17" s="347"/>
      <c r="C17" s="346" t="s">
        <v>4514</v>
      </c>
      <c r="D17"/>
      <c r="E17" s="88" t="s">
        <v>3926</v>
      </c>
      <c r="F17" s="981">
        <v>4.8500000000000001E-2</v>
      </c>
      <c r="G17" s="119" t="s">
        <v>158</v>
      </c>
      <c r="H17" s="88"/>
      <c r="I17" s="258"/>
      <c r="J17"/>
      <c r="K17"/>
      <c r="O17" s="88"/>
      <c r="P17" s="88"/>
      <c r="Q17" s="88"/>
      <c r="R17" s="88"/>
      <c r="S17" s="88"/>
      <c r="T17" s="88"/>
      <c r="U17" s="88"/>
    </row>
    <row r="18" spans="1:21" ht="15">
      <c r="A18" s="346"/>
      <c r="B18" s="348"/>
      <c r="C18" s="346" t="s">
        <v>2563</v>
      </c>
      <c r="D18"/>
      <c r="E18" s="88"/>
      <c r="F18" s="89"/>
      <c r="G18" s="119"/>
      <c r="H18" s="88"/>
      <c r="I18" s="258"/>
      <c r="J18"/>
      <c r="K18"/>
      <c r="M18" s="88"/>
      <c r="O18" s="88"/>
      <c r="P18" s="88"/>
      <c r="Q18" s="88"/>
      <c r="R18" s="88"/>
      <c r="S18" s="88"/>
      <c r="T18" s="88"/>
      <c r="U18" s="88"/>
    </row>
    <row r="19" spans="1:21" ht="15">
      <c r="A19" s="346"/>
      <c r="B19" s="347"/>
      <c r="C19" s="346" t="s">
        <v>1897</v>
      </c>
      <c r="D19"/>
      <c r="I19" s="258"/>
      <c r="J19"/>
      <c r="K19"/>
      <c r="M19" s="88"/>
      <c r="O19" s="88"/>
      <c r="P19" s="88"/>
      <c r="Q19" s="88"/>
      <c r="R19" s="88"/>
      <c r="S19" s="88"/>
      <c r="T19" s="88"/>
      <c r="U19" s="88"/>
    </row>
    <row r="20" spans="1:21" ht="16.5" thickBot="1">
      <c r="A20" s="346"/>
      <c r="B20" s="347"/>
      <c r="C20" s="346" t="s">
        <v>1308</v>
      </c>
      <c r="D20"/>
      <c r="E20" s="117" t="s">
        <v>4239</v>
      </c>
      <c r="F20" s="88"/>
      <c r="G20" s="120" t="s">
        <v>94</v>
      </c>
      <c r="H20" s="88"/>
      <c r="I20" s="258"/>
      <c r="J20"/>
      <c r="K20"/>
      <c r="M20" s="88"/>
      <c r="O20" s="88"/>
      <c r="P20" s="88"/>
      <c r="Q20" s="88"/>
      <c r="R20" s="88"/>
      <c r="S20" s="88"/>
      <c r="T20" s="88"/>
      <c r="U20" s="88"/>
    </row>
    <row r="21" spans="1:21" ht="15.75" thickBot="1">
      <c r="A21" s="346"/>
      <c r="B21" s="347"/>
      <c r="C21" s="346" t="s">
        <v>2324</v>
      </c>
      <c r="D21"/>
      <c r="E21" s="88" t="s">
        <v>1387</v>
      </c>
      <c r="F21" s="338">
        <v>12.37</v>
      </c>
      <c r="G21" s="88" t="s">
        <v>4569</v>
      </c>
      <c r="H21" s="88"/>
      <c r="I21" s="258"/>
      <c r="J21"/>
      <c r="K21"/>
      <c r="M21" s="88"/>
      <c r="O21" s="88"/>
      <c r="P21" s="88"/>
      <c r="Q21" s="88"/>
      <c r="R21" s="88"/>
      <c r="S21" s="88"/>
      <c r="T21" s="88"/>
      <c r="U21" s="88"/>
    </row>
    <row r="22" spans="1:21" ht="15">
      <c r="A22" s="346"/>
      <c r="B22" s="347"/>
      <c r="C22" s="346" t="s">
        <v>1920</v>
      </c>
      <c r="D22"/>
      <c r="E22" s="88" t="s">
        <v>1388</v>
      </c>
      <c r="F22" s="338">
        <v>5.0199999999999996</v>
      </c>
      <c r="G22" s="88" t="s">
        <v>4569</v>
      </c>
      <c r="H22" s="88"/>
      <c r="I22" s="258"/>
      <c r="J22"/>
      <c r="K22"/>
      <c r="M22" s="88"/>
      <c r="O22" s="88"/>
      <c r="P22" s="88"/>
      <c r="Q22" s="88"/>
      <c r="R22" s="88"/>
      <c r="S22" s="88"/>
      <c r="T22" s="88"/>
      <c r="U22" s="88"/>
    </row>
    <row r="23" spans="1:21" ht="15">
      <c r="A23" s="152"/>
      <c r="B23" s="347"/>
      <c r="C23" s="346" t="s">
        <v>4238</v>
      </c>
      <c r="D23"/>
      <c r="E23" s="88"/>
      <c r="F23" s="88"/>
      <c r="G23" s="88"/>
      <c r="I23" s="258"/>
      <c r="J23"/>
      <c r="K23"/>
      <c r="M23" s="88"/>
      <c r="O23" s="88"/>
      <c r="P23" s="88"/>
      <c r="Q23" s="88"/>
      <c r="R23" s="88"/>
      <c r="S23" s="88"/>
      <c r="T23" s="88"/>
      <c r="U23" s="88"/>
    </row>
    <row r="24" spans="1:21" ht="15" thickBot="1">
      <c r="A24" s="346"/>
      <c r="B24" s="349"/>
      <c r="C24" s="346" t="s">
        <v>1938</v>
      </c>
      <c r="D24"/>
      <c r="E24" s="154" t="s">
        <v>2213</v>
      </c>
      <c r="F24" s="88"/>
      <c r="G24" s="154" t="s">
        <v>1423</v>
      </c>
      <c r="I24" s="314" t="s">
        <v>1424</v>
      </c>
      <c r="J24"/>
      <c r="K24"/>
      <c r="M24" s="88"/>
      <c r="O24" s="88"/>
      <c r="P24" s="88"/>
      <c r="Q24" s="88"/>
      <c r="R24" s="88"/>
      <c r="S24" s="88"/>
      <c r="T24" s="88"/>
      <c r="U24" s="88"/>
    </row>
    <row r="25" spans="1:21" ht="15" thickBot="1">
      <c r="A25" s="346"/>
      <c r="B25" s="347"/>
      <c r="C25" s="346" t="s">
        <v>2968</v>
      </c>
      <c r="D25"/>
      <c r="E25" s="501">
        <v>44925</v>
      </c>
      <c r="F25" s="88"/>
      <c r="G25" s="318" t="s">
        <v>4572</v>
      </c>
      <c r="I25" s="354" t="s">
        <v>4595</v>
      </c>
      <c r="J25"/>
      <c r="K25"/>
      <c r="M25" s="88"/>
      <c r="O25" s="88"/>
      <c r="P25" s="88"/>
      <c r="Q25" s="88"/>
      <c r="R25" s="88"/>
      <c r="S25" s="88"/>
      <c r="T25" s="88"/>
      <c r="U25" s="88"/>
    </row>
    <row r="26" spans="1:21">
      <c r="A26" s="346"/>
      <c r="B26" s="347"/>
      <c r="C26" s="346" t="s">
        <v>1958</v>
      </c>
      <c r="D26"/>
      <c r="I26" s="319"/>
      <c r="J26"/>
      <c r="K26"/>
    </row>
    <row r="27" spans="1:21" ht="15" thickBot="1">
      <c r="A27" s="346"/>
      <c r="B27" s="347"/>
      <c r="C27" s="346" t="s">
        <v>1975</v>
      </c>
      <c r="D27"/>
      <c r="E27" s="147" t="s">
        <v>4397</v>
      </c>
      <c r="G27" s="147" t="s">
        <v>155</v>
      </c>
      <c r="I27" s="314" t="s">
        <v>1421</v>
      </c>
      <c r="J27"/>
      <c r="K27"/>
    </row>
    <row r="28" spans="1:21" ht="15.75" thickBot="1">
      <c r="A28" s="346"/>
      <c r="B28" s="347"/>
      <c r="C28" s="346" t="s">
        <v>4515</v>
      </c>
      <c r="D28"/>
      <c r="E28" s="148" t="s">
        <v>205</v>
      </c>
      <c r="F28" s="121"/>
      <c r="G28" s="155" t="s">
        <v>3246</v>
      </c>
      <c r="I28" s="320" t="s">
        <v>4390</v>
      </c>
      <c r="J28"/>
      <c r="K28"/>
    </row>
    <row r="29" spans="1:21" ht="15">
      <c r="A29" s="346"/>
      <c r="B29" s="347"/>
      <c r="C29" s="346" t="s">
        <v>3975</v>
      </c>
      <c r="D29"/>
      <c r="E29" s="149" t="s">
        <v>198</v>
      </c>
      <c r="F29" s="121"/>
      <c r="I29" s="313" t="s">
        <v>1393</v>
      </c>
      <c r="J29"/>
      <c r="K29"/>
    </row>
    <row r="30" spans="1:21" ht="15.75" thickBot="1">
      <c r="A30" s="346"/>
      <c r="B30" s="347"/>
      <c r="C30" s="346" t="s">
        <v>2688</v>
      </c>
      <c r="D30"/>
      <c r="E30" s="156" t="s">
        <v>1448</v>
      </c>
      <c r="F30" s="121"/>
      <c r="G30" s="147" t="s">
        <v>1410</v>
      </c>
      <c r="I30" s="313" t="s">
        <v>4242</v>
      </c>
      <c r="J30"/>
      <c r="K30"/>
    </row>
    <row r="31" spans="1:21" ht="15.75" thickBot="1">
      <c r="A31" s="346"/>
      <c r="B31" s="347"/>
      <c r="C31" s="346" t="s">
        <v>186</v>
      </c>
      <c r="D31"/>
      <c r="E31" s="149" t="s">
        <v>2333</v>
      </c>
      <c r="F31" s="121"/>
      <c r="G31" s="155" t="s">
        <v>4389</v>
      </c>
      <c r="I31" s="313" t="s">
        <v>4610</v>
      </c>
      <c r="J31"/>
      <c r="K31"/>
    </row>
    <row r="32" spans="1:21" ht="15">
      <c r="A32" s="346"/>
      <c r="B32" s="347"/>
      <c r="C32" s="346" t="s">
        <v>3018</v>
      </c>
      <c r="D32"/>
      <c r="E32" s="149" t="s">
        <v>156</v>
      </c>
      <c r="F32" s="121"/>
      <c r="I32" s="258"/>
      <c r="J32"/>
      <c r="K32"/>
    </row>
    <row r="33" spans="1:11" ht="15.75" thickBot="1">
      <c r="A33" s="346"/>
      <c r="B33" s="347"/>
      <c r="C33" s="346" t="s">
        <v>3976</v>
      </c>
      <c r="D33"/>
      <c r="E33" s="149" t="s">
        <v>4240</v>
      </c>
      <c r="F33" s="121"/>
      <c r="G33" s="147" t="s">
        <v>1426</v>
      </c>
      <c r="I33" s="258"/>
      <c r="J33"/>
      <c r="K33"/>
    </row>
    <row r="34" spans="1:11" ht="15.75" thickBot="1">
      <c r="A34" s="346"/>
      <c r="B34" s="347"/>
      <c r="C34" s="346" t="s">
        <v>4516</v>
      </c>
      <c r="D34"/>
      <c r="E34" s="149" t="s">
        <v>207</v>
      </c>
      <c r="F34" s="121"/>
      <c r="G34" s="155" t="s">
        <v>3056</v>
      </c>
      <c r="I34" s="258"/>
      <c r="J34"/>
      <c r="K34"/>
    </row>
    <row r="35" spans="1:11" ht="15">
      <c r="A35" s="346"/>
      <c r="B35" s="347"/>
      <c r="C35" s="346" t="s">
        <v>2074</v>
      </c>
      <c r="D35"/>
      <c r="E35" s="149" t="s">
        <v>206</v>
      </c>
      <c r="F35" s="121"/>
      <c r="H35" s="157" t="s">
        <v>1417</v>
      </c>
      <c r="I35" s="258"/>
      <c r="J35"/>
      <c r="K35"/>
    </row>
    <row r="36" spans="1:11" ht="15.75" thickBot="1">
      <c r="A36" s="346"/>
      <c r="B36" s="347"/>
      <c r="C36" s="346" t="s">
        <v>2084</v>
      </c>
      <c r="D36"/>
      <c r="E36" s="149" t="s">
        <v>209</v>
      </c>
      <c r="F36" s="121"/>
      <c r="G36" s="147" t="s">
        <v>1415</v>
      </c>
      <c r="I36" s="258"/>
      <c r="J36"/>
      <c r="K36"/>
    </row>
    <row r="37" spans="1:11" ht="15.75" thickBot="1">
      <c r="A37" s="346"/>
      <c r="B37" s="347"/>
      <c r="C37" s="346" t="s">
        <v>2116</v>
      </c>
      <c r="D37"/>
      <c r="E37" s="149" t="s">
        <v>210</v>
      </c>
      <c r="F37" s="121"/>
      <c r="G37" s="841" t="s">
        <v>1447</v>
      </c>
      <c r="I37" s="258"/>
      <c r="J37"/>
      <c r="K37"/>
    </row>
    <row r="38" spans="1:11" ht="15">
      <c r="A38" s="346"/>
      <c r="B38" s="347"/>
      <c r="C38" s="346" t="s">
        <v>2124</v>
      </c>
      <c r="D38"/>
      <c r="E38" s="149" t="s">
        <v>211</v>
      </c>
      <c r="F38" s="121"/>
      <c r="I38" s="253"/>
      <c r="J38"/>
      <c r="K38"/>
    </row>
    <row r="39" spans="1:11" ht="15.75" thickBot="1">
      <c r="A39" s="346"/>
      <c r="B39" s="347"/>
      <c r="C39" s="346" t="s">
        <v>4157</v>
      </c>
      <c r="D39"/>
      <c r="E39" s="149" t="s">
        <v>208</v>
      </c>
      <c r="F39" s="121"/>
      <c r="G39" s="147" t="s">
        <v>1416</v>
      </c>
      <c r="I39" s="253"/>
      <c r="J39"/>
      <c r="K39"/>
    </row>
    <row r="40" spans="1:11" ht="15.75" thickBot="1">
      <c r="A40" s="346"/>
      <c r="B40" s="347"/>
      <c r="C40" s="346" t="s">
        <v>2142</v>
      </c>
      <c r="D40"/>
      <c r="E40" s="149" t="s">
        <v>199</v>
      </c>
      <c r="F40" s="121"/>
      <c r="G40" s="155" t="s">
        <v>1447</v>
      </c>
      <c r="I40" s="253"/>
      <c r="J40"/>
      <c r="K40"/>
    </row>
    <row r="41" spans="1:11" ht="15">
      <c r="A41" s="346">
        <f>COUNTA(A2:A40)</f>
        <v>6</v>
      </c>
      <c r="B41" s="347"/>
      <c r="C41" s="346">
        <f>COUNTA(C2:C40)</f>
        <v>39</v>
      </c>
      <c r="D41"/>
      <c r="E41" s="149" t="s">
        <v>1359</v>
      </c>
      <c r="F41" s="121"/>
      <c r="J41"/>
      <c r="K41"/>
    </row>
    <row r="42" spans="1:11" ht="15.75" thickBot="1">
      <c r="E42" s="149" t="s">
        <v>212</v>
      </c>
      <c r="F42" s="121"/>
      <c r="G42" s="147" t="s">
        <v>4042</v>
      </c>
      <c r="J42"/>
      <c r="K42"/>
    </row>
    <row r="43" spans="1:11" ht="15.75" thickBot="1">
      <c r="E43" s="149" t="s">
        <v>2334</v>
      </c>
      <c r="F43" s="121"/>
      <c r="G43" s="977">
        <v>2055978388.7325866</v>
      </c>
      <c r="H43" s="352" t="s">
        <v>4043</v>
      </c>
      <c r="K43"/>
    </row>
    <row r="44" spans="1:11" ht="15">
      <c r="E44" s="149" t="s">
        <v>213</v>
      </c>
      <c r="F44" s="121"/>
      <c r="I44" s="317"/>
      <c r="K44"/>
    </row>
    <row r="45" spans="1:11" ht="15.75" thickBot="1">
      <c r="E45" s="149" t="s">
        <v>200</v>
      </c>
      <c r="F45" s="121"/>
      <c r="G45" s="147" t="s">
        <v>2322</v>
      </c>
      <c r="K45"/>
    </row>
    <row r="46" spans="1:11" ht="15.75" thickBot="1">
      <c r="E46" s="149" t="s">
        <v>1355</v>
      </c>
      <c r="F46" s="121"/>
      <c r="G46" s="155" t="s">
        <v>1447</v>
      </c>
      <c r="K46"/>
    </row>
    <row r="47" spans="1:11" ht="15">
      <c r="E47" s="149" t="s">
        <v>201</v>
      </c>
      <c r="F47" s="121"/>
      <c r="K47"/>
    </row>
    <row r="48" spans="1:11" ht="15.75" thickBot="1">
      <c r="E48" s="149" t="s">
        <v>214</v>
      </c>
      <c r="F48" s="121"/>
      <c r="G48" s="147" t="s">
        <v>1422</v>
      </c>
      <c r="K48"/>
    </row>
    <row r="49" spans="5:7" ht="15.75" thickBot="1">
      <c r="E49" s="152" t="s">
        <v>1449</v>
      </c>
      <c r="F49" s="121"/>
      <c r="G49" s="353" t="s">
        <v>4241</v>
      </c>
    </row>
    <row r="50" spans="5:7" ht="15">
      <c r="E50" s="152" t="s">
        <v>4326</v>
      </c>
      <c r="F50" s="121"/>
    </row>
    <row r="51" spans="5:7" ht="15.75" thickBot="1">
      <c r="E51" s="149" t="s">
        <v>215</v>
      </c>
      <c r="F51" s="121"/>
      <c r="G51" s="147" t="s">
        <v>1440</v>
      </c>
    </row>
    <row r="52" spans="5:7" ht="15.75" thickBot="1">
      <c r="E52" s="149" t="s">
        <v>202</v>
      </c>
      <c r="F52" s="121"/>
      <c r="G52" s="153" t="s">
        <v>1447</v>
      </c>
    </row>
    <row r="53" spans="5:7" ht="15">
      <c r="E53" s="149" t="s">
        <v>203</v>
      </c>
      <c r="F53" s="121"/>
    </row>
    <row r="54" spans="5:7" ht="15">
      <c r="E54" s="149" t="s">
        <v>204</v>
      </c>
      <c r="F54" s="121"/>
    </row>
    <row r="55" spans="5:7" ht="15">
      <c r="E55" s="149" t="s">
        <v>216</v>
      </c>
      <c r="F55" s="121"/>
    </row>
    <row r="56" spans="5:7" ht="15">
      <c r="E56" s="152" t="s">
        <v>217</v>
      </c>
      <c r="F56" s="254" t="s">
        <v>1418</v>
      </c>
    </row>
    <row r="57" spans="5:7">
      <c r="E57" s="149" t="s">
        <v>218</v>
      </c>
    </row>
    <row r="58" spans="5:7" ht="14.65" customHeight="1">
      <c r="E58" s="149"/>
    </row>
    <row r="59" spans="5:7">
      <c r="E59" s="149"/>
    </row>
    <row r="60" spans="5:7">
      <c r="E60" s="149"/>
    </row>
    <row r="61" spans="5:7">
      <c r="E61" s="149"/>
    </row>
    <row r="62" spans="5:7">
      <c r="E62" s="149"/>
    </row>
    <row r="63" spans="5:7" ht="15" thickBot="1">
      <c r="E63" s="158"/>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3"/>
  <sheetViews>
    <sheetView zoomScale="85" zoomScaleNormal="85" workbookViewId="0">
      <selection activeCell="B12" sqref="B12"/>
    </sheetView>
  </sheetViews>
  <sheetFormatPr defaultColWidth="8.85546875" defaultRowHeight="14.25"/>
  <cols>
    <col min="1" max="1" width="27" style="146" customWidth="1"/>
    <col min="2" max="2" width="11" style="146" customWidth="1"/>
    <col min="3" max="16384" width="8.85546875" style="146"/>
  </cols>
  <sheetData>
    <row r="1" spans="1:9" ht="33" customHeight="1">
      <c r="A1" s="147" t="s">
        <v>1401</v>
      </c>
      <c r="B1" s="159">
        <v>44926</v>
      </c>
      <c r="C1" s="159">
        <f>EDATE(B1,-1)</f>
        <v>44895</v>
      </c>
      <c r="D1" s="159">
        <f>EDATE(C1,-1)</f>
        <v>44864</v>
      </c>
      <c r="E1" s="295"/>
    </row>
    <row r="2" spans="1:9">
      <c r="A2" s="147" t="s">
        <v>1402</v>
      </c>
      <c r="B2" s="249">
        <v>5.27</v>
      </c>
      <c r="C2" s="249">
        <v>5.75</v>
      </c>
      <c r="D2" s="249">
        <v>5.88</v>
      </c>
      <c r="E2" s="315"/>
      <c r="F2" s="315"/>
      <c r="G2" s="315"/>
      <c r="H2" s="316"/>
      <c r="I2" s="249"/>
    </row>
    <row r="3" spans="1:9">
      <c r="A3" s="147" t="s">
        <v>1403</v>
      </c>
      <c r="B3" s="249">
        <v>5.56</v>
      </c>
      <c r="C3" s="249">
        <v>6.05</v>
      </c>
      <c r="D3" s="249">
        <v>6.18</v>
      </c>
      <c r="I3" s="249"/>
    </row>
    <row r="4" spans="1:9">
      <c r="A4" s="147" t="s">
        <v>1404</v>
      </c>
      <c r="B4" s="249">
        <v>4.41</v>
      </c>
      <c r="C4" s="249">
        <v>4.9000000000000004</v>
      </c>
      <c r="D4" s="249">
        <v>5.0999999999999996</v>
      </c>
    </row>
    <row r="5" spans="1:9">
      <c r="A5" s="147" t="s">
        <v>1405</v>
      </c>
      <c r="B5" s="249">
        <v>4.75</v>
      </c>
      <c r="C5" s="249">
        <v>5.23</v>
      </c>
      <c r="D5" s="249">
        <v>5.4</v>
      </c>
    </row>
    <row r="6" spans="1:9">
      <c r="A6" s="147" t="s">
        <v>1406</v>
      </c>
      <c r="B6" s="249">
        <v>5.0999999999999996</v>
      </c>
      <c r="C6" s="249">
        <v>5.58</v>
      </c>
      <c r="D6" s="249">
        <v>5.74</v>
      </c>
      <c r="I6" s="249"/>
    </row>
    <row r="7" spans="1:9">
      <c r="A7" s="147" t="s">
        <v>1407</v>
      </c>
      <c r="B7" s="249">
        <v>5.58</v>
      </c>
      <c r="C7" s="249">
        <v>6.07</v>
      </c>
      <c r="D7" s="249">
        <v>6.26</v>
      </c>
    </row>
    <row r="9" spans="1:9">
      <c r="A9" s="147" t="s">
        <v>1420</v>
      </c>
    </row>
    <row r="10" spans="1:9" ht="78" customHeight="1">
      <c r="A10" s="217" t="s">
        <v>4243</v>
      </c>
      <c r="B10" s="502">
        <v>0.1211</v>
      </c>
      <c r="D10" s="160"/>
    </row>
    <row r="11" spans="1:9" ht="65.25" customHeight="1">
      <c r="A11" s="161" t="s">
        <v>4244</v>
      </c>
      <c r="B11" s="502">
        <v>5.9799999999999999E-2</v>
      </c>
      <c r="C11" s="160"/>
      <c r="D11" s="160"/>
    </row>
    <row r="12" spans="1:9" ht="61.5" customHeight="1">
      <c r="A12" s="161" t="s">
        <v>4245</v>
      </c>
      <c r="B12" s="502">
        <v>0.1074</v>
      </c>
      <c r="D12" s="160"/>
    </row>
    <row r="13" spans="1:9" ht="57">
      <c r="A13" s="161" t="s">
        <v>4246</v>
      </c>
      <c r="B13" s="502">
        <v>6.4600000000000005E-2</v>
      </c>
      <c r="D13" s="160"/>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70"/>
  <sheetViews>
    <sheetView zoomScale="89" zoomScaleNormal="89" workbookViewId="0">
      <pane xSplit="1" topLeftCell="B1" activePane="topRight" state="frozen"/>
      <selection pane="topRight" activeCell="C18" sqref="C18"/>
    </sheetView>
  </sheetViews>
  <sheetFormatPr defaultColWidth="8.85546875" defaultRowHeight="14.25"/>
  <cols>
    <col min="1" max="1" width="7.85546875" style="146" bestFit="1" customWidth="1"/>
    <col min="2" max="2" width="36.28515625" style="146" bestFit="1" customWidth="1"/>
    <col min="3" max="4" width="8.5703125" style="146" bestFit="1" customWidth="1"/>
    <col min="5" max="6" width="11.7109375" style="146" bestFit="1" customWidth="1"/>
    <col min="7" max="7" width="12.28515625" style="146" bestFit="1" customWidth="1"/>
    <col min="8" max="8" width="12.5703125" style="146" bestFit="1" customWidth="1"/>
    <col min="9" max="9" width="12.7109375" style="146" bestFit="1" customWidth="1"/>
    <col min="10" max="10" width="9.5703125" style="146" bestFit="1" customWidth="1"/>
    <col min="11" max="11" width="11" style="146" bestFit="1" customWidth="1"/>
    <col min="12" max="12" width="10.85546875" style="146" bestFit="1" customWidth="1"/>
    <col min="13" max="13" width="14" style="146" bestFit="1" customWidth="1"/>
    <col min="14" max="14" width="6.28515625" style="146" bestFit="1" customWidth="1"/>
    <col min="15" max="15" width="9.7109375" style="146" bestFit="1" customWidth="1"/>
    <col min="16" max="16" width="8.85546875" style="146"/>
    <col min="17" max="17" width="6.28515625" style="859" bestFit="1" customWidth="1"/>
    <col min="18" max="18" width="9.7109375" style="859" bestFit="1" customWidth="1"/>
    <col min="19" max="19" width="37.28515625" style="859" bestFit="1" customWidth="1"/>
    <col min="20" max="20" width="5.5703125" style="859" bestFit="1" customWidth="1"/>
    <col min="21" max="21" width="7" style="859" bestFit="1" customWidth="1"/>
    <col min="22" max="22" width="9.7109375" style="859" bestFit="1" customWidth="1"/>
    <col min="23" max="16384" width="8.85546875" style="146"/>
  </cols>
  <sheetData>
    <row r="1" spans="1:35" ht="32.25" customHeight="1">
      <c r="C1" s="842" t="s">
        <v>1398</v>
      </c>
      <c r="D1" s="843"/>
      <c r="E1" s="844"/>
      <c r="F1" s="842" t="s">
        <v>145</v>
      </c>
      <c r="G1" s="843"/>
      <c r="H1" s="845"/>
      <c r="I1" s="846" t="s">
        <v>1399</v>
      </c>
      <c r="J1" s="845" t="s">
        <v>1411</v>
      </c>
      <c r="K1" s="843"/>
      <c r="L1" s="843"/>
      <c r="M1" s="844"/>
      <c r="N1" s="842" t="s">
        <v>144</v>
      </c>
      <c r="O1" s="844"/>
      <c r="Q1" s="847"/>
      <c r="R1" s="848"/>
      <c r="S1" s="848"/>
      <c r="T1" s="848"/>
      <c r="U1" s="848"/>
      <c r="V1" s="849"/>
    </row>
    <row r="2" spans="1:35" ht="15.75">
      <c r="A2" s="850" t="s">
        <v>181</v>
      </c>
      <c r="B2" s="851" t="s">
        <v>155</v>
      </c>
      <c r="C2" s="852" t="s">
        <v>1324</v>
      </c>
      <c r="D2" s="853" t="s">
        <v>143</v>
      </c>
      <c r="E2" s="853" t="s">
        <v>1325</v>
      </c>
      <c r="F2" s="852" t="s">
        <v>1325</v>
      </c>
      <c r="G2" s="854" t="s">
        <v>1375</v>
      </c>
      <c r="H2" s="855" t="s">
        <v>1390</v>
      </c>
      <c r="I2" s="856"/>
      <c r="J2" s="852" t="s">
        <v>182</v>
      </c>
      <c r="K2" s="853" t="s">
        <v>1414</v>
      </c>
      <c r="L2" s="853" t="s">
        <v>1412</v>
      </c>
      <c r="M2" s="855" t="s">
        <v>1413</v>
      </c>
      <c r="N2" s="852" t="s">
        <v>1400</v>
      </c>
      <c r="O2" s="855" t="s">
        <v>140</v>
      </c>
      <c r="Q2" s="857" t="s">
        <v>1400</v>
      </c>
      <c r="R2" s="858" t="s">
        <v>140</v>
      </c>
      <c r="U2" s="858" t="s">
        <v>1400</v>
      </c>
      <c r="V2" s="860" t="s">
        <v>140</v>
      </c>
      <c r="AC2" s="1048"/>
      <c r="AD2" s="1048"/>
      <c r="AE2" s="1048"/>
      <c r="AG2" s="1048"/>
      <c r="AH2" s="1048"/>
      <c r="AI2" s="1048"/>
    </row>
    <row r="3" spans="1:35" ht="15.75">
      <c r="A3" s="861" t="str">
        <f>Input!A2</f>
        <v>ATO</v>
      </c>
      <c r="B3" s="541" t="s">
        <v>3928</v>
      </c>
      <c r="C3" s="862">
        <v>7.4999999999999997E-2</v>
      </c>
      <c r="D3" s="863">
        <v>8.1600000000000006E-2</v>
      </c>
      <c r="E3" s="863">
        <v>7.4999999999999997E-2</v>
      </c>
      <c r="F3" s="864">
        <v>0.8</v>
      </c>
      <c r="G3" s="865">
        <v>0.73475563526153564</v>
      </c>
      <c r="H3" s="866">
        <v>0.68</v>
      </c>
      <c r="I3" s="867">
        <v>2.96</v>
      </c>
      <c r="J3" s="868">
        <v>0.52569999999999995</v>
      </c>
      <c r="K3" s="868">
        <v>2.7458</v>
      </c>
      <c r="L3" s="868">
        <v>3.2216</v>
      </c>
      <c r="M3" s="869">
        <v>6.8400000000000002E-2</v>
      </c>
      <c r="N3" s="870" t="s">
        <v>193</v>
      </c>
      <c r="O3" s="871" t="s">
        <v>191</v>
      </c>
      <c r="Q3" s="872" t="s">
        <v>223</v>
      </c>
      <c r="R3" s="859" t="s">
        <v>224</v>
      </c>
      <c r="S3" s="873" t="s">
        <v>4250</v>
      </c>
      <c r="T3" s="859" t="s">
        <v>214</v>
      </c>
      <c r="U3" s="256">
        <f>IFERROR(VLOOKUP(Q3,'4.6 Moody''s_S&amp;P numbericl'!$F$6:$H$26,3,FALSE),"NR")</f>
        <v>8</v>
      </c>
      <c r="V3" s="257">
        <f>IFERROR(VLOOKUP(R3,'4.6 Moody''s_S&amp;P numbericl'!$B$6:$D$26,3,FALSE),"NR")</f>
        <v>8</v>
      </c>
      <c r="Z3" s="219"/>
      <c r="AA3" s="219"/>
      <c r="AC3" s="111"/>
      <c r="AD3" s="108"/>
      <c r="AE3" s="111"/>
      <c r="AF3" s="108"/>
      <c r="AG3" s="111"/>
      <c r="AH3" s="112"/>
      <c r="AI3" s="111"/>
    </row>
    <row r="4" spans="1:35" ht="15.75">
      <c r="A4" s="146" t="str">
        <f>Input!A3</f>
        <v>NJR</v>
      </c>
      <c r="B4" s="541" t="s">
        <v>4377</v>
      </c>
      <c r="C4" s="874">
        <v>0.06</v>
      </c>
      <c r="D4" s="875">
        <v>0.06</v>
      </c>
      <c r="E4" s="875">
        <v>0.05</v>
      </c>
      <c r="F4" s="876">
        <v>1</v>
      </c>
      <c r="G4" s="877">
        <v>0.70650196075439453</v>
      </c>
      <c r="H4" s="878">
        <v>0.94</v>
      </c>
      <c r="I4" s="867">
        <v>1.56</v>
      </c>
      <c r="J4" s="879">
        <v>0.61950000000000005</v>
      </c>
      <c r="K4" s="879">
        <v>2.9752000000000001</v>
      </c>
      <c r="L4" s="879">
        <v>3.7826</v>
      </c>
      <c r="M4" s="880">
        <v>7.4099999999999999E-2</v>
      </c>
      <c r="N4" s="881" t="s">
        <v>2296</v>
      </c>
      <c r="O4" s="882" t="s">
        <v>191</v>
      </c>
      <c r="Q4" s="872"/>
      <c r="V4" s="883"/>
      <c r="Z4" s="219"/>
      <c r="AA4" s="219"/>
      <c r="AC4" s="111"/>
      <c r="AD4" s="108"/>
      <c r="AE4" s="111"/>
      <c r="AF4" s="108"/>
      <c r="AG4" s="111"/>
      <c r="AH4" s="112"/>
      <c r="AI4" s="111"/>
    </row>
    <row r="5" spans="1:35" ht="15.75">
      <c r="A5" s="146" t="str">
        <f>Input!A4</f>
        <v>NI</v>
      </c>
      <c r="B5" s="541" t="s">
        <v>4354</v>
      </c>
      <c r="C5" s="874">
        <v>6.8000000000000005E-2</v>
      </c>
      <c r="D5" s="875">
        <v>6.3500000000000001E-2</v>
      </c>
      <c r="E5" s="875">
        <v>9.5000000000000001E-2</v>
      </c>
      <c r="F5" s="876">
        <v>0.85</v>
      </c>
      <c r="G5" s="877">
        <v>0.73715859651565552</v>
      </c>
      <c r="H5" s="878">
        <v>0.71</v>
      </c>
      <c r="I5" s="867">
        <v>0.94</v>
      </c>
      <c r="J5" s="879">
        <v>0.58550000000000002</v>
      </c>
      <c r="K5" s="879">
        <v>2.4801000000000002</v>
      </c>
      <c r="L5" s="879">
        <v>3.0535000000000001</v>
      </c>
      <c r="M5" s="880">
        <v>6.1699999999999998E-2</v>
      </c>
      <c r="N5" s="881" t="s">
        <v>223</v>
      </c>
      <c r="O5" s="882" t="s">
        <v>224</v>
      </c>
      <c r="Q5" s="872" t="s">
        <v>2296</v>
      </c>
      <c r="R5" s="859" t="s">
        <v>191</v>
      </c>
      <c r="S5" s="859" t="s">
        <v>4359</v>
      </c>
      <c r="T5" s="859" t="s">
        <v>3051</v>
      </c>
      <c r="U5" s="256" t="str">
        <f>IFERROR(VLOOKUP(Q5,'4.6 Moody''s_S&amp;P numbericl'!$F$6:$H$26,3,FALSE),"NR")</f>
        <v>NR</v>
      </c>
      <c r="V5" s="257">
        <f>IFERROR(VLOOKUP(R5,'4.6 Moody''s_S&amp;P numbericl'!$B$6:$D$26,3,FALSE),"NR")</f>
        <v>5</v>
      </c>
      <c r="X5" s="219"/>
      <c r="Y5" s="219"/>
      <c r="Z5" s="219"/>
      <c r="AA5" s="219"/>
      <c r="AC5" s="111"/>
      <c r="AD5" s="108"/>
      <c r="AE5" s="111"/>
      <c r="AF5" s="108"/>
      <c r="AG5" s="111"/>
      <c r="AH5" s="112"/>
      <c r="AI5" s="111"/>
    </row>
    <row r="6" spans="1:35" ht="15.75">
      <c r="A6" s="146" t="str">
        <f>Input!A5</f>
        <v>NWN</v>
      </c>
      <c r="B6" s="541" t="s">
        <v>4378</v>
      </c>
      <c r="C6" s="874">
        <v>4.2999999999999997E-2</v>
      </c>
      <c r="D6" s="875">
        <v>4.2999999999999997E-2</v>
      </c>
      <c r="E6" s="875">
        <v>6.5000000000000002E-2</v>
      </c>
      <c r="F6" s="876">
        <v>0.85</v>
      </c>
      <c r="G6" s="877">
        <v>0.52684015035629272</v>
      </c>
      <c r="H6" s="878">
        <v>0.7</v>
      </c>
      <c r="I6" s="867">
        <v>1.94</v>
      </c>
      <c r="J6" s="879">
        <v>0.48880000000000001</v>
      </c>
      <c r="K6" s="879">
        <v>3.1227999999999998</v>
      </c>
      <c r="L6" s="879">
        <v>3.5724999999999998</v>
      </c>
      <c r="M6" s="880">
        <v>7.7700000000000005E-2</v>
      </c>
      <c r="N6" s="881" t="s">
        <v>190</v>
      </c>
      <c r="O6" s="882" t="s">
        <v>224</v>
      </c>
      <c r="Q6" s="872"/>
      <c r="V6" s="883"/>
      <c r="X6" s="219"/>
      <c r="Y6" s="219"/>
      <c r="Z6" s="219"/>
      <c r="AA6" s="219"/>
      <c r="AC6" s="111"/>
      <c r="AD6" s="108"/>
      <c r="AE6" s="111"/>
      <c r="AF6" s="108"/>
      <c r="AG6" s="111"/>
      <c r="AH6" s="112"/>
      <c r="AI6" s="111"/>
    </row>
    <row r="7" spans="1:35" ht="15.75">
      <c r="A7" s="146" t="str">
        <f>Input!A6</f>
        <v>OGS</v>
      </c>
      <c r="B7" s="541" t="s">
        <v>3062</v>
      </c>
      <c r="C7" s="874">
        <v>0.05</v>
      </c>
      <c r="D7" s="875">
        <v>0.05</v>
      </c>
      <c r="E7" s="875">
        <v>6.5000000000000002E-2</v>
      </c>
      <c r="F7" s="876">
        <v>0.8</v>
      </c>
      <c r="G7" s="877">
        <v>0.58262908458709717</v>
      </c>
      <c r="H7" s="878">
        <v>0.66</v>
      </c>
      <c r="I7" s="867">
        <v>2.48</v>
      </c>
      <c r="J7" s="879">
        <v>0.5242</v>
      </c>
      <c r="K7" s="879">
        <v>2.7000999999999999</v>
      </c>
      <c r="L7" s="879">
        <v>3.1644000000000001</v>
      </c>
      <c r="M7" s="880">
        <v>6.7199999999999996E-2</v>
      </c>
      <c r="N7" s="881" t="s">
        <v>193</v>
      </c>
      <c r="O7" s="882" t="s">
        <v>219</v>
      </c>
      <c r="Q7" s="872" t="s">
        <v>190</v>
      </c>
      <c r="R7" s="859" t="s">
        <v>224</v>
      </c>
      <c r="S7" s="884" t="s">
        <v>4040</v>
      </c>
      <c r="T7" s="859" t="s">
        <v>3052</v>
      </c>
      <c r="U7" s="256">
        <f>IFERROR(VLOOKUP(Q7,'4.6 Moody''s_S&amp;P numbericl'!$F$6:$H$26,3,FALSE),"NR")</f>
        <v>5</v>
      </c>
      <c r="V7" s="257">
        <f>IFERROR(VLOOKUP(R7,'4.6 Moody''s_S&amp;P numbericl'!$B$6:$D$26,3,FALSE),"NR")</f>
        <v>8</v>
      </c>
      <c r="X7" s="219"/>
      <c r="Y7" s="219"/>
      <c r="Z7" s="219"/>
      <c r="AA7" s="219"/>
      <c r="AC7" s="111"/>
      <c r="AD7" s="108"/>
      <c r="AE7" s="111"/>
      <c r="AF7" s="108"/>
      <c r="AG7" s="111"/>
      <c r="AH7" s="112"/>
      <c r="AI7" s="111"/>
    </row>
    <row r="8" spans="1:35" ht="15.75">
      <c r="A8" s="348" t="str">
        <f>Input!A7</f>
        <v>SR</v>
      </c>
      <c r="B8" s="543" t="s">
        <v>3066</v>
      </c>
      <c r="C8" s="885">
        <v>0.05</v>
      </c>
      <c r="D8" s="886">
        <v>0.08</v>
      </c>
      <c r="E8" s="886">
        <v>0.09</v>
      </c>
      <c r="F8" s="887">
        <v>0.85</v>
      </c>
      <c r="G8" s="888">
        <v>0.69245487451553345</v>
      </c>
      <c r="H8" s="889">
        <v>0.72</v>
      </c>
      <c r="I8" s="890">
        <v>2.88</v>
      </c>
      <c r="J8" s="891">
        <v>0.54010000000000002</v>
      </c>
      <c r="K8" s="891">
        <v>2.8254999999999999</v>
      </c>
      <c r="L8" s="891">
        <v>3.3509000000000002</v>
      </c>
      <c r="M8" s="892">
        <v>7.0300000000000001E-2</v>
      </c>
      <c r="N8" s="893" t="s">
        <v>193</v>
      </c>
      <c r="O8" s="894" t="s">
        <v>3061</v>
      </c>
      <c r="Q8" s="872"/>
      <c r="V8" s="883"/>
      <c r="X8" s="219"/>
      <c r="Y8" s="219"/>
      <c r="Z8" s="219"/>
      <c r="AA8" s="219"/>
      <c r="AC8" s="111"/>
      <c r="AD8" s="108"/>
      <c r="AE8" s="111"/>
      <c r="AF8" s="108"/>
      <c r="AG8" s="111"/>
      <c r="AH8" s="112"/>
      <c r="AI8" s="111"/>
    </row>
    <row r="9" spans="1:35" ht="15.75">
      <c r="Q9" s="872" t="s">
        <v>193</v>
      </c>
      <c r="R9" s="895" t="s">
        <v>189</v>
      </c>
      <c r="S9" s="859" t="s">
        <v>3059</v>
      </c>
      <c r="T9" s="859" t="s">
        <v>3055</v>
      </c>
      <c r="U9" s="256">
        <f>IFERROR(VLOOKUP(Q9,'4.6 Moody''s_S&amp;P numbericl'!$F$6:$H$26,3,FALSE),"NR")</f>
        <v>7</v>
      </c>
      <c r="V9" s="257">
        <f>IFERROR(VLOOKUP(R9,'4.6 Moody''s_S&amp;P numbericl'!$B$6:$D$26,3,FALSE),"NR")</f>
        <v>6</v>
      </c>
      <c r="X9" s="219"/>
      <c r="Y9" s="219"/>
      <c r="Z9" s="219"/>
      <c r="AA9" s="219"/>
      <c r="AC9" s="111"/>
      <c r="AD9" s="108"/>
      <c r="AE9" s="111"/>
      <c r="AF9" s="108"/>
      <c r="AG9" s="111"/>
      <c r="AH9" s="112"/>
      <c r="AI9" s="111"/>
    </row>
    <row r="10" spans="1:35" ht="15.75">
      <c r="B10" s="324"/>
      <c r="C10" s="162"/>
      <c r="D10" s="162"/>
      <c r="E10"/>
      <c r="F10" s="164"/>
      <c r="G10"/>
      <c r="H10" s="164"/>
      <c r="I10" s="896"/>
      <c r="J10" s="220"/>
      <c r="K10" s="220"/>
      <c r="L10" s="220"/>
      <c r="M10" s="220"/>
      <c r="Q10" s="872" t="s">
        <v>193</v>
      </c>
      <c r="R10" s="895" t="s">
        <v>191</v>
      </c>
      <c r="S10" s="859" t="s">
        <v>3060</v>
      </c>
      <c r="T10" s="859" t="s">
        <v>3055</v>
      </c>
      <c r="U10" s="256">
        <f>IFERROR(VLOOKUP(Q10,'4.6 Moody''s_S&amp;P numbericl'!$F$6:$H$26,3,FALSE),"NR")</f>
        <v>7</v>
      </c>
      <c r="V10" s="257">
        <f>IFERROR(VLOOKUP(R10,'4.6 Moody''s_S&amp;P numbericl'!$B$6:$D$26,3,FALSE),"NR")</f>
        <v>5</v>
      </c>
      <c r="X10" s="219"/>
      <c r="Y10" s="219"/>
      <c r="Z10" s="219"/>
      <c r="AA10" s="219"/>
      <c r="AC10" s="111"/>
      <c r="AD10" s="108"/>
      <c r="AE10" s="111"/>
      <c r="AF10" s="108"/>
      <c r="AG10" s="111"/>
      <c r="AH10" s="112"/>
      <c r="AI10" s="111"/>
    </row>
    <row r="11" spans="1:35" ht="15.75">
      <c r="C11" s="162"/>
      <c r="D11" s="162"/>
      <c r="E11" s="162"/>
      <c r="F11" s="164"/>
      <c r="G11" s="164"/>
      <c r="H11" s="164"/>
      <c r="I11" s="896"/>
      <c r="J11" s="220"/>
      <c r="K11" s="220"/>
      <c r="L11" s="220"/>
      <c r="M11" s="220"/>
      <c r="Q11" s="897"/>
      <c r="R11" s="898"/>
      <c r="S11" s="898"/>
      <c r="T11" s="898"/>
      <c r="U11" s="433">
        <f>AVERAGE(U9:U10)</f>
        <v>7</v>
      </c>
      <c r="V11" s="434">
        <f>AVERAGE(V9:V10)</f>
        <v>5.5</v>
      </c>
      <c r="X11" s="219"/>
      <c r="Y11" s="219"/>
      <c r="Z11" s="219"/>
      <c r="AA11" s="219"/>
      <c r="AC11" s="111"/>
      <c r="AD11" s="108"/>
      <c r="AE11" s="111"/>
      <c r="AF11" s="108"/>
      <c r="AG11" s="111"/>
      <c r="AH11" s="112"/>
      <c r="AI11" s="111"/>
    </row>
    <row r="12" spans="1:35" ht="15.75">
      <c r="C12" s="162"/>
      <c r="D12" s="162"/>
      <c r="E12" s="162"/>
      <c r="F12" s="164"/>
      <c r="G12" s="164"/>
      <c r="H12" s="164"/>
      <c r="I12" s="896"/>
      <c r="J12" s="220"/>
      <c r="K12" s="220"/>
      <c r="L12" s="220"/>
      <c r="M12" s="220"/>
      <c r="X12" s="219"/>
      <c r="Y12" s="219"/>
      <c r="Z12" s="219"/>
      <c r="AA12" s="219"/>
      <c r="AC12" s="111"/>
      <c r="AD12" s="108"/>
      <c r="AE12" s="111"/>
      <c r="AF12" s="108"/>
      <c r="AG12" s="111"/>
      <c r="AH12" s="112"/>
      <c r="AI12" s="111"/>
    </row>
    <row r="13" spans="1:35" ht="15.75">
      <c r="C13" s="162"/>
      <c r="D13" s="162"/>
      <c r="E13" s="162"/>
      <c r="F13" s="164"/>
      <c r="G13" s="164"/>
      <c r="H13" s="164"/>
      <c r="I13" s="896"/>
      <c r="J13" s="220"/>
      <c r="K13" s="220"/>
      <c r="L13" s="220"/>
      <c r="M13" s="220"/>
      <c r="X13" s="219"/>
      <c r="Y13" s="219"/>
      <c r="Z13" s="219"/>
      <c r="AA13" s="219"/>
      <c r="AC13" s="111"/>
      <c r="AD13" s="108"/>
      <c r="AE13" s="111"/>
      <c r="AF13" s="108"/>
      <c r="AG13" s="111"/>
      <c r="AH13" s="112"/>
      <c r="AI13" s="111"/>
    </row>
    <row r="14" spans="1:35" ht="15.75">
      <c r="C14" s="162"/>
      <c r="D14" s="162"/>
      <c r="E14" s="162"/>
      <c r="F14" s="164"/>
      <c r="G14" s="164"/>
      <c r="H14" s="164"/>
      <c r="I14" s="896"/>
      <c r="J14" s="220"/>
      <c r="K14" s="220"/>
      <c r="L14" s="220"/>
      <c r="M14" s="220"/>
      <c r="X14" s="219"/>
      <c r="Y14" s="219"/>
      <c r="Z14" s="219"/>
      <c r="AA14" s="219"/>
      <c r="AC14" s="111"/>
      <c r="AD14" s="108"/>
      <c r="AE14" s="111"/>
      <c r="AF14" s="108"/>
      <c r="AG14" s="111"/>
      <c r="AH14" s="112"/>
      <c r="AI14" s="111"/>
    </row>
    <row r="15" spans="1:35" ht="15.75">
      <c r="C15" s="162"/>
      <c r="D15" s="162"/>
      <c r="E15" s="162"/>
      <c r="F15" s="164"/>
      <c r="G15" s="164"/>
      <c r="H15" s="164"/>
      <c r="I15" s="896"/>
      <c r="J15" s="220"/>
      <c r="K15" s="220"/>
      <c r="L15" s="220"/>
      <c r="M15" s="220"/>
      <c r="X15" s="219"/>
      <c r="Y15" s="219"/>
      <c r="Z15" s="219"/>
      <c r="AA15" s="219"/>
      <c r="AC15" s="111"/>
      <c r="AD15" s="108"/>
      <c r="AE15" s="111"/>
      <c r="AF15" s="108"/>
      <c r="AG15" s="111"/>
      <c r="AH15" s="112"/>
      <c r="AI15" s="111"/>
    </row>
    <row r="16" spans="1:35" ht="15.75">
      <c r="C16" s="146" t="s">
        <v>4517</v>
      </c>
      <c r="D16" s="162"/>
      <c r="E16" s="162"/>
      <c r="F16" s="164"/>
      <c r="G16" s="164"/>
      <c r="H16" s="164"/>
      <c r="I16" s="896"/>
      <c r="J16" s="220"/>
      <c r="K16" s="220"/>
      <c r="L16" s="220"/>
      <c r="M16" s="220"/>
      <c r="X16" s="219"/>
      <c r="Y16" s="219"/>
      <c r="Z16" s="219"/>
      <c r="AA16" s="219"/>
      <c r="AC16" s="111"/>
      <c r="AD16" s="108"/>
      <c r="AE16" s="111"/>
      <c r="AF16" s="108"/>
      <c r="AG16" s="111"/>
      <c r="AH16" s="112"/>
      <c r="AI16" s="111"/>
    </row>
    <row r="17" spans="4:35" ht="15.75">
      <c r="D17" s="162"/>
      <c r="E17" s="162"/>
      <c r="F17" s="164"/>
      <c r="G17" s="164"/>
      <c r="H17" s="164"/>
      <c r="I17" s="896"/>
      <c r="J17" s="164"/>
      <c r="K17" s="164"/>
      <c r="L17" s="164"/>
      <c r="M17" s="164"/>
      <c r="X17" s="219"/>
      <c r="Y17" s="219"/>
      <c r="Z17" s="219"/>
      <c r="AA17" s="219"/>
      <c r="AC17" s="111"/>
      <c r="AD17" s="108"/>
      <c r="AE17" s="111"/>
      <c r="AF17" s="108"/>
      <c r="AG17" s="111"/>
      <c r="AH17" s="112"/>
      <c r="AI17" s="111"/>
    </row>
    <row r="18" spans="4:35" ht="15.75">
      <c r="D18" s="162"/>
      <c r="E18" s="162"/>
      <c r="F18" s="164"/>
      <c r="G18" s="164"/>
      <c r="H18" s="164"/>
      <c r="I18" s="896"/>
      <c r="J18" s="164"/>
      <c r="K18" s="164"/>
      <c r="L18" s="164"/>
      <c r="M18" s="164"/>
      <c r="W18" s="219"/>
      <c r="X18" s="219"/>
      <c r="Y18" s="219"/>
      <c r="Z18" s="219"/>
      <c r="AA18" s="219"/>
      <c r="AC18" s="111"/>
      <c r="AD18" s="108"/>
      <c r="AE18" s="111"/>
      <c r="AF18" s="108"/>
      <c r="AG18" s="111"/>
      <c r="AH18" s="112"/>
      <c r="AI18" s="111"/>
    </row>
    <row r="19" spans="4:35" ht="15.75">
      <c r="D19" s="162"/>
      <c r="E19" s="162"/>
      <c r="F19" s="164"/>
      <c r="G19" s="164"/>
      <c r="H19" s="164"/>
      <c r="I19" s="896"/>
      <c r="J19" s="164"/>
      <c r="K19" s="164"/>
      <c r="L19" s="164"/>
      <c r="M19" s="164"/>
      <c r="X19" s="219"/>
      <c r="Y19" s="219"/>
      <c r="Z19" s="219"/>
      <c r="AA19" s="219"/>
      <c r="AC19" s="111"/>
      <c r="AD19" s="108"/>
      <c r="AE19" s="111"/>
      <c r="AF19" s="108"/>
      <c r="AG19" s="111"/>
      <c r="AH19" s="112"/>
      <c r="AI19" s="111"/>
    </row>
    <row r="20" spans="4:35" ht="15.75">
      <c r="D20" s="162"/>
      <c r="E20" s="162"/>
      <c r="F20" s="164"/>
      <c r="G20" s="164"/>
      <c r="H20" s="164"/>
      <c r="I20" s="896"/>
      <c r="J20" s="220"/>
      <c r="K20" s="220"/>
      <c r="L20" s="220"/>
      <c r="M20" s="220"/>
      <c r="X20" s="219"/>
      <c r="Y20" s="219"/>
      <c r="Z20" s="219"/>
      <c r="AA20" s="219"/>
      <c r="AC20" s="111"/>
      <c r="AD20" s="108"/>
      <c r="AE20" s="111"/>
      <c r="AF20" s="108"/>
      <c r="AG20" s="111"/>
      <c r="AH20" s="112"/>
      <c r="AI20" s="111"/>
    </row>
    <row r="21" spans="4:35" ht="15.75">
      <c r="D21" s="162"/>
      <c r="E21" s="162"/>
      <c r="F21" s="164"/>
      <c r="G21" s="164"/>
      <c r="H21" s="164"/>
      <c r="I21" s="896"/>
      <c r="J21" s="220"/>
      <c r="K21" s="220"/>
      <c r="L21" s="220"/>
      <c r="M21" s="220"/>
      <c r="Z21" s="219"/>
      <c r="AA21" s="219"/>
      <c r="AC21" s="111"/>
      <c r="AD21" s="108"/>
      <c r="AE21" s="111"/>
      <c r="AF21" s="108"/>
      <c r="AG21" s="111"/>
      <c r="AH21" s="112"/>
      <c r="AI21" s="111"/>
    </row>
    <row r="22" spans="4:35" ht="15.75">
      <c r="D22" s="162"/>
      <c r="E22" s="222"/>
      <c r="F22" s="164"/>
      <c r="G22" s="164"/>
      <c r="H22" s="164"/>
      <c r="I22" s="896"/>
      <c r="J22" s="220"/>
      <c r="K22" s="220"/>
      <c r="L22" s="220"/>
      <c r="M22" s="220"/>
      <c r="X22" s="219"/>
      <c r="Y22" s="219"/>
      <c r="Z22" s="219"/>
      <c r="AA22" s="219"/>
    </row>
    <row r="23" spans="4:35" ht="15.75">
      <c r="D23" s="162"/>
      <c r="E23" s="162"/>
      <c r="F23" s="164"/>
      <c r="G23" s="164"/>
      <c r="H23" s="164"/>
      <c r="I23" s="896"/>
      <c r="J23" s="220"/>
      <c r="K23" s="220"/>
      <c r="L23" s="220"/>
      <c r="M23" s="220"/>
      <c r="X23" s="219"/>
      <c r="Y23" s="219"/>
      <c r="Z23" s="219"/>
      <c r="AA23" s="219"/>
    </row>
    <row r="24" spans="4:35" ht="15.75">
      <c r="D24" s="162"/>
      <c r="E24" s="162"/>
      <c r="F24" s="164"/>
      <c r="G24" s="881"/>
      <c r="H24" s="164"/>
      <c r="I24" s="896"/>
      <c r="J24" s="220"/>
      <c r="K24" s="220"/>
      <c r="L24" s="220"/>
      <c r="M24" s="220"/>
      <c r="X24" s="219"/>
      <c r="Y24" s="219"/>
      <c r="Z24" s="219"/>
      <c r="AA24" s="219"/>
    </row>
    <row r="25" spans="4:35" ht="15.75">
      <c r="D25" s="162"/>
      <c r="E25" s="162"/>
      <c r="F25" s="164"/>
      <c r="G25" s="881"/>
      <c r="H25" s="164"/>
      <c r="I25" s="881"/>
      <c r="J25" s="220"/>
      <c r="K25" s="220"/>
      <c r="L25" s="220"/>
      <c r="M25" s="220"/>
      <c r="X25" s="219"/>
      <c r="Y25" s="219"/>
      <c r="Z25" s="219"/>
      <c r="AA25" s="219"/>
    </row>
    <row r="26" spans="4:35" ht="15.75">
      <c r="D26" s="162"/>
      <c r="E26" s="162"/>
      <c r="F26" s="164"/>
      <c r="G26" s="881"/>
      <c r="H26" s="164"/>
      <c r="I26" s="881"/>
      <c r="J26" s="220"/>
      <c r="K26" s="220"/>
      <c r="L26" s="220"/>
      <c r="M26" s="220"/>
      <c r="X26" s="219"/>
      <c r="Y26" s="219"/>
      <c r="Z26" s="219"/>
      <c r="AA26" s="219"/>
    </row>
    <row r="27" spans="4:35" ht="15.75">
      <c r="D27" s="162"/>
      <c r="E27" s="162"/>
      <c r="F27" s="164"/>
      <c r="G27" s="881"/>
      <c r="H27" s="164"/>
      <c r="I27" s="881"/>
      <c r="J27" s="220"/>
      <c r="K27" s="220"/>
      <c r="L27" s="220"/>
      <c r="M27" s="220"/>
      <c r="X27" s="219"/>
      <c r="Y27" s="219"/>
      <c r="Z27" s="219"/>
      <c r="AA27" s="219"/>
    </row>
    <row r="28" spans="4:35" ht="15.75">
      <c r="D28" s="162"/>
      <c r="E28" s="162"/>
      <c r="F28" s="164"/>
      <c r="G28" s="881"/>
      <c r="H28" s="164"/>
      <c r="I28" s="881"/>
      <c r="J28" s="220"/>
      <c r="K28" s="220"/>
      <c r="L28" s="220"/>
      <c r="M28" s="220"/>
      <c r="X28" s="219"/>
      <c r="Y28" s="219"/>
      <c r="Z28" s="219"/>
      <c r="AA28" s="219"/>
    </row>
    <row r="29" spans="4:35" ht="15.75">
      <c r="D29" s="162"/>
      <c r="E29" s="162"/>
      <c r="F29" s="881"/>
      <c r="G29" s="881"/>
      <c r="H29" s="881"/>
      <c r="I29" s="881"/>
      <c r="J29" s="881"/>
      <c r="Z29" s="219"/>
      <c r="AA29" s="219"/>
    </row>
    <row r="30" spans="4:35" ht="15.75">
      <c r="D30" s="162"/>
      <c r="E30" s="162"/>
      <c r="F30" s="881"/>
      <c r="G30" s="881"/>
      <c r="H30" s="881"/>
      <c r="I30" s="881"/>
      <c r="J30" s="881"/>
      <c r="Z30" s="219"/>
      <c r="AA30" s="219"/>
    </row>
    <row r="31" spans="4:35" ht="15.75">
      <c r="D31" s="162"/>
      <c r="E31" s="162"/>
      <c r="F31" s="881"/>
      <c r="G31" s="881"/>
      <c r="H31" s="881"/>
      <c r="I31" s="881"/>
      <c r="J31" s="881"/>
      <c r="X31" s="219"/>
      <c r="Y31" s="219"/>
      <c r="Z31" s="219"/>
      <c r="AA31" s="219"/>
    </row>
    <row r="32" spans="4:35" ht="15.75">
      <c r="D32" s="162"/>
      <c r="E32" s="162"/>
      <c r="F32" s="881"/>
      <c r="G32" s="881"/>
      <c r="H32" s="881"/>
      <c r="I32" s="881"/>
      <c r="J32" s="881"/>
      <c r="X32" s="219"/>
      <c r="Y32" s="219"/>
      <c r="Z32" s="219"/>
      <c r="AA32" s="219"/>
    </row>
    <row r="33" spans="3:27" ht="15.75">
      <c r="D33" s="162"/>
      <c r="E33" s="162"/>
      <c r="F33" s="881"/>
      <c r="G33" s="881"/>
      <c r="H33" s="881"/>
      <c r="I33" s="881"/>
      <c r="J33" s="881"/>
      <c r="X33" s="219"/>
      <c r="Y33" s="219"/>
      <c r="Z33" s="219"/>
      <c r="AA33" s="219"/>
    </row>
    <row r="34" spans="3:27" ht="15.75">
      <c r="D34" s="163"/>
      <c r="E34" s="163"/>
      <c r="X34" s="219"/>
      <c r="Y34" s="219"/>
      <c r="Z34" s="219"/>
      <c r="AA34" s="219"/>
    </row>
    <row r="35" spans="3:27" ht="15.75">
      <c r="C35" s="162"/>
      <c r="D35" s="163"/>
      <c r="E35" s="163"/>
      <c r="X35" s="219"/>
      <c r="Y35" s="219"/>
      <c r="Z35" s="219"/>
      <c r="AA35" s="219"/>
    </row>
    <row r="36" spans="3:27" ht="15.75">
      <c r="C36" s="162"/>
      <c r="D36" s="163"/>
      <c r="E36" s="163"/>
      <c r="X36" s="219"/>
      <c r="Y36" s="219"/>
      <c r="Z36" s="219"/>
      <c r="AA36" s="219"/>
    </row>
    <row r="37" spans="3:27" ht="15.75">
      <c r="C37" s="163"/>
      <c r="D37" s="163"/>
      <c r="E37" s="163"/>
      <c r="X37" s="219"/>
      <c r="Y37" s="219"/>
      <c r="Z37" s="219"/>
      <c r="AA37" s="219"/>
    </row>
    <row r="38" spans="3:27" ht="15.75">
      <c r="X38" s="219"/>
      <c r="Y38" s="219"/>
      <c r="Z38" s="219"/>
      <c r="AA38" s="219"/>
    </row>
    <row r="39" spans="3:27" ht="15.75">
      <c r="Z39" s="219"/>
      <c r="AA39" s="219"/>
    </row>
    <row r="40" spans="3:27" ht="15.75">
      <c r="Z40" s="219"/>
      <c r="AA40" s="219"/>
    </row>
    <row r="41" spans="3:27" ht="15.75">
      <c r="X41" s="219"/>
      <c r="Y41" s="219"/>
      <c r="Z41" s="219"/>
      <c r="AA41" s="219"/>
    </row>
    <row r="42" spans="3:27" ht="15.75">
      <c r="X42" s="219"/>
      <c r="Y42" s="219"/>
      <c r="Z42" s="219"/>
      <c r="AA42" s="219"/>
    </row>
    <row r="43" spans="3:27" ht="15.75">
      <c r="X43" s="219"/>
      <c r="Y43" s="219"/>
      <c r="Z43" s="219"/>
      <c r="AA43" s="219"/>
    </row>
    <row r="44" spans="3:27" ht="15.75">
      <c r="X44" s="219"/>
      <c r="Y44" s="219"/>
      <c r="Z44" s="219"/>
      <c r="AA44" s="219"/>
    </row>
    <row r="45" spans="3:27" ht="15.75">
      <c r="X45" s="219"/>
      <c r="Y45" s="219"/>
      <c r="Z45" s="219"/>
      <c r="AA45" s="219"/>
    </row>
    <row r="46" spans="3:27" ht="15.75">
      <c r="X46" s="219"/>
      <c r="Y46" s="219"/>
      <c r="Z46" s="219"/>
      <c r="AA46" s="219"/>
    </row>
    <row r="47" spans="3:27" ht="15.75">
      <c r="X47" s="219"/>
      <c r="Y47" s="219"/>
      <c r="Z47" s="219"/>
      <c r="AA47" s="219"/>
    </row>
    <row r="48" spans="3:27" ht="15.75">
      <c r="X48" s="219"/>
      <c r="Y48" s="219"/>
      <c r="Z48" s="219"/>
      <c r="AA48" s="219"/>
    </row>
    <row r="49" spans="24:27" ht="15.75">
      <c r="X49" s="219"/>
      <c r="Y49" s="219"/>
      <c r="Z49" s="219"/>
      <c r="AA49" s="219"/>
    </row>
    <row r="50" spans="24:27" ht="15.75">
      <c r="X50" s="219"/>
      <c r="Y50" s="219"/>
      <c r="Z50" s="219"/>
      <c r="AA50" s="219"/>
    </row>
    <row r="51" spans="24:27" ht="15.75">
      <c r="Z51" s="219"/>
      <c r="AA51" s="219"/>
    </row>
    <row r="52" spans="24:27" ht="15.75">
      <c r="Z52" s="219"/>
      <c r="AA52" s="219"/>
    </row>
    <row r="53" spans="24:27" ht="15.75">
      <c r="X53" s="219"/>
      <c r="Y53" s="219"/>
      <c r="Z53" s="219"/>
      <c r="AA53" s="219"/>
    </row>
    <row r="54" spans="24:27" ht="15.75">
      <c r="Z54" s="219"/>
      <c r="AA54" s="219"/>
    </row>
    <row r="55" spans="24:27" ht="15.75">
      <c r="Z55" s="219"/>
      <c r="AA55" s="219"/>
    </row>
    <row r="56" spans="24:27" ht="15.75">
      <c r="Z56" s="219"/>
      <c r="AA56" s="219"/>
    </row>
    <row r="61" spans="24:27" ht="15.75">
      <c r="X61" s="219"/>
      <c r="Y61" s="219"/>
    </row>
    <row r="62" spans="24:27" ht="15.75">
      <c r="X62" s="219"/>
      <c r="Y62" s="219"/>
    </row>
    <row r="67" spans="24:25" ht="15.75">
      <c r="X67" s="219"/>
      <c r="Y67" s="219"/>
    </row>
    <row r="68" spans="24:25" ht="15.75">
      <c r="X68" s="219"/>
      <c r="Y68" s="219"/>
    </row>
    <row r="69" spans="24:25" ht="15.75">
      <c r="X69" s="219"/>
      <c r="Y69" s="219"/>
    </row>
    <row r="70" spans="24:25" ht="15.75">
      <c r="X70" s="219"/>
      <c r="Y70" s="219"/>
    </row>
  </sheetData>
  <sortState ref="B7:B8">
    <sortCondition ref="B6:B8"/>
  </sortState>
  <mergeCells count="2">
    <mergeCell ref="AC2:AE2"/>
    <mergeCell ref="AG2:AI2"/>
  </mergeCells>
  <phoneticPr fontId="159" type="noConversion"/>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506"/>
  <sheetViews>
    <sheetView topLeftCell="B1" zoomScale="85" zoomScaleNormal="85" workbookViewId="0">
      <selection activeCell="H46" sqref="H46"/>
    </sheetView>
  </sheetViews>
  <sheetFormatPr defaultColWidth="8.85546875" defaultRowHeight="14.25"/>
  <cols>
    <col min="1" max="1" width="17.28515625" style="146" hidden="1" customWidth="1"/>
    <col min="2" max="2" width="17.28515625" style="146" customWidth="1"/>
    <col min="3" max="3" width="12.28515625" style="150" bestFit="1" customWidth="1"/>
    <col min="4" max="9" width="9.28515625" style="146" customWidth="1"/>
    <col min="10" max="16384" width="8.85546875" style="146"/>
  </cols>
  <sheetData>
    <row r="1" spans="1:13">
      <c r="A1" s="1049" t="s">
        <v>1408</v>
      </c>
      <c r="B1" s="517"/>
      <c r="C1" s="147" t="s">
        <v>1409</v>
      </c>
      <c r="D1" s="146" t="s">
        <v>2333</v>
      </c>
      <c r="E1" s="146" t="s">
        <v>3051</v>
      </c>
      <c r="F1" s="146" t="s">
        <v>214</v>
      </c>
      <c r="G1" s="146" t="s">
        <v>3052</v>
      </c>
      <c r="H1" s="146" t="s">
        <v>3053</v>
      </c>
      <c r="I1" s="146" t="s">
        <v>3055</v>
      </c>
    </row>
    <row r="2" spans="1:13">
      <c r="A2" s="1049"/>
      <c r="B2" s="517"/>
      <c r="C2" s="324" t="s">
        <v>1302</v>
      </c>
      <c r="D2" s="538" t="str">
        <f>D1&amp;" US Equity"</f>
        <v>ATO US Equity</v>
      </c>
      <c r="E2" s="324" t="str">
        <f t="shared" ref="E2" si="0">E1&amp;" US Equity"</f>
        <v>NJR US Equity</v>
      </c>
      <c r="F2" s="324" t="str">
        <f t="shared" ref="F2" si="1">F1&amp;" US Equity"</f>
        <v>NI US Equity</v>
      </c>
      <c r="G2" s="324" t="str">
        <f t="shared" ref="G2" si="2">G1&amp;" US Equity"</f>
        <v>NWN US Equity</v>
      </c>
      <c r="H2" s="324" t="str">
        <f t="shared" ref="H2" si="3">H1&amp;" US Equity"</f>
        <v>OGS US Equity</v>
      </c>
      <c r="I2" s="324" t="str">
        <f t="shared" ref="I2" si="4">I1&amp;" US Equity"</f>
        <v>SR US Equity</v>
      </c>
      <c r="J2" s="324"/>
      <c r="K2" s="324"/>
      <c r="L2" s="324"/>
      <c r="M2" s="324"/>
    </row>
    <row r="3" spans="1:13">
      <c r="A3" s="147">
        <v>2</v>
      </c>
      <c r="B3" s="147">
        <v>1</v>
      </c>
      <c r="C3" s="539">
        <v>44925</v>
      </c>
      <c r="D3" s="540">
        <v>112.07</v>
      </c>
      <c r="E3" s="520">
        <v>49.62</v>
      </c>
      <c r="F3" s="520">
        <v>27.42</v>
      </c>
      <c r="G3" s="520">
        <v>47.59</v>
      </c>
      <c r="H3" s="520">
        <v>75.72</v>
      </c>
      <c r="I3" s="520">
        <v>68.86</v>
      </c>
    </row>
    <row r="4" spans="1:13">
      <c r="A4" s="147">
        <f>A3+1</f>
        <v>3</v>
      </c>
      <c r="B4" s="147">
        <v>2</v>
      </c>
      <c r="C4" s="539">
        <v>44924</v>
      </c>
      <c r="D4" s="540">
        <v>114.49</v>
      </c>
      <c r="E4" s="520">
        <v>50.01</v>
      </c>
      <c r="F4" s="520">
        <v>27.84</v>
      </c>
      <c r="G4" s="520">
        <v>48.27</v>
      </c>
      <c r="H4" s="520">
        <v>76.739999999999995</v>
      </c>
      <c r="I4" s="520">
        <v>70.19</v>
      </c>
    </row>
    <row r="5" spans="1:13">
      <c r="A5" s="147">
        <f t="shared" ref="A5:A67" si="5">A4+1</f>
        <v>4</v>
      </c>
      <c r="B5" s="147">
        <v>3</v>
      </c>
      <c r="C5" s="539">
        <v>44923</v>
      </c>
      <c r="D5" s="540">
        <v>115.07</v>
      </c>
      <c r="E5" s="520">
        <v>49.19</v>
      </c>
      <c r="F5" s="520">
        <v>27.55</v>
      </c>
      <c r="G5" s="520">
        <v>47.31</v>
      </c>
      <c r="H5" s="520">
        <v>75.53</v>
      </c>
      <c r="I5" s="520">
        <v>69.28</v>
      </c>
    </row>
    <row r="6" spans="1:13">
      <c r="A6" s="147">
        <f t="shared" si="5"/>
        <v>5</v>
      </c>
      <c r="B6" s="147">
        <v>4</v>
      </c>
      <c r="C6" s="539">
        <v>44922</v>
      </c>
      <c r="D6" s="540">
        <v>115.58</v>
      </c>
      <c r="E6" s="520">
        <v>49.53</v>
      </c>
      <c r="F6" s="520">
        <v>27.8</v>
      </c>
      <c r="G6" s="520">
        <v>47.88</v>
      </c>
      <c r="H6" s="520">
        <v>75.92</v>
      </c>
      <c r="I6" s="520">
        <v>69.930000000000007</v>
      </c>
    </row>
    <row r="7" spans="1:13">
      <c r="A7" s="147">
        <f t="shared" si="5"/>
        <v>6</v>
      </c>
      <c r="B7" s="147">
        <v>5</v>
      </c>
      <c r="C7" s="539">
        <v>44918</v>
      </c>
      <c r="D7" s="540">
        <v>115.1</v>
      </c>
      <c r="E7" s="520">
        <v>49.64</v>
      </c>
      <c r="F7" s="520">
        <v>27.71</v>
      </c>
      <c r="G7" s="520">
        <v>47.72</v>
      </c>
      <c r="H7" s="520">
        <v>75.540000000000006</v>
      </c>
      <c r="I7" s="520">
        <v>69.7</v>
      </c>
    </row>
    <row r="8" spans="1:13">
      <c r="A8" s="147">
        <f t="shared" si="5"/>
        <v>7</v>
      </c>
      <c r="B8" s="147">
        <v>6</v>
      </c>
      <c r="C8" s="539">
        <v>44917</v>
      </c>
      <c r="D8" s="540">
        <v>114.03</v>
      </c>
      <c r="E8" s="520">
        <v>48.8</v>
      </c>
      <c r="F8" s="520">
        <v>27.42</v>
      </c>
      <c r="G8" s="520">
        <v>46.75</v>
      </c>
      <c r="H8" s="520">
        <v>74.92</v>
      </c>
      <c r="I8" s="520">
        <v>68.47</v>
      </c>
    </row>
    <row r="9" spans="1:13">
      <c r="A9" s="147">
        <f t="shared" si="5"/>
        <v>8</v>
      </c>
      <c r="B9" s="147">
        <v>7</v>
      </c>
      <c r="C9" s="539">
        <v>44916</v>
      </c>
      <c r="D9" s="540">
        <v>114.58</v>
      </c>
      <c r="E9" s="520">
        <v>49.25</v>
      </c>
      <c r="F9" s="520">
        <v>27.55</v>
      </c>
      <c r="G9" s="520">
        <v>47.34</v>
      </c>
      <c r="H9" s="520">
        <v>75.48</v>
      </c>
      <c r="I9" s="520">
        <v>68.34</v>
      </c>
    </row>
    <row r="10" spans="1:13">
      <c r="A10" s="147">
        <f t="shared" si="5"/>
        <v>9</v>
      </c>
      <c r="B10" s="147">
        <v>8</v>
      </c>
      <c r="C10" s="539">
        <v>44915</v>
      </c>
      <c r="D10" s="540">
        <v>113.07</v>
      </c>
      <c r="E10" s="520">
        <v>48.65</v>
      </c>
      <c r="F10" s="520">
        <v>27.07</v>
      </c>
      <c r="G10" s="520">
        <v>47.21</v>
      </c>
      <c r="H10" s="520">
        <v>75.040000000000006</v>
      </c>
      <c r="I10" s="520">
        <v>66.56</v>
      </c>
    </row>
    <row r="11" spans="1:13">
      <c r="A11" s="147">
        <f t="shared" si="5"/>
        <v>10</v>
      </c>
      <c r="B11" s="147">
        <v>9</v>
      </c>
      <c r="C11" s="539">
        <v>44914</v>
      </c>
      <c r="D11" s="540">
        <v>113.48</v>
      </c>
      <c r="E11" s="520">
        <v>48.52</v>
      </c>
      <c r="F11" s="520">
        <v>27.05</v>
      </c>
      <c r="G11" s="520">
        <v>46.83</v>
      </c>
      <c r="H11" s="520">
        <v>74.69</v>
      </c>
      <c r="I11" s="520">
        <v>66.400000000000006</v>
      </c>
    </row>
    <row r="12" spans="1:13">
      <c r="A12" s="147">
        <f t="shared" si="5"/>
        <v>11</v>
      </c>
      <c r="B12" s="147">
        <v>10</v>
      </c>
      <c r="C12" s="539">
        <v>44911</v>
      </c>
      <c r="D12" s="540">
        <v>114.77</v>
      </c>
      <c r="E12" s="520">
        <v>48.57</v>
      </c>
      <c r="F12" s="520">
        <v>27.19</v>
      </c>
      <c r="G12" s="520">
        <v>46.34</v>
      </c>
      <c r="H12" s="520">
        <v>74.319999999999993</v>
      </c>
      <c r="I12" s="520">
        <v>65.8</v>
      </c>
    </row>
    <row r="13" spans="1:13">
      <c r="A13" s="147">
        <f t="shared" si="5"/>
        <v>12</v>
      </c>
      <c r="B13" s="147">
        <v>11</v>
      </c>
      <c r="C13" s="539">
        <v>44910</v>
      </c>
      <c r="D13" s="540">
        <v>116.86</v>
      </c>
      <c r="E13" s="520">
        <v>49.11</v>
      </c>
      <c r="F13" s="520">
        <v>27.44</v>
      </c>
      <c r="G13" s="520">
        <v>46.91</v>
      </c>
      <c r="H13" s="520">
        <v>76.239999999999995</v>
      </c>
      <c r="I13" s="520">
        <v>66.87</v>
      </c>
    </row>
    <row r="14" spans="1:13">
      <c r="A14" s="147">
        <f t="shared" si="5"/>
        <v>13</v>
      </c>
      <c r="B14" s="147">
        <v>12</v>
      </c>
      <c r="C14" s="539">
        <v>44909</v>
      </c>
      <c r="D14" s="540">
        <v>118.34</v>
      </c>
      <c r="E14" s="520">
        <v>49.88</v>
      </c>
      <c r="F14" s="520">
        <v>27.82</v>
      </c>
      <c r="G14" s="520">
        <v>47.33</v>
      </c>
      <c r="H14" s="520">
        <v>78.88</v>
      </c>
      <c r="I14" s="520">
        <v>67.849999999999994</v>
      </c>
    </row>
    <row r="15" spans="1:13">
      <c r="A15" s="147">
        <f t="shared" si="5"/>
        <v>14</v>
      </c>
      <c r="B15" s="147">
        <v>13</v>
      </c>
      <c r="C15" s="539">
        <v>44908</v>
      </c>
      <c r="D15" s="540">
        <v>118.53</v>
      </c>
      <c r="E15" s="520">
        <v>49.72</v>
      </c>
      <c r="F15" s="520">
        <v>27.93</v>
      </c>
      <c r="G15" s="520">
        <v>47.88</v>
      </c>
      <c r="H15" s="520">
        <v>78.33</v>
      </c>
      <c r="I15" s="520">
        <v>68</v>
      </c>
    </row>
    <row r="16" spans="1:13">
      <c r="A16" s="147">
        <f t="shared" si="5"/>
        <v>15</v>
      </c>
      <c r="B16" s="147">
        <v>14</v>
      </c>
      <c r="C16" s="539">
        <v>44907</v>
      </c>
      <c r="D16" s="540">
        <v>119</v>
      </c>
      <c r="E16" s="520">
        <v>50.71</v>
      </c>
      <c r="F16" s="520">
        <v>28.08</v>
      </c>
      <c r="G16" s="520">
        <v>48.36</v>
      </c>
      <c r="H16" s="520">
        <v>78.790000000000006</v>
      </c>
      <c r="I16" s="520">
        <v>68.42</v>
      </c>
    </row>
    <row r="17" spans="1:9">
      <c r="A17" s="147">
        <f t="shared" si="5"/>
        <v>16</v>
      </c>
      <c r="B17" s="147">
        <v>15</v>
      </c>
      <c r="C17" s="539">
        <v>44904</v>
      </c>
      <c r="D17" s="540">
        <v>117.67</v>
      </c>
      <c r="E17" s="520">
        <v>49.91</v>
      </c>
      <c r="F17" s="520">
        <v>27.39</v>
      </c>
      <c r="G17" s="520">
        <v>47.97</v>
      </c>
      <c r="H17" s="520">
        <v>77.180000000000007</v>
      </c>
      <c r="I17" s="520">
        <v>67.7</v>
      </c>
    </row>
    <row r="18" spans="1:9">
      <c r="A18" s="147">
        <f t="shared" si="5"/>
        <v>17</v>
      </c>
      <c r="B18" s="147">
        <v>16</v>
      </c>
      <c r="C18" s="539">
        <v>44903</v>
      </c>
      <c r="D18" s="540">
        <v>117.5</v>
      </c>
      <c r="E18" s="520">
        <v>49.85</v>
      </c>
      <c r="F18" s="520">
        <v>27.77</v>
      </c>
      <c r="G18" s="520">
        <v>47.82</v>
      </c>
      <c r="H18" s="520">
        <v>77.069999999999993</v>
      </c>
      <c r="I18" s="520">
        <v>68.81</v>
      </c>
    </row>
    <row r="19" spans="1:9">
      <c r="A19" s="147">
        <f t="shared" si="5"/>
        <v>18</v>
      </c>
      <c r="B19" s="147">
        <v>17</v>
      </c>
      <c r="C19" s="539">
        <v>44902</v>
      </c>
      <c r="D19" s="540">
        <v>117.41</v>
      </c>
      <c r="E19" s="520">
        <v>49.86</v>
      </c>
      <c r="F19" s="520">
        <v>27.67</v>
      </c>
      <c r="G19" s="520">
        <v>48.21</v>
      </c>
      <c r="H19" s="520">
        <v>76.2</v>
      </c>
      <c r="I19" s="520">
        <v>68.790000000000006</v>
      </c>
    </row>
    <row r="20" spans="1:9">
      <c r="A20" s="147">
        <f t="shared" si="5"/>
        <v>19</v>
      </c>
      <c r="B20" s="147">
        <v>18</v>
      </c>
      <c r="C20" s="539">
        <v>44901</v>
      </c>
      <c r="D20" s="540">
        <v>117.44</v>
      </c>
      <c r="E20" s="520">
        <v>49.6</v>
      </c>
      <c r="F20" s="520">
        <v>27.84</v>
      </c>
      <c r="G20" s="520">
        <v>47.54</v>
      </c>
      <c r="H20" s="520">
        <v>76.31</v>
      </c>
      <c r="I20" s="520">
        <v>67.52</v>
      </c>
    </row>
    <row r="21" spans="1:9">
      <c r="A21" s="147">
        <f t="shared" si="5"/>
        <v>20</v>
      </c>
      <c r="B21" s="147">
        <v>19</v>
      </c>
      <c r="C21" s="539">
        <v>44900</v>
      </c>
      <c r="D21" s="540">
        <v>115.86</v>
      </c>
      <c r="E21" s="520">
        <v>48.72</v>
      </c>
      <c r="F21" s="520">
        <v>27.51</v>
      </c>
      <c r="G21" s="520">
        <v>47.33</v>
      </c>
      <c r="H21" s="520">
        <v>73.31</v>
      </c>
      <c r="I21" s="520">
        <v>65.13</v>
      </c>
    </row>
    <row r="22" spans="1:9">
      <c r="A22" s="147">
        <f t="shared" si="5"/>
        <v>21</v>
      </c>
      <c r="B22" s="147">
        <v>20</v>
      </c>
      <c r="C22" s="539">
        <v>44897</v>
      </c>
      <c r="D22" s="540">
        <v>116.54</v>
      </c>
      <c r="E22" s="520">
        <v>48.77</v>
      </c>
      <c r="F22" s="520">
        <v>27.57</v>
      </c>
      <c r="G22" s="520">
        <v>46.68</v>
      </c>
      <c r="H22" s="520">
        <v>72.84</v>
      </c>
      <c r="I22" s="520">
        <v>68.739999999999995</v>
      </c>
    </row>
    <row r="23" spans="1:9">
      <c r="A23" s="147">
        <f t="shared" si="5"/>
        <v>22</v>
      </c>
      <c r="B23" s="147">
        <v>21</v>
      </c>
      <c r="C23" s="539">
        <v>44896</v>
      </c>
      <c r="D23" s="540">
        <v>117.49</v>
      </c>
      <c r="E23" s="520">
        <v>48.56</v>
      </c>
      <c r="F23" s="520">
        <v>27.75</v>
      </c>
      <c r="G23" s="520">
        <v>47.65</v>
      </c>
      <c r="H23" s="520">
        <v>71.61</v>
      </c>
      <c r="I23" s="520">
        <v>71.19</v>
      </c>
    </row>
    <row r="24" spans="1:9">
      <c r="A24" s="147">
        <f t="shared" si="5"/>
        <v>23</v>
      </c>
      <c r="B24" s="147">
        <v>22</v>
      </c>
      <c r="C24" s="539">
        <v>44895</v>
      </c>
      <c r="D24" s="540">
        <v>120.2</v>
      </c>
      <c r="E24" s="520">
        <v>49.75</v>
      </c>
      <c r="F24" s="520">
        <v>27.94</v>
      </c>
      <c r="G24" s="520">
        <v>50.11</v>
      </c>
      <c r="H24" s="520">
        <v>86.95</v>
      </c>
      <c r="I24" s="520">
        <v>74.099999999999994</v>
      </c>
    </row>
    <row r="25" spans="1:9">
      <c r="A25" s="147">
        <f t="shared" si="5"/>
        <v>24</v>
      </c>
      <c r="B25" s="147">
        <v>23</v>
      </c>
      <c r="C25" s="539">
        <v>44894</v>
      </c>
      <c r="D25" s="540">
        <v>118.64</v>
      </c>
      <c r="E25" s="520">
        <v>48.81</v>
      </c>
      <c r="F25" s="520">
        <v>27.23</v>
      </c>
      <c r="G25" s="520">
        <v>49.41</v>
      </c>
      <c r="H25" s="520">
        <v>85.15</v>
      </c>
      <c r="I25" s="520">
        <v>73.12</v>
      </c>
    </row>
    <row r="26" spans="1:9">
      <c r="A26" s="147">
        <f t="shared" si="5"/>
        <v>25</v>
      </c>
      <c r="B26" s="147">
        <v>24</v>
      </c>
      <c r="C26" s="539">
        <v>44893</v>
      </c>
      <c r="D26" s="540">
        <v>118.07</v>
      </c>
      <c r="E26" s="520">
        <v>48.82</v>
      </c>
      <c r="F26" s="520">
        <v>27.22</v>
      </c>
      <c r="G26" s="520">
        <v>49.32</v>
      </c>
      <c r="H26" s="520">
        <v>86.55</v>
      </c>
      <c r="I26" s="520">
        <v>73.67</v>
      </c>
    </row>
    <row r="27" spans="1:9">
      <c r="A27" s="147">
        <f t="shared" si="5"/>
        <v>26</v>
      </c>
      <c r="B27" s="147">
        <v>25</v>
      </c>
      <c r="C27" s="539">
        <v>44890</v>
      </c>
      <c r="D27" s="540">
        <v>119.16</v>
      </c>
      <c r="E27" s="520">
        <v>49.64</v>
      </c>
      <c r="F27" s="520">
        <v>27.29</v>
      </c>
      <c r="G27" s="520">
        <v>49.59</v>
      </c>
      <c r="H27" s="520">
        <v>88.33</v>
      </c>
      <c r="I27" s="520">
        <v>74.67</v>
      </c>
    </row>
    <row r="28" spans="1:9">
      <c r="A28" s="147">
        <f t="shared" si="5"/>
        <v>27</v>
      </c>
      <c r="B28" s="147">
        <v>26</v>
      </c>
      <c r="C28" s="539">
        <v>44888</v>
      </c>
      <c r="D28" s="540">
        <v>118.58</v>
      </c>
      <c r="E28" s="520">
        <v>49.25</v>
      </c>
      <c r="F28" s="520">
        <v>27.18</v>
      </c>
      <c r="G28" s="520">
        <v>49.61</v>
      </c>
      <c r="H28" s="520">
        <v>87.54</v>
      </c>
      <c r="I28" s="520">
        <v>73.66</v>
      </c>
    </row>
    <row r="29" spans="1:9">
      <c r="A29" s="147">
        <f t="shared" si="5"/>
        <v>28</v>
      </c>
      <c r="B29" s="147">
        <v>27</v>
      </c>
      <c r="C29" s="539">
        <v>44887</v>
      </c>
      <c r="D29" s="540">
        <v>117.51</v>
      </c>
      <c r="E29" s="520">
        <v>49.89</v>
      </c>
      <c r="F29" s="520">
        <v>26.8</v>
      </c>
      <c r="G29" s="520">
        <v>49.74</v>
      </c>
      <c r="H29" s="520">
        <v>87.15</v>
      </c>
      <c r="I29" s="520">
        <v>73.290000000000006</v>
      </c>
    </row>
    <row r="30" spans="1:9">
      <c r="A30" s="147">
        <f t="shared" si="5"/>
        <v>29</v>
      </c>
      <c r="B30" s="147">
        <v>28</v>
      </c>
      <c r="C30" s="539">
        <v>44886</v>
      </c>
      <c r="D30" s="540">
        <v>115.79</v>
      </c>
      <c r="E30" s="520">
        <v>48.93</v>
      </c>
      <c r="F30" s="520">
        <v>26.55</v>
      </c>
      <c r="G30" s="520">
        <v>49.32</v>
      </c>
      <c r="H30" s="520">
        <v>85.83</v>
      </c>
      <c r="I30" s="520">
        <v>72.45</v>
      </c>
    </row>
    <row r="31" spans="1:9">
      <c r="A31" s="147">
        <f t="shared" si="5"/>
        <v>30</v>
      </c>
      <c r="B31" s="147">
        <v>29</v>
      </c>
      <c r="C31" s="539">
        <v>44883</v>
      </c>
      <c r="D31" s="540">
        <v>115.05</v>
      </c>
      <c r="E31" s="520">
        <v>47.95</v>
      </c>
      <c r="F31" s="520">
        <v>26.32</v>
      </c>
      <c r="G31" s="520">
        <v>48.69</v>
      </c>
      <c r="H31" s="520">
        <v>84.87</v>
      </c>
      <c r="I31" s="520">
        <v>70.86</v>
      </c>
    </row>
    <row r="32" spans="1:9">
      <c r="A32" s="147">
        <f t="shared" si="5"/>
        <v>31</v>
      </c>
      <c r="B32" s="147">
        <v>30</v>
      </c>
      <c r="C32" s="539">
        <v>44882</v>
      </c>
      <c r="D32" s="540">
        <v>111.16</v>
      </c>
      <c r="E32" s="520">
        <v>45.58</v>
      </c>
      <c r="F32" s="520">
        <v>25.56</v>
      </c>
      <c r="G32" s="520">
        <v>47.4</v>
      </c>
      <c r="H32" s="520">
        <v>82.07</v>
      </c>
      <c r="I32" s="520">
        <v>68.599999999999994</v>
      </c>
    </row>
    <row r="33" spans="1:9">
      <c r="A33" s="147">
        <f t="shared" si="5"/>
        <v>32</v>
      </c>
      <c r="B33" s="147">
        <v>31</v>
      </c>
      <c r="C33" s="539">
        <v>44881</v>
      </c>
      <c r="D33" s="540">
        <v>112.3</v>
      </c>
      <c r="E33" s="520">
        <v>44.82</v>
      </c>
      <c r="F33" s="520">
        <v>26</v>
      </c>
      <c r="G33" s="520">
        <v>47.87</v>
      </c>
      <c r="H33" s="520">
        <v>81.53</v>
      </c>
      <c r="I33" s="520">
        <v>67.760000000000005</v>
      </c>
    </row>
    <row r="34" spans="1:9">
      <c r="A34" s="147">
        <f t="shared" si="5"/>
        <v>33</v>
      </c>
      <c r="B34" s="147">
        <v>32</v>
      </c>
      <c r="C34" s="539">
        <v>44880</v>
      </c>
      <c r="D34" s="540">
        <v>111.58</v>
      </c>
      <c r="E34" s="520">
        <v>45.11</v>
      </c>
      <c r="F34" s="520">
        <v>25.68</v>
      </c>
      <c r="G34" s="520">
        <v>47.91</v>
      </c>
      <c r="H34" s="520">
        <v>81.91</v>
      </c>
      <c r="I34" s="520">
        <v>70.010000000000005</v>
      </c>
    </row>
    <row r="35" spans="1:9">
      <c r="A35" s="147">
        <f t="shared" si="5"/>
        <v>34</v>
      </c>
      <c r="B35" s="147">
        <v>33</v>
      </c>
      <c r="C35" s="539">
        <v>44879</v>
      </c>
      <c r="D35" s="540">
        <v>110.53</v>
      </c>
      <c r="E35" s="520">
        <v>44.45</v>
      </c>
      <c r="F35" s="520">
        <v>25.76</v>
      </c>
      <c r="G35" s="520">
        <v>47.49</v>
      </c>
      <c r="H35" s="520">
        <v>81.47</v>
      </c>
      <c r="I35" s="520">
        <v>69.55</v>
      </c>
    </row>
    <row r="36" spans="1:9">
      <c r="A36" s="147">
        <f t="shared" si="5"/>
        <v>35</v>
      </c>
      <c r="B36" s="147">
        <v>34</v>
      </c>
      <c r="C36" s="539">
        <v>44876</v>
      </c>
      <c r="D36" s="540">
        <v>110.69</v>
      </c>
      <c r="E36" s="520">
        <v>45.13</v>
      </c>
      <c r="F36" s="520">
        <v>25.81</v>
      </c>
      <c r="G36" s="520">
        <v>47.19</v>
      </c>
      <c r="H36" s="520">
        <v>81.36</v>
      </c>
      <c r="I36" s="520">
        <v>70.540000000000006</v>
      </c>
    </row>
    <row r="37" spans="1:9">
      <c r="A37" s="147">
        <f t="shared" si="5"/>
        <v>36</v>
      </c>
      <c r="B37" s="147">
        <v>35</v>
      </c>
      <c r="C37" s="539">
        <v>44875</v>
      </c>
      <c r="D37" s="540">
        <v>111.8</v>
      </c>
      <c r="E37" s="520">
        <v>46</v>
      </c>
      <c r="F37" s="520">
        <v>26.09</v>
      </c>
      <c r="G37" s="520">
        <v>47.08</v>
      </c>
      <c r="H37" s="520">
        <v>82.31</v>
      </c>
      <c r="I37" s="520">
        <v>71.11</v>
      </c>
    </row>
    <row r="38" spans="1:9">
      <c r="A38" s="147">
        <f t="shared" si="5"/>
        <v>37</v>
      </c>
      <c r="B38" s="147">
        <v>36</v>
      </c>
      <c r="C38" s="539">
        <v>44874</v>
      </c>
      <c r="D38" s="540">
        <v>103.15</v>
      </c>
      <c r="E38" s="520">
        <v>43.92</v>
      </c>
      <c r="F38" s="520">
        <v>24.89</v>
      </c>
      <c r="G38" s="520">
        <v>45.4</v>
      </c>
      <c r="H38" s="520">
        <v>78.290000000000006</v>
      </c>
      <c r="I38" s="520">
        <v>68.41</v>
      </c>
    </row>
    <row r="39" spans="1:9">
      <c r="A39" s="147">
        <f t="shared" si="5"/>
        <v>38</v>
      </c>
      <c r="B39" s="147">
        <v>37</v>
      </c>
      <c r="C39" s="539">
        <v>44873</v>
      </c>
      <c r="D39" s="540">
        <v>104.64</v>
      </c>
      <c r="E39" s="520">
        <v>44.17</v>
      </c>
      <c r="F39" s="520">
        <v>24.93</v>
      </c>
      <c r="G39" s="520">
        <v>44.52</v>
      </c>
      <c r="H39" s="520">
        <v>78.22</v>
      </c>
      <c r="I39" s="520">
        <v>67.98</v>
      </c>
    </row>
    <row r="40" spans="1:9">
      <c r="A40" s="147">
        <f t="shared" si="5"/>
        <v>39</v>
      </c>
      <c r="B40" s="147">
        <v>38</v>
      </c>
      <c r="C40" s="539">
        <v>44872</v>
      </c>
      <c r="D40" s="540">
        <v>103.97</v>
      </c>
      <c r="E40" s="520">
        <v>43.39</v>
      </c>
      <c r="F40" s="520">
        <v>24.37</v>
      </c>
      <c r="G40" s="520">
        <v>44.94</v>
      </c>
      <c r="H40" s="520">
        <v>77.77</v>
      </c>
      <c r="I40" s="520">
        <v>67.430000000000007</v>
      </c>
    </row>
    <row r="41" spans="1:9">
      <c r="A41" s="147">
        <f t="shared" si="5"/>
        <v>40</v>
      </c>
      <c r="B41" s="147">
        <v>39</v>
      </c>
      <c r="C41" s="539">
        <v>44869</v>
      </c>
      <c r="D41" s="540">
        <v>106.03</v>
      </c>
      <c r="E41" s="520">
        <v>44.28</v>
      </c>
      <c r="F41" s="520">
        <v>25.89</v>
      </c>
      <c r="G41" s="520">
        <v>46.64</v>
      </c>
      <c r="H41" s="520">
        <v>80.900000000000006</v>
      </c>
      <c r="I41" s="520">
        <v>68.48</v>
      </c>
    </row>
    <row r="42" spans="1:9">
      <c r="A42" s="147">
        <f t="shared" si="5"/>
        <v>41</v>
      </c>
      <c r="B42" s="147">
        <v>40</v>
      </c>
      <c r="C42" s="539">
        <v>44868</v>
      </c>
      <c r="D42" s="540">
        <v>104.74</v>
      </c>
      <c r="E42" s="520">
        <v>44.26</v>
      </c>
      <c r="F42" s="520">
        <v>25.66</v>
      </c>
      <c r="G42" s="520">
        <v>46.1</v>
      </c>
      <c r="H42" s="520">
        <v>79.930000000000007</v>
      </c>
      <c r="I42" s="520">
        <v>67.930000000000007</v>
      </c>
    </row>
    <row r="43" spans="1:9">
      <c r="A43" s="147">
        <f t="shared" si="5"/>
        <v>42</v>
      </c>
      <c r="B43" s="147">
        <v>41</v>
      </c>
      <c r="C43" s="539">
        <v>44867</v>
      </c>
      <c r="D43" s="540">
        <v>105.55</v>
      </c>
      <c r="E43" s="520">
        <v>44.52</v>
      </c>
      <c r="F43" s="520">
        <v>25.62</v>
      </c>
      <c r="G43" s="520">
        <v>46.8</v>
      </c>
      <c r="H43" s="520">
        <v>79.37</v>
      </c>
      <c r="I43" s="520">
        <v>69.180000000000007</v>
      </c>
    </row>
    <row r="44" spans="1:9">
      <c r="A44" s="147">
        <f t="shared" si="5"/>
        <v>43</v>
      </c>
      <c r="B44" s="147">
        <v>42</v>
      </c>
      <c r="C44" s="539">
        <v>44866</v>
      </c>
      <c r="D44" s="540">
        <v>106.27</v>
      </c>
      <c r="E44" s="520">
        <v>45.11</v>
      </c>
      <c r="F44" s="520">
        <v>25.83</v>
      </c>
      <c r="G44" s="520">
        <v>47.75</v>
      </c>
      <c r="H44" s="520">
        <v>80.03</v>
      </c>
      <c r="I44" s="520">
        <v>70.349999999999994</v>
      </c>
    </row>
    <row r="45" spans="1:9">
      <c r="A45" s="147">
        <f t="shared" si="5"/>
        <v>44</v>
      </c>
      <c r="B45" s="147">
        <v>43</v>
      </c>
      <c r="C45" s="539">
        <v>44865</v>
      </c>
      <c r="D45" s="540">
        <v>106.55</v>
      </c>
      <c r="E45" s="520">
        <v>44.64</v>
      </c>
      <c r="F45" s="520">
        <v>25.69</v>
      </c>
      <c r="G45" s="520">
        <v>48.09</v>
      </c>
      <c r="H45" s="520">
        <v>77.48</v>
      </c>
      <c r="I45" s="520">
        <v>69.81</v>
      </c>
    </row>
    <row r="46" spans="1:9">
      <c r="A46" s="147">
        <f t="shared" si="5"/>
        <v>45</v>
      </c>
      <c r="B46" s="147">
        <v>44</v>
      </c>
      <c r="C46" s="539">
        <v>44862</v>
      </c>
      <c r="D46" s="540">
        <v>107.11</v>
      </c>
      <c r="E46" s="520">
        <v>45.28</v>
      </c>
      <c r="F46" s="520">
        <v>25.89</v>
      </c>
      <c r="G46" s="520">
        <v>48.12</v>
      </c>
      <c r="H46" s="520">
        <v>77.2</v>
      </c>
      <c r="I46" s="520">
        <v>69.7</v>
      </c>
    </row>
    <row r="47" spans="1:9">
      <c r="A47" s="147">
        <f t="shared" si="5"/>
        <v>46</v>
      </c>
      <c r="B47" s="147">
        <v>45</v>
      </c>
      <c r="C47" s="539">
        <v>44861</v>
      </c>
      <c r="D47" s="540">
        <v>104.69</v>
      </c>
      <c r="E47" s="520">
        <v>44.44</v>
      </c>
      <c r="F47" s="520">
        <v>25.37</v>
      </c>
      <c r="G47" s="520">
        <v>47.45</v>
      </c>
      <c r="H47" s="520">
        <v>75.59</v>
      </c>
      <c r="I47" s="520">
        <v>69.099999999999994</v>
      </c>
    </row>
    <row r="48" spans="1:9">
      <c r="A48" s="147">
        <f t="shared" si="5"/>
        <v>47</v>
      </c>
      <c r="B48" s="147">
        <v>46</v>
      </c>
      <c r="C48" s="539">
        <v>44860</v>
      </c>
      <c r="D48" s="540">
        <v>103.42</v>
      </c>
      <c r="E48" s="520">
        <v>43.65</v>
      </c>
      <c r="F48" s="520">
        <v>25.17</v>
      </c>
      <c r="G48" s="520">
        <v>46.67</v>
      </c>
      <c r="H48" s="520">
        <v>74.45</v>
      </c>
      <c r="I48" s="520">
        <v>67.930000000000007</v>
      </c>
    </row>
    <row r="49" spans="1:9">
      <c r="A49" s="147">
        <f t="shared" si="5"/>
        <v>48</v>
      </c>
      <c r="B49" s="147">
        <v>47</v>
      </c>
      <c r="C49" s="539">
        <v>44859</v>
      </c>
      <c r="D49" s="540">
        <v>103.32</v>
      </c>
      <c r="E49" s="520">
        <v>42.98</v>
      </c>
      <c r="F49" s="520">
        <v>25.13</v>
      </c>
      <c r="G49" s="520">
        <v>46.43</v>
      </c>
      <c r="H49" s="520">
        <v>73.709999999999994</v>
      </c>
      <c r="I49" s="520">
        <v>66.900000000000006</v>
      </c>
    </row>
    <row r="50" spans="1:9">
      <c r="A50" s="147">
        <f t="shared" si="5"/>
        <v>49</v>
      </c>
      <c r="B50" s="147">
        <v>48</v>
      </c>
      <c r="C50" s="539">
        <v>44858</v>
      </c>
      <c r="D50" s="540">
        <v>101.35</v>
      </c>
      <c r="E50" s="520">
        <v>42.19</v>
      </c>
      <c r="F50" s="520">
        <v>24.67</v>
      </c>
      <c r="G50" s="520">
        <v>45.45</v>
      </c>
      <c r="H50" s="520">
        <v>72.98</v>
      </c>
      <c r="I50" s="520">
        <v>65.599999999999994</v>
      </c>
    </row>
    <row r="51" spans="1:9">
      <c r="A51" s="147">
        <f t="shared" si="5"/>
        <v>50</v>
      </c>
      <c r="B51" s="147">
        <v>49</v>
      </c>
      <c r="C51" s="539">
        <v>44855</v>
      </c>
      <c r="D51" s="540">
        <v>101.74</v>
      </c>
      <c r="E51" s="520">
        <v>42.08</v>
      </c>
      <c r="F51" s="520">
        <v>24.49</v>
      </c>
      <c r="G51" s="520">
        <v>45.81</v>
      </c>
      <c r="H51" s="520">
        <v>73.08</v>
      </c>
      <c r="I51" s="520">
        <v>65.36</v>
      </c>
    </row>
    <row r="52" spans="1:9">
      <c r="A52" s="147">
        <f t="shared" si="5"/>
        <v>51</v>
      </c>
      <c r="B52" s="147">
        <v>50</v>
      </c>
      <c r="C52" s="539">
        <v>44854</v>
      </c>
      <c r="D52" s="540">
        <v>100.11</v>
      </c>
      <c r="E52" s="520">
        <v>40.770000000000003</v>
      </c>
      <c r="F52" s="520">
        <v>24.15</v>
      </c>
      <c r="G52" s="520">
        <v>45.15</v>
      </c>
      <c r="H52" s="520">
        <v>72.39</v>
      </c>
      <c r="I52" s="520">
        <v>64.8</v>
      </c>
    </row>
    <row r="53" spans="1:9">
      <c r="A53" s="147">
        <f t="shared" si="5"/>
        <v>52</v>
      </c>
      <c r="B53" s="147">
        <v>51</v>
      </c>
      <c r="C53" s="539">
        <v>44853</v>
      </c>
      <c r="D53" s="540">
        <v>102.04</v>
      </c>
      <c r="E53" s="520">
        <v>41.19</v>
      </c>
      <c r="F53" s="520">
        <v>24.88</v>
      </c>
      <c r="G53" s="520">
        <v>46.19</v>
      </c>
      <c r="H53" s="520">
        <v>73.8</v>
      </c>
      <c r="I53" s="520">
        <v>65.489999999999995</v>
      </c>
    </row>
    <row r="54" spans="1:9">
      <c r="A54" s="147">
        <f t="shared" si="5"/>
        <v>53</v>
      </c>
      <c r="B54" s="147">
        <v>52</v>
      </c>
      <c r="C54" s="539">
        <v>44852</v>
      </c>
      <c r="D54" s="540">
        <v>101.75</v>
      </c>
      <c r="E54" s="520">
        <v>41.13</v>
      </c>
      <c r="F54" s="520">
        <v>25.27</v>
      </c>
      <c r="G54" s="520">
        <v>46.87</v>
      </c>
      <c r="H54" s="520">
        <v>73.75</v>
      </c>
      <c r="I54" s="520">
        <v>65.86</v>
      </c>
    </row>
    <row r="55" spans="1:9">
      <c r="A55" s="147">
        <f t="shared" si="5"/>
        <v>54</v>
      </c>
      <c r="B55" s="147">
        <v>53</v>
      </c>
      <c r="C55" s="539">
        <v>44851</v>
      </c>
      <c r="D55" s="540">
        <v>99.63</v>
      </c>
      <c r="E55" s="520">
        <v>40.43</v>
      </c>
      <c r="F55" s="520">
        <v>24.89</v>
      </c>
      <c r="G55" s="520">
        <v>45.96</v>
      </c>
      <c r="H55" s="520">
        <v>72.38</v>
      </c>
      <c r="I55" s="520">
        <v>64.7</v>
      </c>
    </row>
    <row r="56" spans="1:9">
      <c r="A56" s="147">
        <f t="shared" si="5"/>
        <v>55</v>
      </c>
      <c r="B56" s="147">
        <v>54</v>
      </c>
      <c r="C56" s="539">
        <v>44848</v>
      </c>
      <c r="D56" s="540">
        <v>98.11</v>
      </c>
      <c r="E56" s="520">
        <v>39.479999999999997</v>
      </c>
      <c r="F56" s="520">
        <v>24.49</v>
      </c>
      <c r="G56" s="520">
        <v>45.31</v>
      </c>
      <c r="H56" s="520">
        <v>70.540000000000006</v>
      </c>
      <c r="I56" s="520">
        <v>63.2</v>
      </c>
    </row>
    <row r="57" spans="1:9">
      <c r="A57" s="147">
        <f t="shared" si="5"/>
        <v>56</v>
      </c>
      <c r="B57" s="147">
        <v>55</v>
      </c>
      <c r="C57" s="539">
        <v>44847</v>
      </c>
      <c r="D57" s="540">
        <v>101.46</v>
      </c>
      <c r="E57" s="520">
        <v>40.14</v>
      </c>
      <c r="F57" s="520">
        <v>25.24</v>
      </c>
      <c r="G57" s="520">
        <v>45.61</v>
      </c>
      <c r="H57" s="520">
        <v>71.959999999999994</v>
      </c>
      <c r="I57" s="520">
        <v>65.36</v>
      </c>
    </row>
    <row r="58" spans="1:9">
      <c r="A58" s="147">
        <f t="shared" si="5"/>
        <v>57</v>
      </c>
      <c r="B58" s="147">
        <v>56</v>
      </c>
      <c r="C58" s="539">
        <v>44846</v>
      </c>
      <c r="D58" s="540">
        <v>99.26</v>
      </c>
      <c r="E58" s="520">
        <v>38.770000000000003</v>
      </c>
      <c r="F58" s="520">
        <v>24.19</v>
      </c>
      <c r="G58" s="520">
        <v>43.95</v>
      </c>
      <c r="H58" s="520">
        <v>70.03</v>
      </c>
      <c r="I58" s="520">
        <v>62.94</v>
      </c>
    </row>
    <row r="59" spans="1:9">
      <c r="A59" s="147">
        <f t="shared" si="5"/>
        <v>58</v>
      </c>
      <c r="B59" s="147">
        <v>57</v>
      </c>
      <c r="C59" s="539">
        <v>44845</v>
      </c>
      <c r="D59" s="540">
        <v>102.2</v>
      </c>
      <c r="E59" s="520">
        <v>39.909999999999997</v>
      </c>
      <c r="F59" s="520">
        <v>24.87</v>
      </c>
      <c r="G59" s="520">
        <v>44.56</v>
      </c>
      <c r="H59" s="520">
        <v>72</v>
      </c>
      <c r="I59" s="520">
        <v>63.62</v>
      </c>
    </row>
    <row r="60" spans="1:9">
      <c r="A60" s="147">
        <f t="shared" si="5"/>
        <v>59</v>
      </c>
      <c r="B60" s="147">
        <v>58</v>
      </c>
      <c r="C60" s="539">
        <v>44844</v>
      </c>
      <c r="D60" s="540">
        <v>99.88</v>
      </c>
      <c r="E60" s="520">
        <v>39.28</v>
      </c>
      <c r="F60" s="520">
        <v>24.52</v>
      </c>
      <c r="G60" s="520">
        <v>42.79</v>
      </c>
      <c r="H60" s="520">
        <v>70.53</v>
      </c>
      <c r="I60" s="520">
        <v>62.04</v>
      </c>
    </row>
    <row r="61" spans="1:9">
      <c r="A61" s="147">
        <f t="shared" si="5"/>
        <v>60</v>
      </c>
      <c r="B61" s="147">
        <v>59</v>
      </c>
      <c r="C61" s="539">
        <v>44841</v>
      </c>
      <c r="D61" s="540">
        <v>99.39</v>
      </c>
      <c r="E61" s="520">
        <v>38.97</v>
      </c>
      <c r="F61" s="520">
        <v>24.51</v>
      </c>
      <c r="G61" s="520">
        <v>42.73</v>
      </c>
      <c r="H61" s="520">
        <v>70.290000000000006</v>
      </c>
      <c r="I61" s="520">
        <v>62</v>
      </c>
    </row>
    <row r="62" spans="1:9">
      <c r="A62" s="147">
        <f t="shared" si="5"/>
        <v>61</v>
      </c>
      <c r="B62" s="147">
        <v>60</v>
      </c>
      <c r="C62" s="539">
        <v>44840</v>
      </c>
      <c r="D62" s="540">
        <v>100.81</v>
      </c>
      <c r="E62" s="520">
        <v>39.76</v>
      </c>
      <c r="F62" s="520">
        <v>25.1</v>
      </c>
      <c r="G62" s="520">
        <v>43.31</v>
      </c>
      <c r="H62" s="520">
        <v>71.16</v>
      </c>
      <c r="I62" s="520">
        <v>62.97</v>
      </c>
    </row>
    <row r="63" spans="1:9">
      <c r="A63" s="147" t="e">
        <f>#REF!+1</f>
        <v>#REF!</v>
      </c>
      <c r="B63" s="147"/>
      <c r="C63" s="539"/>
      <c r="D63" s="324"/>
      <c r="E63" s="324"/>
      <c r="F63" s="324"/>
      <c r="G63" s="324"/>
      <c r="H63" s="324"/>
      <c r="I63" s="324"/>
    </row>
    <row r="64" spans="1:9">
      <c r="A64" s="147" t="e">
        <f t="shared" si="5"/>
        <v>#REF!</v>
      </c>
      <c r="B64" s="147"/>
      <c r="C64" s="539"/>
    </row>
    <row r="65" spans="1:3">
      <c r="A65" s="147" t="e">
        <f t="shared" si="5"/>
        <v>#REF!</v>
      </c>
      <c r="B65" s="147"/>
      <c r="C65" s="539"/>
    </row>
    <row r="66" spans="1:3">
      <c r="A66" s="147" t="e">
        <f t="shared" si="5"/>
        <v>#REF!</v>
      </c>
      <c r="B66" s="147"/>
      <c r="C66" s="539"/>
    </row>
    <row r="67" spans="1:3">
      <c r="A67" s="147" t="e">
        <f t="shared" si="5"/>
        <v>#REF!</v>
      </c>
      <c r="B67" s="147"/>
      <c r="C67" s="539"/>
    </row>
    <row r="68" spans="1:3">
      <c r="A68" s="147" t="e">
        <f t="shared" ref="A68:A90" si="6">A67+1</f>
        <v>#REF!</v>
      </c>
      <c r="B68" s="147"/>
      <c r="C68" s="539"/>
    </row>
    <row r="69" spans="1:3">
      <c r="A69" s="147" t="e">
        <f t="shared" si="6"/>
        <v>#REF!</v>
      </c>
      <c r="B69" s="147"/>
      <c r="C69" s="539"/>
    </row>
    <row r="70" spans="1:3">
      <c r="A70" s="147" t="e">
        <f t="shared" si="6"/>
        <v>#REF!</v>
      </c>
      <c r="B70" s="147"/>
      <c r="C70" s="539"/>
    </row>
    <row r="71" spans="1:3">
      <c r="A71" s="147" t="e">
        <f t="shared" si="6"/>
        <v>#REF!</v>
      </c>
      <c r="B71" s="147"/>
      <c r="C71" s="539"/>
    </row>
    <row r="72" spans="1:3">
      <c r="A72" s="147" t="e">
        <f t="shared" si="6"/>
        <v>#REF!</v>
      </c>
      <c r="B72" s="147"/>
      <c r="C72" s="539"/>
    </row>
    <row r="73" spans="1:3">
      <c r="A73" s="147" t="e">
        <f t="shared" si="6"/>
        <v>#REF!</v>
      </c>
      <c r="B73" s="147"/>
      <c r="C73" s="539"/>
    </row>
    <row r="74" spans="1:3">
      <c r="A74" s="147" t="e">
        <f t="shared" si="6"/>
        <v>#REF!</v>
      </c>
      <c r="B74" s="147"/>
      <c r="C74" s="539"/>
    </row>
    <row r="75" spans="1:3">
      <c r="A75" s="147" t="e">
        <f t="shared" si="6"/>
        <v>#REF!</v>
      </c>
      <c r="B75" s="147"/>
      <c r="C75" s="539"/>
    </row>
    <row r="76" spans="1:3">
      <c r="A76" s="147" t="e">
        <f t="shared" si="6"/>
        <v>#REF!</v>
      </c>
      <c r="B76" s="147"/>
      <c r="C76" s="539"/>
    </row>
    <row r="77" spans="1:3">
      <c r="A77" s="147" t="e">
        <f t="shared" si="6"/>
        <v>#REF!</v>
      </c>
      <c r="B77" s="147"/>
      <c r="C77" s="539"/>
    </row>
    <row r="78" spans="1:3">
      <c r="A78" s="147" t="e">
        <f t="shared" si="6"/>
        <v>#REF!</v>
      </c>
      <c r="B78" s="147"/>
      <c r="C78" s="539"/>
    </row>
    <row r="79" spans="1:3">
      <c r="A79" s="147" t="e">
        <f t="shared" si="6"/>
        <v>#REF!</v>
      </c>
      <c r="B79" s="147"/>
      <c r="C79" s="539"/>
    </row>
    <row r="80" spans="1:3">
      <c r="A80" s="147" t="e">
        <f t="shared" si="6"/>
        <v>#REF!</v>
      </c>
      <c r="B80" s="147"/>
      <c r="C80" s="539"/>
    </row>
    <row r="81" spans="1:3">
      <c r="A81" s="147" t="e">
        <f t="shared" si="6"/>
        <v>#REF!</v>
      </c>
      <c r="B81" s="147"/>
      <c r="C81" s="539"/>
    </row>
    <row r="82" spans="1:3">
      <c r="A82" s="147" t="e">
        <f t="shared" si="6"/>
        <v>#REF!</v>
      </c>
      <c r="B82" s="147"/>
      <c r="C82" s="539"/>
    </row>
    <row r="83" spans="1:3">
      <c r="A83" s="147" t="e">
        <f t="shared" si="6"/>
        <v>#REF!</v>
      </c>
      <c r="B83" s="147"/>
      <c r="C83" s="539"/>
    </row>
    <row r="84" spans="1:3">
      <c r="A84" s="147" t="e">
        <f t="shared" si="6"/>
        <v>#REF!</v>
      </c>
      <c r="B84" s="147"/>
      <c r="C84" s="539"/>
    </row>
    <row r="85" spans="1:3">
      <c r="A85" s="147" t="e">
        <f t="shared" si="6"/>
        <v>#REF!</v>
      </c>
      <c r="B85" s="147"/>
      <c r="C85" s="539"/>
    </row>
    <row r="86" spans="1:3">
      <c r="A86" s="147" t="e">
        <f t="shared" si="6"/>
        <v>#REF!</v>
      </c>
      <c r="B86" s="147"/>
      <c r="C86" s="539"/>
    </row>
    <row r="87" spans="1:3">
      <c r="A87" s="147" t="e">
        <f t="shared" si="6"/>
        <v>#REF!</v>
      </c>
      <c r="B87" s="147"/>
      <c r="C87" s="539"/>
    </row>
    <row r="88" spans="1:3">
      <c r="A88" s="147" t="e">
        <f t="shared" si="6"/>
        <v>#REF!</v>
      </c>
      <c r="B88" s="147"/>
      <c r="C88" s="539"/>
    </row>
    <row r="89" spans="1:3">
      <c r="A89" s="147" t="e">
        <f t="shared" si="6"/>
        <v>#REF!</v>
      </c>
      <c r="B89" s="147"/>
      <c r="C89" s="539"/>
    </row>
    <row r="90" spans="1:3">
      <c r="A90" s="147" t="e">
        <f t="shared" si="6"/>
        <v>#REF!</v>
      </c>
      <c r="B90" s="147"/>
      <c r="C90" s="539"/>
    </row>
    <row r="91" spans="1:3">
      <c r="A91" s="147" t="e">
        <f>A90+1</f>
        <v>#REF!</v>
      </c>
      <c r="B91" s="147"/>
      <c r="C91" s="539"/>
    </row>
    <row r="92" spans="1:3">
      <c r="C92" s="539"/>
    </row>
    <row r="93" spans="1:3">
      <c r="C93" s="539"/>
    </row>
    <row r="94" spans="1:3">
      <c r="C94" s="539"/>
    </row>
    <row r="95" spans="1:3">
      <c r="C95" s="539"/>
    </row>
    <row r="96" spans="1:3">
      <c r="C96" s="539"/>
    </row>
    <row r="97" spans="3:3">
      <c r="C97" s="539"/>
    </row>
    <row r="98" spans="3:3">
      <c r="C98" s="539"/>
    </row>
    <row r="99" spans="3:3">
      <c r="C99" s="539"/>
    </row>
    <row r="100" spans="3:3">
      <c r="C100" s="539"/>
    </row>
    <row r="101" spans="3:3">
      <c r="C101" s="539"/>
    </row>
    <row r="102" spans="3:3">
      <c r="C102" s="539"/>
    </row>
    <row r="103" spans="3:3">
      <c r="C103" s="539"/>
    </row>
    <row r="104" spans="3:3">
      <c r="C104" s="539"/>
    </row>
    <row r="105" spans="3:3">
      <c r="C105" s="539"/>
    </row>
    <row r="106" spans="3:3">
      <c r="C106" s="539"/>
    </row>
    <row r="107" spans="3:3">
      <c r="C107" s="539"/>
    </row>
    <row r="108" spans="3:3">
      <c r="C108" s="539"/>
    </row>
    <row r="109" spans="3:3">
      <c r="C109" s="539"/>
    </row>
    <row r="110" spans="3:3">
      <c r="C110" s="539"/>
    </row>
    <row r="111" spans="3:3">
      <c r="C111" s="539"/>
    </row>
    <row r="112" spans="3:3">
      <c r="C112" s="539"/>
    </row>
    <row r="113" spans="3:3">
      <c r="C113" s="539"/>
    </row>
    <row r="114" spans="3:3">
      <c r="C114" s="539"/>
    </row>
    <row r="115" spans="3:3">
      <c r="C115" s="539"/>
    </row>
    <row r="116" spans="3:3">
      <c r="C116" s="539"/>
    </row>
    <row r="117" spans="3:3">
      <c r="C117" s="539"/>
    </row>
    <row r="118" spans="3:3">
      <c r="C118" s="539"/>
    </row>
    <row r="119" spans="3:3">
      <c r="C119" s="539"/>
    </row>
    <row r="120" spans="3:3">
      <c r="C120" s="539"/>
    </row>
    <row r="121" spans="3:3">
      <c r="C121" s="539"/>
    </row>
    <row r="122" spans="3:3">
      <c r="C122" s="539"/>
    </row>
    <row r="123" spans="3:3">
      <c r="C123" s="539"/>
    </row>
    <row r="124" spans="3:3">
      <c r="C124" s="539"/>
    </row>
    <row r="125" spans="3:3">
      <c r="C125" s="539"/>
    </row>
    <row r="126" spans="3:3">
      <c r="C126" s="539"/>
    </row>
    <row r="127" spans="3:3">
      <c r="C127" s="539"/>
    </row>
    <row r="128" spans="3:3">
      <c r="C128" s="539"/>
    </row>
    <row r="129" spans="3:3">
      <c r="C129" s="539"/>
    </row>
    <row r="130" spans="3:3">
      <c r="C130" s="539"/>
    </row>
    <row r="131" spans="3:3">
      <c r="C131" s="539"/>
    </row>
    <row r="132" spans="3:3">
      <c r="C132" s="539"/>
    </row>
    <row r="133" spans="3:3">
      <c r="C133" s="539"/>
    </row>
    <row r="134" spans="3:3">
      <c r="C134" s="539"/>
    </row>
    <row r="135" spans="3:3">
      <c r="C135" s="539"/>
    </row>
    <row r="136" spans="3:3">
      <c r="C136" s="539"/>
    </row>
    <row r="137" spans="3:3">
      <c r="C137" s="539"/>
    </row>
    <row r="138" spans="3:3">
      <c r="C138" s="539"/>
    </row>
    <row r="139" spans="3:3">
      <c r="C139" s="539"/>
    </row>
    <row r="140" spans="3:3">
      <c r="C140" s="539"/>
    </row>
    <row r="141" spans="3:3">
      <c r="C141" s="539"/>
    </row>
    <row r="142" spans="3:3">
      <c r="C142" s="539"/>
    </row>
    <row r="143" spans="3:3">
      <c r="C143" s="539"/>
    </row>
    <row r="144" spans="3:3">
      <c r="C144" s="539"/>
    </row>
    <row r="145" spans="3:3">
      <c r="C145" s="539"/>
    </row>
    <row r="146" spans="3:3">
      <c r="C146" s="539"/>
    </row>
    <row r="147" spans="3:3">
      <c r="C147" s="539"/>
    </row>
    <row r="148" spans="3:3">
      <c r="C148" s="539"/>
    </row>
    <row r="149" spans="3:3">
      <c r="C149" s="539"/>
    </row>
    <row r="150" spans="3:3">
      <c r="C150" s="539"/>
    </row>
    <row r="151" spans="3:3">
      <c r="C151" s="539"/>
    </row>
    <row r="152" spans="3:3">
      <c r="C152" s="539"/>
    </row>
    <row r="153" spans="3:3">
      <c r="C153" s="539"/>
    </row>
    <row r="154" spans="3:3">
      <c r="C154" s="539"/>
    </row>
    <row r="155" spans="3:3">
      <c r="C155" s="539"/>
    </row>
    <row r="156" spans="3:3">
      <c r="C156" s="539"/>
    </row>
    <row r="157" spans="3:3">
      <c r="C157" s="539"/>
    </row>
    <row r="158" spans="3:3">
      <c r="C158" s="539"/>
    </row>
    <row r="159" spans="3:3">
      <c r="C159" s="539"/>
    </row>
    <row r="160" spans="3:3">
      <c r="C160" s="539"/>
    </row>
    <row r="161" spans="3:3">
      <c r="C161" s="539"/>
    </row>
    <row r="162" spans="3:3">
      <c r="C162" s="539"/>
    </row>
    <row r="163" spans="3:3">
      <c r="C163" s="539"/>
    </row>
    <row r="164" spans="3:3">
      <c r="C164" s="539"/>
    </row>
    <row r="165" spans="3:3">
      <c r="C165" s="539"/>
    </row>
    <row r="166" spans="3:3">
      <c r="C166" s="539"/>
    </row>
    <row r="167" spans="3:3">
      <c r="C167" s="539"/>
    </row>
    <row r="168" spans="3:3">
      <c r="C168" s="539"/>
    </row>
    <row r="169" spans="3:3">
      <c r="C169" s="539"/>
    </row>
    <row r="170" spans="3:3">
      <c r="C170" s="539"/>
    </row>
    <row r="171" spans="3:3">
      <c r="C171" s="539"/>
    </row>
    <row r="172" spans="3:3">
      <c r="C172" s="539"/>
    </row>
    <row r="173" spans="3:3">
      <c r="C173" s="539"/>
    </row>
    <row r="174" spans="3:3">
      <c r="C174" s="539"/>
    </row>
    <row r="175" spans="3:3">
      <c r="C175" s="539"/>
    </row>
    <row r="176" spans="3:3">
      <c r="C176" s="539"/>
    </row>
    <row r="177" spans="3:3">
      <c r="C177" s="539"/>
    </row>
    <row r="178" spans="3:3">
      <c r="C178" s="539"/>
    </row>
    <row r="179" spans="3:3">
      <c r="C179" s="539"/>
    </row>
    <row r="180" spans="3:3">
      <c r="C180" s="539"/>
    </row>
    <row r="181" spans="3:3">
      <c r="C181" s="539"/>
    </row>
    <row r="182" spans="3:3">
      <c r="C182" s="539"/>
    </row>
    <row r="183" spans="3:3">
      <c r="C183" s="539"/>
    </row>
    <row r="184" spans="3:3">
      <c r="C184" s="539"/>
    </row>
    <row r="185" spans="3:3">
      <c r="C185" s="539"/>
    </row>
    <row r="186" spans="3:3">
      <c r="C186" s="539"/>
    </row>
    <row r="187" spans="3:3">
      <c r="C187" s="539"/>
    </row>
    <row r="188" spans="3:3">
      <c r="C188" s="539"/>
    </row>
    <row r="189" spans="3:3">
      <c r="C189" s="539"/>
    </row>
    <row r="190" spans="3:3">
      <c r="C190" s="539"/>
    </row>
    <row r="191" spans="3:3">
      <c r="C191" s="539"/>
    </row>
    <row r="192" spans="3:3">
      <c r="C192" s="539"/>
    </row>
    <row r="193" spans="3:3">
      <c r="C193" s="539"/>
    </row>
    <row r="194" spans="3:3">
      <c r="C194" s="539"/>
    </row>
    <row r="195" spans="3:3">
      <c r="C195" s="539"/>
    </row>
    <row r="196" spans="3:3">
      <c r="C196" s="539"/>
    </row>
    <row r="197" spans="3:3">
      <c r="C197" s="539"/>
    </row>
    <row r="198" spans="3:3">
      <c r="C198" s="539"/>
    </row>
    <row r="199" spans="3:3">
      <c r="C199" s="539"/>
    </row>
    <row r="200" spans="3:3">
      <c r="C200" s="539"/>
    </row>
    <row r="201" spans="3:3">
      <c r="C201" s="539"/>
    </row>
    <row r="202" spans="3:3">
      <c r="C202" s="539"/>
    </row>
    <row r="203" spans="3:3">
      <c r="C203" s="539"/>
    </row>
    <row r="204" spans="3:3">
      <c r="C204" s="539"/>
    </row>
    <row r="205" spans="3:3">
      <c r="C205" s="539"/>
    </row>
    <row r="206" spans="3:3">
      <c r="C206" s="539"/>
    </row>
    <row r="207" spans="3:3">
      <c r="C207" s="539"/>
    </row>
    <row r="208" spans="3:3">
      <c r="C208" s="539"/>
    </row>
    <row r="209" spans="3:3">
      <c r="C209" s="539"/>
    </row>
    <row r="210" spans="3:3">
      <c r="C210" s="539"/>
    </row>
    <row r="211" spans="3:3">
      <c r="C211" s="539"/>
    </row>
    <row r="212" spans="3:3">
      <c r="C212" s="539"/>
    </row>
    <row r="213" spans="3:3">
      <c r="C213" s="539"/>
    </row>
    <row r="214" spans="3:3">
      <c r="C214" s="539"/>
    </row>
    <row r="215" spans="3:3">
      <c r="C215" s="539"/>
    </row>
    <row r="216" spans="3:3">
      <c r="C216" s="539"/>
    </row>
    <row r="217" spans="3:3">
      <c r="C217" s="539"/>
    </row>
    <row r="218" spans="3:3">
      <c r="C218" s="539"/>
    </row>
    <row r="219" spans="3:3">
      <c r="C219" s="539"/>
    </row>
    <row r="220" spans="3:3">
      <c r="C220" s="539"/>
    </row>
    <row r="221" spans="3:3">
      <c r="C221" s="539"/>
    </row>
    <row r="222" spans="3:3">
      <c r="C222" s="539"/>
    </row>
    <row r="223" spans="3:3">
      <c r="C223" s="539"/>
    </row>
    <row r="224" spans="3:3">
      <c r="C224" s="539"/>
    </row>
    <row r="225" spans="3:3">
      <c r="C225" s="539"/>
    </row>
    <row r="226" spans="3:3">
      <c r="C226" s="539"/>
    </row>
    <row r="227" spans="3:3">
      <c r="C227" s="539"/>
    </row>
    <row r="228" spans="3:3">
      <c r="C228" s="539"/>
    </row>
    <row r="229" spans="3:3">
      <c r="C229" s="539"/>
    </row>
    <row r="230" spans="3:3">
      <c r="C230" s="539"/>
    </row>
    <row r="231" spans="3:3">
      <c r="C231" s="539"/>
    </row>
    <row r="232" spans="3:3">
      <c r="C232" s="539"/>
    </row>
    <row r="233" spans="3:3">
      <c r="C233" s="539"/>
    </row>
    <row r="234" spans="3:3">
      <c r="C234" s="539"/>
    </row>
    <row r="235" spans="3:3">
      <c r="C235" s="539"/>
    </row>
    <row r="236" spans="3:3">
      <c r="C236" s="539"/>
    </row>
    <row r="237" spans="3:3">
      <c r="C237" s="539"/>
    </row>
    <row r="238" spans="3:3">
      <c r="C238" s="539"/>
    </row>
    <row r="239" spans="3:3">
      <c r="C239" s="539"/>
    </row>
    <row r="240" spans="3:3">
      <c r="C240" s="539"/>
    </row>
    <row r="241" spans="3:3">
      <c r="C241" s="539"/>
    </row>
    <row r="242" spans="3:3">
      <c r="C242" s="539"/>
    </row>
    <row r="243" spans="3:3">
      <c r="C243" s="539"/>
    </row>
    <row r="244" spans="3:3">
      <c r="C244" s="539"/>
    </row>
    <row r="245" spans="3:3">
      <c r="C245" s="539"/>
    </row>
    <row r="246" spans="3:3">
      <c r="C246" s="539"/>
    </row>
    <row r="247" spans="3:3">
      <c r="C247" s="539"/>
    </row>
    <row r="248" spans="3:3">
      <c r="C248" s="539"/>
    </row>
    <row r="249" spans="3:3">
      <c r="C249" s="539"/>
    </row>
    <row r="250" spans="3:3">
      <c r="C250" s="539"/>
    </row>
    <row r="251" spans="3:3">
      <c r="C251" s="539"/>
    </row>
    <row r="252" spans="3:3">
      <c r="C252" s="539"/>
    </row>
    <row r="253" spans="3:3">
      <c r="C253" s="539"/>
    </row>
    <row r="254" spans="3:3">
      <c r="C254" s="539"/>
    </row>
    <row r="255" spans="3:3">
      <c r="C255" s="539"/>
    </row>
    <row r="256" spans="3:3">
      <c r="C256" s="539"/>
    </row>
    <row r="257" spans="3:3">
      <c r="C257" s="539"/>
    </row>
    <row r="258" spans="3:3">
      <c r="C258" s="539"/>
    </row>
    <row r="259" spans="3:3">
      <c r="C259" s="539"/>
    </row>
    <row r="260" spans="3:3">
      <c r="C260" s="539"/>
    </row>
    <row r="261" spans="3:3">
      <c r="C261" s="539"/>
    </row>
    <row r="262" spans="3:3">
      <c r="C262" s="539"/>
    </row>
    <row r="263" spans="3:3">
      <c r="C263" s="539"/>
    </row>
    <row r="264" spans="3:3">
      <c r="C264" s="539"/>
    </row>
    <row r="265" spans="3:3">
      <c r="C265" s="539"/>
    </row>
    <row r="266" spans="3:3">
      <c r="C266" s="539"/>
    </row>
    <row r="267" spans="3:3">
      <c r="C267" s="539"/>
    </row>
    <row r="268" spans="3:3">
      <c r="C268" s="539"/>
    </row>
    <row r="269" spans="3:3">
      <c r="C269" s="539"/>
    </row>
    <row r="270" spans="3:3">
      <c r="C270" s="539"/>
    </row>
    <row r="271" spans="3:3">
      <c r="C271" s="539"/>
    </row>
    <row r="272" spans="3:3">
      <c r="C272" s="539"/>
    </row>
    <row r="273" spans="3:3">
      <c r="C273" s="539"/>
    </row>
    <row r="274" spans="3:3">
      <c r="C274" s="539"/>
    </row>
    <row r="275" spans="3:3">
      <c r="C275" s="539"/>
    </row>
    <row r="276" spans="3:3">
      <c r="C276" s="539"/>
    </row>
    <row r="277" spans="3:3">
      <c r="C277" s="539"/>
    </row>
    <row r="278" spans="3:3">
      <c r="C278" s="539"/>
    </row>
    <row r="279" spans="3:3">
      <c r="C279" s="539"/>
    </row>
    <row r="280" spans="3:3">
      <c r="C280" s="539"/>
    </row>
    <row r="281" spans="3:3">
      <c r="C281" s="539"/>
    </row>
    <row r="282" spans="3:3">
      <c r="C282" s="539"/>
    </row>
    <row r="283" spans="3:3">
      <c r="C283" s="539"/>
    </row>
    <row r="284" spans="3:3">
      <c r="C284" s="539"/>
    </row>
    <row r="285" spans="3:3">
      <c r="C285" s="539"/>
    </row>
    <row r="286" spans="3:3">
      <c r="C286" s="539"/>
    </row>
    <row r="287" spans="3:3">
      <c r="C287" s="539"/>
    </row>
    <row r="288" spans="3:3">
      <c r="C288" s="539"/>
    </row>
    <row r="289" spans="3:3">
      <c r="C289" s="539"/>
    </row>
    <row r="290" spans="3:3">
      <c r="C290" s="539"/>
    </row>
    <row r="291" spans="3:3">
      <c r="C291" s="539"/>
    </row>
    <row r="292" spans="3:3">
      <c r="C292" s="539"/>
    </row>
    <row r="293" spans="3:3">
      <c r="C293" s="539"/>
    </row>
    <row r="294" spans="3:3">
      <c r="C294" s="539"/>
    </row>
    <row r="295" spans="3:3">
      <c r="C295" s="539"/>
    </row>
    <row r="296" spans="3:3">
      <c r="C296" s="539"/>
    </row>
    <row r="297" spans="3:3">
      <c r="C297" s="539"/>
    </row>
    <row r="298" spans="3:3">
      <c r="C298" s="539"/>
    </row>
    <row r="299" spans="3:3">
      <c r="C299" s="539"/>
    </row>
    <row r="300" spans="3:3">
      <c r="C300" s="539"/>
    </row>
    <row r="301" spans="3:3">
      <c r="C301" s="539"/>
    </row>
    <row r="302" spans="3:3">
      <c r="C302" s="539"/>
    </row>
    <row r="303" spans="3:3">
      <c r="C303" s="539"/>
    </row>
    <row r="304" spans="3:3">
      <c r="C304" s="539"/>
    </row>
    <row r="305" spans="3:3">
      <c r="C305" s="539"/>
    </row>
    <row r="306" spans="3:3">
      <c r="C306" s="539"/>
    </row>
    <row r="307" spans="3:3">
      <c r="C307" s="539"/>
    </row>
    <row r="308" spans="3:3">
      <c r="C308" s="539"/>
    </row>
    <row r="309" spans="3:3">
      <c r="C309" s="539"/>
    </row>
    <row r="310" spans="3:3">
      <c r="C310" s="539"/>
    </row>
    <row r="311" spans="3:3">
      <c r="C311" s="539"/>
    </row>
    <row r="312" spans="3:3">
      <c r="C312" s="539"/>
    </row>
    <row r="313" spans="3:3">
      <c r="C313" s="539"/>
    </row>
    <row r="314" spans="3:3">
      <c r="C314" s="539"/>
    </row>
    <row r="315" spans="3:3">
      <c r="C315" s="539"/>
    </row>
    <row r="316" spans="3:3">
      <c r="C316" s="539"/>
    </row>
    <row r="317" spans="3:3">
      <c r="C317" s="539"/>
    </row>
    <row r="318" spans="3:3">
      <c r="C318" s="539"/>
    </row>
    <row r="319" spans="3:3">
      <c r="C319" s="539"/>
    </row>
    <row r="320" spans="3:3">
      <c r="C320" s="539"/>
    </row>
    <row r="321" spans="3:3">
      <c r="C321" s="539"/>
    </row>
    <row r="322" spans="3:3">
      <c r="C322" s="539"/>
    </row>
    <row r="323" spans="3:3">
      <c r="C323" s="539"/>
    </row>
    <row r="324" spans="3:3">
      <c r="C324" s="539"/>
    </row>
    <row r="325" spans="3:3">
      <c r="C325" s="539"/>
    </row>
    <row r="326" spans="3:3">
      <c r="C326" s="539"/>
    </row>
    <row r="327" spans="3:3">
      <c r="C327" s="539"/>
    </row>
    <row r="328" spans="3:3">
      <c r="C328" s="539"/>
    </row>
    <row r="329" spans="3:3">
      <c r="C329" s="539"/>
    </row>
    <row r="330" spans="3:3">
      <c r="C330" s="539"/>
    </row>
    <row r="331" spans="3:3">
      <c r="C331" s="539"/>
    </row>
    <row r="332" spans="3:3">
      <c r="C332" s="539"/>
    </row>
    <row r="333" spans="3:3">
      <c r="C333" s="539"/>
    </row>
    <row r="334" spans="3:3">
      <c r="C334" s="539"/>
    </row>
    <row r="335" spans="3:3">
      <c r="C335" s="539"/>
    </row>
    <row r="336" spans="3:3">
      <c r="C336" s="539"/>
    </row>
    <row r="337" spans="3:3">
      <c r="C337" s="539"/>
    </row>
    <row r="338" spans="3:3">
      <c r="C338" s="539"/>
    </row>
    <row r="339" spans="3:3">
      <c r="C339" s="539"/>
    </row>
    <row r="340" spans="3:3">
      <c r="C340" s="539"/>
    </row>
    <row r="341" spans="3:3">
      <c r="C341" s="539"/>
    </row>
    <row r="342" spans="3:3">
      <c r="C342" s="539"/>
    </row>
    <row r="343" spans="3:3">
      <c r="C343" s="539"/>
    </row>
    <row r="344" spans="3:3">
      <c r="C344" s="539"/>
    </row>
    <row r="345" spans="3:3">
      <c r="C345" s="539"/>
    </row>
    <row r="346" spans="3:3">
      <c r="C346" s="539"/>
    </row>
    <row r="347" spans="3:3">
      <c r="C347" s="539"/>
    </row>
    <row r="348" spans="3:3">
      <c r="C348" s="539"/>
    </row>
    <row r="349" spans="3:3">
      <c r="C349" s="539"/>
    </row>
    <row r="350" spans="3:3">
      <c r="C350" s="539"/>
    </row>
    <row r="351" spans="3:3">
      <c r="C351" s="539"/>
    </row>
    <row r="352" spans="3:3">
      <c r="C352" s="539"/>
    </row>
    <row r="353" spans="3:3">
      <c r="C353" s="539"/>
    </row>
    <row r="354" spans="3:3">
      <c r="C354" s="539"/>
    </row>
    <row r="355" spans="3:3">
      <c r="C355" s="539"/>
    </row>
    <row r="356" spans="3:3">
      <c r="C356" s="539"/>
    </row>
    <row r="357" spans="3:3">
      <c r="C357" s="539"/>
    </row>
    <row r="358" spans="3:3">
      <c r="C358" s="539"/>
    </row>
    <row r="359" spans="3:3">
      <c r="C359" s="539"/>
    </row>
    <row r="360" spans="3:3">
      <c r="C360" s="539"/>
    </row>
    <row r="361" spans="3:3">
      <c r="C361" s="539"/>
    </row>
    <row r="362" spans="3:3">
      <c r="C362" s="539"/>
    </row>
    <row r="363" spans="3:3">
      <c r="C363" s="539"/>
    </row>
    <row r="364" spans="3:3">
      <c r="C364" s="539"/>
    </row>
    <row r="365" spans="3:3">
      <c r="C365" s="539"/>
    </row>
    <row r="366" spans="3:3">
      <c r="C366" s="539"/>
    </row>
    <row r="367" spans="3:3">
      <c r="C367" s="539"/>
    </row>
    <row r="368" spans="3:3">
      <c r="C368" s="539"/>
    </row>
    <row r="369" spans="3:3">
      <c r="C369" s="539"/>
    </row>
    <row r="370" spans="3:3">
      <c r="C370" s="539"/>
    </row>
    <row r="371" spans="3:3">
      <c r="C371" s="539"/>
    </row>
    <row r="372" spans="3:3">
      <c r="C372" s="539"/>
    </row>
    <row r="373" spans="3:3">
      <c r="C373" s="539"/>
    </row>
    <row r="374" spans="3:3">
      <c r="C374" s="539"/>
    </row>
    <row r="375" spans="3:3">
      <c r="C375" s="539"/>
    </row>
    <row r="376" spans="3:3">
      <c r="C376" s="539"/>
    </row>
    <row r="377" spans="3:3">
      <c r="C377" s="539"/>
    </row>
    <row r="378" spans="3:3">
      <c r="C378" s="539"/>
    </row>
    <row r="379" spans="3:3">
      <c r="C379" s="539"/>
    </row>
    <row r="380" spans="3:3">
      <c r="C380" s="539"/>
    </row>
    <row r="381" spans="3:3">
      <c r="C381" s="539"/>
    </row>
    <row r="382" spans="3:3">
      <c r="C382" s="539"/>
    </row>
    <row r="383" spans="3:3">
      <c r="C383" s="539"/>
    </row>
    <row r="384" spans="3:3">
      <c r="C384" s="539"/>
    </row>
    <row r="385" spans="3:3">
      <c r="C385" s="539"/>
    </row>
    <row r="386" spans="3:3">
      <c r="C386" s="539"/>
    </row>
    <row r="387" spans="3:3">
      <c r="C387" s="539"/>
    </row>
    <row r="388" spans="3:3">
      <c r="C388" s="539"/>
    </row>
    <row r="389" spans="3:3">
      <c r="C389" s="539"/>
    </row>
    <row r="390" spans="3:3">
      <c r="C390" s="539"/>
    </row>
    <row r="391" spans="3:3">
      <c r="C391" s="539"/>
    </row>
    <row r="392" spans="3:3">
      <c r="C392" s="539"/>
    </row>
    <row r="393" spans="3:3">
      <c r="C393" s="539"/>
    </row>
    <row r="394" spans="3:3">
      <c r="C394" s="539"/>
    </row>
    <row r="395" spans="3:3">
      <c r="C395" s="539"/>
    </row>
    <row r="396" spans="3:3">
      <c r="C396" s="539"/>
    </row>
    <row r="397" spans="3:3">
      <c r="C397" s="539"/>
    </row>
    <row r="398" spans="3:3">
      <c r="C398" s="539"/>
    </row>
    <row r="399" spans="3:3">
      <c r="C399" s="539"/>
    </row>
    <row r="400" spans="3:3">
      <c r="C400" s="539"/>
    </row>
    <row r="401" spans="3:3">
      <c r="C401" s="539"/>
    </row>
    <row r="402" spans="3:3">
      <c r="C402" s="539"/>
    </row>
    <row r="403" spans="3:3">
      <c r="C403" s="539"/>
    </row>
    <row r="404" spans="3:3">
      <c r="C404" s="539"/>
    </row>
    <row r="405" spans="3:3">
      <c r="C405" s="539"/>
    </row>
    <row r="406" spans="3:3">
      <c r="C406" s="539"/>
    </row>
    <row r="407" spans="3:3">
      <c r="C407" s="539"/>
    </row>
    <row r="408" spans="3:3">
      <c r="C408" s="539"/>
    </row>
    <row r="409" spans="3:3">
      <c r="C409" s="539"/>
    </row>
    <row r="410" spans="3:3">
      <c r="C410" s="539"/>
    </row>
    <row r="411" spans="3:3">
      <c r="C411" s="539"/>
    </row>
    <row r="412" spans="3:3">
      <c r="C412" s="539"/>
    </row>
    <row r="413" spans="3:3">
      <c r="C413" s="539"/>
    </row>
    <row r="414" spans="3:3">
      <c r="C414" s="539"/>
    </row>
    <row r="415" spans="3:3">
      <c r="C415" s="539"/>
    </row>
    <row r="416" spans="3:3">
      <c r="C416" s="539"/>
    </row>
    <row r="417" spans="3:3">
      <c r="C417" s="539"/>
    </row>
    <row r="418" spans="3:3">
      <c r="C418" s="539"/>
    </row>
    <row r="419" spans="3:3">
      <c r="C419" s="539"/>
    </row>
    <row r="420" spans="3:3">
      <c r="C420" s="539"/>
    </row>
    <row r="421" spans="3:3">
      <c r="C421" s="539"/>
    </row>
    <row r="422" spans="3:3">
      <c r="C422" s="539"/>
    </row>
    <row r="423" spans="3:3">
      <c r="C423" s="539"/>
    </row>
    <row r="424" spans="3:3">
      <c r="C424" s="539"/>
    </row>
    <row r="425" spans="3:3">
      <c r="C425" s="539"/>
    </row>
    <row r="426" spans="3:3">
      <c r="C426" s="539"/>
    </row>
    <row r="427" spans="3:3">
      <c r="C427" s="539"/>
    </row>
    <row r="428" spans="3:3">
      <c r="C428" s="539"/>
    </row>
    <row r="429" spans="3:3">
      <c r="C429" s="539"/>
    </row>
    <row r="430" spans="3:3">
      <c r="C430" s="539"/>
    </row>
    <row r="431" spans="3:3">
      <c r="C431" s="539"/>
    </row>
    <row r="432" spans="3:3">
      <c r="C432" s="539"/>
    </row>
    <row r="433" spans="3:3">
      <c r="C433" s="539"/>
    </row>
    <row r="434" spans="3:3">
      <c r="C434" s="539"/>
    </row>
    <row r="435" spans="3:3">
      <c r="C435" s="539"/>
    </row>
    <row r="436" spans="3:3">
      <c r="C436" s="539"/>
    </row>
    <row r="437" spans="3:3">
      <c r="C437" s="539"/>
    </row>
    <row r="438" spans="3:3">
      <c r="C438" s="539"/>
    </row>
    <row r="439" spans="3:3">
      <c r="C439" s="539"/>
    </row>
    <row r="440" spans="3:3">
      <c r="C440" s="539"/>
    </row>
    <row r="441" spans="3:3">
      <c r="C441" s="539"/>
    </row>
    <row r="442" spans="3:3">
      <c r="C442" s="539"/>
    </row>
    <row r="443" spans="3:3">
      <c r="C443" s="539"/>
    </row>
    <row r="444" spans="3:3">
      <c r="C444" s="539"/>
    </row>
    <row r="445" spans="3:3">
      <c r="C445" s="539"/>
    </row>
    <row r="446" spans="3:3">
      <c r="C446" s="539"/>
    </row>
    <row r="447" spans="3:3">
      <c r="C447" s="539"/>
    </row>
    <row r="448" spans="3:3">
      <c r="C448" s="539"/>
    </row>
    <row r="449" spans="3:3">
      <c r="C449" s="539"/>
    </row>
    <row r="450" spans="3:3">
      <c r="C450" s="539"/>
    </row>
    <row r="451" spans="3:3">
      <c r="C451" s="539"/>
    </row>
    <row r="452" spans="3:3">
      <c r="C452" s="539"/>
    </row>
    <row r="453" spans="3:3">
      <c r="C453" s="539"/>
    </row>
    <row r="454" spans="3:3">
      <c r="C454" s="539"/>
    </row>
    <row r="455" spans="3:3">
      <c r="C455" s="539"/>
    </row>
    <row r="456" spans="3:3">
      <c r="C456" s="539"/>
    </row>
    <row r="457" spans="3:3">
      <c r="C457" s="539"/>
    </row>
    <row r="458" spans="3:3">
      <c r="C458" s="539"/>
    </row>
    <row r="459" spans="3:3">
      <c r="C459" s="539"/>
    </row>
    <row r="460" spans="3:3">
      <c r="C460" s="539"/>
    </row>
    <row r="461" spans="3:3">
      <c r="C461" s="539"/>
    </row>
    <row r="462" spans="3:3">
      <c r="C462" s="539"/>
    </row>
    <row r="463" spans="3:3">
      <c r="C463" s="539"/>
    </row>
    <row r="464" spans="3:3">
      <c r="C464" s="539"/>
    </row>
    <row r="465" spans="3:3">
      <c r="C465" s="539"/>
    </row>
    <row r="466" spans="3:3">
      <c r="C466" s="539"/>
    </row>
    <row r="467" spans="3:3">
      <c r="C467" s="539"/>
    </row>
    <row r="468" spans="3:3">
      <c r="C468" s="539"/>
    </row>
    <row r="469" spans="3:3">
      <c r="C469" s="539"/>
    </row>
    <row r="470" spans="3:3">
      <c r="C470" s="539"/>
    </row>
    <row r="471" spans="3:3">
      <c r="C471" s="539"/>
    </row>
    <row r="472" spans="3:3">
      <c r="C472" s="539"/>
    </row>
    <row r="473" spans="3:3">
      <c r="C473" s="539"/>
    </row>
    <row r="474" spans="3:3">
      <c r="C474" s="539"/>
    </row>
    <row r="475" spans="3:3">
      <c r="C475" s="539"/>
    </row>
    <row r="476" spans="3:3">
      <c r="C476" s="539"/>
    </row>
    <row r="477" spans="3:3">
      <c r="C477" s="539"/>
    </row>
    <row r="478" spans="3:3">
      <c r="C478" s="539"/>
    </row>
    <row r="479" spans="3:3">
      <c r="C479" s="539"/>
    </row>
    <row r="480" spans="3:3">
      <c r="C480" s="539"/>
    </row>
    <row r="481" spans="3:3">
      <c r="C481" s="539"/>
    </row>
    <row r="482" spans="3:3">
      <c r="C482" s="539"/>
    </row>
    <row r="483" spans="3:3">
      <c r="C483" s="539"/>
    </row>
    <row r="484" spans="3:3">
      <c r="C484" s="539"/>
    </row>
    <row r="485" spans="3:3">
      <c r="C485" s="539"/>
    </row>
    <row r="486" spans="3:3">
      <c r="C486" s="539"/>
    </row>
    <row r="487" spans="3:3">
      <c r="C487" s="539"/>
    </row>
    <row r="488" spans="3:3">
      <c r="C488" s="539"/>
    </row>
    <row r="489" spans="3:3">
      <c r="C489" s="539"/>
    </row>
    <row r="490" spans="3:3">
      <c r="C490" s="539"/>
    </row>
    <row r="491" spans="3:3">
      <c r="C491" s="539"/>
    </row>
    <row r="492" spans="3:3">
      <c r="C492" s="539"/>
    </row>
    <row r="493" spans="3:3">
      <c r="C493" s="539"/>
    </row>
    <row r="494" spans="3:3">
      <c r="C494" s="539"/>
    </row>
    <row r="495" spans="3:3">
      <c r="C495" s="539"/>
    </row>
    <row r="496" spans="3:3">
      <c r="C496" s="539"/>
    </row>
    <row r="497" spans="3:3">
      <c r="C497" s="539"/>
    </row>
    <row r="498" spans="3:3">
      <c r="C498" s="539"/>
    </row>
    <row r="499" spans="3:3">
      <c r="C499" s="539"/>
    </row>
    <row r="500" spans="3:3">
      <c r="C500" s="539"/>
    </row>
    <row r="501" spans="3:3">
      <c r="C501" s="539"/>
    </row>
    <row r="502" spans="3:3">
      <c r="C502" s="539"/>
    </row>
    <row r="503" spans="3:3">
      <c r="C503" s="539"/>
    </row>
    <row r="504" spans="3:3">
      <c r="C504" s="539"/>
    </row>
    <row r="505" spans="3:3">
      <c r="C505" s="539"/>
    </row>
    <row r="506" spans="3:3">
      <c r="C506" s="539"/>
    </row>
  </sheetData>
  <mergeCells count="1">
    <mergeCell ref="A1:A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4:BF524"/>
  <sheetViews>
    <sheetView topLeftCell="A4" zoomScale="60" zoomScaleNormal="60" workbookViewId="0">
      <pane ySplit="1" topLeftCell="A5" activePane="bottomLeft" state="frozen"/>
      <selection pane="bottomLeft" activeCell="H69" sqref="H69"/>
    </sheetView>
  </sheetViews>
  <sheetFormatPr defaultColWidth="9" defaultRowHeight="14.25"/>
  <cols>
    <col min="1" max="1" width="24.5703125" style="523" bestFit="1" customWidth="1"/>
    <col min="2" max="2" width="15" style="523" bestFit="1" customWidth="1"/>
    <col min="3" max="3" width="16.28515625" style="523" bestFit="1" customWidth="1"/>
    <col min="4" max="4" width="15.5703125" style="523" bestFit="1" customWidth="1"/>
    <col min="5" max="5" width="17" style="523" bestFit="1" customWidth="1"/>
    <col min="6" max="6" width="15.5703125" style="523" bestFit="1" customWidth="1"/>
    <col min="7" max="7" width="15.28515625" style="523" bestFit="1" customWidth="1"/>
    <col min="8" max="16384" width="9" style="523"/>
  </cols>
  <sheetData>
    <row r="4" spans="1:7">
      <c r="B4" s="524" t="str">
        <f>'Proxy Price Data'!D1</f>
        <v>ATO</v>
      </c>
      <c r="C4" s="523" t="str">
        <f>'Proxy Price Data'!E1</f>
        <v>NJR</v>
      </c>
      <c r="D4" s="523" t="str">
        <f>'Proxy Price Data'!F1</f>
        <v>NI</v>
      </c>
      <c r="E4" s="523" t="str">
        <f>'Proxy Price Data'!G1</f>
        <v>NWN</v>
      </c>
      <c r="F4" s="523" t="str">
        <f>'Proxy Price Data'!H1</f>
        <v>OGS</v>
      </c>
      <c r="G4" s="523" t="str">
        <f>'Proxy Price Data'!I1</f>
        <v>SR</v>
      </c>
    </row>
    <row r="5" spans="1:7">
      <c r="A5" s="523" t="str">
        <f>IF('Proxy Price Data'!C2="","",'Proxy Price Data'!C2)</f>
        <v>PX_LAST</v>
      </c>
      <c r="B5" s="524" t="str">
        <f>'Proxy Price Data'!D2</f>
        <v>ATO US Equity</v>
      </c>
      <c r="C5" s="523" t="str">
        <f>'Proxy Price Data'!E2</f>
        <v>NJR US Equity</v>
      </c>
      <c r="D5" s="523" t="str">
        <f>'Proxy Price Data'!F2</f>
        <v>NI US Equity</v>
      </c>
      <c r="E5" s="523" t="str">
        <f>'Proxy Price Data'!G2</f>
        <v>NWN US Equity</v>
      </c>
      <c r="F5" s="523" t="str">
        <f>'Proxy Price Data'!H2</f>
        <v>OGS US Equity</v>
      </c>
      <c r="G5" s="523" t="str">
        <f>'Proxy Price Data'!I2</f>
        <v>SR US Equity</v>
      </c>
    </row>
    <row r="6" spans="1:7">
      <c r="A6" s="525">
        <f>IF('Proxy Price Data'!C3="","",'Proxy Price Data'!C3)</f>
        <v>44925</v>
      </c>
      <c r="B6" s="530">
        <f>IF('Proxy Price Data'!D3="","",'Proxy Price Data'!D3)</f>
        <v>112.07</v>
      </c>
      <c r="C6" s="529">
        <f>IF('Proxy Price Data'!E3="","",'Proxy Price Data'!E3)</f>
        <v>49.62</v>
      </c>
      <c r="D6" s="529">
        <f>IF('Proxy Price Data'!F3="","",'Proxy Price Data'!F3)</f>
        <v>27.42</v>
      </c>
      <c r="E6" s="529">
        <f>IF('Proxy Price Data'!G3="","",'Proxy Price Data'!G3)</f>
        <v>47.59</v>
      </c>
      <c r="F6" s="529">
        <f>IF('Proxy Price Data'!H3="","",'Proxy Price Data'!H3)</f>
        <v>75.72</v>
      </c>
      <c r="G6" s="529">
        <f>IF('Proxy Price Data'!I3="","",'Proxy Price Data'!I3)</f>
        <v>68.86</v>
      </c>
    </row>
    <row r="7" spans="1:7">
      <c r="A7" s="525">
        <f>IF('Proxy Price Data'!C4="","",'Proxy Price Data'!C4)</f>
        <v>44924</v>
      </c>
      <c r="B7" s="530">
        <f>IF('Proxy Price Data'!D4="","",'Proxy Price Data'!D4)</f>
        <v>114.49</v>
      </c>
      <c r="C7" s="529">
        <f>IF('Proxy Price Data'!E4="","",'Proxy Price Data'!E4)</f>
        <v>50.01</v>
      </c>
      <c r="D7" s="529">
        <f>IF('Proxy Price Data'!F4="","",'Proxy Price Data'!F4)</f>
        <v>27.84</v>
      </c>
      <c r="E7" s="529">
        <f>IF('Proxy Price Data'!G4="","",'Proxy Price Data'!G4)</f>
        <v>48.27</v>
      </c>
      <c r="F7" s="529">
        <f>IF('Proxy Price Data'!H4="","",'Proxy Price Data'!H4)</f>
        <v>76.739999999999995</v>
      </c>
      <c r="G7" s="529">
        <f>IF('Proxy Price Data'!I4="","",'Proxy Price Data'!I4)</f>
        <v>70.19</v>
      </c>
    </row>
    <row r="8" spans="1:7">
      <c r="A8" s="525">
        <f>IF('Proxy Price Data'!C5="","",'Proxy Price Data'!C5)</f>
        <v>44923</v>
      </c>
      <c r="B8" s="530">
        <f>IF('Proxy Price Data'!D5="","",'Proxy Price Data'!D5)</f>
        <v>115.07</v>
      </c>
      <c r="C8" s="529">
        <f>IF('Proxy Price Data'!E5="","",'Proxy Price Data'!E5)</f>
        <v>49.19</v>
      </c>
      <c r="D8" s="529">
        <f>IF('Proxy Price Data'!F5="","",'Proxy Price Data'!F5)</f>
        <v>27.55</v>
      </c>
      <c r="E8" s="529">
        <f>IF('Proxy Price Data'!G5="","",'Proxy Price Data'!G5)</f>
        <v>47.31</v>
      </c>
      <c r="F8" s="529">
        <f>IF('Proxy Price Data'!H5="","",'Proxy Price Data'!H5)</f>
        <v>75.53</v>
      </c>
      <c r="G8" s="529">
        <f>IF('Proxy Price Data'!I5="","",'Proxy Price Data'!I5)</f>
        <v>69.28</v>
      </c>
    </row>
    <row r="9" spans="1:7">
      <c r="A9" s="525">
        <f>IF('Proxy Price Data'!C6="","",'Proxy Price Data'!C6)</f>
        <v>44922</v>
      </c>
      <c r="B9" s="530">
        <f>IF('Proxy Price Data'!D6="","",'Proxy Price Data'!D6)</f>
        <v>115.58</v>
      </c>
      <c r="C9" s="529">
        <f>IF('Proxy Price Data'!E6="","",'Proxy Price Data'!E6)</f>
        <v>49.53</v>
      </c>
      <c r="D9" s="529">
        <f>IF('Proxy Price Data'!F6="","",'Proxy Price Data'!F6)</f>
        <v>27.8</v>
      </c>
      <c r="E9" s="529">
        <f>IF('Proxy Price Data'!G6="","",'Proxy Price Data'!G6)</f>
        <v>47.88</v>
      </c>
      <c r="F9" s="529">
        <f>IF('Proxy Price Data'!H6="","",'Proxy Price Data'!H6)</f>
        <v>75.92</v>
      </c>
      <c r="G9" s="529">
        <f>IF('Proxy Price Data'!I6="","",'Proxy Price Data'!I6)</f>
        <v>69.930000000000007</v>
      </c>
    </row>
    <row r="10" spans="1:7">
      <c r="A10" s="525">
        <f>IF('Proxy Price Data'!C7="","",'Proxy Price Data'!C7)</f>
        <v>44918</v>
      </c>
      <c r="B10" s="530">
        <f>IF('Proxy Price Data'!D7="","",'Proxy Price Data'!D7)</f>
        <v>115.1</v>
      </c>
      <c r="C10" s="529">
        <f>IF('Proxy Price Data'!E7="","",'Proxy Price Data'!E7)</f>
        <v>49.64</v>
      </c>
      <c r="D10" s="529">
        <f>IF('Proxy Price Data'!F7="","",'Proxy Price Data'!F7)</f>
        <v>27.71</v>
      </c>
      <c r="E10" s="529">
        <f>IF('Proxy Price Data'!G7="","",'Proxy Price Data'!G7)</f>
        <v>47.72</v>
      </c>
      <c r="F10" s="529">
        <f>IF('Proxy Price Data'!H7="","",'Proxy Price Data'!H7)</f>
        <v>75.540000000000006</v>
      </c>
      <c r="G10" s="529">
        <f>IF('Proxy Price Data'!I7="","",'Proxy Price Data'!I7)</f>
        <v>69.7</v>
      </c>
    </row>
    <row r="11" spans="1:7">
      <c r="A11" s="525">
        <f>IF('Proxy Price Data'!C8="","",'Proxy Price Data'!C8)</f>
        <v>44917</v>
      </c>
      <c r="B11" s="530">
        <f>IF('Proxy Price Data'!D8="","",'Proxy Price Data'!D8)</f>
        <v>114.03</v>
      </c>
      <c r="C11" s="529">
        <f>IF('Proxy Price Data'!E8="","",'Proxy Price Data'!E8)</f>
        <v>48.8</v>
      </c>
      <c r="D11" s="529">
        <f>IF('Proxy Price Data'!F8="","",'Proxy Price Data'!F8)</f>
        <v>27.42</v>
      </c>
      <c r="E11" s="529">
        <f>IF('Proxy Price Data'!G8="","",'Proxy Price Data'!G8)</f>
        <v>46.75</v>
      </c>
      <c r="F11" s="529">
        <f>IF('Proxy Price Data'!H8="","",'Proxy Price Data'!H8)</f>
        <v>74.92</v>
      </c>
      <c r="G11" s="529">
        <f>IF('Proxy Price Data'!I8="","",'Proxy Price Data'!I8)</f>
        <v>68.47</v>
      </c>
    </row>
    <row r="12" spans="1:7">
      <c r="A12" s="525">
        <f>IF('Proxy Price Data'!C9="","",'Proxy Price Data'!C9)</f>
        <v>44916</v>
      </c>
      <c r="B12" s="530">
        <f>IF('Proxy Price Data'!D9="","",'Proxy Price Data'!D9)</f>
        <v>114.58</v>
      </c>
      <c r="C12" s="529">
        <f>IF('Proxy Price Data'!E9="","",'Proxy Price Data'!E9)</f>
        <v>49.25</v>
      </c>
      <c r="D12" s="529">
        <f>IF('Proxy Price Data'!F9="","",'Proxy Price Data'!F9)</f>
        <v>27.55</v>
      </c>
      <c r="E12" s="529">
        <f>IF('Proxy Price Data'!G9="","",'Proxy Price Data'!G9)</f>
        <v>47.34</v>
      </c>
      <c r="F12" s="529">
        <f>IF('Proxy Price Data'!H9="","",'Proxy Price Data'!H9)</f>
        <v>75.48</v>
      </c>
      <c r="G12" s="529">
        <f>IF('Proxy Price Data'!I9="","",'Proxy Price Data'!I9)</f>
        <v>68.34</v>
      </c>
    </row>
    <row r="13" spans="1:7">
      <c r="A13" s="525">
        <f>IF('Proxy Price Data'!C10="","",'Proxy Price Data'!C10)</f>
        <v>44915</v>
      </c>
      <c r="B13" s="530">
        <f>IF('Proxy Price Data'!D10="","",'Proxy Price Data'!D10)</f>
        <v>113.07</v>
      </c>
      <c r="C13" s="529">
        <f>IF('Proxy Price Data'!E10="","",'Proxy Price Data'!E10)</f>
        <v>48.65</v>
      </c>
      <c r="D13" s="529">
        <f>IF('Proxy Price Data'!F10="","",'Proxy Price Data'!F10)</f>
        <v>27.07</v>
      </c>
      <c r="E13" s="529">
        <f>IF('Proxy Price Data'!G10="","",'Proxy Price Data'!G10)</f>
        <v>47.21</v>
      </c>
      <c r="F13" s="529">
        <f>IF('Proxy Price Data'!H10="","",'Proxy Price Data'!H10)</f>
        <v>75.040000000000006</v>
      </c>
      <c r="G13" s="529">
        <f>IF('Proxy Price Data'!I10="","",'Proxy Price Data'!I10)</f>
        <v>66.56</v>
      </c>
    </row>
    <row r="14" spans="1:7">
      <c r="A14" s="525">
        <f>IF('Proxy Price Data'!C11="","",'Proxy Price Data'!C11)</f>
        <v>44914</v>
      </c>
      <c r="B14" s="530">
        <f>IF('Proxy Price Data'!D11="","",'Proxy Price Data'!D11)</f>
        <v>113.48</v>
      </c>
      <c r="C14" s="529">
        <f>IF('Proxy Price Data'!E11="","",'Proxy Price Data'!E11)</f>
        <v>48.52</v>
      </c>
      <c r="D14" s="529">
        <f>IF('Proxy Price Data'!F11="","",'Proxy Price Data'!F11)</f>
        <v>27.05</v>
      </c>
      <c r="E14" s="529">
        <f>IF('Proxy Price Data'!G11="","",'Proxy Price Data'!G11)</f>
        <v>46.83</v>
      </c>
      <c r="F14" s="529">
        <f>IF('Proxy Price Data'!H11="","",'Proxy Price Data'!H11)</f>
        <v>74.69</v>
      </c>
      <c r="G14" s="529">
        <f>IF('Proxy Price Data'!I11="","",'Proxy Price Data'!I11)</f>
        <v>66.400000000000006</v>
      </c>
    </row>
    <row r="15" spans="1:7">
      <c r="A15" s="525">
        <f>IF('Proxy Price Data'!C12="","",'Proxy Price Data'!C12)</f>
        <v>44911</v>
      </c>
      <c r="B15" s="530">
        <f>IF('Proxy Price Data'!D12="","",'Proxy Price Data'!D12)</f>
        <v>114.77</v>
      </c>
      <c r="C15" s="529">
        <f>IF('Proxy Price Data'!E12="","",'Proxy Price Data'!E12)</f>
        <v>48.57</v>
      </c>
      <c r="D15" s="529">
        <f>IF('Proxy Price Data'!F12="","",'Proxy Price Data'!F12)</f>
        <v>27.19</v>
      </c>
      <c r="E15" s="529">
        <f>IF('Proxy Price Data'!G12="","",'Proxy Price Data'!G12)</f>
        <v>46.34</v>
      </c>
      <c r="F15" s="529">
        <f>IF('Proxy Price Data'!H12="","",'Proxy Price Data'!H12)</f>
        <v>74.319999999999993</v>
      </c>
      <c r="G15" s="529">
        <f>IF('Proxy Price Data'!I12="","",'Proxy Price Data'!I12)</f>
        <v>65.8</v>
      </c>
    </row>
    <row r="16" spans="1:7">
      <c r="A16" s="525">
        <f>IF('Proxy Price Data'!C13="","",'Proxy Price Data'!C13)</f>
        <v>44910</v>
      </c>
      <c r="B16" s="530">
        <f>IF('Proxy Price Data'!D13="","",'Proxy Price Data'!D13)</f>
        <v>116.86</v>
      </c>
      <c r="C16" s="529">
        <f>IF('Proxy Price Data'!E13="","",'Proxy Price Data'!E13)</f>
        <v>49.11</v>
      </c>
      <c r="D16" s="529">
        <f>IF('Proxy Price Data'!F13="","",'Proxy Price Data'!F13)</f>
        <v>27.44</v>
      </c>
      <c r="E16" s="529">
        <f>IF('Proxy Price Data'!G13="","",'Proxy Price Data'!G13)</f>
        <v>46.91</v>
      </c>
      <c r="F16" s="529">
        <f>IF('Proxy Price Data'!H13="","",'Proxy Price Data'!H13)</f>
        <v>76.239999999999995</v>
      </c>
      <c r="G16" s="529">
        <f>IF('Proxy Price Data'!I13="","",'Proxy Price Data'!I13)</f>
        <v>66.87</v>
      </c>
    </row>
    <row r="17" spans="1:7">
      <c r="A17" s="525">
        <f>IF('Proxy Price Data'!C14="","",'Proxy Price Data'!C14)</f>
        <v>44909</v>
      </c>
      <c r="B17" s="530">
        <f>IF('Proxy Price Data'!D14="","",'Proxy Price Data'!D14)</f>
        <v>118.34</v>
      </c>
      <c r="C17" s="529">
        <f>IF('Proxy Price Data'!E14="","",'Proxy Price Data'!E14)</f>
        <v>49.88</v>
      </c>
      <c r="D17" s="529">
        <f>IF('Proxy Price Data'!F14="","",'Proxy Price Data'!F14)</f>
        <v>27.82</v>
      </c>
      <c r="E17" s="529">
        <f>IF('Proxy Price Data'!G14="","",'Proxy Price Data'!G14)</f>
        <v>47.33</v>
      </c>
      <c r="F17" s="529">
        <f>IF('Proxy Price Data'!H14="","",'Proxy Price Data'!H14)</f>
        <v>78.88</v>
      </c>
      <c r="G17" s="529">
        <f>IF('Proxy Price Data'!I14="","",'Proxy Price Data'!I14)</f>
        <v>67.849999999999994</v>
      </c>
    </row>
    <row r="18" spans="1:7">
      <c r="A18" s="525">
        <f>IF('Proxy Price Data'!C15="","",'Proxy Price Data'!C15)</f>
        <v>44908</v>
      </c>
      <c r="B18" s="530">
        <f>IF('Proxy Price Data'!D15="","",'Proxy Price Data'!D15)</f>
        <v>118.53</v>
      </c>
      <c r="C18" s="529">
        <f>IF('Proxy Price Data'!E15="","",'Proxy Price Data'!E15)</f>
        <v>49.72</v>
      </c>
      <c r="D18" s="529">
        <f>IF('Proxy Price Data'!F15="","",'Proxy Price Data'!F15)</f>
        <v>27.93</v>
      </c>
      <c r="E18" s="529">
        <f>IF('Proxy Price Data'!G15="","",'Proxy Price Data'!G15)</f>
        <v>47.88</v>
      </c>
      <c r="F18" s="529">
        <f>IF('Proxy Price Data'!H15="","",'Proxy Price Data'!H15)</f>
        <v>78.33</v>
      </c>
      <c r="G18" s="529">
        <f>IF('Proxy Price Data'!I15="","",'Proxy Price Data'!I15)</f>
        <v>68</v>
      </c>
    </row>
    <row r="19" spans="1:7">
      <c r="A19" s="525">
        <f>IF('Proxy Price Data'!C16="","",'Proxy Price Data'!C16)</f>
        <v>44907</v>
      </c>
      <c r="B19" s="530">
        <f>IF('Proxy Price Data'!D16="","",'Proxy Price Data'!D16)</f>
        <v>119</v>
      </c>
      <c r="C19" s="529">
        <f>IF('Proxy Price Data'!E16="","",'Proxy Price Data'!E16)</f>
        <v>50.71</v>
      </c>
      <c r="D19" s="529">
        <f>IF('Proxy Price Data'!F16="","",'Proxy Price Data'!F16)</f>
        <v>28.08</v>
      </c>
      <c r="E19" s="529">
        <f>IF('Proxy Price Data'!G16="","",'Proxy Price Data'!G16)</f>
        <v>48.36</v>
      </c>
      <c r="F19" s="529">
        <f>IF('Proxy Price Data'!H16="","",'Proxy Price Data'!H16)</f>
        <v>78.790000000000006</v>
      </c>
      <c r="G19" s="529">
        <f>IF('Proxy Price Data'!I16="","",'Proxy Price Data'!I16)</f>
        <v>68.42</v>
      </c>
    </row>
    <row r="20" spans="1:7">
      <c r="A20" s="525">
        <f>IF('Proxy Price Data'!C17="","",'Proxy Price Data'!C17)</f>
        <v>44904</v>
      </c>
      <c r="B20" s="530">
        <f>IF('Proxy Price Data'!D17="","",'Proxy Price Data'!D17)</f>
        <v>117.67</v>
      </c>
      <c r="C20" s="529">
        <f>IF('Proxy Price Data'!E17="","",'Proxy Price Data'!E17)</f>
        <v>49.91</v>
      </c>
      <c r="D20" s="529">
        <f>IF('Proxy Price Data'!F17="","",'Proxy Price Data'!F17)</f>
        <v>27.39</v>
      </c>
      <c r="E20" s="529">
        <f>IF('Proxy Price Data'!G17="","",'Proxy Price Data'!G17)</f>
        <v>47.97</v>
      </c>
      <c r="F20" s="529">
        <f>IF('Proxy Price Data'!H17="","",'Proxy Price Data'!H17)</f>
        <v>77.180000000000007</v>
      </c>
      <c r="G20" s="529">
        <f>IF('Proxy Price Data'!I17="","",'Proxy Price Data'!I17)</f>
        <v>67.7</v>
      </c>
    </row>
    <row r="21" spans="1:7">
      <c r="A21" s="525">
        <f>IF('Proxy Price Data'!C18="","",'Proxy Price Data'!C18)</f>
        <v>44903</v>
      </c>
      <c r="B21" s="530">
        <f>IF('Proxy Price Data'!D18="","",'Proxy Price Data'!D18)</f>
        <v>117.5</v>
      </c>
      <c r="C21" s="529">
        <f>IF('Proxy Price Data'!E18="","",'Proxy Price Data'!E18)</f>
        <v>49.85</v>
      </c>
      <c r="D21" s="529">
        <f>IF('Proxy Price Data'!F18="","",'Proxy Price Data'!F18)</f>
        <v>27.77</v>
      </c>
      <c r="E21" s="529">
        <f>IF('Proxy Price Data'!G18="","",'Proxy Price Data'!G18)</f>
        <v>47.82</v>
      </c>
      <c r="F21" s="529">
        <f>IF('Proxy Price Data'!H18="","",'Proxy Price Data'!H18)</f>
        <v>77.069999999999993</v>
      </c>
      <c r="G21" s="529">
        <f>IF('Proxy Price Data'!I18="","",'Proxy Price Data'!I18)</f>
        <v>68.81</v>
      </c>
    </row>
    <row r="22" spans="1:7">
      <c r="A22" s="525">
        <f>IF('Proxy Price Data'!C19="","",'Proxy Price Data'!C19)</f>
        <v>44902</v>
      </c>
      <c r="B22" s="530">
        <f>IF('Proxy Price Data'!D19="","",'Proxy Price Data'!D19)</f>
        <v>117.41</v>
      </c>
      <c r="C22" s="529">
        <f>IF('Proxy Price Data'!E19="","",'Proxy Price Data'!E19)</f>
        <v>49.86</v>
      </c>
      <c r="D22" s="529">
        <f>IF('Proxy Price Data'!F19="","",'Proxy Price Data'!F19)</f>
        <v>27.67</v>
      </c>
      <c r="E22" s="529">
        <f>IF('Proxy Price Data'!G19="","",'Proxy Price Data'!G19)</f>
        <v>48.21</v>
      </c>
      <c r="F22" s="529">
        <f>IF('Proxy Price Data'!H19="","",'Proxy Price Data'!H19)</f>
        <v>76.2</v>
      </c>
      <c r="G22" s="529">
        <f>IF('Proxy Price Data'!I19="","",'Proxy Price Data'!I19)</f>
        <v>68.790000000000006</v>
      </c>
    </row>
    <row r="23" spans="1:7">
      <c r="A23" s="525">
        <f>IF('Proxy Price Data'!C20="","",'Proxy Price Data'!C20)</f>
        <v>44901</v>
      </c>
      <c r="B23" s="530">
        <f>IF('Proxy Price Data'!D20="","",'Proxy Price Data'!D20)</f>
        <v>117.44</v>
      </c>
      <c r="C23" s="529">
        <f>IF('Proxy Price Data'!E20="","",'Proxy Price Data'!E20)</f>
        <v>49.6</v>
      </c>
      <c r="D23" s="529">
        <f>IF('Proxy Price Data'!F20="","",'Proxy Price Data'!F20)</f>
        <v>27.84</v>
      </c>
      <c r="E23" s="529">
        <f>IF('Proxy Price Data'!G20="","",'Proxy Price Data'!G20)</f>
        <v>47.54</v>
      </c>
      <c r="F23" s="529">
        <f>IF('Proxy Price Data'!H20="","",'Proxy Price Data'!H20)</f>
        <v>76.31</v>
      </c>
      <c r="G23" s="529">
        <f>IF('Proxy Price Data'!I20="","",'Proxy Price Data'!I20)</f>
        <v>67.52</v>
      </c>
    </row>
    <row r="24" spans="1:7">
      <c r="A24" s="525">
        <f>IF('Proxy Price Data'!C21="","",'Proxy Price Data'!C21)</f>
        <v>44900</v>
      </c>
      <c r="B24" s="530">
        <f>IF('Proxy Price Data'!D21="","",'Proxy Price Data'!D21)</f>
        <v>115.86</v>
      </c>
      <c r="C24" s="529">
        <f>IF('Proxy Price Data'!E21="","",'Proxy Price Data'!E21)</f>
        <v>48.72</v>
      </c>
      <c r="D24" s="529">
        <f>IF('Proxy Price Data'!F21="","",'Proxy Price Data'!F21)</f>
        <v>27.51</v>
      </c>
      <c r="E24" s="529">
        <f>IF('Proxy Price Data'!G21="","",'Proxy Price Data'!G21)</f>
        <v>47.33</v>
      </c>
      <c r="F24" s="529">
        <f>IF('Proxy Price Data'!H21="","",'Proxy Price Data'!H21)</f>
        <v>73.31</v>
      </c>
      <c r="G24" s="529">
        <f>IF('Proxy Price Data'!I21="","",'Proxy Price Data'!I21)</f>
        <v>65.13</v>
      </c>
    </row>
    <row r="25" spans="1:7">
      <c r="A25" s="525">
        <f>IF('Proxy Price Data'!C22="","",'Proxy Price Data'!C22)</f>
        <v>44897</v>
      </c>
      <c r="B25" s="530">
        <f>IF('Proxy Price Data'!D22="","",'Proxy Price Data'!D22)</f>
        <v>116.54</v>
      </c>
      <c r="C25" s="529">
        <f>IF('Proxy Price Data'!E22="","",'Proxy Price Data'!E22)</f>
        <v>48.77</v>
      </c>
      <c r="D25" s="529">
        <f>IF('Proxy Price Data'!F22="","",'Proxy Price Data'!F22)</f>
        <v>27.57</v>
      </c>
      <c r="E25" s="529">
        <f>IF('Proxy Price Data'!G22="","",'Proxy Price Data'!G22)</f>
        <v>46.68</v>
      </c>
      <c r="F25" s="529">
        <f>IF('Proxy Price Data'!H22="","",'Proxy Price Data'!H22)</f>
        <v>72.84</v>
      </c>
      <c r="G25" s="529">
        <f>IF('Proxy Price Data'!I22="","",'Proxy Price Data'!I22)</f>
        <v>68.739999999999995</v>
      </c>
    </row>
    <row r="26" spans="1:7">
      <c r="A26" s="525">
        <f>IF('Proxy Price Data'!C23="","",'Proxy Price Data'!C23)</f>
        <v>44896</v>
      </c>
      <c r="B26" s="530">
        <f>IF('Proxy Price Data'!D23="","",'Proxy Price Data'!D23)</f>
        <v>117.49</v>
      </c>
      <c r="C26" s="529">
        <f>IF('Proxy Price Data'!E23="","",'Proxy Price Data'!E23)</f>
        <v>48.56</v>
      </c>
      <c r="D26" s="529">
        <f>IF('Proxy Price Data'!F23="","",'Proxy Price Data'!F23)</f>
        <v>27.75</v>
      </c>
      <c r="E26" s="529">
        <f>IF('Proxy Price Data'!G23="","",'Proxy Price Data'!G23)</f>
        <v>47.65</v>
      </c>
      <c r="F26" s="529">
        <f>IF('Proxy Price Data'!H23="","",'Proxy Price Data'!H23)</f>
        <v>71.61</v>
      </c>
      <c r="G26" s="529">
        <f>IF('Proxy Price Data'!I23="","",'Proxy Price Data'!I23)</f>
        <v>71.19</v>
      </c>
    </row>
    <row r="27" spans="1:7">
      <c r="A27" s="525">
        <f>IF('Proxy Price Data'!C24="","",'Proxy Price Data'!C24)</f>
        <v>44895</v>
      </c>
      <c r="B27" s="530">
        <f>IF('Proxy Price Data'!D24="","",'Proxy Price Data'!D24)</f>
        <v>120.2</v>
      </c>
      <c r="C27" s="529">
        <f>IF('Proxy Price Data'!E24="","",'Proxy Price Data'!E24)</f>
        <v>49.75</v>
      </c>
      <c r="D27" s="529">
        <f>IF('Proxy Price Data'!F24="","",'Proxy Price Data'!F24)</f>
        <v>27.94</v>
      </c>
      <c r="E27" s="529">
        <f>IF('Proxy Price Data'!G24="","",'Proxy Price Data'!G24)</f>
        <v>50.11</v>
      </c>
      <c r="F27" s="529">
        <f>IF('Proxy Price Data'!H24="","",'Proxy Price Data'!H24)</f>
        <v>86.95</v>
      </c>
      <c r="G27" s="529">
        <f>IF('Proxy Price Data'!I24="","",'Proxy Price Data'!I24)</f>
        <v>74.099999999999994</v>
      </c>
    </row>
    <row r="28" spans="1:7">
      <c r="A28" s="525">
        <f>IF('Proxy Price Data'!C25="","",'Proxy Price Data'!C25)</f>
        <v>44894</v>
      </c>
      <c r="B28" s="530">
        <f>IF('Proxy Price Data'!D25="","",'Proxy Price Data'!D25)</f>
        <v>118.64</v>
      </c>
      <c r="C28" s="529">
        <f>IF('Proxy Price Data'!E25="","",'Proxy Price Data'!E25)</f>
        <v>48.81</v>
      </c>
      <c r="D28" s="529">
        <f>IF('Proxy Price Data'!F25="","",'Proxy Price Data'!F25)</f>
        <v>27.23</v>
      </c>
      <c r="E28" s="529">
        <f>IF('Proxy Price Data'!G25="","",'Proxy Price Data'!G25)</f>
        <v>49.41</v>
      </c>
      <c r="F28" s="529">
        <f>IF('Proxy Price Data'!H25="","",'Proxy Price Data'!H25)</f>
        <v>85.15</v>
      </c>
      <c r="G28" s="529">
        <f>IF('Proxy Price Data'!I25="","",'Proxy Price Data'!I25)</f>
        <v>73.12</v>
      </c>
    </row>
    <row r="29" spans="1:7">
      <c r="A29" s="525">
        <f>IF('Proxy Price Data'!C26="","",'Proxy Price Data'!C26)</f>
        <v>44893</v>
      </c>
      <c r="B29" s="530">
        <f>IF('Proxy Price Data'!D26="","",'Proxy Price Data'!D26)</f>
        <v>118.07</v>
      </c>
      <c r="C29" s="529">
        <f>IF('Proxy Price Data'!E26="","",'Proxy Price Data'!E26)</f>
        <v>48.82</v>
      </c>
      <c r="D29" s="529">
        <f>IF('Proxy Price Data'!F26="","",'Proxy Price Data'!F26)</f>
        <v>27.22</v>
      </c>
      <c r="E29" s="529">
        <f>IF('Proxy Price Data'!G26="","",'Proxy Price Data'!G26)</f>
        <v>49.32</v>
      </c>
      <c r="F29" s="529">
        <f>IF('Proxy Price Data'!H26="","",'Proxy Price Data'!H26)</f>
        <v>86.55</v>
      </c>
      <c r="G29" s="529">
        <f>IF('Proxy Price Data'!I26="","",'Proxy Price Data'!I26)</f>
        <v>73.67</v>
      </c>
    </row>
    <row r="30" spans="1:7">
      <c r="A30" s="525">
        <f>IF('Proxy Price Data'!C27="","",'Proxy Price Data'!C27)</f>
        <v>44890</v>
      </c>
      <c r="B30" s="530">
        <f>IF('Proxy Price Data'!D27="","",'Proxy Price Data'!D27)</f>
        <v>119.16</v>
      </c>
      <c r="C30" s="529">
        <f>IF('Proxy Price Data'!E27="","",'Proxy Price Data'!E27)</f>
        <v>49.64</v>
      </c>
      <c r="D30" s="529">
        <f>IF('Proxy Price Data'!F27="","",'Proxy Price Data'!F27)</f>
        <v>27.29</v>
      </c>
      <c r="E30" s="529">
        <f>IF('Proxy Price Data'!G27="","",'Proxy Price Data'!G27)</f>
        <v>49.59</v>
      </c>
      <c r="F30" s="529">
        <f>IF('Proxy Price Data'!H27="","",'Proxy Price Data'!H27)</f>
        <v>88.33</v>
      </c>
      <c r="G30" s="529">
        <f>IF('Proxy Price Data'!I27="","",'Proxy Price Data'!I27)</f>
        <v>74.67</v>
      </c>
    </row>
    <row r="31" spans="1:7">
      <c r="A31" s="525">
        <f>IF('Proxy Price Data'!C28="","",'Proxy Price Data'!C28)</f>
        <v>44888</v>
      </c>
      <c r="B31" s="530">
        <f>IF('Proxy Price Data'!D28="","",'Proxy Price Data'!D28)</f>
        <v>118.58</v>
      </c>
      <c r="C31" s="529">
        <f>IF('Proxy Price Data'!E28="","",'Proxy Price Data'!E28)</f>
        <v>49.25</v>
      </c>
      <c r="D31" s="529">
        <f>IF('Proxy Price Data'!F28="","",'Proxy Price Data'!F28)</f>
        <v>27.18</v>
      </c>
      <c r="E31" s="529">
        <f>IF('Proxy Price Data'!G28="","",'Proxy Price Data'!G28)</f>
        <v>49.61</v>
      </c>
      <c r="F31" s="529">
        <f>IF('Proxy Price Data'!H28="","",'Proxy Price Data'!H28)</f>
        <v>87.54</v>
      </c>
      <c r="G31" s="529">
        <f>IF('Proxy Price Data'!I28="","",'Proxy Price Data'!I28)</f>
        <v>73.66</v>
      </c>
    </row>
    <row r="32" spans="1:7">
      <c r="A32" s="525">
        <f>IF('Proxy Price Data'!C29="","",'Proxy Price Data'!C29)</f>
        <v>44887</v>
      </c>
      <c r="B32" s="530">
        <f>IF('Proxy Price Data'!D29="","",'Proxy Price Data'!D29)</f>
        <v>117.51</v>
      </c>
      <c r="C32" s="529">
        <f>IF('Proxy Price Data'!E29="","",'Proxy Price Data'!E29)</f>
        <v>49.89</v>
      </c>
      <c r="D32" s="529">
        <f>IF('Proxy Price Data'!F29="","",'Proxy Price Data'!F29)</f>
        <v>26.8</v>
      </c>
      <c r="E32" s="529">
        <f>IF('Proxy Price Data'!G29="","",'Proxy Price Data'!G29)</f>
        <v>49.74</v>
      </c>
      <c r="F32" s="529">
        <f>IF('Proxy Price Data'!H29="","",'Proxy Price Data'!H29)</f>
        <v>87.15</v>
      </c>
      <c r="G32" s="529">
        <f>IF('Proxy Price Data'!I29="","",'Proxy Price Data'!I29)</f>
        <v>73.290000000000006</v>
      </c>
    </row>
    <row r="33" spans="1:7">
      <c r="A33" s="525">
        <f>IF('Proxy Price Data'!C30="","",'Proxy Price Data'!C30)</f>
        <v>44886</v>
      </c>
      <c r="B33" s="530">
        <f>IF('Proxy Price Data'!D30="","",'Proxy Price Data'!D30)</f>
        <v>115.79</v>
      </c>
      <c r="C33" s="529">
        <f>IF('Proxy Price Data'!E30="","",'Proxy Price Data'!E30)</f>
        <v>48.93</v>
      </c>
      <c r="D33" s="529">
        <f>IF('Proxy Price Data'!F30="","",'Proxy Price Data'!F30)</f>
        <v>26.55</v>
      </c>
      <c r="E33" s="529">
        <f>IF('Proxy Price Data'!G30="","",'Proxy Price Data'!G30)</f>
        <v>49.32</v>
      </c>
      <c r="F33" s="529">
        <f>IF('Proxy Price Data'!H30="","",'Proxy Price Data'!H30)</f>
        <v>85.83</v>
      </c>
      <c r="G33" s="529">
        <f>IF('Proxy Price Data'!I30="","",'Proxy Price Data'!I30)</f>
        <v>72.45</v>
      </c>
    </row>
    <row r="34" spans="1:7">
      <c r="A34" s="525">
        <f>IF('Proxy Price Data'!C31="","",'Proxy Price Data'!C31)</f>
        <v>44883</v>
      </c>
      <c r="B34" s="530">
        <f>IF('Proxy Price Data'!D31="","",'Proxy Price Data'!D31)</f>
        <v>115.05</v>
      </c>
      <c r="C34" s="529">
        <f>IF('Proxy Price Data'!E31="","",'Proxy Price Data'!E31)</f>
        <v>47.95</v>
      </c>
      <c r="D34" s="529">
        <f>IF('Proxy Price Data'!F31="","",'Proxy Price Data'!F31)</f>
        <v>26.32</v>
      </c>
      <c r="E34" s="529">
        <f>IF('Proxy Price Data'!G31="","",'Proxy Price Data'!G31)</f>
        <v>48.69</v>
      </c>
      <c r="F34" s="529">
        <f>IF('Proxy Price Data'!H31="","",'Proxy Price Data'!H31)</f>
        <v>84.87</v>
      </c>
      <c r="G34" s="529">
        <f>IF('Proxy Price Data'!I31="","",'Proxy Price Data'!I31)</f>
        <v>70.86</v>
      </c>
    </row>
    <row r="35" spans="1:7">
      <c r="A35" s="525">
        <f>IF('Proxy Price Data'!C32="","",'Proxy Price Data'!C32)</f>
        <v>44882</v>
      </c>
      <c r="B35" s="530">
        <f>IF('Proxy Price Data'!D32="","",'Proxy Price Data'!D32)</f>
        <v>111.16</v>
      </c>
      <c r="C35" s="529">
        <f>IF('Proxy Price Data'!E32="","",'Proxy Price Data'!E32)</f>
        <v>45.58</v>
      </c>
      <c r="D35" s="529">
        <f>IF('Proxy Price Data'!F32="","",'Proxy Price Data'!F32)</f>
        <v>25.56</v>
      </c>
      <c r="E35" s="529">
        <f>IF('Proxy Price Data'!G32="","",'Proxy Price Data'!G32)</f>
        <v>47.4</v>
      </c>
      <c r="F35" s="529">
        <f>IF('Proxy Price Data'!H32="","",'Proxy Price Data'!H32)</f>
        <v>82.07</v>
      </c>
      <c r="G35" s="529">
        <f>IF('Proxy Price Data'!I32="","",'Proxy Price Data'!I32)</f>
        <v>68.599999999999994</v>
      </c>
    </row>
    <row r="36" spans="1:7">
      <c r="A36" s="525">
        <f>IF('Proxy Price Data'!C33="","",'Proxy Price Data'!C33)</f>
        <v>44881</v>
      </c>
      <c r="B36" s="530">
        <f>IF('Proxy Price Data'!D33="","",'Proxy Price Data'!D33)</f>
        <v>112.3</v>
      </c>
      <c r="C36" s="529">
        <f>IF('Proxy Price Data'!E33="","",'Proxy Price Data'!E33)</f>
        <v>44.82</v>
      </c>
      <c r="D36" s="529">
        <f>IF('Proxy Price Data'!F33="","",'Proxy Price Data'!F33)</f>
        <v>26</v>
      </c>
      <c r="E36" s="529">
        <f>IF('Proxy Price Data'!G33="","",'Proxy Price Data'!G33)</f>
        <v>47.87</v>
      </c>
      <c r="F36" s="529">
        <f>IF('Proxy Price Data'!H33="","",'Proxy Price Data'!H33)</f>
        <v>81.53</v>
      </c>
      <c r="G36" s="529">
        <f>IF('Proxy Price Data'!I33="","",'Proxy Price Data'!I33)</f>
        <v>67.760000000000005</v>
      </c>
    </row>
    <row r="37" spans="1:7">
      <c r="A37" s="525">
        <f>IF('Proxy Price Data'!C34="","",'Proxy Price Data'!C34)</f>
        <v>44880</v>
      </c>
      <c r="B37" s="530">
        <f>IF('Proxy Price Data'!D34="","",'Proxy Price Data'!D34)</f>
        <v>111.58</v>
      </c>
      <c r="C37" s="529">
        <f>IF('Proxy Price Data'!E34="","",'Proxy Price Data'!E34)</f>
        <v>45.11</v>
      </c>
      <c r="D37" s="529">
        <f>IF('Proxy Price Data'!F34="","",'Proxy Price Data'!F34)</f>
        <v>25.68</v>
      </c>
      <c r="E37" s="529">
        <f>IF('Proxy Price Data'!G34="","",'Proxy Price Data'!G34)</f>
        <v>47.91</v>
      </c>
      <c r="F37" s="529">
        <f>IF('Proxy Price Data'!H34="","",'Proxy Price Data'!H34)</f>
        <v>81.91</v>
      </c>
      <c r="G37" s="529">
        <f>IF('Proxy Price Data'!I34="","",'Proxy Price Data'!I34)</f>
        <v>70.010000000000005</v>
      </c>
    </row>
    <row r="38" spans="1:7">
      <c r="A38" s="525">
        <f>IF('Proxy Price Data'!C35="","",'Proxy Price Data'!C35)</f>
        <v>44879</v>
      </c>
      <c r="B38" s="530">
        <f>IF('Proxy Price Data'!D35="","",'Proxy Price Data'!D35)</f>
        <v>110.53</v>
      </c>
      <c r="C38" s="529">
        <f>IF('Proxy Price Data'!E35="","",'Proxy Price Data'!E35)</f>
        <v>44.45</v>
      </c>
      <c r="D38" s="529">
        <f>IF('Proxy Price Data'!F35="","",'Proxy Price Data'!F35)</f>
        <v>25.76</v>
      </c>
      <c r="E38" s="529">
        <f>IF('Proxy Price Data'!G35="","",'Proxy Price Data'!G35)</f>
        <v>47.49</v>
      </c>
      <c r="F38" s="529">
        <f>IF('Proxy Price Data'!H35="","",'Proxy Price Data'!H35)</f>
        <v>81.47</v>
      </c>
      <c r="G38" s="529">
        <f>IF('Proxy Price Data'!I35="","",'Proxy Price Data'!I35)</f>
        <v>69.55</v>
      </c>
    </row>
    <row r="39" spans="1:7">
      <c r="A39" s="525">
        <f>IF('Proxy Price Data'!C36="","",'Proxy Price Data'!C36)</f>
        <v>44876</v>
      </c>
      <c r="B39" s="530">
        <f>IF('Proxy Price Data'!D36="","",'Proxy Price Data'!D36)</f>
        <v>110.69</v>
      </c>
      <c r="C39" s="529">
        <f>IF('Proxy Price Data'!E36="","",'Proxy Price Data'!E36)</f>
        <v>45.13</v>
      </c>
      <c r="D39" s="529">
        <f>IF('Proxy Price Data'!F36="","",'Proxy Price Data'!F36)</f>
        <v>25.81</v>
      </c>
      <c r="E39" s="529">
        <f>IF('Proxy Price Data'!G36="","",'Proxy Price Data'!G36)</f>
        <v>47.19</v>
      </c>
      <c r="F39" s="529">
        <f>IF('Proxy Price Data'!H36="","",'Proxy Price Data'!H36)</f>
        <v>81.36</v>
      </c>
      <c r="G39" s="529">
        <f>IF('Proxy Price Data'!I36="","",'Proxy Price Data'!I36)</f>
        <v>70.540000000000006</v>
      </c>
    </row>
    <row r="40" spans="1:7">
      <c r="A40" s="525">
        <f>IF('Proxy Price Data'!C37="","",'Proxy Price Data'!C37)</f>
        <v>44875</v>
      </c>
      <c r="B40" s="530">
        <f>IF('Proxy Price Data'!D37="","",'Proxy Price Data'!D37)</f>
        <v>111.8</v>
      </c>
      <c r="C40" s="529">
        <f>IF('Proxy Price Data'!E37="","",'Proxy Price Data'!E37)</f>
        <v>46</v>
      </c>
      <c r="D40" s="529">
        <f>IF('Proxy Price Data'!F37="","",'Proxy Price Data'!F37)</f>
        <v>26.09</v>
      </c>
      <c r="E40" s="529">
        <f>IF('Proxy Price Data'!G37="","",'Proxy Price Data'!G37)</f>
        <v>47.08</v>
      </c>
      <c r="F40" s="529">
        <f>IF('Proxy Price Data'!H37="","",'Proxy Price Data'!H37)</f>
        <v>82.31</v>
      </c>
      <c r="G40" s="529">
        <f>IF('Proxy Price Data'!I37="","",'Proxy Price Data'!I37)</f>
        <v>71.11</v>
      </c>
    </row>
    <row r="41" spans="1:7">
      <c r="A41" s="525">
        <f>IF('Proxy Price Data'!C38="","",'Proxy Price Data'!C38)</f>
        <v>44874</v>
      </c>
      <c r="B41" s="530">
        <f>IF('Proxy Price Data'!D38="","",'Proxy Price Data'!D38)</f>
        <v>103.15</v>
      </c>
      <c r="C41" s="529">
        <f>IF('Proxy Price Data'!E38="","",'Proxy Price Data'!E38)</f>
        <v>43.92</v>
      </c>
      <c r="D41" s="529">
        <f>IF('Proxy Price Data'!F38="","",'Proxy Price Data'!F38)</f>
        <v>24.89</v>
      </c>
      <c r="E41" s="529">
        <f>IF('Proxy Price Data'!G38="","",'Proxy Price Data'!G38)</f>
        <v>45.4</v>
      </c>
      <c r="F41" s="529">
        <f>IF('Proxy Price Data'!H38="","",'Proxy Price Data'!H38)</f>
        <v>78.290000000000006</v>
      </c>
      <c r="G41" s="529">
        <f>IF('Proxy Price Data'!I38="","",'Proxy Price Data'!I38)</f>
        <v>68.41</v>
      </c>
    </row>
    <row r="42" spans="1:7">
      <c r="A42" s="525">
        <f>IF('Proxy Price Data'!C39="","",'Proxy Price Data'!C39)</f>
        <v>44873</v>
      </c>
      <c r="B42" s="530">
        <f>IF('Proxy Price Data'!D39="","",'Proxy Price Data'!D39)</f>
        <v>104.64</v>
      </c>
      <c r="C42" s="529">
        <f>IF('Proxy Price Data'!E39="","",'Proxy Price Data'!E39)</f>
        <v>44.17</v>
      </c>
      <c r="D42" s="529">
        <f>IF('Proxy Price Data'!F39="","",'Proxy Price Data'!F39)</f>
        <v>24.93</v>
      </c>
      <c r="E42" s="529">
        <f>IF('Proxy Price Data'!G39="","",'Proxy Price Data'!G39)</f>
        <v>44.52</v>
      </c>
      <c r="F42" s="529">
        <f>IF('Proxy Price Data'!H39="","",'Proxy Price Data'!H39)</f>
        <v>78.22</v>
      </c>
      <c r="G42" s="529">
        <f>IF('Proxy Price Data'!I39="","",'Proxy Price Data'!I39)</f>
        <v>67.98</v>
      </c>
    </row>
    <row r="43" spans="1:7">
      <c r="A43" s="525">
        <f>IF('Proxy Price Data'!C40="","",'Proxy Price Data'!C40)</f>
        <v>44872</v>
      </c>
      <c r="B43" s="530">
        <f>IF('Proxy Price Data'!D40="","",'Proxy Price Data'!D40)</f>
        <v>103.97</v>
      </c>
      <c r="C43" s="529">
        <f>IF('Proxy Price Data'!E40="","",'Proxy Price Data'!E40)</f>
        <v>43.39</v>
      </c>
      <c r="D43" s="529">
        <f>IF('Proxy Price Data'!F40="","",'Proxy Price Data'!F40)</f>
        <v>24.37</v>
      </c>
      <c r="E43" s="529">
        <f>IF('Proxy Price Data'!G40="","",'Proxy Price Data'!G40)</f>
        <v>44.94</v>
      </c>
      <c r="F43" s="529">
        <f>IF('Proxy Price Data'!H40="","",'Proxy Price Data'!H40)</f>
        <v>77.77</v>
      </c>
      <c r="G43" s="529">
        <f>IF('Proxy Price Data'!I40="","",'Proxy Price Data'!I40)</f>
        <v>67.430000000000007</v>
      </c>
    </row>
    <row r="44" spans="1:7">
      <c r="A44" s="525">
        <f>IF('Proxy Price Data'!C41="","",'Proxy Price Data'!C41)</f>
        <v>44869</v>
      </c>
      <c r="B44" s="530">
        <f>IF('Proxy Price Data'!D41="","",'Proxy Price Data'!D41)</f>
        <v>106.03</v>
      </c>
      <c r="C44" s="529">
        <f>IF('Proxy Price Data'!E41="","",'Proxy Price Data'!E41)</f>
        <v>44.28</v>
      </c>
      <c r="D44" s="529">
        <f>IF('Proxy Price Data'!F41="","",'Proxy Price Data'!F41)</f>
        <v>25.89</v>
      </c>
      <c r="E44" s="529">
        <f>IF('Proxy Price Data'!G41="","",'Proxy Price Data'!G41)</f>
        <v>46.64</v>
      </c>
      <c r="F44" s="529">
        <f>IF('Proxy Price Data'!H41="","",'Proxy Price Data'!H41)</f>
        <v>80.900000000000006</v>
      </c>
      <c r="G44" s="529">
        <f>IF('Proxy Price Data'!I41="","",'Proxy Price Data'!I41)</f>
        <v>68.48</v>
      </c>
    </row>
    <row r="45" spans="1:7">
      <c r="A45" s="525">
        <f>IF('Proxy Price Data'!C42="","",'Proxy Price Data'!C42)</f>
        <v>44868</v>
      </c>
      <c r="B45" s="530">
        <f>IF('Proxy Price Data'!D42="","",'Proxy Price Data'!D42)</f>
        <v>104.74</v>
      </c>
      <c r="C45" s="529">
        <f>IF('Proxy Price Data'!E42="","",'Proxy Price Data'!E42)</f>
        <v>44.26</v>
      </c>
      <c r="D45" s="529">
        <f>IF('Proxy Price Data'!F42="","",'Proxy Price Data'!F42)</f>
        <v>25.66</v>
      </c>
      <c r="E45" s="529">
        <f>IF('Proxy Price Data'!G42="","",'Proxy Price Data'!G42)</f>
        <v>46.1</v>
      </c>
      <c r="F45" s="529">
        <f>IF('Proxy Price Data'!H42="","",'Proxy Price Data'!H42)</f>
        <v>79.930000000000007</v>
      </c>
      <c r="G45" s="529">
        <f>IF('Proxy Price Data'!I42="","",'Proxy Price Data'!I42)</f>
        <v>67.930000000000007</v>
      </c>
    </row>
    <row r="46" spans="1:7">
      <c r="A46" s="525">
        <f>IF('Proxy Price Data'!C43="","",'Proxy Price Data'!C43)</f>
        <v>44867</v>
      </c>
      <c r="B46" s="530">
        <f>IF('Proxy Price Data'!D43="","",'Proxy Price Data'!D43)</f>
        <v>105.55</v>
      </c>
      <c r="C46" s="529">
        <f>IF('Proxy Price Data'!E43="","",'Proxy Price Data'!E43)</f>
        <v>44.52</v>
      </c>
      <c r="D46" s="529">
        <f>IF('Proxy Price Data'!F43="","",'Proxy Price Data'!F43)</f>
        <v>25.62</v>
      </c>
      <c r="E46" s="529">
        <f>IF('Proxy Price Data'!G43="","",'Proxy Price Data'!G43)</f>
        <v>46.8</v>
      </c>
      <c r="F46" s="529">
        <f>IF('Proxy Price Data'!H43="","",'Proxy Price Data'!H43)</f>
        <v>79.37</v>
      </c>
      <c r="G46" s="529">
        <f>IF('Proxy Price Data'!I43="","",'Proxy Price Data'!I43)</f>
        <v>69.180000000000007</v>
      </c>
    </row>
    <row r="47" spans="1:7">
      <c r="A47" s="525">
        <f>IF('Proxy Price Data'!C44="","",'Proxy Price Data'!C44)</f>
        <v>44866</v>
      </c>
      <c r="B47" s="530">
        <f>IF('Proxy Price Data'!D44="","",'Proxy Price Data'!D44)</f>
        <v>106.27</v>
      </c>
      <c r="C47" s="529">
        <f>IF('Proxy Price Data'!E44="","",'Proxy Price Data'!E44)</f>
        <v>45.11</v>
      </c>
      <c r="D47" s="529">
        <f>IF('Proxy Price Data'!F44="","",'Proxy Price Data'!F44)</f>
        <v>25.83</v>
      </c>
      <c r="E47" s="529">
        <f>IF('Proxy Price Data'!G44="","",'Proxy Price Data'!G44)</f>
        <v>47.75</v>
      </c>
      <c r="F47" s="529">
        <f>IF('Proxy Price Data'!H44="","",'Proxy Price Data'!H44)</f>
        <v>80.03</v>
      </c>
      <c r="G47" s="529">
        <f>IF('Proxy Price Data'!I44="","",'Proxy Price Data'!I44)</f>
        <v>70.349999999999994</v>
      </c>
    </row>
    <row r="48" spans="1:7">
      <c r="A48" s="525">
        <f>IF('Proxy Price Data'!C45="","",'Proxy Price Data'!C45)</f>
        <v>44865</v>
      </c>
      <c r="B48" s="530">
        <f>IF('Proxy Price Data'!D45="","",'Proxy Price Data'!D45)</f>
        <v>106.55</v>
      </c>
      <c r="C48" s="529">
        <f>IF('Proxy Price Data'!E45="","",'Proxy Price Data'!E45)</f>
        <v>44.64</v>
      </c>
      <c r="D48" s="529">
        <f>IF('Proxy Price Data'!F45="","",'Proxy Price Data'!F45)</f>
        <v>25.69</v>
      </c>
      <c r="E48" s="529">
        <f>IF('Proxy Price Data'!G45="","",'Proxy Price Data'!G45)</f>
        <v>48.09</v>
      </c>
      <c r="F48" s="529">
        <f>IF('Proxy Price Data'!H45="","",'Proxy Price Data'!H45)</f>
        <v>77.48</v>
      </c>
      <c r="G48" s="529">
        <f>IF('Proxy Price Data'!I45="","",'Proxy Price Data'!I45)</f>
        <v>69.81</v>
      </c>
    </row>
    <row r="49" spans="1:7">
      <c r="A49" s="525">
        <f>IF('Proxy Price Data'!C46="","",'Proxy Price Data'!C46)</f>
        <v>44862</v>
      </c>
      <c r="B49" s="530">
        <f>IF('Proxy Price Data'!D46="","",'Proxy Price Data'!D46)</f>
        <v>107.11</v>
      </c>
      <c r="C49" s="529">
        <f>IF('Proxy Price Data'!E46="","",'Proxy Price Data'!E46)</f>
        <v>45.28</v>
      </c>
      <c r="D49" s="529">
        <f>IF('Proxy Price Data'!F46="","",'Proxy Price Data'!F46)</f>
        <v>25.89</v>
      </c>
      <c r="E49" s="529">
        <f>IF('Proxy Price Data'!G46="","",'Proxy Price Data'!G46)</f>
        <v>48.12</v>
      </c>
      <c r="F49" s="529">
        <f>IF('Proxy Price Data'!H46="","",'Proxy Price Data'!H46)</f>
        <v>77.2</v>
      </c>
      <c r="G49" s="529">
        <f>IF('Proxy Price Data'!I46="","",'Proxy Price Data'!I46)</f>
        <v>69.7</v>
      </c>
    </row>
    <row r="50" spans="1:7">
      <c r="A50" s="525">
        <f>IF('Proxy Price Data'!C47="","",'Proxy Price Data'!C47)</f>
        <v>44861</v>
      </c>
      <c r="B50" s="530">
        <f>IF('Proxy Price Data'!D47="","",'Proxy Price Data'!D47)</f>
        <v>104.69</v>
      </c>
      <c r="C50" s="529">
        <f>IF('Proxy Price Data'!E47="","",'Proxy Price Data'!E47)</f>
        <v>44.44</v>
      </c>
      <c r="D50" s="529">
        <f>IF('Proxy Price Data'!F47="","",'Proxy Price Data'!F47)</f>
        <v>25.37</v>
      </c>
      <c r="E50" s="529">
        <f>IF('Proxy Price Data'!G47="","",'Proxy Price Data'!G47)</f>
        <v>47.45</v>
      </c>
      <c r="F50" s="529">
        <f>IF('Proxy Price Data'!H47="","",'Proxy Price Data'!H47)</f>
        <v>75.59</v>
      </c>
      <c r="G50" s="529">
        <f>IF('Proxy Price Data'!I47="","",'Proxy Price Data'!I47)</f>
        <v>69.099999999999994</v>
      </c>
    </row>
    <row r="51" spans="1:7">
      <c r="A51" s="525">
        <f>IF('Proxy Price Data'!C48="","",'Proxy Price Data'!C48)</f>
        <v>44860</v>
      </c>
      <c r="B51" s="530">
        <f>IF('Proxy Price Data'!D48="","",'Proxy Price Data'!D48)</f>
        <v>103.42</v>
      </c>
      <c r="C51" s="529">
        <f>IF('Proxy Price Data'!E48="","",'Proxy Price Data'!E48)</f>
        <v>43.65</v>
      </c>
      <c r="D51" s="529">
        <f>IF('Proxy Price Data'!F48="","",'Proxy Price Data'!F48)</f>
        <v>25.17</v>
      </c>
      <c r="E51" s="529">
        <f>IF('Proxy Price Data'!G48="","",'Proxy Price Data'!G48)</f>
        <v>46.67</v>
      </c>
      <c r="F51" s="529">
        <f>IF('Proxy Price Data'!H48="","",'Proxy Price Data'!H48)</f>
        <v>74.45</v>
      </c>
      <c r="G51" s="529">
        <f>IF('Proxy Price Data'!I48="","",'Proxy Price Data'!I48)</f>
        <v>67.930000000000007</v>
      </c>
    </row>
    <row r="52" spans="1:7">
      <c r="A52" s="525">
        <f>IF('Proxy Price Data'!C49="","",'Proxy Price Data'!C49)</f>
        <v>44859</v>
      </c>
      <c r="B52" s="530">
        <f>IF('Proxy Price Data'!D49="","",'Proxy Price Data'!D49)</f>
        <v>103.32</v>
      </c>
      <c r="C52" s="529">
        <f>IF('Proxy Price Data'!E49="","",'Proxy Price Data'!E49)</f>
        <v>42.98</v>
      </c>
      <c r="D52" s="529">
        <f>IF('Proxy Price Data'!F49="","",'Proxy Price Data'!F49)</f>
        <v>25.13</v>
      </c>
      <c r="E52" s="529">
        <f>IF('Proxy Price Data'!G49="","",'Proxy Price Data'!G49)</f>
        <v>46.43</v>
      </c>
      <c r="F52" s="529">
        <f>IF('Proxy Price Data'!H49="","",'Proxy Price Data'!H49)</f>
        <v>73.709999999999994</v>
      </c>
      <c r="G52" s="529">
        <f>IF('Proxy Price Data'!I49="","",'Proxy Price Data'!I49)</f>
        <v>66.900000000000006</v>
      </c>
    </row>
    <row r="53" spans="1:7">
      <c r="A53" s="525">
        <f>IF('Proxy Price Data'!C50="","",'Proxy Price Data'!C50)</f>
        <v>44858</v>
      </c>
      <c r="B53" s="530">
        <f>IF('Proxy Price Data'!D50="","",'Proxy Price Data'!D50)</f>
        <v>101.35</v>
      </c>
      <c r="C53" s="529">
        <f>IF('Proxy Price Data'!E50="","",'Proxy Price Data'!E50)</f>
        <v>42.19</v>
      </c>
      <c r="D53" s="529">
        <f>IF('Proxy Price Data'!F50="","",'Proxy Price Data'!F50)</f>
        <v>24.67</v>
      </c>
      <c r="E53" s="529">
        <f>IF('Proxy Price Data'!G50="","",'Proxy Price Data'!G50)</f>
        <v>45.45</v>
      </c>
      <c r="F53" s="529">
        <f>IF('Proxy Price Data'!H50="","",'Proxy Price Data'!H50)</f>
        <v>72.98</v>
      </c>
      <c r="G53" s="529">
        <f>IF('Proxy Price Data'!I50="","",'Proxy Price Data'!I50)</f>
        <v>65.599999999999994</v>
      </c>
    </row>
    <row r="54" spans="1:7">
      <c r="A54" s="525">
        <f>IF('Proxy Price Data'!C51="","",'Proxy Price Data'!C51)</f>
        <v>44855</v>
      </c>
      <c r="B54" s="530">
        <f>IF('Proxy Price Data'!D51="","",'Proxy Price Data'!D51)</f>
        <v>101.74</v>
      </c>
      <c r="C54" s="529">
        <f>IF('Proxy Price Data'!E51="","",'Proxy Price Data'!E51)</f>
        <v>42.08</v>
      </c>
      <c r="D54" s="529">
        <f>IF('Proxy Price Data'!F51="","",'Proxy Price Data'!F51)</f>
        <v>24.49</v>
      </c>
      <c r="E54" s="529">
        <f>IF('Proxy Price Data'!G51="","",'Proxy Price Data'!G51)</f>
        <v>45.81</v>
      </c>
      <c r="F54" s="529">
        <f>IF('Proxy Price Data'!H51="","",'Proxy Price Data'!H51)</f>
        <v>73.08</v>
      </c>
      <c r="G54" s="529">
        <f>IF('Proxy Price Data'!I51="","",'Proxy Price Data'!I51)</f>
        <v>65.36</v>
      </c>
    </row>
    <row r="55" spans="1:7">
      <c r="A55" s="525">
        <f>IF('Proxy Price Data'!C52="","",'Proxy Price Data'!C52)</f>
        <v>44854</v>
      </c>
      <c r="B55" s="530">
        <f>IF('Proxy Price Data'!D52="","",'Proxy Price Data'!D52)</f>
        <v>100.11</v>
      </c>
      <c r="C55" s="529">
        <f>IF('Proxy Price Data'!E52="","",'Proxy Price Data'!E52)</f>
        <v>40.770000000000003</v>
      </c>
      <c r="D55" s="529">
        <f>IF('Proxy Price Data'!F52="","",'Proxy Price Data'!F52)</f>
        <v>24.15</v>
      </c>
      <c r="E55" s="529">
        <f>IF('Proxy Price Data'!G52="","",'Proxy Price Data'!G52)</f>
        <v>45.15</v>
      </c>
      <c r="F55" s="529">
        <f>IF('Proxy Price Data'!H52="","",'Proxy Price Data'!H52)</f>
        <v>72.39</v>
      </c>
      <c r="G55" s="529">
        <f>IF('Proxy Price Data'!I52="","",'Proxy Price Data'!I52)</f>
        <v>64.8</v>
      </c>
    </row>
    <row r="56" spans="1:7">
      <c r="A56" s="525">
        <f>IF('Proxy Price Data'!C53="","",'Proxy Price Data'!C53)</f>
        <v>44853</v>
      </c>
      <c r="B56" s="530">
        <f>IF('Proxy Price Data'!D53="","",'Proxy Price Data'!D53)</f>
        <v>102.04</v>
      </c>
      <c r="C56" s="529">
        <f>IF('Proxy Price Data'!E53="","",'Proxy Price Data'!E53)</f>
        <v>41.19</v>
      </c>
      <c r="D56" s="529">
        <f>IF('Proxy Price Data'!F53="","",'Proxy Price Data'!F53)</f>
        <v>24.88</v>
      </c>
      <c r="E56" s="529">
        <f>IF('Proxy Price Data'!G53="","",'Proxy Price Data'!G53)</f>
        <v>46.19</v>
      </c>
      <c r="F56" s="529">
        <f>IF('Proxy Price Data'!H53="","",'Proxy Price Data'!H53)</f>
        <v>73.8</v>
      </c>
      <c r="G56" s="529">
        <f>IF('Proxy Price Data'!I53="","",'Proxy Price Data'!I53)</f>
        <v>65.489999999999995</v>
      </c>
    </row>
    <row r="57" spans="1:7">
      <c r="A57" s="525">
        <f>IF('Proxy Price Data'!C54="","",'Proxy Price Data'!C54)</f>
        <v>44852</v>
      </c>
      <c r="B57" s="530">
        <f>IF('Proxy Price Data'!D54="","",'Proxy Price Data'!D54)</f>
        <v>101.75</v>
      </c>
      <c r="C57" s="529">
        <f>IF('Proxy Price Data'!E54="","",'Proxy Price Data'!E54)</f>
        <v>41.13</v>
      </c>
      <c r="D57" s="529">
        <f>IF('Proxy Price Data'!F54="","",'Proxy Price Data'!F54)</f>
        <v>25.27</v>
      </c>
      <c r="E57" s="529">
        <f>IF('Proxy Price Data'!G54="","",'Proxy Price Data'!G54)</f>
        <v>46.87</v>
      </c>
      <c r="F57" s="529">
        <f>IF('Proxy Price Data'!H54="","",'Proxy Price Data'!H54)</f>
        <v>73.75</v>
      </c>
      <c r="G57" s="529">
        <f>IF('Proxy Price Data'!I54="","",'Proxy Price Data'!I54)</f>
        <v>65.86</v>
      </c>
    </row>
    <row r="58" spans="1:7">
      <c r="A58" s="525">
        <f>IF('Proxy Price Data'!C55="","",'Proxy Price Data'!C55)</f>
        <v>44851</v>
      </c>
      <c r="B58" s="530">
        <f>IF('Proxy Price Data'!D55="","",'Proxy Price Data'!D55)</f>
        <v>99.63</v>
      </c>
      <c r="C58" s="529">
        <f>IF('Proxy Price Data'!E55="","",'Proxy Price Data'!E55)</f>
        <v>40.43</v>
      </c>
      <c r="D58" s="529">
        <f>IF('Proxy Price Data'!F55="","",'Proxy Price Data'!F55)</f>
        <v>24.89</v>
      </c>
      <c r="E58" s="529">
        <f>IF('Proxy Price Data'!G55="","",'Proxy Price Data'!G55)</f>
        <v>45.96</v>
      </c>
      <c r="F58" s="529">
        <f>IF('Proxy Price Data'!H55="","",'Proxy Price Data'!H55)</f>
        <v>72.38</v>
      </c>
      <c r="G58" s="529">
        <f>IF('Proxy Price Data'!I55="","",'Proxy Price Data'!I55)</f>
        <v>64.7</v>
      </c>
    </row>
    <row r="59" spans="1:7">
      <c r="A59" s="525">
        <f>IF('Proxy Price Data'!C56="","",'Proxy Price Data'!C56)</f>
        <v>44848</v>
      </c>
      <c r="B59" s="530">
        <f>IF('Proxy Price Data'!D56="","",'Proxy Price Data'!D56)</f>
        <v>98.11</v>
      </c>
      <c r="C59" s="529">
        <f>IF('Proxy Price Data'!E56="","",'Proxy Price Data'!E56)</f>
        <v>39.479999999999997</v>
      </c>
      <c r="D59" s="529">
        <f>IF('Proxy Price Data'!F56="","",'Proxy Price Data'!F56)</f>
        <v>24.49</v>
      </c>
      <c r="E59" s="529">
        <f>IF('Proxy Price Data'!G56="","",'Proxy Price Data'!G56)</f>
        <v>45.31</v>
      </c>
      <c r="F59" s="529">
        <f>IF('Proxy Price Data'!H56="","",'Proxy Price Data'!H56)</f>
        <v>70.540000000000006</v>
      </c>
      <c r="G59" s="529">
        <f>IF('Proxy Price Data'!I56="","",'Proxy Price Data'!I56)</f>
        <v>63.2</v>
      </c>
    </row>
    <row r="60" spans="1:7">
      <c r="A60" s="525">
        <f>IF('Proxy Price Data'!C57="","",'Proxy Price Data'!C57)</f>
        <v>44847</v>
      </c>
      <c r="B60" s="530">
        <f>IF('Proxy Price Data'!D57="","",'Proxy Price Data'!D57)</f>
        <v>101.46</v>
      </c>
      <c r="C60" s="529">
        <f>IF('Proxy Price Data'!E57="","",'Proxy Price Data'!E57)</f>
        <v>40.14</v>
      </c>
      <c r="D60" s="529">
        <f>IF('Proxy Price Data'!F57="","",'Proxy Price Data'!F57)</f>
        <v>25.24</v>
      </c>
      <c r="E60" s="529">
        <f>IF('Proxy Price Data'!G57="","",'Proxy Price Data'!G57)</f>
        <v>45.61</v>
      </c>
      <c r="F60" s="529">
        <f>IF('Proxy Price Data'!H57="","",'Proxy Price Data'!H57)</f>
        <v>71.959999999999994</v>
      </c>
      <c r="G60" s="529">
        <f>IF('Proxy Price Data'!I57="","",'Proxy Price Data'!I57)</f>
        <v>65.36</v>
      </c>
    </row>
    <row r="61" spans="1:7">
      <c r="A61" s="525">
        <f>IF('Proxy Price Data'!C58="","",'Proxy Price Data'!C58)</f>
        <v>44846</v>
      </c>
      <c r="B61" s="530">
        <f>IF('Proxy Price Data'!D58="","",'Proxy Price Data'!D58)</f>
        <v>99.26</v>
      </c>
      <c r="C61" s="529">
        <f>IF('Proxy Price Data'!E58="","",'Proxy Price Data'!E58)</f>
        <v>38.770000000000003</v>
      </c>
      <c r="D61" s="529">
        <f>IF('Proxy Price Data'!F58="","",'Proxy Price Data'!F58)</f>
        <v>24.19</v>
      </c>
      <c r="E61" s="529">
        <f>IF('Proxy Price Data'!G58="","",'Proxy Price Data'!G58)</f>
        <v>43.95</v>
      </c>
      <c r="F61" s="529">
        <f>IF('Proxy Price Data'!H58="","",'Proxy Price Data'!H58)</f>
        <v>70.03</v>
      </c>
      <c r="G61" s="529">
        <f>IF('Proxy Price Data'!I58="","",'Proxy Price Data'!I58)</f>
        <v>62.94</v>
      </c>
    </row>
    <row r="62" spans="1:7">
      <c r="A62" s="525">
        <f>IF('Proxy Price Data'!C59="","",'Proxy Price Data'!C59)</f>
        <v>44845</v>
      </c>
      <c r="B62" s="530">
        <f>IF('Proxy Price Data'!D59="","",'Proxy Price Data'!D59)</f>
        <v>102.2</v>
      </c>
      <c r="C62" s="529">
        <f>IF('Proxy Price Data'!E59="","",'Proxy Price Data'!E59)</f>
        <v>39.909999999999997</v>
      </c>
      <c r="D62" s="529">
        <f>IF('Proxy Price Data'!F59="","",'Proxy Price Data'!F59)</f>
        <v>24.87</v>
      </c>
      <c r="E62" s="529">
        <f>IF('Proxy Price Data'!G59="","",'Proxy Price Data'!G59)</f>
        <v>44.56</v>
      </c>
      <c r="F62" s="529">
        <f>IF('Proxy Price Data'!H59="","",'Proxy Price Data'!H59)</f>
        <v>72</v>
      </c>
      <c r="G62" s="529">
        <f>IF('Proxy Price Data'!I59="","",'Proxy Price Data'!I59)</f>
        <v>63.62</v>
      </c>
    </row>
    <row r="63" spans="1:7">
      <c r="A63" s="525">
        <f>IF('Proxy Price Data'!C60="","",'Proxy Price Data'!C60)</f>
        <v>44844</v>
      </c>
      <c r="B63" s="530">
        <f>IF('Proxy Price Data'!D60="","",'Proxy Price Data'!D60)</f>
        <v>99.88</v>
      </c>
      <c r="C63" s="529">
        <f>IF('Proxy Price Data'!E60="","",'Proxy Price Data'!E60)</f>
        <v>39.28</v>
      </c>
      <c r="D63" s="529">
        <f>IF('Proxy Price Data'!F60="","",'Proxy Price Data'!F60)</f>
        <v>24.52</v>
      </c>
      <c r="E63" s="529">
        <f>IF('Proxy Price Data'!G60="","",'Proxy Price Data'!G60)</f>
        <v>42.79</v>
      </c>
      <c r="F63" s="529">
        <f>IF('Proxy Price Data'!H60="","",'Proxy Price Data'!H60)</f>
        <v>70.53</v>
      </c>
      <c r="G63" s="529">
        <f>IF('Proxy Price Data'!I60="","",'Proxy Price Data'!I60)</f>
        <v>62.04</v>
      </c>
    </row>
    <row r="64" spans="1:7">
      <c r="A64" s="525">
        <f>IF('Proxy Price Data'!C61="","",'Proxy Price Data'!C61)</f>
        <v>44841</v>
      </c>
      <c r="B64" s="530">
        <f>IF('Proxy Price Data'!D61="","",'Proxy Price Data'!D61)</f>
        <v>99.39</v>
      </c>
      <c r="C64" s="529">
        <f>IF('Proxy Price Data'!E61="","",'Proxy Price Data'!E61)</f>
        <v>38.97</v>
      </c>
      <c r="D64" s="529">
        <f>IF('Proxy Price Data'!F61="","",'Proxy Price Data'!F61)</f>
        <v>24.51</v>
      </c>
      <c r="E64" s="529">
        <f>IF('Proxy Price Data'!G61="","",'Proxy Price Data'!G61)</f>
        <v>42.73</v>
      </c>
      <c r="F64" s="529">
        <f>IF('Proxy Price Data'!H61="","",'Proxy Price Data'!H61)</f>
        <v>70.290000000000006</v>
      </c>
      <c r="G64" s="529">
        <f>IF('Proxy Price Data'!I61="","",'Proxy Price Data'!I61)</f>
        <v>62</v>
      </c>
    </row>
    <row r="65" spans="1:58">
      <c r="A65" s="525">
        <f>IF('Proxy Price Data'!C62="","",'Proxy Price Data'!C62)</f>
        <v>44840</v>
      </c>
      <c r="B65" s="530">
        <f>IF('Proxy Price Data'!D62="","",'Proxy Price Data'!D62)</f>
        <v>100.81</v>
      </c>
      <c r="C65" s="529">
        <f>IF('Proxy Price Data'!E62="","",'Proxy Price Data'!E62)</f>
        <v>39.76</v>
      </c>
      <c r="D65" s="529">
        <f>IF('Proxy Price Data'!F62="","",'Proxy Price Data'!F62)</f>
        <v>25.1</v>
      </c>
      <c r="E65" s="529">
        <f>IF('Proxy Price Data'!G62="","",'Proxy Price Data'!G62)</f>
        <v>43.31</v>
      </c>
      <c r="F65" s="529">
        <f>IF('Proxy Price Data'!H62="","",'Proxy Price Data'!H62)</f>
        <v>71.16</v>
      </c>
      <c r="G65" s="529">
        <f>IF('Proxy Price Data'!I62="","",'Proxy Price Data'!I62)</f>
        <v>62.97</v>
      </c>
    </row>
    <row r="66" spans="1:58">
      <c r="A66" s="525"/>
      <c r="B66" s="524"/>
    </row>
    <row r="67" spans="1:58">
      <c r="A67" s="316" t="s">
        <v>23</v>
      </c>
      <c r="B67" s="531">
        <f t="shared" ref="B67:G67" si="0">IFERROR(ROUND(AVERAGE(B6:B65),2),0)</f>
        <v>110.22</v>
      </c>
      <c r="C67" s="655">
        <f t="shared" si="0"/>
        <v>45.92</v>
      </c>
      <c r="D67" s="655">
        <f t="shared" si="0"/>
        <v>26.28</v>
      </c>
      <c r="E67" s="655">
        <f t="shared" si="0"/>
        <v>47</v>
      </c>
      <c r="F67" s="655">
        <f t="shared" si="0"/>
        <v>77.36</v>
      </c>
      <c r="G67" s="655">
        <f t="shared" si="0"/>
        <v>68.22</v>
      </c>
    </row>
    <row r="68" spans="1:58">
      <c r="A68" s="525"/>
      <c r="B68" s="532"/>
      <c r="C68" s="525"/>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5"/>
      <c r="AZ68" s="525"/>
      <c r="BA68" s="525"/>
      <c r="BB68" s="525"/>
      <c r="BC68" s="525"/>
      <c r="BD68" s="525"/>
      <c r="BE68" s="525"/>
      <c r="BF68" s="525"/>
    </row>
    <row r="69" spans="1:58">
      <c r="A69" s="525" t="s">
        <v>157</v>
      </c>
      <c r="B69" s="534">
        <f>VLOOKUP(B4,'Proxy Data Lookup'!$A$3:$I$8,9,FALSE)</f>
        <v>2.96</v>
      </c>
      <c r="C69" s="533">
        <f>VLOOKUP(C4,'Proxy Data Lookup'!$A$3:$I$8,9,FALSE)</f>
        <v>1.56</v>
      </c>
      <c r="D69" s="533">
        <f>VLOOKUP(D4,'Proxy Data Lookup'!$A$3:$I$8,9,FALSE)</f>
        <v>0.94</v>
      </c>
      <c r="E69" s="533">
        <f>VLOOKUP(E4,'Proxy Data Lookup'!$A$3:$I$8,9,FALSE)</f>
        <v>1.94</v>
      </c>
      <c r="F69" s="533">
        <f>VLOOKUP(F4,'Proxy Data Lookup'!$A$3:$I$8,9,FALSE)</f>
        <v>2.48</v>
      </c>
      <c r="G69" s="533">
        <f>VLOOKUP(G4,'Proxy Data Lookup'!$A$3:$I$8,9,FALSE)</f>
        <v>2.88</v>
      </c>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row>
    <row r="70" spans="1:58">
      <c r="A70" s="525"/>
      <c r="B70" s="532"/>
      <c r="C70" s="525"/>
      <c r="D70" s="525"/>
      <c r="E70" s="525"/>
      <c r="F70" s="525"/>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5"/>
      <c r="AV70" s="525"/>
      <c r="AW70" s="525"/>
      <c r="AX70" s="525"/>
      <c r="AY70" s="525"/>
      <c r="AZ70" s="525"/>
      <c r="BA70" s="525"/>
      <c r="BB70" s="525"/>
      <c r="BC70" s="525"/>
      <c r="BD70" s="525"/>
      <c r="BE70" s="525"/>
      <c r="BF70" s="525"/>
    </row>
    <row r="71" spans="1:58">
      <c r="A71" s="525" t="s">
        <v>1320</v>
      </c>
      <c r="B71" s="537">
        <f t="shared" ref="B71:G71" si="1">IFERROR(ROUND(B69/B67,4),0)</f>
        <v>2.69E-2</v>
      </c>
      <c r="C71" s="536">
        <f t="shared" si="1"/>
        <v>3.4000000000000002E-2</v>
      </c>
      <c r="D71" s="536">
        <f t="shared" si="1"/>
        <v>3.5799999999999998E-2</v>
      </c>
      <c r="E71" s="536">
        <f t="shared" si="1"/>
        <v>4.1300000000000003E-2</v>
      </c>
      <c r="F71" s="536">
        <f t="shared" si="1"/>
        <v>3.2099999999999997E-2</v>
      </c>
      <c r="G71" s="536">
        <f t="shared" si="1"/>
        <v>4.2200000000000001E-2</v>
      </c>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536"/>
      <c r="AG71" s="536"/>
      <c r="AH71" s="536"/>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row>
    <row r="72" spans="1:58">
      <c r="A72" s="525"/>
    </row>
    <row r="73" spans="1:58">
      <c r="A73" s="525"/>
    </row>
    <row r="74" spans="1:58">
      <c r="A74" s="525"/>
    </row>
    <row r="75" spans="1:58">
      <c r="A75" s="525"/>
    </row>
    <row r="76" spans="1:58">
      <c r="A76" s="525"/>
    </row>
    <row r="77" spans="1:58">
      <c r="A77" s="525"/>
    </row>
    <row r="78" spans="1:58">
      <c r="A78" s="525"/>
    </row>
    <row r="79" spans="1:58">
      <c r="A79" s="525"/>
    </row>
    <row r="80" spans="1:58">
      <c r="A80" s="525"/>
    </row>
    <row r="81" spans="1:1">
      <c r="A81" s="525"/>
    </row>
    <row r="82" spans="1:1">
      <c r="A82" s="525"/>
    </row>
    <row r="83" spans="1:1">
      <c r="A83" s="525"/>
    </row>
    <row r="84" spans="1:1">
      <c r="A84" s="525"/>
    </row>
    <row r="85" spans="1:1">
      <c r="A85" s="525"/>
    </row>
    <row r="86" spans="1:1">
      <c r="A86" s="525"/>
    </row>
    <row r="87" spans="1:1">
      <c r="A87" s="525"/>
    </row>
    <row r="88" spans="1:1">
      <c r="A88" s="525"/>
    </row>
    <row r="89" spans="1:1">
      <c r="A89" s="525"/>
    </row>
    <row r="90" spans="1:1">
      <c r="A90" s="525"/>
    </row>
    <row r="91" spans="1:1">
      <c r="A91" s="525"/>
    </row>
    <row r="92" spans="1:1">
      <c r="A92" s="525"/>
    </row>
    <row r="93" spans="1:1">
      <c r="A93" s="525"/>
    </row>
    <row r="94" spans="1:1">
      <c r="A94" s="525"/>
    </row>
    <row r="95" spans="1:1">
      <c r="A95" s="525"/>
    </row>
    <row r="96" spans="1:1">
      <c r="A96" s="525"/>
    </row>
    <row r="97" spans="1:1">
      <c r="A97" s="525"/>
    </row>
    <row r="98" spans="1:1">
      <c r="A98" s="525"/>
    </row>
    <row r="99" spans="1:1">
      <c r="A99" s="525"/>
    </row>
    <row r="100" spans="1:1">
      <c r="A100" s="525"/>
    </row>
    <row r="101" spans="1:1">
      <c r="A101" s="525"/>
    </row>
    <row r="102" spans="1:1">
      <c r="A102" s="525"/>
    </row>
    <row r="103" spans="1:1">
      <c r="A103" s="525"/>
    </row>
    <row r="104" spans="1:1">
      <c r="A104" s="525"/>
    </row>
    <row r="105" spans="1:1">
      <c r="A105" s="525"/>
    </row>
    <row r="106" spans="1:1">
      <c r="A106" s="525"/>
    </row>
    <row r="107" spans="1:1">
      <c r="A107" s="525"/>
    </row>
    <row r="108" spans="1:1">
      <c r="A108" s="525"/>
    </row>
    <row r="109" spans="1:1">
      <c r="A109" s="525"/>
    </row>
    <row r="110" spans="1:1">
      <c r="A110" s="525"/>
    </row>
    <row r="111" spans="1:1">
      <c r="A111" s="525"/>
    </row>
    <row r="112" spans="1:1">
      <c r="A112" s="525"/>
    </row>
    <row r="113" spans="1:1">
      <c r="A113" s="525"/>
    </row>
    <row r="114" spans="1:1">
      <c r="A114" s="525"/>
    </row>
    <row r="115" spans="1:1">
      <c r="A115" s="525"/>
    </row>
    <row r="116" spans="1:1">
      <c r="A116" s="525"/>
    </row>
    <row r="117" spans="1:1">
      <c r="A117" s="525"/>
    </row>
    <row r="118" spans="1:1">
      <c r="A118" s="525"/>
    </row>
    <row r="119" spans="1:1">
      <c r="A119" s="525"/>
    </row>
    <row r="120" spans="1:1">
      <c r="A120" s="525"/>
    </row>
    <row r="121" spans="1:1">
      <c r="A121" s="525"/>
    </row>
    <row r="122" spans="1:1">
      <c r="A122" s="525"/>
    </row>
    <row r="123" spans="1:1">
      <c r="A123" s="525"/>
    </row>
    <row r="124" spans="1:1">
      <c r="A124" s="525"/>
    </row>
    <row r="125" spans="1:1">
      <c r="A125" s="525"/>
    </row>
    <row r="126" spans="1:1">
      <c r="A126" s="525"/>
    </row>
    <row r="127" spans="1:1">
      <c r="A127" s="525"/>
    </row>
    <row r="128" spans="1:1">
      <c r="A128" s="525"/>
    </row>
    <row r="129" spans="1:1">
      <c r="A129" s="525"/>
    </row>
    <row r="130" spans="1:1">
      <c r="A130" s="525"/>
    </row>
    <row r="131" spans="1:1">
      <c r="A131" s="525"/>
    </row>
    <row r="132" spans="1:1">
      <c r="A132" s="525"/>
    </row>
    <row r="133" spans="1:1">
      <c r="A133" s="525"/>
    </row>
    <row r="134" spans="1:1">
      <c r="A134" s="525"/>
    </row>
    <row r="135" spans="1:1">
      <c r="A135" s="525"/>
    </row>
    <row r="136" spans="1:1">
      <c r="A136" s="525"/>
    </row>
    <row r="137" spans="1:1">
      <c r="A137" s="525"/>
    </row>
    <row r="138" spans="1:1">
      <c r="A138" s="525"/>
    </row>
    <row r="139" spans="1:1">
      <c r="A139" s="525"/>
    </row>
    <row r="140" spans="1:1">
      <c r="A140" s="525"/>
    </row>
    <row r="141" spans="1:1">
      <c r="A141" s="525"/>
    </row>
    <row r="142" spans="1:1">
      <c r="A142" s="525"/>
    </row>
    <row r="143" spans="1:1">
      <c r="A143" s="525"/>
    </row>
    <row r="144" spans="1:1">
      <c r="A144" s="525"/>
    </row>
    <row r="145" spans="1:1">
      <c r="A145" s="525"/>
    </row>
    <row r="146" spans="1:1">
      <c r="A146" s="525"/>
    </row>
    <row r="147" spans="1:1">
      <c r="A147" s="525"/>
    </row>
    <row r="148" spans="1:1">
      <c r="A148" s="525"/>
    </row>
    <row r="149" spans="1:1">
      <c r="A149" s="525"/>
    </row>
    <row r="150" spans="1:1">
      <c r="A150" s="525"/>
    </row>
    <row r="151" spans="1:1">
      <c r="A151" s="525"/>
    </row>
    <row r="152" spans="1:1">
      <c r="A152" s="525"/>
    </row>
    <row r="153" spans="1:1">
      <c r="A153" s="525"/>
    </row>
    <row r="154" spans="1:1">
      <c r="A154" s="525"/>
    </row>
    <row r="155" spans="1:1">
      <c r="A155" s="525"/>
    </row>
    <row r="156" spans="1:1">
      <c r="A156" s="525"/>
    </row>
    <row r="157" spans="1:1">
      <c r="A157" s="525"/>
    </row>
    <row r="158" spans="1:1">
      <c r="A158" s="525"/>
    </row>
    <row r="159" spans="1:1">
      <c r="A159" s="525"/>
    </row>
    <row r="160" spans="1:1">
      <c r="A160" s="525"/>
    </row>
    <row r="161" spans="1:1">
      <c r="A161" s="525"/>
    </row>
    <row r="162" spans="1:1">
      <c r="A162" s="525"/>
    </row>
    <row r="163" spans="1:1">
      <c r="A163" s="525"/>
    </row>
    <row r="164" spans="1:1">
      <c r="A164" s="525"/>
    </row>
    <row r="165" spans="1:1">
      <c r="A165" s="525"/>
    </row>
    <row r="166" spans="1:1">
      <c r="A166" s="525"/>
    </row>
    <row r="167" spans="1:1">
      <c r="A167" s="525"/>
    </row>
    <row r="168" spans="1:1">
      <c r="A168" s="525"/>
    </row>
    <row r="169" spans="1:1">
      <c r="A169" s="525"/>
    </row>
    <row r="170" spans="1:1">
      <c r="A170" s="525"/>
    </row>
    <row r="171" spans="1:1">
      <c r="A171" s="525"/>
    </row>
    <row r="172" spans="1:1">
      <c r="A172" s="525"/>
    </row>
    <row r="173" spans="1:1">
      <c r="A173" s="525"/>
    </row>
    <row r="174" spans="1:1">
      <c r="A174" s="525"/>
    </row>
    <row r="175" spans="1:1">
      <c r="A175" s="525"/>
    </row>
    <row r="176" spans="1:1">
      <c r="A176" s="525"/>
    </row>
    <row r="177" spans="1:1">
      <c r="A177" s="525"/>
    </row>
    <row r="178" spans="1:1">
      <c r="A178" s="525"/>
    </row>
    <row r="179" spans="1:1">
      <c r="A179" s="525"/>
    </row>
    <row r="180" spans="1:1">
      <c r="A180" s="525"/>
    </row>
    <row r="181" spans="1:1">
      <c r="A181" s="525"/>
    </row>
    <row r="182" spans="1:1">
      <c r="A182" s="525"/>
    </row>
    <row r="183" spans="1:1">
      <c r="A183" s="525"/>
    </row>
    <row r="184" spans="1:1">
      <c r="A184" s="525"/>
    </row>
    <row r="185" spans="1:1">
      <c r="A185" s="525"/>
    </row>
    <row r="186" spans="1:1">
      <c r="A186" s="525"/>
    </row>
    <row r="187" spans="1:1">
      <c r="A187" s="525"/>
    </row>
    <row r="188" spans="1:1">
      <c r="A188" s="525"/>
    </row>
    <row r="189" spans="1:1">
      <c r="A189" s="525"/>
    </row>
    <row r="190" spans="1:1">
      <c r="A190" s="525"/>
    </row>
    <row r="191" spans="1:1">
      <c r="A191" s="525"/>
    </row>
    <row r="192" spans="1:1">
      <c r="A192" s="525"/>
    </row>
    <row r="193" spans="1:1">
      <c r="A193" s="525"/>
    </row>
    <row r="194" spans="1:1">
      <c r="A194" s="525"/>
    </row>
    <row r="195" spans="1:1">
      <c r="A195" s="525"/>
    </row>
    <row r="196" spans="1:1">
      <c r="A196" s="525"/>
    </row>
    <row r="197" spans="1:1">
      <c r="A197" s="525"/>
    </row>
    <row r="198" spans="1:1">
      <c r="A198" s="525"/>
    </row>
    <row r="199" spans="1:1">
      <c r="A199" s="525"/>
    </row>
    <row r="200" spans="1:1">
      <c r="A200" s="525"/>
    </row>
    <row r="201" spans="1:1">
      <c r="A201" s="525"/>
    </row>
    <row r="202" spans="1:1">
      <c r="A202" s="525"/>
    </row>
    <row r="203" spans="1:1">
      <c r="A203" s="525"/>
    </row>
    <row r="204" spans="1:1">
      <c r="A204" s="525"/>
    </row>
    <row r="205" spans="1:1">
      <c r="A205" s="525"/>
    </row>
    <row r="206" spans="1:1">
      <c r="A206" s="525"/>
    </row>
    <row r="207" spans="1:1">
      <c r="A207" s="525"/>
    </row>
    <row r="208" spans="1:1">
      <c r="A208" s="525"/>
    </row>
    <row r="209" spans="1:1">
      <c r="A209" s="525"/>
    </row>
    <row r="210" spans="1:1">
      <c r="A210" s="525"/>
    </row>
    <row r="211" spans="1:1">
      <c r="A211" s="525"/>
    </row>
    <row r="212" spans="1:1">
      <c r="A212" s="525"/>
    </row>
    <row r="213" spans="1:1">
      <c r="A213" s="525"/>
    </row>
    <row r="214" spans="1:1">
      <c r="A214" s="525"/>
    </row>
    <row r="215" spans="1:1">
      <c r="A215" s="525"/>
    </row>
    <row r="216" spans="1:1">
      <c r="A216" s="525"/>
    </row>
    <row r="217" spans="1:1">
      <c r="A217" s="525"/>
    </row>
    <row r="218" spans="1:1">
      <c r="A218" s="525"/>
    </row>
    <row r="219" spans="1:1">
      <c r="A219" s="525"/>
    </row>
    <row r="220" spans="1:1">
      <c r="A220" s="525"/>
    </row>
    <row r="221" spans="1:1">
      <c r="A221" s="525"/>
    </row>
    <row r="222" spans="1:1">
      <c r="A222" s="525"/>
    </row>
    <row r="223" spans="1:1">
      <c r="A223" s="525"/>
    </row>
    <row r="224" spans="1:1">
      <c r="A224" s="525"/>
    </row>
    <row r="225" spans="1:1">
      <c r="A225" s="525"/>
    </row>
    <row r="226" spans="1:1">
      <c r="A226" s="525"/>
    </row>
    <row r="227" spans="1:1">
      <c r="A227" s="525"/>
    </row>
    <row r="228" spans="1:1">
      <c r="A228" s="525"/>
    </row>
    <row r="229" spans="1:1">
      <c r="A229" s="525"/>
    </row>
    <row r="230" spans="1:1">
      <c r="A230" s="525"/>
    </row>
    <row r="231" spans="1:1">
      <c r="A231" s="525"/>
    </row>
    <row r="232" spans="1:1">
      <c r="A232" s="525"/>
    </row>
    <row r="233" spans="1:1">
      <c r="A233" s="525"/>
    </row>
    <row r="234" spans="1:1">
      <c r="A234" s="525"/>
    </row>
    <row r="235" spans="1:1">
      <c r="A235" s="525"/>
    </row>
    <row r="236" spans="1:1">
      <c r="A236" s="525"/>
    </row>
    <row r="237" spans="1:1">
      <c r="A237" s="525"/>
    </row>
    <row r="238" spans="1:1">
      <c r="A238" s="525"/>
    </row>
    <row r="239" spans="1:1">
      <c r="A239" s="525"/>
    </row>
    <row r="240" spans="1:1">
      <c r="A240" s="525"/>
    </row>
    <row r="241" spans="1:1">
      <c r="A241" s="525"/>
    </row>
    <row r="242" spans="1:1">
      <c r="A242" s="525"/>
    </row>
    <row r="243" spans="1:1">
      <c r="A243" s="525"/>
    </row>
    <row r="244" spans="1:1">
      <c r="A244" s="525"/>
    </row>
    <row r="245" spans="1:1">
      <c r="A245" s="525"/>
    </row>
    <row r="246" spans="1:1">
      <c r="A246" s="525"/>
    </row>
    <row r="247" spans="1:1">
      <c r="A247" s="525"/>
    </row>
    <row r="248" spans="1:1">
      <c r="A248" s="525"/>
    </row>
    <row r="249" spans="1:1">
      <c r="A249" s="525"/>
    </row>
    <row r="250" spans="1:1">
      <c r="A250" s="525"/>
    </row>
    <row r="251" spans="1:1">
      <c r="A251" s="525"/>
    </row>
    <row r="252" spans="1:1">
      <c r="A252" s="525"/>
    </row>
    <row r="253" spans="1:1">
      <c r="A253" s="525"/>
    </row>
    <row r="254" spans="1:1">
      <c r="A254" s="525"/>
    </row>
    <row r="255" spans="1:1">
      <c r="A255" s="525"/>
    </row>
    <row r="256" spans="1:1">
      <c r="A256" s="525"/>
    </row>
    <row r="257" spans="1:1">
      <c r="A257" s="525"/>
    </row>
    <row r="258" spans="1:1">
      <c r="A258" s="525"/>
    </row>
    <row r="259" spans="1:1">
      <c r="A259" s="525"/>
    </row>
    <row r="260" spans="1:1">
      <c r="A260" s="525"/>
    </row>
    <row r="261" spans="1:1">
      <c r="A261" s="525"/>
    </row>
    <row r="262" spans="1:1">
      <c r="A262" s="525"/>
    </row>
    <row r="263" spans="1:1">
      <c r="A263" s="525"/>
    </row>
    <row r="264" spans="1:1">
      <c r="A264" s="525"/>
    </row>
    <row r="265" spans="1:1">
      <c r="A265" s="525"/>
    </row>
    <row r="266" spans="1:1">
      <c r="A266" s="525"/>
    </row>
    <row r="267" spans="1:1">
      <c r="A267" s="525"/>
    </row>
    <row r="268" spans="1:1">
      <c r="A268" s="525"/>
    </row>
    <row r="269" spans="1:1">
      <c r="A269" s="525"/>
    </row>
    <row r="270" spans="1:1">
      <c r="A270" s="525"/>
    </row>
    <row r="271" spans="1:1">
      <c r="A271" s="525"/>
    </row>
    <row r="272" spans="1:1">
      <c r="A272" s="525"/>
    </row>
    <row r="273" spans="1:1">
      <c r="A273" s="525"/>
    </row>
    <row r="274" spans="1:1">
      <c r="A274" s="525"/>
    </row>
    <row r="275" spans="1:1">
      <c r="A275" s="525"/>
    </row>
    <row r="276" spans="1:1">
      <c r="A276" s="525"/>
    </row>
    <row r="277" spans="1:1">
      <c r="A277" s="525"/>
    </row>
    <row r="278" spans="1:1">
      <c r="A278" s="525"/>
    </row>
    <row r="279" spans="1:1">
      <c r="A279" s="525"/>
    </row>
    <row r="280" spans="1:1">
      <c r="A280" s="525"/>
    </row>
    <row r="281" spans="1:1">
      <c r="A281" s="525"/>
    </row>
    <row r="282" spans="1:1">
      <c r="A282" s="525"/>
    </row>
    <row r="283" spans="1:1">
      <c r="A283" s="525"/>
    </row>
    <row r="284" spans="1:1">
      <c r="A284" s="525"/>
    </row>
    <row r="285" spans="1:1">
      <c r="A285" s="525"/>
    </row>
    <row r="286" spans="1:1">
      <c r="A286" s="525"/>
    </row>
    <row r="287" spans="1:1">
      <c r="A287" s="525"/>
    </row>
    <row r="288" spans="1:1">
      <c r="A288" s="525"/>
    </row>
    <row r="289" spans="1:1">
      <c r="A289" s="525"/>
    </row>
    <row r="290" spans="1:1">
      <c r="A290" s="525"/>
    </row>
    <row r="291" spans="1:1">
      <c r="A291" s="525"/>
    </row>
    <row r="292" spans="1:1">
      <c r="A292" s="525"/>
    </row>
    <row r="293" spans="1:1">
      <c r="A293" s="525"/>
    </row>
    <row r="294" spans="1:1">
      <c r="A294" s="525"/>
    </row>
    <row r="295" spans="1:1">
      <c r="A295" s="525"/>
    </row>
    <row r="296" spans="1:1">
      <c r="A296" s="525"/>
    </row>
    <row r="297" spans="1:1">
      <c r="A297" s="525"/>
    </row>
    <row r="298" spans="1:1">
      <c r="A298" s="525"/>
    </row>
    <row r="299" spans="1:1">
      <c r="A299" s="525"/>
    </row>
    <row r="300" spans="1:1">
      <c r="A300" s="525"/>
    </row>
    <row r="301" spans="1:1">
      <c r="A301" s="525"/>
    </row>
    <row r="302" spans="1:1">
      <c r="A302" s="525"/>
    </row>
    <row r="303" spans="1:1">
      <c r="A303" s="525"/>
    </row>
    <row r="304" spans="1:1">
      <c r="A304" s="525"/>
    </row>
    <row r="305" spans="1:1">
      <c r="A305" s="525"/>
    </row>
    <row r="306" spans="1:1">
      <c r="A306" s="525"/>
    </row>
    <row r="307" spans="1:1">
      <c r="A307" s="525"/>
    </row>
    <row r="308" spans="1:1">
      <c r="A308" s="525"/>
    </row>
    <row r="309" spans="1:1">
      <c r="A309" s="525"/>
    </row>
    <row r="310" spans="1:1">
      <c r="A310" s="525"/>
    </row>
    <row r="311" spans="1:1">
      <c r="A311" s="525"/>
    </row>
    <row r="312" spans="1:1">
      <c r="A312" s="525"/>
    </row>
    <row r="313" spans="1:1">
      <c r="A313" s="525"/>
    </row>
    <row r="314" spans="1:1">
      <c r="A314" s="525"/>
    </row>
    <row r="315" spans="1:1">
      <c r="A315" s="525"/>
    </row>
    <row r="316" spans="1:1">
      <c r="A316" s="525"/>
    </row>
    <row r="317" spans="1:1">
      <c r="A317" s="525"/>
    </row>
    <row r="318" spans="1:1">
      <c r="A318" s="525"/>
    </row>
    <row r="319" spans="1:1">
      <c r="A319" s="525"/>
    </row>
    <row r="320" spans="1:1">
      <c r="A320" s="525"/>
    </row>
    <row r="321" spans="1:1">
      <c r="A321" s="525"/>
    </row>
    <row r="322" spans="1:1">
      <c r="A322" s="525"/>
    </row>
    <row r="323" spans="1:1">
      <c r="A323" s="525"/>
    </row>
    <row r="324" spans="1:1">
      <c r="A324" s="525"/>
    </row>
    <row r="325" spans="1:1">
      <c r="A325" s="525"/>
    </row>
    <row r="326" spans="1:1">
      <c r="A326" s="525"/>
    </row>
    <row r="327" spans="1:1">
      <c r="A327" s="525"/>
    </row>
    <row r="328" spans="1:1">
      <c r="A328" s="525"/>
    </row>
    <row r="329" spans="1:1">
      <c r="A329" s="525"/>
    </row>
    <row r="330" spans="1:1">
      <c r="A330" s="525"/>
    </row>
    <row r="331" spans="1:1">
      <c r="A331" s="525"/>
    </row>
    <row r="332" spans="1:1">
      <c r="A332" s="525"/>
    </row>
    <row r="333" spans="1:1">
      <c r="A333" s="525"/>
    </row>
    <row r="334" spans="1:1">
      <c r="A334" s="525"/>
    </row>
    <row r="335" spans="1:1">
      <c r="A335" s="525"/>
    </row>
    <row r="336" spans="1:1">
      <c r="A336" s="525"/>
    </row>
    <row r="337" spans="1:1">
      <c r="A337" s="525"/>
    </row>
    <row r="338" spans="1:1">
      <c r="A338" s="525"/>
    </row>
    <row r="339" spans="1:1">
      <c r="A339" s="525"/>
    </row>
    <row r="340" spans="1:1">
      <c r="A340" s="525"/>
    </row>
    <row r="341" spans="1:1">
      <c r="A341" s="525"/>
    </row>
    <row r="342" spans="1:1">
      <c r="A342" s="525"/>
    </row>
    <row r="343" spans="1:1">
      <c r="A343" s="525"/>
    </row>
    <row r="344" spans="1:1">
      <c r="A344" s="525"/>
    </row>
    <row r="345" spans="1:1">
      <c r="A345" s="525"/>
    </row>
    <row r="346" spans="1:1">
      <c r="A346" s="525"/>
    </row>
    <row r="347" spans="1:1">
      <c r="A347" s="525"/>
    </row>
    <row r="348" spans="1:1">
      <c r="A348" s="525"/>
    </row>
    <row r="349" spans="1:1">
      <c r="A349" s="525"/>
    </row>
    <row r="350" spans="1:1">
      <c r="A350" s="525"/>
    </row>
    <row r="351" spans="1:1">
      <c r="A351" s="525"/>
    </row>
    <row r="352" spans="1:1">
      <c r="A352" s="525"/>
    </row>
    <row r="353" spans="1:1">
      <c r="A353" s="525"/>
    </row>
    <row r="354" spans="1:1">
      <c r="A354" s="525"/>
    </row>
    <row r="355" spans="1:1">
      <c r="A355" s="525"/>
    </row>
    <row r="356" spans="1:1">
      <c r="A356" s="525"/>
    </row>
    <row r="357" spans="1:1">
      <c r="A357" s="525"/>
    </row>
    <row r="358" spans="1:1">
      <c r="A358" s="525"/>
    </row>
    <row r="359" spans="1:1">
      <c r="A359" s="525"/>
    </row>
    <row r="360" spans="1:1">
      <c r="A360" s="525"/>
    </row>
    <row r="361" spans="1:1">
      <c r="A361" s="525"/>
    </row>
    <row r="362" spans="1:1">
      <c r="A362" s="525"/>
    </row>
    <row r="363" spans="1:1">
      <c r="A363" s="525"/>
    </row>
    <row r="364" spans="1:1">
      <c r="A364" s="525"/>
    </row>
    <row r="365" spans="1:1">
      <c r="A365" s="525"/>
    </row>
    <row r="366" spans="1:1">
      <c r="A366" s="525"/>
    </row>
    <row r="367" spans="1:1">
      <c r="A367" s="525"/>
    </row>
    <row r="368" spans="1:1">
      <c r="A368" s="525"/>
    </row>
    <row r="369" spans="1:1">
      <c r="A369" s="525"/>
    </row>
    <row r="370" spans="1:1">
      <c r="A370" s="525"/>
    </row>
    <row r="371" spans="1:1">
      <c r="A371" s="525"/>
    </row>
    <row r="372" spans="1:1">
      <c r="A372" s="525"/>
    </row>
    <row r="373" spans="1:1">
      <c r="A373" s="525"/>
    </row>
    <row r="374" spans="1:1">
      <c r="A374" s="525"/>
    </row>
    <row r="375" spans="1:1">
      <c r="A375" s="525"/>
    </row>
    <row r="376" spans="1:1">
      <c r="A376" s="525"/>
    </row>
    <row r="377" spans="1:1">
      <c r="A377" s="525"/>
    </row>
    <row r="378" spans="1:1">
      <c r="A378" s="525"/>
    </row>
    <row r="379" spans="1:1">
      <c r="A379" s="525"/>
    </row>
    <row r="380" spans="1:1">
      <c r="A380" s="525"/>
    </row>
    <row r="381" spans="1:1">
      <c r="A381" s="525"/>
    </row>
    <row r="382" spans="1:1">
      <c r="A382" s="525"/>
    </row>
    <row r="383" spans="1:1">
      <c r="A383" s="525"/>
    </row>
    <row r="384" spans="1:1">
      <c r="A384" s="525"/>
    </row>
    <row r="385" spans="1:1">
      <c r="A385" s="525"/>
    </row>
    <row r="386" spans="1:1">
      <c r="A386" s="525"/>
    </row>
    <row r="387" spans="1:1">
      <c r="A387" s="525"/>
    </row>
    <row r="388" spans="1:1">
      <c r="A388" s="525"/>
    </row>
    <row r="389" spans="1:1">
      <c r="A389" s="525"/>
    </row>
    <row r="390" spans="1:1">
      <c r="A390" s="525"/>
    </row>
    <row r="391" spans="1:1">
      <c r="A391" s="525"/>
    </row>
    <row r="392" spans="1:1">
      <c r="A392" s="525"/>
    </row>
    <row r="393" spans="1:1">
      <c r="A393" s="525"/>
    </row>
    <row r="394" spans="1:1">
      <c r="A394" s="525"/>
    </row>
    <row r="395" spans="1:1">
      <c r="A395" s="525"/>
    </row>
    <row r="396" spans="1:1">
      <c r="A396" s="525"/>
    </row>
    <row r="397" spans="1:1">
      <c r="A397" s="525"/>
    </row>
    <row r="398" spans="1:1">
      <c r="A398" s="525"/>
    </row>
    <row r="399" spans="1:1">
      <c r="A399" s="525"/>
    </row>
    <row r="400" spans="1:1">
      <c r="A400" s="525"/>
    </row>
    <row r="401" spans="1:1">
      <c r="A401" s="525"/>
    </row>
    <row r="402" spans="1:1">
      <c r="A402" s="525"/>
    </row>
    <row r="403" spans="1:1">
      <c r="A403" s="525"/>
    </row>
    <row r="404" spans="1:1">
      <c r="A404" s="525"/>
    </row>
    <row r="405" spans="1:1">
      <c r="A405" s="525"/>
    </row>
    <row r="406" spans="1:1">
      <c r="A406" s="525"/>
    </row>
    <row r="407" spans="1:1">
      <c r="A407" s="525"/>
    </row>
    <row r="408" spans="1:1">
      <c r="A408" s="525"/>
    </row>
    <row r="409" spans="1:1">
      <c r="A409" s="525"/>
    </row>
    <row r="410" spans="1:1">
      <c r="A410" s="525"/>
    </row>
    <row r="411" spans="1:1">
      <c r="A411" s="525"/>
    </row>
    <row r="412" spans="1:1">
      <c r="A412" s="525"/>
    </row>
    <row r="413" spans="1:1">
      <c r="A413" s="525"/>
    </row>
    <row r="414" spans="1:1">
      <c r="A414" s="525"/>
    </row>
    <row r="415" spans="1:1">
      <c r="A415" s="525"/>
    </row>
    <row r="416" spans="1:1">
      <c r="A416" s="525"/>
    </row>
    <row r="417" spans="1:1">
      <c r="A417" s="525"/>
    </row>
    <row r="418" spans="1:1">
      <c r="A418" s="525"/>
    </row>
    <row r="419" spans="1:1">
      <c r="A419" s="525"/>
    </row>
    <row r="420" spans="1:1">
      <c r="A420" s="525"/>
    </row>
    <row r="421" spans="1:1">
      <c r="A421" s="525"/>
    </row>
    <row r="422" spans="1:1">
      <c r="A422" s="525"/>
    </row>
    <row r="423" spans="1:1">
      <c r="A423" s="525"/>
    </row>
    <row r="424" spans="1:1">
      <c r="A424" s="525"/>
    </row>
    <row r="425" spans="1:1">
      <c r="A425" s="525"/>
    </row>
    <row r="426" spans="1:1">
      <c r="A426" s="525"/>
    </row>
    <row r="427" spans="1:1">
      <c r="A427" s="525"/>
    </row>
    <row r="428" spans="1:1">
      <c r="A428" s="525"/>
    </row>
    <row r="429" spans="1:1">
      <c r="A429" s="525"/>
    </row>
    <row r="430" spans="1:1">
      <c r="A430" s="525"/>
    </row>
    <row r="431" spans="1:1">
      <c r="A431" s="525"/>
    </row>
    <row r="432" spans="1:1">
      <c r="A432" s="525"/>
    </row>
    <row r="433" spans="1:1">
      <c r="A433" s="525"/>
    </row>
    <row r="434" spans="1:1">
      <c r="A434" s="525"/>
    </row>
    <row r="435" spans="1:1">
      <c r="A435" s="525"/>
    </row>
    <row r="436" spans="1:1">
      <c r="A436" s="525"/>
    </row>
    <row r="437" spans="1:1">
      <c r="A437" s="525"/>
    </row>
    <row r="438" spans="1:1">
      <c r="A438" s="525"/>
    </row>
    <row r="439" spans="1:1">
      <c r="A439" s="525"/>
    </row>
    <row r="440" spans="1:1">
      <c r="A440" s="525"/>
    </row>
    <row r="441" spans="1:1">
      <c r="A441" s="525"/>
    </row>
    <row r="442" spans="1:1">
      <c r="A442" s="525"/>
    </row>
    <row r="443" spans="1:1">
      <c r="A443" s="525"/>
    </row>
    <row r="444" spans="1:1">
      <c r="A444" s="525"/>
    </row>
    <row r="445" spans="1:1">
      <c r="A445" s="525"/>
    </row>
    <row r="446" spans="1:1">
      <c r="A446" s="525"/>
    </row>
    <row r="447" spans="1:1">
      <c r="A447" s="525"/>
    </row>
    <row r="448" spans="1:1">
      <c r="A448" s="525"/>
    </row>
    <row r="449" spans="1:1">
      <c r="A449" s="525"/>
    </row>
    <row r="450" spans="1:1">
      <c r="A450" s="525"/>
    </row>
    <row r="451" spans="1:1">
      <c r="A451" s="525"/>
    </row>
    <row r="452" spans="1:1">
      <c r="A452" s="525"/>
    </row>
    <row r="453" spans="1:1">
      <c r="A453" s="525"/>
    </row>
    <row r="454" spans="1:1">
      <c r="A454" s="525"/>
    </row>
    <row r="455" spans="1:1">
      <c r="A455" s="525"/>
    </row>
    <row r="456" spans="1:1">
      <c r="A456" s="525"/>
    </row>
    <row r="457" spans="1:1">
      <c r="A457" s="525"/>
    </row>
    <row r="458" spans="1:1">
      <c r="A458" s="525"/>
    </row>
    <row r="459" spans="1:1">
      <c r="A459" s="525"/>
    </row>
    <row r="460" spans="1:1">
      <c r="A460" s="525"/>
    </row>
    <row r="461" spans="1:1">
      <c r="A461" s="525"/>
    </row>
    <row r="462" spans="1:1">
      <c r="A462" s="525"/>
    </row>
    <row r="463" spans="1:1">
      <c r="A463" s="525"/>
    </row>
    <row r="464" spans="1:1">
      <c r="A464" s="525"/>
    </row>
    <row r="465" spans="1:1">
      <c r="A465" s="525"/>
    </row>
    <row r="466" spans="1:1">
      <c r="A466" s="525"/>
    </row>
    <row r="467" spans="1:1">
      <c r="A467" s="525"/>
    </row>
    <row r="468" spans="1:1">
      <c r="A468" s="525"/>
    </row>
    <row r="469" spans="1:1">
      <c r="A469" s="525"/>
    </row>
    <row r="470" spans="1:1">
      <c r="A470" s="525"/>
    </row>
    <row r="471" spans="1:1">
      <c r="A471" s="525"/>
    </row>
    <row r="472" spans="1:1">
      <c r="A472" s="525"/>
    </row>
    <row r="473" spans="1:1">
      <c r="A473" s="525"/>
    </row>
    <row r="474" spans="1:1">
      <c r="A474" s="525"/>
    </row>
    <row r="475" spans="1:1">
      <c r="A475" s="525"/>
    </row>
    <row r="476" spans="1:1">
      <c r="A476" s="525"/>
    </row>
    <row r="477" spans="1:1">
      <c r="A477" s="525"/>
    </row>
    <row r="478" spans="1:1">
      <c r="A478" s="525"/>
    </row>
    <row r="479" spans="1:1">
      <c r="A479" s="525"/>
    </row>
    <row r="480" spans="1:1">
      <c r="A480" s="525"/>
    </row>
    <row r="481" spans="1:1">
      <c r="A481" s="525"/>
    </row>
    <row r="482" spans="1:1">
      <c r="A482" s="525"/>
    </row>
    <row r="483" spans="1:1">
      <c r="A483" s="525"/>
    </row>
    <row r="484" spans="1:1">
      <c r="A484" s="525"/>
    </row>
    <row r="485" spans="1:1">
      <c r="A485" s="525"/>
    </row>
    <row r="486" spans="1:1">
      <c r="A486" s="525"/>
    </row>
    <row r="487" spans="1:1">
      <c r="A487" s="525"/>
    </row>
    <row r="488" spans="1:1">
      <c r="A488" s="525"/>
    </row>
    <row r="489" spans="1:1">
      <c r="A489" s="525"/>
    </row>
    <row r="490" spans="1:1">
      <c r="A490" s="525"/>
    </row>
    <row r="491" spans="1:1">
      <c r="A491" s="525"/>
    </row>
    <row r="492" spans="1:1">
      <c r="A492" s="525"/>
    </row>
    <row r="493" spans="1:1">
      <c r="A493" s="525"/>
    </row>
    <row r="494" spans="1:1">
      <c r="A494" s="525"/>
    </row>
    <row r="495" spans="1:1">
      <c r="A495" s="525"/>
    </row>
    <row r="496" spans="1:1">
      <c r="A496" s="525"/>
    </row>
    <row r="497" spans="1:1">
      <c r="A497" s="525"/>
    </row>
    <row r="498" spans="1:1">
      <c r="A498" s="525"/>
    </row>
    <row r="499" spans="1:1">
      <c r="A499" s="525"/>
    </row>
    <row r="500" spans="1:1">
      <c r="A500" s="525"/>
    </row>
    <row r="501" spans="1:1">
      <c r="A501" s="525"/>
    </row>
    <row r="502" spans="1:1">
      <c r="A502" s="525"/>
    </row>
    <row r="503" spans="1:1">
      <c r="A503" s="525"/>
    </row>
    <row r="504" spans="1:1">
      <c r="A504" s="525"/>
    </row>
    <row r="505" spans="1:1">
      <c r="A505" s="525"/>
    </row>
    <row r="506" spans="1:1">
      <c r="A506" s="525"/>
    </row>
    <row r="507" spans="1:1">
      <c r="A507" s="525"/>
    </row>
    <row r="508" spans="1:1">
      <c r="A508" s="525"/>
    </row>
    <row r="509" spans="1:1">
      <c r="A509" s="525"/>
    </row>
    <row r="510" spans="1:1">
      <c r="A510" s="525"/>
    </row>
    <row r="511" spans="1:1">
      <c r="A511" s="525"/>
    </row>
    <row r="512" spans="1:1">
      <c r="A512" s="525"/>
    </row>
    <row r="513" spans="1:1">
      <c r="A513" s="525"/>
    </row>
    <row r="514" spans="1:1">
      <c r="A514" s="525"/>
    </row>
    <row r="515" spans="1:1">
      <c r="A515" s="525"/>
    </row>
    <row r="516" spans="1:1">
      <c r="A516" s="525"/>
    </row>
    <row r="517" spans="1:1">
      <c r="A517" s="525"/>
    </row>
    <row r="518" spans="1:1">
      <c r="A518" s="525"/>
    </row>
    <row r="519" spans="1:1">
      <c r="A519" s="525"/>
    </row>
    <row r="520" spans="1:1">
      <c r="A520" s="525"/>
    </row>
    <row r="521" spans="1:1">
      <c r="A521" s="525"/>
    </row>
    <row r="522" spans="1:1">
      <c r="A522" s="525"/>
    </row>
    <row r="523" spans="1:1">
      <c r="A523" s="525"/>
    </row>
    <row r="524" spans="1:1">
      <c r="A524" s="525"/>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W149"/>
  <sheetViews>
    <sheetView zoomScale="70" zoomScaleNormal="70" zoomScaleSheetLayoutView="80" workbookViewId="0">
      <selection activeCell="P5" sqref="P5"/>
    </sheetView>
  </sheetViews>
  <sheetFormatPr defaultColWidth="8.85546875" defaultRowHeight="14.25"/>
  <cols>
    <col min="1" max="1" width="8.5703125" style="146" bestFit="1" customWidth="1"/>
    <col min="2" max="2" width="33.5703125" style="146" customWidth="1"/>
    <col min="3" max="4" width="12.5703125" style="146" customWidth="1"/>
    <col min="5" max="5" width="15.5703125" style="146" customWidth="1"/>
    <col min="6" max="6" width="14.7109375" style="146" customWidth="1"/>
    <col min="7" max="7" width="16" style="146" customWidth="1"/>
    <col min="8" max="8" width="16.42578125" style="146" customWidth="1"/>
    <col min="9" max="9" width="12.5703125" style="928" customWidth="1"/>
    <col min="10" max="15" width="12.5703125" style="146" customWidth="1"/>
    <col min="16" max="16" width="8.85546875" style="146" customWidth="1"/>
    <col min="17" max="16384" width="8.85546875" style="146"/>
  </cols>
  <sheetData>
    <row r="2" spans="1:23" ht="15" customHeight="1">
      <c r="B2" s="899"/>
      <c r="C2" s="842" t="s">
        <v>1398</v>
      </c>
      <c r="D2" s="843"/>
      <c r="E2" s="844"/>
      <c r="F2" s="842" t="s">
        <v>145</v>
      </c>
      <c r="G2" s="843"/>
      <c r="H2" s="844"/>
      <c r="I2" s="900" t="s">
        <v>1399</v>
      </c>
      <c r="J2" s="842" t="s">
        <v>144</v>
      </c>
      <c r="K2" s="843"/>
      <c r="L2" s="842" t="s">
        <v>1411</v>
      </c>
      <c r="M2" s="843"/>
      <c r="N2" s="843"/>
      <c r="O2" s="844"/>
    </row>
    <row r="3" spans="1:23">
      <c r="A3" s="901" t="s">
        <v>181</v>
      </c>
      <c r="B3" s="902" t="s">
        <v>155</v>
      </c>
      <c r="C3" s="903" t="s">
        <v>1324</v>
      </c>
      <c r="D3" s="854" t="s">
        <v>143</v>
      </c>
      <c r="E3" s="904" t="s">
        <v>1325</v>
      </c>
      <c r="F3" s="903" t="s">
        <v>1325</v>
      </c>
      <c r="G3" s="854" t="s">
        <v>1375</v>
      </c>
      <c r="H3" s="904" t="s">
        <v>1390</v>
      </c>
      <c r="I3" s="905"/>
      <c r="J3" s="903" t="s">
        <v>140</v>
      </c>
      <c r="K3" s="854" t="s">
        <v>1400</v>
      </c>
      <c r="L3" s="903" t="s">
        <v>182</v>
      </c>
      <c r="M3" s="854" t="s">
        <v>1414</v>
      </c>
      <c r="N3" s="854" t="s">
        <v>1412</v>
      </c>
      <c r="O3" s="904" t="s">
        <v>1413</v>
      </c>
      <c r="Q3" s="317"/>
    </row>
    <row r="4" spans="1:23">
      <c r="A4" s="906" t="str">
        <f>Input!C2</f>
        <v>A</v>
      </c>
      <c r="B4" s="907" t="s">
        <v>4164</v>
      </c>
      <c r="C4" s="862">
        <v>0.1</v>
      </c>
      <c r="D4" s="862">
        <v>0.1197</v>
      </c>
      <c r="E4" s="862">
        <v>0.12</v>
      </c>
      <c r="F4" s="908">
        <v>0.85</v>
      </c>
      <c r="G4" s="909">
        <v>1.0691213607788086</v>
      </c>
      <c r="H4" s="910">
        <v>0.77</v>
      </c>
      <c r="I4" s="864">
        <v>0.9</v>
      </c>
      <c r="J4" s="909" t="s">
        <v>225</v>
      </c>
      <c r="K4" s="909" t="s">
        <v>223</v>
      </c>
      <c r="L4" s="911">
        <v>0.5887</v>
      </c>
      <c r="M4" s="911">
        <v>2.6442000000000001</v>
      </c>
      <c r="N4" s="911">
        <v>3.2648000000000001</v>
      </c>
      <c r="O4" s="912">
        <v>6.5799999999999997E-2</v>
      </c>
      <c r="Q4"/>
      <c r="S4" s="913"/>
      <c r="T4"/>
      <c r="U4" s="514"/>
      <c r="V4"/>
      <c r="W4"/>
    </row>
    <row r="5" spans="1:23">
      <c r="A5" s="914" t="str">
        <f>Input!C3</f>
        <v>ABT</v>
      </c>
      <c r="B5" s="88" t="s">
        <v>4165</v>
      </c>
      <c r="C5" s="874">
        <v>5.0999999999999997E-2</v>
      </c>
      <c r="D5" s="874">
        <v>8.3000000000000004E-2</v>
      </c>
      <c r="E5" s="874">
        <v>7.0000000000000007E-2</v>
      </c>
      <c r="F5" s="915">
        <v>0.9</v>
      </c>
      <c r="G5" s="916">
        <v>0.76022017002105713</v>
      </c>
      <c r="H5" s="604">
        <v>0.81</v>
      </c>
      <c r="I5" s="877">
        <v>2.04</v>
      </c>
      <c r="J5" s="917" t="s">
        <v>191</v>
      </c>
      <c r="K5" s="916" t="s">
        <v>1370</v>
      </c>
      <c r="L5" s="918">
        <v>0.59260000000000002</v>
      </c>
      <c r="M5" s="918">
        <v>2.7622</v>
      </c>
      <c r="N5" s="918">
        <v>3.4226000000000001</v>
      </c>
      <c r="O5" s="919">
        <v>6.88E-2</v>
      </c>
      <c r="Q5"/>
      <c r="S5" s="913"/>
      <c r="T5"/>
      <c r="U5" s="514"/>
      <c r="V5"/>
      <c r="W5"/>
    </row>
    <row r="6" spans="1:23">
      <c r="A6" s="914" t="str">
        <f>Input!C4</f>
        <v>ADI</v>
      </c>
      <c r="B6" s="88" t="s">
        <v>4518</v>
      </c>
      <c r="C6" s="874">
        <v>0.123</v>
      </c>
      <c r="D6" s="874">
        <v>0.1487</v>
      </c>
      <c r="E6" s="874">
        <v>0.115</v>
      </c>
      <c r="F6" s="915">
        <v>0.95</v>
      </c>
      <c r="G6" s="916">
        <v>1.0239076614379883</v>
      </c>
      <c r="H6" s="604">
        <v>0.87</v>
      </c>
      <c r="I6" s="877">
        <v>3.04</v>
      </c>
      <c r="J6" s="917" t="s">
        <v>219</v>
      </c>
      <c r="K6" s="916" t="s">
        <v>193</v>
      </c>
      <c r="L6" s="918">
        <v>0.60760000000000003</v>
      </c>
      <c r="M6" s="918">
        <v>2.8416999999999999</v>
      </c>
      <c r="N6" s="918">
        <v>3.5710000000000002</v>
      </c>
      <c r="O6" s="919">
        <v>7.0699999999999999E-2</v>
      </c>
      <c r="Q6"/>
      <c r="S6" s="913"/>
      <c r="T6"/>
      <c r="U6" s="514"/>
      <c r="V6"/>
      <c r="W6"/>
    </row>
    <row r="7" spans="1:23">
      <c r="A7" s="914" t="str">
        <f>Input!C5</f>
        <v>AIZ</v>
      </c>
      <c r="B7" s="88" t="s">
        <v>3020</v>
      </c>
      <c r="C7" s="874">
        <v>0.127</v>
      </c>
      <c r="D7" s="874">
        <v>0.17399999999999999</v>
      </c>
      <c r="E7" s="874">
        <v>0.155</v>
      </c>
      <c r="F7" s="915">
        <v>0.95</v>
      </c>
      <c r="G7" s="916">
        <v>0.72135257720947266</v>
      </c>
      <c r="H7" s="604">
        <v>0.85</v>
      </c>
      <c r="I7" s="877">
        <v>2.8</v>
      </c>
      <c r="J7" s="917" t="s">
        <v>225</v>
      </c>
      <c r="K7" s="916" t="s">
        <v>222</v>
      </c>
      <c r="L7" s="918">
        <v>0.61460000000000004</v>
      </c>
      <c r="M7" s="918">
        <v>2.7366000000000001</v>
      </c>
      <c r="N7" s="918">
        <v>3.4624999999999999</v>
      </c>
      <c r="O7" s="919">
        <v>6.8099999999999994E-2</v>
      </c>
      <c r="Q7"/>
      <c r="S7" s="913"/>
      <c r="T7"/>
      <c r="U7" s="514"/>
      <c r="V7"/>
      <c r="W7"/>
    </row>
    <row r="8" spans="1:23">
      <c r="A8" s="914" t="str">
        <f>Input!C6</f>
        <v>AOS</v>
      </c>
      <c r="B8" s="88" t="s">
        <v>4166</v>
      </c>
      <c r="C8" s="874">
        <v>0.09</v>
      </c>
      <c r="D8" s="874">
        <v>0.08</v>
      </c>
      <c r="E8" s="874">
        <v>0.115</v>
      </c>
      <c r="F8" s="915">
        <v>0.85</v>
      </c>
      <c r="G8" s="916">
        <v>1.0350164175033569</v>
      </c>
      <c r="H8" s="604">
        <v>0.76</v>
      </c>
      <c r="I8" s="877">
        <v>1.2</v>
      </c>
      <c r="J8" s="917" t="s">
        <v>1447</v>
      </c>
      <c r="K8" s="916" t="s">
        <v>1447</v>
      </c>
      <c r="L8" s="918">
        <v>0.57469999999999999</v>
      </c>
      <c r="M8" s="918">
        <v>2.7271999999999998</v>
      </c>
      <c r="N8" s="918">
        <v>3.3260000000000001</v>
      </c>
      <c r="O8" s="919">
        <v>6.7900000000000002E-2</v>
      </c>
      <c r="Q8"/>
      <c r="S8" s="913"/>
      <c r="T8"/>
      <c r="U8" s="514"/>
      <c r="V8"/>
      <c r="W8"/>
    </row>
    <row r="9" spans="1:23">
      <c r="A9" s="914" t="str">
        <f>Input!C7</f>
        <v>APD</v>
      </c>
      <c r="B9" s="88" t="s">
        <v>4251</v>
      </c>
      <c r="C9" s="874">
        <v>0.122</v>
      </c>
      <c r="D9" s="874">
        <v>0.1065</v>
      </c>
      <c r="E9" s="874">
        <v>0.11</v>
      </c>
      <c r="F9" s="915">
        <v>0.9</v>
      </c>
      <c r="G9" s="916">
        <v>0.80731379985809326</v>
      </c>
      <c r="H9" s="604">
        <v>0.79</v>
      </c>
      <c r="I9" s="877">
        <v>6.48</v>
      </c>
      <c r="J9" s="917" t="s">
        <v>189</v>
      </c>
      <c r="K9" s="916" t="s">
        <v>192</v>
      </c>
      <c r="L9" s="918">
        <v>0.6018</v>
      </c>
      <c r="M9" s="918">
        <v>2.6236999999999999</v>
      </c>
      <c r="N9" s="918">
        <v>3.2789000000000001</v>
      </c>
      <c r="O9" s="919">
        <v>6.5299999999999997E-2</v>
      </c>
      <c r="Q9"/>
      <c r="S9" s="913"/>
      <c r="T9"/>
      <c r="U9" s="514"/>
      <c r="V9"/>
      <c r="W9"/>
    </row>
    <row r="10" spans="1:23">
      <c r="A10" s="914" t="str">
        <f>Input!C8</f>
        <v>BFB</v>
      </c>
      <c r="B10" s="88" t="s">
        <v>4167</v>
      </c>
      <c r="C10" s="874" t="s">
        <v>1447</v>
      </c>
      <c r="D10" s="874">
        <v>8.6199999999999999E-2</v>
      </c>
      <c r="E10" s="874">
        <v>0.14499999999999999</v>
      </c>
      <c r="F10" s="915">
        <v>0.9</v>
      </c>
      <c r="G10" s="916">
        <v>0.79479449987411499</v>
      </c>
      <c r="H10" s="604">
        <v>0.8</v>
      </c>
      <c r="I10" s="877">
        <v>0.82199999999999995</v>
      </c>
      <c r="J10" s="917" t="s">
        <v>191</v>
      </c>
      <c r="K10" s="916" t="s">
        <v>193</v>
      </c>
      <c r="L10" s="918">
        <v>0.59760000000000002</v>
      </c>
      <c r="M10" s="918">
        <v>2.6915</v>
      </c>
      <c r="N10" s="918">
        <v>3.3504</v>
      </c>
      <c r="O10" s="919">
        <v>6.7000000000000004E-2</v>
      </c>
      <c r="Q10"/>
      <c r="S10" s="913"/>
      <c r="T10"/>
      <c r="U10" s="514"/>
      <c r="V10"/>
      <c r="W10"/>
    </row>
    <row r="11" spans="1:23">
      <c r="A11" s="914" t="str">
        <f>Input!C9</f>
        <v>BMY</v>
      </c>
      <c r="B11" s="88" t="s">
        <v>4252</v>
      </c>
      <c r="C11" s="874">
        <v>5.6000000000000001E-2</v>
      </c>
      <c r="D11" s="874">
        <v>4.1399999999999999E-2</v>
      </c>
      <c r="E11" s="874" t="s">
        <v>4057</v>
      </c>
      <c r="F11" s="915">
        <v>0.85</v>
      </c>
      <c r="G11" s="916">
        <v>0.49832990765571594</v>
      </c>
      <c r="H11" s="604">
        <v>0.76</v>
      </c>
      <c r="I11" s="877">
        <v>2.2799999999999998</v>
      </c>
      <c r="J11" s="917" t="s">
        <v>189</v>
      </c>
      <c r="K11" s="916" t="s">
        <v>190</v>
      </c>
      <c r="L11" s="918">
        <v>0.53239999999999998</v>
      </c>
      <c r="M11" s="918">
        <v>3.0329999999999999</v>
      </c>
      <c r="N11" s="918">
        <v>3.5758999999999999</v>
      </c>
      <c r="O11" s="919">
        <v>7.5499999999999998E-2</v>
      </c>
      <c r="Q11"/>
      <c r="S11" s="913"/>
      <c r="T11"/>
      <c r="U11" s="514"/>
      <c r="V11"/>
      <c r="W11"/>
    </row>
    <row r="12" spans="1:23">
      <c r="A12" s="914" t="str">
        <f>Input!C10</f>
        <v>BR</v>
      </c>
      <c r="B12" s="88" t="s">
        <v>4168</v>
      </c>
      <c r="C12" s="874" t="s">
        <v>1447</v>
      </c>
      <c r="D12" s="874">
        <v>0.11799999999999999</v>
      </c>
      <c r="E12" s="874">
        <v>9.5000000000000001E-2</v>
      </c>
      <c r="F12" s="915">
        <v>0.85</v>
      </c>
      <c r="G12" s="916">
        <v>0.98402196168899536</v>
      </c>
      <c r="H12" s="604">
        <v>0.7</v>
      </c>
      <c r="I12" s="877">
        <v>2.9</v>
      </c>
      <c r="J12" s="917" t="s">
        <v>224</v>
      </c>
      <c r="K12" s="916" t="s">
        <v>223</v>
      </c>
      <c r="L12" s="918">
        <v>0.53849999999999998</v>
      </c>
      <c r="M12" s="918">
        <v>2.7610000000000001</v>
      </c>
      <c r="N12" s="918">
        <v>3.2704</v>
      </c>
      <c r="O12" s="919">
        <v>6.8699999999999997E-2</v>
      </c>
      <c r="Q12"/>
      <c r="S12" s="913"/>
      <c r="T12"/>
      <c r="U12" s="514"/>
      <c r="V12"/>
      <c r="W12"/>
    </row>
    <row r="13" spans="1:23">
      <c r="A13" s="914" t="str">
        <f>Input!C11</f>
        <v>CACI</v>
      </c>
      <c r="B13" s="88" t="s">
        <v>3977</v>
      </c>
      <c r="C13" s="874">
        <v>6.7000000000000004E-2</v>
      </c>
      <c r="D13" s="874">
        <v>2.4E-2</v>
      </c>
      <c r="E13" s="874">
        <v>7.0000000000000007E-2</v>
      </c>
      <c r="F13" s="915">
        <v>0.9</v>
      </c>
      <c r="G13" s="916">
        <v>0.74475908279418945</v>
      </c>
      <c r="H13" s="604">
        <v>0.84</v>
      </c>
      <c r="I13" s="877" t="s">
        <v>1447</v>
      </c>
      <c r="J13" s="917" t="s">
        <v>1447</v>
      </c>
      <c r="K13" s="916" t="s">
        <v>1304</v>
      </c>
      <c r="L13" s="918">
        <v>0.57669999999999999</v>
      </c>
      <c r="M13" s="918">
        <v>2.9845999999999999</v>
      </c>
      <c r="N13" s="918">
        <v>3.6463000000000001</v>
      </c>
      <c r="O13" s="919">
        <v>7.4300000000000005E-2</v>
      </c>
      <c r="Q13"/>
      <c r="S13" s="913"/>
      <c r="T13"/>
      <c r="U13" s="514"/>
      <c r="V13"/>
      <c r="W13"/>
    </row>
    <row r="14" spans="1:23">
      <c r="A14" s="914" t="str">
        <f>Input!C12</f>
        <v>CHE</v>
      </c>
      <c r="B14" s="88" t="s">
        <v>4169</v>
      </c>
      <c r="C14" s="874">
        <v>6.9000000000000006E-2</v>
      </c>
      <c r="D14" s="874">
        <v>6.9500000000000006E-2</v>
      </c>
      <c r="E14" s="874">
        <v>7.0000000000000007E-2</v>
      </c>
      <c r="F14" s="915">
        <v>0.85</v>
      </c>
      <c r="G14" s="916">
        <v>0.72125041484832764</v>
      </c>
      <c r="H14" s="604">
        <v>0.7</v>
      </c>
      <c r="I14" s="877">
        <v>1.52</v>
      </c>
      <c r="J14" s="917" t="s">
        <v>3959</v>
      </c>
      <c r="K14" s="916" t="s">
        <v>2296</v>
      </c>
      <c r="L14" s="918">
        <v>0.54020000000000001</v>
      </c>
      <c r="M14" s="918">
        <v>2.7214999999999998</v>
      </c>
      <c r="N14" s="918">
        <v>3.2275999999999998</v>
      </c>
      <c r="O14" s="919">
        <v>6.7699999999999996E-2</v>
      </c>
      <c r="Q14"/>
      <c r="S14" s="913"/>
      <c r="T14"/>
      <c r="U14" s="514"/>
      <c r="V14"/>
      <c r="W14"/>
    </row>
    <row r="15" spans="1:23">
      <c r="A15" s="914" t="str">
        <f>Input!C13</f>
        <v>CSWI</v>
      </c>
      <c r="B15" s="88" t="s">
        <v>4062</v>
      </c>
      <c r="C15" s="874" t="s">
        <v>1447</v>
      </c>
      <c r="D15" s="874">
        <v>0.12</v>
      </c>
      <c r="E15" s="874">
        <v>0.115</v>
      </c>
      <c r="F15" s="915">
        <v>0.9</v>
      </c>
      <c r="G15" s="916">
        <v>0.77070599794387817</v>
      </c>
      <c r="H15" s="604">
        <v>0.8</v>
      </c>
      <c r="I15" s="877">
        <v>0.68</v>
      </c>
      <c r="J15" s="917" t="s">
        <v>1447</v>
      </c>
      <c r="K15" s="916" t="s">
        <v>1447</v>
      </c>
      <c r="L15" s="918">
        <v>0.56759999999999999</v>
      </c>
      <c r="M15" s="918">
        <v>2.9127000000000001</v>
      </c>
      <c r="N15" s="918">
        <v>3.5308999999999999</v>
      </c>
      <c r="O15" s="919">
        <v>7.2499999999999995E-2</v>
      </c>
      <c r="Q15"/>
      <c r="S15" s="913"/>
      <c r="T15"/>
      <c r="U15" s="514"/>
      <c r="V15"/>
      <c r="W15"/>
    </row>
    <row r="16" spans="1:23">
      <c r="A16" s="914" t="str">
        <f>Input!C14</f>
        <v>DGX</v>
      </c>
      <c r="B16" s="88" t="s">
        <v>4519</v>
      </c>
      <c r="C16" s="874" t="s">
        <v>1447</v>
      </c>
      <c r="D16" s="874">
        <v>-0.156</v>
      </c>
      <c r="E16" s="874">
        <v>0.04</v>
      </c>
      <c r="F16" s="915">
        <v>0.8</v>
      </c>
      <c r="G16" s="916">
        <v>0.69651615619659424</v>
      </c>
      <c r="H16" s="604">
        <v>0.69</v>
      </c>
      <c r="I16" s="877">
        <v>2.64</v>
      </c>
      <c r="J16" s="917" t="s">
        <v>225</v>
      </c>
      <c r="K16" s="916" t="s">
        <v>223</v>
      </c>
      <c r="L16" s="918">
        <v>0.49719999999999998</v>
      </c>
      <c r="M16" s="918">
        <v>3.0217999999999998</v>
      </c>
      <c r="N16" s="918">
        <v>3.476</v>
      </c>
      <c r="O16" s="919">
        <v>7.5200000000000003E-2</v>
      </c>
      <c r="Q16"/>
      <c r="S16" s="913"/>
      <c r="T16"/>
      <c r="U16" s="514"/>
      <c r="V16"/>
      <c r="W16"/>
    </row>
    <row r="17" spans="1:23">
      <c r="A17" s="914" t="str">
        <f>Input!C15</f>
        <v>EXPO</v>
      </c>
      <c r="B17" s="88" t="s">
        <v>3021</v>
      </c>
      <c r="C17" s="874" t="s">
        <v>1447</v>
      </c>
      <c r="D17" s="874">
        <v>0.15</v>
      </c>
      <c r="E17" s="874">
        <v>0.105</v>
      </c>
      <c r="F17" s="915">
        <v>0.9</v>
      </c>
      <c r="G17" s="916">
        <v>0.99756920337677002</v>
      </c>
      <c r="H17" s="604">
        <v>0.8</v>
      </c>
      <c r="I17" s="877">
        <v>0.96</v>
      </c>
      <c r="J17" s="917" t="s">
        <v>1447</v>
      </c>
      <c r="K17" s="916" t="s">
        <v>1447</v>
      </c>
      <c r="L17" s="918">
        <v>0.56989999999999996</v>
      </c>
      <c r="M17" s="918">
        <v>2.8742000000000001</v>
      </c>
      <c r="N17" s="918">
        <v>3.4910000000000001</v>
      </c>
      <c r="O17" s="919">
        <v>7.1499999999999994E-2</v>
      </c>
      <c r="Q17"/>
      <c r="S17" s="913"/>
      <c r="T17"/>
      <c r="U17" s="514"/>
      <c r="V17"/>
      <c r="W17"/>
    </row>
    <row r="18" spans="1:23">
      <c r="A18" s="914" t="str">
        <f>Input!C16</f>
        <v>INGR</v>
      </c>
      <c r="B18" s="88" t="s">
        <v>3022</v>
      </c>
      <c r="C18" s="874" t="s">
        <v>1447</v>
      </c>
      <c r="D18" s="874">
        <v>9.9000000000000005E-2</v>
      </c>
      <c r="E18" s="874">
        <v>0.08</v>
      </c>
      <c r="F18" s="915">
        <v>0.9</v>
      </c>
      <c r="G18" s="916">
        <v>0.68774235248565674</v>
      </c>
      <c r="H18" s="604">
        <v>0.85</v>
      </c>
      <c r="I18" s="877">
        <v>2.84</v>
      </c>
      <c r="J18" s="917" t="s">
        <v>224</v>
      </c>
      <c r="K18" s="916" t="s">
        <v>222</v>
      </c>
      <c r="L18" s="918">
        <v>0.5948</v>
      </c>
      <c r="M18" s="918">
        <v>2.8616999999999999</v>
      </c>
      <c r="N18" s="918">
        <v>3.5531000000000001</v>
      </c>
      <c r="O18" s="919">
        <v>7.1199999999999999E-2</v>
      </c>
      <c r="Q18"/>
      <c r="S18" s="913"/>
      <c r="T18"/>
      <c r="U18" s="514"/>
      <c r="V18"/>
      <c r="W18"/>
    </row>
    <row r="19" spans="1:23">
      <c r="A19" s="914" t="str">
        <f>Input!C17</f>
        <v>JJSF</v>
      </c>
      <c r="B19" s="88" t="s">
        <v>4520</v>
      </c>
      <c r="C19" s="874" t="s">
        <v>1447</v>
      </c>
      <c r="D19" s="874">
        <v>0.73099999999999998</v>
      </c>
      <c r="E19" s="874">
        <v>0.09</v>
      </c>
      <c r="F19" s="915">
        <v>0.95</v>
      </c>
      <c r="G19" s="916">
        <v>0.57813775539398193</v>
      </c>
      <c r="H19" s="604">
        <v>0.87</v>
      </c>
      <c r="I19" s="877">
        <v>2.8</v>
      </c>
      <c r="J19" s="917" t="s">
        <v>1447</v>
      </c>
      <c r="K19" s="916" t="s">
        <v>1447</v>
      </c>
      <c r="L19" s="918">
        <v>0.59009999999999996</v>
      </c>
      <c r="M19" s="918">
        <v>2.9765999999999999</v>
      </c>
      <c r="N19" s="918">
        <v>3.68</v>
      </c>
      <c r="O19" s="919">
        <v>7.4099999999999999E-2</v>
      </c>
      <c r="Q19"/>
      <c r="S19" s="913"/>
      <c r="T19"/>
      <c r="U19" s="514"/>
      <c r="V19"/>
      <c r="W19"/>
    </row>
    <row r="20" spans="1:23">
      <c r="A20" s="914" t="str">
        <f>Input!C18</f>
        <v>JKHY</v>
      </c>
      <c r="B20" s="88" t="s">
        <v>3938</v>
      </c>
      <c r="C20" s="874">
        <v>0.09</v>
      </c>
      <c r="D20" s="874">
        <v>0.09</v>
      </c>
      <c r="E20" s="874">
        <v>0.08</v>
      </c>
      <c r="F20" s="915">
        <v>0.85</v>
      </c>
      <c r="G20" s="916">
        <v>0.7571338415145874</v>
      </c>
      <c r="H20" s="604">
        <v>0.7</v>
      </c>
      <c r="I20" s="877">
        <v>1.96</v>
      </c>
      <c r="J20" s="917" t="s">
        <v>1447</v>
      </c>
      <c r="K20" s="916" t="s">
        <v>1447</v>
      </c>
      <c r="L20" s="918">
        <v>0.52210000000000001</v>
      </c>
      <c r="M20" s="918">
        <v>2.8820999999999999</v>
      </c>
      <c r="N20" s="918">
        <v>3.3727</v>
      </c>
      <c r="O20" s="919">
        <v>7.17E-2</v>
      </c>
      <c r="Q20"/>
      <c r="S20" s="913"/>
      <c r="T20"/>
      <c r="U20" s="514"/>
      <c r="V20"/>
      <c r="W20"/>
    </row>
    <row r="21" spans="1:23">
      <c r="A21" s="914" t="str">
        <f>Input!C19</f>
        <v>MKC</v>
      </c>
      <c r="B21" s="88" t="s">
        <v>4255</v>
      </c>
      <c r="C21" s="874">
        <v>5.2999999999999999E-2</v>
      </c>
      <c r="D21" s="874">
        <v>5.0999999999999997E-2</v>
      </c>
      <c r="E21" s="874">
        <v>0.05</v>
      </c>
      <c r="F21" s="915">
        <v>0.8</v>
      </c>
      <c r="G21" s="916">
        <v>0.72053992748260498</v>
      </c>
      <c r="H21" s="604">
        <v>0.66</v>
      </c>
      <c r="I21" s="877">
        <v>1.56</v>
      </c>
      <c r="J21" s="917" t="s">
        <v>225</v>
      </c>
      <c r="K21" s="916" t="s">
        <v>222</v>
      </c>
      <c r="L21" s="918">
        <v>0.50380000000000003</v>
      </c>
      <c r="M21" s="918">
        <v>2.8331</v>
      </c>
      <c r="N21" s="918">
        <v>3.2732999999999999</v>
      </c>
      <c r="O21" s="919">
        <v>7.0499999999999993E-2</v>
      </c>
      <c r="Q21"/>
      <c r="S21" s="913"/>
      <c r="T21"/>
      <c r="U21" s="514"/>
      <c r="V21"/>
      <c r="W21"/>
    </row>
    <row r="22" spans="1:23">
      <c r="A22" s="914" t="str">
        <f>Input!C20</f>
        <v>MRK</v>
      </c>
      <c r="B22" s="88" t="s">
        <v>4256</v>
      </c>
      <c r="C22" s="874">
        <v>0.104</v>
      </c>
      <c r="D22" s="874">
        <v>0.11890000000000001</v>
      </c>
      <c r="E22" s="874">
        <v>0.08</v>
      </c>
      <c r="F22" s="915">
        <v>0.8</v>
      </c>
      <c r="G22" s="916">
        <v>0.4687764048576355</v>
      </c>
      <c r="H22" s="604">
        <v>0.64</v>
      </c>
      <c r="I22" s="877">
        <v>2.92</v>
      </c>
      <c r="J22" s="917" t="s">
        <v>191</v>
      </c>
      <c r="K22" s="916" t="s">
        <v>190</v>
      </c>
      <c r="L22" s="918">
        <v>0.51880000000000004</v>
      </c>
      <c r="M22" s="918">
        <v>2.6539999999999999</v>
      </c>
      <c r="N22" s="918">
        <v>3.0985</v>
      </c>
      <c r="O22" s="919">
        <v>6.6100000000000006E-2</v>
      </c>
      <c r="Q22"/>
      <c r="S22" s="913"/>
      <c r="T22"/>
      <c r="U22" s="514"/>
      <c r="V22"/>
      <c r="W22"/>
    </row>
    <row r="23" spans="1:23">
      <c r="A23" s="914" t="str">
        <f>Input!C21</f>
        <v>MSCI</v>
      </c>
      <c r="B23" s="88" t="s">
        <v>4521</v>
      </c>
      <c r="C23" s="874" t="s">
        <v>1447</v>
      </c>
      <c r="D23" s="874">
        <v>0.12529999999999999</v>
      </c>
      <c r="E23" s="874">
        <v>0.14499999999999999</v>
      </c>
      <c r="F23" s="915">
        <v>0.95</v>
      </c>
      <c r="G23" s="916">
        <v>1.3656225204467773</v>
      </c>
      <c r="H23" s="604">
        <v>0.85</v>
      </c>
      <c r="I23" s="877">
        <v>5</v>
      </c>
      <c r="J23" s="917" t="s">
        <v>1305</v>
      </c>
      <c r="K23" s="916" t="s">
        <v>1304</v>
      </c>
      <c r="L23" s="918">
        <v>0.57789999999999997</v>
      </c>
      <c r="M23" s="918">
        <v>3.0171000000000001</v>
      </c>
      <c r="N23" s="918">
        <v>3.6897000000000002</v>
      </c>
      <c r="O23" s="919">
        <v>7.51E-2</v>
      </c>
      <c r="Q23"/>
      <c r="S23" s="913"/>
      <c r="T23"/>
      <c r="U23" s="514"/>
      <c r="V23"/>
      <c r="W23"/>
    </row>
    <row r="24" spans="1:23">
      <c r="A24" s="914" t="str">
        <f>Input!C22</f>
        <v>MSI</v>
      </c>
      <c r="B24" s="88" t="s">
        <v>4522</v>
      </c>
      <c r="C24" s="874">
        <v>0.09</v>
      </c>
      <c r="D24" s="874">
        <v>0.1118</v>
      </c>
      <c r="E24" s="874">
        <v>0.105</v>
      </c>
      <c r="F24" s="915">
        <v>0.9</v>
      </c>
      <c r="G24" s="916">
        <v>0.96679747104644775</v>
      </c>
      <c r="H24" s="604">
        <v>0.79</v>
      </c>
      <c r="I24" s="877">
        <v>3.52</v>
      </c>
      <c r="J24" s="917" t="s">
        <v>220</v>
      </c>
      <c r="K24" s="916" t="s">
        <v>221</v>
      </c>
      <c r="L24" s="918">
        <v>0.59630000000000005</v>
      </c>
      <c r="M24" s="918">
        <v>2.6757</v>
      </c>
      <c r="N24" s="918">
        <v>3.3267000000000002</v>
      </c>
      <c r="O24" s="919">
        <v>6.6600000000000006E-2</v>
      </c>
      <c r="Q24"/>
      <c r="S24" s="913"/>
      <c r="T24"/>
      <c r="U24" s="514"/>
      <c r="V24"/>
      <c r="W24"/>
    </row>
    <row r="25" spans="1:23">
      <c r="A25" s="914" t="str">
        <f>Input!C23</f>
        <v>NEU</v>
      </c>
      <c r="B25" s="88" t="s">
        <v>4257</v>
      </c>
      <c r="C25" s="874" t="s">
        <v>1447</v>
      </c>
      <c r="D25" s="874">
        <v>7.6999999999999999E-2</v>
      </c>
      <c r="E25" s="874">
        <v>-1.4999999999999999E-2</v>
      </c>
      <c r="F25" s="915">
        <v>0.75</v>
      </c>
      <c r="G25" s="916">
        <v>0.61711913347244263</v>
      </c>
      <c r="H25" s="604">
        <v>0.61</v>
      </c>
      <c r="I25" s="877">
        <v>8.4</v>
      </c>
      <c r="J25" s="917" t="s">
        <v>225</v>
      </c>
      <c r="K25" s="916" t="s">
        <v>223</v>
      </c>
      <c r="L25" s="918">
        <v>0.50019999999999998</v>
      </c>
      <c r="M25" s="918">
        <v>2.6488999999999998</v>
      </c>
      <c r="N25" s="918">
        <v>3.0533000000000001</v>
      </c>
      <c r="O25" s="919">
        <v>6.59E-2</v>
      </c>
      <c r="Q25"/>
      <c r="S25" s="913"/>
      <c r="T25"/>
      <c r="U25" s="514"/>
      <c r="V25"/>
      <c r="W25"/>
    </row>
    <row r="26" spans="1:23">
      <c r="A26" s="914" t="str">
        <f>Input!C24</f>
        <v>NOC</v>
      </c>
      <c r="B26" s="88" t="s">
        <v>4523</v>
      </c>
      <c r="C26" s="874">
        <v>3.3000000000000002E-2</v>
      </c>
      <c r="D26" s="874">
        <v>0.03</v>
      </c>
      <c r="E26" s="874">
        <v>6.5000000000000002E-2</v>
      </c>
      <c r="F26" s="915">
        <v>0.85</v>
      </c>
      <c r="G26" s="916">
        <v>0.65922749042510986</v>
      </c>
      <c r="H26" s="604">
        <v>0.74</v>
      </c>
      <c r="I26" s="877">
        <v>6.92</v>
      </c>
      <c r="J26" s="917" t="s">
        <v>224</v>
      </c>
      <c r="K26" s="916" t="s">
        <v>223</v>
      </c>
      <c r="L26" s="918">
        <v>0.53380000000000005</v>
      </c>
      <c r="M26" s="918">
        <v>2.9186000000000001</v>
      </c>
      <c r="N26" s="918">
        <v>3.4447000000000001</v>
      </c>
      <c r="O26" s="919">
        <v>7.2700000000000001E-2</v>
      </c>
      <c r="Q26"/>
      <c r="S26" s="913"/>
      <c r="T26"/>
      <c r="U26" s="514"/>
      <c r="V26"/>
      <c r="W26"/>
    </row>
    <row r="27" spans="1:23">
      <c r="A27" s="914" t="str">
        <f>Input!C25</f>
        <v>ODFL</v>
      </c>
      <c r="B27" s="88" t="s">
        <v>4524</v>
      </c>
      <c r="C27" s="874">
        <v>0.14099999999999999</v>
      </c>
      <c r="D27" s="874">
        <v>0.1454</v>
      </c>
      <c r="E27" s="874">
        <v>0.105</v>
      </c>
      <c r="F27" s="915">
        <v>0.95</v>
      </c>
      <c r="G27" s="916">
        <v>1.1335461139678955</v>
      </c>
      <c r="H27" s="604">
        <v>0.85</v>
      </c>
      <c r="I27" s="877">
        <v>1.2</v>
      </c>
      <c r="J27" s="917" t="s">
        <v>1447</v>
      </c>
      <c r="K27" s="916" t="s">
        <v>1447</v>
      </c>
      <c r="L27" s="918">
        <v>0.58530000000000004</v>
      </c>
      <c r="M27" s="918">
        <v>2.9676999999999998</v>
      </c>
      <c r="N27" s="918">
        <v>3.6530999999999998</v>
      </c>
      <c r="O27" s="919">
        <v>7.3899999999999993E-2</v>
      </c>
      <c r="Q27"/>
      <c r="S27" s="913"/>
      <c r="T27"/>
      <c r="U27" s="514"/>
      <c r="V27"/>
      <c r="W27"/>
    </row>
    <row r="28" spans="1:23">
      <c r="A28" s="914" t="str">
        <f>Input!C26</f>
        <v>ORCL</v>
      </c>
      <c r="B28" s="88" t="s">
        <v>4253</v>
      </c>
      <c r="C28" s="874">
        <v>0.08</v>
      </c>
      <c r="D28" s="874">
        <v>0.10249999999999999</v>
      </c>
      <c r="E28" s="874">
        <v>0.1</v>
      </c>
      <c r="F28" s="915">
        <v>0.75</v>
      </c>
      <c r="G28" s="916">
        <v>0.99250739812850952</v>
      </c>
      <c r="H28" s="604">
        <v>0.61</v>
      </c>
      <c r="I28" s="877">
        <v>1.28</v>
      </c>
      <c r="J28" s="917" t="s">
        <v>225</v>
      </c>
      <c r="K28" s="916" t="s">
        <v>222</v>
      </c>
      <c r="L28" s="918">
        <v>0.4955</v>
      </c>
      <c r="M28" s="918">
        <v>2.6634000000000002</v>
      </c>
      <c r="N28" s="918">
        <v>3.0602999999999998</v>
      </c>
      <c r="O28" s="919">
        <v>6.6299999999999998E-2</v>
      </c>
      <c r="Q28"/>
      <c r="S28" s="913"/>
      <c r="T28"/>
      <c r="U28" s="514"/>
      <c r="V28"/>
      <c r="W28"/>
    </row>
    <row r="29" spans="1:23">
      <c r="A29" s="914" t="str">
        <f>Input!C27</f>
        <v>PGR</v>
      </c>
      <c r="B29" s="88" t="s">
        <v>4258</v>
      </c>
      <c r="C29" s="874">
        <v>0.19900000000000001</v>
      </c>
      <c r="D29" s="874">
        <v>0.2712</v>
      </c>
      <c r="E29" s="874">
        <v>6.5000000000000002E-2</v>
      </c>
      <c r="F29" s="915">
        <v>0.75</v>
      </c>
      <c r="G29" s="916">
        <v>0.7506294846534729</v>
      </c>
      <c r="H29" s="604">
        <v>0.6</v>
      </c>
      <c r="I29" s="877">
        <v>0.4</v>
      </c>
      <c r="J29" s="917" t="s">
        <v>189</v>
      </c>
      <c r="K29" s="916" t="s">
        <v>192</v>
      </c>
      <c r="L29" s="918">
        <v>0.46729999999999999</v>
      </c>
      <c r="M29" s="918">
        <v>2.8616999999999999</v>
      </c>
      <c r="N29" s="918">
        <v>3.2305000000000001</v>
      </c>
      <c r="O29" s="919">
        <v>7.1199999999999999E-2</v>
      </c>
      <c r="Q29"/>
      <c r="S29" s="913"/>
      <c r="T29"/>
      <c r="U29" s="514"/>
      <c r="V29"/>
      <c r="W29"/>
    </row>
    <row r="30" spans="1:23">
      <c r="A30" s="914" t="str">
        <f>Input!C28</f>
        <v>POST</v>
      </c>
      <c r="B30" s="88" t="s">
        <v>4525</v>
      </c>
      <c r="C30" s="874" t="s">
        <v>1447</v>
      </c>
      <c r="D30" s="874">
        <v>0.32400000000000001</v>
      </c>
      <c r="E30" s="874">
        <v>0.05</v>
      </c>
      <c r="F30" s="915">
        <v>0.95</v>
      </c>
      <c r="G30" s="916">
        <v>0.65590405464172363</v>
      </c>
      <c r="H30" s="604">
        <v>0.86</v>
      </c>
      <c r="I30" s="877" t="s">
        <v>1447</v>
      </c>
      <c r="J30" s="917" t="s">
        <v>1366</v>
      </c>
      <c r="K30" s="916" t="s">
        <v>1372</v>
      </c>
      <c r="L30" s="918">
        <v>0.59289999999999998</v>
      </c>
      <c r="M30" s="918">
        <v>2.9243999999999999</v>
      </c>
      <c r="N30" s="918">
        <v>3.6246</v>
      </c>
      <c r="O30" s="919">
        <v>7.2800000000000004E-2</v>
      </c>
      <c r="Q30"/>
      <c r="S30" s="913"/>
      <c r="T30"/>
      <c r="U30" s="514"/>
      <c r="V30"/>
      <c r="W30"/>
    </row>
    <row r="31" spans="1:23">
      <c r="A31" s="914" t="str">
        <f>Input!C29</f>
        <v>RLI</v>
      </c>
      <c r="B31" s="88" t="s">
        <v>3978</v>
      </c>
      <c r="C31" s="874" t="s">
        <v>1447</v>
      </c>
      <c r="D31" s="874">
        <v>9.8000000000000004E-2</v>
      </c>
      <c r="E31" s="874">
        <v>0.12</v>
      </c>
      <c r="F31" s="915">
        <v>0.8</v>
      </c>
      <c r="G31" s="916">
        <v>0.77834731340408325</v>
      </c>
      <c r="H31" s="604">
        <v>0.66</v>
      </c>
      <c r="I31" s="877">
        <v>1.04</v>
      </c>
      <c r="J31" s="917" t="s">
        <v>225</v>
      </c>
      <c r="K31" s="916" t="s">
        <v>222</v>
      </c>
      <c r="L31" s="918">
        <v>0.4985</v>
      </c>
      <c r="M31" s="918">
        <v>2.8574999999999999</v>
      </c>
      <c r="N31" s="918">
        <v>3.2898000000000001</v>
      </c>
      <c r="O31" s="919">
        <v>7.1099999999999997E-2</v>
      </c>
      <c r="Q31"/>
      <c r="S31" s="913"/>
      <c r="T31"/>
      <c r="U31" s="514"/>
      <c r="V31"/>
      <c r="W31"/>
    </row>
    <row r="32" spans="1:23">
      <c r="A32" s="914" t="str">
        <f>Input!C30</f>
        <v>ROL</v>
      </c>
      <c r="B32" s="88" t="s">
        <v>4526</v>
      </c>
      <c r="C32" s="874" t="s">
        <v>1447</v>
      </c>
      <c r="D32" s="874">
        <v>8.2000000000000003E-2</v>
      </c>
      <c r="E32" s="874">
        <v>0.105</v>
      </c>
      <c r="F32" s="915">
        <v>0.85</v>
      </c>
      <c r="G32" s="916">
        <v>0.87550854682922363</v>
      </c>
      <c r="H32" s="604">
        <v>0.72</v>
      </c>
      <c r="I32" s="877">
        <v>0.52</v>
      </c>
      <c r="J32" s="917" t="s">
        <v>1447</v>
      </c>
      <c r="K32" s="916" t="s">
        <v>1447</v>
      </c>
      <c r="L32" s="918">
        <v>0.51649999999999996</v>
      </c>
      <c r="M32" s="918">
        <v>2.9830999999999999</v>
      </c>
      <c r="N32" s="918">
        <v>3.4771000000000001</v>
      </c>
      <c r="O32" s="919">
        <v>7.4300000000000005E-2</v>
      </c>
      <c r="Q32"/>
      <c r="S32" s="913"/>
      <c r="T32"/>
      <c r="U32" s="514"/>
      <c r="V32"/>
      <c r="W32"/>
    </row>
    <row r="33" spans="1:23">
      <c r="A33" s="914" t="str">
        <f>Input!C31</f>
        <v>SHW</v>
      </c>
      <c r="B33" s="88" t="s">
        <v>4170</v>
      </c>
      <c r="C33" s="874">
        <v>0.128</v>
      </c>
      <c r="D33" s="874">
        <v>0.11464000000000001</v>
      </c>
      <c r="E33" s="874">
        <v>0.115</v>
      </c>
      <c r="F33" s="915">
        <v>0.9</v>
      </c>
      <c r="G33" s="916">
        <v>1.0015096664428711</v>
      </c>
      <c r="H33" s="604">
        <v>0.84</v>
      </c>
      <c r="I33" s="877">
        <v>2.4</v>
      </c>
      <c r="J33" s="917" t="s">
        <v>225</v>
      </c>
      <c r="K33" s="916" t="s">
        <v>222</v>
      </c>
      <c r="L33" s="918">
        <v>0.6341</v>
      </c>
      <c r="M33" s="918">
        <v>2.5642999999999998</v>
      </c>
      <c r="N33" s="918">
        <v>3.3098999999999998</v>
      </c>
      <c r="O33" s="919">
        <v>6.3799999999999996E-2</v>
      </c>
      <c r="Q33"/>
      <c r="S33" s="913"/>
      <c r="T33"/>
      <c r="U33" s="514"/>
      <c r="V33"/>
      <c r="W33"/>
    </row>
    <row r="34" spans="1:23">
      <c r="A34" s="914" t="str">
        <f>Input!C32</f>
        <v>SIGI</v>
      </c>
      <c r="B34" s="88" t="s">
        <v>3023</v>
      </c>
      <c r="C34" s="874">
        <v>6.6000000000000003E-2</v>
      </c>
      <c r="D34" s="874">
        <v>0.13400000000000001</v>
      </c>
      <c r="E34" s="874">
        <v>9.5000000000000001E-2</v>
      </c>
      <c r="F34" s="915">
        <v>0.9</v>
      </c>
      <c r="G34" s="916">
        <v>0.69410860538482666</v>
      </c>
      <c r="H34" s="604">
        <v>0.81</v>
      </c>
      <c r="I34" s="877">
        <v>1.2</v>
      </c>
      <c r="J34" s="917" t="s">
        <v>225</v>
      </c>
      <c r="K34" s="916" t="s">
        <v>222</v>
      </c>
      <c r="L34" s="918">
        <v>0.56910000000000005</v>
      </c>
      <c r="M34" s="918">
        <v>2.9464000000000001</v>
      </c>
      <c r="N34" s="918">
        <v>3.5762999999999998</v>
      </c>
      <c r="O34" s="919">
        <v>7.3300000000000004E-2</v>
      </c>
      <c r="Q34"/>
      <c r="S34" s="913"/>
      <c r="T34"/>
      <c r="U34" s="514"/>
      <c r="V34"/>
      <c r="W34"/>
    </row>
    <row r="35" spans="1:23">
      <c r="A35" s="914" t="str">
        <f>Input!C33</f>
        <v>SIRI</v>
      </c>
      <c r="B35" s="88" t="s">
        <v>3979</v>
      </c>
      <c r="C35" s="874">
        <v>7.0000000000000007E-2</v>
      </c>
      <c r="D35" s="874">
        <v>3.5400000000000001E-2</v>
      </c>
      <c r="E35" s="874">
        <v>0.32500000000000001</v>
      </c>
      <c r="F35" s="915">
        <v>0.95</v>
      </c>
      <c r="G35" s="916">
        <v>0.71677941083908081</v>
      </c>
      <c r="H35" s="604">
        <v>0.86</v>
      </c>
      <c r="I35" s="877">
        <v>9.6799999999999997E-2</v>
      </c>
      <c r="J35" s="917" t="s">
        <v>1447</v>
      </c>
      <c r="K35" s="916" t="s">
        <v>1447</v>
      </c>
      <c r="L35" s="918">
        <v>0.59079999999999999</v>
      </c>
      <c r="M35" s="918">
        <v>2.9588999999999999</v>
      </c>
      <c r="N35" s="918">
        <v>3.6600999999999999</v>
      </c>
      <c r="O35" s="919">
        <v>7.3700000000000002E-2</v>
      </c>
      <c r="Q35"/>
      <c r="S35" s="913"/>
      <c r="T35"/>
      <c r="U35" s="514"/>
      <c r="V35"/>
      <c r="W35"/>
    </row>
    <row r="36" spans="1:23">
      <c r="A36" s="914" t="str">
        <f>Input!C34</f>
        <v>SXT</v>
      </c>
      <c r="B36" s="88" t="s">
        <v>4527</v>
      </c>
      <c r="C36" s="874" t="s">
        <v>1447</v>
      </c>
      <c r="D36" s="874">
        <v>3.7999999999999999E-2</v>
      </c>
      <c r="E36" s="874">
        <v>2.5000000000000001E-2</v>
      </c>
      <c r="F36" s="915">
        <v>0.9</v>
      </c>
      <c r="G36" s="916">
        <v>0.96372032165527344</v>
      </c>
      <c r="H36" s="604">
        <v>0.82</v>
      </c>
      <c r="I36" s="877">
        <v>1.64</v>
      </c>
      <c r="J36" s="917" t="s">
        <v>3959</v>
      </c>
      <c r="K36" s="916" t="s">
        <v>2296</v>
      </c>
      <c r="L36" s="918">
        <v>0.6129</v>
      </c>
      <c r="M36" s="918">
        <v>2.6393</v>
      </c>
      <c r="N36" s="918">
        <v>3.3336000000000001</v>
      </c>
      <c r="O36" s="919">
        <v>6.5699999999999995E-2</v>
      </c>
      <c r="Q36"/>
      <c r="S36" s="913"/>
      <c r="T36"/>
      <c r="U36" s="514"/>
      <c r="V36"/>
      <c r="W36"/>
    </row>
    <row r="37" spans="1:23">
      <c r="A37" s="914" t="str">
        <f>Input!C35</f>
        <v>TMO</v>
      </c>
      <c r="B37" s="88" t="s">
        <v>4528</v>
      </c>
      <c r="C37" s="874">
        <v>0.125</v>
      </c>
      <c r="D37" s="874">
        <v>3.5099999999999999E-2</v>
      </c>
      <c r="E37" s="874">
        <v>0.105</v>
      </c>
      <c r="F37" s="915">
        <v>0.85</v>
      </c>
      <c r="G37" s="916">
        <v>0.92452317476272583</v>
      </c>
      <c r="H37" s="604">
        <v>0.7</v>
      </c>
      <c r="I37" s="877">
        <v>1.2</v>
      </c>
      <c r="J37" s="917" t="s">
        <v>219</v>
      </c>
      <c r="K37" s="916" t="s">
        <v>193</v>
      </c>
      <c r="L37" s="918">
        <v>0.55600000000000005</v>
      </c>
      <c r="M37" s="918">
        <v>2.6278999999999999</v>
      </c>
      <c r="N37" s="918">
        <v>3.1556000000000002</v>
      </c>
      <c r="O37" s="919">
        <v>6.54E-2</v>
      </c>
      <c r="Q37"/>
      <c r="S37" s="913"/>
      <c r="T37"/>
      <c r="U37" s="514"/>
      <c r="V37"/>
      <c r="W37"/>
    </row>
    <row r="38" spans="1:23">
      <c r="A38" s="914" t="str">
        <f>Input!C36</f>
        <v>TXN</v>
      </c>
      <c r="B38" s="88" t="s">
        <v>4171</v>
      </c>
      <c r="C38" s="874">
        <v>9.2999999999999999E-2</v>
      </c>
      <c r="D38" s="874">
        <v>0.1</v>
      </c>
      <c r="E38" s="874">
        <v>7.4999999999999997E-2</v>
      </c>
      <c r="F38" s="915">
        <v>0.85</v>
      </c>
      <c r="G38" s="916">
        <v>0.97030335664749146</v>
      </c>
      <c r="H38" s="604">
        <v>0.75</v>
      </c>
      <c r="I38" s="877">
        <v>4.96</v>
      </c>
      <c r="J38" s="917" t="s">
        <v>1364</v>
      </c>
      <c r="K38" s="916" t="s">
        <v>190</v>
      </c>
      <c r="L38" s="918">
        <v>0.57909999999999995</v>
      </c>
      <c r="M38" s="918">
        <v>2.6589999999999998</v>
      </c>
      <c r="N38" s="918">
        <v>3.2553000000000001</v>
      </c>
      <c r="O38" s="919">
        <v>6.6199999999999995E-2</v>
      </c>
      <c r="Q38"/>
      <c r="S38" s="913"/>
      <c r="T38"/>
      <c r="U38" s="514"/>
      <c r="V38"/>
      <c r="W38"/>
    </row>
    <row r="39" spans="1:23">
      <c r="A39" s="914" t="str">
        <f>Input!C37</f>
        <v>VRSN</v>
      </c>
      <c r="B39" s="88" t="s">
        <v>4172</v>
      </c>
      <c r="C39" s="874" t="s">
        <v>1447</v>
      </c>
      <c r="D39" s="874">
        <v>0.08</v>
      </c>
      <c r="E39" s="874">
        <v>0.11</v>
      </c>
      <c r="F39" s="915">
        <v>0.9</v>
      </c>
      <c r="G39" s="916">
        <v>1.0538966655731201</v>
      </c>
      <c r="H39" s="604">
        <v>0.78</v>
      </c>
      <c r="I39" s="877" t="s">
        <v>1447</v>
      </c>
      <c r="J39" s="917" t="s">
        <v>220</v>
      </c>
      <c r="K39" s="916" t="s">
        <v>222</v>
      </c>
      <c r="L39" s="918">
        <v>0.60350000000000004</v>
      </c>
      <c r="M39" s="918">
        <v>2.5863</v>
      </c>
      <c r="N39" s="918">
        <v>3.2374000000000001</v>
      </c>
      <c r="O39" s="919">
        <v>6.4399999999999999E-2</v>
      </c>
      <c r="Q39"/>
      <c r="S39" s="913"/>
      <c r="T39"/>
      <c r="U39" s="514"/>
      <c r="V39"/>
      <c r="W39"/>
    </row>
    <row r="40" spans="1:23">
      <c r="A40" s="914" t="str">
        <f>Input!C38</f>
        <v>WAT</v>
      </c>
      <c r="B40" s="88" t="s">
        <v>4063</v>
      </c>
      <c r="C40" s="874">
        <v>7.1999999999999995E-2</v>
      </c>
      <c r="D40" s="874">
        <v>8.3400000000000002E-2</v>
      </c>
      <c r="E40" s="874">
        <v>0.06</v>
      </c>
      <c r="F40" s="915">
        <v>0.95</v>
      </c>
      <c r="G40" s="916">
        <v>0.97911584377288818</v>
      </c>
      <c r="H40" s="604">
        <v>0.87</v>
      </c>
      <c r="I40" s="877" t="s">
        <v>1447</v>
      </c>
      <c r="J40" s="917" t="s">
        <v>1447</v>
      </c>
      <c r="K40" s="916" t="s">
        <v>1447</v>
      </c>
      <c r="L40" s="918">
        <v>0.6129</v>
      </c>
      <c r="M40" s="918">
        <v>2.8031999999999999</v>
      </c>
      <c r="N40" s="918">
        <v>3.5407999999999999</v>
      </c>
      <c r="O40" s="919">
        <v>6.9800000000000001E-2</v>
      </c>
      <c r="Q40"/>
      <c r="S40" s="913"/>
      <c r="T40"/>
      <c r="U40" s="514"/>
      <c r="V40"/>
      <c r="W40"/>
    </row>
    <row r="41" spans="1:23">
      <c r="A41" s="914" t="str">
        <f>Input!C39</f>
        <v>WSO</v>
      </c>
      <c r="B41" s="88" t="s">
        <v>4173</v>
      </c>
      <c r="C41" s="874" t="s">
        <v>1447</v>
      </c>
      <c r="D41" s="874">
        <v>0.15</v>
      </c>
      <c r="E41" s="874">
        <v>0.115</v>
      </c>
      <c r="F41" s="915">
        <v>0.85</v>
      </c>
      <c r="G41" s="916">
        <v>1.0211198329925537</v>
      </c>
      <c r="H41" s="604">
        <v>0.75</v>
      </c>
      <c r="I41" s="877">
        <v>8.8000000000000007</v>
      </c>
      <c r="J41" s="917" t="s">
        <v>1447</v>
      </c>
      <c r="K41" s="916" t="s">
        <v>1447</v>
      </c>
      <c r="L41" s="918">
        <v>0.57069999999999999</v>
      </c>
      <c r="M41" s="918">
        <v>2.6936</v>
      </c>
      <c r="N41" s="918">
        <v>3.2738999999999998</v>
      </c>
      <c r="O41" s="919">
        <v>6.7100000000000007E-2</v>
      </c>
      <c r="Q41"/>
      <c r="S41" s="913"/>
      <c r="T41"/>
      <c r="U41" s="514"/>
      <c r="V41"/>
      <c r="W41"/>
    </row>
    <row r="42" spans="1:23">
      <c r="A42" s="920" t="str">
        <f>Input!C40</f>
        <v>WU</v>
      </c>
      <c r="B42" s="921" t="s">
        <v>4254</v>
      </c>
      <c r="C42" s="885" t="s">
        <v>1447</v>
      </c>
      <c r="D42" s="885">
        <v>-0.1105</v>
      </c>
      <c r="E42" s="922">
        <v>0.08</v>
      </c>
      <c r="F42" s="923">
        <v>0.8</v>
      </c>
      <c r="G42" s="924">
        <v>0.81399881839752197</v>
      </c>
      <c r="H42" s="925">
        <v>0.65</v>
      </c>
      <c r="I42" s="888">
        <v>0.94</v>
      </c>
      <c r="J42" s="924" t="s">
        <v>225</v>
      </c>
      <c r="K42" s="924" t="s">
        <v>222</v>
      </c>
      <c r="L42" s="926">
        <v>0.51619999999999999</v>
      </c>
      <c r="M42" s="926">
        <v>2.7094</v>
      </c>
      <c r="N42" s="926">
        <v>3.1574</v>
      </c>
      <c r="O42" s="927">
        <v>6.7400000000000002E-2</v>
      </c>
      <c r="Q42"/>
      <c r="S42" s="913"/>
      <c r="T42"/>
      <c r="U42" s="514"/>
      <c r="V42"/>
      <c r="W42"/>
    </row>
    <row r="43" spans="1:23">
      <c r="S43"/>
    </row>
    <row r="44" spans="1:23">
      <c r="C44" s="223"/>
      <c r="I44" s="929"/>
    </row>
    <row r="45" spans="1:23">
      <c r="C45" s="223"/>
      <c r="I45" s="929"/>
    </row>
    <row r="46" spans="1:23">
      <c r="C46" s="223"/>
      <c r="I46" s="929"/>
    </row>
    <row r="47" spans="1:23">
      <c r="C47" s="223"/>
      <c r="I47" s="929"/>
    </row>
    <row r="48" spans="1:23">
      <c r="C48" s="223"/>
      <c r="I48" s="929"/>
    </row>
    <row r="49" spans="3:9">
      <c r="C49" s="223"/>
      <c r="I49" s="929"/>
    </row>
    <row r="50" spans="3:9">
      <c r="C50" s="223"/>
      <c r="I50" s="929"/>
    </row>
    <row r="51" spans="3:9">
      <c r="C51" s="223"/>
      <c r="I51" s="929"/>
    </row>
    <row r="52" spans="3:9">
      <c r="C52" s="223"/>
      <c r="I52" s="929"/>
    </row>
    <row r="53" spans="3:9">
      <c r="C53" s="223"/>
      <c r="I53" s="929"/>
    </row>
    <row r="54" spans="3:9">
      <c r="C54" s="223"/>
      <c r="D54" s="317"/>
      <c r="I54" s="929"/>
    </row>
    <row r="55" spans="3:9">
      <c r="C55" s="223"/>
      <c r="D55" s="317"/>
      <c r="I55" s="929"/>
    </row>
    <row r="56" spans="3:9">
      <c r="C56" s="223"/>
      <c r="D56" s="317"/>
    </row>
    <row r="57" spans="3:9">
      <c r="C57" s="223"/>
      <c r="D57" s="317"/>
    </row>
    <row r="58" spans="3:9">
      <c r="C58" s="223"/>
      <c r="D58" s="317"/>
    </row>
    <row r="59" spans="3:9">
      <c r="D59" s="317"/>
    </row>
    <row r="60" spans="3:9">
      <c r="D60" s="317"/>
    </row>
    <row r="61" spans="3:9">
      <c r="D61" s="317"/>
    </row>
    <row r="62" spans="3:9">
      <c r="D62" s="317"/>
    </row>
    <row r="63" spans="3:9">
      <c r="D63" s="317"/>
    </row>
    <row r="64" spans="3:9">
      <c r="D64" s="317"/>
    </row>
    <row r="65" spans="4:4">
      <c r="D65" s="317"/>
    </row>
    <row r="66" spans="4:4">
      <c r="D66" s="317"/>
    </row>
    <row r="67" spans="4:4">
      <c r="D67" s="317"/>
    </row>
    <row r="68" spans="4:4">
      <c r="D68" s="317"/>
    </row>
    <row r="69" spans="4:4">
      <c r="D69" s="317"/>
    </row>
    <row r="70" spans="4:4">
      <c r="D70" s="317"/>
    </row>
    <row r="71" spans="4:4">
      <c r="D71" s="317"/>
    </row>
    <row r="72" spans="4:4">
      <c r="D72" s="317"/>
    </row>
    <row r="73" spans="4:4">
      <c r="D73" s="317"/>
    </row>
    <row r="74" spans="4:4">
      <c r="D74" s="317"/>
    </row>
    <row r="75" spans="4:4">
      <c r="D75" s="317"/>
    </row>
    <row r="76" spans="4:4">
      <c r="D76" s="317"/>
    </row>
    <row r="77" spans="4:4">
      <c r="D77" s="317"/>
    </row>
    <row r="78" spans="4:4">
      <c r="D78" s="317"/>
    </row>
    <row r="79" spans="4:4">
      <c r="D79" s="317"/>
    </row>
    <row r="80" spans="4:4">
      <c r="D80" s="317"/>
    </row>
    <row r="81" spans="4:4">
      <c r="D81" s="317"/>
    </row>
    <row r="82" spans="4:4">
      <c r="D82" s="317"/>
    </row>
    <row r="83" spans="4:4">
      <c r="D83" s="317"/>
    </row>
    <row r="84" spans="4:4">
      <c r="D84" s="317"/>
    </row>
    <row r="85" spans="4:4">
      <c r="D85" s="317"/>
    </row>
    <row r="86" spans="4:4">
      <c r="D86" s="317"/>
    </row>
    <row r="87" spans="4:4">
      <c r="D87" s="317"/>
    </row>
    <row r="88" spans="4:4">
      <c r="D88" s="317"/>
    </row>
    <row r="89" spans="4:4">
      <c r="D89" s="317"/>
    </row>
    <row r="90" spans="4:4">
      <c r="D90" s="317"/>
    </row>
    <row r="91" spans="4:4">
      <c r="D91" s="317"/>
    </row>
    <row r="92" spans="4:4">
      <c r="D92" s="317"/>
    </row>
    <row r="93" spans="4:4">
      <c r="D93" s="317"/>
    </row>
    <row r="94" spans="4:4">
      <c r="D94" s="317"/>
    </row>
    <row r="95" spans="4:4">
      <c r="D95" s="317"/>
    </row>
    <row r="96" spans="4:4">
      <c r="D96" s="317"/>
    </row>
    <row r="97" spans="4:4">
      <c r="D97" s="317"/>
    </row>
    <row r="98" spans="4:4">
      <c r="D98" s="317"/>
    </row>
    <row r="99" spans="4:4">
      <c r="D99" s="317"/>
    </row>
    <row r="100" spans="4:4">
      <c r="D100" s="317"/>
    </row>
    <row r="101" spans="4:4">
      <c r="D101" s="317"/>
    </row>
    <row r="102" spans="4:4">
      <c r="D102" s="317"/>
    </row>
    <row r="103" spans="4:4">
      <c r="D103" s="317"/>
    </row>
    <row r="104" spans="4:4">
      <c r="D104" s="317"/>
    </row>
    <row r="105" spans="4:4">
      <c r="D105" s="317"/>
    </row>
    <row r="106" spans="4:4">
      <c r="D106" s="317"/>
    </row>
    <row r="107" spans="4:4">
      <c r="D107" s="317"/>
    </row>
    <row r="108" spans="4:4">
      <c r="D108" s="317"/>
    </row>
    <row r="109" spans="4:4">
      <c r="D109" s="317"/>
    </row>
    <row r="110" spans="4:4">
      <c r="D110" s="317"/>
    </row>
    <row r="111" spans="4:4">
      <c r="D111" s="317"/>
    </row>
    <row r="112" spans="4:4">
      <c r="D112" s="317"/>
    </row>
    <row r="113" spans="4:4">
      <c r="D113" s="317"/>
    </row>
    <row r="114" spans="4:4">
      <c r="D114" s="317"/>
    </row>
    <row r="115" spans="4:4">
      <c r="D115" s="317"/>
    </row>
    <row r="116" spans="4:4">
      <c r="D116" s="317"/>
    </row>
    <row r="117" spans="4:4">
      <c r="D117" s="317"/>
    </row>
    <row r="118" spans="4:4">
      <c r="D118" s="317"/>
    </row>
    <row r="119" spans="4:4">
      <c r="D119" s="317"/>
    </row>
    <row r="120" spans="4:4">
      <c r="D120" s="317"/>
    </row>
    <row r="121" spans="4:4">
      <c r="D121" s="317"/>
    </row>
    <row r="122" spans="4:4">
      <c r="D122" s="317"/>
    </row>
    <row r="123" spans="4:4">
      <c r="D123" s="317"/>
    </row>
    <row r="124" spans="4:4">
      <c r="D124" s="317"/>
    </row>
    <row r="125" spans="4:4">
      <c r="D125" s="317"/>
    </row>
    <row r="126" spans="4:4">
      <c r="D126" s="317"/>
    </row>
    <row r="127" spans="4:4">
      <c r="D127" s="317"/>
    </row>
    <row r="128" spans="4:4">
      <c r="D128" s="317"/>
    </row>
    <row r="129" spans="4:4">
      <c r="D129" s="317"/>
    </row>
    <row r="130" spans="4:4">
      <c r="D130" s="317"/>
    </row>
    <row r="131" spans="4:4">
      <c r="D131" s="317"/>
    </row>
    <row r="132" spans="4:4">
      <c r="D132" s="317"/>
    </row>
    <row r="133" spans="4:4">
      <c r="D133" s="317"/>
    </row>
    <row r="134" spans="4:4">
      <c r="D134" s="317"/>
    </row>
    <row r="135" spans="4:4">
      <c r="D135" s="317"/>
    </row>
    <row r="136" spans="4:4">
      <c r="D136" s="317"/>
    </row>
    <row r="137" spans="4:4">
      <c r="D137" s="317"/>
    </row>
    <row r="138" spans="4:4">
      <c r="D138" s="317"/>
    </row>
    <row r="139" spans="4:4">
      <c r="D139" s="317"/>
    </row>
    <row r="140" spans="4:4">
      <c r="D140" s="317"/>
    </row>
    <row r="141" spans="4:4">
      <c r="D141" s="317"/>
    </row>
    <row r="142" spans="4:4">
      <c r="D142" s="317"/>
    </row>
    <row r="143" spans="4:4">
      <c r="D143" s="317"/>
    </row>
    <row r="144" spans="4:4">
      <c r="D144" s="317"/>
    </row>
    <row r="145" spans="4:4">
      <c r="D145" s="317"/>
    </row>
    <row r="146" spans="4:4">
      <c r="D146" s="317"/>
    </row>
    <row r="147" spans="4:4">
      <c r="D147" s="317"/>
    </row>
    <row r="148" spans="4:4">
      <c r="D148" s="317"/>
    </row>
    <row r="149" spans="4:4">
      <c r="D149" s="317"/>
    </row>
  </sheetData>
  <pageMargins left="0.7" right="0.7" top="0.75" bottom="0.75" header="0.3" footer="0.3"/>
  <pageSetup scale="81" orientation="portrait" r:id="rId1"/>
  <colBreaks count="2" manualBreakCount="2">
    <brk id="5" max="50" man="1"/>
    <brk id="14"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9"/>
  <sheetViews>
    <sheetView view="pageBreakPreview" zoomScale="90" zoomScaleNormal="100" zoomScaleSheetLayoutView="90" workbookViewId="0"/>
  </sheetViews>
  <sheetFormatPr defaultColWidth="8.7109375" defaultRowHeight="15.75"/>
  <cols>
    <col min="1" max="1" width="42.5703125" style="477" bestFit="1" customWidth="1"/>
    <col min="2" max="2" width="4.7109375" style="477" customWidth="1"/>
    <col min="3" max="3" width="10.5703125" style="478" customWidth="1"/>
    <col min="4" max="4" width="2.85546875" style="477" customWidth="1"/>
    <col min="5" max="5" width="10.28515625" style="478" customWidth="1"/>
    <col min="6" max="6" width="2.5703125" style="478" customWidth="1"/>
    <col min="7" max="7" width="11" style="478" customWidth="1"/>
    <col min="8" max="8" width="2" style="478" customWidth="1"/>
    <col min="9" max="9" width="10.5703125" style="478" bestFit="1" customWidth="1"/>
    <col min="10" max="10" width="8.7109375" style="477"/>
    <col min="11" max="11" width="9.5703125" style="477" bestFit="1" customWidth="1"/>
    <col min="12" max="16384" width="8.7109375" style="477"/>
  </cols>
  <sheetData>
    <row r="1" spans="1:12">
      <c r="A1" s="489" t="str">
        <f>Input!G28</f>
        <v>Peoples Gas System</v>
      </c>
      <c r="B1" s="489"/>
      <c r="C1" s="489"/>
      <c r="D1" s="489"/>
      <c r="E1" s="489"/>
      <c r="F1" s="489"/>
      <c r="G1" s="489"/>
      <c r="H1" s="489"/>
      <c r="I1" s="489"/>
    </row>
    <row r="2" spans="1:12">
      <c r="A2" s="498" t="s">
        <v>4117</v>
      </c>
      <c r="B2" s="498"/>
      <c r="C2" s="498"/>
      <c r="D2" s="498"/>
      <c r="E2" s="498"/>
      <c r="F2" s="498"/>
      <c r="G2" s="498"/>
      <c r="H2" s="498"/>
      <c r="I2" s="498"/>
    </row>
    <row r="3" spans="1:12">
      <c r="A3" s="499" t="s">
        <v>4184</v>
      </c>
      <c r="B3" s="499"/>
      <c r="C3" s="499"/>
      <c r="D3" s="499"/>
      <c r="E3" s="499"/>
      <c r="F3" s="499"/>
      <c r="G3" s="499"/>
      <c r="H3" s="499"/>
      <c r="I3" s="499"/>
    </row>
    <row r="5" spans="1:12">
      <c r="E5" s="990">
        <v>2020</v>
      </c>
      <c r="F5" s="990"/>
      <c r="G5" s="990"/>
      <c r="H5" s="990"/>
      <c r="I5" s="990"/>
    </row>
    <row r="6" spans="1:12" ht="47.25">
      <c r="A6" s="479" t="s">
        <v>155</v>
      </c>
      <c r="B6" s="479"/>
      <c r="C6" s="480" t="s">
        <v>4118</v>
      </c>
      <c r="D6" s="479"/>
      <c r="E6" s="480" t="s">
        <v>10</v>
      </c>
      <c r="F6" s="480"/>
      <c r="G6" s="480" t="s">
        <v>4056</v>
      </c>
      <c r="H6" s="480"/>
      <c r="I6" s="480" t="s">
        <v>31</v>
      </c>
    </row>
    <row r="7" spans="1:12">
      <c r="A7" s="481" t="s">
        <v>4160</v>
      </c>
      <c r="B7" s="481"/>
      <c r="C7" s="478" t="s">
        <v>205</v>
      </c>
      <c r="E7" s="482" t="e">
        <f>#REF!</f>
        <v>#REF!</v>
      </c>
      <c r="F7" s="482"/>
      <c r="G7" s="482" t="e">
        <f>#REF!</f>
        <v>#REF!</v>
      </c>
      <c r="H7" s="482"/>
      <c r="I7" s="483" t="str">
        <f>IFERROR(E7+G7,"NA")</f>
        <v>NA</v>
      </c>
      <c r="K7" s="484" t="e">
        <f>MAX(E7:E43)</f>
        <v>#REF!</v>
      </c>
      <c r="L7" s="477" t="s">
        <v>4119</v>
      </c>
    </row>
    <row r="8" spans="1:12">
      <c r="A8" s="481" t="s">
        <v>4188</v>
      </c>
      <c r="B8" s="481"/>
      <c r="C8" s="478" t="s">
        <v>205</v>
      </c>
      <c r="E8" s="482" t="e">
        <f>#REF!</f>
        <v>#REF!</v>
      </c>
      <c r="F8" s="482"/>
      <c r="G8" s="482" t="e">
        <f>#REF!</f>
        <v>#REF!</v>
      </c>
      <c r="H8" s="482"/>
      <c r="I8" s="483" t="str">
        <f t="shared" ref="I8:I43" si="0">IFERROR(E8+G8,"NA")</f>
        <v>NA</v>
      </c>
      <c r="K8" s="484" t="e">
        <f>MIN(E7:E43)</f>
        <v>#REF!</v>
      </c>
      <c r="L8" s="477" t="s">
        <v>4120</v>
      </c>
    </row>
    <row r="9" spans="1:12">
      <c r="A9" s="481" t="s">
        <v>4161</v>
      </c>
      <c r="B9" s="481"/>
      <c r="C9" s="478" t="s">
        <v>205</v>
      </c>
      <c r="E9" s="482" t="e">
        <f>#REF!</f>
        <v>#REF!</v>
      </c>
      <c r="F9" s="482"/>
      <c r="G9" s="482" t="e">
        <f>#REF!</f>
        <v>#REF!</v>
      </c>
      <c r="H9" s="482"/>
      <c r="I9" s="483" t="str">
        <f t="shared" si="0"/>
        <v>NA</v>
      </c>
    </row>
    <row r="10" spans="1:12">
      <c r="A10" s="481" t="s">
        <v>4162</v>
      </c>
      <c r="B10" s="481"/>
      <c r="C10" s="478" t="s">
        <v>205</v>
      </c>
      <c r="E10" s="482" t="e">
        <f>#REF!</f>
        <v>#REF!</v>
      </c>
      <c r="F10" s="482"/>
      <c r="G10" s="482" t="e">
        <f>#REF!</f>
        <v>#REF!</v>
      </c>
      <c r="H10" s="482"/>
      <c r="I10" s="483" t="str">
        <f t="shared" si="0"/>
        <v>NA</v>
      </c>
    </row>
    <row r="11" spans="1:12">
      <c r="A11" s="481" t="s">
        <v>4189</v>
      </c>
      <c r="B11" s="481"/>
      <c r="C11" s="478" t="s">
        <v>211</v>
      </c>
      <c r="E11" s="482" t="e">
        <f>#REF!</f>
        <v>#REF!</v>
      </c>
      <c r="F11" s="482"/>
      <c r="G11" s="482" t="e">
        <f>#REF!</f>
        <v>#REF!</v>
      </c>
      <c r="H11" s="482"/>
      <c r="I11" s="483" t="str">
        <f t="shared" si="0"/>
        <v>NA</v>
      </c>
    </row>
    <row r="12" spans="1:12">
      <c r="A12" s="481" t="s">
        <v>4190</v>
      </c>
      <c r="B12" s="481"/>
      <c r="C12" s="478" t="s">
        <v>211</v>
      </c>
      <c r="E12" s="482" t="e">
        <f>#REF!</f>
        <v>#REF!</v>
      </c>
      <c r="F12" s="482"/>
      <c r="G12" s="482" t="e">
        <f>#REF!</f>
        <v>#REF!</v>
      </c>
      <c r="H12" s="482"/>
      <c r="I12" s="483" t="str">
        <f t="shared" si="0"/>
        <v>NA</v>
      </c>
    </row>
    <row r="13" spans="1:12">
      <c r="A13" s="481" t="s">
        <v>4186</v>
      </c>
      <c r="B13" s="481"/>
      <c r="C13" s="478" t="s">
        <v>211</v>
      </c>
      <c r="E13" s="482" t="e">
        <f>#REF!</f>
        <v>#REF!</v>
      </c>
      <c r="F13" s="482"/>
      <c r="G13" s="482" t="e">
        <f>#REF!</f>
        <v>#REF!</v>
      </c>
      <c r="H13" s="482"/>
      <c r="I13" s="483" t="str">
        <f t="shared" si="0"/>
        <v>NA</v>
      </c>
    </row>
    <row r="14" spans="1:12">
      <c r="A14" s="481" t="s">
        <v>4191</v>
      </c>
      <c r="B14" s="481"/>
      <c r="C14" s="478" t="s">
        <v>211</v>
      </c>
      <c r="E14" s="482" t="e">
        <f>#REF!</f>
        <v>#REF!</v>
      </c>
      <c r="F14" s="482"/>
      <c r="G14" s="482" t="e">
        <f>#REF!</f>
        <v>#REF!</v>
      </c>
      <c r="H14" s="482"/>
      <c r="I14" s="483" t="str">
        <f t="shared" si="0"/>
        <v>NA</v>
      </c>
    </row>
    <row r="15" spans="1:12">
      <c r="A15" s="481" t="s">
        <v>4192</v>
      </c>
      <c r="B15" s="481"/>
      <c r="C15" s="478" t="s">
        <v>211</v>
      </c>
      <c r="E15" s="482" t="e">
        <f>#REF!</f>
        <v>#REF!</v>
      </c>
      <c r="F15" s="482"/>
      <c r="G15" s="482" t="e">
        <f>#REF!</f>
        <v>#REF!</v>
      </c>
      <c r="H15" s="482"/>
      <c r="I15" s="483" t="str">
        <f t="shared" si="0"/>
        <v>NA</v>
      </c>
    </row>
    <row r="16" spans="1:12">
      <c r="A16" s="481" t="s">
        <v>4193</v>
      </c>
      <c r="B16" s="481"/>
      <c r="C16" s="478" t="s">
        <v>211</v>
      </c>
      <c r="E16" s="482" t="e">
        <f>#REF!</f>
        <v>#REF!</v>
      </c>
      <c r="F16" s="482"/>
      <c r="G16" s="482" t="e">
        <f>#REF!</f>
        <v>#REF!</v>
      </c>
      <c r="H16" s="482"/>
      <c r="I16" s="483" t="str">
        <f t="shared" si="0"/>
        <v>NA</v>
      </c>
    </row>
    <row r="17" spans="1:9">
      <c r="A17" s="481" t="s">
        <v>4194</v>
      </c>
      <c r="B17" s="481"/>
      <c r="C17" s="478" t="s">
        <v>211</v>
      </c>
      <c r="E17" s="482" t="e">
        <f>#REF!</f>
        <v>#REF!</v>
      </c>
      <c r="F17" s="482"/>
      <c r="G17" s="482" t="e">
        <f>#REF!</f>
        <v>#REF!</v>
      </c>
      <c r="H17" s="482"/>
      <c r="I17" s="483" t="str">
        <f t="shared" si="0"/>
        <v>NA</v>
      </c>
    </row>
    <row r="18" spans="1:9">
      <c r="A18" s="481" t="s">
        <v>4195</v>
      </c>
      <c r="B18" s="481"/>
      <c r="C18" s="478" t="s">
        <v>211</v>
      </c>
      <c r="E18" s="482" t="e">
        <f>#REF!</f>
        <v>#REF!</v>
      </c>
      <c r="F18" s="482"/>
      <c r="G18" s="482" t="e">
        <f>#REF!</f>
        <v>#REF!</v>
      </c>
      <c r="H18" s="482"/>
      <c r="I18" s="483" t="str">
        <f t="shared" si="0"/>
        <v>NA</v>
      </c>
    </row>
    <row r="19" spans="1:9">
      <c r="A19" s="481" t="s">
        <v>4163</v>
      </c>
      <c r="B19" s="481"/>
      <c r="C19" s="478" t="s">
        <v>211</v>
      </c>
      <c r="E19" s="482" t="e">
        <f>#REF!</f>
        <v>#REF!</v>
      </c>
      <c r="F19" s="482"/>
      <c r="G19" s="482" t="e">
        <f>#REF!</f>
        <v>#REF!</v>
      </c>
      <c r="H19" s="482"/>
      <c r="I19" s="483" t="str">
        <f t="shared" si="0"/>
        <v>NA</v>
      </c>
    </row>
    <row r="20" spans="1:9">
      <c r="A20" s="481" t="s">
        <v>4196</v>
      </c>
      <c r="B20" s="481"/>
      <c r="C20" s="478" t="s">
        <v>199</v>
      </c>
      <c r="E20" s="482" t="e">
        <f>#REF!</f>
        <v>#REF!</v>
      </c>
      <c r="F20" s="482"/>
      <c r="G20" s="482" t="e">
        <f>#REF!</f>
        <v>#REF!</v>
      </c>
      <c r="H20" s="482"/>
      <c r="I20" s="483" t="str">
        <f t="shared" si="0"/>
        <v>NA</v>
      </c>
    </row>
    <row r="21" spans="1:9">
      <c r="A21" s="481" t="s">
        <v>4197</v>
      </c>
      <c r="B21" s="481"/>
      <c r="C21" s="478" t="s">
        <v>212</v>
      </c>
      <c r="E21" s="482" t="e">
        <f>#REF!</f>
        <v>#REF!</v>
      </c>
      <c r="F21" s="482"/>
      <c r="G21" s="482" t="e">
        <f>#REF!</f>
        <v>#REF!</v>
      </c>
      <c r="H21" s="482"/>
      <c r="I21" s="483" t="str">
        <f t="shared" si="0"/>
        <v>NA</v>
      </c>
    </row>
    <row r="22" spans="1:9">
      <c r="A22" s="481" t="s">
        <v>4198</v>
      </c>
      <c r="B22" s="481"/>
      <c r="C22" s="478" t="s">
        <v>212</v>
      </c>
      <c r="E22" s="482" t="e">
        <f>#REF!</f>
        <v>#REF!</v>
      </c>
      <c r="F22" s="482"/>
      <c r="G22" s="482" t="e">
        <f>#REF!</f>
        <v>#REF!</v>
      </c>
      <c r="H22" s="482"/>
      <c r="I22" s="483" t="str">
        <f t="shared" si="0"/>
        <v>NA</v>
      </c>
    </row>
    <row r="23" spans="1:9">
      <c r="A23" s="481" t="s">
        <v>4199</v>
      </c>
      <c r="B23" s="481"/>
      <c r="C23" s="478" t="s">
        <v>212</v>
      </c>
      <c r="E23" s="482" t="e">
        <f>#REF!</f>
        <v>#REF!</v>
      </c>
      <c r="F23" s="482"/>
      <c r="G23" s="482" t="e">
        <f>#REF!</f>
        <v>#REF!</v>
      </c>
      <c r="H23" s="482"/>
      <c r="I23" s="483" t="str">
        <f t="shared" si="0"/>
        <v>NA</v>
      </c>
    </row>
    <row r="24" spans="1:9">
      <c r="A24" s="481" t="s">
        <v>4200</v>
      </c>
      <c r="B24" s="481"/>
      <c r="C24" s="478" t="s">
        <v>212</v>
      </c>
      <c r="E24" s="482" t="e">
        <f>#REF!</f>
        <v>#REF!</v>
      </c>
      <c r="F24" s="482"/>
      <c r="G24" s="482" t="e">
        <f>#REF!</f>
        <v>#REF!</v>
      </c>
      <c r="H24" s="482"/>
      <c r="I24" s="483" t="str">
        <f t="shared" si="0"/>
        <v>NA</v>
      </c>
    </row>
    <row r="25" spans="1:9">
      <c r="A25" s="481" t="s">
        <v>4201</v>
      </c>
      <c r="B25" s="481"/>
      <c r="C25" s="478" t="s">
        <v>212</v>
      </c>
      <c r="E25" s="482" t="e">
        <f>#REF!</f>
        <v>#REF!</v>
      </c>
      <c r="F25" s="482"/>
      <c r="G25" s="482" t="e">
        <f>#REF!</f>
        <v>#REF!</v>
      </c>
      <c r="H25" s="482"/>
      <c r="I25" s="483" t="str">
        <f t="shared" si="0"/>
        <v>NA</v>
      </c>
    </row>
    <row r="26" spans="1:9">
      <c r="A26" s="481" t="s">
        <v>4202</v>
      </c>
      <c r="B26" s="481"/>
      <c r="C26" s="478" t="s">
        <v>212</v>
      </c>
      <c r="E26" s="482" t="e">
        <f>#REF!</f>
        <v>#REF!</v>
      </c>
      <c r="F26" s="482"/>
      <c r="G26" s="482" t="e">
        <f>#REF!</f>
        <v>#REF!</v>
      </c>
      <c r="H26" s="482"/>
      <c r="I26" s="483" t="str">
        <f t="shared" si="0"/>
        <v>NA</v>
      </c>
    </row>
    <row r="27" spans="1:9">
      <c r="A27" s="481" t="s">
        <v>4203</v>
      </c>
      <c r="B27" s="481"/>
      <c r="C27" s="478" t="s">
        <v>2334</v>
      </c>
      <c r="E27" s="482" t="e">
        <f>#REF!</f>
        <v>#REF!</v>
      </c>
      <c r="F27" s="482"/>
      <c r="G27" s="482" t="e">
        <f>#REF!</f>
        <v>#REF!</v>
      </c>
      <c r="H27" s="482"/>
      <c r="I27" s="483" t="str">
        <f t="shared" si="0"/>
        <v>NA</v>
      </c>
    </row>
    <row r="28" spans="1:9">
      <c r="A28" s="481" t="s">
        <v>4204</v>
      </c>
      <c r="B28" s="481"/>
      <c r="C28" s="478" t="s">
        <v>2334</v>
      </c>
      <c r="E28" s="482" t="e">
        <f>#REF!</f>
        <v>#REF!</v>
      </c>
      <c r="F28" s="482"/>
      <c r="G28" s="482" t="e">
        <f>#REF!</f>
        <v>#REF!</v>
      </c>
      <c r="H28" s="482"/>
      <c r="I28" s="483" t="str">
        <f t="shared" si="0"/>
        <v>NA</v>
      </c>
    </row>
    <row r="29" spans="1:9">
      <c r="A29" s="481" t="s">
        <v>4205</v>
      </c>
      <c r="B29" s="481"/>
      <c r="C29" s="478" t="s">
        <v>2334</v>
      </c>
      <c r="E29" s="482" t="e">
        <f>#REF!</f>
        <v>#REF!</v>
      </c>
      <c r="F29" s="482"/>
      <c r="G29" s="482" t="e">
        <f>#REF!</f>
        <v>#REF!</v>
      </c>
      <c r="H29" s="482"/>
      <c r="I29" s="483" t="str">
        <f t="shared" si="0"/>
        <v>NA</v>
      </c>
    </row>
    <row r="30" spans="1:9">
      <c r="A30" s="481" t="s">
        <v>4206</v>
      </c>
      <c r="B30" s="481"/>
      <c r="C30" s="478" t="s">
        <v>2334</v>
      </c>
      <c r="E30" s="482" t="e">
        <f>#REF!</f>
        <v>#REF!</v>
      </c>
      <c r="F30" s="482"/>
      <c r="G30" s="482" t="e">
        <f>#REF!</f>
        <v>#REF!</v>
      </c>
      <c r="H30" s="482"/>
      <c r="I30" s="483" t="str">
        <f t="shared" si="0"/>
        <v>NA</v>
      </c>
    </row>
    <row r="31" spans="1:9">
      <c r="A31" s="481" t="s">
        <v>4207</v>
      </c>
      <c r="B31" s="481"/>
      <c r="C31" s="478" t="s">
        <v>1359</v>
      </c>
      <c r="E31" s="482" t="e">
        <f>#REF!</f>
        <v>#REF!</v>
      </c>
      <c r="F31" s="482"/>
      <c r="G31" s="482" t="e">
        <f>#REF!</f>
        <v>#REF!</v>
      </c>
      <c r="H31" s="482"/>
      <c r="I31" s="483" t="str">
        <f t="shared" si="0"/>
        <v>NA</v>
      </c>
    </row>
    <row r="32" spans="1:9">
      <c r="A32" s="481" t="s">
        <v>4208</v>
      </c>
      <c r="B32" s="481"/>
      <c r="C32" s="478" t="s">
        <v>1359</v>
      </c>
      <c r="E32" s="482" t="e">
        <f>#REF!</f>
        <v>#REF!</v>
      </c>
      <c r="F32" s="482"/>
      <c r="G32" s="482" t="e">
        <f>#REF!</f>
        <v>#REF!</v>
      </c>
      <c r="H32" s="482"/>
      <c r="I32" s="483" t="str">
        <f t="shared" si="0"/>
        <v>NA</v>
      </c>
    </row>
    <row r="33" spans="1:9">
      <c r="A33" s="481" t="s">
        <v>4209</v>
      </c>
      <c r="B33" s="481"/>
      <c r="C33" s="478" t="s">
        <v>4149</v>
      </c>
      <c r="E33" s="482" t="e">
        <f>#REF!</f>
        <v>#REF!</v>
      </c>
      <c r="F33" s="482"/>
      <c r="G33" s="482" t="e">
        <f>#REF!</f>
        <v>#REF!</v>
      </c>
      <c r="H33" s="482"/>
      <c r="I33" s="483" t="str">
        <f t="shared" si="0"/>
        <v>NA</v>
      </c>
    </row>
    <row r="34" spans="1:9">
      <c r="A34" s="481" t="s">
        <v>4210</v>
      </c>
      <c r="B34" s="481"/>
      <c r="C34" s="478" t="s">
        <v>1355</v>
      </c>
      <c r="E34" s="482" t="e">
        <f>#REF!</f>
        <v>#REF!</v>
      </c>
      <c r="F34" s="482"/>
      <c r="G34" s="482" t="e">
        <f>#REF!</f>
        <v>#REF!</v>
      </c>
      <c r="H34" s="482"/>
      <c r="I34" s="483" t="str">
        <f t="shared" si="0"/>
        <v>NA</v>
      </c>
    </row>
    <row r="35" spans="1:9">
      <c r="A35" s="481" t="s">
        <v>4211</v>
      </c>
      <c r="B35" s="481"/>
      <c r="C35" s="478" t="s">
        <v>1355</v>
      </c>
      <c r="E35" s="482" t="e">
        <f>#REF!</f>
        <v>#REF!</v>
      </c>
      <c r="F35" s="482"/>
      <c r="G35" s="482" t="e">
        <f>#REF!</f>
        <v>#REF!</v>
      </c>
      <c r="H35" s="482"/>
      <c r="I35" s="483" t="str">
        <f t="shared" si="0"/>
        <v>NA</v>
      </c>
    </row>
    <row r="36" spans="1:9">
      <c r="A36" s="481" t="s">
        <v>4158</v>
      </c>
      <c r="B36" s="481"/>
      <c r="C36" s="478" t="s">
        <v>4150</v>
      </c>
      <c r="E36" s="482" t="e">
        <f>#REF!</f>
        <v>#REF!</v>
      </c>
      <c r="F36" s="482"/>
      <c r="G36" s="482" t="e">
        <f>#REF!</f>
        <v>#REF!</v>
      </c>
      <c r="H36" s="482"/>
      <c r="I36" s="483" t="str">
        <f t="shared" si="0"/>
        <v>NA</v>
      </c>
    </row>
    <row r="37" spans="1:9">
      <c r="A37" s="481" t="s">
        <v>4212</v>
      </c>
      <c r="B37" s="481"/>
      <c r="C37" s="478" t="s">
        <v>4151</v>
      </c>
      <c r="E37" s="482" t="e">
        <f>#REF!</f>
        <v>#REF!</v>
      </c>
      <c r="F37" s="482"/>
      <c r="G37" s="482" t="e">
        <f>#REF!</f>
        <v>#REF!</v>
      </c>
      <c r="H37" s="482"/>
      <c r="I37" s="483" t="str">
        <f t="shared" si="0"/>
        <v>NA</v>
      </c>
    </row>
    <row r="38" spans="1:9">
      <c r="A38" s="481" t="s">
        <v>4213</v>
      </c>
      <c r="B38" s="481"/>
      <c r="C38" s="478" t="s">
        <v>4152</v>
      </c>
      <c r="E38" s="482" t="e">
        <f>#REF!</f>
        <v>#REF!</v>
      </c>
      <c r="F38" s="482"/>
      <c r="G38" s="482" t="e">
        <f>#REF!</f>
        <v>#REF!</v>
      </c>
      <c r="H38" s="482"/>
      <c r="I38" s="483" t="str">
        <f t="shared" si="0"/>
        <v>NA</v>
      </c>
    </row>
    <row r="39" spans="1:9">
      <c r="A39" s="481" t="s">
        <v>4159</v>
      </c>
      <c r="B39" s="481"/>
      <c r="C39" s="478" t="s">
        <v>4153</v>
      </c>
      <c r="E39" s="482" t="e">
        <f>#REF!</f>
        <v>#REF!</v>
      </c>
      <c r="F39" s="482"/>
      <c r="G39" s="482" t="e">
        <f>#REF!</f>
        <v>#REF!</v>
      </c>
      <c r="H39" s="482"/>
      <c r="I39" s="483" t="str">
        <f t="shared" si="0"/>
        <v>NA</v>
      </c>
    </row>
    <row r="40" spans="1:9">
      <c r="A40" s="481" t="s">
        <v>4214</v>
      </c>
      <c r="B40" s="481"/>
      <c r="C40" s="478" t="s">
        <v>218</v>
      </c>
      <c r="E40" s="482" t="e">
        <f>#REF!</f>
        <v>#REF!</v>
      </c>
      <c r="F40" s="482"/>
      <c r="G40" s="482" t="e">
        <f>#REF!</f>
        <v>#REF!</v>
      </c>
      <c r="H40" s="482"/>
      <c r="I40" s="483" t="str">
        <f t="shared" si="0"/>
        <v>NA</v>
      </c>
    </row>
    <row r="41" spans="1:9">
      <c r="A41" s="481" t="s">
        <v>4214</v>
      </c>
      <c r="B41" s="481"/>
      <c r="C41" s="478" t="s">
        <v>218</v>
      </c>
      <c r="E41" s="482" t="e">
        <f>#REF!</f>
        <v>#REF!</v>
      </c>
      <c r="F41" s="482"/>
      <c r="G41" s="482" t="e">
        <f>#REF!</f>
        <v>#REF!</v>
      </c>
      <c r="H41" s="482"/>
      <c r="I41" s="483" t="str">
        <f t="shared" si="0"/>
        <v>NA</v>
      </c>
    </row>
    <row r="42" spans="1:9">
      <c r="A42" s="481" t="s">
        <v>4215</v>
      </c>
      <c r="B42" s="481"/>
      <c r="C42" s="478" t="s">
        <v>218</v>
      </c>
      <c r="E42" s="482" t="e">
        <f>#REF!</f>
        <v>#REF!</v>
      </c>
      <c r="F42" s="482"/>
      <c r="G42" s="482" t="e">
        <f>#REF!</f>
        <v>#REF!</v>
      </c>
      <c r="H42" s="482"/>
      <c r="I42" s="483" t="str">
        <f t="shared" si="0"/>
        <v>NA</v>
      </c>
    </row>
    <row r="43" spans="1:9">
      <c r="A43" s="481" t="s">
        <v>4216</v>
      </c>
      <c r="B43" s="481"/>
      <c r="C43" s="478" t="s">
        <v>218</v>
      </c>
      <c r="E43" s="482" t="e">
        <f>#REF!</f>
        <v>#REF!</v>
      </c>
      <c r="F43" s="482"/>
      <c r="G43" s="482" t="e">
        <f>#REF!</f>
        <v>#REF!</v>
      </c>
      <c r="H43" s="482"/>
      <c r="I43" s="483" t="str">
        <f t="shared" si="0"/>
        <v>NA</v>
      </c>
    </row>
    <row r="44" spans="1:9">
      <c r="I44" s="483"/>
    </row>
    <row r="45" spans="1:9" ht="16.5" thickBot="1">
      <c r="C45" s="485" t="s">
        <v>1377</v>
      </c>
      <c r="E45" s="486" t="e">
        <f>AVERAGE(E7:E19)</f>
        <v>#REF!</v>
      </c>
      <c r="F45" s="483"/>
      <c r="G45" s="486" t="e">
        <f>AVERAGE(G7:G19)</f>
        <v>#REF!</v>
      </c>
      <c r="H45" s="483"/>
      <c r="I45" s="486" t="e">
        <f>E45+G45</f>
        <v>#REF!</v>
      </c>
    </row>
    <row r="46" spans="1:9" ht="16.5" thickTop="1">
      <c r="C46" s="485"/>
      <c r="E46" s="483"/>
      <c r="F46" s="483"/>
      <c r="G46" s="483"/>
      <c r="H46" s="483"/>
      <c r="I46" s="483"/>
    </row>
    <row r="47" spans="1:9">
      <c r="A47" s="477" t="s">
        <v>4228</v>
      </c>
    </row>
    <row r="49" spans="5:9">
      <c r="E49" s="483" t="e">
        <f>MEDIAN(E7:E43)</f>
        <v>#REF!</v>
      </c>
      <c r="G49" s="483" t="e">
        <f>MEDIAN(G7:G43)</f>
        <v>#REF!</v>
      </c>
      <c r="I49" s="483" t="e">
        <f>SUM(E49:H49)</f>
        <v>#REF!</v>
      </c>
    </row>
  </sheetData>
  <mergeCells count="1">
    <mergeCell ref="E5:I5"/>
  </mergeCells>
  <printOptions horizontalCentered="1"/>
  <pageMargins left="0.7" right="0.7" top="0.75" bottom="0.75" header="0.3" footer="0.3"/>
  <pageSetup scale="71"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O195"/>
  <sheetViews>
    <sheetView zoomScale="80" zoomScaleNormal="80" workbookViewId="0">
      <pane ySplit="2" topLeftCell="A3" activePane="bottomLeft" state="frozen"/>
      <selection pane="bottomLeft" activeCell="I3" sqref="I3"/>
    </sheetView>
  </sheetViews>
  <sheetFormatPr defaultColWidth="13.28515625" defaultRowHeight="14.25"/>
  <cols>
    <col min="1" max="1" width="13.28515625" style="146"/>
    <col min="2" max="2" width="13.28515625" style="150"/>
    <col min="3" max="3" width="15" style="146" bestFit="1" customWidth="1"/>
    <col min="4" max="16384" width="13.28515625" style="146"/>
  </cols>
  <sheetData>
    <row r="1" spans="1:41">
      <c r="A1" s="1049" t="s">
        <v>1408</v>
      </c>
      <c r="B1" s="518" t="s">
        <v>1409</v>
      </c>
      <c r="C1" s="146" t="s">
        <v>192</v>
      </c>
      <c r="D1" s="146" t="s">
        <v>1495</v>
      </c>
      <c r="E1" s="146" t="s">
        <v>1501</v>
      </c>
      <c r="F1" s="146" t="s">
        <v>1516</v>
      </c>
      <c r="G1" s="146" t="s">
        <v>2275</v>
      </c>
      <c r="H1" s="146" t="s">
        <v>1545</v>
      </c>
      <c r="I1" s="146" t="s">
        <v>4154</v>
      </c>
      <c r="J1" s="146" t="s">
        <v>1582</v>
      </c>
      <c r="K1" s="146" t="s">
        <v>2399</v>
      </c>
      <c r="L1" s="146" t="s">
        <v>3974</v>
      </c>
      <c r="M1" s="146" t="s">
        <v>4155</v>
      </c>
      <c r="N1" s="146" t="s">
        <v>4061</v>
      </c>
      <c r="O1" s="146" t="s">
        <v>1670</v>
      </c>
      <c r="P1" s="146" t="s">
        <v>3016</v>
      </c>
      <c r="Q1" s="146" t="s">
        <v>3017</v>
      </c>
      <c r="R1" s="146" t="s">
        <v>4514</v>
      </c>
      <c r="S1" s="146" t="s">
        <v>2563</v>
      </c>
      <c r="T1" s="146" t="s">
        <v>1897</v>
      </c>
      <c r="U1" s="146" t="s">
        <v>1308</v>
      </c>
      <c r="V1" s="146" t="s">
        <v>2324</v>
      </c>
      <c r="W1" s="146" t="s">
        <v>1920</v>
      </c>
      <c r="X1" s="146" t="s">
        <v>4238</v>
      </c>
      <c r="Y1" s="146" t="s">
        <v>1938</v>
      </c>
      <c r="Z1" s="146" t="s">
        <v>2968</v>
      </c>
      <c r="AA1" s="146" t="s">
        <v>1958</v>
      </c>
      <c r="AB1" s="146" t="s">
        <v>1975</v>
      </c>
      <c r="AC1" s="146" t="s">
        <v>4515</v>
      </c>
      <c r="AD1" s="146" t="s">
        <v>3975</v>
      </c>
      <c r="AE1" s="146" t="s">
        <v>2688</v>
      </c>
      <c r="AF1" s="146" t="s">
        <v>186</v>
      </c>
      <c r="AG1" s="146" t="s">
        <v>3018</v>
      </c>
      <c r="AH1" s="146" t="s">
        <v>3976</v>
      </c>
      <c r="AI1" s="146" t="s">
        <v>4516</v>
      </c>
      <c r="AJ1" s="146" t="s">
        <v>2074</v>
      </c>
      <c r="AK1" s="146" t="s">
        <v>2084</v>
      </c>
      <c r="AL1" s="146" t="s">
        <v>2116</v>
      </c>
      <c r="AM1" s="146" t="s">
        <v>2124</v>
      </c>
      <c r="AN1" s="146" t="s">
        <v>4157</v>
      </c>
      <c r="AO1" s="146" t="s">
        <v>2142</v>
      </c>
    </row>
    <row r="2" spans="1:41">
      <c r="A2" s="1049"/>
      <c r="B2" s="519" t="s">
        <v>1302</v>
      </c>
      <c r="C2" s="538" t="s">
        <v>4174</v>
      </c>
      <c r="D2" s="520" t="s">
        <v>4175</v>
      </c>
      <c r="E2" s="520" t="s">
        <v>4529</v>
      </c>
      <c r="F2" s="520" t="s">
        <v>4064</v>
      </c>
      <c r="G2" s="520" t="s">
        <v>4176</v>
      </c>
      <c r="H2" s="520" t="s">
        <v>4259</v>
      </c>
      <c r="I2" s="520" t="s">
        <v>4540</v>
      </c>
      <c r="J2" s="520" t="s">
        <v>4260</v>
      </c>
      <c r="K2" s="520" t="s">
        <v>4177</v>
      </c>
      <c r="L2" s="520" t="s">
        <v>4065</v>
      </c>
      <c r="M2" s="520" t="s">
        <v>4178</v>
      </c>
      <c r="N2" s="520" t="s">
        <v>4066</v>
      </c>
      <c r="O2" s="520" t="s">
        <v>4530</v>
      </c>
      <c r="P2" s="520" t="s">
        <v>4067</v>
      </c>
      <c r="Q2" s="520" t="s">
        <v>4068</v>
      </c>
      <c r="R2" s="520" t="s">
        <v>4531</v>
      </c>
      <c r="S2" s="520" t="s">
        <v>4069</v>
      </c>
      <c r="T2" s="520" t="s">
        <v>4263</v>
      </c>
      <c r="U2" s="520" t="s">
        <v>4264</v>
      </c>
      <c r="V2" s="520" t="s">
        <v>4532</v>
      </c>
      <c r="W2" s="520" t="s">
        <v>4533</v>
      </c>
      <c r="X2" s="520" t="s">
        <v>4265</v>
      </c>
      <c r="Y2" s="520" t="s">
        <v>4534</v>
      </c>
      <c r="Z2" s="520" t="s">
        <v>4535</v>
      </c>
      <c r="AA2" s="520" t="s">
        <v>4261</v>
      </c>
      <c r="AB2" s="520" t="s">
        <v>4266</v>
      </c>
      <c r="AC2" s="520" t="s">
        <v>4536</v>
      </c>
      <c r="AD2" s="520" t="s">
        <v>4070</v>
      </c>
      <c r="AE2" s="520" t="s">
        <v>4537</v>
      </c>
      <c r="AF2" s="520" t="s">
        <v>4179</v>
      </c>
      <c r="AG2" s="520" t="s">
        <v>4071</v>
      </c>
      <c r="AH2" s="520" t="s">
        <v>4072</v>
      </c>
      <c r="AI2" s="520" t="s">
        <v>4538</v>
      </c>
      <c r="AJ2" s="520" t="s">
        <v>4539</v>
      </c>
      <c r="AK2" s="520" t="s">
        <v>4180</v>
      </c>
      <c r="AL2" s="520" t="s">
        <v>4181</v>
      </c>
      <c r="AM2" s="520" t="s">
        <v>4073</v>
      </c>
      <c r="AN2" s="520" t="s">
        <v>4182</v>
      </c>
      <c r="AO2" s="520" t="s">
        <v>4262</v>
      </c>
    </row>
    <row r="3" spans="1:41">
      <c r="A3" s="147">
        <v>1</v>
      </c>
      <c r="B3" s="521">
        <v>44925</v>
      </c>
      <c r="C3" s="522">
        <v>149.65</v>
      </c>
      <c r="D3" s="522">
        <v>109.79</v>
      </c>
      <c r="E3" s="522">
        <v>164.03</v>
      </c>
      <c r="F3" s="522">
        <v>125.06</v>
      </c>
      <c r="G3" s="522">
        <v>57.24</v>
      </c>
      <c r="H3" s="522">
        <v>308.26</v>
      </c>
      <c r="I3" s="522">
        <v>65.680000000000007</v>
      </c>
      <c r="J3" s="522">
        <v>71.95</v>
      </c>
      <c r="K3" s="522">
        <v>134.13</v>
      </c>
      <c r="L3" s="522">
        <v>300.58999999999997</v>
      </c>
      <c r="M3" s="522">
        <v>510.43</v>
      </c>
      <c r="N3" s="522">
        <v>115.93</v>
      </c>
      <c r="O3" s="522">
        <v>156.44</v>
      </c>
      <c r="P3" s="522">
        <v>99.09</v>
      </c>
      <c r="Q3" s="522">
        <v>97.93</v>
      </c>
      <c r="R3" s="522">
        <v>149.71</v>
      </c>
      <c r="S3" s="522">
        <v>175.56</v>
      </c>
      <c r="T3" s="522">
        <v>82.89</v>
      </c>
      <c r="U3" s="522">
        <v>110.95</v>
      </c>
      <c r="V3" s="522">
        <v>465.17</v>
      </c>
      <c r="W3" s="522">
        <v>257.70999999999998</v>
      </c>
      <c r="X3" s="522">
        <v>311.11</v>
      </c>
      <c r="Y3" s="522">
        <v>545.61</v>
      </c>
      <c r="Z3" s="522">
        <v>283.77999999999997</v>
      </c>
      <c r="AA3" s="522">
        <v>81.739999999999995</v>
      </c>
      <c r="AB3" s="522">
        <v>129.71</v>
      </c>
      <c r="AC3" s="522">
        <v>90.26</v>
      </c>
      <c r="AD3" s="522">
        <v>131.27000000000001</v>
      </c>
      <c r="AE3" s="522">
        <v>36.54</v>
      </c>
      <c r="AF3" s="522">
        <v>237.33</v>
      </c>
      <c r="AG3" s="522">
        <v>88.61</v>
      </c>
      <c r="AH3" s="522">
        <v>5.84</v>
      </c>
      <c r="AI3" s="522">
        <v>72.92</v>
      </c>
      <c r="AJ3" s="522">
        <v>550.69000000000005</v>
      </c>
      <c r="AK3" s="522">
        <v>165.22</v>
      </c>
      <c r="AL3" s="522">
        <v>205.44</v>
      </c>
      <c r="AM3" s="522">
        <v>342.58</v>
      </c>
      <c r="AN3" s="522">
        <v>249.4</v>
      </c>
      <c r="AO3" s="522">
        <v>13.77</v>
      </c>
    </row>
    <row r="4" spans="1:41">
      <c r="A4" s="147">
        <v>2</v>
      </c>
      <c r="B4" s="521">
        <v>44924</v>
      </c>
      <c r="C4" s="522">
        <v>151.09</v>
      </c>
      <c r="D4" s="522">
        <v>110.31</v>
      </c>
      <c r="E4" s="522">
        <v>163.98</v>
      </c>
      <c r="F4" s="522">
        <v>126.63</v>
      </c>
      <c r="G4" s="522">
        <v>57.66</v>
      </c>
      <c r="H4" s="522">
        <v>311.41000000000003</v>
      </c>
      <c r="I4" s="522">
        <v>66.150000000000006</v>
      </c>
      <c r="J4" s="522">
        <v>72.099999999999994</v>
      </c>
      <c r="K4" s="522">
        <v>136.66</v>
      </c>
      <c r="L4" s="522">
        <v>300.58999999999997</v>
      </c>
      <c r="M4" s="522">
        <v>517.15</v>
      </c>
      <c r="N4" s="522">
        <v>117.02</v>
      </c>
      <c r="O4" s="522">
        <v>156.79</v>
      </c>
      <c r="P4" s="522">
        <v>100.56</v>
      </c>
      <c r="Q4" s="522">
        <v>98.18</v>
      </c>
      <c r="R4" s="522">
        <v>151.94</v>
      </c>
      <c r="S4" s="522">
        <v>177.49</v>
      </c>
      <c r="T4" s="522">
        <v>84.14</v>
      </c>
      <c r="U4" s="522">
        <v>110.82</v>
      </c>
      <c r="V4" s="522">
        <v>471.92</v>
      </c>
      <c r="W4" s="522">
        <v>258.81</v>
      </c>
      <c r="X4" s="522">
        <v>309.04000000000002</v>
      </c>
      <c r="Y4" s="522">
        <v>542</v>
      </c>
      <c r="Z4" s="522">
        <v>286.58</v>
      </c>
      <c r="AA4" s="522">
        <v>81.400000000000006</v>
      </c>
      <c r="AB4" s="522">
        <v>130.56</v>
      </c>
      <c r="AC4" s="522">
        <v>90.23</v>
      </c>
      <c r="AD4" s="522">
        <v>133.72</v>
      </c>
      <c r="AE4" s="522">
        <v>36.659999999999997</v>
      </c>
      <c r="AF4" s="522">
        <v>241.32</v>
      </c>
      <c r="AG4" s="522">
        <v>90.34</v>
      </c>
      <c r="AH4" s="522">
        <v>5.82</v>
      </c>
      <c r="AI4" s="522">
        <v>73.89</v>
      </c>
      <c r="AJ4" s="522">
        <v>557.01</v>
      </c>
      <c r="AK4" s="522">
        <v>165.02</v>
      </c>
      <c r="AL4" s="522">
        <v>205.38</v>
      </c>
      <c r="AM4" s="522">
        <v>345.88</v>
      </c>
      <c r="AN4" s="522">
        <v>252.55</v>
      </c>
      <c r="AO4" s="522">
        <v>13.88</v>
      </c>
    </row>
    <row r="5" spans="1:41">
      <c r="A5" s="147">
        <v>3</v>
      </c>
      <c r="B5" s="521">
        <v>44923</v>
      </c>
      <c r="C5" s="522">
        <v>148.09</v>
      </c>
      <c r="D5" s="522">
        <v>107.83</v>
      </c>
      <c r="E5" s="522">
        <v>160.28</v>
      </c>
      <c r="F5" s="522">
        <v>123.96</v>
      </c>
      <c r="G5" s="522">
        <v>56.77</v>
      </c>
      <c r="H5" s="522">
        <v>309.64</v>
      </c>
      <c r="I5" s="522">
        <v>65.569999999999993</v>
      </c>
      <c r="J5" s="522">
        <v>71.989999999999995</v>
      </c>
      <c r="K5" s="522">
        <v>133.37</v>
      </c>
      <c r="L5" s="522">
        <v>297.97000000000003</v>
      </c>
      <c r="M5" s="522">
        <v>511</v>
      </c>
      <c r="N5" s="522">
        <v>113.64</v>
      </c>
      <c r="O5" s="522">
        <v>156.51</v>
      </c>
      <c r="P5" s="522">
        <v>98.53</v>
      </c>
      <c r="Q5" s="522">
        <v>98.09</v>
      </c>
      <c r="R5" s="522">
        <v>150.78</v>
      </c>
      <c r="S5" s="522">
        <v>176.64</v>
      </c>
      <c r="T5" s="522">
        <v>83.24</v>
      </c>
      <c r="U5" s="522">
        <v>111.08</v>
      </c>
      <c r="V5" s="522">
        <v>454.44</v>
      </c>
      <c r="W5" s="522">
        <v>253.8</v>
      </c>
      <c r="X5" s="522">
        <v>305.07</v>
      </c>
      <c r="Y5" s="522">
        <v>540.41</v>
      </c>
      <c r="Z5" s="522">
        <v>282.25</v>
      </c>
      <c r="AA5" s="522">
        <v>80.33</v>
      </c>
      <c r="AB5" s="522">
        <v>129.72</v>
      </c>
      <c r="AC5" s="522">
        <v>90.34</v>
      </c>
      <c r="AD5" s="522">
        <v>131.72</v>
      </c>
      <c r="AE5" s="522">
        <v>36.54</v>
      </c>
      <c r="AF5" s="522">
        <v>237.48</v>
      </c>
      <c r="AG5" s="522">
        <v>89.13</v>
      </c>
      <c r="AH5" s="522">
        <v>5.73</v>
      </c>
      <c r="AI5" s="522">
        <v>72.31</v>
      </c>
      <c r="AJ5" s="522">
        <v>543.41</v>
      </c>
      <c r="AK5" s="522">
        <v>161.19</v>
      </c>
      <c r="AL5" s="522">
        <v>201.13</v>
      </c>
      <c r="AM5" s="522">
        <v>340.71</v>
      </c>
      <c r="AN5" s="522">
        <v>247</v>
      </c>
      <c r="AO5" s="522">
        <v>13.65</v>
      </c>
    </row>
    <row r="6" spans="1:41">
      <c r="A6" s="147">
        <v>4</v>
      </c>
      <c r="B6" s="521">
        <v>44922</v>
      </c>
      <c r="C6" s="522">
        <v>149.55000000000001</v>
      </c>
      <c r="D6" s="522">
        <v>108.57</v>
      </c>
      <c r="E6" s="522">
        <v>162.19999999999999</v>
      </c>
      <c r="F6" s="522">
        <v>124.57</v>
      </c>
      <c r="G6" s="522">
        <v>57.67</v>
      </c>
      <c r="H6" s="522">
        <v>312.2</v>
      </c>
      <c r="I6" s="522">
        <v>66.58</v>
      </c>
      <c r="J6" s="522">
        <v>72.61</v>
      </c>
      <c r="K6" s="522">
        <v>135.47</v>
      </c>
      <c r="L6" s="522">
        <v>302.92</v>
      </c>
      <c r="M6" s="522">
        <v>513.19000000000005</v>
      </c>
      <c r="N6" s="522">
        <v>115.95</v>
      </c>
      <c r="O6" s="522">
        <v>157.28</v>
      </c>
      <c r="P6" s="522">
        <v>100.38</v>
      </c>
      <c r="Q6" s="522">
        <v>99.45</v>
      </c>
      <c r="R6" s="522">
        <v>152.09</v>
      </c>
      <c r="S6" s="522">
        <v>178.9</v>
      </c>
      <c r="T6" s="522">
        <v>84.83</v>
      </c>
      <c r="U6" s="522">
        <v>112.12</v>
      </c>
      <c r="V6" s="522">
        <v>460.43</v>
      </c>
      <c r="W6" s="522">
        <v>256.63</v>
      </c>
      <c r="X6" s="522">
        <v>311.86</v>
      </c>
      <c r="Y6" s="522">
        <v>541.19000000000005</v>
      </c>
      <c r="Z6" s="522">
        <v>286.77</v>
      </c>
      <c r="AA6" s="522">
        <v>80.98</v>
      </c>
      <c r="AB6" s="522">
        <v>130.16999999999999</v>
      </c>
      <c r="AC6" s="522">
        <v>91.53</v>
      </c>
      <c r="AD6" s="522">
        <v>133.68</v>
      </c>
      <c r="AE6" s="522">
        <v>37.020000000000003</v>
      </c>
      <c r="AF6" s="522">
        <v>239.42</v>
      </c>
      <c r="AG6" s="522">
        <v>90.84</v>
      </c>
      <c r="AH6" s="522">
        <v>5.78</v>
      </c>
      <c r="AI6" s="522">
        <v>73.180000000000007</v>
      </c>
      <c r="AJ6" s="522">
        <v>545.44000000000005</v>
      </c>
      <c r="AK6" s="522">
        <v>163.78</v>
      </c>
      <c r="AL6" s="522">
        <v>204.07</v>
      </c>
      <c r="AM6" s="522">
        <v>346.53</v>
      </c>
      <c r="AN6" s="522">
        <v>252.67</v>
      </c>
      <c r="AO6" s="522">
        <v>13.84</v>
      </c>
    </row>
    <row r="7" spans="1:41">
      <c r="A7" s="147">
        <v>5</v>
      </c>
      <c r="B7" s="521">
        <v>44918</v>
      </c>
      <c r="C7" s="522">
        <v>149.22999999999999</v>
      </c>
      <c r="D7" s="522">
        <v>108.18</v>
      </c>
      <c r="E7" s="522">
        <v>163.84</v>
      </c>
      <c r="F7" s="522">
        <v>125.03</v>
      </c>
      <c r="G7" s="522">
        <v>56.9</v>
      </c>
      <c r="H7" s="522">
        <v>312.04000000000002</v>
      </c>
      <c r="I7" s="522">
        <v>66.349999999999994</v>
      </c>
      <c r="J7" s="522">
        <v>72.89</v>
      </c>
      <c r="K7" s="522">
        <v>134.47999999999999</v>
      </c>
      <c r="L7" s="522">
        <v>299.27999999999997</v>
      </c>
      <c r="M7" s="522">
        <v>516.16999999999996</v>
      </c>
      <c r="N7" s="522">
        <v>117.17</v>
      </c>
      <c r="O7" s="522">
        <v>156.31</v>
      </c>
      <c r="P7" s="522">
        <v>100.55</v>
      </c>
      <c r="Q7" s="522">
        <v>98.87</v>
      </c>
      <c r="R7" s="522">
        <v>153.4</v>
      </c>
      <c r="S7" s="522">
        <v>177.34</v>
      </c>
      <c r="T7" s="522">
        <v>84.22</v>
      </c>
      <c r="U7" s="522">
        <v>111.86</v>
      </c>
      <c r="V7" s="522">
        <v>463.82</v>
      </c>
      <c r="W7" s="522">
        <v>256.63</v>
      </c>
      <c r="X7" s="522">
        <v>310.06</v>
      </c>
      <c r="Y7" s="522">
        <v>534.77</v>
      </c>
      <c r="Z7" s="522">
        <v>286.10000000000002</v>
      </c>
      <c r="AA7" s="522">
        <v>80.849999999999994</v>
      </c>
      <c r="AB7" s="522">
        <v>129.44</v>
      </c>
      <c r="AC7" s="522">
        <v>91.11</v>
      </c>
      <c r="AD7" s="522">
        <v>133.69</v>
      </c>
      <c r="AE7" s="522">
        <v>37.119999999999997</v>
      </c>
      <c r="AF7" s="522">
        <v>242.67</v>
      </c>
      <c r="AG7" s="522">
        <v>90.85</v>
      </c>
      <c r="AH7" s="522">
        <v>5.84</v>
      </c>
      <c r="AI7" s="522">
        <v>72.930000000000007</v>
      </c>
      <c r="AJ7" s="522">
        <v>540.67999999999995</v>
      </c>
      <c r="AK7" s="522">
        <v>164.38</v>
      </c>
      <c r="AL7" s="522">
        <v>203.72</v>
      </c>
      <c r="AM7" s="522">
        <v>346.66</v>
      </c>
      <c r="AN7" s="522">
        <v>252.17</v>
      </c>
      <c r="AO7" s="522">
        <v>13.83</v>
      </c>
    </row>
    <row r="8" spans="1:41">
      <c r="A8" s="147">
        <v>6</v>
      </c>
      <c r="B8" s="521">
        <v>44917</v>
      </c>
      <c r="C8" s="522">
        <v>149.01</v>
      </c>
      <c r="D8" s="522">
        <v>108.03</v>
      </c>
      <c r="E8" s="522">
        <v>163.75</v>
      </c>
      <c r="F8" s="522">
        <v>122.97</v>
      </c>
      <c r="G8" s="522">
        <v>56.23</v>
      </c>
      <c r="H8" s="522">
        <v>312.60000000000002</v>
      </c>
      <c r="I8" s="522">
        <v>66.52</v>
      </c>
      <c r="J8" s="522">
        <v>73.83</v>
      </c>
      <c r="K8" s="522">
        <v>134.4</v>
      </c>
      <c r="L8" s="522">
        <v>299.58999999999997</v>
      </c>
      <c r="M8" s="522">
        <v>513.45000000000005</v>
      </c>
      <c r="N8" s="522">
        <v>114.9</v>
      </c>
      <c r="O8" s="522">
        <v>155.63</v>
      </c>
      <c r="P8" s="522">
        <v>100.2</v>
      </c>
      <c r="Q8" s="522">
        <v>98.43</v>
      </c>
      <c r="R8" s="522">
        <v>153.19999999999999</v>
      </c>
      <c r="S8" s="522">
        <v>176.67</v>
      </c>
      <c r="T8" s="522">
        <v>84.18</v>
      </c>
      <c r="U8" s="522">
        <v>111.24</v>
      </c>
      <c r="V8" s="522">
        <v>462.32</v>
      </c>
      <c r="W8" s="522">
        <v>255.42</v>
      </c>
      <c r="X8" s="522">
        <v>306.98</v>
      </c>
      <c r="Y8" s="522">
        <v>531.37</v>
      </c>
      <c r="Z8" s="522">
        <v>281.97000000000003</v>
      </c>
      <c r="AA8" s="522">
        <v>80.489999999999995</v>
      </c>
      <c r="AB8" s="522">
        <v>128.6</v>
      </c>
      <c r="AC8" s="522">
        <v>90.5</v>
      </c>
      <c r="AD8" s="522">
        <v>131.76</v>
      </c>
      <c r="AE8" s="522">
        <v>36.97</v>
      </c>
      <c r="AF8" s="522">
        <v>241.3</v>
      </c>
      <c r="AG8" s="522">
        <v>90.25</v>
      </c>
      <c r="AH8" s="522">
        <v>5.81</v>
      </c>
      <c r="AI8" s="522">
        <v>72.3</v>
      </c>
      <c r="AJ8" s="522">
        <v>539.14</v>
      </c>
      <c r="AK8" s="522">
        <v>164.7</v>
      </c>
      <c r="AL8" s="522">
        <v>203.43</v>
      </c>
      <c r="AM8" s="522">
        <v>344.3</v>
      </c>
      <c r="AN8" s="522">
        <v>249.03</v>
      </c>
      <c r="AO8" s="522">
        <v>13.61</v>
      </c>
    </row>
    <row r="9" spans="1:41">
      <c r="A9" s="147">
        <v>7</v>
      </c>
      <c r="B9" s="521">
        <v>44916</v>
      </c>
      <c r="C9" s="522">
        <v>150.09</v>
      </c>
      <c r="D9" s="522">
        <v>108.14</v>
      </c>
      <c r="E9" s="522">
        <v>167.41</v>
      </c>
      <c r="F9" s="522">
        <v>123.53</v>
      </c>
      <c r="G9" s="522">
        <v>57.24</v>
      </c>
      <c r="H9" s="522">
        <v>314.49</v>
      </c>
      <c r="I9" s="522">
        <v>66.819999999999993</v>
      </c>
      <c r="J9" s="522">
        <v>73.33</v>
      </c>
      <c r="K9" s="522">
        <v>136.33000000000001</v>
      </c>
      <c r="L9" s="522">
        <v>303.64</v>
      </c>
      <c r="M9" s="522">
        <v>514.48</v>
      </c>
      <c r="N9" s="522">
        <v>120.18</v>
      </c>
      <c r="O9" s="522">
        <v>155.30000000000001</v>
      </c>
      <c r="P9" s="522">
        <v>100.86</v>
      </c>
      <c r="Q9" s="522">
        <v>99.05</v>
      </c>
      <c r="R9" s="522">
        <v>154.34</v>
      </c>
      <c r="S9" s="522">
        <v>178.29</v>
      </c>
      <c r="T9" s="522">
        <v>84.25</v>
      </c>
      <c r="U9" s="522">
        <v>111.11</v>
      </c>
      <c r="V9" s="522">
        <v>472.36</v>
      </c>
      <c r="W9" s="522">
        <v>257.5</v>
      </c>
      <c r="X9" s="522">
        <v>308.86</v>
      </c>
      <c r="Y9" s="522">
        <v>538.79</v>
      </c>
      <c r="Z9" s="522">
        <v>287.31</v>
      </c>
      <c r="AA9" s="522">
        <v>81.5</v>
      </c>
      <c r="AB9" s="522">
        <v>129.12</v>
      </c>
      <c r="AC9" s="522">
        <v>90.85</v>
      </c>
      <c r="AD9" s="522">
        <v>132.75</v>
      </c>
      <c r="AE9" s="522">
        <v>37.39</v>
      </c>
      <c r="AF9" s="522">
        <v>242.21</v>
      </c>
      <c r="AG9" s="522">
        <v>91.8</v>
      </c>
      <c r="AH9" s="522">
        <v>5.9</v>
      </c>
      <c r="AI9" s="522">
        <v>72.97</v>
      </c>
      <c r="AJ9" s="522">
        <v>539.89</v>
      </c>
      <c r="AK9" s="522">
        <v>168.73</v>
      </c>
      <c r="AL9" s="522">
        <v>204.81</v>
      </c>
      <c r="AM9" s="522">
        <v>346.78</v>
      </c>
      <c r="AN9" s="522">
        <v>254.68</v>
      </c>
      <c r="AO9" s="522">
        <v>13.72</v>
      </c>
    </row>
    <row r="10" spans="1:41">
      <c r="A10" s="147">
        <v>8</v>
      </c>
      <c r="B10" s="521">
        <v>44915</v>
      </c>
      <c r="C10" s="522">
        <v>147.93</v>
      </c>
      <c r="D10" s="522">
        <v>106.49</v>
      </c>
      <c r="E10" s="522">
        <v>164.33</v>
      </c>
      <c r="F10" s="522">
        <v>122.05</v>
      </c>
      <c r="G10" s="522">
        <v>56.34</v>
      </c>
      <c r="H10" s="522">
        <v>312.54000000000002</v>
      </c>
      <c r="I10" s="522">
        <v>65.099999999999994</v>
      </c>
      <c r="J10" s="522">
        <v>72.650000000000006</v>
      </c>
      <c r="K10" s="522">
        <v>133.41</v>
      </c>
      <c r="L10" s="522">
        <v>298.14999999999998</v>
      </c>
      <c r="M10" s="522">
        <v>505.17</v>
      </c>
      <c r="N10" s="522">
        <v>118.5</v>
      </c>
      <c r="O10" s="522">
        <v>150.19999999999999</v>
      </c>
      <c r="P10" s="522">
        <v>99.06</v>
      </c>
      <c r="Q10" s="522">
        <v>97.48</v>
      </c>
      <c r="R10" s="522">
        <v>151.78</v>
      </c>
      <c r="S10" s="522">
        <v>176.47</v>
      </c>
      <c r="T10" s="522">
        <v>82.99</v>
      </c>
      <c r="U10" s="522">
        <v>109.71</v>
      </c>
      <c r="V10" s="522">
        <v>458</v>
      </c>
      <c r="W10" s="522">
        <v>255.82</v>
      </c>
      <c r="X10" s="522">
        <v>305.64</v>
      </c>
      <c r="Y10" s="522">
        <v>529.57000000000005</v>
      </c>
      <c r="Z10" s="522">
        <v>284.20999999999998</v>
      </c>
      <c r="AA10" s="522">
        <v>80.94</v>
      </c>
      <c r="AB10" s="522">
        <v>127.19</v>
      </c>
      <c r="AC10" s="522">
        <v>90.12</v>
      </c>
      <c r="AD10" s="522">
        <v>129.80000000000001</v>
      </c>
      <c r="AE10" s="522">
        <v>37.119999999999997</v>
      </c>
      <c r="AF10" s="522">
        <v>238.58</v>
      </c>
      <c r="AG10" s="522">
        <v>89.74</v>
      </c>
      <c r="AH10" s="522">
        <v>5.87</v>
      </c>
      <c r="AI10" s="522">
        <v>71.930000000000007</v>
      </c>
      <c r="AJ10" s="522">
        <v>528.5</v>
      </c>
      <c r="AK10" s="522">
        <v>166.09</v>
      </c>
      <c r="AL10" s="522">
        <v>202.74</v>
      </c>
      <c r="AM10" s="522">
        <v>339.14</v>
      </c>
      <c r="AN10" s="522">
        <v>251.49</v>
      </c>
      <c r="AO10" s="522">
        <v>13.51</v>
      </c>
    </row>
    <row r="11" spans="1:41">
      <c r="A11" s="147">
        <v>9</v>
      </c>
      <c r="B11" s="521">
        <v>44914</v>
      </c>
      <c r="C11" s="522">
        <v>146.94999999999999</v>
      </c>
      <c r="D11" s="522">
        <v>106.59</v>
      </c>
      <c r="E11" s="522">
        <v>165.14</v>
      </c>
      <c r="F11" s="522">
        <v>122.95</v>
      </c>
      <c r="G11" s="522">
        <v>56.06</v>
      </c>
      <c r="H11" s="522">
        <v>313.72000000000003</v>
      </c>
      <c r="I11" s="522">
        <v>65.459999999999994</v>
      </c>
      <c r="J11" s="522">
        <v>73.16</v>
      </c>
      <c r="K11" s="522">
        <v>133.21</v>
      </c>
      <c r="L11" s="522">
        <v>297.10000000000002</v>
      </c>
      <c r="M11" s="522">
        <v>501.02</v>
      </c>
      <c r="N11" s="522">
        <v>118.73</v>
      </c>
      <c r="O11" s="522">
        <v>151.44999999999999</v>
      </c>
      <c r="P11" s="522">
        <v>97.05</v>
      </c>
      <c r="Q11" s="522">
        <v>97.13</v>
      </c>
      <c r="R11" s="522">
        <v>153.32</v>
      </c>
      <c r="S11" s="522">
        <v>175.37</v>
      </c>
      <c r="T11" s="522">
        <v>82.84</v>
      </c>
      <c r="U11" s="522">
        <v>109.44</v>
      </c>
      <c r="V11" s="522">
        <v>461.94</v>
      </c>
      <c r="W11" s="522">
        <v>254.59</v>
      </c>
      <c r="X11" s="522">
        <v>299.83999999999997</v>
      </c>
      <c r="Y11" s="522">
        <v>532.52</v>
      </c>
      <c r="Z11" s="522">
        <v>290.19</v>
      </c>
      <c r="AA11" s="522">
        <v>80.5</v>
      </c>
      <c r="AB11" s="522">
        <v>127.07</v>
      </c>
      <c r="AC11" s="522">
        <v>90.18</v>
      </c>
      <c r="AD11" s="522">
        <v>125.39</v>
      </c>
      <c r="AE11" s="522">
        <v>36.94</v>
      </c>
      <c r="AF11" s="522">
        <v>238.11</v>
      </c>
      <c r="AG11" s="522">
        <v>87.93</v>
      </c>
      <c r="AH11" s="522">
        <v>5.9</v>
      </c>
      <c r="AI11" s="522">
        <v>71.62</v>
      </c>
      <c r="AJ11" s="522">
        <v>530.16999999999996</v>
      </c>
      <c r="AK11" s="522">
        <v>167.61</v>
      </c>
      <c r="AL11" s="522">
        <v>200.49</v>
      </c>
      <c r="AM11" s="522">
        <v>337.3</v>
      </c>
      <c r="AN11" s="522">
        <v>251.32</v>
      </c>
      <c r="AO11" s="522">
        <v>13.49</v>
      </c>
    </row>
    <row r="12" spans="1:41">
      <c r="A12" s="147">
        <v>10</v>
      </c>
      <c r="B12" s="521">
        <v>44911</v>
      </c>
      <c r="C12" s="522">
        <v>149.30000000000001</v>
      </c>
      <c r="D12" s="522">
        <v>106.91</v>
      </c>
      <c r="E12" s="522">
        <v>166.82</v>
      </c>
      <c r="F12" s="522">
        <v>123.62</v>
      </c>
      <c r="G12" s="522">
        <v>56.05</v>
      </c>
      <c r="H12" s="522">
        <v>316.42</v>
      </c>
      <c r="I12" s="522">
        <v>65.86</v>
      </c>
      <c r="J12" s="522">
        <v>73.489999999999995</v>
      </c>
      <c r="K12" s="522">
        <v>133.35</v>
      </c>
      <c r="L12" s="522">
        <v>301.98</v>
      </c>
      <c r="M12" s="522">
        <v>502.89</v>
      </c>
      <c r="N12" s="522">
        <v>116.42</v>
      </c>
      <c r="O12" s="522">
        <v>149.24</v>
      </c>
      <c r="P12" s="522">
        <v>100.12</v>
      </c>
      <c r="Q12" s="522">
        <v>97.97</v>
      </c>
      <c r="R12" s="522">
        <v>151.79</v>
      </c>
      <c r="S12" s="522">
        <v>177.55</v>
      </c>
      <c r="T12" s="522">
        <v>83.41</v>
      </c>
      <c r="U12" s="522">
        <v>109.2</v>
      </c>
      <c r="V12" s="522">
        <v>471.59</v>
      </c>
      <c r="W12" s="522">
        <v>252.44</v>
      </c>
      <c r="X12" s="522">
        <v>303.49</v>
      </c>
      <c r="Y12" s="522">
        <v>529.87</v>
      </c>
      <c r="Z12" s="522">
        <v>294.88</v>
      </c>
      <c r="AA12" s="522">
        <v>79.58</v>
      </c>
      <c r="AB12" s="522">
        <v>126.45</v>
      </c>
      <c r="AC12" s="522">
        <v>90.81</v>
      </c>
      <c r="AD12" s="522">
        <v>126.71</v>
      </c>
      <c r="AE12" s="522">
        <v>36.76</v>
      </c>
      <c r="AF12" s="522">
        <v>240.47</v>
      </c>
      <c r="AG12" s="522">
        <v>86.5</v>
      </c>
      <c r="AH12" s="522">
        <v>5.96</v>
      </c>
      <c r="AI12" s="522">
        <v>72.63</v>
      </c>
      <c r="AJ12" s="522">
        <v>536.44000000000005</v>
      </c>
      <c r="AK12" s="522">
        <v>169.55</v>
      </c>
      <c r="AL12" s="522">
        <v>200.65</v>
      </c>
      <c r="AM12" s="522">
        <v>338.48</v>
      </c>
      <c r="AN12" s="522">
        <v>255.35</v>
      </c>
      <c r="AO12" s="522">
        <v>13.28</v>
      </c>
    </row>
    <row r="13" spans="1:41">
      <c r="A13" s="147">
        <v>11</v>
      </c>
      <c r="B13" s="521">
        <v>44910</v>
      </c>
      <c r="C13" s="522">
        <v>150.86000000000001</v>
      </c>
      <c r="D13" s="522">
        <v>108.52</v>
      </c>
      <c r="E13" s="522">
        <v>166.09</v>
      </c>
      <c r="F13" s="522">
        <v>125.03</v>
      </c>
      <c r="G13" s="522">
        <v>56.8</v>
      </c>
      <c r="H13" s="522">
        <v>316.24</v>
      </c>
      <c r="I13" s="522">
        <v>66.86</v>
      </c>
      <c r="J13" s="522">
        <v>75</v>
      </c>
      <c r="K13" s="522">
        <v>134.96</v>
      </c>
      <c r="L13" s="522">
        <v>300.45</v>
      </c>
      <c r="M13" s="522">
        <v>503.79</v>
      </c>
      <c r="N13" s="522">
        <v>114.37</v>
      </c>
      <c r="O13" s="522">
        <v>149.22</v>
      </c>
      <c r="P13" s="522">
        <v>100.54</v>
      </c>
      <c r="Q13" s="522">
        <v>98.41</v>
      </c>
      <c r="R13" s="522">
        <v>153.19</v>
      </c>
      <c r="S13" s="522">
        <v>177.93</v>
      </c>
      <c r="T13" s="522">
        <v>84.46</v>
      </c>
      <c r="U13" s="522">
        <v>109.63</v>
      </c>
      <c r="V13" s="522">
        <v>476.68</v>
      </c>
      <c r="W13" s="522">
        <v>257.14</v>
      </c>
      <c r="X13" s="522">
        <v>300.35000000000002</v>
      </c>
      <c r="Y13" s="522">
        <v>528.49</v>
      </c>
      <c r="Z13" s="522">
        <v>299.14</v>
      </c>
      <c r="AA13" s="522">
        <v>80.069999999999993</v>
      </c>
      <c r="AB13" s="522">
        <v>127.66</v>
      </c>
      <c r="AC13" s="522">
        <v>91.46</v>
      </c>
      <c r="AD13" s="522">
        <v>125.65</v>
      </c>
      <c r="AE13" s="522">
        <v>37.19</v>
      </c>
      <c r="AF13" s="522">
        <v>244.19</v>
      </c>
      <c r="AG13" s="522">
        <v>86.08</v>
      </c>
      <c r="AH13" s="522">
        <v>5.97</v>
      </c>
      <c r="AI13" s="522">
        <v>72.44</v>
      </c>
      <c r="AJ13" s="522">
        <v>553.79</v>
      </c>
      <c r="AK13" s="522">
        <v>170.01</v>
      </c>
      <c r="AL13" s="522">
        <v>199.67</v>
      </c>
      <c r="AM13" s="522">
        <v>342.43</v>
      </c>
      <c r="AN13" s="522">
        <v>258.19</v>
      </c>
      <c r="AO13" s="522">
        <v>13.76</v>
      </c>
    </row>
    <row r="14" spans="1:41">
      <c r="A14" s="147">
        <v>12</v>
      </c>
      <c r="B14" s="521">
        <v>44909</v>
      </c>
      <c r="C14" s="522">
        <v>154.81</v>
      </c>
      <c r="D14" s="522">
        <v>111.26</v>
      </c>
      <c r="E14" s="522">
        <v>171.68</v>
      </c>
      <c r="F14" s="522">
        <v>125.64</v>
      </c>
      <c r="G14" s="522">
        <v>58.88</v>
      </c>
      <c r="H14" s="522">
        <v>325.12</v>
      </c>
      <c r="I14" s="522">
        <v>68.94</v>
      </c>
      <c r="J14" s="522">
        <v>77.14</v>
      </c>
      <c r="K14" s="522">
        <v>140.85</v>
      </c>
      <c r="L14" s="522">
        <v>304.7</v>
      </c>
      <c r="M14" s="522">
        <v>518.35</v>
      </c>
      <c r="N14" s="522">
        <v>116.06</v>
      </c>
      <c r="O14" s="522">
        <v>151.11000000000001</v>
      </c>
      <c r="P14" s="522">
        <v>104.71</v>
      </c>
      <c r="Q14" s="522">
        <v>99.99</v>
      </c>
      <c r="R14" s="522">
        <v>156.04</v>
      </c>
      <c r="S14" s="522">
        <v>180.59</v>
      </c>
      <c r="T14" s="522">
        <v>86.27</v>
      </c>
      <c r="U14" s="522">
        <v>111.55</v>
      </c>
      <c r="V14" s="522">
        <v>498.48</v>
      </c>
      <c r="W14" s="522">
        <v>265.83</v>
      </c>
      <c r="X14" s="522">
        <v>310.64999999999998</v>
      </c>
      <c r="Y14" s="522">
        <v>531.78</v>
      </c>
      <c r="Z14" s="522">
        <v>309.39999999999998</v>
      </c>
      <c r="AA14" s="522">
        <v>81.819999999999993</v>
      </c>
      <c r="AB14" s="522">
        <v>126.58</v>
      </c>
      <c r="AC14" s="522">
        <v>92.52</v>
      </c>
      <c r="AD14" s="522">
        <v>127.95</v>
      </c>
      <c r="AE14" s="522">
        <v>38.130000000000003</v>
      </c>
      <c r="AF14" s="522">
        <v>248.68</v>
      </c>
      <c r="AG14" s="522">
        <v>88.77</v>
      </c>
      <c r="AH14" s="522">
        <v>6.12</v>
      </c>
      <c r="AI14" s="522">
        <v>74</v>
      </c>
      <c r="AJ14" s="522">
        <v>567.23</v>
      </c>
      <c r="AK14" s="522">
        <v>175.82</v>
      </c>
      <c r="AL14" s="522">
        <v>200.86</v>
      </c>
      <c r="AM14" s="522">
        <v>343.97</v>
      </c>
      <c r="AN14" s="522">
        <v>266.23</v>
      </c>
      <c r="AO14" s="522">
        <v>14.11</v>
      </c>
    </row>
    <row r="15" spans="1:41">
      <c r="A15" s="147">
        <v>13</v>
      </c>
      <c r="B15" s="521">
        <v>44908</v>
      </c>
      <c r="C15" s="522">
        <v>157.66</v>
      </c>
      <c r="D15" s="522">
        <v>111.53</v>
      </c>
      <c r="E15" s="522">
        <v>175.49</v>
      </c>
      <c r="F15" s="522">
        <v>130.38</v>
      </c>
      <c r="G15" s="522">
        <v>59.37</v>
      </c>
      <c r="H15" s="522">
        <v>325.25</v>
      </c>
      <c r="I15" s="522">
        <v>69.19</v>
      </c>
      <c r="J15" s="522">
        <v>77.349999999999994</v>
      </c>
      <c r="K15" s="522">
        <v>145.19999999999999</v>
      </c>
      <c r="L15" s="522">
        <v>298.72000000000003</v>
      </c>
      <c r="M15" s="522">
        <v>515.5</v>
      </c>
      <c r="N15" s="522">
        <v>118.13</v>
      </c>
      <c r="O15" s="522">
        <v>149.75</v>
      </c>
      <c r="P15" s="522">
        <v>103.19</v>
      </c>
      <c r="Q15" s="522">
        <v>99.77</v>
      </c>
      <c r="R15" s="522">
        <v>157.12</v>
      </c>
      <c r="S15" s="522">
        <v>183.08</v>
      </c>
      <c r="T15" s="522">
        <v>86.6</v>
      </c>
      <c r="U15" s="522">
        <v>110.91</v>
      </c>
      <c r="V15" s="522">
        <v>512.02</v>
      </c>
      <c r="W15" s="522">
        <v>267.14999999999998</v>
      </c>
      <c r="X15" s="522">
        <v>315.23</v>
      </c>
      <c r="Y15" s="522">
        <v>525.59</v>
      </c>
      <c r="Z15" s="522">
        <v>304.64999999999998</v>
      </c>
      <c r="AA15" s="522">
        <v>80.56</v>
      </c>
      <c r="AB15" s="522">
        <v>128.28</v>
      </c>
      <c r="AC15" s="522">
        <v>90.87</v>
      </c>
      <c r="AD15" s="522">
        <v>128.97</v>
      </c>
      <c r="AE15" s="522">
        <v>38.299999999999997</v>
      </c>
      <c r="AF15" s="522">
        <v>258.86</v>
      </c>
      <c r="AG15" s="522">
        <v>89.03</v>
      </c>
      <c r="AH15" s="522">
        <v>6.16</v>
      </c>
      <c r="AI15" s="522">
        <v>74.77</v>
      </c>
      <c r="AJ15" s="522">
        <v>571.38</v>
      </c>
      <c r="AK15" s="522">
        <v>177.5</v>
      </c>
      <c r="AL15" s="522">
        <v>202.35</v>
      </c>
      <c r="AM15" s="522">
        <v>344.62</v>
      </c>
      <c r="AN15" s="522">
        <v>268.67</v>
      </c>
      <c r="AO15" s="522">
        <v>14.14</v>
      </c>
    </row>
    <row r="16" spans="1:41">
      <c r="A16" s="147">
        <v>14</v>
      </c>
      <c r="B16" s="521">
        <v>44907</v>
      </c>
      <c r="C16" s="522">
        <v>155.33000000000001</v>
      </c>
      <c r="D16" s="522">
        <v>109.49</v>
      </c>
      <c r="E16" s="522">
        <v>172.26</v>
      </c>
      <c r="F16" s="522">
        <v>132.1</v>
      </c>
      <c r="G16" s="522">
        <v>58.51</v>
      </c>
      <c r="H16" s="522">
        <v>319.51</v>
      </c>
      <c r="I16" s="522">
        <v>68.84</v>
      </c>
      <c r="J16" s="522">
        <v>78.89</v>
      </c>
      <c r="K16" s="522">
        <v>145.13</v>
      </c>
      <c r="L16" s="522">
        <v>298.63</v>
      </c>
      <c r="M16" s="522">
        <v>515.02</v>
      </c>
      <c r="N16" s="522">
        <v>115.91</v>
      </c>
      <c r="O16" s="522">
        <v>149</v>
      </c>
      <c r="P16" s="522">
        <v>103.05</v>
      </c>
      <c r="Q16" s="522">
        <v>98.99</v>
      </c>
      <c r="R16" s="522">
        <v>155.87</v>
      </c>
      <c r="S16" s="522">
        <v>182.89</v>
      </c>
      <c r="T16" s="522">
        <v>85.98</v>
      </c>
      <c r="U16" s="522">
        <v>108.97</v>
      </c>
      <c r="V16" s="522">
        <v>497.27</v>
      </c>
      <c r="W16" s="522">
        <v>270.83999999999997</v>
      </c>
      <c r="X16" s="522">
        <v>314.24</v>
      </c>
      <c r="Y16" s="522">
        <v>535.17999999999995</v>
      </c>
      <c r="Z16" s="522">
        <v>301.8</v>
      </c>
      <c r="AA16" s="522">
        <v>81.28</v>
      </c>
      <c r="AB16" s="522">
        <v>129.94</v>
      </c>
      <c r="AC16" s="522">
        <v>91.42</v>
      </c>
      <c r="AD16" s="522">
        <v>128.53</v>
      </c>
      <c r="AE16" s="522">
        <v>38.340000000000003</v>
      </c>
      <c r="AF16" s="522">
        <v>253.88</v>
      </c>
      <c r="AG16" s="522">
        <v>90.18</v>
      </c>
      <c r="AH16" s="522">
        <v>6.15</v>
      </c>
      <c r="AI16" s="522">
        <v>74.19</v>
      </c>
      <c r="AJ16" s="522">
        <v>567.6</v>
      </c>
      <c r="AK16" s="522">
        <v>177.48</v>
      </c>
      <c r="AL16" s="522">
        <v>199.69</v>
      </c>
      <c r="AM16" s="522">
        <v>340.86</v>
      </c>
      <c r="AN16" s="522">
        <v>266.33</v>
      </c>
      <c r="AO16" s="522">
        <v>14.12</v>
      </c>
    </row>
    <row r="17" spans="1:41">
      <c r="A17" s="147">
        <v>15</v>
      </c>
      <c r="B17" s="521">
        <v>44904</v>
      </c>
      <c r="C17" s="522">
        <v>152.94999999999999</v>
      </c>
      <c r="D17" s="522">
        <v>107.51</v>
      </c>
      <c r="E17" s="522">
        <v>168.68</v>
      </c>
      <c r="F17" s="522">
        <v>130.36000000000001</v>
      </c>
      <c r="G17" s="522">
        <v>58.3</v>
      </c>
      <c r="H17" s="522">
        <v>314.41000000000003</v>
      </c>
      <c r="I17" s="522">
        <v>67.92</v>
      </c>
      <c r="J17" s="522">
        <v>78.83</v>
      </c>
      <c r="K17" s="522">
        <v>142.11000000000001</v>
      </c>
      <c r="L17" s="522">
        <v>300.52999999999997</v>
      </c>
      <c r="M17" s="522">
        <v>516.82000000000005</v>
      </c>
      <c r="N17" s="522">
        <v>116.05</v>
      </c>
      <c r="O17" s="522">
        <v>148.85</v>
      </c>
      <c r="P17" s="522">
        <v>102.78</v>
      </c>
      <c r="Q17" s="522">
        <v>98.26</v>
      </c>
      <c r="R17" s="522">
        <v>156.27000000000001</v>
      </c>
      <c r="S17" s="522">
        <v>181.54</v>
      </c>
      <c r="T17" s="522">
        <v>85.28</v>
      </c>
      <c r="U17" s="522">
        <v>108.78</v>
      </c>
      <c r="V17" s="522">
        <v>492.55</v>
      </c>
      <c r="W17" s="522">
        <v>265.57</v>
      </c>
      <c r="X17" s="522">
        <v>315.49</v>
      </c>
      <c r="Y17" s="522">
        <v>528.94000000000005</v>
      </c>
      <c r="Z17" s="522">
        <v>292.23</v>
      </c>
      <c r="AA17" s="522">
        <v>79.86</v>
      </c>
      <c r="AB17" s="522">
        <v>129.38</v>
      </c>
      <c r="AC17" s="522">
        <v>90.97</v>
      </c>
      <c r="AD17" s="522">
        <v>127.28</v>
      </c>
      <c r="AE17" s="522">
        <v>38.51</v>
      </c>
      <c r="AF17" s="522">
        <v>252.88</v>
      </c>
      <c r="AG17" s="522">
        <v>90.11</v>
      </c>
      <c r="AH17" s="522">
        <v>6.11</v>
      </c>
      <c r="AI17" s="522">
        <v>73.25</v>
      </c>
      <c r="AJ17" s="522">
        <v>560.23</v>
      </c>
      <c r="AK17" s="522">
        <v>174.26</v>
      </c>
      <c r="AL17" s="522">
        <v>197.67</v>
      </c>
      <c r="AM17" s="522">
        <v>336.53</v>
      </c>
      <c r="AN17" s="522">
        <v>262.95999999999998</v>
      </c>
      <c r="AO17" s="522">
        <v>13.98</v>
      </c>
    </row>
    <row r="18" spans="1:41">
      <c r="A18" s="147">
        <v>16</v>
      </c>
      <c r="B18" s="521">
        <v>44903</v>
      </c>
      <c r="C18" s="522">
        <v>156.28</v>
      </c>
      <c r="D18" s="522">
        <v>106.92</v>
      </c>
      <c r="E18" s="522">
        <v>169.65</v>
      </c>
      <c r="F18" s="522">
        <v>130.03</v>
      </c>
      <c r="G18" s="522">
        <v>58.42</v>
      </c>
      <c r="H18" s="522">
        <v>319.86</v>
      </c>
      <c r="I18" s="522">
        <v>68.13</v>
      </c>
      <c r="J18" s="522">
        <v>79.88</v>
      </c>
      <c r="K18" s="522">
        <v>144.82</v>
      </c>
      <c r="L18" s="522">
        <v>304.83999999999997</v>
      </c>
      <c r="M18" s="522">
        <v>522.04999999999995</v>
      </c>
      <c r="N18" s="522">
        <v>115.17</v>
      </c>
      <c r="O18" s="522">
        <v>150.5</v>
      </c>
      <c r="P18" s="522">
        <v>103.5</v>
      </c>
      <c r="Q18" s="522">
        <v>99.01</v>
      </c>
      <c r="R18" s="522">
        <v>160.13999999999999</v>
      </c>
      <c r="S18" s="522">
        <v>184.92</v>
      </c>
      <c r="T18" s="522">
        <v>85.65</v>
      </c>
      <c r="U18" s="522">
        <v>110.85</v>
      </c>
      <c r="V18" s="522">
        <v>499.98</v>
      </c>
      <c r="W18" s="522">
        <v>269.79000000000002</v>
      </c>
      <c r="X18" s="522">
        <v>316.99</v>
      </c>
      <c r="Y18" s="522">
        <v>540.54999999999995</v>
      </c>
      <c r="Z18" s="522">
        <v>287.27</v>
      </c>
      <c r="AA18" s="522">
        <v>80.069999999999993</v>
      </c>
      <c r="AB18" s="522">
        <v>131.18</v>
      </c>
      <c r="AC18" s="522">
        <v>92.03</v>
      </c>
      <c r="AD18" s="522">
        <v>128.79</v>
      </c>
      <c r="AE18" s="522">
        <v>39.24</v>
      </c>
      <c r="AF18" s="522">
        <v>254.45</v>
      </c>
      <c r="AG18" s="522">
        <v>91</v>
      </c>
      <c r="AH18" s="522">
        <v>6.16</v>
      </c>
      <c r="AI18" s="522">
        <v>73.8</v>
      </c>
      <c r="AJ18" s="522">
        <v>567.95000000000005</v>
      </c>
      <c r="AK18" s="522">
        <v>176.36</v>
      </c>
      <c r="AL18" s="522">
        <v>197.4</v>
      </c>
      <c r="AM18" s="522">
        <v>343.04</v>
      </c>
      <c r="AN18" s="522">
        <v>263.8</v>
      </c>
      <c r="AO18" s="522">
        <v>13.91</v>
      </c>
    </row>
    <row r="19" spans="1:41">
      <c r="A19" s="147">
        <v>17</v>
      </c>
      <c r="B19" s="521">
        <v>44902</v>
      </c>
      <c r="C19" s="522">
        <v>153.72999999999999</v>
      </c>
      <c r="D19" s="522">
        <v>104.81</v>
      </c>
      <c r="E19" s="522">
        <v>166.01</v>
      </c>
      <c r="F19" s="522">
        <v>129.05000000000001</v>
      </c>
      <c r="G19" s="522">
        <v>59.27</v>
      </c>
      <c r="H19" s="522">
        <v>315.58</v>
      </c>
      <c r="I19" s="522">
        <v>68.27</v>
      </c>
      <c r="J19" s="522">
        <v>79.930000000000007</v>
      </c>
      <c r="K19" s="522">
        <v>142.38999999999999</v>
      </c>
      <c r="L19" s="522">
        <v>304.82</v>
      </c>
      <c r="M19" s="522">
        <v>518.64</v>
      </c>
      <c r="N19" s="522">
        <v>113.09</v>
      </c>
      <c r="O19" s="522">
        <v>149</v>
      </c>
      <c r="P19" s="522">
        <v>101.58</v>
      </c>
      <c r="Q19" s="522">
        <v>99.1</v>
      </c>
      <c r="R19" s="522">
        <v>157.13</v>
      </c>
      <c r="S19" s="522">
        <v>184.78</v>
      </c>
      <c r="T19" s="522">
        <v>85.35</v>
      </c>
      <c r="U19" s="522">
        <v>110.09</v>
      </c>
      <c r="V19" s="522">
        <v>500.4</v>
      </c>
      <c r="W19" s="522">
        <v>266.79000000000002</v>
      </c>
      <c r="X19" s="522">
        <v>316.92</v>
      </c>
      <c r="Y19" s="522">
        <v>540.21</v>
      </c>
      <c r="Z19" s="522">
        <v>286.64999999999998</v>
      </c>
      <c r="AA19" s="522">
        <v>78.78</v>
      </c>
      <c r="AB19" s="522">
        <v>130.47999999999999</v>
      </c>
      <c r="AC19" s="522">
        <v>92.39</v>
      </c>
      <c r="AD19" s="522">
        <v>127.86</v>
      </c>
      <c r="AE19" s="522">
        <v>39.479999999999997</v>
      </c>
      <c r="AF19" s="522">
        <v>251.12</v>
      </c>
      <c r="AG19" s="522">
        <v>90.56</v>
      </c>
      <c r="AH19" s="522">
        <v>6.2</v>
      </c>
      <c r="AI19" s="522">
        <v>73.38</v>
      </c>
      <c r="AJ19" s="522">
        <v>558.14</v>
      </c>
      <c r="AK19" s="522">
        <v>173.75</v>
      </c>
      <c r="AL19" s="522">
        <v>195.99</v>
      </c>
      <c r="AM19" s="522">
        <v>340.64</v>
      </c>
      <c r="AN19" s="522">
        <v>256.66000000000003</v>
      </c>
      <c r="AO19" s="522">
        <v>13.77</v>
      </c>
    </row>
    <row r="20" spans="1:41">
      <c r="A20" s="147">
        <v>18</v>
      </c>
      <c r="B20" s="521">
        <v>44901</v>
      </c>
      <c r="C20" s="522">
        <v>151.35</v>
      </c>
      <c r="D20" s="522">
        <v>103.86</v>
      </c>
      <c r="E20" s="522">
        <v>166.51</v>
      </c>
      <c r="F20" s="522">
        <v>129.31</v>
      </c>
      <c r="G20" s="522">
        <v>59.37</v>
      </c>
      <c r="H20" s="522">
        <v>312.10000000000002</v>
      </c>
      <c r="I20" s="522">
        <v>73.650000000000006</v>
      </c>
      <c r="J20" s="522">
        <v>79.92</v>
      </c>
      <c r="K20" s="522">
        <v>143.33000000000001</v>
      </c>
      <c r="L20" s="522">
        <v>311.02</v>
      </c>
      <c r="M20" s="522">
        <v>519.75</v>
      </c>
      <c r="N20" s="522">
        <v>113.77</v>
      </c>
      <c r="O20" s="522">
        <v>148.97</v>
      </c>
      <c r="P20" s="522">
        <v>101.23</v>
      </c>
      <c r="Q20" s="522">
        <v>97.95</v>
      </c>
      <c r="R20" s="522">
        <v>158.08000000000001</v>
      </c>
      <c r="S20" s="522">
        <v>183.49</v>
      </c>
      <c r="T20" s="522">
        <v>84.38</v>
      </c>
      <c r="U20" s="522">
        <v>108.93</v>
      </c>
      <c r="V20" s="522">
        <v>499.9</v>
      </c>
      <c r="W20" s="522">
        <v>266.17</v>
      </c>
      <c r="X20" s="522">
        <v>316.88</v>
      </c>
      <c r="Y20" s="522">
        <v>531.80999999999995</v>
      </c>
      <c r="Z20" s="522">
        <v>287.12</v>
      </c>
      <c r="AA20" s="522">
        <v>78.91</v>
      </c>
      <c r="AB20" s="522">
        <v>130.97</v>
      </c>
      <c r="AC20" s="522">
        <v>93.35</v>
      </c>
      <c r="AD20" s="522">
        <v>128.25</v>
      </c>
      <c r="AE20" s="522">
        <v>39.21</v>
      </c>
      <c r="AF20" s="522">
        <v>253.46</v>
      </c>
      <c r="AG20" s="522">
        <v>92.02</v>
      </c>
      <c r="AH20" s="522">
        <v>6.15</v>
      </c>
      <c r="AI20" s="522">
        <v>73.510000000000005</v>
      </c>
      <c r="AJ20" s="522">
        <v>550.53</v>
      </c>
      <c r="AK20" s="522">
        <v>174.34</v>
      </c>
      <c r="AL20" s="522">
        <v>197.45</v>
      </c>
      <c r="AM20" s="522">
        <v>337.59</v>
      </c>
      <c r="AN20" s="522">
        <v>253.91</v>
      </c>
      <c r="AO20" s="522">
        <v>13.84</v>
      </c>
    </row>
    <row r="21" spans="1:41">
      <c r="A21" s="147">
        <v>19</v>
      </c>
      <c r="B21" s="521">
        <v>44900</v>
      </c>
      <c r="C21" s="522">
        <v>152.69999999999999</v>
      </c>
      <c r="D21" s="522">
        <v>105.41</v>
      </c>
      <c r="E21" s="522">
        <v>167.84</v>
      </c>
      <c r="F21" s="522">
        <v>129.55000000000001</v>
      </c>
      <c r="G21" s="522">
        <v>59.82</v>
      </c>
      <c r="H21" s="522">
        <v>314.97000000000003</v>
      </c>
      <c r="I21" s="522">
        <v>74.02</v>
      </c>
      <c r="J21" s="522">
        <v>80.7</v>
      </c>
      <c r="K21" s="522">
        <v>144.97999999999999</v>
      </c>
      <c r="L21" s="522">
        <v>312.95</v>
      </c>
      <c r="M21" s="522">
        <v>522.24</v>
      </c>
      <c r="N21" s="522">
        <v>118.88</v>
      </c>
      <c r="O21" s="522">
        <v>148.91999999999999</v>
      </c>
      <c r="P21" s="522">
        <v>104.11</v>
      </c>
      <c r="Q21" s="522">
        <v>99.51</v>
      </c>
      <c r="R21" s="522">
        <v>159.4</v>
      </c>
      <c r="S21" s="522">
        <v>188.93</v>
      </c>
      <c r="T21" s="522">
        <v>84.05</v>
      </c>
      <c r="U21" s="522">
        <v>110.01</v>
      </c>
      <c r="V21" s="522">
        <v>504.49</v>
      </c>
      <c r="W21" s="522">
        <v>268.23</v>
      </c>
      <c r="X21" s="522">
        <v>319.38</v>
      </c>
      <c r="Y21" s="522">
        <v>541.42999999999995</v>
      </c>
      <c r="Z21" s="522">
        <v>289.76</v>
      </c>
      <c r="AA21" s="522">
        <v>79.430000000000007</v>
      </c>
      <c r="AB21" s="522">
        <v>131.26</v>
      </c>
      <c r="AC21" s="522">
        <v>94.75</v>
      </c>
      <c r="AD21" s="522">
        <v>129.33000000000001</v>
      </c>
      <c r="AE21" s="522">
        <v>39.6</v>
      </c>
      <c r="AF21" s="522">
        <v>253.59</v>
      </c>
      <c r="AG21" s="522">
        <v>92.61</v>
      </c>
      <c r="AH21" s="522">
        <v>6.18</v>
      </c>
      <c r="AI21" s="522">
        <v>74.66</v>
      </c>
      <c r="AJ21" s="522">
        <v>557.21</v>
      </c>
      <c r="AK21" s="522">
        <v>177.39</v>
      </c>
      <c r="AL21" s="522">
        <v>197.29</v>
      </c>
      <c r="AM21" s="522">
        <v>340.29</v>
      </c>
      <c r="AN21" s="522">
        <v>257.06</v>
      </c>
      <c r="AO21" s="522">
        <v>14.15</v>
      </c>
    </row>
    <row r="22" spans="1:41">
      <c r="A22" s="147">
        <v>20</v>
      </c>
      <c r="B22" s="521">
        <v>44897</v>
      </c>
      <c r="C22" s="522">
        <v>155.66999999999999</v>
      </c>
      <c r="D22" s="522">
        <v>108.09</v>
      </c>
      <c r="E22" s="522">
        <v>168.63</v>
      </c>
      <c r="F22" s="522">
        <v>128.47999999999999</v>
      </c>
      <c r="G22" s="522">
        <v>60.38</v>
      </c>
      <c r="H22" s="522">
        <v>318.44</v>
      </c>
      <c r="I22" s="522">
        <v>74.510000000000005</v>
      </c>
      <c r="J22" s="522">
        <v>81.13</v>
      </c>
      <c r="K22" s="522">
        <v>148.99</v>
      </c>
      <c r="L22" s="522">
        <v>315.57</v>
      </c>
      <c r="M22" s="522">
        <v>524.1</v>
      </c>
      <c r="N22" s="522">
        <v>122.04</v>
      </c>
      <c r="O22" s="522">
        <v>150.46</v>
      </c>
      <c r="P22" s="522">
        <v>103.74</v>
      </c>
      <c r="Q22" s="522">
        <v>100.45</v>
      </c>
      <c r="R22" s="522">
        <v>163.82</v>
      </c>
      <c r="S22" s="522">
        <v>191.6</v>
      </c>
      <c r="T22" s="522">
        <v>86.38</v>
      </c>
      <c r="U22" s="522">
        <v>110.04</v>
      </c>
      <c r="V22" s="522">
        <v>518.83000000000004</v>
      </c>
      <c r="W22" s="522">
        <v>272.7</v>
      </c>
      <c r="X22" s="522">
        <v>322.75</v>
      </c>
      <c r="Y22" s="522">
        <v>545.6</v>
      </c>
      <c r="Z22" s="522">
        <v>302.85000000000002</v>
      </c>
      <c r="AA22" s="522">
        <v>83.35</v>
      </c>
      <c r="AB22" s="522">
        <v>132.51</v>
      </c>
      <c r="AC22" s="522">
        <v>95.75</v>
      </c>
      <c r="AD22" s="522">
        <v>131.85</v>
      </c>
      <c r="AE22" s="522">
        <v>40.479999999999997</v>
      </c>
      <c r="AF22" s="522">
        <v>257.75</v>
      </c>
      <c r="AG22" s="522">
        <v>95.08</v>
      </c>
      <c r="AH22" s="522">
        <v>6.24</v>
      </c>
      <c r="AI22" s="522">
        <v>75.650000000000006</v>
      </c>
      <c r="AJ22" s="522">
        <v>563</v>
      </c>
      <c r="AK22" s="522">
        <v>177.66</v>
      </c>
      <c r="AL22" s="522">
        <v>202.1</v>
      </c>
      <c r="AM22" s="522">
        <v>347.37</v>
      </c>
      <c r="AN22" s="522">
        <v>266.39999999999998</v>
      </c>
      <c r="AO22" s="522">
        <v>14.44</v>
      </c>
    </row>
    <row r="23" spans="1:41">
      <c r="A23" s="147">
        <v>21</v>
      </c>
      <c r="B23" s="521">
        <v>44896</v>
      </c>
      <c r="C23" s="522">
        <v>156.12</v>
      </c>
      <c r="D23" s="522">
        <v>107.93</v>
      </c>
      <c r="E23" s="522">
        <v>171.48</v>
      </c>
      <c r="F23" s="522">
        <v>128.01</v>
      </c>
      <c r="G23" s="522">
        <v>60.48</v>
      </c>
      <c r="H23" s="522">
        <v>312.04000000000002</v>
      </c>
      <c r="I23" s="522">
        <v>74.05</v>
      </c>
      <c r="J23" s="522">
        <v>80.88</v>
      </c>
      <c r="K23" s="522">
        <v>149.86000000000001</v>
      </c>
      <c r="L23" s="522">
        <v>313.70999999999998</v>
      </c>
      <c r="M23" s="522">
        <v>519.02</v>
      </c>
      <c r="N23" s="522">
        <v>122.09</v>
      </c>
      <c r="O23" s="522">
        <v>152.61000000000001</v>
      </c>
      <c r="P23" s="522">
        <v>102.93</v>
      </c>
      <c r="Q23" s="522">
        <v>98.05</v>
      </c>
      <c r="R23" s="522">
        <v>163.62</v>
      </c>
      <c r="S23" s="522">
        <v>190.73</v>
      </c>
      <c r="T23" s="522">
        <v>85.73</v>
      </c>
      <c r="U23" s="522">
        <v>109.8</v>
      </c>
      <c r="V23" s="522">
        <v>521.39</v>
      </c>
      <c r="W23" s="522">
        <v>271.77999999999997</v>
      </c>
      <c r="X23" s="522">
        <v>318.87</v>
      </c>
      <c r="Y23" s="522">
        <v>530.29999999999995</v>
      </c>
      <c r="Z23" s="522">
        <v>300.89</v>
      </c>
      <c r="AA23" s="522">
        <v>84.11</v>
      </c>
      <c r="AB23" s="522">
        <v>131.26</v>
      </c>
      <c r="AC23" s="522">
        <v>94.09</v>
      </c>
      <c r="AD23" s="522">
        <v>129.78</v>
      </c>
      <c r="AE23" s="522">
        <v>40.39</v>
      </c>
      <c r="AF23" s="522">
        <v>251.61</v>
      </c>
      <c r="AG23" s="522">
        <v>94.42</v>
      </c>
      <c r="AH23" s="522">
        <v>6.41</v>
      </c>
      <c r="AI23" s="522">
        <v>74.489999999999995</v>
      </c>
      <c r="AJ23" s="522">
        <v>564.55999999999995</v>
      </c>
      <c r="AK23" s="522">
        <v>177.5</v>
      </c>
      <c r="AL23" s="522">
        <v>204.57</v>
      </c>
      <c r="AM23" s="522">
        <v>346.93</v>
      </c>
      <c r="AN23" s="522">
        <v>269.94</v>
      </c>
      <c r="AO23" s="522">
        <v>14.47</v>
      </c>
    </row>
    <row r="24" spans="1:41">
      <c r="A24" s="147">
        <v>22</v>
      </c>
      <c r="B24" s="521">
        <v>44895</v>
      </c>
      <c r="C24" s="522">
        <v>154.97999999999999</v>
      </c>
      <c r="D24" s="522">
        <v>107.58</v>
      </c>
      <c r="E24" s="522">
        <v>171.91</v>
      </c>
      <c r="F24" s="522">
        <v>128.22</v>
      </c>
      <c r="G24" s="522">
        <v>60.74</v>
      </c>
      <c r="H24" s="522">
        <v>310.16000000000003</v>
      </c>
      <c r="I24" s="522">
        <v>73.02</v>
      </c>
      <c r="J24" s="522">
        <v>80.28</v>
      </c>
      <c r="K24" s="522">
        <v>149.11000000000001</v>
      </c>
      <c r="L24" s="522">
        <v>312.3</v>
      </c>
      <c r="M24" s="522">
        <v>520</v>
      </c>
      <c r="N24" s="522">
        <v>120.95</v>
      </c>
      <c r="O24" s="522">
        <v>151.83000000000001</v>
      </c>
      <c r="P24" s="522">
        <v>103.41</v>
      </c>
      <c r="Q24" s="522">
        <v>97.97</v>
      </c>
      <c r="R24" s="522">
        <v>164.02</v>
      </c>
      <c r="S24" s="522">
        <v>189.35</v>
      </c>
      <c r="T24" s="522">
        <v>85.18</v>
      </c>
      <c r="U24" s="522">
        <v>110.12</v>
      </c>
      <c r="V24" s="522">
        <v>507.83</v>
      </c>
      <c r="W24" s="522">
        <v>272.2</v>
      </c>
      <c r="X24" s="522">
        <v>316.02</v>
      </c>
      <c r="Y24" s="522">
        <v>533.29</v>
      </c>
      <c r="Z24" s="522">
        <v>302.61</v>
      </c>
      <c r="AA24" s="522">
        <v>83.03</v>
      </c>
      <c r="AB24" s="522">
        <v>132.15</v>
      </c>
      <c r="AC24" s="522">
        <v>93.61</v>
      </c>
      <c r="AD24" s="522">
        <v>130.07</v>
      </c>
      <c r="AE24" s="522">
        <v>40.44</v>
      </c>
      <c r="AF24" s="522">
        <v>249.18</v>
      </c>
      <c r="AG24" s="522">
        <v>96.12</v>
      </c>
      <c r="AH24" s="522">
        <v>6.49</v>
      </c>
      <c r="AI24" s="522">
        <v>74.709999999999994</v>
      </c>
      <c r="AJ24" s="522">
        <v>560.22</v>
      </c>
      <c r="AK24" s="522">
        <v>180.46</v>
      </c>
      <c r="AL24" s="522">
        <v>199.81</v>
      </c>
      <c r="AM24" s="522">
        <v>346.6</v>
      </c>
      <c r="AN24" s="522">
        <v>268.98</v>
      </c>
      <c r="AO24" s="522">
        <v>14.66</v>
      </c>
    </row>
    <row r="25" spans="1:41">
      <c r="A25" s="147">
        <v>23</v>
      </c>
      <c r="B25" s="521">
        <v>44894</v>
      </c>
      <c r="C25" s="522">
        <v>150.94</v>
      </c>
      <c r="D25" s="522">
        <v>105</v>
      </c>
      <c r="E25" s="522">
        <v>163.89</v>
      </c>
      <c r="F25" s="522">
        <v>126.39</v>
      </c>
      <c r="G25" s="522">
        <v>60.49</v>
      </c>
      <c r="H25" s="522">
        <v>302.18</v>
      </c>
      <c r="I25" s="522">
        <v>71.12</v>
      </c>
      <c r="J25" s="522">
        <v>79.03</v>
      </c>
      <c r="K25" s="522">
        <v>142.82</v>
      </c>
      <c r="L25" s="522">
        <v>307.11</v>
      </c>
      <c r="M25" s="522">
        <v>511.71</v>
      </c>
      <c r="N25" s="522">
        <v>118.83</v>
      </c>
      <c r="O25" s="522">
        <v>149.01</v>
      </c>
      <c r="P25" s="522">
        <v>100.28</v>
      </c>
      <c r="Q25" s="522">
        <v>96.71</v>
      </c>
      <c r="R25" s="522">
        <v>159.63999999999999</v>
      </c>
      <c r="S25" s="522">
        <v>185.9</v>
      </c>
      <c r="T25" s="522">
        <v>83.75</v>
      </c>
      <c r="U25" s="522">
        <v>108.84</v>
      </c>
      <c r="V25" s="522">
        <v>486.32</v>
      </c>
      <c r="W25" s="522">
        <v>264.45999999999998</v>
      </c>
      <c r="X25" s="522">
        <v>309.2</v>
      </c>
      <c r="Y25" s="522">
        <v>528.35</v>
      </c>
      <c r="Z25" s="522">
        <v>292.07</v>
      </c>
      <c r="AA25" s="522">
        <v>80.849999999999994</v>
      </c>
      <c r="AB25" s="522">
        <v>131.12</v>
      </c>
      <c r="AC25" s="522">
        <v>92.77</v>
      </c>
      <c r="AD25" s="522">
        <v>127.49</v>
      </c>
      <c r="AE25" s="522">
        <v>39.83</v>
      </c>
      <c r="AF25" s="522">
        <v>241.57</v>
      </c>
      <c r="AG25" s="522">
        <v>94.71</v>
      </c>
      <c r="AH25" s="522">
        <v>6.41</v>
      </c>
      <c r="AI25" s="522">
        <v>73.510000000000005</v>
      </c>
      <c r="AJ25" s="522">
        <v>539.75</v>
      </c>
      <c r="AK25" s="522">
        <v>172.98</v>
      </c>
      <c r="AL25" s="522">
        <v>194.96</v>
      </c>
      <c r="AM25" s="522">
        <v>330.16</v>
      </c>
      <c r="AN25" s="522">
        <v>269.3</v>
      </c>
      <c r="AO25" s="522">
        <v>14.47</v>
      </c>
    </row>
    <row r="26" spans="1:41">
      <c r="A26" s="147">
        <v>24</v>
      </c>
      <c r="B26" s="521">
        <v>44893</v>
      </c>
      <c r="C26" s="522">
        <v>152.30000000000001</v>
      </c>
      <c r="D26" s="522">
        <v>105.39</v>
      </c>
      <c r="E26" s="522">
        <v>164.01</v>
      </c>
      <c r="F26" s="522">
        <v>125.22</v>
      </c>
      <c r="G26" s="522">
        <v>59.76</v>
      </c>
      <c r="H26" s="522">
        <v>304.45999999999998</v>
      </c>
      <c r="I26" s="522">
        <v>71.930000000000007</v>
      </c>
      <c r="J26" s="522">
        <v>79.14</v>
      </c>
      <c r="K26" s="522">
        <v>146.5</v>
      </c>
      <c r="L26" s="522">
        <v>308.43</v>
      </c>
      <c r="M26" s="522">
        <v>510.72</v>
      </c>
      <c r="N26" s="522">
        <v>118.15</v>
      </c>
      <c r="O26" s="522">
        <v>149.07</v>
      </c>
      <c r="P26" s="522">
        <v>100.88</v>
      </c>
      <c r="Q26" s="522">
        <v>97.61</v>
      </c>
      <c r="R26" s="522">
        <v>162.96</v>
      </c>
      <c r="S26" s="522">
        <v>188.8</v>
      </c>
      <c r="T26" s="522">
        <v>83.75</v>
      </c>
      <c r="U26" s="522">
        <v>108.45</v>
      </c>
      <c r="V26" s="522">
        <v>495.96</v>
      </c>
      <c r="W26" s="522">
        <v>265.98</v>
      </c>
      <c r="X26" s="522">
        <v>312.68</v>
      </c>
      <c r="Y26" s="522">
        <v>524.88</v>
      </c>
      <c r="Z26" s="522">
        <v>288.32</v>
      </c>
      <c r="AA26" s="522">
        <v>81.39</v>
      </c>
      <c r="AB26" s="522">
        <v>130.02000000000001</v>
      </c>
      <c r="AC26" s="522">
        <v>92.66</v>
      </c>
      <c r="AD26" s="522">
        <v>131.84</v>
      </c>
      <c r="AE26" s="522">
        <v>39.78</v>
      </c>
      <c r="AF26" s="522">
        <v>245.56</v>
      </c>
      <c r="AG26" s="522">
        <v>95.63</v>
      </c>
      <c r="AH26" s="522">
        <v>6.38</v>
      </c>
      <c r="AI26" s="522">
        <v>73.760000000000005</v>
      </c>
      <c r="AJ26" s="522">
        <v>540.03</v>
      </c>
      <c r="AK26" s="522">
        <v>173</v>
      </c>
      <c r="AL26" s="522">
        <v>197.75</v>
      </c>
      <c r="AM26" s="522">
        <v>331.6</v>
      </c>
      <c r="AN26" s="522">
        <v>269.95999999999998</v>
      </c>
      <c r="AO26" s="522">
        <v>14.26</v>
      </c>
    </row>
    <row r="27" spans="1:41">
      <c r="A27" s="147">
        <v>25</v>
      </c>
      <c r="B27" s="521">
        <v>44890</v>
      </c>
      <c r="C27" s="522">
        <v>156.96</v>
      </c>
      <c r="D27" s="522">
        <v>106.96</v>
      </c>
      <c r="E27" s="522">
        <v>167.09</v>
      </c>
      <c r="F27" s="522">
        <v>128.49</v>
      </c>
      <c r="G27" s="522">
        <v>61.86</v>
      </c>
      <c r="H27" s="522">
        <v>309.91000000000003</v>
      </c>
      <c r="I27" s="522">
        <v>72.73</v>
      </c>
      <c r="J27" s="522">
        <v>79.239999999999995</v>
      </c>
      <c r="K27" s="522">
        <v>148.52000000000001</v>
      </c>
      <c r="L27" s="522">
        <v>311.08</v>
      </c>
      <c r="M27" s="522">
        <v>516.91999999999996</v>
      </c>
      <c r="N27" s="522">
        <v>118.47</v>
      </c>
      <c r="O27" s="522">
        <v>149.06</v>
      </c>
      <c r="P27" s="522">
        <v>102.59</v>
      </c>
      <c r="Q27" s="522">
        <v>98.69</v>
      </c>
      <c r="R27" s="522">
        <v>161.91</v>
      </c>
      <c r="S27" s="522">
        <v>191.42</v>
      </c>
      <c r="T27" s="522">
        <v>84.91</v>
      </c>
      <c r="U27" s="522">
        <v>107.5</v>
      </c>
      <c r="V27" s="522">
        <v>512.26</v>
      </c>
      <c r="W27" s="522">
        <v>268.43</v>
      </c>
      <c r="X27" s="522">
        <v>317.77</v>
      </c>
      <c r="Y27" s="522">
        <v>527.83000000000004</v>
      </c>
      <c r="Z27" s="522">
        <v>293.99</v>
      </c>
      <c r="AA27" s="522">
        <v>82.72</v>
      </c>
      <c r="AB27" s="522">
        <v>131.57</v>
      </c>
      <c r="AC27" s="522">
        <v>92.92</v>
      </c>
      <c r="AD27" s="522">
        <v>133.72</v>
      </c>
      <c r="AE27" s="522">
        <v>39.99</v>
      </c>
      <c r="AF27" s="522">
        <v>249.52</v>
      </c>
      <c r="AG27" s="522">
        <v>95.38</v>
      </c>
      <c r="AH27" s="522">
        <v>6.49</v>
      </c>
      <c r="AI27" s="522">
        <v>74.239999999999995</v>
      </c>
      <c r="AJ27" s="522">
        <v>551.25</v>
      </c>
      <c r="AK27" s="522">
        <v>177.07</v>
      </c>
      <c r="AL27" s="522">
        <v>198.87</v>
      </c>
      <c r="AM27" s="522">
        <v>338.03</v>
      </c>
      <c r="AN27" s="522">
        <v>278.74</v>
      </c>
      <c r="AO27" s="522">
        <v>14.29</v>
      </c>
    </row>
    <row r="28" spans="1:41">
      <c r="A28" s="147">
        <v>26</v>
      </c>
      <c r="B28" s="521">
        <v>44888</v>
      </c>
      <c r="C28" s="522">
        <v>155.35</v>
      </c>
      <c r="D28" s="522">
        <v>106.02</v>
      </c>
      <c r="E28" s="522">
        <v>169.2</v>
      </c>
      <c r="F28" s="522">
        <v>127.04</v>
      </c>
      <c r="G28" s="522">
        <v>61.53</v>
      </c>
      <c r="H28" s="522">
        <v>308.14999999999998</v>
      </c>
      <c r="I28" s="522">
        <v>72.569999999999993</v>
      </c>
      <c r="J28" s="522">
        <v>79.14</v>
      </c>
      <c r="K28" s="522">
        <v>148.43</v>
      </c>
      <c r="L28" s="522">
        <v>305.63</v>
      </c>
      <c r="M28" s="522">
        <v>513.1</v>
      </c>
      <c r="N28" s="522">
        <v>118.31</v>
      </c>
      <c r="O28" s="522">
        <v>148.46</v>
      </c>
      <c r="P28" s="522">
        <v>101.26</v>
      </c>
      <c r="Q28" s="522">
        <v>97.99</v>
      </c>
      <c r="R28" s="522">
        <v>160.41</v>
      </c>
      <c r="S28" s="522">
        <v>190.06</v>
      </c>
      <c r="T28" s="522">
        <v>86.11</v>
      </c>
      <c r="U28" s="522">
        <v>106.82</v>
      </c>
      <c r="V28" s="522">
        <v>508.75</v>
      </c>
      <c r="W28" s="522">
        <v>266</v>
      </c>
      <c r="X28" s="522">
        <v>314.7</v>
      </c>
      <c r="Y28" s="522">
        <v>522.34</v>
      </c>
      <c r="Z28" s="522">
        <v>297.02999999999997</v>
      </c>
      <c r="AA28" s="522">
        <v>82.56</v>
      </c>
      <c r="AB28" s="522">
        <v>131.09</v>
      </c>
      <c r="AC28" s="522">
        <v>93.86</v>
      </c>
      <c r="AD28" s="522">
        <v>131.9</v>
      </c>
      <c r="AE28" s="522">
        <v>39.72</v>
      </c>
      <c r="AF28" s="522">
        <v>250</v>
      </c>
      <c r="AG28" s="522">
        <v>94.49</v>
      </c>
      <c r="AH28" s="522">
        <v>6.5</v>
      </c>
      <c r="AI28" s="522">
        <v>74.23</v>
      </c>
      <c r="AJ28" s="522">
        <v>547.29</v>
      </c>
      <c r="AK28" s="522">
        <v>178.98</v>
      </c>
      <c r="AL28" s="522">
        <v>199.31</v>
      </c>
      <c r="AM28" s="522">
        <v>334.57</v>
      </c>
      <c r="AN28" s="522">
        <v>279.01</v>
      </c>
      <c r="AO28" s="522">
        <v>14.18</v>
      </c>
    </row>
    <row r="29" spans="1:41">
      <c r="A29" s="147">
        <v>27</v>
      </c>
      <c r="B29" s="521">
        <v>44887</v>
      </c>
      <c r="C29" s="522">
        <v>156.86000000000001</v>
      </c>
      <c r="D29" s="522">
        <v>104.87</v>
      </c>
      <c r="E29" s="522">
        <v>168.43</v>
      </c>
      <c r="F29" s="522">
        <v>127.18</v>
      </c>
      <c r="G29" s="522">
        <v>61.9</v>
      </c>
      <c r="H29" s="522">
        <v>309.16000000000003</v>
      </c>
      <c r="I29" s="522">
        <v>72.239999999999995</v>
      </c>
      <c r="J29" s="522">
        <v>78.86</v>
      </c>
      <c r="K29" s="522">
        <v>148.36000000000001</v>
      </c>
      <c r="L29" s="522">
        <v>307.38</v>
      </c>
      <c r="M29" s="522">
        <v>508.13</v>
      </c>
      <c r="N29" s="522">
        <v>117.61</v>
      </c>
      <c r="O29" s="522">
        <v>146.69999999999999</v>
      </c>
      <c r="P29" s="522">
        <v>100.68</v>
      </c>
      <c r="Q29" s="522">
        <v>97.94</v>
      </c>
      <c r="R29" s="522">
        <v>161.38</v>
      </c>
      <c r="S29" s="522">
        <v>188.94</v>
      </c>
      <c r="T29" s="522">
        <v>86.12</v>
      </c>
      <c r="U29" s="522">
        <v>106.9</v>
      </c>
      <c r="V29" s="522">
        <v>502.67</v>
      </c>
      <c r="W29" s="522">
        <v>265.06</v>
      </c>
      <c r="X29" s="522">
        <v>313.39</v>
      </c>
      <c r="Y29" s="522">
        <v>524.65</v>
      </c>
      <c r="Z29" s="522">
        <v>295.89999999999998</v>
      </c>
      <c r="AA29" s="522">
        <v>82.12</v>
      </c>
      <c r="AB29" s="522">
        <v>130.09</v>
      </c>
      <c r="AC29" s="522">
        <v>93.83</v>
      </c>
      <c r="AD29" s="522">
        <v>132.74</v>
      </c>
      <c r="AE29" s="522">
        <v>39.54</v>
      </c>
      <c r="AF29" s="522">
        <v>243.45</v>
      </c>
      <c r="AG29" s="522">
        <v>93.99</v>
      </c>
      <c r="AH29" s="522">
        <v>6.49</v>
      </c>
      <c r="AI29" s="522">
        <v>73.58</v>
      </c>
      <c r="AJ29" s="522">
        <v>544.75</v>
      </c>
      <c r="AK29" s="522">
        <v>177.22</v>
      </c>
      <c r="AL29" s="522">
        <v>197.66</v>
      </c>
      <c r="AM29" s="522">
        <v>336.97</v>
      </c>
      <c r="AN29" s="522">
        <v>279.33999999999997</v>
      </c>
      <c r="AO29" s="522">
        <v>14.12</v>
      </c>
    </row>
    <row r="30" spans="1:41">
      <c r="A30" s="147">
        <v>28</v>
      </c>
      <c r="B30" s="521">
        <v>44886</v>
      </c>
      <c r="C30" s="522">
        <v>145.13999999999999</v>
      </c>
      <c r="D30" s="522">
        <v>103.88</v>
      </c>
      <c r="E30" s="522">
        <v>159.24</v>
      </c>
      <c r="F30" s="522">
        <v>126.5</v>
      </c>
      <c r="G30" s="522">
        <v>61.4</v>
      </c>
      <c r="H30" s="522">
        <v>296.41000000000003</v>
      </c>
      <c r="I30" s="522">
        <v>70.47</v>
      </c>
      <c r="J30" s="522">
        <v>78.959999999999994</v>
      </c>
      <c r="K30" s="522">
        <v>147.1</v>
      </c>
      <c r="L30" s="522">
        <v>306.87</v>
      </c>
      <c r="M30" s="522">
        <v>505.2</v>
      </c>
      <c r="N30" s="522">
        <v>118.39</v>
      </c>
      <c r="O30" s="522">
        <v>146.5</v>
      </c>
      <c r="P30" s="522">
        <v>101.59</v>
      </c>
      <c r="Q30" s="522">
        <v>95.87</v>
      </c>
      <c r="R30" s="522">
        <v>159.59</v>
      </c>
      <c r="S30" s="522">
        <v>188.81</v>
      </c>
      <c r="T30" s="522">
        <v>85.15</v>
      </c>
      <c r="U30" s="522">
        <v>105.61</v>
      </c>
      <c r="V30" s="522">
        <v>493.37</v>
      </c>
      <c r="W30" s="522">
        <v>262.38</v>
      </c>
      <c r="X30" s="522">
        <v>313.24</v>
      </c>
      <c r="Y30" s="522">
        <v>527.87</v>
      </c>
      <c r="Z30" s="522">
        <v>298.60000000000002</v>
      </c>
      <c r="AA30" s="522">
        <v>79.819999999999993</v>
      </c>
      <c r="AB30" s="522">
        <v>129.81</v>
      </c>
      <c r="AC30" s="522">
        <v>92.47</v>
      </c>
      <c r="AD30" s="522">
        <v>130.59</v>
      </c>
      <c r="AE30" s="522">
        <v>42.12</v>
      </c>
      <c r="AF30" s="522">
        <v>239.26</v>
      </c>
      <c r="AG30" s="522">
        <v>92.47</v>
      </c>
      <c r="AH30" s="522">
        <v>6.43</v>
      </c>
      <c r="AI30" s="522">
        <v>72.819999999999993</v>
      </c>
      <c r="AJ30" s="522">
        <v>536.28</v>
      </c>
      <c r="AK30" s="522">
        <v>172.4</v>
      </c>
      <c r="AL30" s="522">
        <v>195.51</v>
      </c>
      <c r="AM30" s="522">
        <v>322.89</v>
      </c>
      <c r="AN30" s="522">
        <v>276.36</v>
      </c>
      <c r="AO30" s="522">
        <v>13.95</v>
      </c>
    </row>
    <row r="31" spans="1:41">
      <c r="A31" s="147">
        <v>29</v>
      </c>
      <c r="B31" s="521">
        <v>44883</v>
      </c>
      <c r="C31" s="522">
        <v>146.19</v>
      </c>
      <c r="D31" s="522">
        <v>103.87</v>
      </c>
      <c r="E31" s="522">
        <v>161.85</v>
      </c>
      <c r="F31" s="522">
        <v>124.95</v>
      </c>
      <c r="G31" s="522">
        <v>61.28</v>
      </c>
      <c r="H31" s="522">
        <v>296.48</v>
      </c>
      <c r="I31" s="522">
        <v>69.790000000000006</v>
      </c>
      <c r="J31" s="522">
        <v>77.45</v>
      </c>
      <c r="K31" s="522">
        <v>144.6</v>
      </c>
      <c r="L31" s="522">
        <v>303.76</v>
      </c>
      <c r="M31" s="522">
        <v>503.65</v>
      </c>
      <c r="N31" s="522">
        <v>122.6</v>
      </c>
      <c r="O31" s="522">
        <v>146.41999999999999</v>
      </c>
      <c r="P31" s="522">
        <v>102.08</v>
      </c>
      <c r="Q31" s="522">
        <v>95.34</v>
      </c>
      <c r="R31" s="522">
        <v>156.32</v>
      </c>
      <c r="S31" s="522">
        <v>186.96</v>
      </c>
      <c r="T31" s="522">
        <v>83.76</v>
      </c>
      <c r="U31" s="522">
        <v>104.23</v>
      </c>
      <c r="V31" s="522">
        <v>490.31</v>
      </c>
      <c r="W31" s="522">
        <v>262.94</v>
      </c>
      <c r="X31" s="522">
        <v>308.54000000000002</v>
      </c>
      <c r="Y31" s="522">
        <v>520.41999999999996</v>
      </c>
      <c r="Z31" s="522">
        <v>298.33999999999997</v>
      </c>
      <c r="AA31" s="522">
        <v>79.73</v>
      </c>
      <c r="AB31" s="522">
        <v>128.36000000000001</v>
      </c>
      <c r="AC31" s="522">
        <v>88.95</v>
      </c>
      <c r="AD31" s="522">
        <v>130.25</v>
      </c>
      <c r="AE31" s="522">
        <v>42.46</v>
      </c>
      <c r="AF31" s="522">
        <v>240.04</v>
      </c>
      <c r="AG31" s="522">
        <v>93.01</v>
      </c>
      <c r="AH31" s="522">
        <v>6.39</v>
      </c>
      <c r="AI31" s="522">
        <v>72.73</v>
      </c>
      <c r="AJ31" s="522">
        <v>535.24</v>
      </c>
      <c r="AK31" s="522">
        <v>175.18</v>
      </c>
      <c r="AL31" s="522">
        <v>194.25</v>
      </c>
      <c r="AM31" s="522">
        <v>321.16000000000003</v>
      </c>
      <c r="AN31" s="522">
        <v>275.3</v>
      </c>
      <c r="AO31" s="522">
        <v>13.89</v>
      </c>
    </row>
    <row r="32" spans="1:41">
      <c r="A32" s="147">
        <v>30</v>
      </c>
      <c r="B32" s="521">
        <v>44882</v>
      </c>
      <c r="C32" s="522">
        <v>144.44</v>
      </c>
      <c r="D32" s="522">
        <v>102.56</v>
      </c>
      <c r="E32" s="522">
        <v>161.47</v>
      </c>
      <c r="F32" s="522">
        <v>123.46</v>
      </c>
      <c r="G32" s="522">
        <v>60.1</v>
      </c>
      <c r="H32" s="522">
        <v>293.3</v>
      </c>
      <c r="I32" s="522">
        <v>68.89</v>
      </c>
      <c r="J32" s="522">
        <v>77.16</v>
      </c>
      <c r="K32" s="522">
        <v>142.57</v>
      </c>
      <c r="L32" s="522">
        <v>305.16000000000003</v>
      </c>
      <c r="M32" s="522">
        <v>495.33</v>
      </c>
      <c r="N32" s="522">
        <v>120.07</v>
      </c>
      <c r="O32" s="522">
        <v>145.96</v>
      </c>
      <c r="P32" s="522">
        <v>101.16</v>
      </c>
      <c r="Q32" s="522">
        <v>94</v>
      </c>
      <c r="R32" s="522">
        <v>156.59</v>
      </c>
      <c r="S32" s="522">
        <v>183.1</v>
      </c>
      <c r="T32" s="522">
        <v>83.12</v>
      </c>
      <c r="U32" s="522">
        <v>102.31</v>
      </c>
      <c r="V32" s="522">
        <v>491.09</v>
      </c>
      <c r="W32" s="522">
        <v>255.51</v>
      </c>
      <c r="X32" s="522">
        <v>308.55</v>
      </c>
      <c r="Y32" s="522">
        <v>518.85</v>
      </c>
      <c r="Z32" s="522">
        <v>298.77</v>
      </c>
      <c r="AA32" s="522">
        <v>79.2</v>
      </c>
      <c r="AB32" s="522">
        <v>128.02000000000001</v>
      </c>
      <c r="AC32" s="522">
        <v>89.61</v>
      </c>
      <c r="AD32" s="522">
        <v>130.19999999999999</v>
      </c>
      <c r="AE32" s="522">
        <v>41.84</v>
      </c>
      <c r="AF32" s="522">
        <v>237.11</v>
      </c>
      <c r="AG32" s="522">
        <v>92.15</v>
      </c>
      <c r="AH32" s="522">
        <v>6.36</v>
      </c>
      <c r="AI32" s="522">
        <v>72.209999999999994</v>
      </c>
      <c r="AJ32" s="522">
        <v>529.89</v>
      </c>
      <c r="AK32" s="522">
        <v>175.36</v>
      </c>
      <c r="AL32" s="522">
        <v>195.55</v>
      </c>
      <c r="AM32" s="522">
        <v>319.81</v>
      </c>
      <c r="AN32" s="522">
        <v>274.17</v>
      </c>
      <c r="AO32" s="522">
        <v>13.93</v>
      </c>
    </row>
    <row r="33" spans="1:41">
      <c r="A33" s="147">
        <v>31</v>
      </c>
      <c r="B33" s="521">
        <v>44881</v>
      </c>
      <c r="C33" s="522">
        <v>147.12</v>
      </c>
      <c r="D33" s="522">
        <v>103.61</v>
      </c>
      <c r="E33" s="522">
        <v>161.27000000000001</v>
      </c>
      <c r="F33" s="522">
        <v>125.76</v>
      </c>
      <c r="G33" s="522">
        <v>59.8</v>
      </c>
      <c r="H33" s="522">
        <v>295.12</v>
      </c>
      <c r="I33" s="522">
        <v>69.56</v>
      </c>
      <c r="J33" s="522">
        <v>76.150000000000006</v>
      </c>
      <c r="K33" s="522">
        <v>142.96</v>
      </c>
      <c r="L33" s="522">
        <v>299.68</v>
      </c>
      <c r="M33" s="522">
        <v>497.96</v>
      </c>
      <c r="N33" s="522">
        <v>118.71</v>
      </c>
      <c r="O33" s="522">
        <v>149.27000000000001</v>
      </c>
      <c r="P33" s="522">
        <v>101.48</v>
      </c>
      <c r="Q33" s="522">
        <v>93.99</v>
      </c>
      <c r="R33" s="522">
        <v>156.08000000000001</v>
      </c>
      <c r="S33" s="522">
        <v>180.64</v>
      </c>
      <c r="T33" s="522">
        <v>83.65</v>
      </c>
      <c r="U33" s="522">
        <v>99.93</v>
      </c>
      <c r="V33" s="522">
        <v>507.21</v>
      </c>
      <c r="W33" s="522">
        <v>255.76</v>
      </c>
      <c r="X33" s="522">
        <v>304.58</v>
      </c>
      <c r="Y33" s="522">
        <v>505.13</v>
      </c>
      <c r="Z33" s="522">
        <v>307.17</v>
      </c>
      <c r="AA33" s="522">
        <v>79.89</v>
      </c>
      <c r="AB33" s="522">
        <v>125.91</v>
      </c>
      <c r="AC33" s="522">
        <v>89.57</v>
      </c>
      <c r="AD33" s="522">
        <v>129.35</v>
      </c>
      <c r="AE33" s="522">
        <v>42.03</v>
      </c>
      <c r="AF33" s="522">
        <v>240.81</v>
      </c>
      <c r="AG33" s="522">
        <v>91.62</v>
      </c>
      <c r="AH33" s="522">
        <v>6.48</v>
      </c>
      <c r="AI33" s="522">
        <v>71.510000000000005</v>
      </c>
      <c r="AJ33" s="522">
        <v>536.01</v>
      </c>
      <c r="AK33" s="522">
        <v>173.46</v>
      </c>
      <c r="AL33" s="522">
        <v>197.55</v>
      </c>
      <c r="AM33" s="522">
        <v>329.53</v>
      </c>
      <c r="AN33" s="522">
        <v>276.24</v>
      </c>
      <c r="AO33" s="522">
        <v>13.84</v>
      </c>
    </row>
    <row r="34" spans="1:41">
      <c r="A34" s="147">
        <v>32</v>
      </c>
      <c r="B34" s="521">
        <v>44880</v>
      </c>
      <c r="C34" s="522">
        <v>148</v>
      </c>
      <c r="D34" s="522">
        <v>103.14</v>
      </c>
      <c r="E34" s="522">
        <v>165.17</v>
      </c>
      <c r="F34" s="522">
        <v>124.62</v>
      </c>
      <c r="G34" s="522">
        <v>60.39</v>
      </c>
      <c r="H34" s="522">
        <v>294.54000000000002</v>
      </c>
      <c r="I34" s="522">
        <v>69.25</v>
      </c>
      <c r="J34" s="522">
        <v>76.28</v>
      </c>
      <c r="K34" s="522">
        <v>142.6</v>
      </c>
      <c r="L34" s="522">
        <v>289.73</v>
      </c>
      <c r="M34" s="522">
        <v>496.68</v>
      </c>
      <c r="N34" s="522">
        <v>117.59</v>
      </c>
      <c r="O34" s="522">
        <v>147.94</v>
      </c>
      <c r="P34" s="522">
        <v>101.2</v>
      </c>
      <c r="Q34" s="522">
        <v>94.42</v>
      </c>
      <c r="R34" s="522">
        <v>151.55000000000001</v>
      </c>
      <c r="S34" s="522">
        <v>181.2</v>
      </c>
      <c r="T34" s="522">
        <v>83.65</v>
      </c>
      <c r="U34" s="522">
        <v>99.6</v>
      </c>
      <c r="V34" s="522">
        <v>503.02</v>
      </c>
      <c r="W34" s="522">
        <v>250.41</v>
      </c>
      <c r="X34" s="522">
        <v>303.93</v>
      </c>
      <c r="Y34" s="522">
        <v>500.72</v>
      </c>
      <c r="Z34" s="522">
        <v>318.08999999999997</v>
      </c>
      <c r="AA34" s="522">
        <v>79.180000000000007</v>
      </c>
      <c r="AB34" s="522">
        <v>123.06</v>
      </c>
      <c r="AC34" s="522">
        <v>86.89</v>
      </c>
      <c r="AD34" s="522">
        <v>128.22999999999999</v>
      </c>
      <c r="AE34" s="522">
        <v>41.47</v>
      </c>
      <c r="AF34" s="522">
        <v>240.59</v>
      </c>
      <c r="AG34" s="522">
        <v>91.66</v>
      </c>
      <c r="AH34" s="522">
        <v>6.47</v>
      </c>
      <c r="AI34" s="522">
        <v>72.17</v>
      </c>
      <c r="AJ34" s="522">
        <v>546.09</v>
      </c>
      <c r="AK34" s="522">
        <v>177.57</v>
      </c>
      <c r="AL34" s="522">
        <v>195.53</v>
      </c>
      <c r="AM34" s="522">
        <v>329.79</v>
      </c>
      <c r="AN34" s="522">
        <v>283.23</v>
      </c>
      <c r="AO34" s="522">
        <v>14.07</v>
      </c>
    </row>
    <row r="35" spans="1:41">
      <c r="A35" s="147">
        <v>33</v>
      </c>
      <c r="B35" s="521">
        <v>44879</v>
      </c>
      <c r="C35" s="522">
        <v>146.38</v>
      </c>
      <c r="D35" s="522">
        <v>102.01</v>
      </c>
      <c r="E35" s="522">
        <v>161.26</v>
      </c>
      <c r="F35" s="522">
        <v>124.76</v>
      </c>
      <c r="G35" s="522">
        <v>59.51</v>
      </c>
      <c r="H35" s="522">
        <v>294.89</v>
      </c>
      <c r="I35" s="522">
        <v>68.88</v>
      </c>
      <c r="J35" s="522">
        <v>76.39</v>
      </c>
      <c r="K35" s="522">
        <v>141.32</v>
      </c>
      <c r="L35" s="522">
        <v>289.23</v>
      </c>
      <c r="M35" s="522">
        <v>490.36</v>
      </c>
      <c r="N35" s="522">
        <v>115.37</v>
      </c>
      <c r="O35" s="522">
        <v>150.38</v>
      </c>
      <c r="P35" s="522">
        <v>100.92</v>
      </c>
      <c r="Q35" s="522">
        <v>92.84</v>
      </c>
      <c r="R35" s="522">
        <v>137.97</v>
      </c>
      <c r="S35" s="522">
        <v>177.43</v>
      </c>
      <c r="T35" s="522">
        <v>82.75</v>
      </c>
      <c r="U35" s="522">
        <v>100.35</v>
      </c>
      <c r="V35" s="522">
        <v>492.24</v>
      </c>
      <c r="W35" s="522">
        <v>250.95</v>
      </c>
      <c r="X35" s="522">
        <v>304.83</v>
      </c>
      <c r="Y35" s="522">
        <v>481.74</v>
      </c>
      <c r="Z35" s="522">
        <v>314.27</v>
      </c>
      <c r="AA35" s="522">
        <v>78.53</v>
      </c>
      <c r="AB35" s="522">
        <v>122.98</v>
      </c>
      <c r="AC35" s="522">
        <v>85.95</v>
      </c>
      <c r="AD35" s="522">
        <v>127.14</v>
      </c>
      <c r="AE35" s="522">
        <v>41.88</v>
      </c>
      <c r="AF35" s="522">
        <v>234.08</v>
      </c>
      <c r="AG35" s="522">
        <v>93.11</v>
      </c>
      <c r="AH35" s="522">
        <v>6.42</v>
      </c>
      <c r="AI35" s="522">
        <v>71.430000000000007</v>
      </c>
      <c r="AJ35" s="522">
        <v>534.77</v>
      </c>
      <c r="AK35" s="522">
        <v>177.44</v>
      </c>
      <c r="AL35" s="522">
        <v>190.45</v>
      </c>
      <c r="AM35" s="522">
        <v>325.88</v>
      </c>
      <c r="AN35" s="522">
        <v>280.08999999999997</v>
      </c>
      <c r="AO35" s="522">
        <v>13.76</v>
      </c>
    </row>
    <row r="36" spans="1:41">
      <c r="A36" s="147">
        <v>34</v>
      </c>
      <c r="B36" s="521">
        <v>44876</v>
      </c>
      <c r="C36" s="522">
        <v>148.31</v>
      </c>
      <c r="D36" s="522">
        <v>104.09</v>
      </c>
      <c r="E36" s="522">
        <v>164.06</v>
      </c>
      <c r="F36" s="522">
        <v>128.15</v>
      </c>
      <c r="G36" s="522">
        <v>60</v>
      </c>
      <c r="H36" s="522">
        <v>288.45999999999998</v>
      </c>
      <c r="I36" s="522">
        <v>69.64</v>
      </c>
      <c r="J36" s="522">
        <v>75.959999999999994</v>
      </c>
      <c r="K36" s="522">
        <v>139.99</v>
      </c>
      <c r="L36" s="522">
        <v>289.12</v>
      </c>
      <c r="M36" s="522">
        <v>490.03</v>
      </c>
      <c r="N36" s="522">
        <v>115.16</v>
      </c>
      <c r="O36" s="522">
        <v>151.03</v>
      </c>
      <c r="P36" s="522">
        <v>101.24</v>
      </c>
      <c r="Q36" s="522">
        <v>92.56</v>
      </c>
      <c r="R36" s="522">
        <v>140.63</v>
      </c>
      <c r="S36" s="522">
        <v>174.49</v>
      </c>
      <c r="T36" s="522">
        <v>83.77</v>
      </c>
      <c r="U36" s="522">
        <v>97.96</v>
      </c>
      <c r="V36" s="522">
        <v>512.37</v>
      </c>
      <c r="W36" s="522">
        <v>249.53</v>
      </c>
      <c r="X36" s="522">
        <v>304.68</v>
      </c>
      <c r="Y36" s="522">
        <v>492.7</v>
      </c>
      <c r="Z36" s="522">
        <v>314.11</v>
      </c>
      <c r="AA36" s="522">
        <v>77.739999999999995</v>
      </c>
      <c r="AB36" s="522">
        <v>126.23</v>
      </c>
      <c r="AC36" s="522">
        <v>86.19</v>
      </c>
      <c r="AD36" s="522">
        <v>126.18</v>
      </c>
      <c r="AE36" s="522">
        <v>41.59</v>
      </c>
      <c r="AF36" s="522">
        <v>237.24</v>
      </c>
      <c r="AG36" s="522">
        <v>91.33</v>
      </c>
      <c r="AH36" s="522">
        <v>6.44</v>
      </c>
      <c r="AI36" s="522">
        <v>72.430000000000007</v>
      </c>
      <c r="AJ36" s="522">
        <v>538.67999999999995</v>
      </c>
      <c r="AK36" s="522">
        <v>179.49</v>
      </c>
      <c r="AL36" s="522">
        <v>192.39</v>
      </c>
      <c r="AM36" s="522">
        <v>331.85</v>
      </c>
      <c r="AN36" s="522">
        <v>277.88</v>
      </c>
      <c r="AO36" s="522">
        <v>13.85</v>
      </c>
    </row>
    <row r="37" spans="1:41">
      <c r="A37" s="147">
        <v>35</v>
      </c>
      <c r="B37" s="521">
        <v>44875</v>
      </c>
      <c r="C37" s="522">
        <v>146.30000000000001</v>
      </c>
      <c r="D37" s="522">
        <v>104.23</v>
      </c>
      <c r="E37" s="522">
        <v>160.37</v>
      </c>
      <c r="F37" s="522">
        <v>126.66</v>
      </c>
      <c r="G37" s="522">
        <v>59.28</v>
      </c>
      <c r="H37" s="522">
        <v>289.58999999999997</v>
      </c>
      <c r="I37" s="522">
        <v>69.84</v>
      </c>
      <c r="J37" s="522">
        <v>79.38</v>
      </c>
      <c r="K37" s="522">
        <v>141.24</v>
      </c>
      <c r="L37" s="522">
        <v>301.2</v>
      </c>
      <c r="M37" s="522">
        <v>500.3</v>
      </c>
      <c r="N37" s="522">
        <v>118.36</v>
      </c>
      <c r="O37" s="522">
        <v>152.47999999999999</v>
      </c>
      <c r="P37" s="522">
        <v>103.34</v>
      </c>
      <c r="Q37" s="522">
        <v>94.37</v>
      </c>
      <c r="R37" s="522">
        <v>143.71</v>
      </c>
      <c r="S37" s="522">
        <v>175.75</v>
      </c>
      <c r="T37" s="522">
        <v>81.86</v>
      </c>
      <c r="U37" s="522">
        <v>101.89</v>
      </c>
      <c r="V37" s="522">
        <v>509.7</v>
      </c>
      <c r="W37" s="522">
        <v>259.61</v>
      </c>
      <c r="X37" s="522">
        <v>308.10000000000002</v>
      </c>
      <c r="Y37" s="522">
        <v>531.59</v>
      </c>
      <c r="Z37" s="522">
        <v>305.63</v>
      </c>
      <c r="AA37" s="522">
        <v>77.17</v>
      </c>
      <c r="AB37" s="522">
        <v>129.74</v>
      </c>
      <c r="AC37" s="522">
        <v>89.13</v>
      </c>
      <c r="AD37" s="522">
        <v>131.13999999999999</v>
      </c>
      <c r="AE37" s="522">
        <v>42.02</v>
      </c>
      <c r="AF37" s="522">
        <v>239</v>
      </c>
      <c r="AG37" s="522">
        <v>93.6</v>
      </c>
      <c r="AH37" s="522">
        <v>6.41</v>
      </c>
      <c r="AI37" s="522">
        <v>72.459999999999994</v>
      </c>
      <c r="AJ37" s="522">
        <v>520.58000000000004</v>
      </c>
      <c r="AK37" s="522">
        <v>174.69</v>
      </c>
      <c r="AL37" s="522">
        <v>191.12</v>
      </c>
      <c r="AM37" s="522">
        <v>331.85</v>
      </c>
      <c r="AN37" s="522">
        <v>281.51</v>
      </c>
      <c r="AO37" s="522">
        <v>13.45</v>
      </c>
    </row>
    <row r="38" spans="1:41">
      <c r="A38" s="147">
        <v>36</v>
      </c>
      <c r="B38" s="521">
        <v>44874</v>
      </c>
      <c r="C38" s="522">
        <v>137</v>
      </c>
      <c r="D38" s="522">
        <v>99.46</v>
      </c>
      <c r="E38" s="522">
        <v>148.22999999999999</v>
      </c>
      <c r="F38" s="522">
        <v>122.62</v>
      </c>
      <c r="G38" s="522">
        <v>55.05</v>
      </c>
      <c r="H38" s="522">
        <v>280.13</v>
      </c>
      <c r="I38" s="522">
        <v>66.44</v>
      </c>
      <c r="J38" s="522">
        <v>79.78</v>
      </c>
      <c r="K38" s="522">
        <v>133.74</v>
      </c>
      <c r="L38" s="522">
        <v>298.38</v>
      </c>
      <c r="M38" s="522">
        <v>488.62</v>
      </c>
      <c r="N38" s="522">
        <v>116.23</v>
      </c>
      <c r="O38" s="522">
        <v>145.41999999999999</v>
      </c>
      <c r="P38" s="522">
        <v>96.71</v>
      </c>
      <c r="Q38" s="522">
        <v>92.03</v>
      </c>
      <c r="R38" s="522">
        <v>142.5</v>
      </c>
      <c r="S38" s="522">
        <v>172.52</v>
      </c>
      <c r="T38" s="522">
        <v>79.209999999999994</v>
      </c>
      <c r="U38" s="522">
        <v>101.59</v>
      </c>
      <c r="V38" s="522">
        <v>465.13</v>
      </c>
      <c r="W38" s="522">
        <v>253.62</v>
      </c>
      <c r="X38" s="522">
        <v>297.18</v>
      </c>
      <c r="Y38" s="522">
        <v>533.14</v>
      </c>
      <c r="Z38" s="522">
        <v>281.86</v>
      </c>
      <c r="AA38" s="522">
        <v>75.66</v>
      </c>
      <c r="AB38" s="522">
        <v>127.7</v>
      </c>
      <c r="AC38" s="522">
        <v>88.88</v>
      </c>
      <c r="AD38" s="522">
        <v>129.69</v>
      </c>
      <c r="AE38" s="522">
        <v>41.55</v>
      </c>
      <c r="AF38" s="522">
        <v>222</v>
      </c>
      <c r="AG38" s="522">
        <v>91.56</v>
      </c>
      <c r="AH38" s="522">
        <v>6.32</v>
      </c>
      <c r="AI38" s="522">
        <v>67.75</v>
      </c>
      <c r="AJ38" s="522">
        <v>484.71</v>
      </c>
      <c r="AK38" s="522">
        <v>164.99</v>
      </c>
      <c r="AL38" s="522">
        <v>178.32</v>
      </c>
      <c r="AM38" s="522">
        <v>309.52</v>
      </c>
      <c r="AN38" s="522">
        <v>254.01</v>
      </c>
      <c r="AO38" s="522">
        <v>12.68</v>
      </c>
    </row>
    <row r="39" spans="1:41">
      <c r="A39" s="147">
        <v>37</v>
      </c>
      <c r="B39" s="521">
        <v>44873</v>
      </c>
      <c r="C39" s="522">
        <v>138.75</v>
      </c>
      <c r="D39" s="522">
        <v>99.64</v>
      </c>
      <c r="E39" s="522">
        <v>151.04</v>
      </c>
      <c r="F39" s="522">
        <v>123</v>
      </c>
      <c r="G39" s="522">
        <v>55.97</v>
      </c>
      <c r="H39" s="522">
        <v>283</v>
      </c>
      <c r="I39" s="522">
        <v>66.989999999999995</v>
      </c>
      <c r="J39" s="522">
        <v>79.98</v>
      </c>
      <c r="K39" s="522">
        <v>136.49</v>
      </c>
      <c r="L39" s="522">
        <v>302.45</v>
      </c>
      <c r="M39" s="522">
        <v>489.62</v>
      </c>
      <c r="N39" s="522">
        <v>120.31</v>
      </c>
      <c r="O39" s="522">
        <v>145.83000000000001</v>
      </c>
      <c r="P39" s="522">
        <v>98.94</v>
      </c>
      <c r="Q39" s="522">
        <v>93.07</v>
      </c>
      <c r="R39" s="522">
        <v>145.88</v>
      </c>
      <c r="S39" s="522">
        <v>180.94</v>
      </c>
      <c r="T39" s="522">
        <v>80.7</v>
      </c>
      <c r="U39" s="522">
        <v>101.5</v>
      </c>
      <c r="V39" s="522">
        <v>467.9</v>
      </c>
      <c r="W39" s="522">
        <v>256.8</v>
      </c>
      <c r="X39" s="522">
        <v>305.06</v>
      </c>
      <c r="Y39" s="522">
        <v>540.92999999999995</v>
      </c>
      <c r="Z39" s="522">
        <v>290.06</v>
      </c>
      <c r="AA39" s="522">
        <v>75.64</v>
      </c>
      <c r="AB39" s="522">
        <v>129.1</v>
      </c>
      <c r="AC39" s="522">
        <v>89.3</v>
      </c>
      <c r="AD39" s="522">
        <v>130.96</v>
      </c>
      <c r="AE39" s="522">
        <v>42</v>
      </c>
      <c r="AF39" s="522">
        <v>225.42</v>
      </c>
      <c r="AG39" s="522">
        <v>92.97</v>
      </c>
      <c r="AH39" s="522">
        <v>6.36</v>
      </c>
      <c r="AI39" s="522">
        <v>69.180000000000007</v>
      </c>
      <c r="AJ39" s="522">
        <v>492.17</v>
      </c>
      <c r="AK39" s="522">
        <v>168.11</v>
      </c>
      <c r="AL39" s="522">
        <v>180.73</v>
      </c>
      <c r="AM39" s="522">
        <v>312.56</v>
      </c>
      <c r="AN39" s="522">
        <v>262.56</v>
      </c>
      <c r="AO39" s="522">
        <v>12.93</v>
      </c>
    </row>
    <row r="40" spans="1:41">
      <c r="A40" s="147">
        <v>38</v>
      </c>
      <c r="B40" s="521">
        <v>44872</v>
      </c>
      <c r="C40" s="522">
        <v>138.03</v>
      </c>
      <c r="D40" s="522">
        <v>99.5</v>
      </c>
      <c r="E40" s="522">
        <v>148.93</v>
      </c>
      <c r="F40" s="522">
        <v>120.73</v>
      </c>
      <c r="G40" s="522">
        <v>56.91</v>
      </c>
      <c r="H40" s="522">
        <v>277.63</v>
      </c>
      <c r="I40" s="522">
        <v>67.09</v>
      </c>
      <c r="J40" s="522">
        <v>79.19</v>
      </c>
      <c r="K40" s="522">
        <v>135.5</v>
      </c>
      <c r="L40" s="522">
        <v>302.14</v>
      </c>
      <c r="M40" s="522">
        <v>484.24</v>
      </c>
      <c r="N40" s="522">
        <v>122.67</v>
      </c>
      <c r="O40" s="522">
        <v>146.13999999999999</v>
      </c>
      <c r="P40" s="522">
        <v>98.33</v>
      </c>
      <c r="Q40" s="522">
        <v>93.16</v>
      </c>
      <c r="R40" s="522">
        <v>149.85</v>
      </c>
      <c r="S40" s="522">
        <v>181.85</v>
      </c>
      <c r="T40" s="522">
        <v>79.94</v>
      </c>
      <c r="U40" s="522">
        <v>100.07</v>
      </c>
      <c r="V40" s="522">
        <v>462.19</v>
      </c>
      <c r="W40" s="522">
        <v>255.53</v>
      </c>
      <c r="X40" s="522">
        <v>303.01</v>
      </c>
      <c r="Y40" s="522">
        <v>534.77</v>
      </c>
      <c r="Z40" s="522">
        <v>281.98</v>
      </c>
      <c r="AA40" s="522">
        <v>76.739999999999995</v>
      </c>
      <c r="AB40" s="522">
        <v>127.3</v>
      </c>
      <c r="AC40" s="522">
        <v>88.03</v>
      </c>
      <c r="AD40" s="522">
        <v>130.16</v>
      </c>
      <c r="AE40" s="522">
        <v>41.75</v>
      </c>
      <c r="AF40" s="522">
        <v>221.37</v>
      </c>
      <c r="AG40" s="522">
        <v>92.43</v>
      </c>
      <c r="AH40" s="522">
        <v>6.28</v>
      </c>
      <c r="AI40" s="522">
        <v>69.239999999999995</v>
      </c>
      <c r="AJ40" s="522">
        <v>492.1</v>
      </c>
      <c r="AK40" s="522">
        <v>165.69</v>
      </c>
      <c r="AL40" s="522">
        <v>177.88</v>
      </c>
      <c r="AM40" s="522">
        <v>306.47000000000003</v>
      </c>
      <c r="AN40" s="522">
        <v>262.87</v>
      </c>
      <c r="AO40" s="522">
        <v>12.9</v>
      </c>
    </row>
    <row r="41" spans="1:41">
      <c r="A41" s="147">
        <v>39</v>
      </c>
      <c r="B41" s="521">
        <v>44869</v>
      </c>
      <c r="C41" s="522">
        <v>136.08000000000001</v>
      </c>
      <c r="D41" s="522">
        <v>98.07</v>
      </c>
      <c r="E41" s="522">
        <v>144.29</v>
      </c>
      <c r="F41" s="522">
        <v>121.22</v>
      </c>
      <c r="G41" s="522">
        <v>55.98</v>
      </c>
      <c r="H41" s="522">
        <v>276.06</v>
      </c>
      <c r="I41" s="522">
        <v>67.150000000000006</v>
      </c>
      <c r="J41" s="522">
        <v>78.78</v>
      </c>
      <c r="K41" s="522">
        <v>133.44</v>
      </c>
      <c r="L41" s="522">
        <v>295.76</v>
      </c>
      <c r="M41" s="522">
        <v>481.1</v>
      </c>
      <c r="N41" s="522">
        <v>124.83</v>
      </c>
      <c r="O41" s="522">
        <v>143.62</v>
      </c>
      <c r="P41" s="522">
        <v>97.65</v>
      </c>
      <c r="Q41" s="522">
        <v>93.19</v>
      </c>
      <c r="R41" s="522">
        <v>146.96</v>
      </c>
      <c r="S41" s="522">
        <v>180.46</v>
      </c>
      <c r="T41" s="522">
        <v>79.02</v>
      </c>
      <c r="U41" s="522">
        <v>99.2</v>
      </c>
      <c r="V41" s="522">
        <v>460.91</v>
      </c>
      <c r="W41" s="522">
        <v>254.87</v>
      </c>
      <c r="X41" s="522">
        <v>300.04000000000002</v>
      </c>
      <c r="Y41" s="522">
        <v>522.77</v>
      </c>
      <c r="Z41" s="522">
        <v>271.91000000000003</v>
      </c>
      <c r="AA41" s="522">
        <v>76</v>
      </c>
      <c r="AB41" s="522">
        <v>126.62</v>
      </c>
      <c r="AC41" s="522">
        <v>86.44</v>
      </c>
      <c r="AD41" s="522">
        <v>127.55</v>
      </c>
      <c r="AE41" s="522">
        <v>41.91</v>
      </c>
      <c r="AF41" s="522">
        <v>216.23</v>
      </c>
      <c r="AG41" s="522">
        <v>93.17</v>
      </c>
      <c r="AH41" s="522">
        <v>6.16</v>
      </c>
      <c r="AI41" s="522">
        <v>68.36</v>
      </c>
      <c r="AJ41" s="522">
        <v>495.55</v>
      </c>
      <c r="AK41" s="522">
        <v>162.65</v>
      </c>
      <c r="AL41" s="522">
        <v>176.69</v>
      </c>
      <c r="AM41" s="522">
        <v>305.07</v>
      </c>
      <c r="AN41" s="522">
        <v>261.95999999999998</v>
      </c>
      <c r="AO41" s="522">
        <v>12.81</v>
      </c>
    </row>
    <row r="42" spans="1:41">
      <c r="A42" s="147">
        <v>40</v>
      </c>
      <c r="B42" s="521">
        <v>44868</v>
      </c>
      <c r="C42" s="522">
        <v>134.46</v>
      </c>
      <c r="D42" s="522">
        <v>96.45</v>
      </c>
      <c r="E42" s="522">
        <v>138.02000000000001</v>
      </c>
      <c r="F42" s="522">
        <v>123.41</v>
      </c>
      <c r="G42" s="522">
        <v>54.37</v>
      </c>
      <c r="H42" s="522">
        <v>264.02</v>
      </c>
      <c r="I42" s="522">
        <v>66.16</v>
      </c>
      <c r="J42" s="522">
        <v>78.48</v>
      </c>
      <c r="K42" s="522">
        <v>133.91</v>
      </c>
      <c r="L42" s="522">
        <v>301.87</v>
      </c>
      <c r="M42" s="522">
        <v>480.98</v>
      </c>
      <c r="N42" s="522">
        <v>124.28</v>
      </c>
      <c r="O42" s="522">
        <v>142.97999999999999</v>
      </c>
      <c r="P42" s="522">
        <v>96.06</v>
      </c>
      <c r="Q42" s="522">
        <v>91.48</v>
      </c>
      <c r="R42" s="522">
        <v>145.59</v>
      </c>
      <c r="S42" s="522">
        <v>179.62</v>
      </c>
      <c r="T42" s="522">
        <v>76.760000000000005</v>
      </c>
      <c r="U42" s="522">
        <v>98.75</v>
      </c>
      <c r="V42" s="522">
        <v>451.15</v>
      </c>
      <c r="W42" s="522">
        <v>238.18</v>
      </c>
      <c r="X42" s="522">
        <v>289.18</v>
      </c>
      <c r="Y42" s="522">
        <v>525.51</v>
      </c>
      <c r="Z42" s="522">
        <v>263.02999999999997</v>
      </c>
      <c r="AA42" s="522">
        <v>75.03</v>
      </c>
      <c r="AB42" s="522">
        <v>127.32</v>
      </c>
      <c r="AC42" s="522">
        <v>85.97</v>
      </c>
      <c r="AD42" s="522">
        <v>127.97</v>
      </c>
      <c r="AE42" s="522">
        <v>42.29</v>
      </c>
      <c r="AF42" s="522">
        <v>217.19</v>
      </c>
      <c r="AG42" s="522">
        <v>93.5</v>
      </c>
      <c r="AH42" s="522">
        <v>6.09</v>
      </c>
      <c r="AI42" s="522">
        <v>67.22</v>
      </c>
      <c r="AJ42" s="522">
        <v>486.94</v>
      </c>
      <c r="AK42" s="522">
        <v>156.52000000000001</v>
      </c>
      <c r="AL42" s="522">
        <v>180.19</v>
      </c>
      <c r="AM42" s="522">
        <v>298.93</v>
      </c>
      <c r="AN42" s="522">
        <v>261.08</v>
      </c>
      <c r="AO42" s="522">
        <v>12.43</v>
      </c>
    </row>
    <row r="43" spans="1:41">
      <c r="A43" s="147">
        <v>41</v>
      </c>
      <c r="B43" s="521">
        <v>44867</v>
      </c>
      <c r="C43" s="522">
        <v>135.27000000000001</v>
      </c>
      <c r="D43" s="522">
        <v>98.04</v>
      </c>
      <c r="E43" s="522">
        <v>141.24</v>
      </c>
      <c r="F43" s="522">
        <v>131.02000000000001</v>
      </c>
      <c r="G43" s="522">
        <v>53.7</v>
      </c>
      <c r="H43" s="522">
        <v>245.17</v>
      </c>
      <c r="I43" s="522">
        <v>66.44</v>
      </c>
      <c r="J43" s="522">
        <v>77.45</v>
      </c>
      <c r="K43" s="522">
        <v>137.72999999999999</v>
      </c>
      <c r="L43" s="522">
        <v>303.02999999999997</v>
      </c>
      <c r="M43" s="522">
        <v>487.81</v>
      </c>
      <c r="N43" s="522">
        <v>126.12</v>
      </c>
      <c r="O43" s="522">
        <v>140.47999999999999</v>
      </c>
      <c r="P43" s="522">
        <v>94.71</v>
      </c>
      <c r="Q43" s="522">
        <v>87.68</v>
      </c>
      <c r="R43" s="522">
        <v>145.13</v>
      </c>
      <c r="S43" s="522">
        <v>190.64</v>
      </c>
      <c r="T43" s="522">
        <v>77.23</v>
      </c>
      <c r="U43" s="522">
        <v>99.4</v>
      </c>
      <c r="V43" s="522">
        <v>453.74</v>
      </c>
      <c r="W43" s="522">
        <v>239.9</v>
      </c>
      <c r="X43" s="522">
        <v>293.08999999999997</v>
      </c>
      <c r="Y43" s="522">
        <v>530.29999999999995</v>
      </c>
      <c r="Z43" s="522">
        <v>260.39</v>
      </c>
      <c r="AA43" s="522">
        <v>75.12</v>
      </c>
      <c r="AB43" s="522">
        <v>127.73</v>
      </c>
      <c r="AC43" s="522">
        <v>89.05</v>
      </c>
      <c r="AD43" s="522">
        <v>127.93</v>
      </c>
      <c r="AE43" s="522">
        <v>41.87</v>
      </c>
      <c r="AF43" s="522">
        <v>215.73</v>
      </c>
      <c r="AG43" s="522">
        <v>95.32</v>
      </c>
      <c r="AH43" s="522">
        <v>6.07</v>
      </c>
      <c r="AI43" s="522">
        <v>67.400000000000006</v>
      </c>
      <c r="AJ43" s="522">
        <v>490.98</v>
      </c>
      <c r="AK43" s="522">
        <v>158.49</v>
      </c>
      <c r="AL43" s="522">
        <v>186.61</v>
      </c>
      <c r="AM43" s="522">
        <v>295.74</v>
      </c>
      <c r="AN43" s="522">
        <v>266.87</v>
      </c>
      <c r="AO43" s="522">
        <v>13.04</v>
      </c>
    </row>
    <row r="44" spans="1:41">
      <c r="A44" s="147">
        <v>42</v>
      </c>
      <c r="B44" s="521">
        <v>44866</v>
      </c>
      <c r="C44" s="522">
        <v>140.88999999999999</v>
      </c>
      <c r="D44" s="522">
        <v>99.31</v>
      </c>
      <c r="E44" s="522">
        <v>144.69999999999999</v>
      </c>
      <c r="F44" s="522">
        <v>134.69999999999999</v>
      </c>
      <c r="G44" s="522">
        <v>54.6</v>
      </c>
      <c r="H44" s="522">
        <v>252.12</v>
      </c>
      <c r="I44" s="522">
        <v>67.44</v>
      </c>
      <c r="J44" s="522">
        <v>77.7</v>
      </c>
      <c r="K44" s="522">
        <v>149.6</v>
      </c>
      <c r="L44" s="522">
        <v>302.93</v>
      </c>
      <c r="M44" s="522">
        <v>476.93</v>
      </c>
      <c r="N44" s="522">
        <v>128.4</v>
      </c>
      <c r="O44" s="522">
        <v>142.78</v>
      </c>
      <c r="P44" s="522">
        <v>97.29</v>
      </c>
      <c r="Q44" s="522">
        <v>88.72</v>
      </c>
      <c r="R44" s="522">
        <v>146.44999999999999</v>
      </c>
      <c r="S44" s="522">
        <v>201.24</v>
      </c>
      <c r="T44" s="522">
        <v>78.59</v>
      </c>
      <c r="U44" s="522">
        <v>99.76</v>
      </c>
      <c r="V44" s="522">
        <v>470.08</v>
      </c>
      <c r="W44" s="522">
        <v>242.89</v>
      </c>
      <c r="X44" s="522">
        <v>300.27</v>
      </c>
      <c r="Y44" s="522">
        <v>535.88</v>
      </c>
      <c r="Z44" s="522">
        <v>272.87</v>
      </c>
      <c r="AA44" s="522">
        <v>77.11</v>
      </c>
      <c r="AB44" s="522">
        <v>129.02000000000001</v>
      </c>
      <c r="AC44" s="522">
        <v>91.26</v>
      </c>
      <c r="AD44" s="522">
        <v>132.97999999999999</v>
      </c>
      <c r="AE44" s="522">
        <v>42.2</v>
      </c>
      <c r="AF44" s="522">
        <v>224.78</v>
      </c>
      <c r="AG44" s="522">
        <v>95.52</v>
      </c>
      <c r="AH44" s="522">
        <v>6.06</v>
      </c>
      <c r="AI44" s="522">
        <v>70.430000000000007</v>
      </c>
      <c r="AJ44" s="522">
        <v>517.69000000000005</v>
      </c>
      <c r="AK44" s="522">
        <v>162.9</v>
      </c>
      <c r="AL44" s="522">
        <v>196.97</v>
      </c>
      <c r="AM44" s="522">
        <v>307.44</v>
      </c>
      <c r="AN44" s="522">
        <v>272.60000000000002</v>
      </c>
      <c r="AO44" s="522">
        <v>13.63</v>
      </c>
    </row>
    <row r="45" spans="1:41">
      <c r="A45" s="147">
        <v>43</v>
      </c>
      <c r="B45" s="521">
        <v>44865</v>
      </c>
      <c r="C45" s="522">
        <v>138.35</v>
      </c>
      <c r="D45" s="522">
        <v>98.94</v>
      </c>
      <c r="E45" s="522">
        <v>142.62</v>
      </c>
      <c r="F45" s="522">
        <v>135.86000000000001</v>
      </c>
      <c r="G45" s="522">
        <v>54.78</v>
      </c>
      <c r="H45" s="522">
        <v>250.4</v>
      </c>
      <c r="I45" s="522">
        <v>68</v>
      </c>
      <c r="J45" s="522">
        <v>77.47</v>
      </c>
      <c r="K45" s="522">
        <v>150.06</v>
      </c>
      <c r="L45" s="522">
        <v>304.02999999999997</v>
      </c>
      <c r="M45" s="522">
        <v>466.87</v>
      </c>
      <c r="N45" s="522">
        <v>128.91999999999999</v>
      </c>
      <c r="O45" s="522">
        <v>143.65</v>
      </c>
      <c r="P45" s="522">
        <v>95.26</v>
      </c>
      <c r="Q45" s="522">
        <v>89.12</v>
      </c>
      <c r="R45" s="522">
        <v>147.61000000000001</v>
      </c>
      <c r="S45" s="522">
        <v>199.06</v>
      </c>
      <c r="T45" s="522">
        <v>78.64</v>
      </c>
      <c r="U45" s="522">
        <v>101.2</v>
      </c>
      <c r="V45" s="522">
        <v>468.86</v>
      </c>
      <c r="W45" s="522">
        <v>249.71</v>
      </c>
      <c r="X45" s="522">
        <v>304.33999999999997</v>
      </c>
      <c r="Y45" s="522">
        <v>549.01</v>
      </c>
      <c r="Z45" s="522">
        <v>274.60000000000002</v>
      </c>
      <c r="AA45" s="522">
        <v>78.069999999999993</v>
      </c>
      <c r="AB45" s="522">
        <v>128.4</v>
      </c>
      <c r="AC45" s="522">
        <v>90.42</v>
      </c>
      <c r="AD45" s="522">
        <v>130.07</v>
      </c>
      <c r="AE45" s="522">
        <v>42.08</v>
      </c>
      <c r="AF45" s="522">
        <v>225.03</v>
      </c>
      <c r="AG45" s="522">
        <v>98.08</v>
      </c>
      <c r="AH45" s="522">
        <v>6.04</v>
      </c>
      <c r="AI45" s="522">
        <v>71.459999999999994</v>
      </c>
      <c r="AJ45" s="522">
        <v>513.97</v>
      </c>
      <c r="AK45" s="522">
        <v>160.63</v>
      </c>
      <c r="AL45" s="522">
        <v>200.46</v>
      </c>
      <c r="AM45" s="522">
        <v>299.17</v>
      </c>
      <c r="AN45" s="522">
        <v>270.95999999999998</v>
      </c>
      <c r="AO45" s="522">
        <v>13.51</v>
      </c>
    </row>
    <row r="46" spans="1:41">
      <c r="A46" s="147">
        <v>44</v>
      </c>
      <c r="B46" s="521">
        <v>44862</v>
      </c>
      <c r="C46" s="522">
        <v>138.77000000000001</v>
      </c>
      <c r="D46" s="522">
        <v>99.49</v>
      </c>
      <c r="E46" s="522">
        <v>144.88</v>
      </c>
      <c r="F46" s="522">
        <v>134.69</v>
      </c>
      <c r="G46" s="522">
        <v>54.38</v>
      </c>
      <c r="H46" s="522">
        <v>254.44</v>
      </c>
      <c r="I46" s="522">
        <v>68.17</v>
      </c>
      <c r="J46" s="522">
        <v>76.83</v>
      </c>
      <c r="K46" s="522">
        <v>148.9</v>
      </c>
      <c r="L46" s="522">
        <v>303.12</v>
      </c>
      <c r="M46" s="522">
        <v>461.93</v>
      </c>
      <c r="N46" s="522">
        <v>130.02000000000001</v>
      </c>
      <c r="O46" s="522">
        <v>144.59</v>
      </c>
      <c r="P46" s="522">
        <v>94.09</v>
      </c>
      <c r="Q46" s="522">
        <v>88.74</v>
      </c>
      <c r="R46" s="522">
        <v>149.58000000000001</v>
      </c>
      <c r="S46" s="522">
        <v>201.73</v>
      </c>
      <c r="T46" s="522">
        <v>79.2</v>
      </c>
      <c r="U46" s="522">
        <v>100.77</v>
      </c>
      <c r="V46" s="522">
        <v>474.27</v>
      </c>
      <c r="W46" s="522">
        <v>250.12</v>
      </c>
      <c r="X46" s="522">
        <v>303.27999999999997</v>
      </c>
      <c r="Y46" s="522">
        <v>548.11</v>
      </c>
      <c r="Z46" s="522">
        <v>270.60000000000002</v>
      </c>
      <c r="AA46" s="522">
        <v>77.36</v>
      </c>
      <c r="AB46" s="522">
        <v>129.69999999999999</v>
      </c>
      <c r="AC46" s="522">
        <v>90.7</v>
      </c>
      <c r="AD46" s="522">
        <v>128.88999999999999</v>
      </c>
      <c r="AE46" s="522">
        <v>41.87</v>
      </c>
      <c r="AF46" s="522">
        <v>226.23</v>
      </c>
      <c r="AG46" s="522">
        <v>97.06</v>
      </c>
      <c r="AH46" s="522">
        <v>6.17</v>
      </c>
      <c r="AI46" s="522">
        <v>70.77</v>
      </c>
      <c r="AJ46" s="522">
        <v>503.84</v>
      </c>
      <c r="AK46" s="522">
        <v>161.36000000000001</v>
      </c>
      <c r="AL46" s="522">
        <v>203.37</v>
      </c>
      <c r="AM46" s="522">
        <v>302.68</v>
      </c>
      <c r="AN46" s="522">
        <v>271.62</v>
      </c>
      <c r="AO46" s="522">
        <v>13.91</v>
      </c>
    </row>
    <row r="47" spans="1:41">
      <c r="A47" s="147">
        <v>45</v>
      </c>
      <c r="B47" s="521">
        <v>44861</v>
      </c>
      <c r="C47" s="522">
        <v>136.49</v>
      </c>
      <c r="D47" s="522">
        <v>96.93</v>
      </c>
      <c r="E47" s="522">
        <v>140.68</v>
      </c>
      <c r="F47" s="522">
        <v>132.19</v>
      </c>
      <c r="G47" s="522">
        <v>51.9</v>
      </c>
      <c r="H47" s="522">
        <v>249.06</v>
      </c>
      <c r="I47" s="522">
        <v>66.59</v>
      </c>
      <c r="J47" s="522">
        <v>74.599999999999994</v>
      </c>
      <c r="K47" s="522">
        <v>145</v>
      </c>
      <c r="L47" s="522">
        <v>294.89999999999998</v>
      </c>
      <c r="M47" s="522">
        <v>460.51</v>
      </c>
      <c r="N47" s="522">
        <v>127.58</v>
      </c>
      <c r="O47" s="522">
        <v>142.65</v>
      </c>
      <c r="P47" s="522">
        <v>90.8</v>
      </c>
      <c r="Q47" s="522">
        <v>87.44</v>
      </c>
      <c r="R47" s="522">
        <v>145.66</v>
      </c>
      <c r="S47" s="522">
        <v>196.34</v>
      </c>
      <c r="T47" s="522">
        <v>77.62</v>
      </c>
      <c r="U47" s="522">
        <v>99.74</v>
      </c>
      <c r="V47" s="522">
        <v>455.22</v>
      </c>
      <c r="W47" s="522">
        <v>242.18</v>
      </c>
      <c r="X47" s="522">
        <v>296.44</v>
      </c>
      <c r="Y47" s="522">
        <v>535.51</v>
      </c>
      <c r="Z47" s="522">
        <v>264.41000000000003</v>
      </c>
      <c r="AA47" s="522">
        <v>75.150000000000006</v>
      </c>
      <c r="AB47" s="522">
        <v>124.38</v>
      </c>
      <c r="AC47" s="522">
        <v>89.48</v>
      </c>
      <c r="AD47" s="522">
        <v>126.36</v>
      </c>
      <c r="AE47" s="522">
        <v>41.02</v>
      </c>
      <c r="AF47" s="522">
        <v>221.85</v>
      </c>
      <c r="AG47" s="522">
        <v>94.5</v>
      </c>
      <c r="AH47" s="522">
        <v>6.11</v>
      </c>
      <c r="AI47" s="522">
        <v>69.31</v>
      </c>
      <c r="AJ47" s="522">
        <v>498.32</v>
      </c>
      <c r="AK47" s="522">
        <v>156.76</v>
      </c>
      <c r="AL47" s="522">
        <v>185.79</v>
      </c>
      <c r="AM47" s="522">
        <v>300.95999999999998</v>
      </c>
      <c r="AN47" s="522">
        <v>262.67</v>
      </c>
      <c r="AO47" s="522">
        <v>13.86</v>
      </c>
    </row>
    <row r="48" spans="1:41">
      <c r="A48" s="147">
        <v>46</v>
      </c>
      <c r="B48" s="521">
        <v>44860</v>
      </c>
      <c r="C48" s="522">
        <v>137.69</v>
      </c>
      <c r="D48" s="522">
        <v>98.42</v>
      </c>
      <c r="E48" s="522">
        <v>141.38</v>
      </c>
      <c r="F48" s="522">
        <v>136.75</v>
      </c>
      <c r="G48" s="522">
        <v>51.95</v>
      </c>
      <c r="H48" s="522">
        <v>252.02</v>
      </c>
      <c r="I48" s="522">
        <v>66.63</v>
      </c>
      <c r="J48" s="522">
        <v>74.45</v>
      </c>
      <c r="K48" s="522">
        <v>144.33000000000001</v>
      </c>
      <c r="L48" s="522">
        <v>279.62</v>
      </c>
      <c r="M48" s="522">
        <v>467.96</v>
      </c>
      <c r="N48" s="522">
        <v>125.62</v>
      </c>
      <c r="O48" s="522">
        <v>143.51</v>
      </c>
      <c r="P48" s="522">
        <v>90.8</v>
      </c>
      <c r="Q48" s="522">
        <v>86.28</v>
      </c>
      <c r="R48" s="522">
        <v>143.63999999999999</v>
      </c>
      <c r="S48" s="522">
        <v>193.25</v>
      </c>
      <c r="T48" s="522">
        <v>76.400000000000006</v>
      </c>
      <c r="U48" s="522">
        <v>98.41</v>
      </c>
      <c r="V48" s="522">
        <v>451.6</v>
      </c>
      <c r="W48" s="522">
        <v>240.3</v>
      </c>
      <c r="X48" s="522">
        <v>295.10000000000002</v>
      </c>
      <c r="Y48" s="522">
        <v>530.99</v>
      </c>
      <c r="Z48" s="522">
        <v>274.5</v>
      </c>
      <c r="AA48" s="522">
        <v>74.819999999999993</v>
      </c>
      <c r="AB48" s="522">
        <v>122.93</v>
      </c>
      <c r="AC48" s="522">
        <v>88.16</v>
      </c>
      <c r="AD48" s="522">
        <v>123.84</v>
      </c>
      <c r="AE48" s="522">
        <v>39.549999999999997</v>
      </c>
      <c r="AF48" s="522">
        <v>220.88</v>
      </c>
      <c r="AG48" s="522">
        <v>93.26</v>
      </c>
      <c r="AH48" s="522">
        <v>6.23</v>
      </c>
      <c r="AI48" s="522">
        <v>68.58</v>
      </c>
      <c r="AJ48" s="522">
        <v>503</v>
      </c>
      <c r="AK48" s="522">
        <v>157.87</v>
      </c>
      <c r="AL48" s="522">
        <v>184.99</v>
      </c>
      <c r="AM48" s="522">
        <v>301.73</v>
      </c>
      <c r="AN48" s="522">
        <v>261.06</v>
      </c>
      <c r="AO48" s="522">
        <v>13.96</v>
      </c>
    </row>
    <row r="49" spans="1:41">
      <c r="A49" s="147">
        <v>47</v>
      </c>
      <c r="B49" s="521">
        <v>44859</v>
      </c>
      <c r="C49" s="522">
        <v>134.5</v>
      </c>
      <c r="D49" s="522">
        <v>97.95</v>
      </c>
      <c r="E49" s="522">
        <v>146.37</v>
      </c>
      <c r="F49" s="522">
        <v>152.74</v>
      </c>
      <c r="G49" s="522">
        <v>52.1</v>
      </c>
      <c r="H49" s="522">
        <v>251.56</v>
      </c>
      <c r="I49" s="522">
        <v>66.819999999999993</v>
      </c>
      <c r="J49" s="522">
        <v>72.77</v>
      </c>
      <c r="K49" s="522">
        <v>144.38999999999999</v>
      </c>
      <c r="L49" s="522">
        <v>278.37</v>
      </c>
      <c r="M49" s="522">
        <v>457.9</v>
      </c>
      <c r="N49" s="522">
        <v>124.82</v>
      </c>
      <c r="O49" s="522">
        <v>144.05000000000001</v>
      </c>
      <c r="P49" s="522">
        <v>91.74</v>
      </c>
      <c r="Q49" s="522">
        <v>85.89</v>
      </c>
      <c r="R49" s="522">
        <v>142.21</v>
      </c>
      <c r="S49" s="522">
        <v>192.67</v>
      </c>
      <c r="T49" s="522">
        <v>76.13</v>
      </c>
      <c r="U49" s="522">
        <v>97.71</v>
      </c>
      <c r="V49" s="522">
        <v>448.42</v>
      </c>
      <c r="W49" s="522">
        <v>239.68</v>
      </c>
      <c r="X49" s="522">
        <v>294.97000000000003</v>
      </c>
      <c r="Y49" s="522">
        <v>526.75</v>
      </c>
      <c r="Z49" s="522">
        <v>274.02999999999997</v>
      </c>
      <c r="AA49" s="522">
        <v>73.14</v>
      </c>
      <c r="AB49" s="522">
        <v>122.11</v>
      </c>
      <c r="AC49" s="522">
        <v>88.56</v>
      </c>
      <c r="AD49" s="522">
        <v>123.05</v>
      </c>
      <c r="AE49" s="522">
        <v>35.94</v>
      </c>
      <c r="AF49" s="522">
        <v>220.2</v>
      </c>
      <c r="AG49" s="522">
        <v>93.13</v>
      </c>
      <c r="AH49" s="522">
        <v>6.28</v>
      </c>
      <c r="AI49" s="522">
        <v>68.06</v>
      </c>
      <c r="AJ49" s="522">
        <v>514.62</v>
      </c>
      <c r="AK49" s="522">
        <v>162.16</v>
      </c>
      <c r="AL49" s="522">
        <v>187.82</v>
      </c>
      <c r="AM49" s="522">
        <v>296.81</v>
      </c>
      <c r="AN49" s="522">
        <v>260.19</v>
      </c>
      <c r="AO49" s="522">
        <v>13.92</v>
      </c>
    </row>
    <row r="50" spans="1:41">
      <c r="A50" s="147">
        <v>48</v>
      </c>
      <c r="B50" s="521">
        <v>44858</v>
      </c>
      <c r="C50" s="522">
        <v>132.30000000000001</v>
      </c>
      <c r="D50" s="522">
        <v>98.29</v>
      </c>
      <c r="E50" s="522">
        <v>144.53</v>
      </c>
      <c r="F50" s="522">
        <v>150.61000000000001</v>
      </c>
      <c r="G50" s="522">
        <v>50.8</v>
      </c>
      <c r="H50" s="522">
        <v>243.92</v>
      </c>
      <c r="I50" s="522">
        <v>64.47</v>
      </c>
      <c r="J50" s="522">
        <v>72.989999999999995</v>
      </c>
      <c r="K50" s="522">
        <v>142.4</v>
      </c>
      <c r="L50" s="522">
        <v>271.18</v>
      </c>
      <c r="M50" s="522">
        <v>450.71</v>
      </c>
      <c r="N50" s="522">
        <v>120.57</v>
      </c>
      <c r="O50" s="522">
        <v>138.96</v>
      </c>
      <c r="P50" s="522">
        <v>90.67</v>
      </c>
      <c r="Q50" s="522">
        <v>84.25</v>
      </c>
      <c r="R50" s="522">
        <v>142.69</v>
      </c>
      <c r="S50" s="522">
        <v>189.14</v>
      </c>
      <c r="T50" s="522">
        <v>74.5</v>
      </c>
      <c r="U50" s="522">
        <v>97.37</v>
      </c>
      <c r="V50" s="522">
        <v>412.15</v>
      </c>
      <c r="W50" s="522">
        <v>235.05</v>
      </c>
      <c r="X50" s="522">
        <v>311.22000000000003</v>
      </c>
      <c r="Y50" s="522">
        <v>525.96</v>
      </c>
      <c r="Z50" s="522">
        <v>269.22000000000003</v>
      </c>
      <c r="AA50" s="522">
        <v>72.92</v>
      </c>
      <c r="AB50" s="522">
        <v>123.26</v>
      </c>
      <c r="AC50" s="522">
        <v>87.02</v>
      </c>
      <c r="AD50" s="522">
        <v>121.92</v>
      </c>
      <c r="AE50" s="522">
        <v>36.28</v>
      </c>
      <c r="AF50" s="522">
        <v>212.53</v>
      </c>
      <c r="AG50" s="522">
        <v>93.45</v>
      </c>
      <c r="AH50" s="522">
        <v>6.23</v>
      </c>
      <c r="AI50" s="522">
        <v>65.19</v>
      </c>
      <c r="AJ50" s="522">
        <v>505.01</v>
      </c>
      <c r="AK50" s="522">
        <v>161.65</v>
      </c>
      <c r="AL50" s="522">
        <v>182.2</v>
      </c>
      <c r="AM50" s="522">
        <v>287.41000000000003</v>
      </c>
      <c r="AN50" s="522">
        <v>252.38</v>
      </c>
      <c r="AO50" s="522">
        <v>13.91</v>
      </c>
    </row>
    <row r="51" spans="1:41">
      <c r="A51" s="147">
        <v>49</v>
      </c>
      <c r="B51" s="521">
        <v>44855</v>
      </c>
      <c r="C51" s="522">
        <v>129.88</v>
      </c>
      <c r="D51" s="522">
        <v>95.06</v>
      </c>
      <c r="E51" s="522">
        <v>146.59</v>
      </c>
      <c r="F51" s="522">
        <v>146.91</v>
      </c>
      <c r="G51" s="522">
        <v>50.13</v>
      </c>
      <c r="H51" s="522">
        <v>241.29</v>
      </c>
      <c r="I51" s="522">
        <v>63.9</v>
      </c>
      <c r="J51" s="522">
        <v>72.209999999999994</v>
      </c>
      <c r="K51" s="522">
        <v>140.99</v>
      </c>
      <c r="L51" s="522">
        <v>273.08999999999997</v>
      </c>
      <c r="M51" s="522">
        <v>442.91</v>
      </c>
      <c r="N51" s="522">
        <v>118.46</v>
      </c>
      <c r="O51" s="522">
        <v>136.75</v>
      </c>
      <c r="P51" s="522">
        <v>89.93</v>
      </c>
      <c r="Q51" s="522">
        <v>83.96</v>
      </c>
      <c r="R51" s="522">
        <v>138.61000000000001</v>
      </c>
      <c r="S51" s="522">
        <v>187.32</v>
      </c>
      <c r="T51" s="522">
        <v>73.84</v>
      </c>
      <c r="U51" s="522">
        <v>95.67</v>
      </c>
      <c r="V51" s="522">
        <v>401.48</v>
      </c>
      <c r="W51" s="522">
        <v>226.38</v>
      </c>
      <c r="X51" s="522">
        <v>309.68</v>
      </c>
      <c r="Y51" s="522">
        <v>522.66</v>
      </c>
      <c r="Z51" s="522">
        <v>260.43</v>
      </c>
      <c r="AA51" s="522">
        <v>72.7</v>
      </c>
      <c r="AB51" s="522">
        <v>122.45</v>
      </c>
      <c r="AC51" s="522">
        <v>85.19</v>
      </c>
      <c r="AD51" s="522">
        <v>121.26</v>
      </c>
      <c r="AE51" s="522">
        <v>36.43</v>
      </c>
      <c r="AF51" s="522">
        <v>207.82</v>
      </c>
      <c r="AG51" s="522">
        <v>92</v>
      </c>
      <c r="AH51" s="522">
        <v>6.19</v>
      </c>
      <c r="AI51" s="522">
        <v>68.94</v>
      </c>
      <c r="AJ51" s="522">
        <v>496.74</v>
      </c>
      <c r="AK51" s="522">
        <v>159.72</v>
      </c>
      <c r="AL51" s="522">
        <v>179.15</v>
      </c>
      <c r="AM51" s="522">
        <v>282.12</v>
      </c>
      <c r="AN51" s="522">
        <v>248.33</v>
      </c>
      <c r="AO51" s="522">
        <v>13.63</v>
      </c>
    </row>
    <row r="52" spans="1:41">
      <c r="A52" s="147">
        <v>50</v>
      </c>
      <c r="B52" s="521">
        <v>44854</v>
      </c>
      <c r="C52" s="522">
        <v>125.94</v>
      </c>
      <c r="D52" s="522">
        <v>95.21</v>
      </c>
      <c r="E52" s="522">
        <v>142.08000000000001</v>
      </c>
      <c r="F52" s="522">
        <v>145.30000000000001</v>
      </c>
      <c r="G52" s="522">
        <v>48.76</v>
      </c>
      <c r="H52" s="522">
        <v>238.32</v>
      </c>
      <c r="I52" s="522">
        <v>63.37</v>
      </c>
      <c r="J52" s="522">
        <v>70.349999999999994</v>
      </c>
      <c r="K52" s="522">
        <v>140.4</v>
      </c>
      <c r="L52" s="522">
        <v>264.76</v>
      </c>
      <c r="M52" s="522">
        <v>450.4</v>
      </c>
      <c r="N52" s="522">
        <v>115.13</v>
      </c>
      <c r="O52" s="522">
        <v>134.66</v>
      </c>
      <c r="P52" s="522">
        <v>88.08</v>
      </c>
      <c r="Q52" s="522">
        <v>82.51</v>
      </c>
      <c r="R52" s="522">
        <v>135.97999999999999</v>
      </c>
      <c r="S52" s="522">
        <v>185.46</v>
      </c>
      <c r="T52" s="522">
        <v>72.790000000000006</v>
      </c>
      <c r="U52" s="522">
        <v>92.94</v>
      </c>
      <c r="V52" s="522">
        <v>393.66</v>
      </c>
      <c r="W52" s="522">
        <v>221.17</v>
      </c>
      <c r="X52" s="522">
        <v>304.89</v>
      </c>
      <c r="Y52" s="522">
        <v>512.44000000000005</v>
      </c>
      <c r="Z52" s="522">
        <v>257.64999999999998</v>
      </c>
      <c r="AA52" s="522">
        <v>69.25</v>
      </c>
      <c r="AB52" s="522">
        <v>118.86</v>
      </c>
      <c r="AC52" s="522">
        <v>83.78</v>
      </c>
      <c r="AD52" s="522">
        <v>112.23</v>
      </c>
      <c r="AE52" s="522">
        <v>35.99</v>
      </c>
      <c r="AF52" s="522">
        <v>201.22</v>
      </c>
      <c r="AG52" s="522">
        <v>89.24</v>
      </c>
      <c r="AH52" s="522">
        <v>6.1</v>
      </c>
      <c r="AI52" s="522">
        <v>69.819999999999993</v>
      </c>
      <c r="AJ52" s="522">
        <v>486.86</v>
      </c>
      <c r="AK52" s="522">
        <v>153.72</v>
      </c>
      <c r="AL52" s="522">
        <v>178.67</v>
      </c>
      <c r="AM52" s="522">
        <v>275.01</v>
      </c>
      <c r="AN52" s="522">
        <v>238.59</v>
      </c>
      <c r="AO52" s="522">
        <v>13.44</v>
      </c>
    </row>
    <row r="53" spans="1:41">
      <c r="A53" s="147">
        <v>51</v>
      </c>
      <c r="B53" s="521">
        <v>44853</v>
      </c>
      <c r="C53" s="522">
        <v>128.96</v>
      </c>
      <c r="D53" s="522">
        <v>98.11</v>
      </c>
      <c r="E53" s="522">
        <v>141.33000000000001</v>
      </c>
      <c r="F53" s="522">
        <v>151.99</v>
      </c>
      <c r="G53" s="522">
        <v>50.77</v>
      </c>
      <c r="H53" s="522">
        <v>241.45</v>
      </c>
      <c r="I53" s="522">
        <v>64.260000000000005</v>
      </c>
      <c r="J53" s="522">
        <v>71.14</v>
      </c>
      <c r="K53" s="522">
        <v>143.5</v>
      </c>
      <c r="L53" s="522">
        <v>261.93</v>
      </c>
      <c r="M53" s="522">
        <v>451.65</v>
      </c>
      <c r="N53" s="522">
        <v>121.21</v>
      </c>
      <c r="O53" s="522">
        <v>126.66</v>
      </c>
      <c r="P53" s="522">
        <v>89.89</v>
      </c>
      <c r="Q53" s="522">
        <v>83.92</v>
      </c>
      <c r="R53" s="522">
        <v>137.76</v>
      </c>
      <c r="S53" s="522">
        <v>187.11</v>
      </c>
      <c r="T53" s="522">
        <v>74.69</v>
      </c>
      <c r="U53" s="522">
        <v>93.26</v>
      </c>
      <c r="V53" s="522">
        <v>398.79</v>
      </c>
      <c r="W53" s="522">
        <v>223.85</v>
      </c>
      <c r="X53" s="522">
        <v>312.49</v>
      </c>
      <c r="Y53" s="522">
        <v>510.91</v>
      </c>
      <c r="Z53" s="522">
        <v>260.76</v>
      </c>
      <c r="AA53" s="522">
        <v>66.3</v>
      </c>
      <c r="AB53" s="522">
        <v>121.2</v>
      </c>
      <c r="AC53" s="522">
        <v>86.25</v>
      </c>
      <c r="AD53" s="522">
        <v>112.53</v>
      </c>
      <c r="AE53" s="522">
        <v>36.880000000000003</v>
      </c>
      <c r="AF53" s="522">
        <v>207.24</v>
      </c>
      <c r="AG53" s="522">
        <v>91.95</v>
      </c>
      <c r="AH53" s="522">
        <v>6.14</v>
      </c>
      <c r="AI53" s="522">
        <v>71.14</v>
      </c>
      <c r="AJ53" s="522">
        <v>505.61</v>
      </c>
      <c r="AK53" s="522">
        <v>152.65</v>
      </c>
      <c r="AL53" s="522">
        <v>182.1</v>
      </c>
      <c r="AM53" s="522">
        <v>277.36</v>
      </c>
      <c r="AN53" s="522">
        <v>246.38</v>
      </c>
      <c r="AO53" s="522">
        <v>14.25</v>
      </c>
    </row>
    <row r="54" spans="1:41">
      <c r="A54" s="147">
        <v>52</v>
      </c>
      <c r="B54" s="521">
        <v>44852</v>
      </c>
      <c r="C54" s="522">
        <v>132.30000000000001</v>
      </c>
      <c r="D54" s="522">
        <v>104.98</v>
      </c>
      <c r="E54" s="522">
        <v>141.1</v>
      </c>
      <c r="F54" s="522">
        <v>154.43</v>
      </c>
      <c r="G54" s="522">
        <v>51.76</v>
      </c>
      <c r="H54" s="522">
        <v>242.37</v>
      </c>
      <c r="I54" s="522">
        <v>65.739999999999995</v>
      </c>
      <c r="J54" s="522">
        <v>71.739999999999995</v>
      </c>
      <c r="K54" s="522">
        <v>145.56</v>
      </c>
      <c r="L54" s="522">
        <v>264.27999999999997</v>
      </c>
      <c r="M54" s="522">
        <v>454.95</v>
      </c>
      <c r="N54" s="522">
        <v>122.02</v>
      </c>
      <c r="O54" s="522">
        <v>129.58000000000001</v>
      </c>
      <c r="P54" s="522">
        <v>90.4</v>
      </c>
      <c r="Q54" s="522">
        <v>83.97</v>
      </c>
      <c r="R54" s="522">
        <v>139.26</v>
      </c>
      <c r="S54" s="522">
        <v>188.95</v>
      </c>
      <c r="T54" s="522">
        <v>74.61</v>
      </c>
      <c r="U54" s="522">
        <v>94.61</v>
      </c>
      <c r="V54" s="522">
        <v>408.56</v>
      </c>
      <c r="W54" s="522">
        <v>225.3</v>
      </c>
      <c r="X54" s="522">
        <v>312.72000000000003</v>
      </c>
      <c r="Y54" s="522">
        <v>506.8</v>
      </c>
      <c r="Z54" s="522">
        <v>268.63</v>
      </c>
      <c r="AA54" s="522">
        <v>67.03</v>
      </c>
      <c r="AB54" s="522">
        <v>120.26</v>
      </c>
      <c r="AC54" s="522">
        <v>87.38</v>
      </c>
      <c r="AD54" s="522">
        <v>112.79</v>
      </c>
      <c r="AE54" s="522">
        <v>36.67</v>
      </c>
      <c r="AF54" s="522">
        <v>212.63</v>
      </c>
      <c r="AG54" s="522">
        <v>90.35</v>
      </c>
      <c r="AH54" s="522">
        <v>6.23</v>
      </c>
      <c r="AI54" s="522">
        <v>72.16</v>
      </c>
      <c r="AJ54" s="522">
        <v>524.4</v>
      </c>
      <c r="AK54" s="522">
        <v>151.51</v>
      </c>
      <c r="AL54" s="522">
        <v>182.89</v>
      </c>
      <c r="AM54" s="522">
        <v>283.94</v>
      </c>
      <c r="AN54" s="522">
        <v>257.27999999999997</v>
      </c>
      <c r="AO54" s="522">
        <v>14.31</v>
      </c>
    </row>
    <row r="55" spans="1:41">
      <c r="A55" s="147">
        <v>53</v>
      </c>
      <c r="B55" s="521">
        <v>44851</v>
      </c>
      <c r="C55" s="522">
        <v>130.56</v>
      </c>
      <c r="D55" s="522">
        <v>103.52</v>
      </c>
      <c r="E55" s="522">
        <v>139.12</v>
      </c>
      <c r="F55" s="522">
        <v>151.52000000000001</v>
      </c>
      <c r="G55" s="522">
        <v>51.61</v>
      </c>
      <c r="H55" s="522">
        <v>237.36</v>
      </c>
      <c r="I55" s="522">
        <v>65.41</v>
      </c>
      <c r="J55" s="522">
        <v>71.38</v>
      </c>
      <c r="K55" s="522">
        <v>142.79</v>
      </c>
      <c r="L55" s="522">
        <v>257.06</v>
      </c>
      <c r="M55" s="522">
        <v>445.79</v>
      </c>
      <c r="N55" s="522">
        <v>121.1</v>
      </c>
      <c r="O55" s="522">
        <v>127.93</v>
      </c>
      <c r="P55" s="522">
        <v>90.38</v>
      </c>
      <c r="Q55" s="522">
        <v>83.37</v>
      </c>
      <c r="R55" s="522">
        <v>139.16</v>
      </c>
      <c r="S55" s="522">
        <v>186.8</v>
      </c>
      <c r="T55" s="522">
        <v>73.63</v>
      </c>
      <c r="U55" s="522">
        <v>94.12</v>
      </c>
      <c r="V55" s="522">
        <v>402.96</v>
      </c>
      <c r="W55" s="522">
        <v>220.74</v>
      </c>
      <c r="X55" s="522">
        <v>309.45</v>
      </c>
      <c r="Y55" s="522">
        <v>475.09</v>
      </c>
      <c r="Z55" s="522">
        <v>267.11</v>
      </c>
      <c r="AA55" s="522">
        <v>67.02</v>
      </c>
      <c r="AB55" s="522">
        <v>119.59</v>
      </c>
      <c r="AC55" s="522">
        <v>86.37</v>
      </c>
      <c r="AD55" s="522">
        <v>112.11</v>
      </c>
      <c r="AE55" s="522">
        <v>36.14</v>
      </c>
      <c r="AF55" s="522">
        <v>209.12</v>
      </c>
      <c r="AG55" s="522">
        <v>88.76</v>
      </c>
      <c r="AH55" s="522">
        <v>6.19</v>
      </c>
      <c r="AI55" s="522">
        <v>71.12</v>
      </c>
      <c r="AJ55" s="522">
        <v>517.23</v>
      </c>
      <c r="AK55" s="522">
        <v>150.99</v>
      </c>
      <c r="AL55" s="522">
        <v>179.55</v>
      </c>
      <c r="AM55" s="522">
        <v>279.60000000000002</v>
      </c>
      <c r="AN55" s="522">
        <v>250.72</v>
      </c>
      <c r="AO55" s="522">
        <v>14.1</v>
      </c>
    </row>
    <row r="56" spans="1:41">
      <c r="A56" s="147">
        <v>54</v>
      </c>
      <c r="B56" s="521">
        <v>44848</v>
      </c>
      <c r="C56" s="522">
        <v>125.7</v>
      </c>
      <c r="D56" s="522">
        <v>100.91</v>
      </c>
      <c r="E56" s="522">
        <v>136.72999999999999</v>
      </c>
      <c r="F56" s="522">
        <v>147.35</v>
      </c>
      <c r="G56" s="522">
        <v>49.04</v>
      </c>
      <c r="H56" s="522">
        <v>232.53</v>
      </c>
      <c r="I56" s="522">
        <v>63.89</v>
      </c>
      <c r="J56" s="522">
        <v>70.62</v>
      </c>
      <c r="K56" s="522">
        <v>139.1</v>
      </c>
      <c r="L56" s="522">
        <v>248.66</v>
      </c>
      <c r="M56" s="522">
        <v>432.5</v>
      </c>
      <c r="N56" s="522">
        <v>117.74</v>
      </c>
      <c r="O56" s="522">
        <v>126.11</v>
      </c>
      <c r="P56" s="522">
        <v>87.82</v>
      </c>
      <c r="Q56" s="522">
        <v>82.29</v>
      </c>
      <c r="R56" s="522">
        <v>136.04</v>
      </c>
      <c r="S56" s="522">
        <v>183.43</v>
      </c>
      <c r="T56" s="522">
        <v>73.540000000000006</v>
      </c>
      <c r="U56" s="522">
        <v>92.18</v>
      </c>
      <c r="V56" s="522">
        <v>388.72</v>
      </c>
      <c r="W56" s="522">
        <v>213.28</v>
      </c>
      <c r="X56" s="522">
        <v>307.23</v>
      </c>
      <c r="Y56" s="522">
        <v>464.19</v>
      </c>
      <c r="Z56" s="522">
        <v>259.54000000000002</v>
      </c>
      <c r="AA56" s="522">
        <v>64.31</v>
      </c>
      <c r="AB56" s="522">
        <v>115.89</v>
      </c>
      <c r="AC56" s="522">
        <v>86.25</v>
      </c>
      <c r="AD56" s="522">
        <v>109.67</v>
      </c>
      <c r="AE56" s="522">
        <v>35.020000000000003</v>
      </c>
      <c r="AF56" s="522">
        <v>201.7</v>
      </c>
      <c r="AG56" s="522">
        <v>89.46</v>
      </c>
      <c r="AH56" s="522">
        <v>6.05</v>
      </c>
      <c r="AI56" s="522">
        <v>69.02</v>
      </c>
      <c r="AJ56" s="522">
        <v>503.05</v>
      </c>
      <c r="AK56" s="522">
        <v>148.34</v>
      </c>
      <c r="AL56" s="522">
        <v>174.08</v>
      </c>
      <c r="AM56" s="522">
        <v>272.19</v>
      </c>
      <c r="AN56" s="522">
        <v>241.47</v>
      </c>
      <c r="AO56" s="522">
        <v>14</v>
      </c>
    </row>
    <row r="57" spans="1:41">
      <c r="A57" s="147">
        <v>55</v>
      </c>
      <c r="B57" s="521">
        <v>44847</v>
      </c>
      <c r="C57" s="522">
        <v>127.9</v>
      </c>
      <c r="D57" s="522">
        <v>102.47</v>
      </c>
      <c r="E57" s="522">
        <v>142.75</v>
      </c>
      <c r="F57" s="522">
        <v>151.82</v>
      </c>
      <c r="G57" s="522">
        <v>48.86</v>
      </c>
      <c r="H57" s="522">
        <v>237.99</v>
      </c>
      <c r="I57" s="522">
        <v>65.430000000000007</v>
      </c>
      <c r="J57" s="522">
        <v>70.77</v>
      </c>
      <c r="K57" s="522">
        <v>142.71</v>
      </c>
      <c r="L57" s="522">
        <v>256.92</v>
      </c>
      <c r="M57" s="522">
        <v>438.87</v>
      </c>
      <c r="N57" s="522">
        <v>119.36</v>
      </c>
      <c r="O57" s="522">
        <v>125.71</v>
      </c>
      <c r="P57" s="522">
        <v>88.71</v>
      </c>
      <c r="Q57" s="522">
        <v>83.37</v>
      </c>
      <c r="R57" s="522">
        <v>137.94</v>
      </c>
      <c r="S57" s="522">
        <v>185.23</v>
      </c>
      <c r="T57" s="522">
        <v>74.87</v>
      </c>
      <c r="U57" s="522">
        <v>92.49</v>
      </c>
      <c r="V57" s="522">
        <v>406.08</v>
      </c>
      <c r="W57" s="522">
        <v>225.37</v>
      </c>
      <c r="X57" s="522">
        <v>311.19</v>
      </c>
      <c r="Y57" s="522">
        <v>501.44</v>
      </c>
      <c r="Z57" s="522">
        <v>268.55</v>
      </c>
      <c r="AA57" s="522">
        <v>65.2</v>
      </c>
      <c r="AB57" s="522">
        <v>122.42</v>
      </c>
      <c r="AC57" s="522">
        <v>87.24</v>
      </c>
      <c r="AD57" s="522">
        <v>110</v>
      </c>
      <c r="AE57" s="522">
        <v>36.06</v>
      </c>
      <c r="AF57" s="522">
        <v>205.68</v>
      </c>
      <c r="AG57" s="522">
        <v>88.8</v>
      </c>
      <c r="AH57" s="522">
        <v>6.14</v>
      </c>
      <c r="AI57" s="522">
        <v>70.319999999999993</v>
      </c>
      <c r="AJ57" s="522">
        <v>510.54</v>
      </c>
      <c r="AK57" s="522">
        <v>154.34</v>
      </c>
      <c r="AL57" s="522">
        <v>176.85</v>
      </c>
      <c r="AM57" s="522">
        <v>276.79000000000002</v>
      </c>
      <c r="AN57" s="522">
        <v>256.73</v>
      </c>
      <c r="AO57" s="522">
        <v>14.04</v>
      </c>
    </row>
    <row r="58" spans="1:41">
      <c r="A58" s="147">
        <v>56</v>
      </c>
      <c r="B58" s="521">
        <v>44846</v>
      </c>
      <c r="C58" s="522">
        <v>125.69</v>
      </c>
      <c r="D58" s="522">
        <v>100.08</v>
      </c>
      <c r="E58" s="522">
        <v>138.59</v>
      </c>
      <c r="F58" s="522">
        <v>146.56</v>
      </c>
      <c r="G58" s="522">
        <v>49.13</v>
      </c>
      <c r="H58" s="522">
        <v>229.32</v>
      </c>
      <c r="I58" s="522">
        <v>64.459999999999994</v>
      </c>
      <c r="J58" s="522">
        <v>69.28</v>
      </c>
      <c r="K58" s="522">
        <v>139.66999999999999</v>
      </c>
      <c r="L58" s="522">
        <v>250.32</v>
      </c>
      <c r="M58" s="522">
        <v>436.11</v>
      </c>
      <c r="N58" s="522">
        <v>117.4</v>
      </c>
      <c r="O58" s="522">
        <v>124.39</v>
      </c>
      <c r="P58" s="522">
        <v>88.72</v>
      </c>
      <c r="Q58" s="522">
        <v>81.67</v>
      </c>
      <c r="R58" s="522">
        <v>134.79</v>
      </c>
      <c r="S58" s="522">
        <v>181.39</v>
      </c>
      <c r="T58" s="522">
        <v>74.48</v>
      </c>
      <c r="U58" s="522">
        <v>90.42</v>
      </c>
      <c r="V58" s="522">
        <v>401.65</v>
      </c>
      <c r="W58" s="522">
        <v>223.33</v>
      </c>
      <c r="X58" s="522">
        <v>307.04000000000002</v>
      </c>
      <c r="Y58" s="522">
        <v>492.38</v>
      </c>
      <c r="Z58" s="522">
        <v>274.64999999999998</v>
      </c>
      <c r="AA58" s="522">
        <v>63.78</v>
      </c>
      <c r="AB58" s="522">
        <v>121.4</v>
      </c>
      <c r="AC58" s="522">
        <v>84.46</v>
      </c>
      <c r="AD58" s="522">
        <v>106.14</v>
      </c>
      <c r="AE58" s="522">
        <v>36.200000000000003</v>
      </c>
      <c r="AF58" s="522">
        <v>201.51</v>
      </c>
      <c r="AG58" s="522">
        <v>86.16</v>
      </c>
      <c r="AH58" s="522">
        <v>5.96</v>
      </c>
      <c r="AI58" s="522">
        <v>69.150000000000006</v>
      </c>
      <c r="AJ58" s="522">
        <v>500.67</v>
      </c>
      <c r="AK58" s="522">
        <v>151.55000000000001</v>
      </c>
      <c r="AL58" s="522">
        <v>175.68</v>
      </c>
      <c r="AM58" s="522">
        <v>270.72000000000003</v>
      </c>
      <c r="AN58" s="522">
        <v>263.33999999999997</v>
      </c>
      <c r="AO58" s="522">
        <v>13.72</v>
      </c>
    </row>
    <row r="59" spans="1:41">
      <c r="A59" s="147">
        <v>57</v>
      </c>
      <c r="B59" s="521">
        <v>44845</v>
      </c>
      <c r="C59" s="522">
        <v>125.64</v>
      </c>
      <c r="D59" s="522">
        <v>101.75</v>
      </c>
      <c r="E59" s="522">
        <v>138.80000000000001</v>
      </c>
      <c r="F59" s="522">
        <v>150.11000000000001</v>
      </c>
      <c r="G59" s="522">
        <v>49.31</v>
      </c>
      <c r="H59" s="522">
        <v>231.21</v>
      </c>
      <c r="I59" s="522">
        <v>64.650000000000006</v>
      </c>
      <c r="J59" s="522">
        <v>69.650000000000006</v>
      </c>
      <c r="K59" s="522">
        <v>142.4</v>
      </c>
      <c r="L59" s="522">
        <v>256.95</v>
      </c>
      <c r="M59" s="522">
        <v>438.63</v>
      </c>
      <c r="N59" s="522">
        <v>118.61</v>
      </c>
      <c r="O59" s="522">
        <v>124.36</v>
      </c>
      <c r="P59" s="522">
        <v>89.28</v>
      </c>
      <c r="Q59" s="522">
        <v>81.900000000000006</v>
      </c>
      <c r="R59" s="522">
        <v>133.55000000000001</v>
      </c>
      <c r="S59" s="522">
        <v>183.99</v>
      </c>
      <c r="T59" s="522">
        <v>75.84</v>
      </c>
      <c r="U59" s="522">
        <v>91.05</v>
      </c>
      <c r="V59" s="522">
        <v>399.35</v>
      </c>
      <c r="W59" s="522">
        <v>224.25</v>
      </c>
      <c r="X59" s="522">
        <v>308.39</v>
      </c>
      <c r="Y59" s="522">
        <v>507.31</v>
      </c>
      <c r="Z59" s="522">
        <v>267.76</v>
      </c>
      <c r="AA59" s="522">
        <v>62.41</v>
      </c>
      <c r="AB59" s="522">
        <v>123.45</v>
      </c>
      <c r="AC59" s="522">
        <v>84.13</v>
      </c>
      <c r="AD59" s="522">
        <v>106.79</v>
      </c>
      <c r="AE59" s="522">
        <v>36.36</v>
      </c>
      <c r="AF59" s="522">
        <v>204.51</v>
      </c>
      <c r="AG59" s="522">
        <v>86.85</v>
      </c>
      <c r="AH59" s="522">
        <v>5.97</v>
      </c>
      <c r="AI59" s="522">
        <v>69.739999999999995</v>
      </c>
      <c r="AJ59" s="522">
        <v>500.81</v>
      </c>
      <c r="AK59" s="522">
        <v>153.44999999999999</v>
      </c>
      <c r="AL59" s="522">
        <v>174.89</v>
      </c>
      <c r="AM59" s="522">
        <v>271.99</v>
      </c>
      <c r="AN59" s="522">
        <v>264.23</v>
      </c>
      <c r="AO59" s="522">
        <v>13.48</v>
      </c>
    </row>
    <row r="60" spans="1:41">
      <c r="A60" s="147">
        <v>58</v>
      </c>
      <c r="B60" s="521">
        <v>44844</v>
      </c>
      <c r="C60" s="522">
        <v>125.95</v>
      </c>
      <c r="D60" s="522">
        <v>101.13</v>
      </c>
      <c r="E60" s="522">
        <v>140.9</v>
      </c>
      <c r="F60" s="522">
        <v>149.57</v>
      </c>
      <c r="G60" s="522">
        <v>49.58</v>
      </c>
      <c r="H60" s="522">
        <v>232.44</v>
      </c>
      <c r="I60" s="522">
        <v>65</v>
      </c>
      <c r="J60" s="522">
        <v>68.48</v>
      </c>
      <c r="K60" s="522">
        <v>143.53</v>
      </c>
      <c r="L60" s="522">
        <v>261.23</v>
      </c>
      <c r="M60" s="522">
        <v>437.41</v>
      </c>
      <c r="N60" s="522">
        <v>117.52</v>
      </c>
      <c r="O60" s="522">
        <v>124.02</v>
      </c>
      <c r="P60" s="522">
        <v>88.76</v>
      </c>
      <c r="Q60" s="522">
        <v>81.099999999999994</v>
      </c>
      <c r="R60" s="522">
        <v>133.24</v>
      </c>
      <c r="S60" s="522">
        <v>185.43</v>
      </c>
      <c r="T60" s="522">
        <v>75.86</v>
      </c>
      <c r="U60" s="522">
        <v>90.48</v>
      </c>
      <c r="V60" s="522">
        <v>406.92</v>
      </c>
      <c r="W60" s="522">
        <v>227.02</v>
      </c>
      <c r="X60" s="522">
        <v>306.51</v>
      </c>
      <c r="Y60" s="522">
        <v>503.83</v>
      </c>
      <c r="Z60" s="522">
        <v>267.85000000000002</v>
      </c>
      <c r="AA60" s="522">
        <v>62.57</v>
      </c>
      <c r="AB60" s="522">
        <v>123.73</v>
      </c>
      <c r="AC60" s="522">
        <v>82.8</v>
      </c>
      <c r="AD60" s="522">
        <v>104.79</v>
      </c>
      <c r="AE60" s="522">
        <v>36.450000000000003</v>
      </c>
      <c r="AF60" s="522">
        <v>205.8</v>
      </c>
      <c r="AG60" s="522">
        <v>86.31</v>
      </c>
      <c r="AH60" s="522">
        <v>5.93</v>
      </c>
      <c r="AI60" s="522">
        <v>70.69</v>
      </c>
      <c r="AJ60" s="522">
        <v>510.84</v>
      </c>
      <c r="AK60" s="522">
        <v>156.79</v>
      </c>
      <c r="AL60" s="522">
        <v>176.99</v>
      </c>
      <c r="AM60" s="522">
        <v>272.26</v>
      </c>
      <c r="AN60" s="522">
        <v>260.98</v>
      </c>
      <c r="AO60" s="522">
        <v>13.52</v>
      </c>
    </row>
    <row r="61" spans="1:41">
      <c r="A61" s="147">
        <v>59</v>
      </c>
      <c r="B61" s="521">
        <v>44841</v>
      </c>
      <c r="C61" s="522">
        <v>127.44</v>
      </c>
      <c r="D61" s="522">
        <v>101.79</v>
      </c>
      <c r="E61" s="522">
        <v>144.91999999999999</v>
      </c>
      <c r="F61" s="522">
        <v>147.69</v>
      </c>
      <c r="G61" s="522">
        <v>49.5</v>
      </c>
      <c r="H61" s="522">
        <v>231.75</v>
      </c>
      <c r="I61" s="522">
        <v>65.13</v>
      </c>
      <c r="J61" s="522">
        <v>69.7</v>
      </c>
      <c r="K61" s="522">
        <v>142.87</v>
      </c>
      <c r="L61" s="522">
        <v>260.76</v>
      </c>
      <c r="M61" s="522">
        <v>436.11</v>
      </c>
      <c r="N61" s="522">
        <v>116.02</v>
      </c>
      <c r="O61" s="522">
        <v>123.31</v>
      </c>
      <c r="P61" s="522">
        <v>88.36</v>
      </c>
      <c r="Q61" s="522">
        <v>80.569999999999993</v>
      </c>
      <c r="R61" s="522">
        <v>129.91999999999999</v>
      </c>
      <c r="S61" s="522">
        <v>185.66</v>
      </c>
      <c r="T61" s="522">
        <v>73.44</v>
      </c>
      <c r="U61" s="522">
        <v>87.6</v>
      </c>
      <c r="V61" s="522">
        <v>419.84</v>
      </c>
      <c r="W61" s="522">
        <v>229.85</v>
      </c>
      <c r="X61" s="522">
        <v>297.70999999999998</v>
      </c>
      <c r="Y61" s="522">
        <v>496.09</v>
      </c>
      <c r="Z61" s="522">
        <v>260.04000000000002</v>
      </c>
      <c r="AA61" s="522">
        <v>63.29</v>
      </c>
      <c r="AB61" s="522">
        <v>121.96</v>
      </c>
      <c r="AC61" s="522">
        <v>82.17</v>
      </c>
      <c r="AD61" s="522">
        <v>101.94</v>
      </c>
      <c r="AE61" s="522">
        <v>36.159999999999997</v>
      </c>
      <c r="AF61" s="522">
        <v>205.6</v>
      </c>
      <c r="AG61" s="522">
        <v>84.3</v>
      </c>
      <c r="AH61" s="522">
        <v>5.87</v>
      </c>
      <c r="AI61" s="522">
        <v>68.97</v>
      </c>
      <c r="AJ61" s="522">
        <v>523.61</v>
      </c>
      <c r="AK61" s="522">
        <v>159.28</v>
      </c>
      <c r="AL61" s="522">
        <v>177.86</v>
      </c>
      <c r="AM61" s="522">
        <v>276.5</v>
      </c>
      <c r="AN61" s="522">
        <v>258.48</v>
      </c>
      <c r="AO61" s="522">
        <v>13.47</v>
      </c>
    </row>
    <row r="62" spans="1:41">
      <c r="A62" s="147">
        <v>60</v>
      </c>
      <c r="B62" s="521">
        <v>44840</v>
      </c>
      <c r="C62" s="522">
        <v>132.18</v>
      </c>
      <c r="D62" s="522">
        <v>102.45</v>
      </c>
      <c r="E62" s="522">
        <v>150.97</v>
      </c>
      <c r="F62" s="522">
        <v>149.93</v>
      </c>
      <c r="G62" s="522">
        <v>50.78</v>
      </c>
      <c r="H62" s="522">
        <v>238.59</v>
      </c>
      <c r="I62" s="522">
        <v>66.2</v>
      </c>
      <c r="J62" s="522">
        <v>70.239999999999995</v>
      </c>
      <c r="K62" s="522">
        <v>145.44</v>
      </c>
      <c r="L62" s="522">
        <v>263.01</v>
      </c>
      <c r="M62" s="522">
        <v>440.47</v>
      </c>
      <c r="N62" s="522">
        <v>123.64</v>
      </c>
      <c r="O62" s="522">
        <v>126.06</v>
      </c>
      <c r="P62" s="522">
        <v>87.5</v>
      </c>
      <c r="Q62" s="522">
        <v>80.73</v>
      </c>
      <c r="R62" s="522">
        <v>128.72</v>
      </c>
      <c r="S62" s="522">
        <v>186.02</v>
      </c>
      <c r="T62" s="522">
        <v>72.430000000000007</v>
      </c>
      <c r="U62" s="522">
        <v>87.44</v>
      </c>
      <c r="V62" s="522">
        <v>436.65</v>
      </c>
      <c r="W62" s="522">
        <v>234.2</v>
      </c>
      <c r="X62" s="522">
        <v>303.57</v>
      </c>
      <c r="Y62" s="522">
        <v>485.23</v>
      </c>
      <c r="Z62" s="522">
        <v>277.18</v>
      </c>
      <c r="AA62" s="522">
        <v>65.3</v>
      </c>
      <c r="AB62" s="522">
        <v>121.92</v>
      </c>
      <c r="AC62" s="522">
        <v>81.150000000000006</v>
      </c>
      <c r="AD62" s="522">
        <v>103.66</v>
      </c>
      <c r="AE62" s="522">
        <v>37.130000000000003</v>
      </c>
      <c r="AF62" s="522">
        <v>216.77</v>
      </c>
      <c r="AG62" s="522">
        <v>85.31</v>
      </c>
      <c r="AH62" s="522">
        <v>5.93</v>
      </c>
      <c r="AI62" s="522">
        <v>70.8</v>
      </c>
      <c r="AJ62" s="522">
        <v>540.59</v>
      </c>
      <c r="AK62" s="522">
        <v>166.54</v>
      </c>
      <c r="AL62" s="522">
        <v>182.08</v>
      </c>
      <c r="AM62" s="522">
        <v>287.55</v>
      </c>
      <c r="AN62" s="522">
        <v>268.19</v>
      </c>
      <c r="AO62" s="522">
        <v>13.84</v>
      </c>
    </row>
    <row r="63" spans="1:41">
      <c r="A63" s="147"/>
    </row>
    <row r="64" spans="1:41">
      <c r="A64" s="147"/>
    </row>
    <row r="65" spans="1:1">
      <c r="A65" s="147"/>
    </row>
    <row r="66" spans="1:1">
      <c r="A66" s="147"/>
    </row>
    <row r="67" spans="1:1">
      <c r="A67" s="147"/>
    </row>
    <row r="68" spans="1:1">
      <c r="A68" s="147"/>
    </row>
    <row r="69" spans="1:1">
      <c r="A69" s="147"/>
    </row>
    <row r="70" spans="1:1">
      <c r="A70" s="147"/>
    </row>
    <row r="71" spans="1:1">
      <c r="A71" s="147"/>
    </row>
    <row r="72" spans="1:1">
      <c r="A72" s="147"/>
    </row>
    <row r="73" spans="1:1">
      <c r="A73" s="147"/>
    </row>
    <row r="74" spans="1:1">
      <c r="A74" s="147"/>
    </row>
    <row r="75" spans="1:1">
      <c r="A75" s="147"/>
    </row>
    <row r="76" spans="1:1">
      <c r="A76" s="147"/>
    </row>
    <row r="77" spans="1:1">
      <c r="A77" s="147"/>
    </row>
    <row r="78" spans="1:1">
      <c r="A78" s="147"/>
    </row>
    <row r="79" spans="1:1">
      <c r="A79" s="147"/>
    </row>
    <row r="80" spans="1:1">
      <c r="A80" s="147"/>
    </row>
    <row r="81" spans="1:1">
      <c r="A81" s="147"/>
    </row>
    <row r="82" spans="1:1">
      <c r="A82" s="147"/>
    </row>
    <row r="83" spans="1:1">
      <c r="A83" s="147"/>
    </row>
    <row r="84" spans="1:1">
      <c r="A84" s="147"/>
    </row>
    <row r="85" spans="1:1">
      <c r="A85" s="147"/>
    </row>
    <row r="86" spans="1:1">
      <c r="A86" s="147"/>
    </row>
    <row r="87" spans="1:1">
      <c r="A87" s="147"/>
    </row>
    <row r="88" spans="1:1">
      <c r="A88" s="147"/>
    </row>
    <row r="89" spans="1:1">
      <c r="A89" s="147"/>
    </row>
    <row r="90" spans="1:1">
      <c r="A90" s="147"/>
    </row>
    <row r="91" spans="1:1">
      <c r="A91" s="147"/>
    </row>
    <row r="92" spans="1:1">
      <c r="A92" s="147"/>
    </row>
    <row r="135" spans="3:3">
      <c r="C135" s="150"/>
    </row>
    <row r="136" spans="3:3">
      <c r="C136" s="150"/>
    </row>
    <row r="137" spans="3:3">
      <c r="C137" s="150"/>
    </row>
    <row r="138" spans="3:3">
      <c r="C138" s="150"/>
    </row>
    <row r="139" spans="3:3">
      <c r="C139" s="150"/>
    </row>
    <row r="140" spans="3:3">
      <c r="C140" s="150"/>
    </row>
    <row r="141" spans="3:3">
      <c r="C141" s="150"/>
    </row>
    <row r="142" spans="3:3">
      <c r="C142" s="150"/>
    </row>
    <row r="143" spans="3:3">
      <c r="C143" s="150"/>
    </row>
    <row r="144" spans="3:3">
      <c r="C144" s="150"/>
    </row>
    <row r="145" spans="3:3">
      <c r="C145" s="150"/>
    </row>
    <row r="146" spans="3:3">
      <c r="C146" s="150"/>
    </row>
    <row r="147" spans="3:3">
      <c r="C147" s="150"/>
    </row>
    <row r="148" spans="3:3">
      <c r="C148" s="150"/>
    </row>
    <row r="149" spans="3:3">
      <c r="C149" s="150"/>
    </row>
    <row r="150" spans="3:3">
      <c r="C150" s="150"/>
    </row>
    <row r="151" spans="3:3">
      <c r="C151" s="150"/>
    </row>
    <row r="152" spans="3:3">
      <c r="C152" s="150"/>
    </row>
    <row r="153" spans="3:3">
      <c r="C153" s="150"/>
    </row>
    <row r="154" spans="3:3">
      <c r="C154" s="150"/>
    </row>
    <row r="155" spans="3:3">
      <c r="C155" s="150"/>
    </row>
    <row r="156" spans="3:3">
      <c r="C156" s="150"/>
    </row>
    <row r="157" spans="3:3">
      <c r="C157" s="150"/>
    </row>
    <row r="158" spans="3:3">
      <c r="C158" s="150"/>
    </row>
    <row r="159" spans="3:3">
      <c r="C159" s="150"/>
    </row>
    <row r="160" spans="3:3">
      <c r="C160" s="150"/>
    </row>
    <row r="161" spans="3:3">
      <c r="C161" s="150"/>
    </row>
    <row r="162" spans="3:3">
      <c r="C162" s="150"/>
    </row>
    <row r="163" spans="3:3">
      <c r="C163" s="150"/>
    </row>
    <row r="164" spans="3:3">
      <c r="C164" s="150"/>
    </row>
    <row r="165" spans="3:3">
      <c r="C165" s="150"/>
    </row>
    <row r="166" spans="3:3">
      <c r="C166" s="150"/>
    </row>
    <row r="167" spans="3:3">
      <c r="C167" s="150"/>
    </row>
    <row r="168" spans="3:3">
      <c r="C168" s="150"/>
    </row>
    <row r="169" spans="3:3">
      <c r="C169" s="150"/>
    </row>
    <row r="170" spans="3:3">
      <c r="C170" s="150"/>
    </row>
    <row r="171" spans="3:3">
      <c r="C171" s="150"/>
    </row>
    <row r="172" spans="3:3">
      <c r="C172" s="150"/>
    </row>
    <row r="173" spans="3:3">
      <c r="C173" s="150"/>
    </row>
    <row r="174" spans="3:3">
      <c r="C174" s="150"/>
    </row>
    <row r="175" spans="3:3">
      <c r="C175" s="150"/>
    </row>
    <row r="176" spans="3:3">
      <c r="C176" s="150"/>
    </row>
    <row r="177" spans="3:3">
      <c r="C177" s="150"/>
    </row>
    <row r="178" spans="3:3">
      <c r="C178" s="150"/>
    </row>
    <row r="179" spans="3:3">
      <c r="C179" s="150"/>
    </row>
    <row r="180" spans="3:3">
      <c r="C180" s="150"/>
    </row>
    <row r="181" spans="3:3">
      <c r="C181" s="150"/>
    </row>
    <row r="182" spans="3:3">
      <c r="C182" s="150"/>
    </row>
    <row r="183" spans="3:3">
      <c r="C183" s="150"/>
    </row>
    <row r="184" spans="3:3">
      <c r="C184" s="150"/>
    </row>
    <row r="185" spans="3:3">
      <c r="C185" s="150"/>
    </row>
    <row r="186" spans="3:3">
      <c r="C186" s="150"/>
    </row>
    <row r="187" spans="3:3">
      <c r="C187" s="150"/>
    </row>
    <row r="188" spans="3:3">
      <c r="C188" s="150"/>
    </row>
    <row r="189" spans="3:3">
      <c r="C189" s="150"/>
    </row>
    <row r="190" spans="3:3">
      <c r="C190" s="150"/>
    </row>
    <row r="191" spans="3:3">
      <c r="C191" s="150"/>
    </row>
    <row r="192" spans="3:3">
      <c r="C192" s="150"/>
    </row>
    <row r="193" spans="3:3">
      <c r="C193" s="150"/>
    </row>
    <row r="194" spans="3:3">
      <c r="C194" s="150"/>
    </row>
    <row r="195" spans="3:3">
      <c r="C195" s="150"/>
    </row>
  </sheetData>
  <mergeCells count="1">
    <mergeCell ref="A1:A2"/>
  </mergeCells>
  <conditionalFormatting sqref="B135:C195">
    <cfRule type="cellIs" dxfId="1" priority="1" operator="equal">
      <formula>TRUE</formula>
    </cfRule>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N126"/>
  <sheetViews>
    <sheetView topLeftCell="AA1" zoomScale="85" zoomScaleNormal="85" workbookViewId="0">
      <pane ySplit="3" topLeftCell="A40" activePane="bottomLeft" state="frozen"/>
      <selection activeCell="AQ1" sqref="AQ1"/>
      <selection pane="bottomLeft" activeCell="H24" sqref="H24"/>
    </sheetView>
  </sheetViews>
  <sheetFormatPr defaultColWidth="12.7109375" defaultRowHeight="14.25"/>
  <cols>
    <col min="1" max="2" width="15.7109375" style="523" customWidth="1"/>
    <col min="3" max="16384" width="12.7109375" style="523"/>
  </cols>
  <sheetData>
    <row r="1" spans="1:40">
      <c r="A1" s="528"/>
    </row>
    <row r="2" spans="1:40">
      <c r="B2" s="523" t="str">
        <f>'CEM Price Data'!C1</f>
        <v>A</v>
      </c>
      <c r="C2" s="523" t="str">
        <f>'CEM Price Data'!D1</f>
        <v>ABT</v>
      </c>
      <c r="D2" s="523" t="str">
        <f>'CEM Price Data'!E1</f>
        <v>ADI</v>
      </c>
      <c r="E2" s="523" t="str">
        <f>'CEM Price Data'!F1</f>
        <v>AIZ</v>
      </c>
      <c r="F2" s="523" t="str">
        <f>'CEM Price Data'!G1</f>
        <v>AOS</v>
      </c>
      <c r="G2" s="523" t="str">
        <f>'CEM Price Data'!H1</f>
        <v>APD</v>
      </c>
      <c r="H2" s="523" t="str">
        <f>'CEM Price Data'!I1</f>
        <v>BFB</v>
      </c>
      <c r="I2" s="523" t="str">
        <f>'CEM Price Data'!J1</f>
        <v>BMY</v>
      </c>
      <c r="J2" s="523" t="str">
        <f>'CEM Price Data'!K1</f>
        <v>BR</v>
      </c>
      <c r="K2" s="523" t="str">
        <f>'CEM Price Data'!L1</f>
        <v>CACI</v>
      </c>
      <c r="L2" s="523" t="str">
        <f>'CEM Price Data'!M1</f>
        <v>CHE</v>
      </c>
      <c r="M2" s="523" t="str">
        <f>'CEM Price Data'!N1</f>
        <v>CSWI</v>
      </c>
      <c r="N2" s="523" t="str">
        <f>'CEM Price Data'!O1</f>
        <v>DGX</v>
      </c>
      <c r="O2" s="523" t="str">
        <f>'CEM Price Data'!P1</f>
        <v>EXPO</v>
      </c>
      <c r="P2" s="523" t="str">
        <f>'CEM Price Data'!Q1</f>
        <v>INGR</v>
      </c>
      <c r="Q2" s="523" t="str">
        <f>'CEM Price Data'!R1</f>
        <v>JJSF</v>
      </c>
      <c r="R2" s="523" t="str">
        <f>'CEM Price Data'!S1</f>
        <v>JKHY</v>
      </c>
      <c r="S2" s="523" t="str">
        <f>'CEM Price Data'!T1</f>
        <v>MKC</v>
      </c>
      <c r="T2" s="523" t="str">
        <f>'CEM Price Data'!U1</f>
        <v>MRK</v>
      </c>
      <c r="U2" s="523" t="str">
        <f>'CEM Price Data'!V1</f>
        <v>MSCI</v>
      </c>
      <c r="V2" s="523" t="str">
        <f>'CEM Price Data'!W1</f>
        <v>MSI</v>
      </c>
      <c r="W2" s="523" t="str">
        <f>'CEM Price Data'!X1</f>
        <v>NEU</v>
      </c>
      <c r="X2" s="523" t="str">
        <f>'CEM Price Data'!Y1</f>
        <v>NOC</v>
      </c>
      <c r="Y2" s="523" t="str">
        <f>'CEM Price Data'!Z1</f>
        <v>ODFL</v>
      </c>
      <c r="Z2" s="523" t="str">
        <f>'CEM Price Data'!AA1</f>
        <v>ORCL</v>
      </c>
      <c r="AA2" s="523" t="str">
        <f>'CEM Price Data'!AB1</f>
        <v>PGR</v>
      </c>
      <c r="AB2" s="523" t="str">
        <f>'CEM Price Data'!AC1</f>
        <v>POST</v>
      </c>
      <c r="AC2" s="523" t="str">
        <f>'CEM Price Data'!AD1</f>
        <v>RLI</v>
      </c>
      <c r="AD2" s="523" t="str">
        <f>'CEM Price Data'!AE1</f>
        <v>ROL</v>
      </c>
      <c r="AE2" s="523" t="str">
        <f>'CEM Price Data'!AF1</f>
        <v>SHW</v>
      </c>
      <c r="AF2" s="523" t="str">
        <f>'CEM Price Data'!AG1</f>
        <v>SIGI</v>
      </c>
      <c r="AG2" s="523" t="str">
        <f>'CEM Price Data'!AH1</f>
        <v>SIRI</v>
      </c>
      <c r="AH2" s="523" t="str">
        <f>'CEM Price Data'!AI1</f>
        <v>SXT</v>
      </c>
      <c r="AI2" s="523" t="str">
        <f>'CEM Price Data'!AJ1</f>
        <v>TMO</v>
      </c>
      <c r="AJ2" s="523" t="str">
        <f>'CEM Price Data'!AK1</f>
        <v>TXN</v>
      </c>
      <c r="AK2" s="523" t="str">
        <f>'CEM Price Data'!AL1</f>
        <v>VRSN</v>
      </c>
      <c r="AL2" s="523" t="str">
        <f>'CEM Price Data'!AM1</f>
        <v>WAT</v>
      </c>
      <c r="AM2" s="523" t="str">
        <f>'CEM Price Data'!AN1</f>
        <v>WSO</v>
      </c>
      <c r="AN2" s="523" t="str">
        <f>'CEM Price Data'!AO1</f>
        <v>WU</v>
      </c>
    </row>
    <row r="3" spans="1:40">
      <c r="A3" s="523" t="str">
        <f>IF('CEM Price Data'!B2="","",'CEM Price Data'!B2)</f>
        <v>PX_LAST</v>
      </c>
      <c r="B3" s="523" t="str">
        <f>IF('CEM Price Data'!C2="","",'CEM Price Data'!C2)</f>
        <v>A US Equity</v>
      </c>
      <c r="C3" s="523" t="str">
        <f>IF('CEM Price Data'!D2="","",'CEM Price Data'!D2)</f>
        <v>ABT US Equity</v>
      </c>
      <c r="D3" s="523" t="str">
        <f>IF('CEM Price Data'!E2="","",'CEM Price Data'!E2)</f>
        <v>ADI US Equity</v>
      </c>
      <c r="E3" s="523" t="str">
        <f>IF('CEM Price Data'!F2="","",'CEM Price Data'!F2)</f>
        <v>AIZ US Equity</v>
      </c>
      <c r="F3" s="523" t="str">
        <f>IF('CEM Price Data'!G2="","",'CEM Price Data'!G2)</f>
        <v>AOS US Equity</v>
      </c>
      <c r="G3" s="523" t="str">
        <f>IF('CEM Price Data'!H2="","",'CEM Price Data'!H2)</f>
        <v>APD US Equity</v>
      </c>
      <c r="H3" s="523" t="str">
        <f>IF('CEM Price Data'!I2="","",'CEM Price Data'!I2)</f>
        <v>BFB US Equity</v>
      </c>
      <c r="I3" s="523" t="str">
        <f>IF('CEM Price Data'!J2="","",'CEM Price Data'!J2)</f>
        <v>BMY US Equity</v>
      </c>
      <c r="J3" s="523" t="str">
        <f>IF('CEM Price Data'!K2="","",'CEM Price Data'!K2)</f>
        <v>BR US Equity</v>
      </c>
      <c r="K3" s="523" t="str">
        <f>IF('CEM Price Data'!L2="","",'CEM Price Data'!L2)</f>
        <v>CACI US Equity</v>
      </c>
      <c r="L3" s="523" t="str">
        <f>IF('CEM Price Data'!M2="","",'CEM Price Data'!M2)</f>
        <v>CHE US Equity</v>
      </c>
      <c r="M3" s="523" t="str">
        <f>IF('CEM Price Data'!N2="","",'CEM Price Data'!N2)</f>
        <v>CSWI US Equity</v>
      </c>
      <c r="N3" s="523" t="str">
        <f>IF('CEM Price Data'!O2="","",'CEM Price Data'!O2)</f>
        <v>DGX US Equity</v>
      </c>
      <c r="O3" s="523" t="str">
        <f>IF('CEM Price Data'!P2="","",'CEM Price Data'!P2)</f>
        <v>EXPO US Equity</v>
      </c>
      <c r="P3" s="523" t="str">
        <f>IF('CEM Price Data'!Q2="","",'CEM Price Data'!Q2)</f>
        <v>INGR US Equity</v>
      </c>
      <c r="Q3" s="523" t="str">
        <f>IF('CEM Price Data'!R2="","",'CEM Price Data'!R2)</f>
        <v>JJSF US Equity</v>
      </c>
      <c r="R3" s="523" t="str">
        <f>IF('CEM Price Data'!S2="","",'CEM Price Data'!S2)</f>
        <v>JKHY US Equity</v>
      </c>
      <c r="S3" s="523" t="str">
        <f>IF('CEM Price Data'!T2="","",'CEM Price Data'!T2)</f>
        <v>MKC US Equity</v>
      </c>
      <c r="T3" s="523" t="str">
        <f>IF('CEM Price Data'!U2="","",'CEM Price Data'!U2)</f>
        <v>MRK US Equity</v>
      </c>
      <c r="U3" s="523" t="str">
        <f>IF('CEM Price Data'!V2="","",'CEM Price Data'!V2)</f>
        <v>MSCI US Equity</v>
      </c>
      <c r="V3" s="523" t="str">
        <f>IF('CEM Price Data'!W2="","",'CEM Price Data'!W2)</f>
        <v>MSI US Equity</v>
      </c>
      <c r="W3" s="523" t="str">
        <f>IF('CEM Price Data'!X2="","",'CEM Price Data'!X2)</f>
        <v>NEU US Equity</v>
      </c>
      <c r="X3" s="523" t="str">
        <f>IF('CEM Price Data'!Y2="","",'CEM Price Data'!Y2)</f>
        <v>NOC US Equity</v>
      </c>
      <c r="Y3" s="523" t="str">
        <f>IF('CEM Price Data'!Z2="","",'CEM Price Data'!Z2)</f>
        <v>ODFL US Equity</v>
      </c>
      <c r="Z3" s="523" t="str">
        <f>IF('CEM Price Data'!AA2="","",'CEM Price Data'!AA2)</f>
        <v>ORCL US Equity</v>
      </c>
      <c r="AA3" s="523" t="str">
        <f>IF('CEM Price Data'!AB2="","",'CEM Price Data'!AB2)</f>
        <v>PGR US Equity</v>
      </c>
      <c r="AB3" s="523" t="str">
        <f>IF('CEM Price Data'!AC2="","",'CEM Price Data'!AC2)</f>
        <v>POST US Equity</v>
      </c>
      <c r="AC3" s="523" t="str">
        <f>IF('CEM Price Data'!AD2="","",'CEM Price Data'!AD2)</f>
        <v>RLI US Equity</v>
      </c>
      <c r="AD3" s="523" t="str">
        <f>IF('CEM Price Data'!AE2="","",'CEM Price Data'!AE2)</f>
        <v>ROL US Equity</v>
      </c>
      <c r="AE3" s="523" t="str">
        <f>IF('CEM Price Data'!AF2="","",'CEM Price Data'!AF2)</f>
        <v>SHW US Equity</v>
      </c>
      <c r="AF3" s="523" t="str">
        <f>IF('CEM Price Data'!AG2="","",'CEM Price Data'!AG2)</f>
        <v>SIGI US Equity</v>
      </c>
      <c r="AG3" s="523" t="str">
        <f>IF('CEM Price Data'!AH2="","",'CEM Price Data'!AH2)</f>
        <v>SIRI US Equity</v>
      </c>
      <c r="AH3" s="523" t="str">
        <f>IF('CEM Price Data'!AI2="","",'CEM Price Data'!AI2)</f>
        <v>SXT US Equity</v>
      </c>
      <c r="AI3" s="523" t="str">
        <f>IF('CEM Price Data'!AJ2="","",'CEM Price Data'!AJ2)</f>
        <v>TMO US Equity</v>
      </c>
      <c r="AJ3" s="523" t="str">
        <f>IF('CEM Price Data'!AK2="","",'CEM Price Data'!AK2)</f>
        <v>TXN US Equity</v>
      </c>
      <c r="AK3" s="523" t="str">
        <f>IF('CEM Price Data'!AL2="","",'CEM Price Data'!AL2)</f>
        <v>VRSN US Equity</v>
      </c>
      <c r="AL3" s="523" t="str">
        <f>IF('CEM Price Data'!AM2="","",'CEM Price Data'!AM2)</f>
        <v>WAT US Equity</v>
      </c>
      <c r="AM3" s="523" t="str">
        <f>IF('CEM Price Data'!AN2="","",'CEM Price Data'!AN2)</f>
        <v>WSO US Equity</v>
      </c>
      <c r="AN3" s="523" t="str">
        <f>IF('CEM Price Data'!AO2="","",'CEM Price Data'!AO2)</f>
        <v>WU US Equity</v>
      </c>
    </row>
    <row r="4" spans="1:40">
      <c r="A4" s="525">
        <f>IF('CEM Price Data'!B3="","",'CEM Price Data'!B3)</f>
        <v>44925</v>
      </c>
      <c r="B4" s="526">
        <f>IF('CEM Price Data'!C3="","",'CEM Price Data'!C3)</f>
        <v>149.65</v>
      </c>
      <c r="C4" s="526">
        <f>IF('CEM Price Data'!D3="","",'CEM Price Data'!D3)</f>
        <v>109.79</v>
      </c>
      <c r="D4" s="526">
        <f>IF('CEM Price Data'!E3="","",'CEM Price Data'!E3)</f>
        <v>164.03</v>
      </c>
      <c r="E4" s="526">
        <f>IF('CEM Price Data'!F3="","",'CEM Price Data'!F3)</f>
        <v>125.06</v>
      </c>
      <c r="F4" s="526">
        <f>IF('CEM Price Data'!G3="","",'CEM Price Data'!G3)</f>
        <v>57.24</v>
      </c>
      <c r="G4" s="526">
        <f>IF('CEM Price Data'!H3="","",'CEM Price Data'!H3)</f>
        <v>308.26</v>
      </c>
      <c r="H4" s="526">
        <f>IF('CEM Price Data'!I3="","",'CEM Price Data'!I3)</f>
        <v>65.680000000000007</v>
      </c>
      <c r="I4" s="526">
        <f>IF('CEM Price Data'!J3="","",'CEM Price Data'!J3)</f>
        <v>71.95</v>
      </c>
      <c r="J4" s="526">
        <f>IF('CEM Price Data'!K3="","",'CEM Price Data'!K3)</f>
        <v>134.13</v>
      </c>
      <c r="K4" s="526">
        <f>IF('CEM Price Data'!L3="","",'CEM Price Data'!L3)</f>
        <v>300.58999999999997</v>
      </c>
      <c r="L4" s="526">
        <f>IF('CEM Price Data'!M3="","",'CEM Price Data'!M3)</f>
        <v>510.43</v>
      </c>
      <c r="M4" s="526">
        <f>IF('CEM Price Data'!N3="","",'CEM Price Data'!N3)</f>
        <v>115.93</v>
      </c>
      <c r="N4" s="526">
        <f>IF('CEM Price Data'!O3="","",'CEM Price Data'!O3)</f>
        <v>156.44</v>
      </c>
      <c r="O4" s="526">
        <f>IF('CEM Price Data'!P3="","",'CEM Price Data'!P3)</f>
        <v>99.09</v>
      </c>
      <c r="P4" s="526">
        <f>IF('CEM Price Data'!Q3="","",'CEM Price Data'!Q3)</f>
        <v>97.93</v>
      </c>
      <c r="Q4" s="526">
        <f>IF('CEM Price Data'!R3="","",'CEM Price Data'!R3)</f>
        <v>149.71</v>
      </c>
      <c r="R4" s="526">
        <f>IF('CEM Price Data'!S3="","",'CEM Price Data'!S3)</f>
        <v>175.56</v>
      </c>
      <c r="S4" s="526">
        <f>IF('CEM Price Data'!T3="","",'CEM Price Data'!T3)</f>
        <v>82.89</v>
      </c>
      <c r="T4" s="526">
        <f>IF('CEM Price Data'!U3="","",'CEM Price Data'!U3)</f>
        <v>110.95</v>
      </c>
      <c r="U4" s="526">
        <f>IF('CEM Price Data'!V3="","",'CEM Price Data'!V3)</f>
        <v>465.17</v>
      </c>
      <c r="V4" s="526">
        <f>IF('CEM Price Data'!W3="","",'CEM Price Data'!W3)</f>
        <v>257.70999999999998</v>
      </c>
      <c r="W4" s="526">
        <f>IF('CEM Price Data'!X3="","",'CEM Price Data'!X3)</f>
        <v>311.11</v>
      </c>
      <c r="X4" s="526">
        <f>IF('CEM Price Data'!Y3="","",'CEM Price Data'!Y3)</f>
        <v>545.61</v>
      </c>
      <c r="Y4" s="526">
        <f>IF('CEM Price Data'!Z3="","",'CEM Price Data'!Z3)</f>
        <v>283.77999999999997</v>
      </c>
      <c r="Z4" s="526">
        <f>IF('CEM Price Data'!AA3="","",'CEM Price Data'!AA3)</f>
        <v>81.739999999999995</v>
      </c>
      <c r="AA4" s="526">
        <f>IF('CEM Price Data'!AB3="","",'CEM Price Data'!AB3)</f>
        <v>129.71</v>
      </c>
      <c r="AB4" s="526">
        <f>IF('CEM Price Data'!AC3="","",'CEM Price Data'!AC3)</f>
        <v>90.26</v>
      </c>
      <c r="AC4" s="526">
        <f>IF('CEM Price Data'!AD3="","",'CEM Price Data'!AD3)</f>
        <v>131.27000000000001</v>
      </c>
      <c r="AD4" s="526">
        <f>IF('CEM Price Data'!AE3="","",'CEM Price Data'!AE3)</f>
        <v>36.54</v>
      </c>
      <c r="AE4" s="526">
        <f>IF('CEM Price Data'!AF3="","",'CEM Price Data'!AF3)</f>
        <v>237.33</v>
      </c>
      <c r="AF4" s="526">
        <f>IF('CEM Price Data'!AG3="","",'CEM Price Data'!AG3)</f>
        <v>88.61</v>
      </c>
      <c r="AG4" s="526">
        <f>IF('CEM Price Data'!AH3="","",'CEM Price Data'!AH3)</f>
        <v>5.84</v>
      </c>
      <c r="AH4" s="526">
        <f>IF('CEM Price Data'!AI3="","",'CEM Price Data'!AI3)</f>
        <v>72.92</v>
      </c>
      <c r="AI4" s="526">
        <f>IF('CEM Price Data'!AJ3="","",'CEM Price Data'!AJ3)</f>
        <v>550.69000000000005</v>
      </c>
      <c r="AJ4" s="526">
        <f>IF('CEM Price Data'!AK3="","",'CEM Price Data'!AK3)</f>
        <v>165.22</v>
      </c>
      <c r="AK4" s="526">
        <f>IF('CEM Price Data'!AL3="","",'CEM Price Data'!AL3)</f>
        <v>205.44</v>
      </c>
      <c r="AL4" s="526">
        <f>IF('CEM Price Data'!AM3="","",'CEM Price Data'!AM3)</f>
        <v>342.58</v>
      </c>
      <c r="AM4" s="526">
        <f>IF('CEM Price Data'!AN3="","",'CEM Price Data'!AN3)</f>
        <v>249.4</v>
      </c>
      <c r="AN4" s="526">
        <f>IF('CEM Price Data'!AO3="","",'CEM Price Data'!AO3)</f>
        <v>13.77</v>
      </c>
    </row>
    <row r="5" spans="1:40">
      <c r="A5" s="525">
        <f>IF('CEM Price Data'!B4="","",'CEM Price Data'!B4)</f>
        <v>44924</v>
      </c>
      <c r="B5" s="526">
        <f>IF('CEM Price Data'!C4="","",'CEM Price Data'!C4)</f>
        <v>151.09</v>
      </c>
      <c r="C5" s="526">
        <f>IF('CEM Price Data'!D4="","",'CEM Price Data'!D4)</f>
        <v>110.31</v>
      </c>
      <c r="D5" s="526">
        <f>IF('CEM Price Data'!E4="","",'CEM Price Data'!E4)</f>
        <v>163.98</v>
      </c>
      <c r="E5" s="526">
        <f>IF('CEM Price Data'!F4="","",'CEM Price Data'!F4)</f>
        <v>126.63</v>
      </c>
      <c r="F5" s="526">
        <f>IF('CEM Price Data'!G4="","",'CEM Price Data'!G4)</f>
        <v>57.66</v>
      </c>
      <c r="G5" s="526">
        <f>IF('CEM Price Data'!H4="","",'CEM Price Data'!H4)</f>
        <v>311.41000000000003</v>
      </c>
      <c r="H5" s="526">
        <f>IF('CEM Price Data'!I4="","",'CEM Price Data'!I4)</f>
        <v>66.150000000000006</v>
      </c>
      <c r="I5" s="526">
        <f>IF('CEM Price Data'!J4="","",'CEM Price Data'!J4)</f>
        <v>72.099999999999994</v>
      </c>
      <c r="J5" s="526">
        <f>IF('CEM Price Data'!K4="","",'CEM Price Data'!K4)</f>
        <v>136.66</v>
      </c>
      <c r="K5" s="526">
        <f>IF('CEM Price Data'!L4="","",'CEM Price Data'!L4)</f>
        <v>300.58999999999997</v>
      </c>
      <c r="L5" s="526">
        <f>IF('CEM Price Data'!M4="","",'CEM Price Data'!M4)</f>
        <v>517.15</v>
      </c>
      <c r="M5" s="526">
        <f>IF('CEM Price Data'!N4="","",'CEM Price Data'!N4)</f>
        <v>117.02</v>
      </c>
      <c r="N5" s="526">
        <f>IF('CEM Price Data'!O4="","",'CEM Price Data'!O4)</f>
        <v>156.79</v>
      </c>
      <c r="O5" s="526">
        <f>IF('CEM Price Data'!P4="","",'CEM Price Data'!P4)</f>
        <v>100.56</v>
      </c>
      <c r="P5" s="526">
        <f>IF('CEM Price Data'!Q4="","",'CEM Price Data'!Q4)</f>
        <v>98.18</v>
      </c>
      <c r="Q5" s="526">
        <f>IF('CEM Price Data'!R4="","",'CEM Price Data'!R4)</f>
        <v>151.94</v>
      </c>
      <c r="R5" s="526">
        <f>IF('CEM Price Data'!S4="","",'CEM Price Data'!S4)</f>
        <v>177.49</v>
      </c>
      <c r="S5" s="526">
        <f>IF('CEM Price Data'!T4="","",'CEM Price Data'!T4)</f>
        <v>84.14</v>
      </c>
      <c r="T5" s="526">
        <f>IF('CEM Price Data'!U4="","",'CEM Price Data'!U4)</f>
        <v>110.82</v>
      </c>
      <c r="U5" s="526">
        <f>IF('CEM Price Data'!V4="","",'CEM Price Data'!V4)</f>
        <v>471.92</v>
      </c>
      <c r="V5" s="526">
        <f>IF('CEM Price Data'!W4="","",'CEM Price Data'!W4)</f>
        <v>258.81</v>
      </c>
      <c r="W5" s="526">
        <f>IF('CEM Price Data'!X4="","",'CEM Price Data'!X4)</f>
        <v>309.04000000000002</v>
      </c>
      <c r="X5" s="526">
        <f>IF('CEM Price Data'!Y4="","",'CEM Price Data'!Y4)</f>
        <v>542</v>
      </c>
      <c r="Y5" s="526">
        <f>IF('CEM Price Data'!Z4="","",'CEM Price Data'!Z4)</f>
        <v>286.58</v>
      </c>
      <c r="Z5" s="526">
        <f>IF('CEM Price Data'!AA4="","",'CEM Price Data'!AA4)</f>
        <v>81.400000000000006</v>
      </c>
      <c r="AA5" s="526">
        <f>IF('CEM Price Data'!AB4="","",'CEM Price Data'!AB4)</f>
        <v>130.56</v>
      </c>
      <c r="AB5" s="526">
        <f>IF('CEM Price Data'!AC4="","",'CEM Price Data'!AC4)</f>
        <v>90.23</v>
      </c>
      <c r="AC5" s="526">
        <f>IF('CEM Price Data'!AD4="","",'CEM Price Data'!AD4)</f>
        <v>133.72</v>
      </c>
      <c r="AD5" s="526">
        <f>IF('CEM Price Data'!AE4="","",'CEM Price Data'!AE4)</f>
        <v>36.659999999999997</v>
      </c>
      <c r="AE5" s="526">
        <f>IF('CEM Price Data'!AF4="","",'CEM Price Data'!AF4)</f>
        <v>241.32</v>
      </c>
      <c r="AF5" s="526">
        <f>IF('CEM Price Data'!AG4="","",'CEM Price Data'!AG4)</f>
        <v>90.34</v>
      </c>
      <c r="AG5" s="526">
        <f>IF('CEM Price Data'!AH4="","",'CEM Price Data'!AH4)</f>
        <v>5.82</v>
      </c>
      <c r="AH5" s="526">
        <f>IF('CEM Price Data'!AI4="","",'CEM Price Data'!AI4)</f>
        <v>73.89</v>
      </c>
      <c r="AI5" s="526">
        <f>IF('CEM Price Data'!AJ4="","",'CEM Price Data'!AJ4)</f>
        <v>557.01</v>
      </c>
      <c r="AJ5" s="526">
        <f>IF('CEM Price Data'!AK4="","",'CEM Price Data'!AK4)</f>
        <v>165.02</v>
      </c>
      <c r="AK5" s="526">
        <f>IF('CEM Price Data'!AL4="","",'CEM Price Data'!AL4)</f>
        <v>205.38</v>
      </c>
      <c r="AL5" s="526">
        <f>IF('CEM Price Data'!AM4="","",'CEM Price Data'!AM4)</f>
        <v>345.88</v>
      </c>
      <c r="AM5" s="526">
        <f>IF('CEM Price Data'!AN4="","",'CEM Price Data'!AN4)</f>
        <v>252.55</v>
      </c>
      <c r="AN5" s="526">
        <f>IF('CEM Price Data'!AO4="","",'CEM Price Data'!AO4)</f>
        <v>13.88</v>
      </c>
    </row>
    <row r="6" spans="1:40">
      <c r="A6" s="525">
        <f>IF('CEM Price Data'!B5="","",'CEM Price Data'!B5)</f>
        <v>44923</v>
      </c>
      <c r="B6" s="526">
        <f>IF('CEM Price Data'!C5="","",'CEM Price Data'!C5)</f>
        <v>148.09</v>
      </c>
      <c r="C6" s="526">
        <f>IF('CEM Price Data'!D5="","",'CEM Price Data'!D5)</f>
        <v>107.83</v>
      </c>
      <c r="D6" s="526">
        <f>IF('CEM Price Data'!E5="","",'CEM Price Data'!E5)</f>
        <v>160.28</v>
      </c>
      <c r="E6" s="526">
        <f>IF('CEM Price Data'!F5="","",'CEM Price Data'!F5)</f>
        <v>123.96</v>
      </c>
      <c r="F6" s="526">
        <f>IF('CEM Price Data'!G5="","",'CEM Price Data'!G5)</f>
        <v>56.77</v>
      </c>
      <c r="G6" s="526">
        <f>IF('CEM Price Data'!H5="","",'CEM Price Data'!H5)</f>
        <v>309.64</v>
      </c>
      <c r="H6" s="526">
        <f>IF('CEM Price Data'!I5="","",'CEM Price Data'!I5)</f>
        <v>65.569999999999993</v>
      </c>
      <c r="I6" s="526">
        <f>IF('CEM Price Data'!J5="","",'CEM Price Data'!J5)</f>
        <v>71.989999999999995</v>
      </c>
      <c r="J6" s="526">
        <f>IF('CEM Price Data'!K5="","",'CEM Price Data'!K5)</f>
        <v>133.37</v>
      </c>
      <c r="K6" s="526">
        <f>IF('CEM Price Data'!L5="","",'CEM Price Data'!L5)</f>
        <v>297.97000000000003</v>
      </c>
      <c r="L6" s="526">
        <f>IF('CEM Price Data'!M5="","",'CEM Price Data'!M5)</f>
        <v>511</v>
      </c>
      <c r="M6" s="526">
        <f>IF('CEM Price Data'!N5="","",'CEM Price Data'!N5)</f>
        <v>113.64</v>
      </c>
      <c r="N6" s="526">
        <f>IF('CEM Price Data'!O5="","",'CEM Price Data'!O5)</f>
        <v>156.51</v>
      </c>
      <c r="O6" s="526">
        <f>IF('CEM Price Data'!P5="","",'CEM Price Data'!P5)</f>
        <v>98.53</v>
      </c>
      <c r="P6" s="526">
        <f>IF('CEM Price Data'!Q5="","",'CEM Price Data'!Q5)</f>
        <v>98.09</v>
      </c>
      <c r="Q6" s="526">
        <f>IF('CEM Price Data'!R5="","",'CEM Price Data'!R5)</f>
        <v>150.78</v>
      </c>
      <c r="R6" s="526">
        <f>IF('CEM Price Data'!S5="","",'CEM Price Data'!S5)</f>
        <v>176.64</v>
      </c>
      <c r="S6" s="526">
        <f>IF('CEM Price Data'!T5="","",'CEM Price Data'!T5)</f>
        <v>83.24</v>
      </c>
      <c r="T6" s="526">
        <f>IF('CEM Price Data'!U5="","",'CEM Price Data'!U5)</f>
        <v>111.08</v>
      </c>
      <c r="U6" s="526">
        <f>IF('CEM Price Data'!V5="","",'CEM Price Data'!V5)</f>
        <v>454.44</v>
      </c>
      <c r="V6" s="526">
        <f>IF('CEM Price Data'!W5="","",'CEM Price Data'!W5)</f>
        <v>253.8</v>
      </c>
      <c r="W6" s="526">
        <f>IF('CEM Price Data'!X5="","",'CEM Price Data'!X5)</f>
        <v>305.07</v>
      </c>
      <c r="X6" s="526">
        <f>IF('CEM Price Data'!Y5="","",'CEM Price Data'!Y5)</f>
        <v>540.41</v>
      </c>
      <c r="Y6" s="526">
        <f>IF('CEM Price Data'!Z5="","",'CEM Price Data'!Z5)</f>
        <v>282.25</v>
      </c>
      <c r="Z6" s="526">
        <f>IF('CEM Price Data'!AA5="","",'CEM Price Data'!AA5)</f>
        <v>80.33</v>
      </c>
      <c r="AA6" s="526">
        <f>IF('CEM Price Data'!AB5="","",'CEM Price Data'!AB5)</f>
        <v>129.72</v>
      </c>
      <c r="AB6" s="526">
        <f>IF('CEM Price Data'!AC5="","",'CEM Price Data'!AC5)</f>
        <v>90.34</v>
      </c>
      <c r="AC6" s="526">
        <f>IF('CEM Price Data'!AD5="","",'CEM Price Data'!AD5)</f>
        <v>131.72</v>
      </c>
      <c r="AD6" s="526">
        <f>IF('CEM Price Data'!AE5="","",'CEM Price Data'!AE5)</f>
        <v>36.54</v>
      </c>
      <c r="AE6" s="526">
        <f>IF('CEM Price Data'!AF5="","",'CEM Price Data'!AF5)</f>
        <v>237.48</v>
      </c>
      <c r="AF6" s="526">
        <f>IF('CEM Price Data'!AG5="","",'CEM Price Data'!AG5)</f>
        <v>89.13</v>
      </c>
      <c r="AG6" s="526">
        <f>IF('CEM Price Data'!AH5="","",'CEM Price Data'!AH5)</f>
        <v>5.73</v>
      </c>
      <c r="AH6" s="526">
        <f>IF('CEM Price Data'!AI5="","",'CEM Price Data'!AI5)</f>
        <v>72.31</v>
      </c>
      <c r="AI6" s="526">
        <f>IF('CEM Price Data'!AJ5="","",'CEM Price Data'!AJ5)</f>
        <v>543.41</v>
      </c>
      <c r="AJ6" s="526">
        <f>IF('CEM Price Data'!AK5="","",'CEM Price Data'!AK5)</f>
        <v>161.19</v>
      </c>
      <c r="AK6" s="526">
        <f>IF('CEM Price Data'!AL5="","",'CEM Price Data'!AL5)</f>
        <v>201.13</v>
      </c>
      <c r="AL6" s="526">
        <f>IF('CEM Price Data'!AM5="","",'CEM Price Data'!AM5)</f>
        <v>340.71</v>
      </c>
      <c r="AM6" s="526">
        <f>IF('CEM Price Data'!AN5="","",'CEM Price Data'!AN5)</f>
        <v>247</v>
      </c>
      <c r="AN6" s="526">
        <f>IF('CEM Price Data'!AO5="","",'CEM Price Data'!AO5)</f>
        <v>13.65</v>
      </c>
    </row>
    <row r="7" spans="1:40">
      <c r="A7" s="525">
        <f>IF('CEM Price Data'!B6="","",'CEM Price Data'!B6)</f>
        <v>44922</v>
      </c>
      <c r="B7" s="526">
        <f>IF('CEM Price Data'!C6="","",'CEM Price Data'!C6)</f>
        <v>149.55000000000001</v>
      </c>
      <c r="C7" s="526">
        <f>IF('CEM Price Data'!D6="","",'CEM Price Data'!D6)</f>
        <v>108.57</v>
      </c>
      <c r="D7" s="526">
        <f>IF('CEM Price Data'!E6="","",'CEM Price Data'!E6)</f>
        <v>162.19999999999999</v>
      </c>
      <c r="E7" s="526">
        <f>IF('CEM Price Data'!F6="","",'CEM Price Data'!F6)</f>
        <v>124.57</v>
      </c>
      <c r="F7" s="526">
        <f>IF('CEM Price Data'!G6="","",'CEM Price Data'!G6)</f>
        <v>57.67</v>
      </c>
      <c r="G7" s="526">
        <f>IF('CEM Price Data'!H6="","",'CEM Price Data'!H6)</f>
        <v>312.2</v>
      </c>
      <c r="H7" s="526">
        <f>IF('CEM Price Data'!I6="","",'CEM Price Data'!I6)</f>
        <v>66.58</v>
      </c>
      <c r="I7" s="526">
        <f>IF('CEM Price Data'!J6="","",'CEM Price Data'!J6)</f>
        <v>72.61</v>
      </c>
      <c r="J7" s="526">
        <f>IF('CEM Price Data'!K6="","",'CEM Price Data'!K6)</f>
        <v>135.47</v>
      </c>
      <c r="K7" s="526">
        <f>IF('CEM Price Data'!L6="","",'CEM Price Data'!L6)</f>
        <v>302.92</v>
      </c>
      <c r="L7" s="526">
        <f>IF('CEM Price Data'!M6="","",'CEM Price Data'!M6)</f>
        <v>513.19000000000005</v>
      </c>
      <c r="M7" s="526">
        <f>IF('CEM Price Data'!N6="","",'CEM Price Data'!N6)</f>
        <v>115.95</v>
      </c>
      <c r="N7" s="526">
        <f>IF('CEM Price Data'!O6="","",'CEM Price Data'!O6)</f>
        <v>157.28</v>
      </c>
      <c r="O7" s="526">
        <f>IF('CEM Price Data'!P6="","",'CEM Price Data'!P6)</f>
        <v>100.38</v>
      </c>
      <c r="P7" s="526">
        <f>IF('CEM Price Data'!Q6="","",'CEM Price Data'!Q6)</f>
        <v>99.45</v>
      </c>
      <c r="Q7" s="526">
        <f>IF('CEM Price Data'!R6="","",'CEM Price Data'!R6)</f>
        <v>152.09</v>
      </c>
      <c r="R7" s="526">
        <f>IF('CEM Price Data'!S6="","",'CEM Price Data'!S6)</f>
        <v>178.9</v>
      </c>
      <c r="S7" s="526">
        <f>IF('CEM Price Data'!T6="","",'CEM Price Data'!T6)</f>
        <v>84.83</v>
      </c>
      <c r="T7" s="526">
        <f>IF('CEM Price Data'!U6="","",'CEM Price Data'!U6)</f>
        <v>112.12</v>
      </c>
      <c r="U7" s="526">
        <f>IF('CEM Price Data'!V6="","",'CEM Price Data'!V6)</f>
        <v>460.43</v>
      </c>
      <c r="V7" s="526">
        <f>IF('CEM Price Data'!W6="","",'CEM Price Data'!W6)</f>
        <v>256.63</v>
      </c>
      <c r="W7" s="526">
        <f>IF('CEM Price Data'!X6="","",'CEM Price Data'!X6)</f>
        <v>311.86</v>
      </c>
      <c r="X7" s="526">
        <f>IF('CEM Price Data'!Y6="","",'CEM Price Data'!Y6)</f>
        <v>541.19000000000005</v>
      </c>
      <c r="Y7" s="526">
        <f>IF('CEM Price Data'!Z6="","",'CEM Price Data'!Z6)</f>
        <v>286.77</v>
      </c>
      <c r="Z7" s="526">
        <f>IF('CEM Price Data'!AA6="","",'CEM Price Data'!AA6)</f>
        <v>80.98</v>
      </c>
      <c r="AA7" s="526">
        <f>IF('CEM Price Data'!AB6="","",'CEM Price Data'!AB6)</f>
        <v>130.16999999999999</v>
      </c>
      <c r="AB7" s="526">
        <f>IF('CEM Price Data'!AC6="","",'CEM Price Data'!AC6)</f>
        <v>91.53</v>
      </c>
      <c r="AC7" s="526">
        <f>IF('CEM Price Data'!AD6="","",'CEM Price Data'!AD6)</f>
        <v>133.68</v>
      </c>
      <c r="AD7" s="526">
        <f>IF('CEM Price Data'!AE6="","",'CEM Price Data'!AE6)</f>
        <v>37.020000000000003</v>
      </c>
      <c r="AE7" s="526">
        <f>IF('CEM Price Data'!AF6="","",'CEM Price Data'!AF6)</f>
        <v>239.42</v>
      </c>
      <c r="AF7" s="526">
        <f>IF('CEM Price Data'!AG6="","",'CEM Price Data'!AG6)</f>
        <v>90.84</v>
      </c>
      <c r="AG7" s="526">
        <f>IF('CEM Price Data'!AH6="","",'CEM Price Data'!AH6)</f>
        <v>5.78</v>
      </c>
      <c r="AH7" s="526">
        <f>IF('CEM Price Data'!AI6="","",'CEM Price Data'!AI6)</f>
        <v>73.180000000000007</v>
      </c>
      <c r="AI7" s="526">
        <f>IF('CEM Price Data'!AJ6="","",'CEM Price Data'!AJ6)</f>
        <v>545.44000000000005</v>
      </c>
      <c r="AJ7" s="526">
        <f>IF('CEM Price Data'!AK6="","",'CEM Price Data'!AK6)</f>
        <v>163.78</v>
      </c>
      <c r="AK7" s="526">
        <f>IF('CEM Price Data'!AL6="","",'CEM Price Data'!AL6)</f>
        <v>204.07</v>
      </c>
      <c r="AL7" s="526">
        <f>IF('CEM Price Data'!AM6="","",'CEM Price Data'!AM6)</f>
        <v>346.53</v>
      </c>
      <c r="AM7" s="526">
        <f>IF('CEM Price Data'!AN6="","",'CEM Price Data'!AN6)</f>
        <v>252.67</v>
      </c>
      <c r="AN7" s="526">
        <f>IF('CEM Price Data'!AO6="","",'CEM Price Data'!AO6)</f>
        <v>13.84</v>
      </c>
    </row>
    <row r="8" spans="1:40">
      <c r="A8" s="525">
        <f>IF('CEM Price Data'!B7="","",'CEM Price Data'!B7)</f>
        <v>44918</v>
      </c>
      <c r="B8" s="526">
        <f>IF('CEM Price Data'!C7="","",'CEM Price Data'!C7)</f>
        <v>149.22999999999999</v>
      </c>
      <c r="C8" s="526">
        <f>IF('CEM Price Data'!D7="","",'CEM Price Data'!D7)</f>
        <v>108.18</v>
      </c>
      <c r="D8" s="526">
        <f>IF('CEM Price Data'!E7="","",'CEM Price Data'!E7)</f>
        <v>163.84</v>
      </c>
      <c r="E8" s="526">
        <f>IF('CEM Price Data'!F7="","",'CEM Price Data'!F7)</f>
        <v>125.03</v>
      </c>
      <c r="F8" s="526">
        <f>IF('CEM Price Data'!G7="","",'CEM Price Data'!G7)</f>
        <v>56.9</v>
      </c>
      <c r="G8" s="526">
        <f>IF('CEM Price Data'!H7="","",'CEM Price Data'!H7)</f>
        <v>312.04000000000002</v>
      </c>
      <c r="H8" s="526">
        <f>IF('CEM Price Data'!I7="","",'CEM Price Data'!I7)</f>
        <v>66.349999999999994</v>
      </c>
      <c r="I8" s="526">
        <f>IF('CEM Price Data'!J7="","",'CEM Price Data'!J7)</f>
        <v>72.89</v>
      </c>
      <c r="J8" s="526">
        <f>IF('CEM Price Data'!K7="","",'CEM Price Data'!K7)</f>
        <v>134.47999999999999</v>
      </c>
      <c r="K8" s="526">
        <f>IF('CEM Price Data'!L7="","",'CEM Price Data'!L7)</f>
        <v>299.27999999999997</v>
      </c>
      <c r="L8" s="526">
        <f>IF('CEM Price Data'!M7="","",'CEM Price Data'!M7)</f>
        <v>516.16999999999996</v>
      </c>
      <c r="M8" s="526">
        <f>IF('CEM Price Data'!N7="","",'CEM Price Data'!N7)</f>
        <v>117.17</v>
      </c>
      <c r="N8" s="526">
        <f>IF('CEM Price Data'!O7="","",'CEM Price Data'!O7)</f>
        <v>156.31</v>
      </c>
      <c r="O8" s="526">
        <f>IF('CEM Price Data'!P7="","",'CEM Price Data'!P7)</f>
        <v>100.55</v>
      </c>
      <c r="P8" s="526">
        <f>IF('CEM Price Data'!Q7="","",'CEM Price Data'!Q7)</f>
        <v>98.87</v>
      </c>
      <c r="Q8" s="526">
        <f>IF('CEM Price Data'!R7="","",'CEM Price Data'!R7)</f>
        <v>153.4</v>
      </c>
      <c r="R8" s="526">
        <f>IF('CEM Price Data'!S7="","",'CEM Price Data'!S7)</f>
        <v>177.34</v>
      </c>
      <c r="S8" s="526">
        <f>IF('CEM Price Data'!T7="","",'CEM Price Data'!T7)</f>
        <v>84.22</v>
      </c>
      <c r="T8" s="526">
        <f>IF('CEM Price Data'!U7="","",'CEM Price Data'!U7)</f>
        <v>111.86</v>
      </c>
      <c r="U8" s="526">
        <f>IF('CEM Price Data'!V7="","",'CEM Price Data'!V7)</f>
        <v>463.82</v>
      </c>
      <c r="V8" s="526">
        <f>IF('CEM Price Data'!W7="","",'CEM Price Data'!W7)</f>
        <v>256.63</v>
      </c>
      <c r="W8" s="526">
        <f>IF('CEM Price Data'!X7="","",'CEM Price Data'!X7)</f>
        <v>310.06</v>
      </c>
      <c r="X8" s="526">
        <f>IF('CEM Price Data'!Y7="","",'CEM Price Data'!Y7)</f>
        <v>534.77</v>
      </c>
      <c r="Y8" s="526">
        <f>IF('CEM Price Data'!Z7="","",'CEM Price Data'!Z7)</f>
        <v>286.10000000000002</v>
      </c>
      <c r="Z8" s="526">
        <f>IF('CEM Price Data'!AA7="","",'CEM Price Data'!AA7)</f>
        <v>80.849999999999994</v>
      </c>
      <c r="AA8" s="526">
        <f>IF('CEM Price Data'!AB7="","",'CEM Price Data'!AB7)</f>
        <v>129.44</v>
      </c>
      <c r="AB8" s="526">
        <f>IF('CEM Price Data'!AC7="","",'CEM Price Data'!AC7)</f>
        <v>91.11</v>
      </c>
      <c r="AC8" s="526">
        <f>IF('CEM Price Data'!AD7="","",'CEM Price Data'!AD7)</f>
        <v>133.69</v>
      </c>
      <c r="AD8" s="526">
        <f>IF('CEM Price Data'!AE7="","",'CEM Price Data'!AE7)</f>
        <v>37.119999999999997</v>
      </c>
      <c r="AE8" s="526">
        <f>IF('CEM Price Data'!AF7="","",'CEM Price Data'!AF7)</f>
        <v>242.67</v>
      </c>
      <c r="AF8" s="526">
        <f>IF('CEM Price Data'!AG7="","",'CEM Price Data'!AG7)</f>
        <v>90.85</v>
      </c>
      <c r="AG8" s="526">
        <f>IF('CEM Price Data'!AH7="","",'CEM Price Data'!AH7)</f>
        <v>5.84</v>
      </c>
      <c r="AH8" s="526">
        <f>IF('CEM Price Data'!AI7="","",'CEM Price Data'!AI7)</f>
        <v>72.930000000000007</v>
      </c>
      <c r="AI8" s="526">
        <f>IF('CEM Price Data'!AJ7="","",'CEM Price Data'!AJ7)</f>
        <v>540.67999999999995</v>
      </c>
      <c r="AJ8" s="526">
        <f>IF('CEM Price Data'!AK7="","",'CEM Price Data'!AK7)</f>
        <v>164.38</v>
      </c>
      <c r="AK8" s="526">
        <f>IF('CEM Price Data'!AL7="","",'CEM Price Data'!AL7)</f>
        <v>203.72</v>
      </c>
      <c r="AL8" s="526">
        <f>IF('CEM Price Data'!AM7="","",'CEM Price Data'!AM7)</f>
        <v>346.66</v>
      </c>
      <c r="AM8" s="526">
        <f>IF('CEM Price Data'!AN7="","",'CEM Price Data'!AN7)</f>
        <v>252.17</v>
      </c>
      <c r="AN8" s="526">
        <f>IF('CEM Price Data'!AO7="","",'CEM Price Data'!AO7)</f>
        <v>13.83</v>
      </c>
    </row>
    <row r="9" spans="1:40">
      <c r="A9" s="525">
        <f>IF('CEM Price Data'!B8="","",'CEM Price Data'!B8)</f>
        <v>44917</v>
      </c>
      <c r="B9" s="526">
        <f>IF('CEM Price Data'!C8="","",'CEM Price Data'!C8)</f>
        <v>149.01</v>
      </c>
      <c r="C9" s="526">
        <f>IF('CEM Price Data'!D8="","",'CEM Price Data'!D8)</f>
        <v>108.03</v>
      </c>
      <c r="D9" s="526">
        <f>IF('CEM Price Data'!E8="","",'CEM Price Data'!E8)</f>
        <v>163.75</v>
      </c>
      <c r="E9" s="526">
        <f>IF('CEM Price Data'!F8="","",'CEM Price Data'!F8)</f>
        <v>122.97</v>
      </c>
      <c r="F9" s="526">
        <f>IF('CEM Price Data'!G8="","",'CEM Price Data'!G8)</f>
        <v>56.23</v>
      </c>
      <c r="G9" s="526">
        <f>IF('CEM Price Data'!H8="","",'CEM Price Data'!H8)</f>
        <v>312.60000000000002</v>
      </c>
      <c r="H9" s="526">
        <f>IF('CEM Price Data'!I8="","",'CEM Price Data'!I8)</f>
        <v>66.52</v>
      </c>
      <c r="I9" s="526">
        <f>IF('CEM Price Data'!J8="","",'CEM Price Data'!J8)</f>
        <v>73.83</v>
      </c>
      <c r="J9" s="526">
        <f>IF('CEM Price Data'!K8="","",'CEM Price Data'!K8)</f>
        <v>134.4</v>
      </c>
      <c r="K9" s="526">
        <f>IF('CEM Price Data'!L8="","",'CEM Price Data'!L8)</f>
        <v>299.58999999999997</v>
      </c>
      <c r="L9" s="526">
        <f>IF('CEM Price Data'!M8="","",'CEM Price Data'!M8)</f>
        <v>513.45000000000005</v>
      </c>
      <c r="M9" s="526">
        <f>IF('CEM Price Data'!N8="","",'CEM Price Data'!N8)</f>
        <v>114.9</v>
      </c>
      <c r="N9" s="526">
        <f>IF('CEM Price Data'!O8="","",'CEM Price Data'!O8)</f>
        <v>155.63</v>
      </c>
      <c r="O9" s="526">
        <f>IF('CEM Price Data'!P8="","",'CEM Price Data'!P8)</f>
        <v>100.2</v>
      </c>
      <c r="P9" s="526">
        <f>IF('CEM Price Data'!Q8="","",'CEM Price Data'!Q8)</f>
        <v>98.43</v>
      </c>
      <c r="Q9" s="526">
        <f>IF('CEM Price Data'!R8="","",'CEM Price Data'!R8)</f>
        <v>153.19999999999999</v>
      </c>
      <c r="R9" s="526">
        <f>IF('CEM Price Data'!S8="","",'CEM Price Data'!S8)</f>
        <v>176.67</v>
      </c>
      <c r="S9" s="526">
        <f>IF('CEM Price Data'!T8="","",'CEM Price Data'!T8)</f>
        <v>84.18</v>
      </c>
      <c r="T9" s="526">
        <f>IF('CEM Price Data'!U8="","",'CEM Price Data'!U8)</f>
        <v>111.24</v>
      </c>
      <c r="U9" s="526">
        <f>IF('CEM Price Data'!V8="","",'CEM Price Data'!V8)</f>
        <v>462.32</v>
      </c>
      <c r="V9" s="526">
        <f>IF('CEM Price Data'!W8="","",'CEM Price Data'!W8)</f>
        <v>255.42</v>
      </c>
      <c r="W9" s="526">
        <f>IF('CEM Price Data'!X8="","",'CEM Price Data'!X8)</f>
        <v>306.98</v>
      </c>
      <c r="X9" s="526">
        <f>IF('CEM Price Data'!Y8="","",'CEM Price Data'!Y8)</f>
        <v>531.37</v>
      </c>
      <c r="Y9" s="526">
        <f>IF('CEM Price Data'!Z8="","",'CEM Price Data'!Z8)</f>
        <v>281.97000000000003</v>
      </c>
      <c r="Z9" s="526">
        <f>IF('CEM Price Data'!AA8="","",'CEM Price Data'!AA8)</f>
        <v>80.489999999999995</v>
      </c>
      <c r="AA9" s="526">
        <f>IF('CEM Price Data'!AB8="","",'CEM Price Data'!AB8)</f>
        <v>128.6</v>
      </c>
      <c r="AB9" s="526">
        <f>IF('CEM Price Data'!AC8="","",'CEM Price Data'!AC8)</f>
        <v>90.5</v>
      </c>
      <c r="AC9" s="526">
        <f>IF('CEM Price Data'!AD8="","",'CEM Price Data'!AD8)</f>
        <v>131.76</v>
      </c>
      <c r="AD9" s="526">
        <f>IF('CEM Price Data'!AE8="","",'CEM Price Data'!AE8)</f>
        <v>36.97</v>
      </c>
      <c r="AE9" s="526">
        <f>IF('CEM Price Data'!AF8="","",'CEM Price Data'!AF8)</f>
        <v>241.3</v>
      </c>
      <c r="AF9" s="526">
        <f>IF('CEM Price Data'!AG8="","",'CEM Price Data'!AG8)</f>
        <v>90.25</v>
      </c>
      <c r="AG9" s="526">
        <f>IF('CEM Price Data'!AH8="","",'CEM Price Data'!AH8)</f>
        <v>5.81</v>
      </c>
      <c r="AH9" s="526">
        <f>IF('CEM Price Data'!AI8="","",'CEM Price Data'!AI8)</f>
        <v>72.3</v>
      </c>
      <c r="AI9" s="526">
        <f>IF('CEM Price Data'!AJ8="","",'CEM Price Data'!AJ8)</f>
        <v>539.14</v>
      </c>
      <c r="AJ9" s="526">
        <f>IF('CEM Price Data'!AK8="","",'CEM Price Data'!AK8)</f>
        <v>164.7</v>
      </c>
      <c r="AK9" s="526">
        <f>IF('CEM Price Data'!AL8="","",'CEM Price Data'!AL8)</f>
        <v>203.43</v>
      </c>
      <c r="AL9" s="526">
        <f>IF('CEM Price Data'!AM8="","",'CEM Price Data'!AM8)</f>
        <v>344.3</v>
      </c>
      <c r="AM9" s="526">
        <f>IF('CEM Price Data'!AN8="","",'CEM Price Data'!AN8)</f>
        <v>249.03</v>
      </c>
      <c r="AN9" s="526">
        <f>IF('CEM Price Data'!AO8="","",'CEM Price Data'!AO8)</f>
        <v>13.61</v>
      </c>
    </row>
    <row r="10" spans="1:40">
      <c r="A10" s="525">
        <f>IF('CEM Price Data'!B9="","",'CEM Price Data'!B9)</f>
        <v>44916</v>
      </c>
      <c r="B10" s="526">
        <f>IF('CEM Price Data'!C9="","",'CEM Price Data'!C9)</f>
        <v>150.09</v>
      </c>
      <c r="C10" s="526">
        <f>IF('CEM Price Data'!D9="","",'CEM Price Data'!D9)</f>
        <v>108.14</v>
      </c>
      <c r="D10" s="526">
        <f>IF('CEM Price Data'!E9="","",'CEM Price Data'!E9)</f>
        <v>167.41</v>
      </c>
      <c r="E10" s="526">
        <f>IF('CEM Price Data'!F9="","",'CEM Price Data'!F9)</f>
        <v>123.53</v>
      </c>
      <c r="F10" s="526">
        <f>IF('CEM Price Data'!G9="","",'CEM Price Data'!G9)</f>
        <v>57.24</v>
      </c>
      <c r="G10" s="526">
        <f>IF('CEM Price Data'!H9="","",'CEM Price Data'!H9)</f>
        <v>314.49</v>
      </c>
      <c r="H10" s="526">
        <f>IF('CEM Price Data'!I9="","",'CEM Price Data'!I9)</f>
        <v>66.819999999999993</v>
      </c>
      <c r="I10" s="526">
        <f>IF('CEM Price Data'!J9="","",'CEM Price Data'!J9)</f>
        <v>73.33</v>
      </c>
      <c r="J10" s="526">
        <f>IF('CEM Price Data'!K9="","",'CEM Price Data'!K9)</f>
        <v>136.33000000000001</v>
      </c>
      <c r="K10" s="526">
        <f>IF('CEM Price Data'!L9="","",'CEM Price Data'!L9)</f>
        <v>303.64</v>
      </c>
      <c r="L10" s="526">
        <f>IF('CEM Price Data'!M9="","",'CEM Price Data'!M9)</f>
        <v>514.48</v>
      </c>
      <c r="M10" s="526">
        <f>IF('CEM Price Data'!N9="","",'CEM Price Data'!N9)</f>
        <v>120.18</v>
      </c>
      <c r="N10" s="526">
        <f>IF('CEM Price Data'!O9="","",'CEM Price Data'!O9)</f>
        <v>155.30000000000001</v>
      </c>
      <c r="O10" s="526">
        <f>IF('CEM Price Data'!P9="","",'CEM Price Data'!P9)</f>
        <v>100.86</v>
      </c>
      <c r="P10" s="526">
        <f>IF('CEM Price Data'!Q9="","",'CEM Price Data'!Q9)</f>
        <v>99.05</v>
      </c>
      <c r="Q10" s="526">
        <f>IF('CEM Price Data'!R9="","",'CEM Price Data'!R9)</f>
        <v>154.34</v>
      </c>
      <c r="R10" s="526">
        <f>IF('CEM Price Data'!S9="","",'CEM Price Data'!S9)</f>
        <v>178.29</v>
      </c>
      <c r="S10" s="526">
        <f>IF('CEM Price Data'!T9="","",'CEM Price Data'!T9)</f>
        <v>84.25</v>
      </c>
      <c r="T10" s="526">
        <f>IF('CEM Price Data'!U9="","",'CEM Price Data'!U9)</f>
        <v>111.11</v>
      </c>
      <c r="U10" s="526">
        <f>IF('CEM Price Data'!V9="","",'CEM Price Data'!V9)</f>
        <v>472.36</v>
      </c>
      <c r="V10" s="526">
        <f>IF('CEM Price Data'!W9="","",'CEM Price Data'!W9)</f>
        <v>257.5</v>
      </c>
      <c r="W10" s="526">
        <f>IF('CEM Price Data'!X9="","",'CEM Price Data'!X9)</f>
        <v>308.86</v>
      </c>
      <c r="X10" s="526">
        <f>IF('CEM Price Data'!Y9="","",'CEM Price Data'!Y9)</f>
        <v>538.79</v>
      </c>
      <c r="Y10" s="526">
        <f>IF('CEM Price Data'!Z9="","",'CEM Price Data'!Z9)</f>
        <v>287.31</v>
      </c>
      <c r="Z10" s="526">
        <f>IF('CEM Price Data'!AA9="","",'CEM Price Data'!AA9)</f>
        <v>81.5</v>
      </c>
      <c r="AA10" s="526">
        <f>IF('CEM Price Data'!AB9="","",'CEM Price Data'!AB9)</f>
        <v>129.12</v>
      </c>
      <c r="AB10" s="526">
        <f>IF('CEM Price Data'!AC9="","",'CEM Price Data'!AC9)</f>
        <v>90.85</v>
      </c>
      <c r="AC10" s="526">
        <f>IF('CEM Price Data'!AD9="","",'CEM Price Data'!AD9)</f>
        <v>132.75</v>
      </c>
      <c r="AD10" s="526">
        <f>IF('CEM Price Data'!AE9="","",'CEM Price Data'!AE9)</f>
        <v>37.39</v>
      </c>
      <c r="AE10" s="526">
        <f>IF('CEM Price Data'!AF9="","",'CEM Price Data'!AF9)</f>
        <v>242.21</v>
      </c>
      <c r="AF10" s="526">
        <f>IF('CEM Price Data'!AG9="","",'CEM Price Data'!AG9)</f>
        <v>91.8</v>
      </c>
      <c r="AG10" s="526">
        <f>IF('CEM Price Data'!AH9="","",'CEM Price Data'!AH9)</f>
        <v>5.9</v>
      </c>
      <c r="AH10" s="526">
        <f>IF('CEM Price Data'!AI9="","",'CEM Price Data'!AI9)</f>
        <v>72.97</v>
      </c>
      <c r="AI10" s="526">
        <f>IF('CEM Price Data'!AJ9="","",'CEM Price Data'!AJ9)</f>
        <v>539.89</v>
      </c>
      <c r="AJ10" s="526">
        <f>IF('CEM Price Data'!AK9="","",'CEM Price Data'!AK9)</f>
        <v>168.73</v>
      </c>
      <c r="AK10" s="526">
        <f>IF('CEM Price Data'!AL9="","",'CEM Price Data'!AL9)</f>
        <v>204.81</v>
      </c>
      <c r="AL10" s="526">
        <f>IF('CEM Price Data'!AM9="","",'CEM Price Data'!AM9)</f>
        <v>346.78</v>
      </c>
      <c r="AM10" s="526">
        <f>IF('CEM Price Data'!AN9="","",'CEM Price Data'!AN9)</f>
        <v>254.68</v>
      </c>
      <c r="AN10" s="526">
        <f>IF('CEM Price Data'!AO9="","",'CEM Price Data'!AO9)</f>
        <v>13.72</v>
      </c>
    </row>
    <row r="11" spans="1:40">
      <c r="A11" s="525">
        <f>IF('CEM Price Data'!B10="","",'CEM Price Data'!B10)</f>
        <v>44915</v>
      </c>
      <c r="B11" s="526">
        <f>IF('CEM Price Data'!C10="","",'CEM Price Data'!C10)</f>
        <v>147.93</v>
      </c>
      <c r="C11" s="526">
        <f>IF('CEM Price Data'!D10="","",'CEM Price Data'!D10)</f>
        <v>106.49</v>
      </c>
      <c r="D11" s="526">
        <f>IF('CEM Price Data'!E10="","",'CEM Price Data'!E10)</f>
        <v>164.33</v>
      </c>
      <c r="E11" s="526">
        <f>IF('CEM Price Data'!F10="","",'CEM Price Data'!F10)</f>
        <v>122.05</v>
      </c>
      <c r="F11" s="526">
        <f>IF('CEM Price Data'!G10="","",'CEM Price Data'!G10)</f>
        <v>56.34</v>
      </c>
      <c r="G11" s="526">
        <f>IF('CEM Price Data'!H10="","",'CEM Price Data'!H10)</f>
        <v>312.54000000000002</v>
      </c>
      <c r="H11" s="526">
        <f>IF('CEM Price Data'!I10="","",'CEM Price Data'!I10)</f>
        <v>65.099999999999994</v>
      </c>
      <c r="I11" s="526">
        <f>IF('CEM Price Data'!J10="","",'CEM Price Data'!J10)</f>
        <v>72.650000000000006</v>
      </c>
      <c r="J11" s="526">
        <f>IF('CEM Price Data'!K10="","",'CEM Price Data'!K10)</f>
        <v>133.41</v>
      </c>
      <c r="K11" s="526">
        <f>IF('CEM Price Data'!L10="","",'CEM Price Data'!L10)</f>
        <v>298.14999999999998</v>
      </c>
      <c r="L11" s="526">
        <f>IF('CEM Price Data'!M10="","",'CEM Price Data'!M10)</f>
        <v>505.17</v>
      </c>
      <c r="M11" s="526">
        <f>IF('CEM Price Data'!N10="","",'CEM Price Data'!N10)</f>
        <v>118.5</v>
      </c>
      <c r="N11" s="526">
        <f>IF('CEM Price Data'!O10="","",'CEM Price Data'!O10)</f>
        <v>150.19999999999999</v>
      </c>
      <c r="O11" s="526">
        <f>IF('CEM Price Data'!P10="","",'CEM Price Data'!P10)</f>
        <v>99.06</v>
      </c>
      <c r="P11" s="526">
        <f>IF('CEM Price Data'!Q10="","",'CEM Price Data'!Q10)</f>
        <v>97.48</v>
      </c>
      <c r="Q11" s="526">
        <f>IF('CEM Price Data'!R10="","",'CEM Price Data'!R10)</f>
        <v>151.78</v>
      </c>
      <c r="R11" s="526">
        <f>IF('CEM Price Data'!S10="","",'CEM Price Data'!S10)</f>
        <v>176.47</v>
      </c>
      <c r="S11" s="526">
        <f>IF('CEM Price Data'!T10="","",'CEM Price Data'!T10)</f>
        <v>82.99</v>
      </c>
      <c r="T11" s="526">
        <f>IF('CEM Price Data'!U10="","",'CEM Price Data'!U10)</f>
        <v>109.71</v>
      </c>
      <c r="U11" s="526">
        <f>IF('CEM Price Data'!V10="","",'CEM Price Data'!V10)</f>
        <v>458</v>
      </c>
      <c r="V11" s="526">
        <f>IF('CEM Price Data'!W10="","",'CEM Price Data'!W10)</f>
        <v>255.82</v>
      </c>
      <c r="W11" s="526">
        <f>IF('CEM Price Data'!X10="","",'CEM Price Data'!X10)</f>
        <v>305.64</v>
      </c>
      <c r="X11" s="526">
        <f>IF('CEM Price Data'!Y10="","",'CEM Price Data'!Y10)</f>
        <v>529.57000000000005</v>
      </c>
      <c r="Y11" s="526">
        <f>IF('CEM Price Data'!Z10="","",'CEM Price Data'!Z10)</f>
        <v>284.20999999999998</v>
      </c>
      <c r="Z11" s="526">
        <f>IF('CEM Price Data'!AA10="","",'CEM Price Data'!AA10)</f>
        <v>80.94</v>
      </c>
      <c r="AA11" s="526">
        <f>IF('CEM Price Data'!AB10="","",'CEM Price Data'!AB10)</f>
        <v>127.19</v>
      </c>
      <c r="AB11" s="526">
        <f>IF('CEM Price Data'!AC10="","",'CEM Price Data'!AC10)</f>
        <v>90.12</v>
      </c>
      <c r="AC11" s="526">
        <f>IF('CEM Price Data'!AD10="","",'CEM Price Data'!AD10)</f>
        <v>129.80000000000001</v>
      </c>
      <c r="AD11" s="526">
        <f>IF('CEM Price Data'!AE10="","",'CEM Price Data'!AE10)</f>
        <v>37.119999999999997</v>
      </c>
      <c r="AE11" s="526">
        <f>IF('CEM Price Data'!AF10="","",'CEM Price Data'!AF10)</f>
        <v>238.58</v>
      </c>
      <c r="AF11" s="526">
        <f>IF('CEM Price Data'!AG10="","",'CEM Price Data'!AG10)</f>
        <v>89.74</v>
      </c>
      <c r="AG11" s="526">
        <f>IF('CEM Price Data'!AH10="","",'CEM Price Data'!AH10)</f>
        <v>5.87</v>
      </c>
      <c r="AH11" s="526">
        <f>IF('CEM Price Data'!AI10="","",'CEM Price Data'!AI10)</f>
        <v>71.930000000000007</v>
      </c>
      <c r="AI11" s="526">
        <f>IF('CEM Price Data'!AJ10="","",'CEM Price Data'!AJ10)</f>
        <v>528.5</v>
      </c>
      <c r="AJ11" s="526">
        <f>IF('CEM Price Data'!AK10="","",'CEM Price Data'!AK10)</f>
        <v>166.09</v>
      </c>
      <c r="AK11" s="526">
        <f>IF('CEM Price Data'!AL10="","",'CEM Price Data'!AL10)</f>
        <v>202.74</v>
      </c>
      <c r="AL11" s="526">
        <f>IF('CEM Price Data'!AM10="","",'CEM Price Data'!AM10)</f>
        <v>339.14</v>
      </c>
      <c r="AM11" s="526">
        <f>IF('CEM Price Data'!AN10="","",'CEM Price Data'!AN10)</f>
        <v>251.49</v>
      </c>
      <c r="AN11" s="526">
        <f>IF('CEM Price Data'!AO10="","",'CEM Price Data'!AO10)</f>
        <v>13.51</v>
      </c>
    </row>
    <row r="12" spans="1:40">
      <c r="A12" s="525">
        <f>IF('CEM Price Data'!B11="","",'CEM Price Data'!B11)</f>
        <v>44914</v>
      </c>
      <c r="B12" s="526">
        <f>IF('CEM Price Data'!C11="","",'CEM Price Data'!C11)</f>
        <v>146.94999999999999</v>
      </c>
      <c r="C12" s="526">
        <f>IF('CEM Price Data'!D11="","",'CEM Price Data'!D11)</f>
        <v>106.59</v>
      </c>
      <c r="D12" s="526">
        <f>IF('CEM Price Data'!E11="","",'CEM Price Data'!E11)</f>
        <v>165.14</v>
      </c>
      <c r="E12" s="526">
        <f>IF('CEM Price Data'!F11="","",'CEM Price Data'!F11)</f>
        <v>122.95</v>
      </c>
      <c r="F12" s="526">
        <f>IF('CEM Price Data'!G11="","",'CEM Price Data'!G11)</f>
        <v>56.06</v>
      </c>
      <c r="G12" s="526">
        <f>IF('CEM Price Data'!H11="","",'CEM Price Data'!H11)</f>
        <v>313.72000000000003</v>
      </c>
      <c r="H12" s="526">
        <f>IF('CEM Price Data'!I11="","",'CEM Price Data'!I11)</f>
        <v>65.459999999999994</v>
      </c>
      <c r="I12" s="526">
        <f>IF('CEM Price Data'!J11="","",'CEM Price Data'!J11)</f>
        <v>73.16</v>
      </c>
      <c r="J12" s="526">
        <f>IF('CEM Price Data'!K11="","",'CEM Price Data'!K11)</f>
        <v>133.21</v>
      </c>
      <c r="K12" s="526">
        <f>IF('CEM Price Data'!L11="","",'CEM Price Data'!L11)</f>
        <v>297.10000000000002</v>
      </c>
      <c r="L12" s="526">
        <f>IF('CEM Price Data'!M11="","",'CEM Price Data'!M11)</f>
        <v>501.02</v>
      </c>
      <c r="M12" s="526">
        <f>IF('CEM Price Data'!N11="","",'CEM Price Data'!N11)</f>
        <v>118.73</v>
      </c>
      <c r="N12" s="526">
        <f>IF('CEM Price Data'!O11="","",'CEM Price Data'!O11)</f>
        <v>151.44999999999999</v>
      </c>
      <c r="O12" s="526">
        <f>IF('CEM Price Data'!P11="","",'CEM Price Data'!P11)</f>
        <v>97.05</v>
      </c>
      <c r="P12" s="526">
        <f>IF('CEM Price Data'!Q11="","",'CEM Price Data'!Q11)</f>
        <v>97.13</v>
      </c>
      <c r="Q12" s="526">
        <f>IF('CEM Price Data'!R11="","",'CEM Price Data'!R11)</f>
        <v>153.32</v>
      </c>
      <c r="R12" s="526">
        <f>IF('CEM Price Data'!S11="","",'CEM Price Data'!S11)</f>
        <v>175.37</v>
      </c>
      <c r="S12" s="526">
        <f>IF('CEM Price Data'!T11="","",'CEM Price Data'!T11)</f>
        <v>82.84</v>
      </c>
      <c r="T12" s="526">
        <f>IF('CEM Price Data'!U11="","",'CEM Price Data'!U11)</f>
        <v>109.44</v>
      </c>
      <c r="U12" s="526">
        <f>IF('CEM Price Data'!V11="","",'CEM Price Data'!V11)</f>
        <v>461.94</v>
      </c>
      <c r="V12" s="526">
        <f>IF('CEM Price Data'!W11="","",'CEM Price Data'!W11)</f>
        <v>254.59</v>
      </c>
      <c r="W12" s="526">
        <f>IF('CEM Price Data'!X11="","",'CEM Price Data'!X11)</f>
        <v>299.83999999999997</v>
      </c>
      <c r="X12" s="526">
        <f>IF('CEM Price Data'!Y11="","",'CEM Price Data'!Y11)</f>
        <v>532.52</v>
      </c>
      <c r="Y12" s="526">
        <f>IF('CEM Price Data'!Z11="","",'CEM Price Data'!Z11)</f>
        <v>290.19</v>
      </c>
      <c r="Z12" s="526">
        <f>IF('CEM Price Data'!AA11="","",'CEM Price Data'!AA11)</f>
        <v>80.5</v>
      </c>
      <c r="AA12" s="526">
        <f>IF('CEM Price Data'!AB11="","",'CEM Price Data'!AB11)</f>
        <v>127.07</v>
      </c>
      <c r="AB12" s="526">
        <f>IF('CEM Price Data'!AC11="","",'CEM Price Data'!AC11)</f>
        <v>90.18</v>
      </c>
      <c r="AC12" s="526">
        <f>IF('CEM Price Data'!AD11="","",'CEM Price Data'!AD11)</f>
        <v>125.39</v>
      </c>
      <c r="AD12" s="526">
        <f>IF('CEM Price Data'!AE11="","",'CEM Price Data'!AE11)</f>
        <v>36.94</v>
      </c>
      <c r="AE12" s="526">
        <f>IF('CEM Price Data'!AF11="","",'CEM Price Data'!AF11)</f>
        <v>238.11</v>
      </c>
      <c r="AF12" s="526">
        <f>IF('CEM Price Data'!AG11="","",'CEM Price Data'!AG11)</f>
        <v>87.93</v>
      </c>
      <c r="AG12" s="526">
        <f>IF('CEM Price Data'!AH11="","",'CEM Price Data'!AH11)</f>
        <v>5.9</v>
      </c>
      <c r="AH12" s="526">
        <f>IF('CEM Price Data'!AI11="","",'CEM Price Data'!AI11)</f>
        <v>71.62</v>
      </c>
      <c r="AI12" s="526">
        <f>IF('CEM Price Data'!AJ11="","",'CEM Price Data'!AJ11)</f>
        <v>530.16999999999996</v>
      </c>
      <c r="AJ12" s="526">
        <f>IF('CEM Price Data'!AK11="","",'CEM Price Data'!AK11)</f>
        <v>167.61</v>
      </c>
      <c r="AK12" s="526">
        <f>IF('CEM Price Data'!AL11="","",'CEM Price Data'!AL11)</f>
        <v>200.49</v>
      </c>
      <c r="AL12" s="526">
        <f>IF('CEM Price Data'!AM11="","",'CEM Price Data'!AM11)</f>
        <v>337.3</v>
      </c>
      <c r="AM12" s="526">
        <f>IF('CEM Price Data'!AN11="","",'CEM Price Data'!AN11)</f>
        <v>251.32</v>
      </c>
      <c r="AN12" s="526">
        <f>IF('CEM Price Data'!AO11="","",'CEM Price Data'!AO11)</f>
        <v>13.49</v>
      </c>
    </row>
    <row r="13" spans="1:40">
      <c r="A13" s="525">
        <f>IF('CEM Price Data'!B12="","",'CEM Price Data'!B12)</f>
        <v>44911</v>
      </c>
      <c r="B13" s="526">
        <f>IF('CEM Price Data'!C12="","",'CEM Price Data'!C12)</f>
        <v>149.30000000000001</v>
      </c>
      <c r="C13" s="526">
        <f>IF('CEM Price Data'!D12="","",'CEM Price Data'!D12)</f>
        <v>106.91</v>
      </c>
      <c r="D13" s="526">
        <f>IF('CEM Price Data'!E12="","",'CEM Price Data'!E12)</f>
        <v>166.82</v>
      </c>
      <c r="E13" s="526">
        <f>IF('CEM Price Data'!F12="","",'CEM Price Data'!F12)</f>
        <v>123.62</v>
      </c>
      <c r="F13" s="526">
        <f>IF('CEM Price Data'!G12="","",'CEM Price Data'!G12)</f>
        <v>56.05</v>
      </c>
      <c r="G13" s="526">
        <f>IF('CEM Price Data'!H12="","",'CEM Price Data'!H12)</f>
        <v>316.42</v>
      </c>
      <c r="H13" s="526">
        <f>IF('CEM Price Data'!I12="","",'CEM Price Data'!I12)</f>
        <v>65.86</v>
      </c>
      <c r="I13" s="526">
        <f>IF('CEM Price Data'!J12="","",'CEM Price Data'!J12)</f>
        <v>73.489999999999995</v>
      </c>
      <c r="J13" s="526">
        <f>IF('CEM Price Data'!K12="","",'CEM Price Data'!K12)</f>
        <v>133.35</v>
      </c>
      <c r="K13" s="526">
        <f>IF('CEM Price Data'!L12="","",'CEM Price Data'!L12)</f>
        <v>301.98</v>
      </c>
      <c r="L13" s="526">
        <f>IF('CEM Price Data'!M12="","",'CEM Price Data'!M12)</f>
        <v>502.89</v>
      </c>
      <c r="M13" s="526">
        <f>IF('CEM Price Data'!N12="","",'CEM Price Data'!N12)</f>
        <v>116.42</v>
      </c>
      <c r="N13" s="526">
        <f>IF('CEM Price Data'!O12="","",'CEM Price Data'!O12)</f>
        <v>149.24</v>
      </c>
      <c r="O13" s="526">
        <f>IF('CEM Price Data'!P12="","",'CEM Price Data'!P12)</f>
        <v>100.12</v>
      </c>
      <c r="P13" s="526">
        <f>IF('CEM Price Data'!Q12="","",'CEM Price Data'!Q12)</f>
        <v>97.97</v>
      </c>
      <c r="Q13" s="526">
        <f>IF('CEM Price Data'!R12="","",'CEM Price Data'!R12)</f>
        <v>151.79</v>
      </c>
      <c r="R13" s="526">
        <f>IF('CEM Price Data'!S12="","",'CEM Price Data'!S12)</f>
        <v>177.55</v>
      </c>
      <c r="S13" s="526">
        <f>IF('CEM Price Data'!T12="","",'CEM Price Data'!T12)</f>
        <v>83.41</v>
      </c>
      <c r="T13" s="526">
        <f>IF('CEM Price Data'!U12="","",'CEM Price Data'!U12)</f>
        <v>109.2</v>
      </c>
      <c r="U13" s="526">
        <f>IF('CEM Price Data'!V12="","",'CEM Price Data'!V12)</f>
        <v>471.59</v>
      </c>
      <c r="V13" s="526">
        <f>IF('CEM Price Data'!W12="","",'CEM Price Data'!W12)</f>
        <v>252.44</v>
      </c>
      <c r="W13" s="526">
        <f>IF('CEM Price Data'!X12="","",'CEM Price Data'!X12)</f>
        <v>303.49</v>
      </c>
      <c r="X13" s="526">
        <f>IF('CEM Price Data'!Y12="","",'CEM Price Data'!Y12)</f>
        <v>529.87</v>
      </c>
      <c r="Y13" s="526">
        <f>IF('CEM Price Data'!Z12="","",'CEM Price Data'!Z12)</f>
        <v>294.88</v>
      </c>
      <c r="Z13" s="526">
        <f>IF('CEM Price Data'!AA12="","",'CEM Price Data'!AA12)</f>
        <v>79.58</v>
      </c>
      <c r="AA13" s="526">
        <f>IF('CEM Price Data'!AB12="","",'CEM Price Data'!AB12)</f>
        <v>126.45</v>
      </c>
      <c r="AB13" s="526">
        <f>IF('CEM Price Data'!AC12="","",'CEM Price Data'!AC12)</f>
        <v>90.81</v>
      </c>
      <c r="AC13" s="526">
        <f>IF('CEM Price Data'!AD12="","",'CEM Price Data'!AD12)</f>
        <v>126.71</v>
      </c>
      <c r="AD13" s="526">
        <f>IF('CEM Price Data'!AE12="","",'CEM Price Data'!AE12)</f>
        <v>36.76</v>
      </c>
      <c r="AE13" s="526">
        <f>IF('CEM Price Data'!AF12="","",'CEM Price Data'!AF12)</f>
        <v>240.47</v>
      </c>
      <c r="AF13" s="526">
        <f>IF('CEM Price Data'!AG12="","",'CEM Price Data'!AG12)</f>
        <v>86.5</v>
      </c>
      <c r="AG13" s="526">
        <f>IF('CEM Price Data'!AH12="","",'CEM Price Data'!AH12)</f>
        <v>5.96</v>
      </c>
      <c r="AH13" s="526">
        <f>IF('CEM Price Data'!AI12="","",'CEM Price Data'!AI12)</f>
        <v>72.63</v>
      </c>
      <c r="AI13" s="526">
        <f>IF('CEM Price Data'!AJ12="","",'CEM Price Data'!AJ12)</f>
        <v>536.44000000000005</v>
      </c>
      <c r="AJ13" s="526">
        <f>IF('CEM Price Data'!AK12="","",'CEM Price Data'!AK12)</f>
        <v>169.55</v>
      </c>
      <c r="AK13" s="526">
        <f>IF('CEM Price Data'!AL12="","",'CEM Price Data'!AL12)</f>
        <v>200.65</v>
      </c>
      <c r="AL13" s="526">
        <f>IF('CEM Price Data'!AM12="","",'CEM Price Data'!AM12)</f>
        <v>338.48</v>
      </c>
      <c r="AM13" s="526">
        <f>IF('CEM Price Data'!AN12="","",'CEM Price Data'!AN12)</f>
        <v>255.35</v>
      </c>
      <c r="AN13" s="526">
        <f>IF('CEM Price Data'!AO12="","",'CEM Price Data'!AO12)</f>
        <v>13.28</v>
      </c>
    </row>
    <row r="14" spans="1:40">
      <c r="A14" s="525">
        <f>IF('CEM Price Data'!B13="","",'CEM Price Data'!B13)</f>
        <v>44910</v>
      </c>
      <c r="B14" s="526">
        <f>IF('CEM Price Data'!C13="","",'CEM Price Data'!C13)</f>
        <v>150.86000000000001</v>
      </c>
      <c r="C14" s="526">
        <f>IF('CEM Price Data'!D13="","",'CEM Price Data'!D13)</f>
        <v>108.52</v>
      </c>
      <c r="D14" s="526">
        <f>IF('CEM Price Data'!E13="","",'CEM Price Data'!E13)</f>
        <v>166.09</v>
      </c>
      <c r="E14" s="526">
        <f>IF('CEM Price Data'!F13="","",'CEM Price Data'!F13)</f>
        <v>125.03</v>
      </c>
      <c r="F14" s="526">
        <f>IF('CEM Price Data'!G13="","",'CEM Price Data'!G13)</f>
        <v>56.8</v>
      </c>
      <c r="G14" s="526">
        <f>IF('CEM Price Data'!H13="","",'CEM Price Data'!H13)</f>
        <v>316.24</v>
      </c>
      <c r="H14" s="526">
        <f>IF('CEM Price Data'!I13="","",'CEM Price Data'!I13)</f>
        <v>66.86</v>
      </c>
      <c r="I14" s="526">
        <f>IF('CEM Price Data'!J13="","",'CEM Price Data'!J13)</f>
        <v>75</v>
      </c>
      <c r="J14" s="526">
        <f>IF('CEM Price Data'!K13="","",'CEM Price Data'!K13)</f>
        <v>134.96</v>
      </c>
      <c r="K14" s="526">
        <f>IF('CEM Price Data'!L13="","",'CEM Price Data'!L13)</f>
        <v>300.45</v>
      </c>
      <c r="L14" s="526">
        <f>IF('CEM Price Data'!M13="","",'CEM Price Data'!M13)</f>
        <v>503.79</v>
      </c>
      <c r="M14" s="526">
        <f>IF('CEM Price Data'!N13="","",'CEM Price Data'!N13)</f>
        <v>114.37</v>
      </c>
      <c r="N14" s="526">
        <f>IF('CEM Price Data'!O13="","",'CEM Price Data'!O13)</f>
        <v>149.22</v>
      </c>
      <c r="O14" s="526">
        <f>IF('CEM Price Data'!P13="","",'CEM Price Data'!P13)</f>
        <v>100.54</v>
      </c>
      <c r="P14" s="526">
        <f>IF('CEM Price Data'!Q13="","",'CEM Price Data'!Q13)</f>
        <v>98.41</v>
      </c>
      <c r="Q14" s="526">
        <f>IF('CEM Price Data'!R13="","",'CEM Price Data'!R13)</f>
        <v>153.19</v>
      </c>
      <c r="R14" s="526">
        <f>IF('CEM Price Data'!S13="","",'CEM Price Data'!S13)</f>
        <v>177.93</v>
      </c>
      <c r="S14" s="526">
        <f>IF('CEM Price Data'!T13="","",'CEM Price Data'!T13)</f>
        <v>84.46</v>
      </c>
      <c r="T14" s="526">
        <f>IF('CEM Price Data'!U13="","",'CEM Price Data'!U13)</f>
        <v>109.63</v>
      </c>
      <c r="U14" s="526">
        <f>IF('CEM Price Data'!V13="","",'CEM Price Data'!V13)</f>
        <v>476.68</v>
      </c>
      <c r="V14" s="526">
        <f>IF('CEM Price Data'!W13="","",'CEM Price Data'!W13)</f>
        <v>257.14</v>
      </c>
      <c r="W14" s="526">
        <f>IF('CEM Price Data'!X13="","",'CEM Price Data'!X13)</f>
        <v>300.35000000000002</v>
      </c>
      <c r="X14" s="526">
        <f>IF('CEM Price Data'!Y13="","",'CEM Price Data'!Y13)</f>
        <v>528.49</v>
      </c>
      <c r="Y14" s="526">
        <f>IF('CEM Price Data'!Z13="","",'CEM Price Data'!Z13)</f>
        <v>299.14</v>
      </c>
      <c r="Z14" s="526">
        <f>IF('CEM Price Data'!AA13="","",'CEM Price Data'!AA13)</f>
        <v>80.069999999999993</v>
      </c>
      <c r="AA14" s="526">
        <f>IF('CEM Price Data'!AB13="","",'CEM Price Data'!AB13)</f>
        <v>127.66</v>
      </c>
      <c r="AB14" s="526">
        <f>IF('CEM Price Data'!AC13="","",'CEM Price Data'!AC13)</f>
        <v>91.46</v>
      </c>
      <c r="AC14" s="526">
        <f>IF('CEM Price Data'!AD13="","",'CEM Price Data'!AD13)</f>
        <v>125.65</v>
      </c>
      <c r="AD14" s="526">
        <f>IF('CEM Price Data'!AE13="","",'CEM Price Data'!AE13)</f>
        <v>37.19</v>
      </c>
      <c r="AE14" s="526">
        <f>IF('CEM Price Data'!AF13="","",'CEM Price Data'!AF13)</f>
        <v>244.19</v>
      </c>
      <c r="AF14" s="526">
        <f>IF('CEM Price Data'!AG13="","",'CEM Price Data'!AG13)</f>
        <v>86.08</v>
      </c>
      <c r="AG14" s="526">
        <f>IF('CEM Price Data'!AH13="","",'CEM Price Data'!AH13)</f>
        <v>5.97</v>
      </c>
      <c r="AH14" s="526">
        <f>IF('CEM Price Data'!AI13="","",'CEM Price Data'!AI13)</f>
        <v>72.44</v>
      </c>
      <c r="AI14" s="526">
        <f>IF('CEM Price Data'!AJ13="","",'CEM Price Data'!AJ13)</f>
        <v>553.79</v>
      </c>
      <c r="AJ14" s="526">
        <f>IF('CEM Price Data'!AK13="","",'CEM Price Data'!AK13)</f>
        <v>170.01</v>
      </c>
      <c r="AK14" s="526">
        <f>IF('CEM Price Data'!AL13="","",'CEM Price Data'!AL13)</f>
        <v>199.67</v>
      </c>
      <c r="AL14" s="526">
        <f>IF('CEM Price Data'!AM13="","",'CEM Price Data'!AM13)</f>
        <v>342.43</v>
      </c>
      <c r="AM14" s="526">
        <f>IF('CEM Price Data'!AN13="","",'CEM Price Data'!AN13)</f>
        <v>258.19</v>
      </c>
      <c r="AN14" s="526">
        <f>IF('CEM Price Data'!AO13="","",'CEM Price Data'!AO13)</f>
        <v>13.76</v>
      </c>
    </row>
    <row r="15" spans="1:40">
      <c r="A15" s="525">
        <f>IF('CEM Price Data'!B14="","",'CEM Price Data'!B14)</f>
        <v>44909</v>
      </c>
      <c r="B15" s="526">
        <f>IF('CEM Price Data'!C14="","",'CEM Price Data'!C14)</f>
        <v>154.81</v>
      </c>
      <c r="C15" s="526">
        <f>IF('CEM Price Data'!D14="","",'CEM Price Data'!D14)</f>
        <v>111.26</v>
      </c>
      <c r="D15" s="526">
        <f>IF('CEM Price Data'!E14="","",'CEM Price Data'!E14)</f>
        <v>171.68</v>
      </c>
      <c r="E15" s="526">
        <f>IF('CEM Price Data'!F14="","",'CEM Price Data'!F14)</f>
        <v>125.64</v>
      </c>
      <c r="F15" s="526">
        <f>IF('CEM Price Data'!G14="","",'CEM Price Data'!G14)</f>
        <v>58.88</v>
      </c>
      <c r="G15" s="526">
        <f>IF('CEM Price Data'!H14="","",'CEM Price Data'!H14)</f>
        <v>325.12</v>
      </c>
      <c r="H15" s="526">
        <f>IF('CEM Price Data'!I14="","",'CEM Price Data'!I14)</f>
        <v>68.94</v>
      </c>
      <c r="I15" s="526">
        <f>IF('CEM Price Data'!J14="","",'CEM Price Data'!J14)</f>
        <v>77.14</v>
      </c>
      <c r="J15" s="526">
        <f>IF('CEM Price Data'!K14="","",'CEM Price Data'!K14)</f>
        <v>140.85</v>
      </c>
      <c r="K15" s="526">
        <f>IF('CEM Price Data'!L14="","",'CEM Price Data'!L14)</f>
        <v>304.7</v>
      </c>
      <c r="L15" s="526">
        <f>IF('CEM Price Data'!M14="","",'CEM Price Data'!M14)</f>
        <v>518.35</v>
      </c>
      <c r="M15" s="526">
        <f>IF('CEM Price Data'!N14="","",'CEM Price Data'!N14)</f>
        <v>116.06</v>
      </c>
      <c r="N15" s="526">
        <f>IF('CEM Price Data'!O14="","",'CEM Price Data'!O14)</f>
        <v>151.11000000000001</v>
      </c>
      <c r="O15" s="526">
        <f>IF('CEM Price Data'!P14="","",'CEM Price Data'!P14)</f>
        <v>104.71</v>
      </c>
      <c r="P15" s="526">
        <f>IF('CEM Price Data'!Q14="","",'CEM Price Data'!Q14)</f>
        <v>99.99</v>
      </c>
      <c r="Q15" s="526">
        <f>IF('CEM Price Data'!R14="","",'CEM Price Data'!R14)</f>
        <v>156.04</v>
      </c>
      <c r="R15" s="526">
        <f>IF('CEM Price Data'!S14="","",'CEM Price Data'!S14)</f>
        <v>180.59</v>
      </c>
      <c r="S15" s="526">
        <f>IF('CEM Price Data'!T14="","",'CEM Price Data'!T14)</f>
        <v>86.27</v>
      </c>
      <c r="T15" s="526">
        <f>IF('CEM Price Data'!U14="","",'CEM Price Data'!U14)</f>
        <v>111.55</v>
      </c>
      <c r="U15" s="526">
        <f>IF('CEM Price Data'!V14="","",'CEM Price Data'!V14)</f>
        <v>498.48</v>
      </c>
      <c r="V15" s="526">
        <f>IF('CEM Price Data'!W14="","",'CEM Price Data'!W14)</f>
        <v>265.83</v>
      </c>
      <c r="W15" s="526">
        <f>IF('CEM Price Data'!X14="","",'CEM Price Data'!X14)</f>
        <v>310.64999999999998</v>
      </c>
      <c r="X15" s="526">
        <f>IF('CEM Price Data'!Y14="","",'CEM Price Data'!Y14)</f>
        <v>531.78</v>
      </c>
      <c r="Y15" s="526">
        <f>IF('CEM Price Data'!Z14="","",'CEM Price Data'!Z14)</f>
        <v>309.39999999999998</v>
      </c>
      <c r="Z15" s="526">
        <f>IF('CEM Price Data'!AA14="","",'CEM Price Data'!AA14)</f>
        <v>81.819999999999993</v>
      </c>
      <c r="AA15" s="526">
        <f>IF('CEM Price Data'!AB14="","",'CEM Price Data'!AB14)</f>
        <v>126.58</v>
      </c>
      <c r="AB15" s="526">
        <f>IF('CEM Price Data'!AC14="","",'CEM Price Data'!AC14)</f>
        <v>92.52</v>
      </c>
      <c r="AC15" s="526">
        <f>IF('CEM Price Data'!AD14="","",'CEM Price Data'!AD14)</f>
        <v>127.95</v>
      </c>
      <c r="AD15" s="526">
        <f>IF('CEM Price Data'!AE14="","",'CEM Price Data'!AE14)</f>
        <v>38.130000000000003</v>
      </c>
      <c r="AE15" s="526">
        <f>IF('CEM Price Data'!AF14="","",'CEM Price Data'!AF14)</f>
        <v>248.68</v>
      </c>
      <c r="AF15" s="526">
        <f>IF('CEM Price Data'!AG14="","",'CEM Price Data'!AG14)</f>
        <v>88.77</v>
      </c>
      <c r="AG15" s="526">
        <f>IF('CEM Price Data'!AH14="","",'CEM Price Data'!AH14)</f>
        <v>6.12</v>
      </c>
      <c r="AH15" s="526">
        <f>IF('CEM Price Data'!AI14="","",'CEM Price Data'!AI14)</f>
        <v>74</v>
      </c>
      <c r="AI15" s="526">
        <f>IF('CEM Price Data'!AJ14="","",'CEM Price Data'!AJ14)</f>
        <v>567.23</v>
      </c>
      <c r="AJ15" s="526">
        <f>IF('CEM Price Data'!AK14="","",'CEM Price Data'!AK14)</f>
        <v>175.82</v>
      </c>
      <c r="AK15" s="526">
        <f>IF('CEM Price Data'!AL14="","",'CEM Price Data'!AL14)</f>
        <v>200.86</v>
      </c>
      <c r="AL15" s="526">
        <f>IF('CEM Price Data'!AM14="","",'CEM Price Data'!AM14)</f>
        <v>343.97</v>
      </c>
      <c r="AM15" s="526">
        <f>IF('CEM Price Data'!AN14="","",'CEM Price Data'!AN14)</f>
        <v>266.23</v>
      </c>
      <c r="AN15" s="526">
        <f>IF('CEM Price Data'!AO14="","",'CEM Price Data'!AO14)</f>
        <v>14.11</v>
      </c>
    </row>
    <row r="16" spans="1:40">
      <c r="A16" s="525">
        <f>IF('CEM Price Data'!B15="","",'CEM Price Data'!B15)</f>
        <v>44908</v>
      </c>
      <c r="B16" s="526">
        <f>IF('CEM Price Data'!C15="","",'CEM Price Data'!C15)</f>
        <v>157.66</v>
      </c>
      <c r="C16" s="526">
        <f>IF('CEM Price Data'!D15="","",'CEM Price Data'!D15)</f>
        <v>111.53</v>
      </c>
      <c r="D16" s="526">
        <f>IF('CEM Price Data'!E15="","",'CEM Price Data'!E15)</f>
        <v>175.49</v>
      </c>
      <c r="E16" s="526">
        <f>IF('CEM Price Data'!F15="","",'CEM Price Data'!F15)</f>
        <v>130.38</v>
      </c>
      <c r="F16" s="526">
        <f>IF('CEM Price Data'!G15="","",'CEM Price Data'!G15)</f>
        <v>59.37</v>
      </c>
      <c r="G16" s="526">
        <f>IF('CEM Price Data'!H15="","",'CEM Price Data'!H15)</f>
        <v>325.25</v>
      </c>
      <c r="H16" s="526">
        <f>IF('CEM Price Data'!I15="","",'CEM Price Data'!I15)</f>
        <v>69.19</v>
      </c>
      <c r="I16" s="526">
        <f>IF('CEM Price Data'!J15="","",'CEM Price Data'!J15)</f>
        <v>77.349999999999994</v>
      </c>
      <c r="J16" s="526">
        <f>IF('CEM Price Data'!K15="","",'CEM Price Data'!K15)</f>
        <v>145.19999999999999</v>
      </c>
      <c r="K16" s="526">
        <f>IF('CEM Price Data'!L15="","",'CEM Price Data'!L15)</f>
        <v>298.72000000000003</v>
      </c>
      <c r="L16" s="526">
        <f>IF('CEM Price Data'!M15="","",'CEM Price Data'!M15)</f>
        <v>515.5</v>
      </c>
      <c r="M16" s="526">
        <f>IF('CEM Price Data'!N15="","",'CEM Price Data'!N15)</f>
        <v>118.13</v>
      </c>
      <c r="N16" s="526">
        <f>IF('CEM Price Data'!O15="","",'CEM Price Data'!O15)</f>
        <v>149.75</v>
      </c>
      <c r="O16" s="526">
        <f>IF('CEM Price Data'!P15="","",'CEM Price Data'!P15)</f>
        <v>103.19</v>
      </c>
      <c r="P16" s="526">
        <f>IF('CEM Price Data'!Q15="","",'CEM Price Data'!Q15)</f>
        <v>99.77</v>
      </c>
      <c r="Q16" s="526">
        <f>IF('CEM Price Data'!R15="","",'CEM Price Data'!R15)</f>
        <v>157.12</v>
      </c>
      <c r="R16" s="526">
        <f>IF('CEM Price Data'!S15="","",'CEM Price Data'!S15)</f>
        <v>183.08</v>
      </c>
      <c r="S16" s="526">
        <f>IF('CEM Price Data'!T15="","",'CEM Price Data'!T15)</f>
        <v>86.6</v>
      </c>
      <c r="T16" s="526">
        <f>IF('CEM Price Data'!U15="","",'CEM Price Data'!U15)</f>
        <v>110.91</v>
      </c>
      <c r="U16" s="526">
        <f>IF('CEM Price Data'!V15="","",'CEM Price Data'!V15)</f>
        <v>512.02</v>
      </c>
      <c r="V16" s="526">
        <f>IF('CEM Price Data'!W15="","",'CEM Price Data'!W15)</f>
        <v>267.14999999999998</v>
      </c>
      <c r="W16" s="526">
        <f>IF('CEM Price Data'!X15="","",'CEM Price Data'!X15)</f>
        <v>315.23</v>
      </c>
      <c r="X16" s="526">
        <f>IF('CEM Price Data'!Y15="","",'CEM Price Data'!Y15)</f>
        <v>525.59</v>
      </c>
      <c r="Y16" s="526">
        <f>IF('CEM Price Data'!Z15="","",'CEM Price Data'!Z15)</f>
        <v>304.64999999999998</v>
      </c>
      <c r="Z16" s="526">
        <f>IF('CEM Price Data'!AA15="","",'CEM Price Data'!AA15)</f>
        <v>80.56</v>
      </c>
      <c r="AA16" s="526">
        <f>IF('CEM Price Data'!AB15="","",'CEM Price Data'!AB15)</f>
        <v>128.28</v>
      </c>
      <c r="AB16" s="526">
        <f>IF('CEM Price Data'!AC15="","",'CEM Price Data'!AC15)</f>
        <v>90.87</v>
      </c>
      <c r="AC16" s="526">
        <f>IF('CEM Price Data'!AD15="","",'CEM Price Data'!AD15)</f>
        <v>128.97</v>
      </c>
      <c r="AD16" s="526">
        <f>IF('CEM Price Data'!AE15="","",'CEM Price Data'!AE15)</f>
        <v>38.299999999999997</v>
      </c>
      <c r="AE16" s="526">
        <f>IF('CEM Price Data'!AF15="","",'CEM Price Data'!AF15)</f>
        <v>258.86</v>
      </c>
      <c r="AF16" s="526">
        <f>IF('CEM Price Data'!AG15="","",'CEM Price Data'!AG15)</f>
        <v>89.03</v>
      </c>
      <c r="AG16" s="526">
        <f>IF('CEM Price Data'!AH15="","",'CEM Price Data'!AH15)</f>
        <v>6.16</v>
      </c>
      <c r="AH16" s="526">
        <f>IF('CEM Price Data'!AI15="","",'CEM Price Data'!AI15)</f>
        <v>74.77</v>
      </c>
      <c r="AI16" s="526">
        <f>IF('CEM Price Data'!AJ15="","",'CEM Price Data'!AJ15)</f>
        <v>571.38</v>
      </c>
      <c r="AJ16" s="526">
        <f>IF('CEM Price Data'!AK15="","",'CEM Price Data'!AK15)</f>
        <v>177.5</v>
      </c>
      <c r="AK16" s="526">
        <f>IF('CEM Price Data'!AL15="","",'CEM Price Data'!AL15)</f>
        <v>202.35</v>
      </c>
      <c r="AL16" s="526">
        <f>IF('CEM Price Data'!AM15="","",'CEM Price Data'!AM15)</f>
        <v>344.62</v>
      </c>
      <c r="AM16" s="526">
        <f>IF('CEM Price Data'!AN15="","",'CEM Price Data'!AN15)</f>
        <v>268.67</v>
      </c>
      <c r="AN16" s="526">
        <f>IF('CEM Price Data'!AO15="","",'CEM Price Data'!AO15)</f>
        <v>14.14</v>
      </c>
    </row>
    <row r="17" spans="1:40">
      <c r="A17" s="525">
        <f>IF('CEM Price Data'!B16="","",'CEM Price Data'!B16)</f>
        <v>44907</v>
      </c>
      <c r="B17" s="526">
        <f>IF('CEM Price Data'!C16="","",'CEM Price Data'!C16)</f>
        <v>155.33000000000001</v>
      </c>
      <c r="C17" s="526">
        <f>IF('CEM Price Data'!D16="","",'CEM Price Data'!D16)</f>
        <v>109.49</v>
      </c>
      <c r="D17" s="526">
        <f>IF('CEM Price Data'!E16="","",'CEM Price Data'!E16)</f>
        <v>172.26</v>
      </c>
      <c r="E17" s="526">
        <f>IF('CEM Price Data'!F16="","",'CEM Price Data'!F16)</f>
        <v>132.1</v>
      </c>
      <c r="F17" s="526">
        <f>IF('CEM Price Data'!G16="","",'CEM Price Data'!G16)</f>
        <v>58.51</v>
      </c>
      <c r="G17" s="526">
        <f>IF('CEM Price Data'!H16="","",'CEM Price Data'!H16)</f>
        <v>319.51</v>
      </c>
      <c r="H17" s="526">
        <f>IF('CEM Price Data'!I16="","",'CEM Price Data'!I16)</f>
        <v>68.84</v>
      </c>
      <c r="I17" s="526">
        <f>IF('CEM Price Data'!J16="","",'CEM Price Data'!J16)</f>
        <v>78.89</v>
      </c>
      <c r="J17" s="526">
        <f>IF('CEM Price Data'!K16="","",'CEM Price Data'!K16)</f>
        <v>145.13</v>
      </c>
      <c r="K17" s="526">
        <f>IF('CEM Price Data'!L16="","",'CEM Price Data'!L16)</f>
        <v>298.63</v>
      </c>
      <c r="L17" s="526">
        <f>IF('CEM Price Data'!M16="","",'CEM Price Data'!M16)</f>
        <v>515.02</v>
      </c>
      <c r="M17" s="526">
        <f>IF('CEM Price Data'!N16="","",'CEM Price Data'!N16)</f>
        <v>115.91</v>
      </c>
      <c r="N17" s="526">
        <f>IF('CEM Price Data'!O16="","",'CEM Price Data'!O16)</f>
        <v>149</v>
      </c>
      <c r="O17" s="526">
        <f>IF('CEM Price Data'!P16="","",'CEM Price Data'!P16)</f>
        <v>103.05</v>
      </c>
      <c r="P17" s="526">
        <f>IF('CEM Price Data'!Q16="","",'CEM Price Data'!Q16)</f>
        <v>98.99</v>
      </c>
      <c r="Q17" s="526">
        <f>IF('CEM Price Data'!R16="","",'CEM Price Data'!R16)</f>
        <v>155.87</v>
      </c>
      <c r="R17" s="526">
        <f>IF('CEM Price Data'!S16="","",'CEM Price Data'!S16)</f>
        <v>182.89</v>
      </c>
      <c r="S17" s="526">
        <f>IF('CEM Price Data'!T16="","",'CEM Price Data'!T16)</f>
        <v>85.98</v>
      </c>
      <c r="T17" s="526">
        <f>IF('CEM Price Data'!U16="","",'CEM Price Data'!U16)</f>
        <v>108.97</v>
      </c>
      <c r="U17" s="526">
        <f>IF('CEM Price Data'!V16="","",'CEM Price Data'!V16)</f>
        <v>497.27</v>
      </c>
      <c r="V17" s="526">
        <f>IF('CEM Price Data'!W16="","",'CEM Price Data'!W16)</f>
        <v>270.83999999999997</v>
      </c>
      <c r="W17" s="526">
        <f>IF('CEM Price Data'!X16="","",'CEM Price Data'!X16)</f>
        <v>314.24</v>
      </c>
      <c r="X17" s="526">
        <f>IF('CEM Price Data'!Y16="","",'CEM Price Data'!Y16)</f>
        <v>535.17999999999995</v>
      </c>
      <c r="Y17" s="526">
        <f>IF('CEM Price Data'!Z16="","",'CEM Price Data'!Z16)</f>
        <v>301.8</v>
      </c>
      <c r="Z17" s="526">
        <f>IF('CEM Price Data'!AA16="","",'CEM Price Data'!AA16)</f>
        <v>81.28</v>
      </c>
      <c r="AA17" s="526">
        <f>IF('CEM Price Data'!AB16="","",'CEM Price Data'!AB16)</f>
        <v>129.94</v>
      </c>
      <c r="AB17" s="526">
        <f>IF('CEM Price Data'!AC16="","",'CEM Price Data'!AC16)</f>
        <v>91.42</v>
      </c>
      <c r="AC17" s="526">
        <f>IF('CEM Price Data'!AD16="","",'CEM Price Data'!AD16)</f>
        <v>128.53</v>
      </c>
      <c r="AD17" s="526">
        <f>IF('CEM Price Data'!AE16="","",'CEM Price Data'!AE16)</f>
        <v>38.340000000000003</v>
      </c>
      <c r="AE17" s="526">
        <f>IF('CEM Price Data'!AF16="","",'CEM Price Data'!AF16)</f>
        <v>253.88</v>
      </c>
      <c r="AF17" s="526">
        <f>IF('CEM Price Data'!AG16="","",'CEM Price Data'!AG16)</f>
        <v>90.18</v>
      </c>
      <c r="AG17" s="526">
        <f>IF('CEM Price Data'!AH16="","",'CEM Price Data'!AH16)</f>
        <v>6.15</v>
      </c>
      <c r="AH17" s="526">
        <f>IF('CEM Price Data'!AI16="","",'CEM Price Data'!AI16)</f>
        <v>74.19</v>
      </c>
      <c r="AI17" s="526">
        <f>IF('CEM Price Data'!AJ16="","",'CEM Price Data'!AJ16)</f>
        <v>567.6</v>
      </c>
      <c r="AJ17" s="526">
        <f>IF('CEM Price Data'!AK16="","",'CEM Price Data'!AK16)</f>
        <v>177.48</v>
      </c>
      <c r="AK17" s="526">
        <f>IF('CEM Price Data'!AL16="","",'CEM Price Data'!AL16)</f>
        <v>199.69</v>
      </c>
      <c r="AL17" s="526">
        <f>IF('CEM Price Data'!AM16="","",'CEM Price Data'!AM16)</f>
        <v>340.86</v>
      </c>
      <c r="AM17" s="526">
        <f>IF('CEM Price Data'!AN16="","",'CEM Price Data'!AN16)</f>
        <v>266.33</v>
      </c>
      <c r="AN17" s="526">
        <f>IF('CEM Price Data'!AO16="","",'CEM Price Data'!AO16)</f>
        <v>14.12</v>
      </c>
    </row>
    <row r="18" spans="1:40">
      <c r="A18" s="525">
        <f>IF('CEM Price Data'!B17="","",'CEM Price Data'!B17)</f>
        <v>44904</v>
      </c>
      <c r="B18" s="526">
        <f>IF('CEM Price Data'!C17="","",'CEM Price Data'!C17)</f>
        <v>152.94999999999999</v>
      </c>
      <c r="C18" s="526">
        <f>IF('CEM Price Data'!D17="","",'CEM Price Data'!D17)</f>
        <v>107.51</v>
      </c>
      <c r="D18" s="526">
        <f>IF('CEM Price Data'!E17="","",'CEM Price Data'!E17)</f>
        <v>168.68</v>
      </c>
      <c r="E18" s="526">
        <f>IF('CEM Price Data'!F17="","",'CEM Price Data'!F17)</f>
        <v>130.36000000000001</v>
      </c>
      <c r="F18" s="526">
        <f>IF('CEM Price Data'!G17="","",'CEM Price Data'!G17)</f>
        <v>58.3</v>
      </c>
      <c r="G18" s="526">
        <f>IF('CEM Price Data'!H17="","",'CEM Price Data'!H17)</f>
        <v>314.41000000000003</v>
      </c>
      <c r="H18" s="526">
        <f>IF('CEM Price Data'!I17="","",'CEM Price Data'!I17)</f>
        <v>67.92</v>
      </c>
      <c r="I18" s="526">
        <f>IF('CEM Price Data'!J17="","",'CEM Price Data'!J17)</f>
        <v>78.83</v>
      </c>
      <c r="J18" s="526">
        <f>IF('CEM Price Data'!K17="","",'CEM Price Data'!K17)</f>
        <v>142.11000000000001</v>
      </c>
      <c r="K18" s="526">
        <f>IF('CEM Price Data'!L17="","",'CEM Price Data'!L17)</f>
        <v>300.52999999999997</v>
      </c>
      <c r="L18" s="526">
        <f>IF('CEM Price Data'!M17="","",'CEM Price Data'!M17)</f>
        <v>516.82000000000005</v>
      </c>
      <c r="M18" s="526">
        <f>IF('CEM Price Data'!N17="","",'CEM Price Data'!N17)</f>
        <v>116.05</v>
      </c>
      <c r="N18" s="526">
        <f>IF('CEM Price Data'!O17="","",'CEM Price Data'!O17)</f>
        <v>148.85</v>
      </c>
      <c r="O18" s="526">
        <f>IF('CEM Price Data'!P17="","",'CEM Price Data'!P17)</f>
        <v>102.78</v>
      </c>
      <c r="P18" s="526">
        <f>IF('CEM Price Data'!Q17="","",'CEM Price Data'!Q17)</f>
        <v>98.26</v>
      </c>
      <c r="Q18" s="526">
        <f>IF('CEM Price Data'!R17="","",'CEM Price Data'!R17)</f>
        <v>156.27000000000001</v>
      </c>
      <c r="R18" s="526">
        <f>IF('CEM Price Data'!S17="","",'CEM Price Data'!S17)</f>
        <v>181.54</v>
      </c>
      <c r="S18" s="526">
        <f>IF('CEM Price Data'!T17="","",'CEM Price Data'!T17)</f>
        <v>85.28</v>
      </c>
      <c r="T18" s="526">
        <f>IF('CEM Price Data'!U17="","",'CEM Price Data'!U17)</f>
        <v>108.78</v>
      </c>
      <c r="U18" s="526">
        <f>IF('CEM Price Data'!V17="","",'CEM Price Data'!V17)</f>
        <v>492.55</v>
      </c>
      <c r="V18" s="526">
        <f>IF('CEM Price Data'!W17="","",'CEM Price Data'!W17)</f>
        <v>265.57</v>
      </c>
      <c r="W18" s="526">
        <f>IF('CEM Price Data'!X17="","",'CEM Price Data'!X17)</f>
        <v>315.49</v>
      </c>
      <c r="X18" s="526">
        <f>IF('CEM Price Data'!Y17="","",'CEM Price Data'!Y17)</f>
        <v>528.94000000000005</v>
      </c>
      <c r="Y18" s="526">
        <f>IF('CEM Price Data'!Z17="","",'CEM Price Data'!Z17)</f>
        <v>292.23</v>
      </c>
      <c r="Z18" s="526">
        <f>IF('CEM Price Data'!AA17="","",'CEM Price Data'!AA17)</f>
        <v>79.86</v>
      </c>
      <c r="AA18" s="526">
        <f>IF('CEM Price Data'!AB17="","",'CEM Price Data'!AB17)</f>
        <v>129.38</v>
      </c>
      <c r="AB18" s="526">
        <f>IF('CEM Price Data'!AC17="","",'CEM Price Data'!AC17)</f>
        <v>90.97</v>
      </c>
      <c r="AC18" s="526">
        <f>IF('CEM Price Data'!AD17="","",'CEM Price Data'!AD17)</f>
        <v>127.28</v>
      </c>
      <c r="AD18" s="526">
        <f>IF('CEM Price Data'!AE17="","",'CEM Price Data'!AE17)</f>
        <v>38.51</v>
      </c>
      <c r="AE18" s="526">
        <f>IF('CEM Price Data'!AF17="","",'CEM Price Data'!AF17)</f>
        <v>252.88</v>
      </c>
      <c r="AF18" s="526">
        <f>IF('CEM Price Data'!AG17="","",'CEM Price Data'!AG17)</f>
        <v>90.11</v>
      </c>
      <c r="AG18" s="526">
        <f>IF('CEM Price Data'!AH17="","",'CEM Price Data'!AH17)</f>
        <v>6.11</v>
      </c>
      <c r="AH18" s="526">
        <f>IF('CEM Price Data'!AI17="","",'CEM Price Data'!AI17)</f>
        <v>73.25</v>
      </c>
      <c r="AI18" s="526">
        <f>IF('CEM Price Data'!AJ17="","",'CEM Price Data'!AJ17)</f>
        <v>560.23</v>
      </c>
      <c r="AJ18" s="526">
        <f>IF('CEM Price Data'!AK17="","",'CEM Price Data'!AK17)</f>
        <v>174.26</v>
      </c>
      <c r="AK18" s="526">
        <f>IF('CEM Price Data'!AL17="","",'CEM Price Data'!AL17)</f>
        <v>197.67</v>
      </c>
      <c r="AL18" s="526">
        <f>IF('CEM Price Data'!AM17="","",'CEM Price Data'!AM17)</f>
        <v>336.53</v>
      </c>
      <c r="AM18" s="526">
        <f>IF('CEM Price Data'!AN17="","",'CEM Price Data'!AN17)</f>
        <v>262.95999999999998</v>
      </c>
      <c r="AN18" s="526">
        <f>IF('CEM Price Data'!AO17="","",'CEM Price Data'!AO17)</f>
        <v>13.98</v>
      </c>
    </row>
    <row r="19" spans="1:40">
      <c r="A19" s="525">
        <f>IF('CEM Price Data'!B18="","",'CEM Price Data'!B18)</f>
        <v>44903</v>
      </c>
      <c r="B19" s="526">
        <f>IF('CEM Price Data'!C18="","",'CEM Price Data'!C18)</f>
        <v>156.28</v>
      </c>
      <c r="C19" s="526">
        <f>IF('CEM Price Data'!D18="","",'CEM Price Data'!D18)</f>
        <v>106.92</v>
      </c>
      <c r="D19" s="526">
        <f>IF('CEM Price Data'!E18="","",'CEM Price Data'!E18)</f>
        <v>169.65</v>
      </c>
      <c r="E19" s="526">
        <f>IF('CEM Price Data'!F18="","",'CEM Price Data'!F18)</f>
        <v>130.03</v>
      </c>
      <c r="F19" s="526">
        <f>IF('CEM Price Data'!G18="","",'CEM Price Data'!G18)</f>
        <v>58.42</v>
      </c>
      <c r="G19" s="526">
        <f>IF('CEM Price Data'!H18="","",'CEM Price Data'!H18)</f>
        <v>319.86</v>
      </c>
      <c r="H19" s="526">
        <f>IF('CEM Price Data'!I18="","",'CEM Price Data'!I18)</f>
        <v>68.13</v>
      </c>
      <c r="I19" s="526">
        <f>IF('CEM Price Data'!J18="","",'CEM Price Data'!J18)</f>
        <v>79.88</v>
      </c>
      <c r="J19" s="526">
        <f>IF('CEM Price Data'!K18="","",'CEM Price Data'!K18)</f>
        <v>144.82</v>
      </c>
      <c r="K19" s="526">
        <f>IF('CEM Price Data'!L18="","",'CEM Price Data'!L18)</f>
        <v>304.83999999999997</v>
      </c>
      <c r="L19" s="526">
        <f>IF('CEM Price Data'!M18="","",'CEM Price Data'!M18)</f>
        <v>522.04999999999995</v>
      </c>
      <c r="M19" s="526">
        <f>IF('CEM Price Data'!N18="","",'CEM Price Data'!N18)</f>
        <v>115.17</v>
      </c>
      <c r="N19" s="526">
        <f>IF('CEM Price Data'!O18="","",'CEM Price Data'!O18)</f>
        <v>150.5</v>
      </c>
      <c r="O19" s="526">
        <f>IF('CEM Price Data'!P18="","",'CEM Price Data'!P18)</f>
        <v>103.5</v>
      </c>
      <c r="P19" s="526">
        <f>IF('CEM Price Data'!Q18="","",'CEM Price Data'!Q18)</f>
        <v>99.01</v>
      </c>
      <c r="Q19" s="526">
        <f>IF('CEM Price Data'!R18="","",'CEM Price Data'!R18)</f>
        <v>160.13999999999999</v>
      </c>
      <c r="R19" s="526">
        <f>IF('CEM Price Data'!S18="","",'CEM Price Data'!S18)</f>
        <v>184.92</v>
      </c>
      <c r="S19" s="526">
        <f>IF('CEM Price Data'!T18="","",'CEM Price Data'!T18)</f>
        <v>85.65</v>
      </c>
      <c r="T19" s="526">
        <f>IF('CEM Price Data'!U18="","",'CEM Price Data'!U18)</f>
        <v>110.85</v>
      </c>
      <c r="U19" s="526">
        <f>IF('CEM Price Data'!V18="","",'CEM Price Data'!V18)</f>
        <v>499.98</v>
      </c>
      <c r="V19" s="526">
        <f>IF('CEM Price Data'!W18="","",'CEM Price Data'!W18)</f>
        <v>269.79000000000002</v>
      </c>
      <c r="W19" s="526">
        <f>IF('CEM Price Data'!X18="","",'CEM Price Data'!X18)</f>
        <v>316.99</v>
      </c>
      <c r="X19" s="526">
        <f>IF('CEM Price Data'!Y18="","",'CEM Price Data'!Y18)</f>
        <v>540.54999999999995</v>
      </c>
      <c r="Y19" s="526">
        <f>IF('CEM Price Data'!Z18="","",'CEM Price Data'!Z18)</f>
        <v>287.27</v>
      </c>
      <c r="Z19" s="526">
        <f>IF('CEM Price Data'!AA18="","",'CEM Price Data'!AA18)</f>
        <v>80.069999999999993</v>
      </c>
      <c r="AA19" s="526">
        <f>IF('CEM Price Data'!AB18="","",'CEM Price Data'!AB18)</f>
        <v>131.18</v>
      </c>
      <c r="AB19" s="526">
        <f>IF('CEM Price Data'!AC18="","",'CEM Price Data'!AC18)</f>
        <v>92.03</v>
      </c>
      <c r="AC19" s="526">
        <f>IF('CEM Price Data'!AD18="","",'CEM Price Data'!AD18)</f>
        <v>128.79</v>
      </c>
      <c r="AD19" s="526">
        <f>IF('CEM Price Data'!AE18="","",'CEM Price Data'!AE18)</f>
        <v>39.24</v>
      </c>
      <c r="AE19" s="526">
        <f>IF('CEM Price Data'!AF18="","",'CEM Price Data'!AF18)</f>
        <v>254.45</v>
      </c>
      <c r="AF19" s="526">
        <f>IF('CEM Price Data'!AG18="","",'CEM Price Data'!AG18)</f>
        <v>91</v>
      </c>
      <c r="AG19" s="526">
        <f>IF('CEM Price Data'!AH18="","",'CEM Price Data'!AH18)</f>
        <v>6.16</v>
      </c>
      <c r="AH19" s="526">
        <f>IF('CEM Price Data'!AI18="","",'CEM Price Data'!AI18)</f>
        <v>73.8</v>
      </c>
      <c r="AI19" s="526">
        <f>IF('CEM Price Data'!AJ18="","",'CEM Price Data'!AJ18)</f>
        <v>567.95000000000005</v>
      </c>
      <c r="AJ19" s="526">
        <f>IF('CEM Price Data'!AK18="","",'CEM Price Data'!AK18)</f>
        <v>176.36</v>
      </c>
      <c r="AK19" s="526">
        <f>IF('CEM Price Data'!AL18="","",'CEM Price Data'!AL18)</f>
        <v>197.4</v>
      </c>
      <c r="AL19" s="526">
        <f>IF('CEM Price Data'!AM18="","",'CEM Price Data'!AM18)</f>
        <v>343.04</v>
      </c>
      <c r="AM19" s="526">
        <f>IF('CEM Price Data'!AN18="","",'CEM Price Data'!AN18)</f>
        <v>263.8</v>
      </c>
      <c r="AN19" s="526">
        <f>IF('CEM Price Data'!AO18="","",'CEM Price Data'!AO18)</f>
        <v>13.91</v>
      </c>
    </row>
    <row r="20" spans="1:40">
      <c r="A20" s="525">
        <f>IF('CEM Price Data'!B19="","",'CEM Price Data'!B19)</f>
        <v>44902</v>
      </c>
      <c r="B20" s="526">
        <f>IF('CEM Price Data'!C19="","",'CEM Price Data'!C19)</f>
        <v>153.72999999999999</v>
      </c>
      <c r="C20" s="526">
        <f>IF('CEM Price Data'!D19="","",'CEM Price Data'!D19)</f>
        <v>104.81</v>
      </c>
      <c r="D20" s="526">
        <f>IF('CEM Price Data'!E19="","",'CEM Price Data'!E19)</f>
        <v>166.01</v>
      </c>
      <c r="E20" s="526">
        <f>IF('CEM Price Data'!F19="","",'CEM Price Data'!F19)</f>
        <v>129.05000000000001</v>
      </c>
      <c r="F20" s="526">
        <f>IF('CEM Price Data'!G19="","",'CEM Price Data'!G19)</f>
        <v>59.27</v>
      </c>
      <c r="G20" s="526">
        <f>IF('CEM Price Data'!H19="","",'CEM Price Data'!H19)</f>
        <v>315.58</v>
      </c>
      <c r="H20" s="526">
        <f>IF('CEM Price Data'!I19="","",'CEM Price Data'!I19)</f>
        <v>68.27</v>
      </c>
      <c r="I20" s="526">
        <f>IF('CEM Price Data'!J19="","",'CEM Price Data'!J19)</f>
        <v>79.930000000000007</v>
      </c>
      <c r="J20" s="526">
        <f>IF('CEM Price Data'!K19="","",'CEM Price Data'!K19)</f>
        <v>142.38999999999999</v>
      </c>
      <c r="K20" s="526">
        <f>IF('CEM Price Data'!L19="","",'CEM Price Data'!L19)</f>
        <v>304.82</v>
      </c>
      <c r="L20" s="526">
        <f>IF('CEM Price Data'!M19="","",'CEM Price Data'!M19)</f>
        <v>518.64</v>
      </c>
      <c r="M20" s="526">
        <f>IF('CEM Price Data'!N19="","",'CEM Price Data'!N19)</f>
        <v>113.09</v>
      </c>
      <c r="N20" s="526">
        <f>IF('CEM Price Data'!O19="","",'CEM Price Data'!O19)</f>
        <v>149</v>
      </c>
      <c r="O20" s="526">
        <f>IF('CEM Price Data'!P19="","",'CEM Price Data'!P19)</f>
        <v>101.58</v>
      </c>
      <c r="P20" s="526">
        <f>IF('CEM Price Data'!Q19="","",'CEM Price Data'!Q19)</f>
        <v>99.1</v>
      </c>
      <c r="Q20" s="526">
        <f>IF('CEM Price Data'!R19="","",'CEM Price Data'!R19)</f>
        <v>157.13</v>
      </c>
      <c r="R20" s="526">
        <f>IF('CEM Price Data'!S19="","",'CEM Price Data'!S19)</f>
        <v>184.78</v>
      </c>
      <c r="S20" s="526">
        <f>IF('CEM Price Data'!T19="","",'CEM Price Data'!T19)</f>
        <v>85.35</v>
      </c>
      <c r="T20" s="526">
        <f>IF('CEM Price Data'!U19="","",'CEM Price Data'!U19)</f>
        <v>110.09</v>
      </c>
      <c r="U20" s="526">
        <f>IF('CEM Price Data'!V19="","",'CEM Price Data'!V19)</f>
        <v>500.4</v>
      </c>
      <c r="V20" s="526">
        <f>IF('CEM Price Data'!W19="","",'CEM Price Data'!W19)</f>
        <v>266.79000000000002</v>
      </c>
      <c r="W20" s="526">
        <f>IF('CEM Price Data'!X19="","",'CEM Price Data'!X19)</f>
        <v>316.92</v>
      </c>
      <c r="X20" s="526">
        <f>IF('CEM Price Data'!Y19="","",'CEM Price Data'!Y19)</f>
        <v>540.21</v>
      </c>
      <c r="Y20" s="526">
        <f>IF('CEM Price Data'!Z19="","",'CEM Price Data'!Z19)</f>
        <v>286.64999999999998</v>
      </c>
      <c r="Z20" s="526">
        <f>IF('CEM Price Data'!AA19="","",'CEM Price Data'!AA19)</f>
        <v>78.78</v>
      </c>
      <c r="AA20" s="526">
        <f>IF('CEM Price Data'!AB19="","",'CEM Price Data'!AB19)</f>
        <v>130.47999999999999</v>
      </c>
      <c r="AB20" s="526">
        <f>IF('CEM Price Data'!AC19="","",'CEM Price Data'!AC19)</f>
        <v>92.39</v>
      </c>
      <c r="AC20" s="526">
        <f>IF('CEM Price Data'!AD19="","",'CEM Price Data'!AD19)</f>
        <v>127.86</v>
      </c>
      <c r="AD20" s="526">
        <f>IF('CEM Price Data'!AE19="","",'CEM Price Data'!AE19)</f>
        <v>39.479999999999997</v>
      </c>
      <c r="AE20" s="526">
        <f>IF('CEM Price Data'!AF19="","",'CEM Price Data'!AF19)</f>
        <v>251.12</v>
      </c>
      <c r="AF20" s="526">
        <f>IF('CEM Price Data'!AG19="","",'CEM Price Data'!AG19)</f>
        <v>90.56</v>
      </c>
      <c r="AG20" s="526">
        <f>IF('CEM Price Data'!AH19="","",'CEM Price Data'!AH19)</f>
        <v>6.2</v>
      </c>
      <c r="AH20" s="526">
        <f>IF('CEM Price Data'!AI19="","",'CEM Price Data'!AI19)</f>
        <v>73.38</v>
      </c>
      <c r="AI20" s="526">
        <f>IF('CEM Price Data'!AJ19="","",'CEM Price Data'!AJ19)</f>
        <v>558.14</v>
      </c>
      <c r="AJ20" s="526">
        <f>IF('CEM Price Data'!AK19="","",'CEM Price Data'!AK19)</f>
        <v>173.75</v>
      </c>
      <c r="AK20" s="526">
        <f>IF('CEM Price Data'!AL19="","",'CEM Price Data'!AL19)</f>
        <v>195.99</v>
      </c>
      <c r="AL20" s="526">
        <f>IF('CEM Price Data'!AM19="","",'CEM Price Data'!AM19)</f>
        <v>340.64</v>
      </c>
      <c r="AM20" s="526">
        <f>IF('CEM Price Data'!AN19="","",'CEM Price Data'!AN19)</f>
        <v>256.66000000000003</v>
      </c>
      <c r="AN20" s="526">
        <f>IF('CEM Price Data'!AO19="","",'CEM Price Data'!AO19)</f>
        <v>13.77</v>
      </c>
    </row>
    <row r="21" spans="1:40">
      <c r="A21" s="525">
        <f>IF('CEM Price Data'!B20="","",'CEM Price Data'!B20)</f>
        <v>44901</v>
      </c>
      <c r="B21" s="526">
        <f>IF('CEM Price Data'!C20="","",'CEM Price Data'!C20)</f>
        <v>151.35</v>
      </c>
      <c r="C21" s="526">
        <f>IF('CEM Price Data'!D20="","",'CEM Price Data'!D20)</f>
        <v>103.86</v>
      </c>
      <c r="D21" s="526">
        <f>IF('CEM Price Data'!E20="","",'CEM Price Data'!E20)</f>
        <v>166.51</v>
      </c>
      <c r="E21" s="526">
        <f>IF('CEM Price Data'!F20="","",'CEM Price Data'!F20)</f>
        <v>129.31</v>
      </c>
      <c r="F21" s="526">
        <f>IF('CEM Price Data'!G20="","",'CEM Price Data'!G20)</f>
        <v>59.37</v>
      </c>
      <c r="G21" s="526">
        <f>IF('CEM Price Data'!H20="","",'CEM Price Data'!H20)</f>
        <v>312.10000000000002</v>
      </c>
      <c r="H21" s="526">
        <f>IF('CEM Price Data'!I20="","",'CEM Price Data'!I20)</f>
        <v>73.650000000000006</v>
      </c>
      <c r="I21" s="526">
        <f>IF('CEM Price Data'!J20="","",'CEM Price Data'!J20)</f>
        <v>79.92</v>
      </c>
      <c r="J21" s="526">
        <f>IF('CEM Price Data'!K20="","",'CEM Price Data'!K20)</f>
        <v>143.33000000000001</v>
      </c>
      <c r="K21" s="526">
        <f>IF('CEM Price Data'!L20="","",'CEM Price Data'!L20)</f>
        <v>311.02</v>
      </c>
      <c r="L21" s="526">
        <f>IF('CEM Price Data'!M20="","",'CEM Price Data'!M20)</f>
        <v>519.75</v>
      </c>
      <c r="M21" s="526">
        <f>IF('CEM Price Data'!N20="","",'CEM Price Data'!N20)</f>
        <v>113.77</v>
      </c>
      <c r="N21" s="526">
        <f>IF('CEM Price Data'!O20="","",'CEM Price Data'!O20)</f>
        <v>148.97</v>
      </c>
      <c r="O21" s="526">
        <f>IF('CEM Price Data'!P20="","",'CEM Price Data'!P20)</f>
        <v>101.23</v>
      </c>
      <c r="P21" s="526">
        <f>IF('CEM Price Data'!Q20="","",'CEM Price Data'!Q20)</f>
        <v>97.95</v>
      </c>
      <c r="Q21" s="526">
        <f>IF('CEM Price Data'!R20="","",'CEM Price Data'!R20)</f>
        <v>158.08000000000001</v>
      </c>
      <c r="R21" s="526">
        <f>IF('CEM Price Data'!S20="","",'CEM Price Data'!S20)</f>
        <v>183.49</v>
      </c>
      <c r="S21" s="526">
        <f>IF('CEM Price Data'!T20="","",'CEM Price Data'!T20)</f>
        <v>84.38</v>
      </c>
      <c r="T21" s="526">
        <f>IF('CEM Price Data'!U20="","",'CEM Price Data'!U20)</f>
        <v>108.93</v>
      </c>
      <c r="U21" s="526">
        <f>IF('CEM Price Data'!V20="","",'CEM Price Data'!V20)</f>
        <v>499.9</v>
      </c>
      <c r="V21" s="526">
        <f>IF('CEM Price Data'!W20="","",'CEM Price Data'!W20)</f>
        <v>266.17</v>
      </c>
      <c r="W21" s="526">
        <f>IF('CEM Price Data'!X20="","",'CEM Price Data'!X20)</f>
        <v>316.88</v>
      </c>
      <c r="X21" s="526">
        <f>IF('CEM Price Data'!Y20="","",'CEM Price Data'!Y20)</f>
        <v>531.80999999999995</v>
      </c>
      <c r="Y21" s="526">
        <f>IF('CEM Price Data'!Z20="","",'CEM Price Data'!Z20)</f>
        <v>287.12</v>
      </c>
      <c r="Z21" s="526">
        <f>IF('CEM Price Data'!AA20="","",'CEM Price Data'!AA20)</f>
        <v>78.91</v>
      </c>
      <c r="AA21" s="526">
        <f>IF('CEM Price Data'!AB20="","",'CEM Price Data'!AB20)</f>
        <v>130.97</v>
      </c>
      <c r="AB21" s="526">
        <f>IF('CEM Price Data'!AC20="","",'CEM Price Data'!AC20)</f>
        <v>93.35</v>
      </c>
      <c r="AC21" s="526">
        <f>IF('CEM Price Data'!AD20="","",'CEM Price Data'!AD20)</f>
        <v>128.25</v>
      </c>
      <c r="AD21" s="526">
        <f>IF('CEM Price Data'!AE20="","",'CEM Price Data'!AE20)</f>
        <v>39.21</v>
      </c>
      <c r="AE21" s="526">
        <f>IF('CEM Price Data'!AF20="","",'CEM Price Data'!AF20)</f>
        <v>253.46</v>
      </c>
      <c r="AF21" s="526">
        <f>IF('CEM Price Data'!AG20="","",'CEM Price Data'!AG20)</f>
        <v>92.02</v>
      </c>
      <c r="AG21" s="526">
        <f>IF('CEM Price Data'!AH20="","",'CEM Price Data'!AH20)</f>
        <v>6.15</v>
      </c>
      <c r="AH21" s="526">
        <f>IF('CEM Price Data'!AI20="","",'CEM Price Data'!AI20)</f>
        <v>73.510000000000005</v>
      </c>
      <c r="AI21" s="526">
        <f>IF('CEM Price Data'!AJ20="","",'CEM Price Data'!AJ20)</f>
        <v>550.53</v>
      </c>
      <c r="AJ21" s="526">
        <f>IF('CEM Price Data'!AK20="","",'CEM Price Data'!AK20)</f>
        <v>174.34</v>
      </c>
      <c r="AK21" s="526">
        <f>IF('CEM Price Data'!AL20="","",'CEM Price Data'!AL20)</f>
        <v>197.45</v>
      </c>
      <c r="AL21" s="526">
        <f>IF('CEM Price Data'!AM20="","",'CEM Price Data'!AM20)</f>
        <v>337.59</v>
      </c>
      <c r="AM21" s="526">
        <f>IF('CEM Price Data'!AN20="","",'CEM Price Data'!AN20)</f>
        <v>253.91</v>
      </c>
      <c r="AN21" s="526">
        <f>IF('CEM Price Data'!AO20="","",'CEM Price Data'!AO20)</f>
        <v>13.84</v>
      </c>
    </row>
    <row r="22" spans="1:40">
      <c r="A22" s="525">
        <f>IF('CEM Price Data'!B21="","",'CEM Price Data'!B21)</f>
        <v>44900</v>
      </c>
      <c r="B22" s="526">
        <f>IF('CEM Price Data'!C21="","",'CEM Price Data'!C21)</f>
        <v>152.69999999999999</v>
      </c>
      <c r="C22" s="526">
        <f>IF('CEM Price Data'!D21="","",'CEM Price Data'!D21)</f>
        <v>105.41</v>
      </c>
      <c r="D22" s="526">
        <f>IF('CEM Price Data'!E21="","",'CEM Price Data'!E21)</f>
        <v>167.84</v>
      </c>
      <c r="E22" s="526">
        <f>IF('CEM Price Data'!F21="","",'CEM Price Data'!F21)</f>
        <v>129.55000000000001</v>
      </c>
      <c r="F22" s="526">
        <f>IF('CEM Price Data'!G21="","",'CEM Price Data'!G21)</f>
        <v>59.82</v>
      </c>
      <c r="G22" s="526">
        <f>IF('CEM Price Data'!H21="","",'CEM Price Data'!H21)</f>
        <v>314.97000000000003</v>
      </c>
      <c r="H22" s="526">
        <f>IF('CEM Price Data'!I21="","",'CEM Price Data'!I21)</f>
        <v>74.02</v>
      </c>
      <c r="I22" s="526">
        <f>IF('CEM Price Data'!J21="","",'CEM Price Data'!J21)</f>
        <v>80.7</v>
      </c>
      <c r="J22" s="526">
        <f>IF('CEM Price Data'!K21="","",'CEM Price Data'!K21)</f>
        <v>144.97999999999999</v>
      </c>
      <c r="K22" s="526">
        <f>IF('CEM Price Data'!L21="","",'CEM Price Data'!L21)</f>
        <v>312.95</v>
      </c>
      <c r="L22" s="526">
        <f>IF('CEM Price Data'!M21="","",'CEM Price Data'!M21)</f>
        <v>522.24</v>
      </c>
      <c r="M22" s="526">
        <f>IF('CEM Price Data'!N21="","",'CEM Price Data'!N21)</f>
        <v>118.88</v>
      </c>
      <c r="N22" s="526">
        <f>IF('CEM Price Data'!O21="","",'CEM Price Data'!O21)</f>
        <v>148.91999999999999</v>
      </c>
      <c r="O22" s="526">
        <f>IF('CEM Price Data'!P21="","",'CEM Price Data'!P21)</f>
        <v>104.11</v>
      </c>
      <c r="P22" s="526">
        <f>IF('CEM Price Data'!Q21="","",'CEM Price Data'!Q21)</f>
        <v>99.51</v>
      </c>
      <c r="Q22" s="526">
        <f>IF('CEM Price Data'!R21="","",'CEM Price Data'!R21)</f>
        <v>159.4</v>
      </c>
      <c r="R22" s="526">
        <f>IF('CEM Price Data'!S21="","",'CEM Price Data'!S21)</f>
        <v>188.93</v>
      </c>
      <c r="S22" s="526">
        <f>IF('CEM Price Data'!T21="","",'CEM Price Data'!T21)</f>
        <v>84.05</v>
      </c>
      <c r="T22" s="526">
        <f>IF('CEM Price Data'!U21="","",'CEM Price Data'!U21)</f>
        <v>110.01</v>
      </c>
      <c r="U22" s="526">
        <f>IF('CEM Price Data'!V21="","",'CEM Price Data'!V21)</f>
        <v>504.49</v>
      </c>
      <c r="V22" s="526">
        <f>IF('CEM Price Data'!W21="","",'CEM Price Data'!W21)</f>
        <v>268.23</v>
      </c>
      <c r="W22" s="526">
        <f>IF('CEM Price Data'!X21="","",'CEM Price Data'!X21)</f>
        <v>319.38</v>
      </c>
      <c r="X22" s="526">
        <f>IF('CEM Price Data'!Y21="","",'CEM Price Data'!Y21)</f>
        <v>541.42999999999995</v>
      </c>
      <c r="Y22" s="526">
        <f>IF('CEM Price Data'!Z21="","",'CEM Price Data'!Z21)</f>
        <v>289.76</v>
      </c>
      <c r="Z22" s="526">
        <f>IF('CEM Price Data'!AA21="","",'CEM Price Data'!AA21)</f>
        <v>79.430000000000007</v>
      </c>
      <c r="AA22" s="526">
        <f>IF('CEM Price Data'!AB21="","",'CEM Price Data'!AB21)</f>
        <v>131.26</v>
      </c>
      <c r="AB22" s="526">
        <f>IF('CEM Price Data'!AC21="","",'CEM Price Data'!AC21)</f>
        <v>94.75</v>
      </c>
      <c r="AC22" s="526">
        <f>IF('CEM Price Data'!AD21="","",'CEM Price Data'!AD21)</f>
        <v>129.33000000000001</v>
      </c>
      <c r="AD22" s="526">
        <f>IF('CEM Price Data'!AE21="","",'CEM Price Data'!AE21)</f>
        <v>39.6</v>
      </c>
      <c r="AE22" s="526">
        <f>IF('CEM Price Data'!AF21="","",'CEM Price Data'!AF21)</f>
        <v>253.59</v>
      </c>
      <c r="AF22" s="526">
        <f>IF('CEM Price Data'!AG21="","",'CEM Price Data'!AG21)</f>
        <v>92.61</v>
      </c>
      <c r="AG22" s="526">
        <f>IF('CEM Price Data'!AH21="","",'CEM Price Data'!AH21)</f>
        <v>6.18</v>
      </c>
      <c r="AH22" s="526">
        <f>IF('CEM Price Data'!AI21="","",'CEM Price Data'!AI21)</f>
        <v>74.66</v>
      </c>
      <c r="AI22" s="526">
        <f>IF('CEM Price Data'!AJ21="","",'CEM Price Data'!AJ21)</f>
        <v>557.21</v>
      </c>
      <c r="AJ22" s="526">
        <f>IF('CEM Price Data'!AK21="","",'CEM Price Data'!AK21)</f>
        <v>177.39</v>
      </c>
      <c r="AK22" s="526">
        <f>IF('CEM Price Data'!AL21="","",'CEM Price Data'!AL21)</f>
        <v>197.29</v>
      </c>
      <c r="AL22" s="526">
        <f>IF('CEM Price Data'!AM21="","",'CEM Price Data'!AM21)</f>
        <v>340.29</v>
      </c>
      <c r="AM22" s="526">
        <f>IF('CEM Price Data'!AN21="","",'CEM Price Data'!AN21)</f>
        <v>257.06</v>
      </c>
      <c r="AN22" s="526">
        <f>IF('CEM Price Data'!AO21="","",'CEM Price Data'!AO21)</f>
        <v>14.15</v>
      </c>
    </row>
    <row r="23" spans="1:40">
      <c r="A23" s="525">
        <f>IF('CEM Price Data'!B22="","",'CEM Price Data'!B22)</f>
        <v>44897</v>
      </c>
      <c r="B23" s="526">
        <f>IF('CEM Price Data'!C22="","",'CEM Price Data'!C22)</f>
        <v>155.66999999999999</v>
      </c>
      <c r="C23" s="526">
        <f>IF('CEM Price Data'!D22="","",'CEM Price Data'!D22)</f>
        <v>108.09</v>
      </c>
      <c r="D23" s="526">
        <f>IF('CEM Price Data'!E22="","",'CEM Price Data'!E22)</f>
        <v>168.63</v>
      </c>
      <c r="E23" s="526">
        <f>IF('CEM Price Data'!F22="","",'CEM Price Data'!F22)</f>
        <v>128.47999999999999</v>
      </c>
      <c r="F23" s="526">
        <f>IF('CEM Price Data'!G22="","",'CEM Price Data'!G22)</f>
        <v>60.38</v>
      </c>
      <c r="G23" s="526">
        <f>IF('CEM Price Data'!H22="","",'CEM Price Data'!H22)</f>
        <v>318.44</v>
      </c>
      <c r="H23" s="526">
        <f>IF('CEM Price Data'!I22="","",'CEM Price Data'!I22)</f>
        <v>74.510000000000005</v>
      </c>
      <c r="I23" s="526">
        <f>IF('CEM Price Data'!J22="","",'CEM Price Data'!J22)</f>
        <v>81.13</v>
      </c>
      <c r="J23" s="526">
        <f>IF('CEM Price Data'!K22="","",'CEM Price Data'!K22)</f>
        <v>148.99</v>
      </c>
      <c r="K23" s="526">
        <f>IF('CEM Price Data'!L22="","",'CEM Price Data'!L22)</f>
        <v>315.57</v>
      </c>
      <c r="L23" s="526">
        <f>IF('CEM Price Data'!M22="","",'CEM Price Data'!M22)</f>
        <v>524.1</v>
      </c>
      <c r="M23" s="526">
        <f>IF('CEM Price Data'!N22="","",'CEM Price Data'!N22)</f>
        <v>122.04</v>
      </c>
      <c r="N23" s="526">
        <f>IF('CEM Price Data'!O22="","",'CEM Price Data'!O22)</f>
        <v>150.46</v>
      </c>
      <c r="O23" s="526">
        <f>IF('CEM Price Data'!P22="","",'CEM Price Data'!P22)</f>
        <v>103.74</v>
      </c>
      <c r="P23" s="526">
        <f>IF('CEM Price Data'!Q22="","",'CEM Price Data'!Q22)</f>
        <v>100.45</v>
      </c>
      <c r="Q23" s="526">
        <f>IF('CEM Price Data'!R22="","",'CEM Price Data'!R22)</f>
        <v>163.82</v>
      </c>
      <c r="R23" s="526">
        <f>IF('CEM Price Data'!S22="","",'CEM Price Data'!S22)</f>
        <v>191.6</v>
      </c>
      <c r="S23" s="526">
        <f>IF('CEM Price Data'!T22="","",'CEM Price Data'!T22)</f>
        <v>86.38</v>
      </c>
      <c r="T23" s="526">
        <f>IF('CEM Price Data'!U22="","",'CEM Price Data'!U22)</f>
        <v>110.04</v>
      </c>
      <c r="U23" s="526">
        <f>IF('CEM Price Data'!V22="","",'CEM Price Data'!V22)</f>
        <v>518.83000000000004</v>
      </c>
      <c r="V23" s="526">
        <f>IF('CEM Price Data'!W22="","",'CEM Price Data'!W22)</f>
        <v>272.7</v>
      </c>
      <c r="W23" s="526">
        <f>IF('CEM Price Data'!X22="","",'CEM Price Data'!X22)</f>
        <v>322.75</v>
      </c>
      <c r="X23" s="526">
        <f>IF('CEM Price Data'!Y22="","",'CEM Price Data'!Y22)</f>
        <v>545.6</v>
      </c>
      <c r="Y23" s="526">
        <f>IF('CEM Price Data'!Z22="","",'CEM Price Data'!Z22)</f>
        <v>302.85000000000002</v>
      </c>
      <c r="Z23" s="526">
        <f>IF('CEM Price Data'!AA22="","",'CEM Price Data'!AA22)</f>
        <v>83.35</v>
      </c>
      <c r="AA23" s="526">
        <f>IF('CEM Price Data'!AB22="","",'CEM Price Data'!AB22)</f>
        <v>132.51</v>
      </c>
      <c r="AB23" s="526">
        <f>IF('CEM Price Data'!AC22="","",'CEM Price Data'!AC22)</f>
        <v>95.75</v>
      </c>
      <c r="AC23" s="526">
        <f>IF('CEM Price Data'!AD22="","",'CEM Price Data'!AD22)</f>
        <v>131.85</v>
      </c>
      <c r="AD23" s="526">
        <f>IF('CEM Price Data'!AE22="","",'CEM Price Data'!AE22)</f>
        <v>40.479999999999997</v>
      </c>
      <c r="AE23" s="526">
        <f>IF('CEM Price Data'!AF22="","",'CEM Price Data'!AF22)</f>
        <v>257.75</v>
      </c>
      <c r="AF23" s="526">
        <f>IF('CEM Price Data'!AG22="","",'CEM Price Data'!AG22)</f>
        <v>95.08</v>
      </c>
      <c r="AG23" s="526">
        <f>IF('CEM Price Data'!AH22="","",'CEM Price Data'!AH22)</f>
        <v>6.24</v>
      </c>
      <c r="AH23" s="526">
        <f>IF('CEM Price Data'!AI22="","",'CEM Price Data'!AI22)</f>
        <v>75.650000000000006</v>
      </c>
      <c r="AI23" s="526">
        <f>IF('CEM Price Data'!AJ22="","",'CEM Price Data'!AJ22)</f>
        <v>563</v>
      </c>
      <c r="AJ23" s="526">
        <f>IF('CEM Price Data'!AK22="","",'CEM Price Data'!AK22)</f>
        <v>177.66</v>
      </c>
      <c r="AK23" s="526">
        <f>IF('CEM Price Data'!AL22="","",'CEM Price Data'!AL22)</f>
        <v>202.1</v>
      </c>
      <c r="AL23" s="526">
        <f>IF('CEM Price Data'!AM22="","",'CEM Price Data'!AM22)</f>
        <v>347.37</v>
      </c>
      <c r="AM23" s="526">
        <f>IF('CEM Price Data'!AN22="","",'CEM Price Data'!AN22)</f>
        <v>266.39999999999998</v>
      </c>
      <c r="AN23" s="526">
        <f>IF('CEM Price Data'!AO22="","",'CEM Price Data'!AO22)</f>
        <v>14.44</v>
      </c>
    </row>
    <row r="24" spans="1:40">
      <c r="A24" s="525">
        <f>IF('CEM Price Data'!B23="","",'CEM Price Data'!B23)</f>
        <v>44896</v>
      </c>
      <c r="B24" s="526">
        <f>IF('CEM Price Data'!C23="","",'CEM Price Data'!C23)</f>
        <v>156.12</v>
      </c>
      <c r="C24" s="526">
        <f>IF('CEM Price Data'!D23="","",'CEM Price Data'!D23)</f>
        <v>107.93</v>
      </c>
      <c r="D24" s="526">
        <f>IF('CEM Price Data'!E23="","",'CEM Price Data'!E23)</f>
        <v>171.48</v>
      </c>
      <c r="E24" s="526">
        <f>IF('CEM Price Data'!F23="","",'CEM Price Data'!F23)</f>
        <v>128.01</v>
      </c>
      <c r="F24" s="526">
        <f>IF('CEM Price Data'!G23="","",'CEM Price Data'!G23)</f>
        <v>60.48</v>
      </c>
      <c r="G24" s="526">
        <f>IF('CEM Price Data'!H23="","",'CEM Price Data'!H23)</f>
        <v>312.04000000000002</v>
      </c>
      <c r="H24" s="526">
        <f>IF('CEM Price Data'!I23="","",'CEM Price Data'!I23)</f>
        <v>74.05</v>
      </c>
      <c r="I24" s="526">
        <f>IF('CEM Price Data'!J23="","",'CEM Price Data'!J23)</f>
        <v>80.88</v>
      </c>
      <c r="J24" s="526">
        <f>IF('CEM Price Data'!K23="","",'CEM Price Data'!K23)</f>
        <v>149.86000000000001</v>
      </c>
      <c r="K24" s="526">
        <f>IF('CEM Price Data'!L23="","",'CEM Price Data'!L23)</f>
        <v>313.70999999999998</v>
      </c>
      <c r="L24" s="526">
        <f>IF('CEM Price Data'!M23="","",'CEM Price Data'!M23)</f>
        <v>519.02</v>
      </c>
      <c r="M24" s="526">
        <f>IF('CEM Price Data'!N23="","",'CEM Price Data'!N23)</f>
        <v>122.09</v>
      </c>
      <c r="N24" s="526">
        <f>IF('CEM Price Data'!O23="","",'CEM Price Data'!O23)</f>
        <v>152.61000000000001</v>
      </c>
      <c r="O24" s="526">
        <f>IF('CEM Price Data'!P23="","",'CEM Price Data'!P23)</f>
        <v>102.93</v>
      </c>
      <c r="P24" s="526">
        <f>IF('CEM Price Data'!Q23="","",'CEM Price Data'!Q23)</f>
        <v>98.05</v>
      </c>
      <c r="Q24" s="526">
        <f>IF('CEM Price Data'!R23="","",'CEM Price Data'!R23)</f>
        <v>163.62</v>
      </c>
      <c r="R24" s="526">
        <f>IF('CEM Price Data'!S23="","",'CEM Price Data'!S23)</f>
        <v>190.73</v>
      </c>
      <c r="S24" s="526">
        <f>IF('CEM Price Data'!T23="","",'CEM Price Data'!T23)</f>
        <v>85.73</v>
      </c>
      <c r="T24" s="526">
        <f>IF('CEM Price Data'!U23="","",'CEM Price Data'!U23)</f>
        <v>109.8</v>
      </c>
      <c r="U24" s="526">
        <f>IF('CEM Price Data'!V23="","",'CEM Price Data'!V23)</f>
        <v>521.39</v>
      </c>
      <c r="V24" s="526">
        <f>IF('CEM Price Data'!W23="","",'CEM Price Data'!W23)</f>
        <v>271.77999999999997</v>
      </c>
      <c r="W24" s="526">
        <f>IF('CEM Price Data'!X23="","",'CEM Price Data'!X23)</f>
        <v>318.87</v>
      </c>
      <c r="X24" s="526">
        <f>IF('CEM Price Data'!Y23="","",'CEM Price Data'!Y23)</f>
        <v>530.29999999999995</v>
      </c>
      <c r="Y24" s="526">
        <f>IF('CEM Price Data'!Z23="","",'CEM Price Data'!Z23)</f>
        <v>300.89</v>
      </c>
      <c r="Z24" s="526">
        <f>IF('CEM Price Data'!AA23="","",'CEM Price Data'!AA23)</f>
        <v>84.11</v>
      </c>
      <c r="AA24" s="526">
        <f>IF('CEM Price Data'!AB23="","",'CEM Price Data'!AB23)</f>
        <v>131.26</v>
      </c>
      <c r="AB24" s="526">
        <f>IF('CEM Price Data'!AC23="","",'CEM Price Data'!AC23)</f>
        <v>94.09</v>
      </c>
      <c r="AC24" s="526">
        <f>IF('CEM Price Data'!AD23="","",'CEM Price Data'!AD23)</f>
        <v>129.78</v>
      </c>
      <c r="AD24" s="526">
        <f>IF('CEM Price Data'!AE23="","",'CEM Price Data'!AE23)</f>
        <v>40.39</v>
      </c>
      <c r="AE24" s="526">
        <f>IF('CEM Price Data'!AF23="","",'CEM Price Data'!AF23)</f>
        <v>251.61</v>
      </c>
      <c r="AF24" s="526">
        <f>IF('CEM Price Data'!AG23="","",'CEM Price Data'!AG23)</f>
        <v>94.42</v>
      </c>
      <c r="AG24" s="526">
        <f>IF('CEM Price Data'!AH23="","",'CEM Price Data'!AH23)</f>
        <v>6.41</v>
      </c>
      <c r="AH24" s="526">
        <f>IF('CEM Price Data'!AI23="","",'CEM Price Data'!AI23)</f>
        <v>74.489999999999995</v>
      </c>
      <c r="AI24" s="526">
        <f>IF('CEM Price Data'!AJ23="","",'CEM Price Data'!AJ23)</f>
        <v>564.55999999999995</v>
      </c>
      <c r="AJ24" s="526">
        <f>IF('CEM Price Data'!AK23="","",'CEM Price Data'!AK23)</f>
        <v>177.5</v>
      </c>
      <c r="AK24" s="526">
        <f>IF('CEM Price Data'!AL23="","",'CEM Price Data'!AL23)</f>
        <v>204.57</v>
      </c>
      <c r="AL24" s="526">
        <f>IF('CEM Price Data'!AM23="","",'CEM Price Data'!AM23)</f>
        <v>346.93</v>
      </c>
      <c r="AM24" s="526">
        <f>IF('CEM Price Data'!AN23="","",'CEM Price Data'!AN23)</f>
        <v>269.94</v>
      </c>
      <c r="AN24" s="526">
        <f>IF('CEM Price Data'!AO23="","",'CEM Price Data'!AO23)</f>
        <v>14.47</v>
      </c>
    </row>
    <row r="25" spans="1:40">
      <c r="A25" s="525">
        <f>IF('CEM Price Data'!B24="","",'CEM Price Data'!B24)</f>
        <v>44895</v>
      </c>
      <c r="B25" s="526">
        <f>IF('CEM Price Data'!C24="","",'CEM Price Data'!C24)</f>
        <v>154.97999999999999</v>
      </c>
      <c r="C25" s="526">
        <f>IF('CEM Price Data'!D24="","",'CEM Price Data'!D24)</f>
        <v>107.58</v>
      </c>
      <c r="D25" s="526">
        <f>IF('CEM Price Data'!E24="","",'CEM Price Data'!E24)</f>
        <v>171.91</v>
      </c>
      <c r="E25" s="526">
        <f>IF('CEM Price Data'!F24="","",'CEM Price Data'!F24)</f>
        <v>128.22</v>
      </c>
      <c r="F25" s="526">
        <f>IF('CEM Price Data'!G24="","",'CEM Price Data'!G24)</f>
        <v>60.74</v>
      </c>
      <c r="G25" s="526">
        <f>IF('CEM Price Data'!H24="","",'CEM Price Data'!H24)</f>
        <v>310.16000000000003</v>
      </c>
      <c r="H25" s="526">
        <f>IF('CEM Price Data'!I24="","",'CEM Price Data'!I24)</f>
        <v>73.02</v>
      </c>
      <c r="I25" s="526">
        <f>IF('CEM Price Data'!J24="","",'CEM Price Data'!J24)</f>
        <v>80.28</v>
      </c>
      <c r="J25" s="526">
        <f>IF('CEM Price Data'!K24="","",'CEM Price Data'!K24)</f>
        <v>149.11000000000001</v>
      </c>
      <c r="K25" s="526">
        <f>IF('CEM Price Data'!L24="","",'CEM Price Data'!L24)</f>
        <v>312.3</v>
      </c>
      <c r="L25" s="526">
        <f>IF('CEM Price Data'!M24="","",'CEM Price Data'!M24)</f>
        <v>520</v>
      </c>
      <c r="M25" s="526">
        <f>IF('CEM Price Data'!N24="","",'CEM Price Data'!N24)</f>
        <v>120.95</v>
      </c>
      <c r="N25" s="526">
        <f>IF('CEM Price Data'!O24="","",'CEM Price Data'!O24)</f>
        <v>151.83000000000001</v>
      </c>
      <c r="O25" s="526">
        <f>IF('CEM Price Data'!P24="","",'CEM Price Data'!P24)</f>
        <v>103.41</v>
      </c>
      <c r="P25" s="526">
        <f>IF('CEM Price Data'!Q24="","",'CEM Price Data'!Q24)</f>
        <v>97.97</v>
      </c>
      <c r="Q25" s="526">
        <f>IF('CEM Price Data'!R24="","",'CEM Price Data'!R24)</f>
        <v>164.02</v>
      </c>
      <c r="R25" s="526">
        <f>IF('CEM Price Data'!S24="","",'CEM Price Data'!S24)</f>
        <v>189.35</v>
      </c>
      <c r="S25" s="526">
        <f>IF('CEM Price Data'!T24="","",'CEM Price Data'!T24)</f>
        <v>85.18</v>
      </c>
      <c r="T25" s="526">
        <f>IF('CEM Price Data'!U24="","",'CEM Price Data'!U24)</f>
        <v>110.12</v>
      </c>
      <c r="U25" s="526">
        <f>IF('CEM Price Data'!V24="","",'CEM Price Data'!V24)</f>
        <v>507.83</v>
      </c>
      <c r="V25" s="526">
        <f>IF('CEM Price Data'!W24="","",'CEM Price Data'!W24)</f>
        <v>272.2</v>
      </c>
      <c r="W25" s="526">
        <f>IF('CEM Price Data'!X24="","",'CEM Price Data'!X24)</f>
        <v>316.02</v>
      </c>
      <c r="X25" s="526">
        <f>IF('CEM Price Data'!Y24="","",'CEM Price Data'!Y24)</f>
        <v>533.29</v>
      </c>
      <c r="Y25" s="526">
        <f>IF('CEM Price Data'!Z24="","",'CEM Price Data'!Z24)</f>
        <v>302.61</v>
      </c>
      <c r="Z25" s="526">
        <f>IF('CEM Price Data'!AA24="","",'CEM Price Data'!AA24)</f>
        <v>83.03</v>
      </c>
      <c r="AA25" s="526">
        <f>IF('CEM Price Data'!AB24="","",'CEM Price Data'!AB24)</f>
        <v>132.15</v>
      </c>
      <c r="AB25" s="526">
        <f>IF('CEM Price Data'!AC24="","",'CEM Price Data'!AC24)</f>
        <v>93.61</v>
      </c>
      <c r="AC25" s="526">
        <f>IF('CEM Price Data'!AD24="","",'CEM Price Data'!AD24)</f>
        <v>130.07</v>
      </c>
      <c r="AD25" s="526">
        <f>IF('CEM Price Data'!AE24="","",'CEM Price Data'!AE24)</f>
        <v>40.44</v>
      </c>
      <c r="AE25" s="526">
        <f>IF('CEM Price Data'!AF24="","",'CEM Price Data'!AF24)</f>
        <v>249.18</v>
      </c>
      <c r="AF25" s="526">
        <f>IF('CEM Price Data'!AG24="","",'CEM Price Data'!AG24)</f>
        <v>96.12</v>
      </c>
      <c r="AG25" s="526">
        <f>IF('CEM Price Data'!AH24="","",'CEM Price Data'!AH24)</f>
        <v>6.49</v>
      </c>
      <c r="AH25" s="526">
        <f>IF('CEM Price Data'!AI24="","",'CEM Price Data'!AI24)</f>
        <v>74.709999999999994</v>
      </c>
      <c r="AI25" s="526">
        <f>IF('CEM Price Data'!AJ24="","",'CEM Price Data'!AJ24)</f>
        <v>560.22</v>
      </c>
      <c r="AJ25" s="526">
        <f>IF('CEM Price Data'!AK24="","",'CEM Price Data'!AK24)</f>
        <v>180.46</v>
      </c>
      <c r="AK25" s="526">
        <f>IF('CEM Price Data'!AL24="","",'CEM Price Data'!AL24)</f>
        <v>199.81</v>
      </c>
      <c r="AL25" s="526">
        <f>IF('CEM Price Data'!AM24="","",'CEM Price Data'!AM24)</f>
        <v>346.6</v>
      </c>
      <c r="AM25" s="526">
        <f>IF('CEM Price Data'!AN24="","",'CEM Price Data'!AN24)</f>
        <v>268.98</v>
      </c>
      <c r="AN25" s="526">
        <f>IF('CEM Price Data'!AO24="","",'CEM Price Data'!AO24)</f>
        <v>14.66</v>
      </c>
    </row>
    <row r="26" spans="1:40">
      <c r="A26" s="525">
        <f>IF('CEM Price Data'!B25="","",'CEM Price Data'!B25)</f>
        <v>44894</v>
      </c>
      <c r="B26" s="526">
        <f>IF('CEM Price Data'!C25="","",'CEM Price Data'!C25)</f>
        <v>150.94</v>
      </c>
      <c r="C26" s="526">
        <f>IF('CEM Price Data'!D25="","",'CEM Price Data'!D25)</f>
        <v>105</v>
      </c>
      <c r="D26" s="526">
        <f>IF('CEM Price Data'!E25="","",'CEM Price Data'!E25)</f>
        <v>163.89</v>
      </c>
      <c r="E26" s="526">
        <f>IF('CEM Price Data'!F25="","",'CEM Price Data'!F25)</f>
        <v>126.39</v>
      </c>
      <c r="F26" s="526">
        <f>IF('CEM Price Data'!G25="","",'CEM Price Data'!G25)</f>
        <v>60.49</v>
      </c>
      <c r="G26" s="526">
        <f>IF('CEM Price Data'!H25="","",'CEM Price Data'!H25)</f>
        <v>302.18</v>
      </c>
      <c r="H26" s="526">
        <f>IF('CEM Price Data'!I25="","",'CEM Price Data'!I25)</f>
        <v>71.12</v>
      </c>
      <c r="I26" s="526">
        <f>IF('CEM Price Data'!J25="","",'CEM Price Data'!J25)</f>
        <v>79.03</v>
      </c>
      <c r="J26" s="526">
        <f>IF('CEM Price Data'!K25="","",'CEM Price Data'!K25)</f>
        <v>142.82</v>
      </c>
      <c r="K26" s="526">
        <f>IF('CEM Price Data'!L25="","",'CEM Price Data'!L25)</f>
        <v>307.11</v>
      </c>
      <c r="L26" s="526">
        <f>IF('CEM Price Data'!M25="","",'CEM Price Data'!M25)</f>
        <v>511.71</v>
      </c>
      <c r="M26" s="526">
        <f>IF('CEM Price Data'!N25="","",'CEM Price Data'!N25)</f>
        <v>118.83</v>
      </c>
      <c r="N26" s="526">
        <f>IF('CEM Price Data'!O25="","",'CEM Price Data'!O25)</f>
        <v>149.01</v>
      </c>
      <c r="O26" s="526">
        <f>IF('CEM Price Data'!P25="","",'CEM Price Data'!P25)</f>
        <v>100.28</v>
      </c>
      <c r="P26" s="526">
        <f>IF('CEM Price Data'!Q25="","",'CEM Price Data'!Q25)</f>
        <v>96.71</v>
      </c>
      <c r="Q26" s="526">
        <f>IF('CEM Price Data'!R25="","",'CEM Price Data'!R25)</f>
        <v>159.63999999999999</v>
      </c>
      <c r="R26" s="526">
        <f>IF('CEM Price Data'!S25="","",'CEM Price Data'!S25)</f>
        <v>185.9</v>
      </c>
      <c r="S26" s="526">
        <f>IF('CEM Price Data'!T25="","",'CEM Price Data'!T25)</f>
        <v>83.75</v>
      </c>
      <c r="T26" s="526">
        <f>IF('CEM Price Data'!U25="","",'CEM Price Data'!U25)</f>
        <v>108.84</v>
      </c>
      <c r="U26" s="526">
        <f>IF('CEM Price Data'!V25="","",'CEM Price Data'!V25)</f>
        <v>486.32</v>
      </c>
      <c r="V26" s="526">
        <f>IF('CEM Price Data'!W25="","",'CEM Price Data'!W25)</f>
        <v>264.45999999999998</v>
      </c>
      <c r="W26" s="526">
        <f>IF('CEM Price Data'!X25="","",'CEM Price Data'!X25)</f>
        <v>309.2</v>
      </c>
      <c r="X26" s="526">
        <f>IF('CEM Price Data'!Y25="","",'CEM Price Data'!Y25)</f>
        <v>528.35</v>
      </c>
      <c r="Y26" s="526">
        <f>IF('CEM Price Data'!Z25="","",'CEM Price Data'!Z25)</f>
        <v>292.07</v>
      </c>
      <c r="Z26" s="526">
        <f>IF('CEM Price Data'!AA25="","",'CEM Price Data'!AA25)</f>
        <v>80.849999999999994</v>
      </c>
      <c r="AA26" s="526">
        <f>IF('CEM Price Data'!AB25="","",'CEM Price Data'!AB25)</f>
        <v>131.12</v>
      </c>
      <c r="AB26" s="526">
        <f>IF('CEM Price Data'!AC25="","",'CEM Price Data'!AC25)</f>
        <v>92.77</v>
      </c>
      <c r="AC26" s="526">
        <f>IF('CEM Price Data'!AD25="","",'CEM Price Data'!AD25)</f>
        <v>127.49</v>
      </c>
      <c r="AD26" s="526">
        <f>IF('CEM Price Data'!AE25="","",'CEM Price Data'!AE25)</f>
        <v>39.83</v>
      </c>
      <c r="AE26" s="526">
        <f>IF('CEM Price Data'!AF25="","",'CEM Price Data'!AF25)</f>
        <v>241.57</v>
      </c>
      <c r="AF26" s="526">
        <f>IF('CEM Price Data'!AG25="","",'CEM Price Data'!AG25)</f>
        <v>94.71</v>
      </c>
      <c r="AG26" s="526">
        <f>IF('CEM Price Data'!AH25="","",'CEM Price Data'!AH25)</f>
        <v>6.41</v>
      </c>
      <c r="AH26" s="526">
        <f>IF('CEM Price Data'!AI25="","",'CEM Price Data'!AI25)</f>
        <v>73.510000000000005</v>
      </c>
      <c r="AI26" s="526">
        <f>IF('CEM Price Data'!AJ25="","",'CEM Price Data'!AJ25)</f>
        <v>539.75</v>
      </c>
      <c r="AJ26" s="526">
        <f>IF('CEM Price Data'!AK25="","",'CEM Price Data'!AK25)</f>
        <v>172.98</v>
      </c>
      <c r="AK26" s="526">
        <f>IF('CEM Price Data'!AL25="","",'CEM Price Data'!AL25)</f>
        <v>194.96</v>
      </c>
      <c r="AL26" s="526">
        <f>IF('CEM Price Data'!AM25="","",'CEM Price Data'!AM25)</f>
        <v>330.16</v>
      </c>
      <c r="AM26" s="526">
        <f>IF('CEM Price Data'!AN25="","",'CEM Price Data'!AN25)</f>
        <v>269.3</v>
      </c>
      <c r="AN26" s="526">
        <f>IF('CEM Price Data'!AO25="","",'CEM Price Data'!AO25)</f>
        <v>14.47</v>
      </c>
    </row>
    <row r="27" spans="1:40">
      <c r="A27" s="525">
        <f>IF('CEM Price Data'!B26="","",'CEM Price Data'!B26)</f>
        <v>44893</v>
      </c>
      <c r="B27" s="526">
        <f>IF('CEM Price Data'!C26="","",'CEM Price Data'!C26)</f>
        <v>152.30000000000001</v>
      </c>
      <c r="C27" s="526">
        <f>IF('CEM Price Data'!D26="","",'CEM Price Data'!D26)</f>
        <v>105.39</v>
      </c>
      <c r="D27" s="526">
        <f>IF('CEM Price Data'!E26="","",'CEM Price Data'!E26)</f>
        <v>164.01</v>
      </c>
      <c r="E27" s="526">
        <f>IF('CEM Price Data'!F26="","",'CEM Price Data'!F26)</f>
        <v>125.22</v>
      </c>
      <c r="F27" s="526">
        <f>IF('CEM Price Data'!G26="","",'CEM Price Data'!G26)</f>
        <v>59.76</v>
      </c>
      <c r="G27" s="526">
        <f>IF('CEM Price Data'!H26="","",'CEM Price Data'!H26)</f>
        <v>304.45999999999998</v>
      </c>
      <c r="H27" s="526">
        <f>IF('CEM Price Data'!I26="","",'CEM Price Data'!I26)</f>
        <v>71.930000000000007</v>
      </c>
      <c r="I27" s="526">
        <f>IF('CEM Price Data'!J26="","",'CEM Price Data'!J26)</f>
        <v>79.14</v>
      </c>
      <c r="J27" s="526">
        <f>IF('CEM Price Data'!K26="","",'CEM Price Data'!K26)</f>
        <v>146.5</v>
      </c>
      <c r="K27" s="526">
        <f>IF('CEM Price Data'!L26="","",'CEM Price Data'!L26)</f>
        <v>308.43</v>
      </c>
      <c r="L27" s="526">
        <f>IF('CEM Price Data'!M26="","",'CEM Price Data'!M26)</f>
        <v>510.72</v>
      </c>
      <c r="M27" s="526">
        <f>IF('CEM Price Data'!N26="","",'CEM Price Data'!N26)</f>
        <v>118.15</v>
      </c>
      <c r="N27" s="526">
        <f>IF('CEM Price Data'!O26="","",'CEM Price Data'!O26)</f>
        <v>149.07</v>
      </c>
      <c r="O27" s="526">
        <f>IF('CEM Price Data'!P26="","",'CEM Price Data'!P26)</f>
        <v>100.88</v>
      </c>
      <c r="P27" s="526">
        <f>IF('CEM Price Data'!Q26="","",'CEM Price Data'!Q26)</f>
        <v>97.61</v>
      </c>
      <c r="Q27" s="526">
        <f>IF('CEM Price Data'!R26="","",'CEM Price Data'!R26)</f>
        <v>162.96</v>
      </c>
      <c r="R27" s="526">
        <f>IF('CEM Price Data'!S26="","",'CEM Price Data'!S26)</f>
        <v>188.8</v>
      </c>
      <c r="S27" s="526">
        <f>IF('CEM Price Data'!T26="","",'CEM Price Data'!T26)</f>
        <v>83.75</v>
      </c>
      <c r="T27" s="526">
        <f>IF('CEM Price Data'!U26="","",'CEM Price Data'!U26)</f>
        <v>108.45</v>
      </c>
      <c r="U27" s="526">
        <f>IF('CEM Price Data'!V26="","",'CEM Price Data'!V26)</f>
        <v>495.96</v>
      </c>
      <c r="V27" s="526">
        <f>IF('CEM Price Data'!W26="","",'CEM Price Data'!W26)</f>
        <v>265.98</v>
      </c>
      <c r="W27" s="526">
        <f>IF('CEM Price Data'!X26="","",'CEM Price Data'!X26)</f>
        <v>312.68</v>
      </c>
      <c r="X27" s="526">
        <f>IF('CEM Price Data'!Y26="","",'CEM Price Data'!Y26)</f>
        <v>524.88</v>
      </c>
      <c r="Y27" s="526">
        <f>IF('CEM Price Data'!Z26="","",'CEM Price Data'!Z26)</f>
        <v>288.32</v>
      </c>
      <c r="Z27" s="526">
        <f>IF('CEM Price Data'!AA26="","",'CEM Price Data'!AA26)</f>
        <v>81.39</v>
      </c>
      <c r="AA27" s="526">
        <f>IF('CEM Price Data'!AB26="","",'CEM Price Data'!AB26)</f>
        <v>130.02000000000001</v>
      </c>
      <c r="AB27" s="526">
        <f>IF('CEM Price Data'!AC26="","",'CEM Price Data'!AC26)</f>
        <v>92.66</v>
      </c>
      <c r="AC27" s="526">
        <f>IF('CEM Price Data'!AD26="","",'CEM Price Data'!AD26)</f>
        <v>131.84</v>
      </c>
      <c r="AD27" s="526">
        <f>IF('CEM Price Data'!AE26="","",'CEM Price Data'!AE26)</f>
        <v>39.78</v>
      </c>
      <c r="AE27" s="526">
        <f>IF('CEM Price Data'!AF26="","",'CEM Price Data'!AF26)</f>
        <v>245.56</v>
      </c>
      <c r="AF27" s="526">
        <f>IF('CEM Price Data'!AG26="","",'CEM Price Data'!AG26)</f>
        <v>95.63</v>
      </c>
      <c r="AG27" s="526">
        <f>IF('CEM Price Data'!AH26="","",'CEM Price Data'!AH26)</f>
        <v>6.38</v>
      </c>
      <c r="AH27" s="526">
        <f>IF('CEM Price Data'!AI26="","",'CEM Price Data'!AI26)</f>
        <v>73.760000000000005</v>
      </c>
      <c r="AI27" s="526">
        <f>IF('CEM Price Data'!AJ26="","",'CEM Price Data'!AJ26)</f>
        <v>540.03</v>
      </c>
      <c r="AJ27" s="526">
        <f>IF('CEM Price Data'!AK26="","",'CEM Price Data'!AK26)</f>
        <v>173</v>
      </c>
      <c r="AK27" s="526">
        <f>IF('CEM Price Data'!AL26="","",'CEM Price Data'!AL26)</f>
        <v>197.75</v>
      </c>
      <c r="AL27" s="526">
        <f>IF('CEM Price Data'!AM26="","",'CEM Price Data'!AM26)</f>
        <v>331.6</v>
      </c>
      <c r="AM27" s="526">
        <f>IF('CEM Price Data'!AN26="","",'CEM Price Data'!AN26)</f>
        <v>269.95999999999998</v>
      </c>
      <c r="AN27" s="526">
        <f>IF('CEM Price Data'!AO26="","",'CEM Price Data'!AO26)</f>
        <v>14.26</v>
      </c>
    </row>
    <row r="28" spans="1:40">
      <c r="A28" s="525">
        <f>IF('CEM Price Data'!B27="","",'CEM Price Data'!B27)</f>
        <v>44890</v>
      </c>
      <c r="B28" s="526">
        <f>IF('CEM Price Data'!C27="","",'CEM Price Data'!C27)</f>
        <v>156.96</v>
      </c>
      <c r="C28" s="526">
        <f>IF('CEM Price Data'!D27="","",'CEM Price Data'!D27)</f>
        <v>106.96</v>
      </c>
      <c r="D28" s="526">
        <f>IF('CEM Price Data'!E27="","",'CEM Price Data'!E27)</f>
        <v>167.09</v>
      </c>
      <c r="E28" s="526">
        <f>IF('CEM Price Data'!F27="","",'CEM Price Data'!F27)</f>
        <v>128.49</v>
      </c>
      <c r="F28" s="526">
        <f>IF('CEM Price Data'!G27="","",'CEM Price Data'!G27)</f>
        <v>61.86</v>
      </c>
      <c r="G28" s="526">
        <f>IF('CEM Price Data'!H27="","",'CEM Price Data'!H27)</f>
        <v>309.91000000000003</v>
      </c>
      <c r="H28" s="526">
        <f>IF('CEM Price Data'!I27="","",'CEM Price Data'!I27)</f>
        <v>72.73</v>
      </c>
      <c r="I28" s="526">
        <f>IF('CEM Price Data'!J27="","",'CEM Price Data'!J27)</f>
        <v>79.239999999999995</v>
      </c>
      <c r="J28" s="526">
        <f>IF('CEM Price Data'!K27="","",'CEM Price Data'!K27)</f>
        <v>148.52000000000001</v>
      </c>
      <c r="K28" s="526">
        <f>IF('CEM Price Data'!L27="","",'CEM Price Data'!L27)</f>
        <v>311.08</v>
      </c>
      <c r="L28" s="526">
        <f>IF('CEM Price Data'!M27="","",'CEM Price Data'!M27)</f>
        <v>516.91999999999996</v>
      </c>
      <c r="M28" s="526">
        <f>IF('CEM Price Data'!N27="","",'CEM Price Data'!N27)</f>
        <v>118.47</v>
      </c>
      <c r="N28" s="526">
        <f>IF('CEM Price Data'!O27="","",'CEM Price Data'!O27)</f>
        <v>149.06</v>
      </c>
      <c r="O28" s="526">
        <f>IF('CEM Price Data'!P27="","",'CEM Price Data'!P27)</f>
        <v>102.59</v>
      </c>
      <c r="P28" s="526">
        <f>IF('CEM Price Data'!Q27="","",'CEM Price Data'!Q27)</f>
        <v>98.69</v>
      </c>
      <c r="Q28" s="526">
        <f>IF('CEM Price Data'!R27="","",'CEM Price Data'!R27)</f>
        <v>161.91</v>
      </c>
      <c r="R28" s="526">
        <f>IF('CEM Price Data'!S27="","",'CEM Price Data'!S27)</f>
        <v>191.42</v>
      </c>
      <c r="S28" s="526">
        <f>IF('CEM Price Data'!T27="","",'CEM Price Data'!T27)</f>
        <v>84.91</v>
      </c>
      <c r="T28" s="526">
        <f>IF('CEM Price Data'!U27="","",'CEM Price Data'!U27)</f>
        <v>107.5</v>
      </c>
      <c r="U28" s="526">
        <f>IF('CEM Price Data'!V27="","",'CEM Price Data'!V27)</f>
        <v>512.26</v>
      </c>
      <c r="V28" s="526">
        <f>IF('CEM Price Data'!W27="","",'CEM Price Data'!W27)</f>
        <v>268.43</v>
      </c>
      <c r="W28" s="526">
        <f>IF('CEM Price Data'!X27="","",'CEM Price Data'!X27)</f>
        <v>317.77</v>
      </c>
      <c r="X28" s="526">
        <f>IF('CEM Price Data'!Y27="","",'CEM Price Data'!Y27)</f>
        <v>527.83000000000004</v>
      </c>
      <c r="Y28" s="526">
        <f>IF('CEM Price Data'!Z27="","",'CEM Price Data'!Z27)</f>
        <v>293.99</v>
      </c>
      <c r="Z28" s="526">
        <f>IF('CEM Price Data'!AA27="","",'CEM Price Data'!AA27)</f>
        <v>82.72</v>
      </c>
      <c r="AA28" s="526">
        <f>IF('CEM Price Data'!AB27="","",'CEM Price Data'!AB27)</f>
        <v>131.57</v>
      </c>
      <c r="AB28" s="526">
        <f>IF('CEM Price Data'!AC27="","",'CEM Price Data'!AC27)</f>
        <v>92.92</v>
      </c>
      <c r="AC28" s="526">
        <f>IF('CEM Price Data'!AD27="","",'CEM Price Data'!AD27)</f>
        <v>133.72</v>
      </c>
      <c r="AD28" s="526">
        <f>IF('CEM Price Data'!AE27="","",'CEM Price Data'!AE27)</f>
        <v>39.99</v>
      </c>
      <c r="AE28" s="526">
        <f>IF('CEM Price Data'!AF27="","",'CEM Price Data'!AF27)</f>
        <v>249.52</v>
      </c>
      <c r="AF28" s="526">
        <f>IF('CEM Price Data'!AG27="","",'CEM Price Data'!AG27)</f>
        <v>95.38</v>
      </c>
      <c r="AG28" s="526">
        <f>IF('CEM Price Data'!AH27="","",'CEM Price Data'!AH27)</f>
        <v>6.49</v>
      </c>
      <c r="AH28" s="526">
        <f>IF('CEM Price Data'!AI27="","",'CEM Price Data'!AI27)</f>
        <v>74.239999999999995</v>
      </c>
      <c r="AI28" s="526">
        <f>IF('CEM Price Data'!AJ27="","",'CEM Price Data'!AJ27)</f>
        <v>551.25</v>
      </c>
      <c r="AJ28" s="526">
        <f>IF('CEM Price Data'!AK27="","",'CEM Price Data'!AK27)</f>
        <v>177.07</v>
      </c>
      <c r="AK28" s="526">
        <f>IF('CEM Price Data'!AL27="","",'CEM Price Data'!AL27)</f>
        <v>198.87</v>
      </c>
      <c r="AL28" s="526">
        <f>IF('CEM Price Data'!AM27="","",'CEM Price Data'!AM27)</f>
        <v>338.03</v>
      </c>
      <c r="AM28" s="526">
        <f>IF('CEM Price Data'!AN27="","",'CEM Price Data'!AN27)</f>
        <v>278.74</v>
      </c>
      <c r="AN28" s="526">
        <f>IF('CEM Price Data'!AO27="","",'CEM Price Data'!AO27)</f>
        <v>14.29</v>
      </c>
    </row>
    <row r="29" spans="1:40">
      <c r="A29" s="525">
        <f>IF('CEM Price Data'!B28="","",'CEM Price Data'!B28)</f>
        <v>44888</v>
      </c>
      <c r="B29" s="526">
        <f>IF('CEM Price Data'!C28="","",'CEM Price Data'!C28)</f>
        <v>155.35</v>
      </c>
      <c r="C29" s="526">
        <f>IF('CEM Price Data'!D28="","",'CEM Price Data'!D28)</f>
        <v>106.02</v>
      </c>
      <c r="D29" s="526">
        <f>IF('CEM Price Data'!E28="","",'CEM Price Data'!E28)</f>
        <v>169.2</v>
      </c>
      <c r="E29" s="526">
        <f>IF('CEM Price Data'!F28="","",'CEM Price Data'!F28)</f>
        <v>127.04</v>
      </c>
      <c r="F29" s="526">
        <f>IF('CEM Price Data'!G28="","",'CEM Price Data'!G28)</f>
        <v>61.53</v>
      </c>
      <c r="G29" s="526">
        <f>IF('CEM Price Data'!H28="","",'CEM Price Data'!H28)</f>
        <v>308.14999999999998</v>
      </c>
      <c r="H29" s="526">
        <f>IF('CEM Price Data'!I28="","",'CEM Price Data'!I28)</f>
        <v>72.569999999999993</v>
      </c>
      <c r="I29" s="526">
        <f>IF('CEM Price Data'!J28="","",'CEM Price Data'!J28)</f>
        <v>79.14</v>
      </c>
      <c r="J29" s="526">
        <f>IF('CEM Price Data'!K28="","",'CEM Price Data'!K28)</f>
        <v>148.43</v>
      </c>
      <c r="K29" s="526">
        <f>IF('CEM Price Data'!L28="","",'CEM Price Data'!L28)</f>
        <v>305.63</v>
      </c>
      <c r="L29" s="526">
        <f>IF('CEM Price Data'!M28="","",'CEM Price Data'!M28)</f>
        <v>513.1</v>
      </c>
      <c r="M29" s="526">
        <f>IF('CEM Price Data'!N28="","",'CEM Price Data'!N28)</f>
        <v>118.31</v>
      </c>
      <c r="N29" s="526">
        <f>IF('CEM Price Data'!O28="","",'CEM Price Data'!O28)</f>
        <v>148.46</v>
      </c>
      <c r="O29" s="526">
        <f>IF('CEM Price Data'!P28="","",'CEM Price Data'!P28)</f>
        <v>101.26</v>
      </c>
      <c r="P29" s="526">
        <f>IF('CEM Price Data'!Q28="","",'CEM Price Data'!Q28)</f>
        <v>97.99</v>
      </c>
      <c r="Q29" s="526">
        <f>IF('CEM Price Data'!R28="","",'CEM Price Data'!R28)</f>
        <v>160.41</v>
      </c>
      <c r="R29" s="526">
        <f>IF('CEM Price Data'!S28="","",'CEM Price Data'!S28)</f>
        <v>190.06</v>
      </c>
      <c r="S29" s="526">
        <f>IF('CEM Price Data'!T28="","",'CEM Price Data'!T28)</f>
        <v>86.11</v>
      </c>
      <c r="T29" s="526">
        <f>IF('CEM Price Data'!U28="","",'CEM Price Data'!U28)</f>
        <v>106.82</v>
      </c>
      <c r="U29" s="526">
        <f>IF('CEM Price Data'!V28="","",'CEM Price Data'!V28)</f>
        <v>508.75</v>
      </c>
      <c r="V29" s="526">
        <f>IF('CEM Price Data'!W28="","",'CEM Price Data'!W28)</f>
        <v>266</v>
      </c>
      <c r="W29" s="526">
        <f>IF('CEM Price Data'!X28="","",'CEM Price Data'!X28)</f>
        <v>314.7</v>
      </c>
      <c r="X29" s="526">
        <f>IF('CEM Price Data'!Y28="","",'CEM Price Data'!Y28)</f>
        <v>522.34</v>
      </c>
      <c r="Y29" s="526">
        <f>IF('CEM Price Data'!Z28="","",'CEM Price Data'!Z28)</f>
        <v>297.02999999999997</v>
      </c>
      <c r="Z29" s="526">
        <f>IF('CEM Price Data'!AA28="","",'CEM Price Data'!AA28)</f>
        <v>82.56</v>
      </c>
      <c r="AA29" s="526">
        <f>IF('CEM Price Data'!AB28="","",'CEM Price Data'!AB28)</f>
        <v>131.09</v>
      </c>
      <c r="AB29" s="526">
        <f>IF('CEM Price Data'!AC28="","",'CEM Price Data'!AC28)</f>
        <v>93.86</v>
      </c>
      <c r="AC29" s="526">
        <f>IF('CEM Price Data'!AD28="","",'CEM Price Data'!AD28)</f>
        <v>131.9</v>
      </c>
      <c r="AD29" s="526">
        <f>IF('CEM Price Data'!AE28="","",'CEM Price Data'!AE28)</f>
        <v>39.72</v>
      </c>
      <c r="AE29" s="526">
        <f>IF('CEM Price Data'!AF28="","",'CEM Price Data'!AF28)</f>
        <v>250</v>
      </c>
      <c r="AF29" s="526">
        <f>IF('CEM Price Data'!AG28="","",'CEM Price Data'!AG28)</f>
        <v>94.49</v>
      </c>
      <c r="AG29" s="526">
        <f>IF('CEM Price Data'!AH28="","",'CEM Price Data'!AH28)</f>
        <v>6.5</v>
      </c>
      <c r="AH29" s="526">
        <f>IF('CEM Price Data'!AI28="","",'CEM Price Data'!AI28)</f>
        <v>74.23</v>
      </c>
      <c r="AI29" s="526">
        <f>IF('CEM Price Data'!AJ28="","",'CEM Price Data'!AJ28)</f>
        <v>547.29</v>
      </c>
      <c r="AJ29" s="526">
        <f>IF('CEM Price Data'!AK28="","",'CEM Price Data'!AK28)</f>
        <v>178.98</v>
      </c>
      <c r="AK29" s="526">
        <f>IF('CEM Price Data'!AL28="","",'CEM Price Data'!AL28)</f>
        <v>199.31</v>
      </c>
      <c r="AL29" s="526">
        <f>IF('CEM Price Data'!AM28="","",'CEM Price Data'!AM28)</f>
        <v>334.57</v>
      </c>
      <c r="AM29" s="526">
        <f>IF('CEM Price Data'!AN28="","",'CEM Price Data'!AN28)</f>
        <v>279.01</v>
      </c>
      <c r="AN29" s="526">
        <f>IF('CEM Price Data'!AO28="","",'CEM Price Data'!AO28)</f>
        <v>14.18</v>
      </c>
    </row>
    <row r="30" spans="1:40">
      <c r="A30" s="525">
        <f>IF('CEM Price Data'!B29="","",'CEM Price Data'!B29)</f>
        <v>44887</v>
      </c>
      <c r="B30" s="526">
        <f>IF('CEM Price Data'!C29="","",'CEM Price Data'!C29)</f>
        <v>156.86000000000001</v>
      </c>
      <c r="C30" s="526">
        <f>IF('CEM Price Data'!D29="","",'CEM Price Data'!D29)</f>
        <v>104.87</v>
      </c>
      <c r="D30" s="526">
        <f>IF('CEM Price Data'!E29="","",'CEM Price Data'!E29)</f>
        <v>168.43</v>
      </c>
      <c r="E30" s="526">
        <f>IF('CEM Price Data'!F29="","",'CEM Price Data'!F29)</f>
        <v>127.18</v>
      </c>
      <c r="F30" s="526">
        <f>IF('CEM Price Data'!G29="","",'CEM Price Data'!G29)</f>
        <v>61.9</v>
      </c>
      <c r="G30" s="526">
        <f>IF('CEM Price Data'!H29="","",'CEM Price Data'!H29)</f>
        <v>309.16000000000003</v>
      </c>
      <c r="H30" s="526">
        <f>IF('CEM Price Data'!I29="","",'CEM Price Data'!I29)</f>
        <v>72.239999999999995</v>
      </c>
      <c r="I30" s="526">
        <f>IF('CEM Price Data'!J29="","",'CEM Price Data'!J29)</f>
        <v>78.86</v>
      </c>
      <c r="J30" s="526">
        <f>IF('CEM Price Data'!K29="","",'CEM Price Data'!K29)</f>
        <v>148.36000000000001</v>
      </c>
      <c r="K30" s="526">
        <f>IF('CEM Price Data'!L29="","",'CEM Price Data'!L29)</f>
        <v>307.38</v>
      </c>
      <c r="L30" s="526">
        <f>IF('CEM Price Data'!M29="","",'CEM Price Data'!M29)</f>
        <v>508.13</v>
      </c>
      <c r="M30" s="526">
        <f>IF('CEM Price Data'!N29="","",'CEM Price Data'!N29)</f>
        <v>117.61</v>
      </c>
      <c r="N30" s="526">
        <f>IF('CEM Price Data'!O29="","",'CEM Price Data'!O29)</f>
        <v>146.69999999999999</v>
      </c>
      <c r="O30" s="526">
        <f>IF('CEM Price Data'!P29="","",'CEM Price Data'!P29)</f>
        <v>100.68</v>
      </c>
      <c r="P30" s="526">
        <f>IF('CEM Price Data'!Q29="","",'CEM Price Data'!Q29)</f>
        <v>97.94</v>
      </c>
      <c r="Q30" s="526">
        <f>IF('CEM Price Data'!R29="","",'CEM Price Data'!R29)</f>
        <v>161.38</v>
      </c>
      <c r="R30" s="526">
        <f>IF('CEM Price Data'!S29="","",'CEM Price Data'!S29)</f>
        <v>188.94</v>
      </c>
      <c r="S30" s="526">
        <f>IF('CEM Price Data'!T29="","",'CEM Price Data'!T29)</f>
        <v>86.12</v>
      </c>
      <c r="T30" s="526">
        <f>IF('CEM Price Data'!U29="","",'CEM Price Data'!U29)</f>
        <v>106.9</v>
      </c>
      <c r="U30" s="526">
        <f>IF('CEM Price Data'!V29="","",'CEM Price Data'!V29)</f>
        <v>502.67</v>
      </c>
      <c r="V30" s="526">
        <f>IF('CEM Price Data'!W29="","",'CEM Price Data'!W29)</f>
        <v>265.06</v>
      </c>
      <c r="W30" s="526">
        <f>IF('CEM Price Data'!X29="","",'CEM Price Data'!X29)</f>
        <v>313.39</v>
      </c>
      <c r="X30" s="526">
        <f>IF('CEM Price Data'!Y29="","",'CEM Price Data'!Y29)</f>
        <v>524.65</v>
      </c>
      <c r="Y30" s="526">
        <f>IF('CEM Price Data'!Z29="","",'CEM Price Data'!Z29)</f>
        <v>295.89999999999998</v>
      </c>
      <c r="Z30" s="526">
        <f>IF('CEM Price Data'!AA29="","",'CEM Price Data'!AA29)</f>
        <v>82.12</v>
      </c>
      <c r="AA30" s="526">
        <f>IF('CEM Price Data'!AB29="","",'CEM Price Data'!AB29)</f>
        <v>130.09</v>
      </c>
      <c r="AB30" s="526">
        <f>IF('CEM Price Data'!AC29="","",'CEM Price Data'!AC29)</f>
        <v>93.83</v>
      </c>
      <c r="AC30" s="526">
        <f>IF('CEM Price Data'!AD29="","",'CEM Price Data'!AD29)</f>
        <v>132.74</v>
      </c>
      <c r="AD30" s="526">
        <f>IF('CEM Price Data'!AE29="","",'CEM Price Data'!AE29)</f>
        <v>39.54</v>
      </c>
      <c r="AE30" s="526">
        <f>IF('CEM Price Data'!AF29="","",'CEM Price Data'!AF29)</f>
        <v>243.45</v>
      </c>
      <c r="AF30" s="526">
        <f>IF('CEM Price Data'!AG29="","",'CEM Price Data'!AG29)</f>
        <v>93.99</v>
      </c>
      <c r="AG30" s="526">
        <f>IF('CEM Price Data'!AH29="","",'CEM Price Data'!AH29)</f>
        <v>6.49</v>
      </c>
      <c r="AH30" s="526">
        <f>IF('CEM Price Data'!AI29="","",'CEM Price Data'!AI29)</f>
        <v>73.58</v>
      </c>
      <c r="AI30" s="526">
        <f>IF('CEM Price Data'!AJ29="","",'CEM Price Data'!AJ29)</f>
        <v>544.75</v>
      </c>
      <c r="AJ30" s="526">
        <f>IF('CEM Price Data'!AK29="","",'CEM Price Data'!AK29)</f>
        <v>177.22</v>
      </c>
      <c r="AK30" s="526">
        <f>IF('CEM Price Data'!AL29="","",'CEM Price Data'!AL29)</f>
        <v>197.66</v>
      </c>
      <c r="AL30" s="526">
        <f>IF('CEM Price Data'!AM29="","",'CEM Price Data'!AM29)</f>
        <v>336.97</v>
      </c>
      <c r="AM30" s="526">
        <f>IF('CEM Price Data'!AN29="","",'CEM Price Data'!AN29)</f>
        <v>279.33999999999997</v>
      </c>
      <c r="AN30" s="526">
        <f>IF('CEM Price Data'!AO29="","",'CEM Price Data'!AO29)</f>
        <v>14.12</v>
      </c>
    </row>
    <row r="31" spans="1:40">
      <c r="A31" s="525">
        <f>IF('CEM Price Data'!B30="","",'CEM Price Data'!B30)</f>
        <v>44886</v>
      </c>
      <c r="B31" s="526">
        <f>IF('CEM Price Data'!C30="","",'CEM Price Data'!C30)</f>
        <v>145.13999999999999</v>
      </c>
      <c r="C31" s="526">
        <f>IF('CEM Price Data'!D30="","",'CEM Price Data'!D30)</f>
        <v>103.88</v>
      </c>
      <c r="D31" s="526">
        <f>IF('CEM Price Data'!E30="","",'CEM Price Data'!E30)</f>
        <v>159.24</v>
      </c>
      <c r="E31" s="526">
        <f>IF('CEM Price Data'!F30="","",'CEM Price Data'!F30)</f>
        <v>126.5</v>
      </c>
      <c r="F31" s="526">
        <f>IF('CEM Price Data'!G30="","",'CEM Price Data'!G30)</f>
        <v>61.4</v>
      </c>
      <c r="G31" s="526">
        <f>IF('CEM Price Data'!H30="","",'CEM Price Data'!H30)</f>
        <v>296.41000000000003</v>
      </c>
      <c r="H31" s="526">
        <f>IF('CEM Price Data'!I30="","",'CEM Price Data'!I30)</f>
        <v>70.47</v>
      </c>
      <c r="I31" s="526">
        <f>IF('CEM Price Data'!J30="","",'CEM Price Data'!J30)</f>
        <v>78.959999999999994</v>
      </c>
      <c r="J31" s="526">
        <f>IF('CEM Price Data'!K30="","",'CEM Price Data'!K30)</f>
        <v>147.1</v>
      </c>
      <c r="K31" s="526">
        <f>IF('CEM Price Data'!L30="","",'CEM Price Data'!L30)</f>
        <v>306.87</v>
      </c>
      <c r="L31" s="526">
        <f>IF('CEM Price Data'!M30="","",'CEM Price Data'!M30)</f>
        <v>505.2</v>
      </c>
      <c r="M31" s="526">
        <f>IF('CEM Price Data'!N30="","",'CEM Price Data'!N30)</f>
        <v>118.39</v>
      </c>
      <c r="N31" s="526">
        <f>IF('CEM Price Data'!O30="","",'CEM Price Data'!O30)</f>
        <v>146.5</v>
      </c>
      <c r="O31" s="526">
        <f>IF('CEM Price Data'!P30="","",'CEM Price Data'!P30)</f>
        <v>101.59</v>
      </c>
      <c r="P31" s="526">
        <f>IF('CEM Price Data'!Q30="","",'CEM Price Data'!Q30)</f>
        <v>95.87</v>
      </c>
      <c r="Q31" s="526">
        <f>IF('CEM Price Data'!R30="","",'CEM Price Data'!R30)</f>
        <v>159.59</v>
      </c>
      <c r="R31" s="526">
        <f>IF('CEM Price Data'!S30="","",'CEM Price Data'!S30)</f>
        <v>188.81</v>
      </c>
      <c r="S31" s="526">
        <f>IF('CEM Price Data'!T30="","",'CEM Price Data'!T30)</f>
        <v>85.15</v>
      </c>
      <c r="T31" s="526">
        <f>IF('CEM Price Data'!U30="","",'CEM Price Data'!U30)</f>
        <v>105.61</v>
      </c>
      <c r="U31" s="526">
        <f>IF('CEM Price Data'!V30="","",'CEM Price Data'!V30)</f>
        <v>493.37</v>
      </c>
      <c r="V31" s="526">
        <f>IF('CEM Price Data'!W30="","",'CEM Price Data'!W30)</f>
        <v>262.38</v>
      </c>
      <c r="W31" s="526">
        <f>IF('CEM Price Data'!X30="","",'CEM Price Data'!X30)</f>
        <v>313.24</v>
      </c>
      <c r="X31" s="526">
        <f>IF('CEM Price Data'!Y30="","",'CEM Price Data'!Y30)</f>
        <v>527.87</v>
      </c>
      <c r="Y31" s="526">
        <f>IF('CEM Price Data'!Z30="","",'CEM Price Data'!Z30)</f>
        <v>298.60000000000002</v>
      </c>
      <c r="Z31" s="526">
        <f>IF('CEM Price Data'!AA30="","",'CEM Price Data'!AA30)</f>
        <v>79.819999999999993</v>
      </c>
      <c r="AA31" s="526">
        <f>IF('CEM Price Data'!AB30="","",'CEM Price Data'!AB30)</f>
        <v>129.81</v>
      </c>
      <c r="AB31" s="526">
        <f>IF('CEM Price Data'!AC30="","",'CEM Price Data'!AC30)</f>
        <v>92.47</v>
      </c>
      <c r="AC31" s="526">
        <f>IF('CEM Price Data'!AD30="","",'CEM Price Data'!AD30)</f>
        <v>130.59</v>
      </c>
      <c r="AD31" s="526">
        <f>IF('CEM Price Data'!AE30="","",'CEM Price Data'!AE30)</f>
        <v>42.12</v>
      </c>
      <c r="AE31" s="526">
        <f>IF('CEM Price Data'!AF30="","",'CEM Price Data'!AF30)</f>
        <v>239.26</v>
      </c>
      <c r="AF31" s="526">
        <f>IF('CEM Price Data'!AG30="","",'CEM Price Data'!AG30)</f>
        <v>92.47</v>
      </c>
      <c r="AG31" s="526">
        <f>IF('CEM Price Data'!AH30="","",'CEM Price Data'!AH30)</f>
        <v>6.43</v>
      </c>
      <c r="AH31" s="526">
        <f>IF('CEM Price Data'!AI30="","",'CEM Price Data'!AI30)</f>
        <v>72.819999999999993</v>
      </c>
      <c r="AI31" s="526">
        <f>IF('CEM Price Data'!AJ30="","",'CEM Price Data'!AJ30)</f>
        <v>536.28</v>
      </c>
      <c r="AJ31" s="526">
        <f>IF('CEM Price Data'!AK30="","",'CEM Price Data'!AK30)</f>
        <v>172.4</v>
      </c>
      <c r="AK31" s="526">
        <f>IF('CEM Price Data'!AL30="","",'CEM Price Data'!AL30)</f>
        <v>195.51</v>
      </c>
      <c r="AL31" s="526">
        <f>IF('CEM Price Data'!AM30="","",'CEM Price Data'!AM30)</f>
        <v>322.89</v>
      </c>
      <c r="AM31" s="526">
        <f>IF('CEM Price Data'!AN30="","",'CEM Price Data'!AN30)</f>
        <v>276.36</v>
      </c>
      <c r="AN31" s="526">
        <f>IF('CEM Price Data'!AO30="","",'CEM Price Data'!AO30)</f>
        <v>13.95</v>
      </c>
    </row>
    <row r="32" spans="1:40">
      <c r="A32" s="525">
        <f>IF('CEM Price Data'!B31="","",'CEM Price Data'!B31)</f>
        <v>44883</v>
      </c>
      <c r="B32" s="526">
        <f>IF('CEM Price Data'!C31="","",'CEM Price Data'!C31)</f>
        <v>146.19</v>
      </c>
      <c r="C32" s="526">
        <f>IF('CEM Price Data'!D31="","",'CEM Price Data'!D31)</f>
        <v>103.87</v>
      </c>
      <c r="D32" s="526">
        <f>IF('CEM Price Data'!E31="","",'CEM Price Data'!E31)</f>
        <v>161.85</v>
      </c>
      <c r="E32" s="526">
        <f>IF('CEM Price Data'!F31="","",'CEM Price Data'!F31)</f>
        <v>124.95</v>
      </c>
      <c r="F32" s="526">
        <f>IF('CEM Price Data'!G31="","",'CEM Price Data'!G31)</f>
        <v>61.28</v>
      </c>
      <c r="G32" s="526">
        <f>IF('CEM Price Data'!H31="","",'CEM Price Data'!H31)</f>
        <v>296.48</v>
      </c>
      <c r="H32" s="526">
        <f>IF('CEM Price Data'!I31="","",'CEM Price Data'!I31)</f>
        <v>69.790000000000006</v>
      </c>
      <c r="I32" s="526">
        <f>IF('CEM Price Data'!J31="","",'CEM Price Data'!J31)</f>
        <v>77.45</v>
      </c>
      <c r="J32" s="526">
        <f>IF('CEM Price Data'!K31="","",'CEM Price Data'!K31)</f>
        <v>144.6</v>
      </c>
      <c r="K32" s="526">
        <f>IF('CEM Price Data'!L31="","",'CEM Price Data'!L31)</f>
        <v>303.76</v>
      </c>
      <c r="L32" s="526">
        <f>IF('CEM Price Data'!M31="","",'CEM Price Data'!M31)</f>
        <v>503.65</v>
      </c>
      <c r="M32" s="526">
        <f>IF('CEM Price Data'!N31="","",'CEM Price Data'!N31)</f>
        <v>122.6</v>
      </c>
      <c r="N32" s="526">
        <f>IF('CEM Price Data'!O31="","",'CEM Price Data'!O31)</f>
        <v>146.41999999999999</v>
      </c>
      <c r="O32" s="526">
        <f>IF('CEM Price Data'!P31="","",'CEM Price Data'!P31)</f>
        <v>102.08</v>
      </c>
      <c r="P32" s="526">
        <f>IF('CEM Price Data'!Q31="","",'CEM Price Data'!Q31)</f>
        <v>95.34</v>
      </c>
      <c r="Q32" s="526">
        <f>IF('CEM Price Data'!R31="","",'CEM Price Data'!R31)</f>
        <v>156.32</v>
      </c>
      <c r="R32" s="526">
        <f>IF('CEM Price Data'!S31="","",'CEM Price Data'!S31)</f>
        <v>186.96</v>
      </c>
      <c r="S32" s="526">
        <f>IF('CEM Price Data'!T31="","",'CEM Price Data'!T31)</f>
        <v>83.76</v>
      </c>
      <c r="T32" s="526">
        <f>IF('CEM Price Data'!U31="","",'CEM Price Data'!U31)</f>
        <v>104.23</v>
      </c>
      <c r="U32" s="526">
        <f>IF('CEM Price Data'!V31="","",'CEM Price Data'!V31)</f>
        <v>490.31</v>
      </c>
      <c r="V32" s="526">
        <f>IF('CEM Price Data'!W31="","",'CEM Price Data'!W31)</f>
        <v>262.94</v>
      </c>
      <c r="W32" s="526">
        <f>IF('CEM Price Data'!X31="","",'CEM Price Data'!X31)</f>
        <v>308.54000000000002</v>
      </c>
      <c r="X32" s="526">
        <f>IF('CEM Price Data'!Y31="","",'CEM Price Data'!Y31)</f>
        <v>520.41999999999996</v>
      </c>
      <c r="Y32" s="526">
        <f>IF('CEM Price Data'!Z31="","",'CEM Price Data'!Z31)</f>
        <v>298.33999999999997</v>
      </c>
      <c r="Z32" s="526">
        <f>IF('CEM Price Data'!AA31="","",'CEM Price Data'!AA31)</f>
        <v>79.73</v>
      </c>
      <c r="AA32" s="526">
        <f>IF('CEM Price Data'!AB31="","",'CEM Price Data'!AB31)</f>
        <v>128.36000000000001</v>
      </c>
      <c r="AB32" s="526">
        <f>IF('CEM Price Data'!AC31="","",'CEM Price Data'!AC31)</f>
        <v>88.95</v>
      </c>
      <c r="AC32" s="526">
        <f>IF('CEM Price Data'!AD31="","",'CEM Price Data'!AD31)</f>
        <v>130.25</v>
      </c>
      <c r="AD32" s="526">
        <f>IF('CEM Price Data'!AE31="","",'CEM Price Data'!AE31)</f>
        <v>42.46</v>
      </c>
      <c r="AE32" s="526">
        <f>IF('CEM Price Data'!AF31="","",'CEM Price Data'!AF31)</f>
        <v>240.04</v>
      </c>
      <c r="AF32" s="526">
        <f>IF('CEM Price Data'!AG31="","",'CEM Price Data'!AG31)</f>
        <v>93.01</v>
      </c>
      <c r="AG32" s="526">
        <f>IF('CEM Price Data'!AH31="","",'CEM Price Data'!AH31)</f>
        <v>6.39</v>
      </c>
      <c r="AH32" s="526">
        <f>IF('CEM Price Data'!AI31="","",'CEM Price Data'!AI31)</f>
        <v>72.73</v>
      </c>
      <c r="AI32" s="526">
        <f>IF('CEM Price Data'!AJ31="","",'CEM Price Data'!AJ31)</f>
        <v>535.24</v>
      </c>
      <c r="AJ32" s="526">
        <f>IF('CEM Price Data'!AK31="","",'CEM Price Data'!AK31)</f>
        <v>175.18</v>
      </c>
      <c r="AK32" s="526">
        <f>IF('CEM Price Data'!AL31="","",'CEM Price Data'!AL31)</f>
        <v>194.25</v>
      </c>
      <c r="AL32" s="526">
        <f>IF('CEM Price Data'!AM31="","",'CEM Price Data'!AM31)</f>
        <v>321.16000000000003</v>
      </c>
      <c r="AM32" s="526">
        <f>IF('CEM Price Data'!AN31="","",'CEM Price Data'!AN31)</f>
        <v>275.3</v>
      </c>
      <c r="AN32" s="526">
        <f>IF('CEM Price Data'!AO31="","",'CEM Price Data'!AO31)</f>
        <v>13.89</v>
      </c>
    </row>
    <row r="33" spans="1:40">
      <c r="A33" s="525">
        <f>IF('CEM Price Data'!B32="","",'CEM Price Data'!B32)</f>
        <v>44882</v>
      </c>
      <c r="B33" s="526">
        <f>IF('CEM Price Data'!C32="","",'CEM Price Data'!C32)</f>
        <v>144.44</v>
      </c>
      <c r="C33" s="526">
        <f>IF('CEM Price Data'!D32="","",'CEM Price Data'!D32)</f>
        <v>102.56</v>
      </c>
      <c r="D33" s="526">
        <f>IF('CEM Price Data'!E32="","",'CEM Price Data'!E32)</f>
        <v>161.47</v>
      </c>
      <c r="E33" s="526">
        <f>IF('CEM Price Data'!F32="","",'CEM Price Data'!F32)</f>
        <v>123.46</v>
      </c>
      <c r="F33" s="526">
        <f>IF('CEM Price Data'!G32="","",'CEM Price Data'!G32)</f>
        <v>60.1</v>
      </c>
      <c r="G33" s="526">
        <f>IF('CEM Price Data'!H32="","",'CEM Price Data'!H32)</f>
        <v>293.3</v>
      </c>
      <c r="H33" s="526">
        <f>IF('CEM Price Data'!I32="","",'CEM Price Data'!I32)</f>
        <v>68.89</v>
      </c>
      <c r="I33" s="526">
        <f>IF('CEM Price Data'!J32="","",'CEM Price Data'!J32)</f>
        <v>77.16</v>
      </c>
      <c r="J33" s="526">
        <f>IF('CEM Price Data'!K32="","",'CEM Price Data'!K32)</f>
        <v>142.57</v>
      </c>
      <c r="K33" s="526">
        <f>IF('CEM Price Data'!L32="","",'CEM Price Data'!L32)</f>
        <v>305.16000000000003</v>
      </c>
      <c r="L33" s="526">
        <f>IF('CEM Price Data'!M32="","",'CEM Price Data'!M32)</f>
        <v>495.33</v>
      </c>
      <c r="M33" s="526">
        <f>IF('CEM Price Data'!N32="","",'CEM Price Data'!N32)</f>
        <v>120.07</v>
      </c>
      <c r="N33" s="526">
        <f>IF('CEM Price Data'!O32="","",'CEM Price Data'!O32)</f>
        <v>145.96</v>
      </c>
      <c r="O33" s="526">
        <f>IF('CEM Price Data'!P32="","",'CEM Price Data'!P32)</f>
        <v>101.16</v>
      </c>
      <c r="P33" s="526">
        <f>IF('CEM Price Data'!Q32="","",'CEM Price Data'!Q32)</f>
        <v>94</v>
      </c>
      <c r="Q33" s="526">
        <f>IF('CEM Price Data'!R32="","",'CEM Price Data'!R32)</f>
        <v>156.59</v>
      </c>
      <c r="R33" s="526">
        <f>IF('CEM Price Data'!S32="","",'CEM Price Data'!S32)</f>
        <v>183.1</v>
      </c>
      <c r="S33" s="526">
        <f>IF('CEM Price Data'!T32="","",'CEM Price Data'!T32)</f>
        <v>83.12</v>
      </c>
      <c r="T33" s="526">
        <f>IF('CEM Price Data'!U32="","",'CEM Price Data'!U32)</f>
        <v>102.31</v>
      </c>
      <c r="U33" s="526">
        <f>IF('CEM Price Data'!V32="","",'CEM Price Data'!V32)</f>
        <v>491.09</v>
      </c>
      <c r="V33" s="526">
        <f>IF('CEM Price Data'!W32="","",'CEM Price Data'!W32)</f>
        <v>255.51</v>
      </c>
      <c r="W33" s="526">
        <f>IF('CEM Price Data'!X32="","",'CEM Price Data'!X32)</f>
        <v>308.55</v>
      </c>
      <c r="X33" s="526">
        <f>IF('CEM Price Data'!Y32="","",'CEM Price Data'!Y32)</f>
        <v>518.85</v>
      </c>
      <c r="Y33" s="526">
        <f>IF('CEM Price Data'!Z32="","",'CEM Price Data'!Z32)</f>
        <v>298.77</v>
      </c>
      <c r="Z33" s="526">
        <f>IF('CEM Price Data'!AA32="","",'CEM Price Data'!AA32)</f>
        <v>79.2</v>
      </c>
      <c r="AA33" s="526">
        <f>IF('CEM Price Data'!AB32="","",'CEM Price Data'!AB32)</f>
        <v>128.02000000000001</v>
      </c>
      <c r="AB33" s="526">
        <f>IF('CEM Price Data'!AC32="","",'CEM Price Data'!AC32)</f>
        <v>89.61</v>
      </c>
      <c r="AC33" s="526">
        <f>IF('CEM Price Data'!AD32="","",'CEM Price Data'!AD32)</f>
        <v>130.19999999999999</v>
      </c>
      <c r="AD33" s="526">
        <f>IF('CEM Price Data'!AE32="","",'CEM Price Data'!AE32)</f>
        <v>41.84</v>
      </c>
      <c r="AE33" s="526">
        <f>IF('CEM Price Data'!AF32="","",'CEM Price Data'!AF32)</f>
        <v>237.11</v>
      </c>
      <c r="AF33" s="526">
        <f>IF('CEM Price Data'!AG32="","",'CEM Price Data'!AG32)</f>
        <v>92.15</v>
      </c>
      <c r="AG33" s="526">
        <f>IF('CEM Price Data'!AH32="","",'CEM Price Data'!AH32)</f>
        <v>6.36</v>
      </c>
      <c r="AH33" s="526">
        <f>IF('CEM Price Data'!AI32="","",'CEM Price Data'!AI32)</f>
        <v>72.209999999999994</v>
      </c>
      <c r="AI33" s="526">
        <f>IF('CEM Price Data'!AJ32="","",'CEM Price Data'!AJ32)</f>
        <v>529.89</v>
      </c>
      <c r="AJ33" s="526">
        <f>IF('CEM Price Data'!AK32="","",'CEM Price Data'!AK32)</f>
        <v>175.36</v>
      </c>
      <c r="AK33" s="526">
        <f>IF('CEM Price Data'!AL32="","",'CEM Price Data'!AL32)</f>
        <v>195.55</v>
      </c>
      <c r="AL33" s="526">
        <f>IF('CEM Price Data'!AM32="","",'CEM Price Data'!AM32)</f>
        <v>319.81</v>
      </c>
      <c r="AM33" s="526">
        <f>IF('CEM Price Data'!AN32="","",'CEM Price Data'!AN32)</f>
        <v>274.17</v>
      </c>
      <c r="AN33" s="526">
        <f>IF('CEM Price Data'!AO32="","",'CEM Price Data'!AO32)</f>
        <v>13.93</v>
      </c>
    </row>
    <row r="34" spans="1:40">
      <c r="A34" s="525">
        <f>IF('CEM Price Data'!B33="","",'CEM Price Data'!B33)</f>
        <v>44881</v>
      </c>
      <c r="B34" s="526">
        <f>IF('CEM Price Data'!C33="","",'CEM Price Data'!C33)</f>
        <v>147.12</v>
      </c>
      <c r="C34" s="526">
        <f>IF('CEM Price Data'!D33="","",'CEM Price Data'!D33)</f>
        <v>103.61</v>
      </c>
      <c r="D34" s="526">
        <f>IF('CEM Price Data'!E33="","",'CEM Price Data'!E33)</f>
        <v>161.27000000000001</v>
      </c>
      <c r="E34" s="526">
        <f>IF('CEM Price Data'!F33="","",'CEM Price Data'!F33)</f>
        <v>125.76</v>
      </c>
      <c r="F34" s="526">
        <f>IF('CEM Price Data'!G33="","",'CEM Price Data'!G33)</f>
        <v>59.8</v>
      </c>
      <c r="G34" s="526">
        <f>IF('CEM Price Data'!H33="","",'CEM Price Data'!H33)</f>
        <v>295.12</v>
      </c>
      <c r="H34" s="526">
        <f>IF('CEM Price Data'!I33="","",'CEM Price Data'!I33)</f>
        <v>69.56</v>
      </c>
      <c r="I34" s="526">
        <f>IF('CEM Price Data'!J33="","",'CEM Price Data'!J33)</f>
        <v>76.150000000000006</v>
      </c>
      <c r="J34" s="526">
        <f>IF('CEM Price Data'!K33="","",'CEM Price Data'!K33)</f>
        <v>142.96</v>
      </c>
      <c r="K34" s="526">
        <f>IF('CEM Price Data'!L33="","",'CEM Price Data'!L33)</f>
        <v>299.68</v>
      </c>
      <c r="L34" s="526">
        <f>IF('CEM Price Data'!M33="","",'CEM Price Data'!M33)</f>
        <v>497.96</v>
      </c>
      <c r="M34" s="526">
        <f>IF('CEM Price Data'!N33="","",'CEM Price Data'!N33)</f>
        <v>118.71</v>
      </c>
      <c r="N34" s="526">
        <f>IF('CEM Price Data'!O33="","",'CEM Price Data'!O33)</f>
        <v>149.27000000000001</v>
      </c>
      <c r="O34" s="526">
        <f>IF('CEM Price Data'!P33="","",'CEM Price Data'!P33)</f>
        <v>101.48</v>
      </c>
      <c r="P34" s="526">
        <f>IF('CEM Price Data'!Q33="","",'CEM Price Data'!Q33)</f>
        <v>93.99</v>
      </c>
      <c r="Q34" s="526">
        <f>IF('CEM Price Data'!R33="","",'CEM Price Data'!R33)</f>
        <v>156.08000000000001</v>
      </c>
      <c r="R34" s="526">
        <f>IF('CEM Price Data'!S33="","",'CEM Price Data'!S33)</f>
        <v>180.64</v>
      </c>
      <c r="S34" s="526">
        <f>IF('CEM Price Data'!T33="","",'CEM Price Data'!T33)</f>
        <v>83.65</v>
      </c>
      <c r="T34" s="526">
        <f>IF('CEM Price Data'!U33="","",'CEM Price Data'!U33)</f>
        <v>99.93</v>
      </c>
      <c r="U34" s="526">
        <f>IF('CEM Price Data'!V33="","",'CEM Price Data'!V33)</f>
        <v>507.21</v>
      </c>
      <c r="V34" s="526">
        <f>IF('CEM Price Data'!W33="","",'CEM Price Data'!W33)</f>
        <v>255.76</v>
      </c>
      <c r="W34" s="526">
        <f>IF('CEM Price Data'!X33="","",'CEM Price Data'!X33)</f>
        <v>304.58</v>
      </c>
      <c r="X34" s="526">
        <f>IF('CEM Price Data'!Y33="","",'CEM Price Data'!Y33)</f>
        <v>505.13</v>
      </c>
      <c r="Y34" s="526">
        <f>IF('CEM Price Data'!Z33="","",'CEM Price Data'!Z33)</f>
        <v>307.17</v>
      </c>
      <c r="Z34" s="526">
        <f>IF('CEM Price Data'!AA33="","",'CEM Price Data'!AA33)</f>
        <v>79.89</v>
      </c>
      <c r="AA34" s="526">
        <f>IF('CEM Price Data'!AB33="","",'CEM Price Data'!AB33)</f>
        <v>125.91</v>
      </c>
      <c r="AB34" s="526">
        <f>IF('CEM Price Data'!AC33="","",'CEM Price Data'!AC33)</f>
        <v>89.57</v>
      </c>
      <c r="AC34" s="526">
        <f>IF('CEM Price Data'!AD33="","",'CEM Price Data'!AD33)</f>
        <v>129.35</v>
      </c>
      <c r="AD34" s="526">
        <f>IF('CEM Price Data'!AE33="","",'CEM Price Data'!AE33)</f>
        <v>42.03</v>
      </c>
      <c r="AE34" s="526">
        <f>IF('CEM Price Data'!AF33="","",'CEM Price Data'!AF33)</f>
        <v>240.81</v>
      </c>
      <c r="AF34" s="526">
        <f>IF('CEM Price Data'!AG33="","",'CEM Price Data'!AG33)</f>
        <v>91.62</v>
      </c>
      <c r="AG34" s="526">
        <f>IF('CEM Price Data'!AH33="","",'CEM Price Data'!AH33)</f>
        <v>6.48</v>
      </c>
      <c r="AH34" s="526">
        <f>IF('CEM Price Data'!AI33="","",'CEM Price Data'!AI33)</f>
        <v>71.510000000000005</v>
      </c>
      <c r="AI34" s="526">
        <f>IF('CEM Price Data'!AJ33="","",'CEM Price Data'!AJ33)</f>
        <v>536.01</v>
      </c>
      <c r="AJ34" s="526">
        <f>IF('CEM Price Data'!AK33="","",'CEM Price Data'!AK33)</f>
        <v>173.46</v>
      </c>
      <c r="AK34" s="526">
        <f>IF('CEM Price Data'!AL33="","",'CEM Price Data'!AL33)</f>
        <v>197.55</v>
      </c>
      <c r="AL34" s="526">
        <f>IF('CEM Price Data'!AM33="","",'CEM Price Data'!AM33)</f>
        <v>329.53</v>
      </c>
      <c r="AM34" s="526">
        <f>IF('CEM Price Data'!AN33="","",'CEM Price Data'!AN33)</f>
        <v>276.24</v>
      </c>
      <c r="AN34" s="526">
        <f>IF('CEM Price Data'!AO33="","",'CEM Price Data'!AO33)</f>
        <v>13.84</v>
      </c>
    </row>
    <row r="35" spans="1:40">
      <c r="A35" s="525">
        <f>IF('CEM Price Data'!B34="","",'CEM Price Data'!B34)</f>
        <v>44880</v>
      </c>
      <c r="B35" s="526">
        <f>IF('CEM Price Data'!C34="","",'CEM Price Data'!C34)</f>
        <v>148</v>
      </c>
      <c r="C35" s="526">
        <f>IF('CEM Price Data'!D34="","",'CEM Price Data'!D34)</f>
        <v>103.14</v>
      </c>
      <c r="D35" s="526">
        <f>IF('CEM Price Data'!E34="","",'CEM Price Data'!E34)</f>
        <v>165.17</v>
      </c>
      <c r="E35" s="526">
        <f>IF('CEM Price Data'!F34="","",'CEM Price Data'!F34)</f>
        <v>124.62</v>
      </c>
      <c r="F35" s="526">
        <f>IF('CEM Price Data'!G34="","",'CEM Price Data'!G34)</f>
        <v>60.39</v>
      </c>
      <c r="G35" s="526">
        <f>IF('CEM Price Data'!H34="","",'CEM Price Data'!H34)</f>
        <v>294.54000000000002</v>
      </c>
      <c r="H35" s="526">
        <f>IF('CEM Price Data'!I34="","",'CEM Price Data'!I34)</f>
        <v>69.25</v>
      </c>
      <c r="I35" s="526">
        <f>IF('CEM Price Data'!J34="","",'CEM Price Data'!J34)</f>
        <v>76.28</v>
      </c>
      <c r="J35" s="526">
        <f>IF('CEM Price Data'!K34="","",'CEM Price Data'!K34)</f>
        <v>142.6</v>
      </c>
      <c r="K35" s="526">
        <f>IF('CEM Price Data'!L34="","",'CEM Price Data'!L34)</f>
        <v>289.73</v>
      </c>
      <c r="L35" s="526">
        <f>IF('CEM Price Data'!M34="","",'CEM Price Data'!M34)</f>
        <v>496.68</v>
      </c>
      <c r="M35" s="526">
        <f>IF('CEM Price Data'!N34="","",'CEM Price Data'!N34)</f>
        <v>117.59</v>
      </c>
      <c r="N35" s="526">
        <f>IF('CEM Price Data'!O34="","",'CEM Price Data'!O34)</f>
        <v>147.94</v>
      </c>
      <c r="O35" s="526">
        <f>IF('CEM Price Data'!P34="","",'CEM Price Data'!P34)</f>
        <v>101.2</v>
      </c>
      <c r="P35" s="526">
        <f>IF('CEM Price Data'!Q34="","",'CEM Price Data'!Q34)</f>
        <v>94.42</v>
      </c>
      <c r="Q35" s="526">
        <f>IF('CEM Price Data'!R34="","",'CEM Price Data'!R34)</f>
        <v>151.55000000000001</v>
      </c>
      <c r="R35" s="526">
        <f>IF('CEM Price Data'!S34="","",'CEM Price Data'!S34)</f>
        <v>181.2</v>
      </c>
      <c r="S35" s="526">
        <f>IF('CEM Price Data'!T34="","",'CEM Price Data'!T34)</f>
        <v>83.65</v>
      </c>
      <c r="T35" s="526">
        <f>IF('CEM Price Data'!U34="","",'CEM Price Data'!U34)</f>
        <v>99.6</v>
      </c>
      <c r="U35" s="526">
        <f>IF('CEM Price Data'!V34="","",'CEM Price Data'!V34)</f>
        <v>503.02</v>
      </c>
      <c r="V35" s="526">
        <f>IF('CEM Price Data'!W34="","",'CEM Price Data'!W34)</f>
        <v>250.41</v>
      </c>
      <c r="W35" s="526">
        <f>IF('CEM Price Data'!X34="","",'CEM Price Data'!X34)</f>
        <v>303.93</v>
      </c>
      <c r="X35" s="526">
        <f>IF('CEM Price Data'!Y34="","",'CEM Price Data'!Y34)</f>
        <v>500.72</v>
      </c>
      <c r="Y35" s="526">
        <f>IF('CEM Price Data'!Z34="","",'CEM Price Data'!Z34)</f>
        <v>318.08999999999997</v>
      </c>
      <c r="Z35" s="526">
        <f>IF('CEM Price Data'!AA34="","",'CEM Price Data'!AA34)</f>
        <v>79.180000000000007</v>
      </c>
      <c r="AA35" s="526">
        <f>IF('CEM Price Data'!AB34="","",'CEM Price Data'!AB34)</f>
        <v>123.06</v>
      </c>
      <c r="AB35" s="526">
        <f>IF('CEM Price Data'!AC34="","",'CEM Price Data'!AC34)</f>
        <v>86.89</v>
      </c>
      <c r="AC35" s="526">
        <f>IF('CEM Price Data'!AD34="","",'CEM Price Data'!AD34)</f>
        <v>128.22999999999999</v>
      </c>
      <c r="AD35" s="526">
        <f>IF('CEM Price Data'!AE34="","",'CEM Price Data'!AE34)</f>
        <v>41.47</v>
      </c>
      <c r="AE35" s="526">
        <f>IF('CEM Price Data'!AF34="","",'CEM Price Data'!AF34)</f>
        <v>240.59</v>
      </c>
      <c r="AF35" s="526">
        <f>IF('CEM Price Data'!AG34="","",'CEM Price Data'!AG34)</f>
        <v>91.66</v>
      </c>
      <c r="AG35" s="526">
        <f>IF('CEM Price Data'!AH34="","",'CEM Price Data'!AH34)</f>
        <v>6.47</v>
      </c>
      <c r="AH35" s="526">
        <f>IF('CEM Price Data'!AI34="","",'CEM Price Data'!AI34)</f>
        <v>72.17</v>
      </c>
      <c r="AI35" s="526">
        <f>IF('CEM Price Data'!AJ34="","",'CEM Price Data'!AJ34)</f>
        <v>546.09</v>
      </c>
      <c r="AJ35" s="526">
        <f>IF('CEM Price Data'!AK34="","",'CEM Price Data'!AK34)</f>
        <v>177.57</v>
      </c>
      <c r="AK35" s="526">
        <f>IF('CEM Price Data'!AL34="","",'CEM Price Data'!AL34)</f>
        <v>195.53</v>
      </c>
      <c r="AL35" s="526">
        <f>IF('CEM Price Data'!AM34="","",'CEM Price Data'!AM34)</f>
        <v>329.79</v>
      </c>
      <c r="AM35" s="526">
        <f>IF('CEM Price Data'!AN34="","",'CEM Price Data'!AN34)</f>
        <v>283.23</v>
      </c>
      <c r="AN35" s="526">
        <f>IF('CEM Price Data'!AO34="","",'CEM Price Data'!AO34)</f>
        <v>14.07</v>
      </c>
    </row>
    <row r="36" spans="1:40">
      <c r="A36" s="525">
        <f>IF('CEM Price Data'!B35="","",'CEM Price Data'!B35)</f>
        <v>44879</v>
      </c>
      <c r="B36" s="526">
        <f>IF('CEM Price Data'!C35="","",'CEM Price Data'!C35)</f>
        <v>146.38</v>
      </c>
      <c r="C36" s="526">
        <f>IF('CEM Price Data'!D35="","",'CEM Price Data'!D35)</f>
        <v>102.01</v>
      </c>
      <c r="D36" s="526">
        <f>IF('CEM Price Data'!E35="","",'CEM Price Data'!E35)</f>
        <v>161.26</v>
      </c>
      <c r="E36" s="526">
        <f>IF('CEM Price Data'!F35="","",'CEM Price Data'!F35)</f>
        <v>124.76</v>
      </c>
      <c r="F36" s="526">
        <f>IF('CEM Price Data'!G35="","",'CEM Price Data'!G35)</f>
        <v>59.51</v>
      </c>
      <c r="G36" s="526">
        <f>IF('CEM Price Data'!H35="","",'CEM Price Data'!H35)</f>
        <v>294.89</v>
      </c>
      <c r="H36" s="526">
        <f>IF('CEM Price Data'!I35="","",'CEM Price Data'!I35)</f>
        <v>68.88</v>
      </c>
      <c r="I36" s="526">
        <f>IF('CEM Price Data'!J35="","",'CEM Price Data'!J35)</f>
        <v>76.39</v>
      </c>
      <c r="J36" s="526">
        <f>IF('CEM Price Data'!K35="","",'CEM Price Data'!K35)</f>
        <v>141.32</v>
      </c>
      <c r="K36" s="526">
        <f>IF('CEM Price Data'!L35="","",'CEM Price Data'!L35)</f>
        <v>289.23</v>
      </c>
      <c r="L36" s="526">
        <f>IF('CEM Price Data'!M35="","",'CEM Price Data'!M35)</f>
        <v>490.36</v>
      </c>
      <c r="M36" s="526">
        <f>IF('CEM Price Data'!N35="","",'CEM Price Data'!N35)</f>
        <v>115.37</v>
      </c>
      <c r="N36" s="526">
        <f>IF('CEM Price Data'!O35="","",'CEM Price Data'!O35)</f>
        <v>150.38</v>
      </c>
      <c r="O36" s="526">
        <f>IF('CEM Price Data'!P35="","",'CEM Price Data'!P35)</f>
        <v>100.92</v>
      </c>
      <c r="P36" s="526">
        <f>IF('CEM Price Data'!Q35="","",'CEM Price Data'!Q35)</f>
        <v>92.84</v>
      </c>
      <c r="Q36" s="526">
        <f>IF('CEM Price Data'!R35="","",'CEM Price Data'!R35)</f>
        <v>137.97</v>
      </c>
      <c r="R36" s="526">
        <f>IF('CEM Price Data'!S35="","",'CEM Price Data'!S35)</f>
        <v>177.43</v>
      </c>
      <c r="S36" s="526">
        <f>IF('CEM Price Data'!T35="","",'CEM Price Data'!T35)</f>
        <v>82.75</v>
      </c>
      <c r="T36" s="526">
        <f>IF('CEM Price Data'!U35="","",'CEM Price Data'!U35)</f>
        <v>100.35</v>
      </c>
      <c r="U36" s="526">
        <f>IF('CEM Price Data'!V35="","",'CEM Price Data'!V35)</f>
        <v>492.24</v>
      </c>
      <c r="V36" s="526">
        <f>IF('CEM Price Data'!W35="","",'CEM Price Data'!W35)</f>
        <v>250.95</v>
      </c>
      <c r="W36" s="526">
        <f>IF('CEM Price Data'!X35="","",'CEM Price Data'!X35)</f>
        <v>304.83</v>
      </c>
      <c r="X36" s="526">
        <f>IF('CEM Price Data'!Y35="","",'CEM Price Data'!Y35)</f>
        <v>481.74</v>
      </c>
      <c r="Y36" s="526">
        <f>IF('CEM Price Data'!Z35="","",'CEM Price Data'!Z35)</f>
        <v>314.27</v>
      </c>
      <c r="Z36" s="526">
        <f>IF('CEM Price Data'!AA35="","",'CEM Price Data'!AA35)</f>
        <v>78.53</v>
      </c>
      <c r="AA36" s="526">
        <f>IF('CEM Price Data'!AB35="","",'CEM Price Data'!AB35)</f>
        <v>122.98</v>
      </c>
      <c r="AB36" s="526">
        <f>IF('CEM Price Data'!AC35="","",'CEM Price Data'!AC35)</f>
        <v>85.95</v>
      </c>
      <c r="AC36" s="526">
        <f>IF('CEM Price Data'!AD35="","",'CEM Price Data'!AD35)</f>
        <v>127.14</v>
      </c>
      <c r="AD36" s="526">
        <f>IF('CEM Price Data'!AE35="","",'CEM Price Data'!AE35)</f>
        <v>41.88</v>
      </c>
      <c r="AE36" s="526">
        <f>IF('CEM Price Data'!AF35="","",'CEM Price Data'!AF35)</f>
        <v>234.08</v>
      </c>
      <c r="AF36" s="526">
        <f>IF('CEM Price Data'!AG35="","",'CEM Price Data'!AG35)</f>
        <v>93.11</v>
      </c>
      <c r="AG36" s="526">
        <f>IF('CEM Price Data'!AH35="","",'CEM Price Data'!AH35)</f>
        <v>6.42</v>
      </c>
      <c r="AH36" s="526">
        <f>IF('CEM Price Data'!AI35="","",'CEM Price Data'!AI35)</f>
        <v>71.430000000000007</v>
      </c>
      <c r="AI36" s="526">
        <f>IF('CEM Price Data'!AJ35="","",'CEM Price Data'!AJ35)</f>
        <v>534.77</v>
      </c>
      <c r="AJ36" s="526">
        <f>IF('CEM Price Data'!AK35="","",'CEM Price Data'!AK35)</f>
        <v>177.44</v>
      </c>
      <c r="AK36" s="526">
        <f>IF('CEM Price Data'!AL35="","",'CEM Price Data'!AL35)</f>
        <v>190.45</v>
      </c>
      <c r="AL36" s="526">
        <f>IF('CEM Price Data'!AM35="","",'CEM Price Data'!AM35)</f>
        <v>325.88</v>
      </c>
      <c r="AM36" s="526">
        <f>IF('CEM Price Data'!AN35="","",'CEM Price Data'!AN35)</f>
        <v>280.08999999999997</v>
      </c>
      <c r="AN36" s="526">
        <f>IF('CEM Price Data'!AO35="","",'CEM Price Data'!AO35)</f>
        <v>13.76</v>
      </c>
    </row>
    <row r="37" spans="1:40">
      <c r="A37" s="525">
        <f>IF('CEM Price Data'!B36="","",'CEM Price Data'!B36)</f>
        <v>44876</v>
      </c>
      <c r="B37" s="526">
        <f>IF('CEM Price Data'!C36="","",'CEM Price Data'!C36)</f>
        <v>148.31</v>
      </c>
      <c r="C37" s="526">
        <f>IF('CEM Price Data'!D36="","",'CEM Price Data'!D36)</f>
        <v>104.09</v>
      </c>
      <c r="D37" s="526">
        <f>IF('CEM Price Data'!E36="","",'CEM Price Data'!E36)</f>
        <v>164.06</v>
      </c>
      <c r="E37" s="526">
        <f>IF('CEM Price Data'!F36="","",'CEM Price Data'!F36)</f>
        <v>128.15</v>
      </c>
      <c r="F37" s="526">
        <f>IF('CEM Price Data'!G36="","",'CEM Price Data'!G36)</f>
        <v>60</v>
      </c>
      <c r="G37" s="526">
        <f>IF('CEM Price Data'!H36="","",'CEM Price Data'!H36)</f>
        <v>288.45999999999998</v>
      </c>
      <c r="H37" s="526">
        <f>IF('CEM Price Data'!I36="","",'CEM Price Data'!I36)</f>
        <v>69.64</v>
      </c>
      <c r="I37" s="526">
        <f>IF('CEM Price Data'!J36="","",'CEM Price Data'!J36)</f>
        <v>75.959999999999994</v>
      </c>
      <c r="J37" s="526">
        <f>IF('CEM Price Data'!K36="","",'CEM Price Data'!K36)</f>
        <v>139.99</v>
      </c>
      <c r="K37" s="526">
        <f>IF('CEM Price Data'!L36="","",'CEM Price Data'!L36)</f>
        <v>289.12</v>
      </c>
      <c r="L37" s="526">
        <f>IF('CEM Price Data'!M36="","",'CEM Price Data'!M36)</f>
        <v>490.03</v>
      </c>
      <c r="M37" s="526">
        <f>IF('CEM Price Data'!N36="","",'CEM Price Data'!N36)</f>
        <v>115.16</v>
      </c>
      <c r="N37" s="526">
        <f>IF('CEM Price Data'!O36="","",'CEM Price Data'!O36)</f>
        <v>151.03</v>
      </c>
      <c r="O37" s="526">
        <f>IF('CEM Price Data'!P36="","",'CEM Price Data'!P36)</f>
        <v>101.24</v>
      </c>
      <c r="P37" s="526">
        <f>IF('CEM Price Data'!Q36="","",'CEM Price Data'!Q36)</f>
        <v>92.56</v>
      </c>
      <c r="Q37" s="526">
        <f>IF('CEM Price Data'!R36="","",'CEM Price Data'!R36)</f>
        <v>140.63</v>
      </c>
      <c r="R37" s="526">
        <f>IF('CEM Price Data'!S36="","",'CEM Price Data'!S36)</f>
        <v>174.49</v>
      </c>
      <c r="S37" s="526">
        <f>IF('CEM Price Data'!T36="","",'CEM Price Data'!T36)</f>
        <v>83.77</v>
      </c>
      <c r="T37" s="526">
        <f>IF('CEM Price Data'!U36="","",'CEM Price Data'!U36)</f>
        <v>97.96</v>
      </c>
      <c r="U37" s="526">
        <f>IF('CEM Price Data'!V36="","",'CEM Price Data'!V36)</f>
        <v>512.37</v>
      </c>
      <c r="V37" s="526">
        <f>IF('CEM Price Data'!W36="","",'CEM Price Data'!W36)</f>
        <v>249.53</v>
      </c>
      <c r="W37" s="526">
        <f>IF('CEM Price Data'!X36="","",'CEM Price Data'!X36)</f>
        <v>304.68</v>
      </c>
      <c r="X37" s="526">
        <f>IF('CEM Price Data'!Y36="","",'CEM Price Data'!Y36)</f>
        <v>492.7</v>
      </c>
      <c r="Y37" s="526">
        <f>IF('CEM Price Data'!Z36="","",'CEM Price Data'!Z36)</f>
        <v>314.11</v>
      </c>
      <c r="Z37" s="526">
        <f>IF('CEM Price Data'!AA36="","",'CEM Price Data'!AA36)</f>
        <v>77.739999999999995</v>
      </c>
      <c r="AA37" s="526">
        <f>IF('CEM Price Data'!AB36="","",'CEM Price Data'!AB36)</f>
        <v>126.23</v>
      </c>
      <c r="AB37" s="526">
        <f>IF('CEM Price Data'!AC36="","",'CEM Price Data'!AC36)</f>
        <v>86.19</v>
      </c>
      <c r="AC37" s="526">
        <f>IF('CEM Price Data'!AD36="","",'CEM Price Data'!AD36)</f>
        <v>126.18</v>
      </c>
      <c r="AD37" s="526">
        <f>IF('CEM Price Data'!AE36="","",'CEM Price Data'!AE36)</f>
        <v>41.59</v>
      </c>
      <c r="AE37" s="526">
        <f>IF('CEM Price Data'!AF36="","",'CEM Price Data'!AF36)</f>
        <v>237.24</v>
      </c>
      <c r="AF37" s="526">
        <f>IF('CEM Price Data'!AG36="","",'CEM Price Data'!AG36)</f>
        <v>91.33</v>
      </c>
      <c r="AG37" s="526">
        <f>IF('CEM Price Data'!AH36="","",'CEM Price Data'!AH36)</f>
        <v>6.44</v>
      </c>
      <c r="AH37" s="526">
        <f>IF('CEM Price Data'!AI36="","",'CEM Price Data'!AI36)</f>
        <v>72.430000000000007</v>
      </c>
      <c r="AI37" s="526">
        <f>IF('CEM Price Data'!AJ36="","",'CEM Price Data'!AJ36)</f>
        <v>538.67999999999995</v>
      </c>
      <c r="AJ37" s="526">
        <f>IF('CEM Price Data'!AK36="","",'CEM Price Data'!AK36)</f>
        <v>179.49</v>
      </c>
      <c r="AK37" s="526">
        <f>IF('CEM Price Data'!AL36="","",'CEM Price Data'!AL36)</f>
        <v>192.39</v>
      </c>
      <c r="AL37" s="526">
        <f>IF('CEM Price Data'!AM36="","",'CEM Price Data'!AM36)</f>
        <v>331.85</v>
      </c>
      <c r="AM37" s="526">
        <f>IF('CEM Price Data'!AN36="","",'CEM Price Data'!AN36)</f>
        <v>277.88</v>
      </c>
      <c r="AN37" s="526">
        <f>IF('CEM Price Data'!AO36="","",'CEM Price Data'!AO36)</f>
        <v>13.85</v>
      </c>
    </row>
    <row r="38" spans="1:40">
      <c r="A38" s="525">
        <f>IF('CEM Price Data'!B37="","",'CEM Price Data'!B37)</f>
        <v>44875</v>
      </c>
      <c r="B38" s="526">
        <f>IF('CEM Price Data'!C37="","",'CEM Price Data'!C37)</f>
        <v>146.30000000000001</v>
      </c>
      <c r="C38" s="526">
        <f>IF('CEM Price Data'!D37="","",'CEM Price Data'!D37)</f>
        <v>104.23</v>
      </c>
      <c r="D38" s="526">
        <f>IF('CEM Price Data'!E37="","",'CEM Price Data'!E37)</f>
        <v>160.37</v>
      </c>
      <c r="E38" s="526">
        <f>IF('CEM Price Data'!F37="","",'CEM Price Data'!F37)</f>
        <v>126.66</v>
      </c>
      <c r="F38" s="526">
        <f>IF('CEM Price Data'!G37="","",'CEM Price Data'!G37)</f>
        <v>59.28</v>
      </c>
      <c r="G38" s="526">
        <f>IF('CEM Price Data'!H37="","",'CEM Price Data'!H37)</f>
        <v>289.58999999999997</v>
      </c>
      <c r="H38" s="526">
        <f>IF('CEM Price Data'!I37="","",'CEM Price Data'!I37)</f>
        <v>69.84</v>
      </c>
      <c r="I38" s="526">
        <f>IF('CEM Price Data'!J37="","",'CEM Price Data'!J37)</f>
        <v>79.38</v>
      </c>
      <c r="J38" s="526">
        <f>IF('CEM Price Data'!K37="","",'CEM Price Data'!K37)</f>
        <v>141.24</v>
      </c>
      <c r="K38" s="526">
        <f>IF('CEM Price Data'!L37="","",'CEM Price Data'!L37)</f>
        <v>301.2</v>
      </c>
      <c r="L38" s="526">
        <f>IF('CEM Price Data'!M37="","",'CEM Price Data'!M37)</f>
        <v>500.3</v>
      </c>
      <c r="M38" s="526">
        <f>IF('CEM Price Data'!N37="","",'CEM Price Data'!N37)</f>
        <v>118.36</v>
      </c>
      <c r="N38" s="526">
        <f>IF('CEM Price Data'!O37="","",'CEM Price Data'!O37)</f>
        <v>152.47999999999999</v>
      </c>
      <c r="O38" s="526">
        <f>IF('CEM Price Data'!P37="","",'CEM Price Data'!P37)</f>
        <v>103.34</v>
      </c>
      <c r="P38" s="526">
        <f>IF('CEM Price Data'!Q37="","",'CEM Price Data'!Q37)</f>
        <v>94.37</v>
      </c>
      <c r="Q38" s="526">
        <f>IF('CEM Price Data'!R37="","",'CEM Price Data'!R37)</f>
        <v>143.71</v>
      </c>
      <c r="R38" s="526">
        <f>IF('CEM Price Data'!S37="","",'CEM Price Data'!S37)</f>
        <v>175.75</v>
      </c>
      <c r="S38" s="526">
        <f>IF('CEM Price Data'!T37="","",'CEM Price Data'!T37)</f>
        <v>81.86</v>
      </c>
      <c r="T38" s="526">
        <f>IF('CEM Price Data'!U37="","",'CEM Price Data'!U37)</f>
        <v>101.89</v>
      </c>
      <c r="U38" s="526">
        <f>IF('CEM Price Data'!V37="","",'CEM Price Data'!V37)</f>
        <v>509.7</v>
      </c>
      <c r="V38" s="526">
        <f>IF('CEM Price Data'!W37="","",'CEM Price Data'!W37)</f>
        <v>259.61</v>
      </c>
      <c r="W38" s="526">
        <f>IF('CEM Price Data'!X37="","",'CEM Price Data'!X37)</f>
        <v>308.10000000000002</v>
      </c>
      <c r="X38" s="526">
        <f>IF('CEM Price Data'!Y37="","",'CEM Price Data'!Y37)</f>
        <v>531.59</v>
      </c>
      <c r="Y38" s="526">
        <f>IF('CEM Price Data'!Z37="","",'CEM Price Data'!Z37)</f>
        <v>305.63</v>
      </c>
      <c r="Z38" s="526">
        <f>IF('CEM Price Data'!AA37="","",'CEM Price Data'!AA37)</f>
        <v>77.17</v>
      </c>
      <c r="AA38" s="526">
        <f>IF('CEM Price Data'!AB37="","",'CEM Price Data'!AB37)</f>
        <v>129.74</v>
      </c>
      <c r="AB38" s="526">
        <f>IF('CEM Price Data'!AC37="","",'CEM Price Data'!AC37)</f>
        <v>89.13</v>
      </c>
      <c r="AC38" s="526">
        <f>IF('CEM Price Data'!AD37="","",'CEM Price Data'!AD37)</f>
        <v>131.13999999999999</v>
      </c>
      <c r="AD38" s="526">
        <f>IF('CEM Price Data'!AE37="","",'CEM Price Data'!AE37)</f>
        <v>42.02</v>
      </c>
      <c r="AE38" s="526">
        <f>IF('CEM Price Data'!AF37="","",'CEM Price Data'!AF37)</f>
        <v>239</v>
      </c>
      <c r="AF38" s="526">
        <f>IF('CEM Price Data'!AG37="","",'CEM Price Data'!AG37)</f>
        <v>93.6</v>
      </c>
      <c r="AG38" s="526">
        <f>IF('CEM Price Data'!AH37="","",'CEM Price Data'!AH37)</f>
        <v>6.41</v>
      </c>
      <c r="AH38" s="526">
        <f>IF('CEM Price Data'!AI37="","",'CEM Price Data'!AI37)</f>
        <v>72.459999999999994</v>
      </c>
      <c r="AI38" s="526">
        <f>IF('CEM Price Data'!AJ37="","",'CEM Price Data'!AJ37)</f>
        <v>520.58000000000004</v>
      </c>
      <c r="AJ38" s="526">
        <f>IF('CEM Price Data'!AK37="","",'CEM Price Data'!AK37)</f>
        <v>174.69</v>
      </c>
      <c r="AK38" s="526">
        <f>IF('CEM Price Data'!AL37="","",'CEM Price Data'!AL37)</f>
        <v>191.12</v>
      </c>
      <c r="AL38" s="526">
        <f>IF('CEM Price Data'!AM37="","",'CEM Price Data'!AM37)</f>
        <v>331.85</v>
      </c>
      <c r="AM38" s="526">
        <f>IF('CEM Price Data'!AN37="","",'CEM Price Data'!AN37)</f>
        <v>281.51</v>
      </c>
      <c r="AN38" s="526">
        <f>IF('CEM Price Data'!AO37="","",'CEM Price Data'!AO37)</f>
        <v>13.45</v>
      </c>
    </row>
    <row r="39" spans="1:40">
      <c r="A39" s="525">
        <f>IF('CEM Price Data'!B38="","",'CEM Price Data'!B38)</f>
        <v>44874</v>
      </c>
      <c r="B39" s="526">
        <f>IF('CEM Price Data'!C38="","",'CEM Price Data'!C38)</f>
        <v>137</v>
      </c>
      <c r="C39" s="526">
        <f>IF('CEM Price Data'!D38="","",'CEM Price Data'!D38)</f>
        <v>99.46</v>
      </c>
      <c r="D39" s="526">
        <f>IF('CEM Price Data'!E38="","",'CEM Price Data'!E38)</f>
        <v>148.22999999999999</v>
      </c>
      <c r="E39" s="526">
        <f>IF('CEM Price Data'!F38="","",'CEM Price Data'!F38)</f>
        <v>122.62</v>
      </c>
      <c r="F39" s="526">
        <f>IF('CEM Price Data'!G38="","",'CEM Price Data'!G38)</f>
        <v>55.05</v>
      </c>
      <c r="G39" s="526">
        <f>IF('CEM Price Data'!H38="","",'CEM Price Data'!H38)</f>
        <v>280.13</v>
      </c>
      <c r="H39" s="526">
        <f>IF('CEM Price Data'!I38="","",'CEM Price Data'!I38)</f>
        <v>66.44</v>
      </c>
      <c r="I39" s="526">
        <f>IF('CEM Price Data'!J38="","",'CEM Price Data'!J38)</f>
        <v>79.78</v>
      </c>
      <c r="J39" s="526">
        <f>IF('CEM Price Data'!K38="","",'CEM Price Data'!K38)</f>
        <v>133.74</v>
      </c>
      <c r="K39" s="526">
        <f>IF('CEM Price Data'!L38="","",'CEM Price Data'!L38)</f>
        <v>298.38</v>
      </c>
      <c r="L39" s="526">
        <f>IF('CEM Price Data'!M38="","",'CEM Price Data'!M38)</f>
        <v>488.62</v>
      </c>
      <c r="M39" s="526">
        <f>IF('CEM Price Data'!N38="","",'CEM Price Data'!N38)</f>
        <v>116.23</v>
      </c>
      <c r="N39" s="526">
        <f>IF('CEM Price Data'!O38="","",'CEM Price Data'!O38)</f>
        <v>145.41999999999999</v>
      </c>
      <c r="O39" s="526">
        <f>IF('CEM Price Data'!P38="","",'CEM Price Data'!P38)</f>
        <v>96.71</v>
      </c>
      <c r="P39" s="526">
        <f>IF('CEM Price Data'!Q38="","",'CEM Price Data'!Q38)</f>
        <v>92.03</v>
      </c>
      <c r="Q39" s="526">
        <f>IF('CEM Price Data'!R38="","",'CEM Price Data'!R38)</f>
        <v>142.5</v>
      </c>
      <c r="R39" s="526">
        <f>IF('CEM Price Data'!S38="","",'CEM Price Data'!S38)</f>
        <v>172.52</v>
      </c>
      <c r="S39" s="526">
        <f>IF('CEM Price Data'!T38="","",'CEM Price Data'!T38)</f>
        <v>79.209999999999994</v>
      </c>
      <c r="T39" s="526">
        <f>IF('CEM Price Data'!U38="","",'CEM Price Data'!U38)</f>
        <v>101.59</v>
      </c>
      <c r="U39" s="526">
        <f>IF('CEM Price Data'!V38="","",'CEM Price Data'!V38)</f>
        <v>465.13</v>
      </c>
      <c r="V39" s="526">
        <f>IF('CEM Price Data'!W38="","",'CEM Price Data'!W38)</f>
        <v>253.62</v>
      </c>
      <c r="W39" s="526">
        <f>IF('CEM Price Data'!X38="","",'CEM Price Data'!X38)</f>
        <v>297.18</v>
      </c>
      <c r="X39" s="526">
        <f>IF('CEM Price Data'!Y38="","",'CEM Price Data'!Y38)</f>
        <v>533.14</v>
      </c>
      <c r="Y39" s="526">
        <f>IF('CEM Price Data'!Z38="","",'CEM Price Data'!Z38)</f>
        <v>281.86</v>
      </c>
      <c r="Z39" s="526">
        <f>IF('CEM Price Data'!AA38="","",'CEM Price Data'!AA38)</f>
        <v>75.66</v>
      </c>
      <c r="AA39" s="526">
        <f>IF('CEM Price Data'!AB38="","",'CEM Price Data'!AB38)</f>
        <v>127.7</v>
      </c>
      <c r="AB39" s="526">
        <f>IF('CEM Price Data'!AC38="","",'CEM Price Data'!AC38)</f>
        <v>88.88</v>
      </c>
      <c r="AC39" s="526">
        <f>IF('CEM Price Data'!AD38="","",'CEM Price Data'!AD38)</f>
        <v>129.69</v>
      </c>
      <c r="AD39" s="526">
        <f>IF('CEM Price Data'!AE38="","",'CEM Price Data'!AE38)</f>
        <v>41.55</v>
      </c>
      <c r="AE39" s="526">
        <f>IF('CEM Price Data'!AF38="","",'CEM Price Data'!AF38)</f>
        <v>222</v>
      </c>
      <c r="AF39" s="526">
        <f>IF('CEM Price Data'!AG38="","",'CEM Price Data'!AG38)</f>
        <v>91.56</v>
      </c>
      <c r="AG39" s="526">
        <f>IF('CEM Price Data'!AH38="","",'CEM Price Data'!AH38)</f>
        <v>6.32</v>
      </c>
      <c r="AH39" s="526">
        <f>IF('CEM Price Data'!AI38="","",'CEM Price Data'!AI38)</f>
        <v>67.75</v>
      </c>
      <c r="AI39" s="526">
        <f>IF('CEM Price Data'!AJ38="","",'CEM Price Data'!AJ38)</f>
        <v>484.71</v>
      </c>
      <c r="AJ39" s="526">
        <f>IF('CEM Price Data'!AK38="","",'CEM Price Data'!AK38)</f>
        <v>164.99</v>
      </c>
      <c r="AK39" s="526">
        <f>IF('CEM Price Data'!AL38="","",'CEM Price Data'!AL38)</f>
        <v>178.32</v>
      </c>
      <c r="AL39" s="526">
        <f>IF('CEM Price Data'!AM38="","",'CEM Price Data'!AM38)</f>
        <v>309.52</v>
      </c>
      <c r="AM39" s="526">
        <f>IF('CEM Price Data'!AN38="","",'CEM Price Data'!AN38)</f>
        <v>254.01</v>
      </c>
      <c r="AN39" s="526">
        <f>IF('CEM Price Data'!AO38="","",'CEM Price Data'!AO38)</f>
        <v>12.68</v>
      </c>
    </row>
    <row r="40" spans="1:40">
      <c r="A40" s="525">
        <f>IF('CEM Price Data'!B39="","",'CEM Price Data'!B39)</f>
        <v>44873</v>
      </c>
      <c r="B40" s="526">
        <f>IF('CEM Price Data'!C39="","",'CEM Price Data'!C39)</f>
        <v>138.75</v>
      </c>
      <c r="C40" s="526">
        <f>IF('CEM Price Data'!D39="","",'CEM Price Data'!D39)</f>
        <v>99.64</v>
      </c>
      <c r="D40" s="526">
        <f>IF('CEM Price Data'!E39="","",'CEM Price Data'!E39)</f>
        <v>151.04</v>
      </c>
      <c r="E40" s="526">
        <f>IF('CEM Price Data'!F39="","",'CEM Price Data'!F39)</f>
        <v>123</v>
      </c>
      <c r="F40" s="526">
        <f>IF('CEM Price Data'!G39="","",'CEM Price Data'!G39)</f>
        <v>55.97</v>
      </c>
      <c r="G40" s="526">
        <f>IF('CEM Price Data'!H39="","",'CEM Price Data'!H39)</f>
        <v>283</v>
      </c>
      <c r="H40" s="526">
        <f>IF('CEM Price Data'!I39="","",'CEM Price Data'!I39)</f>
        <v>66.989999999999995</v>
      </c>
      <c r="I40" s="526">
        <f>IF('CEM Price Data'!J39="","",'CEM Price Data'!J39)</f>
        <v>79.98</v>
      </c>
      <c r="J40" s="526">
        <f>IF('CEM Price Data'!K39="","",'CEM Price Data'!K39)</f>
        <v>136.49</v>
      </c>
      <c r="K40" s="526">
        <f>IF('CEM Price Data'!L39="","",'CEM Price Data'!L39)</f>
        <v>302.45</v>
      </c>
      <c r="L40" s="526">
        <f>IF('CEM Price Data'!M39="","",'CEM Price Data'!M39)</f>
        <v>489.62</v>
      </c>
      <c r="M40" s="526">
        <f>IF('CEM Price Data'!N39="","",'CEM Price Data'!N39)</f>
        <v>120.31</v>
      </c>
      <c r="N40" s="526">
        <f>IF('CEM Price Data'!O39="","",'CEM Price Data'!O39)</f>
        <v>145.83000000000001</v>
      </c>
      <c r="O40" s="526">
        <f>IF('CEM Price Data'!P39="","",'CEM Price Data'!P39)</f>
        <v>98.94</v>
      </c>
      <c r="P40" s="526">
        <f>IF('CEM Price Data'!Q39="","",'CEM Price Data'!Q39)</f>
        <v>93.07</v>
      </c>
      <c r="Q40" s="526">
        <f>IF('CEM Price Data'!R39="","",'CEM Price Data'!R39)</f>
        <v>145.88</v>
      </c>
      <c r="R40" s="526">
        <f>IF('CEM Price Data'!S39="","",'CEM Price Data'!S39)</f>
        <v>180.94</v>
      </c>
      <c r="S40" s="526">
        <f>IF('CEM Price Data'!T39="","",'CEM Price Data'!T39)</f>
        <v>80.7</v>
      </c>
      <c r="T40" s="526">
        <f>IF('CEM Price Data'!U39="","",'CEM Price Data'!U39)</f>
        <v>101.5</v>
      </c>
      <c r="U40" s="526">
        <f>IF('CEM Price Data'!V39="","",'CEM Price Data'!V39)</f>
        <v>467.9</v>
      </c>
      <c r="V40" s="526">
        <f>IF('CEM Price Data'!W39="","",'CEM Price Data'!W39)</f>
        <v>256.8</v>
      </c>
      <c r="W40" s="526">
        <f>IF('CEM Price Data'!X39="","",'CEM Price Data'!X39)</f>
        <v>305.06</v>
      </c>
      <c r="X40" s="526">
        <f>IF('CEM Price Data'!Y39="","",'CEM Price Data'!Y39)</f>
        <v>540.92999999999995</v>
      </c>
      <c r="Y40" s="526">
        <f>IF('CEM Price Data'!Z39="","",'CEM Price Data'!Z39)</f>
        <v>290.06</v>
      </c>
      <c r="Z40" s="526">
        <f>IF('CEM Price Data'!AA39="","",'CEM Price Data'!AA39)</f>
        <v>75.64</v>
      </c>
      <c r="AA40" s="526">
        <f>IF('CEM Price Data'!AB39="","",'CEM Price Data'!AB39)</f>
        <v>129.1</v>
      </c>
      <c r="AB40" s="526">
        <f>IF('CEM Price Data'!AC39="","",'CEM Price Data'!AC39)</f>
        <v>89.3</v>
      </c>
      <c r="AC40" s="526">
        <f>IF('CEM Price Data'!AD39="","",'CEM Price Data'!AD39)</f>
        <v>130.96</v>
      </c>
      <c r="AD40" s="526">
        <f>IF('CEM Price Data'!AE39="","",'CEM Price Data'!AE39)</f>
        <v>42</v>
      </c>
      <c r="AE40" s="526">
        <f>IF('CEM Price Data'!AF39="","",'CEM Price Data'!AF39)</f>
        <v>225.42</v>
      </c>
      <c r="AF40" s="526">
        <f>IF('CEM Price Data'!AG39="","",'CEM Price Data'!AG39)</f>
        <v>92.97</v>
      </c>
      <c r="AG40" s="526">
        <f>IF('CEM Price Data'!AH39="","",'CEM Price Data'!AH39)</f>
        <v>6.36</v>
      </c>
      <c r="AH40" s="526">
        <f>IF('CEM Price Data'!AI39="","",'CEM Price Data'!AI39)</f>
        <v>69.180000000000007</v>
      </c>
      <c r="AI40" s="526">
        <f>IF('CEM Price Data'!AJ39="","",'CEM Price Data'!AJ39)</f>
        <v>492.17</v>
      </c>
      <c r="AJ40" s="526">
        <f>IF('CEM Price Data'!AK39="","",'CEM Price Data'!AK39)</f>
        <v>168.11</v>
      </c>
      <c r="AK40" s="526">
        <f>IF('CEM Price Data'!AL39="","",'CEM Price Data'!AL39)</f>
        <v>180.73</v>
      </c>
      <c r="AL40" s="526">
        <f>IF('CEM Price Data'!AM39="","",'CEM Price Data'!AM39)</f>
        <v>312.56</v>
      </c>
      <c r="AM40" s="526">
        <f>IF('CEM Price Data'!AN39="","",'CEM Price Data'!AN39)</f>
        <v>262.56</v>
      </c>
      <c r="AN40" s="526">
        <f>IF('CEM Price Data'!AO39="","",'CEM Price Data'!AO39)</f>
        <v>12.93</v>
      </c>
    </row>
    <row r="41" spans="1:40">
      <c r="A41" s="525">
        <f>IF('CEM Price Data'!B40="","",'CEM Price Data'!B40)</f>
        <v>44872</v>
      </c>
      <c r="B41" s="526">
        <f>IF('CEM Price Data'!C40="","",'CEM Price Data'!C40)</f>
        <v>138.03</v>
      </c>
      <c r="C41" s="526">
        <f>IF('CEM Price Data'!D40="","",'CEM Price Data'!D40)</f>
        <v>99.5</v>
      </c>
      <c r="D41" s="526">
        <f>IF('CEM Price Data'!E40="","",'CEM Price Data'!E40)</f>
        <v>148.93</v>
      </c>
      <c r="E41" s="526">
        <f>IF('CEM Price Data'!F40="","",'CEM Price Data'!F40)</f>
        <v>120.73</v>
      </c>
      <c r="F41" s="526">
        <f>IF('CEM Price Data'!G40="","",'CEM Price Data'!G40)</f>
        <v>56.91</v>
      </c>
      <c r="G41" s="526">
        <f>IF('CEM Price Data'!H40="","",'CEM Price Data'!H40)</f>
        <v>277.63</v>
      </c>
      <c r="H41" s="526">
        <f>IF('CEM Price Data'!I40="","",'CEM Price Data'!I40)</f>
        <v>67.09</v>
      </c>
      <c r="I41" s="526">
        <f>IF('CEM Price Data'!J40="","",'CEM Price Data'!J40)</f>
        <v>79.19</v>
      </c>
      <c r="J41" s="526">
        <f>IF('CEM Price Data'!K40="","",'CEM Price Data'!K40)</f>
        <v>135.5</v>
      </c>
      <c r="K41" s="526">
        <f>IF('CEM Price Data'!L40="","",'CEM Price Data'!L40)</f>
        <v>302.14</v>
      </c>
      <c r="L41" s="526">
        <f>IF('CEM Price Data'!M40="","",'CEM Price Data'!M40)</f>
        <v>484.24</v>
      </c>
      <c r="M41" s="526">
        <f>IF('CEM Price Data'!N40="","",'CEM Price Data'!N40)</f>
        <v>122.67</v>
      </c>
      <c r="N41" s="526">
        <f>IF('CEM Price Data'!O40="","",'CEM Price Data'!O40)</f>
        <v>146.13999999999999</v>
      </c>
      <c r="O41" s="526">
        <f>IF('CEM Price Data'!P40="","",'CEM Price Data'!P40)</f>
        <v>98.33</v>
      </c>
      <c r="P41" s="526">
        <f>IF('CEM Price Data'!Q40="","",'CEM Price Data'!Q40)</f>
        <v>93.16</v>
      </c>
      <c r="Q41" s="526">
        <f>IF('CEM Price Data'!R40="","",'CEM Price Data'!R40)</f>
        <v>149.85</v>
      </c>
      <c r="R41" s="526">
        <f>IF('CEM Price Data'!S40="","",'CEM Price Data'!S40)</f>
        <v>181.85</v>
      </c>
      <c r="S41" s="526">
        <f>IF('CEM Price Data'!T40="","",'CEM Price Data'!T40)</f>
        <v>79.94</v>
      </c>
      <c r="T41" s="526">
        <f>IF('CEM Price Data'!U40="","",'CEM Price Data'!U40)</f>
        <v>100.07</v>
      </c>
      <c r="U41" s="526">
        <f>IF('CEM Price Data'!V40="","",'CEM Price Data'!V40)</f>
        <v>462.19</v>
      </c>
      <c r="V41" s="526">
        <f>IF('CEM Price Data'!W40="","",'CEM Price Data'!W40)</f>
        <v>255.53</v>
      </c>
      <c r="W41" s="526">
        <f>IF('CEM Price Data'!X40="","",'CEM Price Data'!X40)</f>
        <v>303.01</v>
      </c>
      <c r="X41" s="526">
        <f>IF('CEM Price Data'!Y40="","",'CEM Price Data'!Y40)</f>
        <v>534.77</v>
      </c>
      <c r="Y41" s="526">
        <f>IF('CEM Price Data'!Z40="","",'CEM Price Data'!Z40)</f>
        <v>281.98</v>
      </c>
      <c r="Z41" s="526">
        <f>IF('CEM Price Data'!AA40="","",'CEM Price Data'!AA40)</f>
        <v>76.739999999999995</v>
      </c>
      <c r="AA41" s="526">
        <f>IF('CEM Price Data'!AB40="","",'CEM Price Data'!AB40)</f>
        <v>127.3</v>
      </c>
      <c r="AB41" s="526">
        <f>IF('CEM Price Data'!AC40="","",'CEM Price Data'!AC40)</f>
        <v>88.03</v>
      </c>
      <c r="AC41" s="526">
        <f>IF('CEM Price Data'!AD40="","",'CEM Price Data'!AD40)</f>
        <v>130.16</v>
      </c>
      <c r="AD41" s="526">
        <f>IF('CEM Price Data'!AE40="","",'CEM Price Data'!AE40)</f>
        <v>41.75</v>
      </c>
      <c r="AE41" s="526">
        <f>IF('CEM Price Data'!AF40="","",'CEM Price Data'!AF40)</f>
        <v>221.37</v>
      </c>
      <c r="AF41" s="526">
        <f>IF('CEM Price Data'!AG40="","",'CEM Price Data'!AG40)</f>
        <v>92.43</v>
      </c>
      <c r="AG41" s="526">
        <f>IF('CEM Price Data'!AH40="","",'CEM Price Data'!AH40)</f>
        <v>6.28</v>
      </c>
      <c r="AH41" s="526">
        <f>IF('CEM Price Data'!AI40="","",'CEM Price Data'!AI40)</f>
        <v>69.239999999999995</v>
      </c>
      <c r="AI41" s="526">
        <f>IF('CEM Price Data'!AJ40="","",'CEM Price Data'!AJ40)</f>
        <v>492.1</v>
      </c>
      <c r="AJ41" s="526">
        <f>IF('CEM Price Data'!AK40="","",'CEM Price Data'!AK40)</f>
        <v>165.69</v>
      </c>
      <c r="AK41" s="526">
        <f>IF('CEM Price Data'!AL40="","",'CEM Price Data'!AL40)</f>
        <v>177.88</v>
      </c>
      <c r="AL41" s="526">
        <f>IF('CEM Price Data'!AM40="","",'CEM Price Data'!AM40)</f>
        <v>306.47000000000003</v>
      </c>
      <c r="AM41" s="526">
        <f>IF('CEM Price Data'!AN40="","",'CEM Price Data'!AN40)</f>
        <v>262.87</v>
      </c>
      <c r="AN41" s="526">
        <f>IF('CEM Price Data'!AO40="","",'CEM Price Data'!AO40)</f>
        <v>12.9</v>
      </c>
    </row>
    <row r="42" spans="1:40">
      <c r="A42" s="525">
        <f>IF('CEM Price Data'!B41="","",'CEM Price Data'!B41)</f>
        <v>44869</v>
      </c>
      <c r="B42" s="526">
        <f>IF('CEM Price Data'!C41="","",'CEM Price Data'!C41)</f>
        <v>136.08000000000001</v>
      </c>
      <c r="C42" s="526">
        <f>IF('CEM Price Data'!D41="","",'CEM Price Data'!D41)</f>
        <v>98.07</v>
      </c>
      <c r="D42" s="526">
        <f>IF('CEM Price Data'!E41="","",'CEM Price Data'!E41)</f>
        <v>144.29</v>
      </c>
      <c r="E42" s="526">
        <f>IF('CEM Price Data'!F41="","",'CEM Price Data'!F41)</f>
        <v>121.22</v>
      </c>
      <c r="F42" s="526">
        <f>IF('CEM Price Data'!G41="","",'CEM Price Data'!G41)</f>
        <v>55.98</v>
      </c>
      <c r="G42" s="526">
        <f>IF('CEM Price Data'!H41="","",'CEM Price Data'!H41)</f>
        <v>276.06</v>
      </c>
      <c r="H42" s="526">
        <f>IF('CEM Price Data'!I41="","",'CEM Price Data'!I41)</f>
        <v>67.150000000000006</v>
      </c>
      <c r="I42" s="526">
        <f>IF('CEM Price Data'!J41="","",'CEM Price Data'!J41)</f>
        <v>78.78</v>
      </c>
      <c r="J42" s="526">
        <f>IF('CEM Price Data'!K41="","",'CEM Price Data'!K41)</f>
        <v>133.44</v>
      </c>
      <c r="K42" s="526">
        <f>IF('CEM Price Data'!L41="","",'CEM Price Data'!L41)</f>
        <v>295.76</v>
      </c>
      <c r="L42" s="526">
        <f>IF('CEM Price Data'!M41="","",'CEM Price Data'!M41)</f>
        <v>481.1</v>
      </c>
      <c r="M42" s="526">
        <f>IF('CEM Price Data'!N41="","",'CEM Price Data'!N41)</f>
        <v>124.83</v>
      </c>
      <c r="N42" s="526">
        <f>IF('CEM Price Data'!O41="","",'CEM Price Data'!O41)</f>
        <v>143.62</v>
      </c>
      <c r="O42" s="526">
        <f>IF('CEM Price Data'!P41="","",'CEM Price Data'!P41)</f>
        <v>97.65</v>
      </c>
      <c r="P42" s="526">
        <f>IF('CEM Price Data'!Q41="","",'CEM Price Data'!Q41)</f>
        <v>93.19</v>
      </c>
      <c r="Q42" s="526">
        <f>IF('CEM Price Data'!R41="","",'CEM Price Data'!R41)</f>
        <v>146.96</v>
      </c>
      <c r="R42" s="526">
        <f>IF('CEM Price Data'!S41="","",'CEM Price Data'!S41)</f>
        <v>180.46</v>
      </c>
      <c r="S42" s="526">
        <f>IF('CEM Price Data'!T41="","",'CEM Price Data'!T41)</f>
        <v>79.02</v>
      </c>
      <c r="T42" s="526">
        <f>IF('CEM Price Data'!U41="","",'CEM Price Data'!U41)</f>
        <v>99.2</v>
      </c>
      <c r="U42" s="526">
        <f>IF('CEM Price Data'!V41="","",'CEM Price Data'!V41)</f>
        <v>460.91</v>
      </c>
      <c r="V42" s="526">
        <f>IF('CEM Price Data'!W41="","",'CEM Price Data'!W41)</f>
        <v>254.87</v>
      </c>
      <c r="W42" s="526">
        <f>IF('CEM Price Data'!X41="","",'CEM Price Data'!X41)</f>
        <v>300.04000000000002</v>
      </c>
      <c r="X42" s="526">
        <f>IF('CEM Price Data'!Y41="","",'CEM Price Data'!Y41)</f>
        <v>522.77</v>
      </c>
      <c r="Y42" s="526">
        <f>IF('CEM Price Data'!Z41="","",'CEM Price Data'!Z41)</f>
        <v>271.91000000000003</v>
      </c>
      <c r="Z42" s="526">
        <f>IF('CEM Price Data'!AA41="","",'CEM Price Data'!AA41)</f>
        <v>76</v>
      </c>
      <c r="AA42" s="526">
        <f>IF('CEM Price Data'!AB41="","",'CEM Price Data'!AB41)</f>
        <v>126.62</v>
      </c>
      <c r="AB42" s="526">
        <f>IF('CEM Price Data'!AC41="","",'CEM Price Data'!AC41)</f>
        <v>86.44</v>
      </c>
      <c r="AC42" s="526">
        <f>IF('CEM Price Data'!AD41="","",'CEM Price Data'!AD41)</f>
        <v>127.55</v>
      </c>
      <c r="AD42" s="526">
        <f>IF('CEM Price Data'!AE41="","",'CEM Price Data'!AE41)</f>
        <v>41.91</v>
      </c>
      <c r="AE42" s="526">
        <f>IF('CEM Price Data'!AF41="","",'CEM Price Data'!AF41)</f>
        <v>216.23</v>
      </c>
      <c r="AF42" s="526">
        <f>IF('CEM Price Data'!AG41="","",'CEM Price Data'!AG41)</f>
        <v>93.17</v>
      </c>
      <c r="AG42" s="526">
        <f>IF('CEM Price Data'!AH41="","",'CEM Price Data'!AH41)</f>
        <v>6.16</v>
      </c>
      <c r="AH42" s="526">
        <f>IF('CEM Price Data'!AI41="","",'CEM Price Data'!AI41)</f>
        <v>68.36</v>
      </c>
      <c r="AI42" s="526">
        <f>IF('CEM Price Data'!AJ41="","",'CEM Price Data'!AJ41)</f>
        <v>495.55</v>
      </c>
      <c r="AJ42" s="526">
        <f>IF('CEM Price Data'!AK41="","",'CEM Price Data'!AK41)</f>
        <v>162.65</v>
      </c>
      <c r="AK42" s="526">
        <f>IF('CEM Price Data'!AL41="","",'CEM Price Data'!AL41)</f>
        <v>176.69</v>
      </c>
      <c r="AL42" s="526">
        <f>IF('CEM Price Data'!AM41="","",'CEM Price Data'!AM41)</f>
        <v>305.07</v>
      </c>
      <c r="AM42" s="526">
        <f>IF('CEM Price Data'!AN41="","",'CEM Price Data'!AN41)</f>
        <v>261.95999999999998</v>
      </c>
      <c r="AN42" s="526">
        <f>IF('CEM Price Data'!AO41="","",'CEM Price Data'!AO41)</f>
        <v>12.81</v>
      </c>
    </row>
    <row r="43" spans="1:40">
      <c r="A43" s="525">
        <f>IF('CEM Price Data'!B42="","",'CEM Price Data'!B42)</f>
        <v>44868</v>
      </c>
      <c r="B43" s="526">
        <f>IF('CEM Price Data'!C42="","",'CEM Price Data'!C42)</f>
        <v>134.46</v>
      </c>
      <c r="C43" s="526">
        <f>IF('CEM Price Data'!D42="","",'CEM Price Data'!D42)</f>
        <v>96.45</v>
      </c>
      <c r="D43" s="526">
        <f>IF('CEM Price Data'!E42="","",'CEM Price Data'!E42)</f>
        <v>138.02000000000001</v>
      </c>
      <c r="E43" s="526">
        <f>IF('CEM Price Data'!F42="","",'CEM Price Data'!F42)</f>
        <v>123.41</v>
      </c>
      <c r="F43" s="526">
        <f>IF('CEM Price Data'!G42="","",'CEM Price Data'!G42)</f>
        <v>54.37</v>
      </c>
      <c r="G43" s="526">
        <f>IF('CEM Price Data'!H42="","",'CEM Price Data'!H42)</f>
        <v>264.02</v>
      </c>
      <c r="H43" s="526">
        <f>IF('CEM Price Data'!I42="","",'CEM Price Data'!I42)</f>
        <v>66.16</v>
      </c>
      <c r="I43" s="526">
        <f>IF('CEM Price Data'!J42="","",'CEM Price Data'!J42)</f>
        <v>78.48</v>
      </c>
      <c r="J43" s="526">
        <f>IF('CEM Price Data'!K42="","",'CEM Price Data'!K42)</f>
        <v>133.91</v>
      </c>
      <c r="K43" s="526">
        <f>IF('CEM Price Data'!L42="","",'CEM Price Data'!L42)</f>
        <v>301.87</v>
      </c>
      <c r="L43" s="526">
        <f>IF('CEM Price Data'!M42="","",'CEM Price Data'!M42)</f>
        <v>480.98</v>
      </c>
      <c r="M43" s="526">
        <f>IF('CEM Price Data'!N42="","",'CEM Price Data'!N42)</f>
        <v>124.28</v>
      </c>
      <c r="N43" s="526">
        <f>IF('CEM Price Data'!O42="","",'CEM Price Data'!O42)</f>
        <v>142.97999999999999</v>
      </c>
      <c r="O43" s="526">
        <f>IF('CEM Price Data'!P42="","",'CEM Price Data'!P42)</f>
        <v>96.06</v>
      </c>
      <c r="P43" s="526">
        <f>IF('CEM Price Data'!Q42="","",'CEM Price Data'!Q42)</f>
        <v>91.48</v>
      </c>
      <c r="Q43" s="526">
        <f>IF('CEM Price Data'!R42="","",'CEM Price Data'!R42)</f>
        <v>145.59</v>
      </c>
      <c r="R43" s="526">
        <f>IF('CEM Price Data'!S42="","",'CEM Price Data'!S42)</f>
        <v>179.62</v>
      </c>
      <c r="S43" s="526">
        <f>IF('CEM Price Data'!T42="","",'CEM Price Data'!T42)</f>
        <v>76.760000000000005</v>
      </c>
      <c r="T43" s="526">
        <f>IF('CEM Price Data'!U42="","",'CEM Price Data'!U42)</f>
        <v>98.75</v>
      </c>
      <c r="U43" s="526">
        <f>IF('CEM Price Data'!V42="","",'CEM Price Data'!V42)</f>
        <v>451.15</v>
      </c>
      <c r="V43" s="526">
        <f>IF('CEM Price Data'!W42="","",'CEM Price Data'!W42)</f>
        <v>238.18</v>
      </c>
      <c r="W43" s="526">
        <f>IF('CEM Price Data'!X42="","",'CEM Price Data'!X42)</f>
        <v>289.18</v>
      </c>
      <c r="X43" s="526">
        <f>IF('CEM Price Data'!Y42="","",'CEM Price Data'!Y42)</f>
        <v>525.51</v>
      </c>
      <c r="Y43" s="526">
        <f>IF('CEM Price Data'!Z42="","",'CEM Price Data'!Z42)</f>
        <v>263.02999999999997</v>
      </c>
      <c r="Z43" s="526">
        <f>IF('CEM Price Data'!AA42="","",'CEM Price Data'!AA42)</f>
        <v>75.03</v>
      </c>
      <c r="AA43" s="526">
        <f>IF('CEM Price Data'!AB42="","",'CEM Price Data'!AB42)</f>
        <v>127.32</v>
      </c>
      <c r="AB43" s="526">
        <f>IF('CEM Price Data'!AC42="","",'CEM Price Data'!AC42)</f>
        <v>85.97</v>
      </c>
      <c r="AC43" s="526">
        <f>IF('CEM Price Data'!AD42="","",'CEM Price Data'!AD42)</f>
        <v>127.97</v>
      </c>
      <c r="AD43" s="526">
        <f>IF('CEM Price Data'!AE42="","",'CEM Price Data'!AE42)</f>
        <v>42.29</v>
      </c>
      <c r="AE43" s="526">
        <f>IF('CEM Price Data'!AF42="","",'CEM Price Data'!AF42)</f>
        <v>217.19</v>
      </c>
      <c r="AF43" s="526">
        <f>IF('CEM Price Data'!AG42="","",'CEM Price Data'!AG42)</f>
        <v>93.5</v>
      </c>
      <c r="AG43" s="526">
        <f>IF('CEM Price Data'!AH42="","",'CEM Price Data'!AH42)</f>
        <v>6.09</v>
      </c>
      <c r="AH43" s="526">
        <f>IF('CEM Price Data'!AI42="","",'CEM Price Data'!AI42)</f>
        <v>67.22</v>
      </c>
      <c r="AI43" s="526">
        <f>IF('CEM Price Data'!AJ42="","",'CEM Price Data'!AJ42)</f>
        <v>486.94</v>
      </c>
      <c r="AJ43" s="526">
        <f>IF('CEM Price Data'!AK42="","",'CEM Price Data'!AK42)</f>
        <v>156.52000000000001</v>
      </c>
      <c r="AK43" s="526">
        <f>IF('CEM Price Data'!AL42="","",'CEM Price Data'!AL42)</f>
        <v>180.19</v>
      </c>
      <c r="AL43" s="526">
        <f>IF('CEM Price Data'!AM42="","",'CEM Price Data'!AM42)</f>
        <v>298.93</v>
      </c>
      <c r="AM43" s="526">
        <f>IF('CEM Price Data'!AN42="","",'CEM Price Data'!AN42)</f>
        <v>261.08</v>
      </c>
      <c r="AN43" s="526">
        <f>IF('CEM Price Data'!AO42="","",'CEM Price Data'!AO42)</f>
        <v>12.43</v>
      </c>
    </row>
    <row r="44" spans="1:40">
      <c r="A44" s="525">
        <f>IF('CEM Price Data'!B43="","",'CEM Price Data'!B43)</f>
        <v>44867</v>
      </c>
      <c r="B44" s="526">
        <f>IF('CEM Price Data'!C43="","",'CEM Price Data'!C43)</f>
        <v>135.27000000000001</v>
      </c>
      <c r="C44" s="526">
        <f>IF('CEM Price Data'!D43="","",'CEM Price Data'!D43)</f>
        <v>98.04</v>
      </c>
      <c r="D44" s="526">
        <f>IF('CEM Price Data'!E43="","",'CEM Price Data'!E43)</f>
        <v>141.24</v>
      </c>
      <c r="E44" s="526">
        <f>IF('CEM Price Data'!F43="","",'CEM Price Data'!F43)</f>
        <v>131.02000000000001</v>
      </c>
      <c r="F44" s="526">
        <f>IF('CEM Price Data'!G43="","",'CEM Price Data'!G43)</f>
        <v>53.7</v>
      </c>
      <c r="G44" s="526">
        <f>IF('CEM Price Data'!H43="","",'CEM Price Data'!H43)</f>
        <v>245.17</v>
      </c>
      <c r="H44" s="526">
        <f>IF('CEM Price Data'!I43="","",'CEM Price Data'!I43)</f>
        <v>66.44</v>
      </c>
      <c r="I44" s="526">
        <f>IF('CEM Price Data'!J43="","",'CEM Price Data'!J43)</f>
        <v>77.45</v>
      </c>
      <c r="J44" s="526">
        <f>IF('CEM Price Data'!K43="","",'CEM Price Data'!K43)</f>
        <v>137.72999999999999</v>
      </c>
      <c r="K44" s="526">
        <f>IF('CEM Price Data'!L43="","",'CEM Price Data'!L43)</f>
        <v>303.02999999999997</v>
      </c>
      <c r="L44" s="526">
        <f>IF('CEM Price Data'!M43="","",'CEM Price Data'!M43)</f>
        <v>487.81</v>
      </c>
      <c r="M44" s="526">
        <f>IF('CEM Price Data'!N43="","",'CEM Price Data'!N43)</f>
        <v>126.12</v>
      </c>
      <c r="N44" s="526">
        <f>IF('CEM Price Data'!O43="","",'CEM Price Data'!O43)</f>
        <v>140.47999999999999</v>
      </c>
      <c r="O44" s="526">
        <f>IF('CEM Price Data'!P43="","",'CEM Price Data'!P43)</f>
        <v>94.71</v>
      </c>
      <c r="P44" s="526">
        <f>IF('CEM Price Data'!Q43="","",'CEM Price Data'!Q43)</f>
        <v>87.68</v>
      </c>
      <c r="Q44" s="526">
        <f>IF('CEM Price Data'!R43="","",'CEM Price Data'!R43)</f>
        <v>145.13</v>
      </c>
      <c r="R44" s="526">
        <f>IF('CEM Price Data'!S43="","",'CEM Price Data'!S43)</f>
        <v>190.64</v>
      </c>
      <c r="S44" s="526">
        <f>IF('CEM Price Data'!T43="","",'CEM Price Data'!T43)</f>
        <v>77.23</v>
      </c>
      <c r="T44" s="526">
        <f>IF('CEM Price Data'!U43="","",'CEM Price Data'!U43)</f>
        <v>99.4</v>
      </c>
      <c r="U44" s="526">
        <f>IF('CEM Price Data'!V43="","",'CEM Price Data'!V43)</f>
        <v>453.74</v>
      </c>
      <c r="V44" s="526">
        <f>IF('CEM Price Data'!W43="","",'CEM Price Data'!W43)</f>
        <v>239.9</v>
      </c>
      <c r="W44" s="526">
        <f>IF('CEM Price Data'!X43="","",'CEM Price Data'!X43)</f>
        <v>293.08999999999997</v>
      </c>
      <c r="X44" s="526">
        <f>IF('CEM Price Data'!Y43="","",'CEM Price Data'!Y43)</f>
        <v>530.29999999999995</v>
      </c>
      <c r="Y44" s="526">
        <f>IF('CEM Price Data'!Z43="","",'CEM Price Data'!Z43)</f>
        <v>260.39</v>
      </c>
      <c r="Z44" s="526">
        <f>IF('CEM Price Data'!AA43="","",'CEM Price Data'!AA43)</f>
        <v>75.12</v>
      </c>
      <c r="AA44" s="526">
        <f>IF('CEM Price Data'!AB43="","",'CEM Price Data'!AB43)</f>
        <v>127.73</v>
      </c>
      <c r="AB44" s="526">
        <f>IF('CEM Price Data'!AC43="","",'CEM Price Data'!AC43)</f>
        <v>89.05</v>
      </c>
      <c r="AC44" s="526">
        <f>IF('CEM Price Data'!AD43="","",'CEM Price Data'!AD43)</f>
        <v>127.93</v>
      </c>
      <c r="AD44" s="526">
        <f>IF('CEM Price Data'!AE43="","",'CEM Price Data'!AE43)</f>
        <v>41.87</v>
      </c>
      <c r="AE44" s="526">
        <f>IF('CEM Price Data'!AF43="","",'CEM Price Data'!AF43)</f>
        <v>215.73</v>
      </c>
      <c r="AF44" s="526">
        <f>IF('CEM Price Data'!AG43="","",'CEM Price Data'!AG43)</f>
        <v>95.32</v>
      </c>
      <c r="AG44" s="526">
        <f>IF('CEM Price Data'!AH43="","",'CEM Price Data'!AH43)</f>
        <v>6.07</v>
      </c>
      <c r="AH44" s="526">
        <f>IF('CEM Price Data'!AI43="","",'CEM Price Data'!AI43)</f>
        <v>67.400000000000006</v>
      </c>
      <c r="AI44" s="526">
        <f>IF('CEM Price Data'!AJ43="","",'CEM Price Data'!AJ43)</f>
        <v>490.98</v>
      </c>
      <c r="AJ44" s="526">
        <f>IF('CEM Price Data'!AK43="","",'CEM Price Data'!AK43)</f>
        <v>158.49</v>
      </c>
      <c r="AK44" s="526">
        <f>IF('CEM Price Data'!AL43="","",'CEM Price Data'!AL43)</f>
        <v>186.61</v>
      </c>
      <c r="AL44" s="526">
        <f>IF('CEM Price Data'!AM43="","",'CEM Price Data'!AM43)</f>
        <v>295.74</v>
      </c>
      <c r="AM44" s="526">
        <f>IF('CEM Price Data'!AN43="","",'CEM Price Data'!AN43)</f>
        <v>266.87</v>
      </c>
      <c r="AN44" s="526">
        <f>IF('CEM Price Data'!AO43="","",'CEM Price Data'!AO43)</f>
        <v>13.04</v>
      </c>
    </row>
    <row r="45" spans="1:40">
      <c r="A45" s="525">
        <f>IF('CEM Price Data'!B44="","",'CEM Price Data'!B44)</f>
        <v>44866</v>
      </c>
      <c r="B45" s="526">
        <f>IF('CEM Price Data'!C44="","",'CEM Price Data'!C44)</f>
        <v>140.88999999999999</v>
      </c>
      <c r="C45" s="526">
        <f>IF('CEM Price Data'!D44="","",'CEM Price Data'!D44)</f>
        <v>99.31</v>
      </c>
      <c r="D45" s="526">
        <f>IF('CEM Price Data'!E44="","",'CEM Price Data'!E44)</f>
        <v>144.69999999999999</v>
      </c>
      <c r="E45" s="526">
        <f>IF('CEM Price Data'!F44="","",'CEM Price Data'!F44)</f>
        <v>134.69999999999999</v>
      </c>
      <c r="F45" s="526">
        <f>IF('CEM Price Data'!G44="","",'CEM Price Data'!G44)</f>
        <v>54.6</v>
      </c>
      <c r="G45" s="526">
        <f>IF('CEM Price Data'!H44="","",'CEM Price Data'!H44)</f>
        <v>252.12</v>
      </c>
      <c r="H45" s="526">
        <f>IF('CEM Price Data'!I44="","",'CEM Price Data'!I44)</f>
        <v>67.44</v>
      </c>
      <c r="I45" s="526">
        <f>IF('CEM Price Data'!J44="","",'CEM Price Data'!J44)</f>
        <v>77.7</v>
      </c>
      <c r="J45" s="526">
        <f>IF('CEM Price Data'!K44="","",'CEM Price Data'!K44)</f>
        <v>149.6</v>
      </c>
      <c r="K45" s="526">
        <f>IF('CEM Price Data'!L44="","",'CEM Price Data'!L44)</f>
        <v>302.93</v>
      </c>
      <c r="L45" s="526">
        <f>IF('CEM Price Data'!M44="","",'CEM Price Data'!M44)</f>
        <v>476.93</v>
      </c>
      <c r="M45" s="526">
        <f>IF('CEM Price Data'!N44="","",'CEM Price Data'!N44)</f>
        <v>128.4</v>
      </c>
      <c r="N45" s="526">
        <f>IF('CEM Price Data'!O44="","",'CEM Price Data'!O44)</f>
        <v>142.78</v>
      </c>
      <c r="O45" s="526">
        <f>IF('CEM Price Data'!P44="","",'CEM Price Data'!P44)</f>
        <v>97.29</v>
      </c>
      <c r="P45" s="526">
        <f>IF('CEM Price Data'!Q44="","",'CEM Price Data'!Q44)</f>
        <v>88.72</v>
      </c>
      <c r="Q45" s="526">
        <f>IF('CEM Price Data'!R44="","",'CEM Price Data'!R44)</f>
        <v>146.44999999999999</v>
      </c>
      <c r="R45" s="526">
        <f>IF('CEM Price Data'!S44="","",'CEM Price Data'!S44)</f>
        <v>201.24</v>
      </c>
      <c r="S45" s="526">
        <f>IF('CEM Price Data'!T44="","",'CEM Price Data'!T44)</f>
        <v>78.59</v>
      </c>
      <c r="T45" s="526">
        <f>IF('CEM Price Data'!U44="","",'CEM Price Data'!U44)</f>
        <v>99.76</v>
      </c>
      <c r="U45" s="526">
        <f>IF('CEM Price Data'!V44="","",'CEM Price Data'!V44)</f>
        <v>470.08</v>
      </c>
      <c r="V45" s="526">
        <f>IF('CEM Price Data'!W44="","",'CEM Price Data'!W44)</f>
        <v>242.89</v>
      </c>
      <c r="W45" s="526">
        <f>IF('CEM Price Data'!X44="","",'CEM Price Data'!X44)</f>
        <v>300.27</v>
      </c>
      <c r="X45" s="526">
        <f>IF('CEM Price Data'!Y44="","",'CEM Price Data'!Y44)</f>
        <v>535.88</v>
      </c>
      <c r="Y45" s="526">
        <f>IF('CEM Price Data'!Z44="","",'CEM Price Data'!Z44)</f>
        <v>272.87</v>
      </c>
      <c r="Z45" s="526">
        <f>IF('CEM Price Data'!AA44="","",'CEM Price Data'!AA44)</f>
        <v>77.11</v>
      </c>
      <c r="AA45" s="526">
        <f>IF('CEM Price Data'!AB44="","",'CEM Price Data'!AB44)</f>
        <v>129.02000000000001</v>
      </c>
      <c r="AB45" s="526">
        <f>IF('CEM Price Data'!AC44="","",'CEM Price Data'!AC44)</f>
        <v>91.26</v>
      </c>
      <c r="AC45" s="526">
        <f>IF('CEM Price Data'!AD44="","",'CEM Price Data'!AD44)</f>
        <v>132.97999999999999</v>
      </c>
      <c r="AD45" s="526">
        <f>IF('CEM Price Data'!AE44="","",'CEM Price Data'!AE44)</f>
        <v>42.2</v>
      </c>
      <c r="AE45" s="526">
        <f>IF('CEM Price Data'!AF44="","",'CEM Price Data'!AF44)</f>
        <v>224.78</v>
      </c>
      <c r="AF45" s="526">
        <f>IF('CEM Price Data'!AG44="","",'CEM Price Data'!AG44)</f>
        <v>95.52</v>
      </c>
      <c r="AG45" s="526">
        <f>IF('CEM Price Data'!AH44="","",'CEM Price Data'!AH44)</f>
        <v>6.06</v>
      </c>
      <c r="AH45" s="526">
        <f>IF('CEM Price Data'!AI44="","",'CEM Price Data'!AI44)</f>
        <v>70.430000000000007</v>
      </c>
      <c r="AI45" s="526">
        <f>IF('CEM Price Data'!AJ44="","",'CEM Price Data'!AJ44)</f>
        <v>517.69000000000005</v>
      </c>
      <c r="AJ45" s="526">
        <f>IF('CEM Price Data'!AK44="","",'CEM Price Data'!AK44)</f>
        <v>162.9</v>
      </c>
      <c r="AK45" s="526">
        <f>IF('CEM Price Data'!AL44="","",'CEM Price Data'!AL44)</f>
        <v>196.97</v>
      </c>
      <c r="AL45" s="526">
        <f>IF('CEM Price Data'!AM44="","",'CEM Price Data'!AM44)</f>
        <v>307.44</v>
      </c>
      <c r="AM45" s="526">
        <f>IF('CEM Price Data'!AN44="","",'CEM Price Data'!AN44)</f>
        <v>272.60000000000002</v>
      </c>
      <c r="AN45" s="526">
        <f>IF('CEM Price Data'!AO44="","",'CEM Price Data'!AO44)</f>
        <v>13.63</v>
      </c>
    </row>
    <row r="46" spans="1:40">
      <c r="A46" s="525">
        <f>IF('CEM Price Data'!B45="","",'CEM Price Data'!B45)</f>
        <v>44865</v>
      </c>
      <c r="B46" s="526">
        <f>IF('CEM Price Data'!C45="","",'CEM Price Data'!C45)</f>
        <v>138.35</v>
      </c>
      <c r="C46" s="526">
        <f>IF('CEM Price Data'!D45="","",'CEM Price Data'!D45)</f>
        <v>98.94</v>
      </c>
      <c r="D46" s="526">
        <f>IF('CEM Price Data'!E45="","",'CEM Price Data'!E45)</f>
        <v>142.62</v>
      </c>
      <c r="E46" s="526">
        <f>IF('CEM Price Data'!F45="","",'CEM Price Data'!F45)</f>
        <v>135.86000000000001</v>
      </c>
      <c r="F46" s="526">
        <f>IF('CEM Price Data'!G45="","",'CEM Price Data'!G45)</f>
        <v>54.78</v>
      </c>
      <c r="G46" s="526">
        <f>IF('CEM Price Data'!H45="","",'CEM Price Data'!H45)</f>
        <v>250.4</v>
      </c>
      <c r="H46" s="526">
        <f>IF('CEM Price Data'!I45="","",'CEM Price Data'!I45)</f>
        <v>68</v>
      </c>
      <c r="I46" s="526">
        <f>IF('CEM Price Data'!J45="","",'CEM Price Data'!J45)</f>
        <v>77.47</v>
      </c>
      <c r="J46" s="526">
        <f>IF('CEM Price Data'!K45="","",'CEM Price Data'!K45)</f>
        <v>150.06</v>
      </c>
      <c r="K46" s="526">
        <f>IF('CEM Price Data'!L45="","",'CEM Price Data'!L45)</f>
        <v>304.02999999999997</v>
      </c>
      <c r="L46" s="526">
        <f>IF('CEM Price Data'!M45="","",'CEM Price Data'!M45)</f>
        <v>466.87</v>
      </c>
      <c r="M46" s="526">
        <f>IF('CEM Price Data'!N45="","",'CEM Price Data'!N45)</f>
        <v>128.91999999999999</v>
      </c>
      <c r="N46" s="526">
        <f>IF('CEM Price Data'!O45="","",'CEM Price Data'!O45)</f>
        <v>143.65</v>
      </c>
      <c r="O46" s="526">
        <f>IF('CEM Price Data'!P45="","",'CEM Price Data'!P45)</f>
        <v>95.26</v>
      </c>
      <c r="P46" s="526">
        <f>IF('CEM Price Data'!Q45="","",'CEM Price Data'!Q45)</f>
        <v>89.12</v>
      </c>
      <c r="Q46" s="526">
        <f>IF('CEM Price Data'!R45="","",'CEM Price Data'!R45)</f>
        <v>147.61000000000001</v>
      </c>
      <c r="R46" s="526">
        <f>IF('CEM Price Data'!S45="","",'CEM Price Data'!S45)</f>
        <v>199.06</v>
      </c>
      <c r="S46" s="526">
        <f>IF('CEM Price Data'!T45="","",'CEM Price Data'!T45)</f>
        <v>78.64</v>
      </c>
      <c r="T46" s="526">
        <f>IF('CEM Price Data'!U45="","",'CEM Price Data'!U45)</f>
        <v>101.2</v>
      </c>
      <c r="U46" s="526">
        <f>IF('CEM Price Data'!V45="","",'CEM Price Data'!V45)</f>
        <v>468.86</v>
      </c>
      <c r="V46" s="526">
        <f>IF('CEM Price Data'!W45="","",'CEM Price Data'!W45)</f>
        <v>249.71</v>
      </c>
      <c r="W46" s="526">
        <f>IF('CEM Price Data'!X45="","",'CEM Price Data'!X45)</f>
        <v>304.33999999999997</v>
      </c>
      <c r="X46" s="526">
        <f>IF('CEM Price Data'!Y45="","",'CEM Price Data'!Y45)</f>
        <v>549.01</v>
      </c>
      <c r="Y46" s="526">
        <f>IF('CEM Price Data'!Z45="","",'CEM Price Data'!Z45)</f>
        <v>274.60000000000002</v>
      </c>
      <c r="Z46" s="526">
        <f>IF('CEM Price Data'!AA45="","",'CEM Price Data'!AA45)</f>
        <v>78.069999999999993</v>
      </c>
      <c r="AA46" s="526">
        <f>IF('CEM Price Data'!AB45="","",'CEM Price Data'!AB45)</f>
        <v>128.4</v>
      </c>
      <c r="AB46" s="526">
        <f>IF('CEM Price Data'!AC45="","",'CEM Price Data'!AC45)</f>
        <v>90.42</v>
      </c>
      <c r="AC46" s="526">
        <f>IF('CEM Price Data'!AD45="","",'CEM Price Data'!AD45)</f>
        <v>130.07</v>
      </c>
      <c r="AD46" s="526">
        <f>IF('CEM Price Data'!AE45="","",'CEM Price Data'!AE45)</f>
        <v>42.08</v>
      </c>
      <c r="AE46" s="526">
        <f>IF('CEM Price Data'!AF45="","",'CEM Price Data'!AF45)</f>
        <v>225.03</v>
      </c>
      <c r="AF46" s="526">
        <f>IF('CEM Price Data'!AG45="","",'CEM Price Data'!AG45)</f>
        <v>98.08</v>
      </c>
      <c r="AG46" s="526">
        <f>IF('CEM Price Data'!AH45="","",'CEM Price Data'!AH45)</f>
        <v>6.04</v>
      </c>
      <c r="AH46" s="526">
        <f>IF('CEM Price Data'!AI45="","",'CEM Price Data'!AI45)</f>
        <v>71.459999999999994</v>
      </c>
      <c r="AI46" s="526">
        <f>IF('CEM Price Data'!AJ45="","",'CEM Price Data'!AJ45)</f>
        <v>513.97</v>
      </c>
      <c r="AJ46" s="526">
        <f>IF('CEM Price Data'!AK45="","",'CEM Price Data'!AK45)</f>
        <v>160.63</v>
      </c>
      <c r="AK46" s="526">
        <f>IF('CEM Price Data'!AL45="","",'CEM Price Data'!AL45)</f>
        <v>200.46</v>
      </c>
      <c r="AL46" s="526">
        <f>IF('CEM Price Data'!AM45="","",'CEM Price Data'!AM45)</f>
        <v>299.17</v>
      </c>
      <c r="AM46" s="526">
        <f>IF('CEM Price Data'!AN45="","",'CEM Price Data'!AN45)</f>
        <v>270.95999999999998</v>
      </c>
      <c r="AN46" s="526">
        <f>IF('CEM Price Data'!AO45="","",'CEM Price Data'!AO45)</f>
        <v>13.51</v>
      </c>
    </row>
    <row r="47" spans="1:40">
      <c r="A47" s="525">
        <f>IF('CEM Price Data'!B46="","",'CEM Price Data'!B46)</f>
        <v>44862</v>
      </c>
      <c r="B47" s="526">
        <f>IF('CEM Price Data'!C46="","",'CEM Price Data'!C46)</f>
        <v>138.77000000000001</v>
      </c>
      <c r="C47" s="526">
        <f>IF('CEM Price Data'!D46="","",'CEM Price Data'!D46)</f>
        <v>99.49</v>
      </c>
      <c r="D47" s="526">
        <f>IF('CEM Price Data'!E46="","",'CEM Price Data'!E46)</f>
        <v>144.88</v>
      </c>
      <c r="E47" s="526">
        <f>IF('CEM Price Data'!F46="","",'CEM Price Data'!F46)</f>
        <v>134.69</v>
      </c>
      <c r="F47" s="526">
        <f>IF('CEM Price Data'!G46="","",'CEM Price Data'!G46)</f>
        <v>54.38</v>
      </c>
      <c r="G47" s="526">
        <f>IF('CEM Price Data'!H46="","",'CEM Price Data'!H46)</f>
        <v>254.44</v>
      </c>
      <c r="H47" s="526">
        <f>IF('CEM Price Data'!I46="","",'CEM Price Data'!I46)</f>
        <v>68.17</v>
      </c>
      <c r="I47" s="526">
        <f>IF('CEM Price Data'!J46="","",'CEM Price Data'!J46)</f>
        <v>76.83</v>
      </c>
      <c r="J47" s="526">
        <f>IF('CEM Price Data'!K46="","",'CEM Price Data'!K46)</f>
        <v>148.9</v>
      </c>
      <c r="K47" s="526">
        <f>IF('CEM Price Data'!L46="","",'CEM Price Data'!L46)</f>
        <v>303.12</v>
      </c>
      <c r="L47" s="526">
        <f>IF('CEM Price Data'!M46="","",'CEM Price Data'!M46)</f>
        <v>461.93</v>
      </c>
      <c r="M47" s="526">
        <f>IF('CEM Price Data'!N46="","",'CEM Price Data'!N46)</f>
        <v>130.02000000000001</v>
      </c>
      <c r="N47" s="526">
        <f>IF('CEM Price Data'!O46="","",'CEM Price Data'!O46)</f>
        <v>144.59</v>
      </c>
      <c r="O47" s="526">
        <f>IF('CEM Price Data'!P46="","",'CEM Price Data'!P46)</f>
        <v>94.09</v>
      </c>
      <c r="P47" s="526">
        <f>IF('CEM Price Data'!Q46="","",'CEM Price Data'!Q46)</f>
        <v>88.74</v>
      </c>
      <c r="Q47" s="526">
        <f>IF('CEM Price Data'!R46="","",'CEM Price Data'!R46)</f>
        <v>149.58000000000001</v>
      </c>
      <c r="R47" s="526">
        <f>IF('CEM Price Data'!S46="","",'CEM Price Data'!S46)</f>
        <v>201.73</v>
      </c>
      <c r="S47" s="526">
        <f>IF('CEM Price Data'!T46="","",'CEM Price Data'!T46)</f>
        <v>79.2</v>
      </c>
      <c r="T47" s="526">
        <f>IF('CEM Price Data'!U46="","",'CEM Price Data'!U46)</f>
        <v>100.77</v>
      </c>
      <c r="U47" s="526">
        <f>IF('CEM Price Data'!V46="","",'CEM Price Data'!V46)</f>
        <v>474.27</v>
      </c>
      <c r="V47" s="526">
        <f>IF('CEM Price Data'!W46="","",'CEM Price Data'!W46)</f>
        <v>250.12</v>
      </c>
      <c r="W47" s="526">
        <f>IF('CEM Price Data'!X46="","",'CEM Price Data'!X46)</f>
        <v>303.27999999999997</v>
      </c>
      <c r="X47" s="526">
        <f>IF('CEM Price Data'!Y46="","",'CEM Price Data'!Y46)</f>
        <v>548.11</v>
      </c>
      <c r="Y47" s="526">
        <f>IF('CEM Price Data'!Z46="","",'CEM Price Data'!Z46)</f>
        <v>270.60000000000002</v>
      </c>
      <c r="Z47" s="526">
        <f>IF('CEM Price Data'!AA46="","",'CEM Price Data'!AA46)</f>
        <v>77.36</v>
      </c>
      <c r="AA47" s="526">
        <f>IF('CEM Price Data'!AB46="","",'CEM Price Data'!AB46)</f>
        <v>129.69999999999999</v>
      </c>
      <c r="AB47" s="526">
        <f>IF('CEM Price Data'!AC46="","",'CEM Price Data'!AC46)</f>
        <v>90.7</v>
      </c>
      <c r="AC47" s="526">
        <f>IF('CEM Price Data'!AD46="","",'CEM Price Data'!AD46)</f>
        <v>128.88999999999999</v>
      </c>
      <c r="AD47" s="526">
        <f>IF('CEM Price Data'!AE46="","",'CEM Price Data'!AE46)</f>
        <v>41.87</v>
      </c>
      <c r="AE47" s="526">
        <f>IF('CEM Price Data'!AF46="","",'CEM Price Data'!AF46)</f>
        <v>226.23</v>
      </c>
      <c r="AF47" s="526">
        <f>IF('CEM Price Data'!AG46="","",'CEM Price Data'!AG46)</f>
        <v>97.06</v>
      </c>
      <c r="AG47" s="526">
        <f>IF('CEM Price Data'!AH46="","",'CEM Price Data'!AH46)</f>
        <v>6.17</v>
      </c>
      <c r="AH47" s="526">
        <f>IF('CEM Price Data'!AI46="","",'CEM Price Data'!AI46)</f>
        <v>70.77</v>
      </c>
      <c r="AI47" s="526">
        <f>IF('CEM Price Data'!AJ46="","",'CEM Price Data'!AJ46)</f>
        <v>503.84</v>
      </c>
      <c r="AJ47" s="526">
        <f>IF('CEM Price Data'!AK46="","",'CEM Price Data'!AK46)</f>
        <v>161.36000000000001</v>
      </c>
      <c r="AK47" s="526">
        <f>IF('CEM Price Data'!AL46="","",'CEM Price Data'!AL46)</f>
        <v>203.37</v>
      </c>
      <c r="AL47" s="526">
        <f>IF('CEM Price Data'!AM46="","",'CEM Price Data'!AM46)</f>
        <v>302.68</v>
      </c>
      <c r="AM47" s="526">
        <f>IF('CEM Price Data'!AN46="","",'CEM Price Data'!AN46)</f>
        <v>271.62</v>
      </c>
      <c r="AN47" s="526">
        <f>IF('CEM Price Data'!AO46="","",'CEM Price Data'!AO46)</f>
        <v>13.91</v>
      </c>
    </row>
    <row r="48" spans="1:40">
      <c r="A48" s="525">
        <f>IF('CEM Price Data'!B47="","",'CEM Price Data'!B47)</f>
        <v>44861</v>
      </c>
      <c r="B48" s="526">
        <f>IF('CEM Price Data'!C47="","",'CEM Price Data'!C47)</f>
        <v>136.49</v>
      </c>
      <c r="C48" s="526">
        <f>IF('CEM Price Data'!D47="","",'CEM Price Data'!D47)</f>
        <v>96.93</v>
      </c>
      <c r="D48" s="526">
        <f>IF('CEM Price Data'!E47="","",'CEM Price Data'!E47)</f>
        <v>140.68</v>
      </c>
      <c r="E48" s="526">
        <f>IF('CEM Price Data'!F47="","",'CEM Price Data'!F47)</f>
        <v>132.19</v>
      </c>
      <c r="F48" s="526">
        <f>IF('CEM Price Data'!G47="","",'CEM Price Data'!G47)</f>
        <v>51.9</v>
      </c>
      <c r="G48" s="526">
        <f>IF('CEM Price Data'!H47="","",'CEM Price Data'!H47)</f>
        <v>249.06</v>
      </c>
      <c r="H48" s="526">
        <f>IF('CEM Price Data'!I47="","",'CEM Price Data'!I47)</f>
        <v>66.59</v>
      </c>
      <c r="I48" s="526">
        <f>IF('CEM Price Data'!J47="","",'CEM Price Data'!J47)</f>
        <v>74.599999999999994</v>
      </c>
      <c r="J48" s="526">
        <f>IF('CEM Price Data'!K47="","",'CEM Price Data'!K47)</f>
        <v>145</v>
      </c>
      <c r="K48" s="526">
        <f>IF('CEM Price Data'!L47="","",'CEM Price Data'!L47)</f>
        <v>294.89999999999998</v>
      </c>
      <c r="L48" s="526">
        <f>IF('CEM Price Data'!M47="","",'CEM Price Data'!M47)</f>
        <v>460.51</v>
      </c>
      <c r="M48" s="526">
        <f>IF('CEM Price Data'!N47="","",'CEM Price Data'!N47)</f>
        <v>127.58</v>
      </c>
      <c r="N48" s="526">
        <f>IF('CEM Price Data'!O47="","",'CEM Price Data'!O47)</f>
        <v>142.65</v>
      </c>
      <c r="O48" s="526">
        <f>IF('CEM Price Data'!P47="","",'CEM Price Data'!P47)</f>
        <v>90.8</v>
      </c>
      <c r="P48" s="526">
        <f>IF('CEM Price Data'!Q47="","",'CEM Price Data'!Q47)</f>
        <v>87.44</v>
      </c>
      <c r="Q48" s="526">
        <f>IF('CEM Price Data'!R47="","",'CEM Price Data'!R47)</f>
        <v>145.66</v>
      </c>
      <c r="R48" s="526">
        <f>IF('CEM Price Data'!S47="","",'CEM Price Data'!S47)</f>
        <v>196.34</v>
      </c>
      <c r="S48" s="526">
        <f>IF('CEM Price Data'!T47="","",'CEM Price Data'!T47)</f>
        <v>77.62</v>
      </c>
      <c r="T48" s="526">
        <f>IF('CEM Price Data'!U47="","",'CEM Price Data'!U47)</f>
        <v>99.74</v>
      </c>
      <c r="U48" s="526">
        <f>IF('CEM Price Data'!V47="","",'CEM Price Data'!V47)</f>
        <v>455.22</v>
      </c>
      <c r="V48" s="526">
        <f>IF('CEM Price Data'!W47="","",'CEM Price Data'!W47)</f>
        <v>242.18</v>
      </c>
      <c r="W48" s="526">
        <f>IF('CEM Price Data'!X47="","",'CEM Price Data'!X47)</f>
        <v>296.44</v>
      </c>
      <c r="X48" s="526">
        <f>IF('CEM Price Data'!Y47="","",'CEM Price Data'!Y47)</f>
        <v>535.51</v>
      </c>
      <c r="Y48" s="526">
        <f>IF('CEM Price Data'!Z47="","",'CEM Price Data'!Z47)</f>
        <v>264.41000000000003</v>
      </c>
      <c r="Z48" s="526">
        <f>IF('CEM Price Data'!AA47="","",'CEM Price Data'!AA47)</f>
        <v>75.150000000000006</v>
      </c>
      <c r="AA48" s="526">
        <f>IF('CEM Price Data'!AB47="","",'CEM Price Data'!AB47)</f>
        <v>124.38</v>
      </c>
      <c r="AB48" s="526">
        <f>IF('CEM Price Data'!AC47="","",'CEM Price Data'!AC47)</f>
        <v>89.48</v>
      </c>
      <c r="AC48" s="526">
        <f>IF('CEM Price Data'!AD47="","",'CEM Price Data'!AD47)</f>
        <v>126.36</v>
      </c>
      <c r="AD48" s="526">
        <f>IF('CEM Price Data'!AE47="","",'CEM Price Data'!AE47)</f>
        <v>41.02</v>
      </c>
      <c r="AE48" s="526">
        <f>IF('CEM Price Data'!AF47="","",'CEM Price Data'!AF47)</f>
        <v>221.85</v>
      </c>
      <c r="AF48" s="526">
        <f>IF('CEM Price Data'!AG47="","",'CEM Price Data'!AG47)</f>
        <v>94.5</v>
      </c>
      <c r="AG48" s="526">
        <f>IF('CEM Price Data'!AH47="","",'CEM Price Data'!AH47)</f>
        <v>6.11</v>
      </c>
      <c r="AH48" s="526">
        <f>IF('CEM Price Data'!AI47="","",'CEM Price Data'!AI47)</f>
        <v>69.31</v>
      </c>
      <c r="AI48" s="526">
        <f>IF('CEM Price Data'!AJ47="","",'CEM Price Data'!AJ47)</f>
        <v>498.32</v>
      </c>
      <c r="AJ48" s="526">
        <f>IF('CEM Price Data'!AK47="","",'CEM Price Data'!AK47)</f>
        <v>156.76</v>
      </c>
      <c r="AK48" s="526">
        <f>IF('CEM Price Data'!AL47="","",'CEM Price Data'!AL47)</f>
        <v>185.79</v>
      </c>
      <c r="AL48" s="526">
        <f>IF('CEM Price Data'!AM47="","",'CEM Price Data'!AM47)</f>
        <v>300.95999999999998</v>
      </c>
      <c r="AM48" s="526">
        <f>IF('CEM Price Data'!AN47="","",'CEM Price Data'!AN47)</f>
        <v>262.67</v>
      </c>
      <c r="AN48" s="526">
        <f>IF('CEM Price Data'!AO47="","",'CEM Price Data'!AO47)</f>
        <v>13.86</v>
      </c>
    </row>
    <row r="49" spans="1:40">
      <c r="A49" s="525">
        <f>IF('CEM Price Data'!B48="","",'CEM Price Data'!B48)</f>
        <v>44860</v>
      </c>
      <c r="B49" s="526">
        <f>IF('CEM Price Data'!C48="","",'CEM Price Data'!C48)</f>
        <v>137.69</v>
      </c>
      <c r="C49" s="526">
        <f>IF('CEM Price Data'!D48="","",'CEM Price Data'!D48)</f>
        <v>98.42</v>
      </c>
      <c r="D49" s="526">
        <f>IF('CEM Price Data'!E48="","",'CEM Price Data'!E48)</f>
        <v>141.38</v>
      </c>
      <c r="E49" s="526">
        <f>IF('CEM Price Data'!F48="","",'CEM Price Data'!F48)</f>
        <v>136.75</v>
      </c>
      <c r="F49" s="526">
        <f>IF('CEM Price Data'!G48="","",'CEM Price Data'!G48)</f>
        <v>51.95</v>
      </c>
      <c r="G49" s="526">
        <f>IF('CEM Price Data'!H48="","",'CEM Price Data'!H48)</f>
        <v>252.02</v>
      </c>
      <c r="H49" s="526">
        <f>IF('CEM Price Data'!I48="","",'CEM Price Data'!I48)</f>
        <v>66.63</v>
      </c>
      <c r="I49" s="526">
        <f>IF('CEM Price Data'!J48="","",'CEM Price Data'!J48)</f>
        <v>74.45</v>
      </c>
      <c r="J49" s="526">
        <f>IF('CEM Price Data'!K48="","",'CEM Price Data'!K48)</f>
        <v>144.33000000000001</v>
      </c>
      <c r="K49" s="526">
        <f>IF('CEM Price Data'!L48="","",'CEM Price Data'!L48)</f>
        <v>279.62</v>
      </c>
      <c r="L49" s="526">
        <f>IF('CEM Price Data'!M48="","",'CEM Price Data'!M48)</f>
        <v>467.96</v>
      </c>
      <c r="M49" s="526">
        <f>IF('CEM Price Data'!N48="","",'CEM Price Data'!N48)</f>
        <v>125.62</v>
      </c>
      <c r="N49" s="526">
        <f>IF('CEM Price Data'!O48="","",'CEM Price Data'!O48)</f>
        <v>143.51</v>
      </c>
      <c r="O49" s="526">
        <f>IF('CEM Price Data'!P48="","",'CEM Price Data'!P48)</f>
        <v>90.8</v>
      </c>
      <c r="P49" s="526">
        <f>IF('CEM Price Data'!Q48="","",'CEM Price Data'!Q48)</f>
        <v>86.28</v>
      </c>
      <c r="Q49" s="526">
        <f>IF('CEM Price Data'!R48="","",'CEM Price Data'!R48)</f>
        <v>143.63999999999999</v>
      </c>
      <c r="R49" s="526">
        <f>IF('CEM Price Data'!S48="","",'CEM Price Data'!S48)</f>
        <v>193.25</v>
      </c>
      <c r="S49" s="526">
        <f>IF('CEM Price Data'!T48="","",'CEM Price Data'!T48)</f>
        <v>76.400000000000006</v>
      </c>
      <c r="T49" s="526">
        <f>IF('CEM Price Data'!U48="","",'CEM Price Data'!U48)</f>
        <v>98.41</v>
      </c>
      <c r="U49" s="526">
        <f>IF('CEM Price Data'!V48="","",'CEM Price Data'!V48)</f>
        <v>451.6</v>
      </c>
      <c r="V49" s="526">
        <f>IF('CEM Price Data'!W48="","",'CEM Price Data'!W48)</f>
        <v>240.3</v>
      </c>
      <c r="W49" s="526">
        <f>IF('CEM Price Data'!X48="","",'CEM Price Data'!X48)</f>
        <v>295.10000000000002</v>
      </c>
      <c r="X49" s="526">
        <f>IF('CEM Price Data'!Y48="","",'CEM Price Data'!Y48)</f>
        <v>530.99</v>
      </c>
      <c r="Y49" s="526">
        <f>IF('CEM Price Data'!Z48="","",'CEM Price Data'!Z48)</f>
        <v>274.5</v>
      </c>
      <c r="Z49" s="526">
        <f>IF('CEM Price Data'!AA48="","",'CEM Price Data'!AA48)</f>
        <v>74.819999999999993</v>
      </c>
      <c r="AA49" s="526">
        <f>IF('CEM Price Data'!AB48="","",'CEM Price Data'!AB48)</f>
        <v>122.93</v>
      </c>
      <c r="AB49" s="526">
        <f>IF('CEM Price Data'!AC48="","",'CEM Price Data'!AC48)</f>
        <v>88.16</v>
      </c>
      <c r="AC49" s="526">
        <f>IF('CEM Price Data'!AD48="","",'CEM Price Data'!AD48)</f>
        <v>123.84</v>
      </c>
      <c r="AD49" s="526">
        <f>IF('CEM Price Data'!AE48="","",'CEM Price Data'!AE48)</f>
        <v>39.549999999999997</v>
      </c>
      <c r="AE49" s="526">
        <f>IF('CEM Price Data'!AF48="","",'CEM Price Data'!AF48)</f>
        <v>220.88</v>
      </c>
      <c r="AF49" s="526">
        <f>IF('CEM Price Data'!AG48="","",'CEM Price Data'!AG48)</f>
        <v>93.26</v>
      </c>
      <c r="AG49" s="526">
        <f>IF('CEM Price Data'!AH48="","",'CEM Price Data'!AH48)</f>
        <v>6.23</v>
      </c>
      <c r="AH49" s="526">
        <f>IF('CEM Price Data'!AI48="","",'CEM Price Data'!AI48)</f>
        <v>68.58</v>
      </c>
      <c r="AI49" s="526">
        <f>IF('CEM Price Data'!AJ48="","",'CEM Price Data'!AJ48)</f>
        <v>503</v>
      </c>
      <c r="AJ49" s="526">
        <f>IF('CEM Price Data'!AK48="","",'CEM Price Data'!AK48)</f>
        <v>157.87</v>
      </c>
      <c r="AK49" s="526">
        <f>IF('CEM Price Data'!AL48="","",'CEM Price Data'!AL48)</f>
        <v>184.99</v>
      </c>
      <c r="AL49" s="526">
        <f>IF('CEM Price Data'!AM48="","",'CEM Price Data'!AM48)</f>
        <v>301.73</v>
      </c>
      <c r="AM49" s="526">
        <f>IF('CEM Price Data'!AN48="","",'CEM Price Data'!AN48)</f>
        <v>261.06</v>
      </c>
      <c r="AN49" s="526">
        <f>IF('CEM Price Data'!AO48="","",'CEM Price Data'!AO48)</f>
        <v>13.96</v>
      </c>
    </row>
    <row r="50" spans="1:40">
      <c r="A50" s="525">
        <f>IF('CEM Price Data'!B49="","",'CEM Price Data'!B49)</f>
        <v>44859</v>
      </c>
      <c r="B50" s="526">
        <f>IF('CEM Price Data'!C49="","",'CEM Price Data'!C49)</f>
        <v>134.5</v>
      </c>
      <c r="C50" s="526">
        <f>IF('CEM Price Data'!D49="","",'CEM Price Data'!D49)</f>
        <v>97.95</v>
      </c>
      <c r="D50" s="526">
        <f>IF('CEM Price Data'!E49="","",'CEM Price Data'!E49)</f>
        <v>146.37</v>
      </c>
      <c r="E50" s="526">
        <f>IF('CEM Price Data'!F49="","",'CEM Price Data'!F49)</f>
        <v>152.74</v>
      </c>
      <c r="F50" s="526">
        <f>IF('CEM Price Data'!G49="","",'CEM Price Data'!G49)</f>
        <v>52.1</v>
      </c>
      <c r="G50" s="526">
        <f>IF('CEM Price Data'!H49="","",'CEM Price Data'!H49)</f>
        <v>251.56</v>
      </c>
      <c r="H50" s="526">
        <f>IF('CEM Price Data'!I49="","",'CEM Price Data'!I49)</f>
        <v>66.819999999999993</v>
      </c>
      <c r="I50" s="526">
        <f>IF('CEM Price Data'!J49="","",'CEM Price Data'!J49)</f>
        <v>72.77</v>
      </c>
      <c r="J50" s="526">
        <f>IF('CEM Price Data'!K49="","",'CEM Price Data'!K49)</f>
        <v>144.38999999999999</v>
      </c>
      <c r="K50" s="526">
        <f>IF('CEM Price Data'!L49="","",'CEM Price Data'!L49)</f>
        <v>278.37</v>
      </c>
      <c r="L50" s="526">
        <f>IF('CEM Price Data'!M49="","",'CEM Price Data'!M49)</f>
        <v>457.9</v>
      </c>
      <c r="M50" s="526">
        <f>IF('CEM Price Data'!N49="","",'CEM Price Data'!N49)</f>
        <v>124.82</v>
      </c>
      <c r="N50" s="526">
        <f>IF('CEM Price Data'!O49="","",'CEM Price Data'!O49)</f>
        <v>144.05000000000001</v>
      </c>
      <c r="O50" s="526">
        <f>IF('CEM Price Data'!P49="","",'CEM Price Data'!P49)</f>
        <v>91.74</v>
      </c>
      <c r="P50" s="526">
        <f>IF('CEM Price Data'!Q49="","",'CEM Price Data'!Q49)</f>
        <v>85.89</v>
      </c>
      <c r="Q50" s="526">
        <f>IF('CEM Price Data'!R49="","",'CEM Price Data'!R49)</f>
        <v>142.21</v>
      </c>
      <c r="R50" s="526">
        <f>IF('CEM Price Data'!S49="","",'CEM Price Data'!S49)</f>
        <v>192.67</v>
      </c>
      <c r="S50" s="526">
        <f>IF('CEM Price Data'!T49="","",'CEM Price Data'!T49)</f>
        <v>76.13</v>
      </c>
      <c r="T50" s="526">
        <f>IF('CEM Price Data'!U49="","",'CEM Price Data'!U49)</f>
        <v>97.71</v>
      </c>
      <c r="U50" s="526">
        <f>IF('CEM Price Data'!V49="","",'CEM Price Data'!V49)</f>
        <v>448.42</v>
      </c>
      <c r="V50" s="526">
        <f>IF('CEM Price Data'!W49="","",'CEM Price Data'!W49)</f>
        <v>239.68</v>
      </c>
      <c r="W50" s="526">
        <f>IF('CEM Price Data'!X49="","",'CEM Price Data'!X49)</f>
        <v>294.97000000000003</v>
      </c>
      <c r="X50" s="526">
        <f>IF('CEM Price Data'!Y49="","",'CEM Price Data'!Y49)</f>
        <v>526.75</v>
      </c>
      <c r="Y50" s="526">
        <f>IF('CEM Price Data'!Z49="","",'CEM Price Data'!Z49)</f>
        <v>274.02999999999997</v>
      </c>
      <c r="Z50" s="526">
        <f>IF('CEM Price Data'!AA49="","",'CEM Price Data'!AA49)</f>
        <v>73.14</v>
      </c>
      <c r="AA50" s="526">
        <f>IF('CEM Price Data'!AB49="","",'CEM Price Data'!AB49)</f>
        <v>122.11</v>
      </c>
      <c r="AB50" s="526">
        <f>IF('CEM Price Data'!AC49="","",'CEM Price Data'!AC49)</f>
        <v>88.56</v>
      </c>
      <c r="AC50" s="526">
        <f>IF('CEM Price Data'!AD49="","",'CEM Price Data'!AD49)</f>
        <v>123.05</v>
      </c>
      <c r="AD50" s="526">
        <f>IF('CEM Price Data'!AE49="","",'CEM Price Data'!AE49)</f>
        <v>35.94</v>
      </c>
      <c r="AE50" s="526">
        <f>IF('CEM Price Data'!AF49="","",'CEM Price Data'!AF49)</f>
        <v>220.2</v>
      </c>
      <c r="AF50" s="526">
        <f>IF('CEM Price Data'!AG49="","",'CEM Price Data'!AG49)</f>
        <v>93.13</v>
      </c>
      <c r="AG50" s="526">
        <f>IF('CEM Price Data'!AH49="","",'CEM Price Data'!AH49)</f>
        <v>6.28</v>
      </c>
      <c r="AH50" s="526">
        <f>IF('CEM Price Data'!AI49="","",'CEM Price Data'!AI49)</f>
        <v>68.06</v>
      </c>
      <c r="AI50" s="526">
        <f>IF('CEM Price Data'!AJ49="","",'CEM Price Data'!AJ49)</f>
        <v>514.62</v>
      </c>
      <c r="AJ50" s="526">
        <f>IF('CEM Price Data'!AK49="","",'CEM Price Data'!AK49)</f>
        <v>162.16</v>
      </c>
      <c r="AK50" s="526">
        <f>IF('CEM Price Data'!AL49="","",'CEM Price Data'!AL49)</f>
        <v>187.82</v>
      </c>
      <c r="AL50" s="526">
        <f>IF('CEM Price Data'!AM49="","",'CEM Price Data'!AM49)</f>
        <v>296.81</v>
      </c>
      <c r="AM50" s="526">
        <f>IF('CEM Price Data'!AN49="","",'CEM Price Data'!AN49)</f>
        <v>260.19</v>
      </c>
      <c r="AN50" s="526">
        <f>IF('CEM Price Data'!AO49="","",'CEM Price Data'!AO49)</f>
        <v>13.92</v>
      </c>
    </row>
    <row r="51" spans="1:40">
      <c r="A51" s="525">
        <f>IF('CEM Price Data'!B50="","",'CEM Price Data'!B50)</f>
        <v>44858</v>
      </c>
      <c r="B51" s="526">
        <f>IF('CEM Price Data'!C50="","",'CEM Price Data'!C50)</f>
        <v>132.30000000000001</v>
      </c>
      <c r="C51" s="526">
        <f>IF('CEM Price Data'!D50="","",'CEM Price Data'!D50)</f>
        <v>98.29</v>
      </c>
      <c r="D51" s="526">
        <f>IF('CEM Price Data'!E50="","",'CEM Price Data'!E50)</f>
        <v>144.53</v>
      </c>
      <c r="E51" s="526">
        <f>IF('CEM Price Data'!F50="","",'CEM Price Data'!F50)</f>
        <v>150.61000000000001</v>
      </c>
      <c r="F51" s="526">
        <f>IF('CEM Price Data'!G50="","",'CEM Price Data'!G50)</f>
        <v>50.8</v>
      </c>
      <c r="G51" s="526">
        <f>IF('CEM Price Data'!H50="","",'CEM Price Data'!H50)</f>
        <v>243.92</v>
      </c>
      <c r="H51" s="526">
        <f>IF('CEM Price Data'!I50="","",'CEM Price Data'!I50)</f>
        <v>64.47</v>
      </c>
      <c r="I51" s="526">
        <f>IF('CEM Price Data'!J50="","",'CEM Price Data'!J50)</f>
        <v>72.989999999999995</v>
      </c>
      <c r="J51" s="526">
        <f>IF('CEM Price Data'!K50="","",'CEM Price Data'!K50)</f>
        <v>142.4</v>
      </c>
      <c r="K51" s="526">
        <f>IF('CEM Price Data'!L50="","",'CEM Price Data'!L50)</f>
        <v>271.18</v>
      </c>
      <c r="L51" s="526">
        <f>IF('CEM Price Data'!M50="","",'CEM Price Data'!M50)</f>
        <v>450.71</v>
      </c>
      <c r="M51" s="526">
        <f>IF('CEM Price Data'!N50="","",'CEM Price Data'!N50)</f>
        <v>120.57</v>
      </c>
      <c r="N51" s="526">
        <f>IF('CEM Price Data'!O50="","",'CEM Price Data'!O50)</f>
        <v>138.96</v>
      </c>
      <c r="O51" s="526">
        <f>IF('CEM Price Data'!P50="","",'CEM Price Data'!P50)</f>
        <v>90.67</v>
      </c>
      <c r="P51" s="526">
        <f>IF('CEM Price Data'!Q50="","",'CEM Price Data'!Q50)</f>
        <v>84.25</v>
      </c>
      <c r="Q51" s="526">
        <f>IF('CEM Price Data'!R50="","",'CEM Price Data'!R50)</f>
        <v>142.69</v>
      </c>
      <c r="R51" s="526">
        <f>IF('CEM Price Data'!S50="","",'CEM Price Data'!S50)</f>
        <v>189.14</v>
      </c>
      <c r="S51" s="526">
        <f>IF('CEM Price Data'!T50="","",'CEM Price Data'!T50)</f>
        <v>74.5</v>
      </c>
      <c r="T51" s="526">
        <f>IF('CEM Price Data'!U50="","",'CEM Price Data'!U50)</f>
        <v>97.37</v>
      </c>
      <c r="U51" s="526">
        <f>IF('CEM Price Data'!V50="","",'CEM Price Data'!V50)</f>
        <v>412.15</v>
      </c>
      <c r="V51" s="526">
        <f>IF('CEM Price Data'!W50="","",'CEM Price Data'!W50)</f>
        <v>235.05</v>
      </c>
      <c r="W51" s="526">
        <f>IF('CEM Price Data'!X50="","",'CEM Price Data'!X50)</f>
        <v>311.22000000000003</v>
      </c>
      <c r="X51" s="526">
        <f>IF('CEM Price Data'!Y50="","",'CEM Price Data'!Y50)</f>
        <v>525.96</v>
      </c>
      <c r="Y51" s="526">
        <f>IF('CEM Price Data'!Z50="","",'CEM Price Data'!Z50)</f>
        <v>269.22000000000003</v>
      </c>
      <c r="Z51" s="526">
        <f>IF('CEM Price Data'!AA50="","",'CEM Price Data'!AA50)</f>
        <v>72.92</v>
      </c>
      <c r="AA51" s="526">
        <f>IF('CEM Price Data'!AB50="","",'CEM Price Data'!AB50)</f>
        <v>123.26</v>
      </c>
      <c r="AB51" s="526">
        <f>IF('CEM Price Data'!AC50="","",'CEM Price Data'!AC50)</f>
        <v>87.02</v>
      </c>
      <c r="AC51" s="526">
        <f>IF('CEM Price Data'!AD50="","",'CEM Price Data'!AD50)</f>
        <v>121.92</v>
      </c>
      <c r="AD51" s="526">
        <f>IF('CEM Price Data'!AE50="","",'CEM Price Data'!AE50)</f>
        <v>36.28</v>
      </c>
      <c r="AE51" s="526">
        <f>IF('CEM Price Data'!AF50="","",'CEM Price Data'!AF50)</f>
        <v>212.53</v>
      </c>
      <c r="AF51" s="526">
        <f>IF('CEM Price Data'!AG50="","",'CEM Price Data'!AG50)</f>
        <v>93.45</v>
      </c>
      <c r="AG51" s="526">
        <f>IF('CEM Price Data'!AH50="","",'CEM Price Data'!AH50)</f>
        <v>6.23</v>
      </c>
      <c r="AH51" s="526">
        <f>IF('CEM Price Data'!AI50="","",'CEM Price Data'!AI50)</f>
        <v>65.19</v>
      </c>
      <c r="AI51" s="526">
        <f>IF('CEM Price Data'!AJ50="","",'CEM Price Data'!AJ50)</f>
        <v>505.01</v>
      </c>
      <c r="AJ51" s="526">
        <f>IF('CEM Price Data'!AK50="","",'CEM Price Data'!AK50)</f>
        <v>161.65</v>
      </c>
      <c r="AK51" s="526">
        <f>IF('CEM Price Data'!AL50="","",'CEM Price Data'!AL50)</f>
        <v>182.2</v>
      </c>
      <c r="AL51" s="526">
        <f>IF('CEM Price Data'!AM50="","",'CEM Price Data'!AM50)</f>
        <v>287.41000000000003</v>
      </c>
      <c r="AM51" s="526">
        <f>IF('CEM Price Data'!AN50="","",'CEM Price Data'!AN50)</f>
        <v>252.38</v>
      </c>
      <c r="AN51" s="526">
        <f>IF('CEM Price Data'!AO50="","",'CEM Price Data'!AO50)</f>
        <v>13.91</v>
      </c>
    </row>
    <row r="52" spans="1:40">
      <c r="A52" s="525">
        <f>IF('CEM Price Data'!B51="","",'CEM Price Data'!B51)</f>
        <v>44855</v>
      </c>
      <c r="B52" s="526">
        <f>IF('CEM Price Data'!C51="","",'CEM Price Data'!C51)</f>
        <v>129.88</v>
      </c>
      <c r="C52" s="526">
        <f>IF('CEM Price Data'!D51="","",'CEM Price Data'!D51)</f>
        <v>95.06</v>
      </c>
      <c r="D52" s="526">
        <f>IF('CEM Price Data'!E51="","",'CEM Price Data'!E51)</f>
        <v>146.59</v>
      </c>
      <c r="E52" s="526">
        <f>IF('CEM Price Data'!F51="","",'CEM Price Data'!F51)</f>
        <v>146.91</v>
      </c>
      <c r="F52" s="526">
        <f>IF('CEM Price Data'!G51="","",'CEM Price Data'!G51)</f>
        <v>50.13</v>
      </c>
      <c r="G52" s="526">
        <f>IF('CEM Price Data'!H51="","",'CEM Price Data'!H51)</f>
        <v>241.29</v>
      </c>
      <c r="H52" s="526">
        <f>IF('CEM Price Data'!I51="","",'CEM Price Data'!I51)</f>
        <v>63.9</v>
      </c>
      <c r="I52" s="526">
        <f>IF('CEM Price Data'!J51="","",'CEM Price Data'!J51)</f>
        <v>72.209999999999994</v>
      </c>
      <c r="J52" s="526">
        <f>IF('CEM Price Data'!K51="","",'CEM Price Data'!K51)</f>
        <v>140.99</v>
      </c>
      <c r="K52" s="526">
        <f>IF('CEM Price Data'!L51="","",'CEM Price Data'!L51)</f>
        <v>273.08999999999997</v>
      </c>
      <c r="L52" s="526">
        <f>IF('CEM Price Data'!M51="","",'CEM Price Data'!M51)</f>
        <v>442.91</v>
      </c>
      <c r="M52" s="526">
        <f>IF('CEM Price Data'!N51="","",'CEM Price Data'!N51)</f>
        <v>118.46</v>
      </c>
      <c r="N52" s="526">
        <f>IF('CEM Price Data'!O51="","",'CEM Price Data'!O51)</f>
        <v>136.75</v>
      </c>
      <c r="O52" s="526">
        <f>IF('CEM Price Data'!P51="","",'CEM Price Data'!P51)</f>
        <v>89.93</v>
      </c>
      <c r="P52" s="526">
        <f>IF('CEM Price Data'!Q51="","",'CEM Price Data'!Q51)</f>
        <v>83.96</v>
      </c>
      <c r="Q52" s="526">
        <f>IF('CEM Price Data'!R51="","",'CEM Price Data'!R51)</f>
        <v>138.61000000000001</v>
      </c>
      <c r="R52" s="526">
        <f>IF('CEM Price Data'!S51="","",'CEM Price Data'!S51)</f>
        <v>187.32</v>
      </c>
      <c r="S52" s="526">
        <f>IF('CEM Price Data'!T51="","",'CEM Price Data'!T51)</f>
        <v>73.84</v>
      </c>
      <c r="T52" s="526">
        <f>IF('CEM Price Data'!U51="","",'CEM Price Data'!U51)</f>
        <v>95.67</v>
      </c>
      <c r="U52" s="526">
        <f>IF('CEM Price Data'!V51="","",'CEM Price Data'!V51)</f>
        <v>401.48</v>
      </c>
      <c r="V52" s="526">
        <f>IF('CEM Price Data'!W51="","",'CEM Price Data'!W51)</f>
        <v>226.38</v>
      </c>
      <c r="W52" s="526">
        <f>IF('CEM Price Data'!X51="","",'CEM Price Data'!X51)</f>
        <v>309.68</v>
      </c>
      <c r="X52" s="526">
        <f>IF('CEM Price Data'!Y51="","",'CEM Price Data'!Y51)</f>
        <v>522.66</v>
      </c>
      <c r="Y52" s="526">
        <f>IF('CEM Price Data'!Z51="","",'CEM Price Data'!Z51)</f>
        <v>260.43</v>
      </c>
      <c r="Z52" s="526">
        <f>IF('CEM Price Data'!AA51="","",'CEM Price Data'!AA51)</f>
        <v>72.7</v>
      </c>
      <c r="AA52" s="526">
        <f>IF('CEM Price Data'!AB51="","",'CEM Price Data'!AB51)</f>
        <v>122.45</v>
      </c>
      <c r="AB52" s="526">
        <f>IF('CEM Price Data'!AC51="","",'CEM Price Data'!AC51)</f>
        <v>85.19</v>
      </c>
      <c r="AC52" s="526">
        <f>IF('CEM Price Data'!AD51="","",'CEM Price Data'!AD51)</f>
        <v>121.26</v>
      </c>
      <c r="AD52" s="526">
        <f>IF('CEM Price Data'!AE51="","",'CEM Price Data'!AE51)</f>
        <v>36.43</v>
      </c>
      <c r="AE52" s="526">
        <f>IF('CEM Price Data'!AF51="","",'CEM Price Data'!AF51)</f>
        <v>207.82</v>
      </c>
      <c r="AF52" s="526">
        <f>IF('CEM Price Data'!AG51="","",'CEM Price Data'!AG51)</f>
        <v>92</v>
      </c>
      <c r="AG52" s="526">
        <f>IF('CEM Price Data'!AH51="","",'CEM Price Data'!AH51)</f>
        <v>6.19</v>
      </c>
      <c r="AH52" s="526">
        <f>IF('CEM Price Data'!AI51="","",'CEM Price Data'!AI51)</f>
        <v>68.94</v>
      </c>
      <c r="AI52" s="526">
        <f>IF('CEM Price Data'!AJ51="","",'CEM Price Data'!AJ51)</f>
        <v>496.74</v>
      </c>
      <c r="AJ52" s="526">
        <f>IF('CEM Price Data'!AK51="","",'CEM Price Data'!AK51)</f>
        <v>159.72</v>
      </c>
      <c r="AK52" s="526">
        <f>IF('CEM Price Data'!AL51="","",'CEM Price Data'!AL51)</f>
        <v>179.15</v>
      </c>
      <c r="AL52" s="526">
        <f>IF('CEM Price Data'!AM51="","",'CEM Price Data'!AM51)</f>
        <v>282.12</v>
      </c>
      <c r="AM52" s="526">
        <f>IF('CEM Price Data'!AN51="","",'CEM Price Data'!AN51)</f>
        <v>248.33</v>
      </c>
      <c r="AN52" s="526">
        <f>IF('CEM Price Data'!AO51="","",'CEM Price Data'!AO51)</f>
        <v>13.63</v>
      </c>
    </row>
    <row r="53" spans="1:40">
      <c r="A53" s="525">
        <f>IF('CEM Price Data'!B52="","",'CEM Price Data'!B52)</f>
        <v>44854</v>
      </c>
      <c r="B53" s="526">
        <f>IF('CEM Price Data'!C52="","",'CEM Price Data'!C52)</f>
        <v>125.94</v>
      </c>
      <c r="C53" s="526">
        <f>IF('CEM Price Data'!D52="","",'CEM Price Data'!D52)</f>
        <v>95.21</v>
      </c>
      <c r="D53" s="526">
        <f>IF('CEM Price Data'!E52="","",'CEM Price Data'!E52)</f>
        <v>142.08000000000001</v>
      </c>
      <c r="E53" s="526">
        <f>IF('CEM Price Data'!F52="","",'CEM Price Data'!F52)</f>
        <v>145.30000000000001</v>
      </c>
      <c r="F53" s="526">
        <f>IF('CEM Price Data'!G52="","",'CEM Price Data'!G52)</f>
        <v>48.76</v>
      </c>
      <c r="G53" s="526">
        <f>IF('CEM Price Data'!H52="","",'CEM Price Data'!H52)</f>
        <v>238.32</v>
      </c>
      <c r="H53" s="526">
        <f>IF('CEM Price Data'!I52="","",'CEM Price Data'!I52)</f>
        <v>63.37</v>
      </c>
      <c r="I53" s="526">
        <f>IF('CEM Price Data'!J52="","",'CEM Price Data'!J52)</f>
        <v>70.349999999999994</v>
      </c>
      <c r="J53" s="526">
        <f>IF('CEM Price Data'!K52="","",'CEM Price Data'!K52)</f>
        <v>140.4</v>
      </c>
      <c r="K53" s="526">
        <f>IF('CEM Price Data'!L52="","",'CEM Price Data'!L52)</f>
        <v>264.76</v>
      </c>
      <c r="L53" s="526">
        <f>IF('CEM Price Data'!M52="","",'CEM Price Data'!M52)</f>
        <v>450.4</v>
      </c>
      <c r="M53" s="526">
        <f>IF('CEM Price Data'!N52="","",'CEM Price Data'!N52)</f>
        <v>115.13</v>
      </c>
      <c r="N53" s="526">
        <f>IF('CEM Price Data'!O52="","",'CEM Price Data'!O52)</f>
        <v>134.66</v>
      </c>
      <c r="O53" s="526">
        <f>IF('CEM Price Data'!P52="","",'CEM Price Data'!P52)</f>
        <v>88.08</v>
      </c>
      <c r="P53" s="526">
        <f>IF('CEM Price Data'!Q52="","",'CEM Price Data'!Q52)</f>
        <v>82.51</v>
      </c>
      <c r="Q53" s="526">
        <f>IF('CEM Price Data'!R52="","",'CEM Price Data'!R52)</f>
        <v>135.97999999999999</v>
      </c>
      <c r="R53" s="526">
        <f>IF('CEM Price Data'!S52="","",'CEM Price Data'!S52)</f>
        <v>185.46</v>
      </c>
      <c r="S53" s="526">
        <f>IF('CEM Price Data'!T52="","",'CEM Price Data'!T52)</f>
        <v>72.790000000000006</v>
      </c>
      <c r="T53" s="526">
        <f>IF('CEM Price Data'!U52="","",'CEM Price Data'!U52)</f>
        <v>92.94</v>
      </c>
      <c r="U53" s="526">
        <f>IF('CEM Price Data'!V52="","",'CEM Price Data'!V52)</f>
        <v>393.66</v>
      </c>
      <c r="V53" s="526">
        <f>IF('CEM Price Data'!W52="","",'CEM Price Data'!W52)</f>
        <v>221.17</v>
      </c>
      <c r="W53" s="526">
        <f>IF('CEM Price Data'!X52="","",'CEM Price Data'!X52)</f>
        <v>304.89</v>
      </c>
      <c r="X53" s="526">
        <f>IF('CEM Price Data'!Y52="","",'CEM Price Data'!Y52)</f>
        <v>512.44000000000005</v>
      </c>
      <c r="Y53" s="526">
        <f>IF('CEM Price Data'!Z52="","",'CEM Price Data'!Z52)</f>
        <v>257.64999999999998</v>
      </c>
      <c r="Z53" s="526">
        <f>IF('CEM Price Data'!AA52="","",'CEM Price Data'!AA52)</f>
        <v>69.25</v>
      </c>
      <c r="AA53" s="526">
        <f>IF('CEM Price Data'!AB52="","",'CEM Price Data'!AB52)</f>
        <v>118.86</v>
      </c>
      <c r="AB53" s="526">
        <f>IF('CEM Price Data'!AC52="","",'CEM Price Data'!AC52)</f>
        <v>83.78</v>
      </c>
      <c r="AC53" s="526">
        <f>IF('CEM Price Data'!AD52="","",'CEM Price Data'!AD52)</f>
        <v>112.23</v>
      </c>
      <c r="AD53" s="526">
        <f>IF('CEM Price Data'!AE52="","",'CEM Price Data'!AE52)</f>
        <v>35.99</v>
      </c>
      <c r="AE53" s="526">
        <f>IF('CEM Price Data'!AF52="","",'CEM Price Data'!AF52)</f>
        <v>201.22</v>
      </c>
      <c r="AF53" s="526">
        <f>IF('CEM Price Data'!AG52="","",'CEM Price Data'!AG52)</f>
        <v>89.24</v>
      </c>
      <c r="AG53" s="526">
        <f>IF('CEM Price Data'!AH52="","",'CEM Price Data'!AH52)</f>
        <v>6.1</v>
      </c>
      <c r="AH53" s="526">
        <f>IF('CEM Price Data'!AI52="","",'CEM Price Data'!AI52)</f>
        <v>69.819999999999993</v>
      </c>
      <c r="AI53" s="526">
        <f>IF('CEM Price Data'!AJ52="","",'CEM Price Data'!AJ52)</f>
        <v>486.86</v>
      </c>
      <c r="AJ53" s="526">
        <f>IF('CEM Price Data'!AK52="","",'CEM Price Data'!AK52)</f>
        <v>153.72</v>
      </c>
      <c r="AK53" s="526">
        <f>IF('CEM Price Data'!AL52="","",'CEM Price Data'!AL52)</f>
        <v>178.67</v>
      </c>
      <c r="AL53" s="526">
        <f>IF('CEM Price Data'!AM52="","",'CEM Price Data'!AM52)</f>
        <v>275.01</v>
      </c>
      <c r="AM53" s="526">
        <f>IF('CEM Price Data'!AN52="","",'CEM Price Data'!AN52)</f>
        <v>238.59</v>
      </c>
      <c r="AN53" s="526">
        <f>IF('CEM Price Data'!AO52="","",'CEM Price Data'!AO52)</f>
        <v>13.44</v>
      </c>
    </row>
    <row r="54" spans="1:40">
      <c r="A54" s="525">
        <f>IF('CEM Price Data'!B53="","",'CEM Price Data'!B53)</f>
        <v>44853</v>
      </c>
      <c r="B54" s="526">
        <f>IF('CEM Price Data'!C53="","",'CEM Price Data'!C53)</f>
        <v>128.96</v>
      </c>
      <c r="C54" s="526">
        <f>IF('CEM Price Data'!D53="","",'CEM Price Data'!D53)</f>
        <v>98.11</v>
      </c>
      <c r="D54" s="526">
        <f>IF('CEM Price Data'!E53="","",'CEM Price Data'!E53)</f>
        <v>141.33000000000001</v>
      </c>
      <c r="E54" s="526">
        <f>IF('CEM Price Data'!F53="","",'CEM Price Data'!F53)</f>
        <v>151.99</v>
      </c>
      <c r="F54" s="526">
        <f>IF('CEM Price Data'!G53="","",'CEM Price Data'!G53)</f>
        <v>50.77</v>
      </c>
      <c r="G54" s="526">
        <f>IF('CEM Price Data'!H53="","",'CEM Price Data'!H53)</f>
        <v>241.45</v>
      </c>
      <c r="H54" s="526">
        <f>IF('CEM Price Data'!I53="","",'CEM Price Data'!I53)</f>
        <v>64.260000000000005</v>
      </c>
      <c r="I54" s="526">
        <f>IF('CEM Price Data'!J53="","",'CEM Price Data'!J53)</f>
        <v>71.14</v>
      </c>
      <c r="J54" s="526">
        <f>IF('CEM Price Data'!K53="","",'CEM Price Data'!K53)</f>
        <v>143.5</v>
      </c>
      <c r="K54" s="526">
        <f>IF('CEM Price Data'!L53="","",'CEM Price Data'!L53)</f>
        <v>261.93</v>
      </c>
      <c r="L54" s="526">
        <f>IF('CEM Price Data'!M53="","",'CEM Price Data'!M53)</f>
        <v>451.65</v>
      </c>
      <c r="M54" s="526">
        <f>IF('CEM Price Data'!N53="","",'CEM Price Data'!N53)</f>
        <v>121.21</v>
      </c>
      <c r="N54" s="526">
        <f>IF('CEM Price Data'!O53="","",'CEM Price Data'!O53)</f>
        <v>126.66</v>
      </c>
      <c r="O54" s="526">
        <f>IF('CEM Price Data'!P53="","",'CEM Price Data'!P53)</f>
        <v>89.89</v>
      </c>
      <c r="P54" s="526">
        <f>IF('CEM Price Data'!Q53="","",'CEM Price Data'!Q53)</f>
        <v>83.92</v>
      </c>
      <c r="Q54" s="526">
        <f>IF('CEM Price Data'!R53="","",'CEM Price Data'!R53)</f>
        <v>137.76</v>
      </c>
      <c r="R54" s="526">
        <f>IF('CEM Price Data'!S53="","",'CEM Price Data'!S53)</f>
        <v>187.11</v>
      </c>
      <c r="S54" s="526">
        <f>IF('CEM Price Data'!T53="","",'CEM Price Data'!T53)</f>
        <v>74.69</v>
      </c>
      <c r="T54" s="526">
        <f>IF('CEM Price Data'!U53="","",'CEM Price Data'!U53)</f>
        <v>93.26</v>
      </c>
      <c r="U54" s="526">
        <f>IF('CEM Price Data'!V53="","",'CEM Price Data'!V53)</f>
        <v>398.79</v>
      </c>
      <c r="V54" s="526">
        <f>IF('CEM Price Data'!W53="","",'CEM Price Data'!W53)</f>
        <v>223.85</v>
      </c>
      <c r="W54" s="526">
        <f>IF('CEM Price Data'!X53="","",'CEM Price Data'!X53)</f>
        <v>312.49</v>
      </c>
      <c r="X54" s="526">
        <f>IF('CEM Price Data'!Y53="","",'CEM Price Data'!Y53)</f>
        <v>510.91</v>
      </c>
      <c r="Y54" s="526">
        <f>IF('CEM Price Data'!Z53="","",'CEM Price Data'!Z53)</f>
        <v>260.76</v>
      </c>
      <c r="Z54" s="526">
        <f>IF('CEM Price Data'!AA53="","",'CEM Price Data'!AA53)</f>
        <v>66.3</v>
      </c>
      <c r="AA54" s="526">
        <f>IF('CEM Price Data'!AB53="","",'CEM Price Data'!AB53)</f>
        <v>121.2</v>
      </c>
      <c r="AB54" s="526">
        <f>IF('CEM Price Data'!AC53="","",'CEM Price Data'!AC53)</f>
        <v>86.25</v>
      </c>
      <c r="AC54" s="526">
        <f>IF('CEM Price Data'!AD53="","",'CEM Price Data'!AD53)</f>
        <v>112.53</v>
      </c>
      <c r="AD54" s="526">
        <f>IF('CEM Price Data'!AE53="","",'CEM Price Data'!AE53)</f>
        <v>36.880000000000003</v>
      </c>
      <c r="AE54" s="526">
        <f>IF('CEM Price Data'!AF53="","",'CEM Price Data'!AF53)</f>
        <v>207.24</v>
      </c>
      <c r="AF54" s="526">
        <f>IF('CEM Price Data'!AG53="","",'CEM Price Data'!AG53)</f>
        <v>91.95</v>
      </c>
      <c r="AG54" s="526">
        <f>IF('CEM Price Data'!AH53="","",'CEM Price Data'!AH53)</f>
        <v>6.14</v>
      </c>
      <c r="AH54" s="526">
        <f>IF('CEM Price Data'!AI53="","",'CEM Price Data'!AI53)</f>
        <v>71.14</v>
      </c>
      <c r="AI54" s="526">
        <f>IF('CEM Price Data'!AJ53="","",'CEM Price Data'!AJ53)</f>
        <v>505.61</v>
      </c>
      <c r="AJ54" s="526">
        <f>IF('CEM Price Data'!AK53="","",'CEM Price Data'!AK53)</f>
        <v>152.65</v>
      </c>
      <c r="AK54" s="526">
        <f>IF('CEM Price Data'!AL53="","",'CEM Price Data'!AL53)</f>
        <v>182.1</v>
      </c>
      <c r="AL54" s="526">
        <f>IF('CEM Price Data'!AM53="","",'CEM Price Data'!AM53)</f>
        <v>277.36</v>
      </c>
      <c r="AM54" s="526">
        <f>IF('CEM Price Data'!AN53="","",'CEM Price Data'!AN53)</f>
        <v>246.38</v>
      </c>
      <c r="AN54" s="526">
        <f>IF('CEM Price Data'!AO53="","",'CEM Price Data'!AO53)</f>
        <v>14.25</v>
      </c>
    </row>
    <row r="55" spans="1:40">
      <c r="A55" s="525">
        <f>IF('CEM Price Data'!B54="","",'CEM Price Data'!B54)</f>
        <v>44852</v>
      </c>
      <c r="B55" s="526">
        <f>IF('CEM Price Data'!C54="","",'CEM Price Data'!C54)</f>
        <v>132.30000000000001</v>
      </c>
      <c r="C55" s="526">
        <f>IF('CEM Price Data'!D54="","",'CEM Price Data'!D54)</f>
        <v>104.98</v>
      </c>
      <c r="D55" s="526">
        <f>IF('CEM Price Data'!E54="","",'CEM Price Data'!E54)</f>
        <v>141.1</v>
      </c>
      <c r="E55" s="526">
        <f>IF('CEM Price Data'!F54="","",'CEM Price Data'!F54)</f>
        <v>154.43</v>
      </c>
      <c r="F55" s="526">
        <f>IF('CEM Price Data'!G54="","",'CEM Price Data'!G54)</f>
        <v>51.76</v>
      </c>
      <c r="G55" s="526">
        <f>IF('CEM Price Data'!H54="","",'CEM Price Data'!H54)</f>
        <v>242.37</v>
      </c>
      <c r="H55" s="526">
        <f>IF('CEM Price Data'!I54="","",'CEM Price Data'!I54)</f>
        <v>65.739999999999995</v>
      </c>
      <c r="I55" s="526">
        <f>IF('CEM Price Data'!J54="","",'CEM Price Data'!J54)</f>
        <v>71.739999999999995</v>
      </c>
      <c r="J55" s="526">
        <f>IF('CEM Price Data'!K54="","",'CEM Price Data'!K54)</f>
        <v>145.56</v>
      </c>
      <c r="K55" s="526">
        <f>IF('CEM Price Data'!L54="","",'CEM Price Data'!L54)</f>
        <v>264.27999999999997</v>
      </c>
      <c r="L55" s="526">
        <f>IF('CEM Price Data'!M54="","",'CEM Price Data'!M54)</f>
        <v>454.95</v>
      </c>
      <c r="M55" s="526">
        <f>IF('CEM Price Data'!N54="","",'CEM Price Data'!N54)</f>
        <v>122.02</v>
      </c>
      <c r="N55" s="526">
        <f>IF('CEM Price Data'!O54="","",'CEM Price Data'!O54)</f>
        <v>129.58000000000001</v>
      </c>
      <c r="O55" s="526">
        <f>IF('CEM Price Data'!P54="","",'CEM Price Data'!P54)</f>
        <v>90.4</v>
      </c>
      <c r="P55" s="526">
        <f>IF('CEM Price Data'!Q54="","",'CEM Price Data'!Q54)</f>
        <v>83.97</v>
      </c>
      <c r="Q55" s="526">
        <f>IF('CEM Price Data'!R54="","",'CEM Price Data'!R54)</f>
        <v>139.26</v>
      </c>
      <c r="R55" s="526">
        <f>IF('CEM Price Data'!S54="","",'CEM Price Data'!S54)</f>
        <v>188.95</v>
      </c>
      <c r="S55" s="526">
        <f>IF('CEM Price Data'!T54="","",'CEM Price Data'!T54)</f>
        <v>74.61</v>
      </c>
      <c r="T55" s="526">
        <f>IF('CEM Price Data'!U54="","",'CEM Price Data'!U54)</f>
        <v>94.61</v>
      </c>
      <c r="U55" s="526">
        <f>IF('CEM Price Data'!V54="","",'CEM Price Data'!V54)</f>
        <v>408.56</v>
      </c>
      <c r="V55" s="526">
        <f>IF('CEM Price Data'!W54="","",'CEM Price Data'!W54)</f>
        <v>225.3</v>
      </c>
      <c r="W55" s="526">
        <f>IF('CEM Price Data'!X54="","",'CEM Price Data'!X54)</f>
        <v>312.72000000000003</v>
      </c>
      <c r="X55" s="526">
        <f>IF('CEM Price Data'!Y54="","",'CEM Price Data'!Y54)</f>
        <v>506.8</v>
      </c>
      <c r="Y55" s="526">
        <f>IF('CEM Price Data'!Z54="","",'CEM Price Data'!Z54)</f>
        <v>268.63</v>
      </c>
      <c r="Z55" s="526">
        <f>IF('CEM Price Data'!AA54="","",'CEM Price Data'!AA54)</f>
        <v>67.03</v>
      </c>
      <c r="AA55" s="526">
        <f>IF('CEM Price Data'!AB54="","",'CEM Price Data'!AB54)</f>
        <v>120.26</v>
      </c>
      <c r="AB55" s="526">
        <f>IF('CEM Price Data'!AC54="","",'CEM Price Data'!AC54)</f>
        <v>87.38</v>
      </c>
      <c r="AC55" s="526">
        <f>IF('CEM Price Data'!AD54="","",'CEM Price Data'!AD54)</f>
        <v>112.79</v>
      </c>
      <c r="AD55" s="526">
        <f>IF('CEM Price Data'!AE54="","",'CEM Price Data'!AE54)</f>
        <v>36.67</v>
      </c>
      <c r="AE55" s="526">
        <f>IF('CEM Price Data'!AF54="","",'CEM Price Data'!AF54)</f>
        <v>212.63</v>
      </c>
      <c r="AF55" s="526">
        <f>IF('CEM Price Data'!AG54="","",'CEM Price Data'!AG54)</f>
        <v>90.35</v>
      </c>
      <c r="AG55" s="526">
        <f>IF('CEM Price Data'!AH54="","",'CEM Price Data'!AH54)</f>
        <v>6.23</v>
      </c>
      <c r="AH55" s="526">
        <f>IF('CEM Price Data'!AI54="","",'CEM Price Data'!AI54)</f>
        <v>72.16</v>
      </c>
      <c r="AI55" s="526">
        <f>IF('CEM Price Data'!AJ54="","",'CEM Price Data'!AJ54)</f>
        <v>524.4</v>
      </c>
      <c r="AJ55" s="526">
        <f>IF('CEM Price Data'!AK54="","",'CEM Price Data'!AK54)</f>
        <v>151.51</v>
      </c>
      <c r="AK55" s="526">
        <f>IF('CEM Price Data'!AL54="","",'CEM Price Data'!AL54)</f>
        <v>182.89</v>
      </c>
      <c r="AL55" s="526">
        <f>IF('CEM Price Data'!AM54="","",'CEM Price Data'!AM54)</f>
        <v>283.94</v>
      </c>
      <c r="AM55" s="526">
        <f>IF('CEM Price Data'!AN54="","",'CEM Price Data'!AN54)</f>
        <v>257.27999999999997</v>
      </c>
      <c r="AN55" s="526">
        <f>IF('CEM Price Data'!AO54="","",'CEM Price Data'!AO54)</f>
        <v>14.31</v>
      </c>
    </row>
    <row r="56" spans="1:40">
      <c r="A56" s="525">
        <f>IF('CEM Price Data'!B55="","",'CEM Price Data'!B55)</f>
        <v>44851</v>
      </c>
      <c r="B56" s="526">
        <f>IF('CEM Price Data'!C55="","",'CEM Price Data'!C55)</f>
        <v>130.56</v>
      </c>
      <c r="C56" s="526">
        <f>IF('CEM Price Data'!D55="","",'CEM Price Data'!D55)</f>
        <v>103.52</v>
      </c>
      <c r="D56" s="526">
        <f>IF('CEM Price Data'!E55="","",'CEM Price Data'!E55)</f>
        <v>139.12</v>
      </c>
      <c r="E56" s="526">
        <f>IF('CEM Price Data'!F55="","",'CEM Price Data'!F55)</f>
        <v>151.52000000000001</v>
      </c>
      <c r="F56" s="526">
        <f>IF('CEM Price Data'!G55="","",'CEM Price Data'!G55)</f>
        <v>51.61</v>
      </c>
      <c r="G56" s="526">
        <f>IF('CEM Price Data'!H55="","",'CEM Price Data'!H55)</f>
        <v>237.36</v>
      </c>
      <c r="H56" s="526">
        <f>IF('CEM Price Data'!I55="","",'CEM Price Data'!I55)</f>
        <v>65.41</v>
      </c>
      <c r="I56" s="526">
        <f>IF('CEM Price Data'!J55="","",'CEM Price Data'!J55)</f>
        <v>71.38</v>
      </c>
      <c r="J56" s="526">
        <f>IF('CEM Price Data'!K55="","",'CEM Price Data'!K55)</f>
        <v>142.79</v>
      </c>
      <c r="K56" s="526">
        <f>IF('CEM Price Data'!L55="","",'CEM Price Data'!L55)</f>
        <v>257.06</v>
      </c>
      <c r="L56" s="526">
        <f>IF('CEM Price Data'!M55="","",'CEM Price Data'!M55)</f>
        <v>445.79</v>
      </c>
      <c r="M56" s="526">
        <f>IF('CEM Price Data'!N55="","",'CEM Price Data'!N55)</f>
        <v>121.1</v>
      </c>
      <c r="N56" s="526">
        <f>IF('CEM Price Data'!O55="","",'CEM Price Data'!O55)</f>
        <v>127.93</v>
      </c>
      <c r="O56" s="526">
        <f>IF('CEM Price Data'!P55="","",'CEM Price Data'!P55)</f>
        <v>90.38</v>
      </c>
      <c r="P56" s="526">
        <f>IF('CEM Price Data'!Q55="","",'CEM Price Data'!Q55)</f>
        <v>83.37</v>
      </c>
      <c r="Q56" s="526">
        <f>IF('CEM Price Data'!R55="","",'CEM Price Data'!R55)</f>
        <v>139.16</v>
      </c>
      <c r="R56" s="526">
        <f>IF('CEM Price Data'!S55="","",'CEM Price Data'!S55)</f>
        <v>186.8</v>
      </c>
      <c r="S56" s="526">
        <f>IF('CEM Price Data'!T55="","",'CEM Price Data'!T55)</f>
        <v>73.63</v>
      </c>
      <c r="T56" s="526">
        <f>IF('CEM Price Data'!U55="","",'CEM Price Data'!U55)</f>
        <v>94.12</v>
      </c>
      <c r="U56" s="526">
        <f>IF('CEM Price Data'!V55="","",'CEM Price Data'!V55)</f>
        <v>402.96</v>
      </c>
      <c r="V56" s="526">
        <f>IF('CEM Price Data'!W55="","",'CEM Price Data'!W55)</f>
        <v>220.74</v>
      </c>
      <c r="W56" s="526">
        <f>IF('CEM Price Data'!X55="","",'CEM Price Data'!X55)</f>
        <v>309.45</v>
      </c>
      <c r="X56" s="526">
        <f>IF('CEM Price Data'!Y55="","",'CEM Price Data'!Y55)</f>
        <v>475.09</v>
      </c>
      <c r="Y56" s="526">
        <f>IF('CEM Price Data'!Z55="","",'CEM Price Data'!Z55)</f>
        <v>267.11</v>
      </c>
      <c r="Z56" s="526">
        <f>IF('CEM Price Data'!AA55="","",'CEM Price Data'!AA55)</f>
        <v>67.02</v>
      </c>
      <c r="AA56" s="526">
        <f>IF('CEM Price Data'!AB55="","",'CEM Price Data'!AB55)</f>
        <v>119.59</v>
      </c>
      <c r="AB56" s="526">
        <f>IF('CEM Price Data'!AC55="","",'CEM Price Data'!AC55)</f>
        <v>86.37</v>
      </c>
      <c r="AC56" s="526">
        <f>IF('CEM Price Data'!AD55="","",'CEM Price Data'!AD55)</f>
        <v>112.11</v>
      </c>
      <c r="AD56" s="526">
        <f>IF('CEM Price Data'!AE55="","",'CEM Price Data'!AE55)</f>
        <v>36.14</v>
      </c>
      <c r="AE56" s="526">
        <f>IF('CEM Price Data'!AF55="","",'CEM Price Data'!AF55)</f>
        <v>209.12</v>
      </c>
      <c r="AF56" s="526">
        <f>IF('CEM Price Data'!AG55="","",'CEM Price Data'!AG55)</f>
        <v>88.76</v>
      </c>
      <c r="AG56" s="526">
        <f>IF('CEM Price Data'!AH55="","",'CEM Price Data'!AH55)</f>
        <v>6.19</v>
      </c>
      <c r="AH56" s="526">
        <f>IF('CEM Price Data'!AI55="","",'CEM Price Data'!AI55)</f>
        <v>71.12</v>
      </c>
      <c r="AI56" s="526">
        <f>IF('CEM Price Data'!AJ55="","",'CEM Price Data'!AJ55)</f>
        <v>517.23</v>
      </c>
      <c r="AJ56" s="526">
        <f>IF('CEM Price Data'!AK55="","",'CEM Price Data'!AK55)</f>
        <v>150.99</v>
      </c>
      <c r="AK56" s="526">
        <f>IF('CEM Price Data'!AL55="","",'CEM Price Data'!AL55)</f>
        <v>179.55</v>
      </c>
      <c r="AL56" s="526">
        <f>IF('CEM Price Data'!AM55="","",'CEM Price Data'!AM55)</f>
        <v>279.60000000000002</v>
      </c>
      <c r="AM56" s="526">
        <f>IF('CEM Price Data'!AN55="","",'CEM Price Data'!AN55)</f>
        <v>250.72</v>
      </c>
      <c r="AN56" s="526">
        <f>IF('CEM Price Data'!AO55="","",'CEM Price Data'!AO55)</f>
        <v>14.1</v>
      </c>
    </row>
    <row r="57" spans="1:40">
      <c r="A57" s="525">
        <f>IF('CEM Price Data'!B56="","",'CEM Price Data'!B56)</f>
        <v>44848</v>
      </c>
      <c r="B57" s="526">
        <f>IF('CEM Price Data'!C56="","",'CEM Price Data'!C56)</f>
        <v>125.7</v>
      </c>
      <c r="C57" s="526">
        <f>IF('CEM Price Data'!D56="","",'CEM Price Data'!D56)</f>
        <v>100.91</v>
      </c>
      <c r="D57" s="526">
        <f>IF('CEM Price Data'!E56="","",'CEM Price Data'!E56)</f>
        <v>136.72999999999999</v>
      </c>
      <c r="E57" s="526">
        <f>IF('CEM Price Data'!F56="","",'CEM Price Data'!F56)</f>
        <v>147.35</v>
      </c>
      <c r="F57" s="526">
        <f>IF('CEM Price Data'!G56="","",'CEM Price Data'!G56)</f>
        <v>49.04</v>
      </c>
      <c r="G57" s="526">
        <f>IF('CEM Price Data'!H56="","",'CEM Price Data'!H56)</f>
        <v>232.53</v>
      </c>
      <c r="H57" s="526">
        <f>IF('CEM Price Data'!I56="","",'CEM Price Data'!I56)</f>
        <v>63.89</v>
      </c>
      <c r="I57" s="526">
        <f>IF('CEM Price Data'!J56="","",'CEM Price Data'!J56)</f>
        <v>70.62</v>
      </c>
      <c r="J57" s="526">
        <f>IF('CEM Price Data'!K56="","",'CEM Price Data'!K56)</f>
        <v>139.1</v>
      </c>
      <c r="K57" s="526">
        <f>IF('CEM Price Data'!L56="","",'CEM Price Data'!L56)</f>
        <v>248.66</v>
      </c>
      <c r="L57" s="526">
        <f>IF('CEM Price Data'!M56="","",'CEM Price Data'!M56)</f>
        <v>432.5</v>
      </c>
      <c r="M57" s="526">
        <f>IF('CEM Price Data'!N56="","",'CEM Price Data'!N56)</f>
        <v>117.74</v>
      </c>
      <c r="N57" s="526">
        <f>IF('CEM Price Data'!O56="","",'CEM Price Data'!O56)</f>
        <v>126.11</v>
      </c>
      <c r="O57" s="526">
        <f>IF('CEM Price Data'!P56="","",'CEM Price Data'!P56)</f>
        <v>87.82</v>
      </c>
      <c r="P57" s="526">
        <f>IF('CEM Price Data'!Q56="","",'CEM Price Data'!Q56)</f>
        <v>82.29</v>
      </c>
      <c r="Q57" s="526">
        <f>IF('CEM Price Data'!R56="","",'CEM Price Data'!R56)</f>
        <v>136.04</v>
      </c>
      <c r="R57" s="526">
        <f>IF('CEM Price Data'!S56="","",'CEM Price Data'!S56)</f>
        <v>183.43</v>
      </c>
      <c r="S57" s="526">
        <f>IF('CEM Price Data'!T56="","",'CEM Price Data'!T56)</f>
        <v>73.540000000000006</v>
      </c>
      <c r="T57" s="526">
        <f>IF('CEM Price Data'!U56="","",'CEM Price Data'!U56)</f>
        <v>92.18</v>
      </c>
      <c r="U57" s="526">
        <f>IF('CEM Price Data'!V56="","",'CEM Price Data'!V56)</f>
        <v>388.72</v>
      </c>
      <c r="V57" s="526">
        <f>IF('CEM Price Data'!W56="","",'CEM Price Data'!W56)</f>
        <v>213.28</v>
      </c>
      <c r="W57" s="526">
        <f>IF('CEM Price Data'!X56="","",'CEM Price Data'!X56)</f>
        <v>307.23</v>
      </c>
      <c r="X57" s="526">
        <f>IF('CEM Price Data'!Y56="","",'CEM Price Data'!Y56)</f>
        <v>464.19</v>
      </c>
      <c r="Y57" s="526">
        <f>IF('CEM Price Data'!Z56="","",'CEM Price Data'!Z56)</f>
        <v>259.54000000000002</v>
      </c>
      <c r="Z57" s="526">
        <f>IF('CEM Price Data'!AA56="","",'CEM Price Data'!AA56)</f>
        <v>64.31</v>
      </c>
      <c r="AA57" s="526">
        <f>IF('CEM Price Data'!AB56="","",'CEM Price Data'!AB56)</f>
        <v>115.89</v>
      </c>
      <c r="AB57" s="526">
        <f>IF('CEM Price Data'!AC56="","",'CEM Price Data'!AC56)</f>
        <v>86.25</v>
      </c>
      <c r="AC57" s="526">
        <f>IF('CEM Price Data'!AD56="","",'CEM Price Data'!AD56)</f>
        <v>109.67</v>
      </c>
      <c r="AD57" s="526">
        <f>IF('CEM Price Data'!AE56="","",'CEM Price Data'!AE56)</f>
        <v>35.020000000000003</v>
      </c>
      <c r="AE57" s="526">
        <f>IF('CEM Price Data'!AF56="","",'CEM Price Data'!AF56)</f>
        <v>201.7</v>
      </c>
      <c r="AF57" s="526">
        <f>IF('CEM Price Data'!AG56="","",'CEM Price Data'!AG56)</f>
        <v>89.46</v>
      </c>
      <c r="AG57" s="526">
        <f>IF('CEM Price Data'!AH56="","",'CEM Price Data'!AH56)</f>
        <v>6.05</v>
      </c>
      <c r="AH57" s="526">
        <f>IF('CEM Price Data'!AI56="","",'CEM Price Data'!AI56)</f>
        <v>69.02</v>
      </c>
      <c r="AI57" s="526">
        <f>IF('CEM Price Data'!AJ56="","",'CEM Price Data'!AJ56)</f>
        <v>503.05</v>
      </c>
      <c r="AJ57" s="526">
        <f>IF('CEM Price Data'!AK56="","",'CEM Price Data'!AK56)</f>
        <v>148.34</v>
      </c>
      <c r="AK57" s="526">
        <f>IF('CEM Price Data'!AL56="","",'CEM Price Data'!AL56)</f>
        <v>174.08</v>
      </c>
      <c r="AL57" s="526">
        <f>IF('CEM Price Data'!AM56="","",'CEM Price Data'!AM56)</f>
        <v>272.19</v>
      </c>
      <c r="AM57" s="526">
        <f>IF('CEM Price Data'!AN56="","",'CEM Price Data'!AN56)</f>
        <v>241.47</v>
      </c>
      <c r="AN57" s="526">
        <f>IF('CEM Price Data'!AO56="","",'CEM Price Data'!AO56)</f>
        <v>14</v>
      </c>
    </row>
    <row r="58" spans="1:40">
      <c r="A58" s="525">
        <f>IF('CEM Price Data'!B57="","",'CEM Price Data'!B57)</f>
        <v>44847</v>
      </c>
      <c r="B58" s="526">
        <f>IF('CEM Price Data'!C57="","",'CEM Price Data'!C57)</f>
        <v>127.9</v>
      </c>
      <c r="C58" s="526">
        <f>IF('CEM Price Data'!D57="","",'CEM Price Data'!D57)</f>
        <v>102.47</v>
      </c>
      <c r="D58" s="526">
        <f>IF('CEM Price Data'!E57="","",'CEM Price Data'!E57)</f>
        <v>142.75</v>
      </c>
      <c r="E58" s="526">
        <f>IF('CEM Price Data'!F57="","",'CEM Price Data'!F57)</f>
        <v>151.82</v>
      </c>
      <c r="F58" s="526">
        <f>IF('CEM Price Data'!G57="","",'CEM Price Data'!G57)</f>
        <v>48.86</v>
      </c>
      <c r="G58" s="526">
        <f>IF('CEM Price Data'!H57="","",'CEM Price Data'!H57)</f>
        <v>237.99</v>
      </c>
      <c r="H58" s="526">
        <f>IF('CEM Price Data'!I57="","",'CEM Price Data'!I57)</f>
        <v>65.430000000000007</v>
      </c>
      <c r="I58" s="526">
        <f>IF('CEM Price Data'!J57="","",'CEM Price Data'!J57)</f>
        <v>70.77</v>
      </c>
      <c r="J58" s="526">
        <f>IF('CEM Price Data'!K57="","",'CEM Price Data'!K57)</f>
        <v>142.71</v>
      </c>
      <c r="K58" s="526">
        <f>IF('CEM Price Data'!L57="","",'CEM Price Data'!L57)</f>
        <v>256.92</v>
      </c>
      <c r="L58" s="526">
        <f>IF('CEM Price Data'!M57="","",'CEM Price Data'!M57)</f>
        <v>438.87</v>
      </c>
      <c r="M58" s="526">
        <f>IF('CEM Price Data'!N57="","",'CEM Price Data'!N57)</f>
        <v>119.36</v>
      </c>
      <c r="N58" s="526">
        <f>IF('CEM Price Data'!O57="","",'CEM Price Data'!O57)</f>
        <v>125.71</v>
      </c>
      <c r="O58" s="526">
        <f>IF('CEM Price Data'!P57="","",'CEM Price Data'!P57)</f>
        <v>88.71</v>
      </c>
      <c r="P58" s="526">
        <f>IF('CEM Price Data'!Q57="","",'CEM Price Data'!Q57)</f>
        <v>83.37</v>
      </c>
      <c r="Q58" s="526">
        <f>IF('CEM Price Data'!R57="","",'CEM Price Data'!R57)</f>
        <v>137.94</v>
      </c>
      <c r="R58" s="526">
        <f>IF('CEM Price Data'!S57="","",'CEM Price Data'!S57)</f>
        <v>185.23</v>
      </c>
      <c r="S58" s="526">
        <f>IF('CEM Price Data'!T57="","",'CEM Price Data'!T57)</f>
        <v>74.87</v>
      </c>
      <c r="T58" s="526">
        <f>IF('CEM Price Data'!U57="","",'CEM Price Data'!U57)</f>
        <v>92.49</v>
      </c>
      <c r="U58" s="526">
        <f>IF('CEM Price Data'!V57="","",'CEM Price Data'!V57)</f>
        <v>406.08</v>
      </c>
      <c r="V58" s="526">
        <f>IF('CEM Price Data'!W57="","",'CEM Price Data'!W57)</f>
        <v>225.37</v>
      </c>
      <c r="W58" s="526">
        <f>IF('CEM Price Data'!X57="","",'CEM Price Data'!X57)</f>
        <v>311.19</v>
      </c>
      <c r="X58" s="526">
        <f>IF('CEM Price Data'!Y57="","",'CEM Price Data'!Y57)</f>
        <v>501.44</v>
      </c>
      <c r="Y58" s="526">
        <f>IF('CEM Price Data'!Z57="","",'CEM Price Data'!Z57)</f>
        <v>268.55</v>
      </c>
      <c r="Z58" s="526">
        <f>IF('CEM Price Data'!AA57="","",'CEM Price Data'!AA57)</f>
        <v>65.2</v>
      </c>
      <c r="AA58" s="526">
        <f>IF('CEM Price Data'!AB57="","",'CEM Price Data'!AB57)</f>
        <v>122.42</v>
      </c>
      <c r="AB58" s="526">
        <f>IF('CEM Price Data'!AC57="","",'CEM Price Data'!AC57)</f>
        <v>87.24</v>
      </c>
      <c r="AC58" s="526">
        <f>IF('CEM Price Data'!AD57="","",'CEM Price Data'!AD57)</f>
        <v>110</v>
      </c>
      <c r="AD58" s="526">
        <f>IF('CEM Price Data'!AE57="","",'CEM Price Data'!AE57)</f>
        <v>36.06</v>
      </c>
      <c r="AE58" s="526">
        <f>IF('CEM Price Data'!AF57="","",'CEM Price Data'!AF57)</f>
        <v>205.68</v>
      </c>
      <c r="AF58" s="526">
        <f>IF('CEM Price Data'!AG57="","",'CEM Price Data'!AG57)</f>
        <v>88.8</v>
      </c>
      <c r="AG58" s="526">
        <f>IF('CEM Price Data'!AH57="","",'CEM Price Data'!AH57)</f>
        <v>6.14</v>
      </c>
      <c r="AH58" s="526">
        <f>IF('CEM Price Data'!AI57="","",'CEM Price Data'!AI57)</f>
        <v>70.319999999999993</v>
      </c>
      <c r="AI58" s="526">
        <f>IF('CEM Price Data'!AJ57="","",'CEM Price Data'!AJ57)</f>
        <v>510.54</v>
      </c>
      <c r="AJ58" s="526">
        <f>IF('CEM Price Data'!AK57="","",'CEM Price Data'!AK57)</f>
        <v>154.34</v>
      </c>
      <c r="AK58" s="526">
        <f>IF('CEM Price Data'!AL57="","",'CEM Price Data'!AL57)</f>
        <v>176.85</v>
      </c>
      <c r="AL58" s="526">
        <f>IF('CEM Price Data'!AM57="","",'CEM Price Data'!AM57)</f>
        <v>276.79000000000002</v>
      </c>
      <c r="AM58" s="526">
        <f>IF('CEM Price Data'!AN57="","",'CEM Price Data'!AN57)</f>
        <v>256.73</v>
      </c>
      <c r="AN58" s="526">
        <f>IF('CEM Price Data'!AO57="","",'CEM Price Data'!AO57)</f>
        <v>14.04</v>
      </c>
    </row>
    <row r="59" spans="1:40">
      <c r="A59" s="525">
        <f>IF('CEM Price Data'!B58="","",'CEM Price Data'!B58)</f>
        <v>44846</v>
      </c>
      <c r="B59" s="526">
        <f>IF('CEM Price Data'!C58="","",'CEM Price Data'!C58)</f>
        <v>125.69</v>
      </c>
      <c r="C59" s="526">
        <f>IF('CEM Price Data'!D58="","",'CEM Price Data'!D58)</f>
        <v>100.08</v>
      </c>
      <c r="D59" s="526">
        <f>IF('CEM Price Data'!E58="","",'CEM Price Data'!E58)</f>
        <v>138.59</v>
      </c>
      <c r="E59" s="526">
        <f>IF('CEM Price Data'!F58="","",'CEM Price Data'!F58)</f>
        <v>146.56</v>
      </c>
      <c r="F59" s="526">
        <f>IF('CEM Price Data'!G58="","",'CEM Price Data'!G58)</f>
        <v>49.13</v>
      </c>
      <c r="G59" s="526">
        <f>IF('CEM Price Data'!H58="","",'CEM Price Data'!H58)</f>
        <v>229.32</v>
      </c>
      <c r="H59" s="526">
        <f>IF('CEM Price Data'!I58="","",'CEM Price Data'!I58)</f>
        <v>64.459999999999994</v>
      </c>
      <c r="I59" s="526">
        <f>IF('CEM Price Data'!J58="","",'CEM Price Data'!J58)</f>
        <v>69.28</v>
      </c>
      <c r="J59" s="526">
        <f>IF('CEM Price Data'!K58="","",'CEM Price Data'!K58)</f>
        <v>139.66999999999999</v>
      </c>
      <c r="K59" s="526">
        <f>IF('CEM Price Data'!L58="","",'CEM Price Data'!L58)</f>
        <v>250.32</v>
      </c>
      <c r="L59" s="526">
        <f>IF('CEM Price Data'!M58="","",'CEM Price Data'!M58)</f>
        <v>436.11</v>
      </c>
      <c r="M59" s="526">
        <f>IF('CEM Price Data'!N58="","",'CEM Price Data'!N58)</f>
        <v>117.4</v>
      </c>
      <c r="N59" s="526">
        <f>IF('CEM Price Data'!O58="","",'CEM Price Data'!O58)</f>
        <v>124.39</v>
      </c>
      <c r="O59" s="526">
        <f>IF('CEM Price Data'!P58="","",'CEM Price Data'!P58)</f>
        <v>88.72</v>
      </c>
      <c r="P59" s="526">
        <f>IF('CEM Price Data'!Q58="","",'CEM Price Data'!Q58)</f>
        <v>81.67</v>
      </c>
      <c r="Q59" s="526">
        <f>IF('CEM Price Data'!R58="","",'CEM Price Data'!R58)</f>
        <v>134.79</v>
      </c>
      <c r="R59" s="526">
        <f>IF('CEM Price Data'!S58="","",'CEM Price Data'!S58)</f>
        <v>181.39</v>
      </c>
      <c r="S59" s="526">
        <f>IF('CEM Price Data'!T58="","",'CEM Price Data'!T58)</f>
        <v>74.48</v>
      </c>
      <c r="T59" s="526">
        <f>IF('CEM Price Data'!U58="","",'CEM Price Data'!U58)</f>
        <v>90.42</v>
      </c>
      <c r="U59" s="526">
        <f>IF('CEM Price Data'!V58="","",'CEM Price Data'!V58)</f>
        <v>401.65</v>
      </c>
      <c r="V59" s="526">
        <f>IF('CEM Price Data'!W58="","",'CEM Price Data'!W58)</f>
        <v>223.33</v>
      </c>
      <c r="W59" s="526">
        <f>IF('CEM Price Data'!X58="","",'CEM Price Data'!X58)</f>
        <v>307.04000000000002</v>
      </c>
      <c r="X59" s="526">
        <f>IF('CEM Price Data'!Y58="","",'CEM Price Data'!Y58)</f>
        <v>492.38</v>
      </c>
      <c r="Y59" s="526">
        <f>IF('CEM Price Data'!Z58="","",'CEM Price Data'!Z58)</f>
        <v>274.64999999999998</v>
      </c>
      <c r="Z59" s="526">
        <f>IF('CEM Price Data'!AA58="","",'CEM Price Data'!AA58)</f>
        <v>63.78</v>
      </c>
      <c r="AA59" s="526">
        <f>IF('CEM Price Data'!AB58="","",'CEM Price Data'!AB58)</f>
        <v>121.4</v>
      </c>
      <c r="AB59" s="526">
        <f>IF('CEM Price Data'!AC58="","",'CEM Price Data'!AC58)</f>
        <v>84.46</v>
      </c>
      <c r="AC59" s="526">
        <f>IF('CEM Price Data'!AD58="","",'CEM Price Data'!AD58)</f>
        <v>106.14</v>
      </c>
      <c r="AD59" s="526">
        <f>IF('CEM Price Data'!AE58="","",'CEM Price Data'!AE58)</f>
        <v>36.200000000000003</v>
      </c>
      <c r="AE59" s="526">
        <f>IF('CEM Price Data'!AF58="","",'CEM Price Data'!AF58)</f>
        <v>201.51</v>
      </c>
      <c r="AF59" s="526">
        <f>IF('CEM Price Data'!AG58="","",'CEM Price Data'!AG58)</f>
        <v>86.16</v>
      </c>
      <c r="AG59" s="526">
        <f>IF('CEM Price Data'!AH58="","",'CEM Price Data'!AH58)</f>
        <v>5.96</v>
      </c>
      <c r="AH59" s="526">
        <f>IF('CEM Price Data'!AI58="","",'CEM Price Data'!AI58)</f>
        <v>69.150000000000006</v>
      </c>
      <c r="AI59" s="526">
        <f>IF('CEM Price Data'!AJ58="","",'CEM Price Data'!AJ58)</f>
        <v>500.67</v>
      </c>
      <c r="AJ59" s="526">
        <f>IF('CEM Price Data'!AK58="","",'CEM Price Data'!AK58)</f>
        <v>151.55000000000001</v>
      </c>
      <c r="AK59" s="526">
        <f>IF('CEM Price Data'!AL58="","",'CEM Price Data'!AL58)</f>
        <v>175.68</v>
      </c>
      <c r="AL59" s="526">
        <f>IF('CEM Price Data'!AM58="","",'CEM Price Data'!AM58)</f>
        <v>270.72000000000003</v>
      </c>
      <c r="AM59" s="526">
        <f>IF('CEM Price Data'!AN58="","",'CEM Price Data'!AN58)</f>
        <v>263.33999999999997</v>
      </c>
      <c r="AN59" s="526">
        <f>IF('CEM Price Data'!AO58="","",'CEM Price Data'!AO58)</f>
        <v>13.72</v>
      </c>
    </row>
    <row r="60" spans="1:40">
      <c r="A60" s="525">
        <f>IF('CEM Price Data'!B59="","",'CEM Price Data'!B59)</f>
        <v>44845</v>
      </c>
      <c r="B60" s="526">
        <f>IF('CEM Price Data'!C59="","",'CEM Price Data'!C59)</f>
        <v>125.64</v>
      </c>
      <c r="C60" s="526">
        <f>IF('CEM Price Data'!D59="","",'CEM Price Data'!D59)</f>
        <v>101.75</v>
      </c>
      <c r="D60" s="526">
        <f>IF('CEM Price Data'!E59="","",'CEM Price Data'!E59)</f>
        <v>138.80000000000001</v>
      </c>
      <c r="E60" s="526">
        <f>IF('CEM Price Data'!F59="","",'CEM Price Data'!F59)</f>
        <v>150.11000000000001</v>
      </c>
      <c r="F60" s="526">
        <f>IF('CEM Price Data'!G59="","",'CEM Price Data'!G59)</f>
        <v>49.31</v>
      </c>
      <c r="G60" s="526">
        <f>IF('CEM Price Data'!H59="","",'CEM Price Data'!H59)</f>
        <v>231.21</v>
      </c>
      <c r="H60" s="526">
        <f>IF('CEM Price Data'!I59="","",'CEM Price Data'!I59)</f>
        <v>64.650000000000006</v>
      </c>
      <c r="I60" s="526">
        <f>IF('CEM Price Data'!J59="","",'CEM Price Data'!J59)</f>
        <v>69.650000000000006</v>
      </c>
      <c r="J60" s="526">
        <f>IF('CEM Price Data'!K59="","",'CEM Price Data'!K59)</f>
        <v>142.4</v>
      </c>
      <c r="K60" s="526">
        <f>IF('CEM Price Data'!L59="","",'CEM Price Data'!L59)</f>
        <v>256.95</v>
      </c>
      <c r="L60" s="526">
        <f>IF('CEM Price Data'!M59="","",'CEM Price Data'!M59)</f>
        <v>438.63</v>
      </c>
      <c r="M60" s="526">
        <f>IF('CEM Price Data'!N59="","",'CEM Price Data'!N59)</f>
        <v>118.61</v>
      </c>
      <c r="N60" s="526">
        <f>IF('CEM Price Data'!O59="","",'CEM Price Data'!O59)</f>
        <v>124.36</v>
      </c>
      <c r="O60" s="526">
        <f>IF('CEM Price Data'!P59="","",'CEM Price Data'!P59)</f>
        <v>89.28</v>
      </c>
      <c r="P60" s="526">
        <f>IF('CEM Price Data'!Q59="","",'CEM Price Data'!Q59)</f>
        <v>81.900000000000006</v>
      </c>
      <c r="Q60" s="526">
        <f>IF('CEM Price Data'!R59="","",'CEM Price Data'!R59)</f>
        <v>133.55000000000001</v>
      </c>
      <c r="R60" s="526">
        <f>IF('CEM Price Data'!S59="","",'CEM Price Data'!S59)</f>
        <v>183.99</v>
      </c>
      <c r="S60" s="526">
        <f>IF('CEM Price Data'!T59="","",'CEM Price Data'!T59)</f>
        <v>75.84</v>
      </c>
      <c r="T60" s="526">
        <f>IF('CEM Price Data'!U59="","",'CEM Price Data'!U59)</f>
        <v>91.05</v>
      </c>
      <c r="U60" s="526">
        <f>IF('CEM Price Data'!V59="","",'CEM Price Data'!V59)</f>
        <v>399.35</v>
      </c>
      <c r="V60" s="526">
        <f>IF('CEM Price Data'!W59="","",'CEM Price Data'!W59)</f>
        <v>224.25</v>
      </c>
      <c r="W60" s="526">
        <f>IF('CEM Price Data'!X59="","",'CEM Price Data'!X59)</f>
        <v>308.39</v>
      </c>
      <c r="X60" s="526">
        <f>IF('CEM Price Data'!Y59="","",'CEM Price Data'!Y59)</f>
        <v>507.31</v>
      </c>
      <c r="Y60" s="526">
        <f>IF('CEM Price Data'!Z59="","",'CEM Price Data'!Z59)</f>
        <v>267.76</v>
      </c>
      <c r="Z60" s="526">
        <f>IF('CEM Price Data'!AA59="","",'CEM Price Data'!AA59)</f>
        <v>62.41</v>
      </c>
      <c r="AA60" s="526">
        <f>IF('CEM Price Data'!AB59="","",'CEM Price Data'!AB59)</f>
        <v>123.45</v>
      </c>
      <c r="AB60" s="526">
        <f>IF('CEM Price Data'!AC59="","",'CEM Price Data'!AC59)</f>
        <v>84.13</v>
      </c>
      <c r="AC60" s="526">
        <f>IF('CEM Price Data'!AD59="","",'CEM Price Data'!AD59)</f>
        <v>106.79</v>
      </c>
      <c r="AD60" s="526">
        <f>IF('CEM Price Data'!AE59="","",'CEM Price Data'!AE59)</f>
        <v>36.36</v>
      </c>
      <c r="AE60" s="526">
        <f>IF('CEM Price Data'!AF59="","",'CEM Price Data'!AF59)</f>
        <v>204.51</v>
      </c>
      <c r="AF60" s="526">
        <f>IF('CEM Price Data'!AG59="","",'CEM Price Data'!AG59)</f>
        <v>86.85</v>
      </c>
      <c r="AG60" s="526">
        <f>IF('CEM Price Data'!AH59="","",'CEM Price Data'!AH59)</f>
        <v>5.97</v>
      </c>
      <c r="AH60" s="526">
        <f>IF('CEM Price Data'!AI59="","",'CEM Price Data'!AI59)</f>
        <v>69.739999999999995</v>
      </c>
      <c r="AI60" s="526">
        <f>IF('CEM Price Data'!AJ59="","",'CEM Price Data'!AJ59)</f>
        <v>500.81</v>
      </c>
      <c r="AJ60" s="526">
        <f>IF('CEM Price Data'!AK59="","",'CEM Price Data'!AK59)</f>
        <v>153.44999999999999</v>
      </c>
      <c r="AK60" s="526">
        <f>IF('CEM Price Data'!AL59="","",'CEM Price Data'!AL59)</f>
        <v>174.89</v>
      </c>
      <c r="AL60" s="526">
        <f>IF('CEM Price Data'!AM59="","",'CEM Price Data'!AM59)</f>
        <v>271.99</v>
      </c>
      <c r="AM60" s="526">
        <f>IF('CEM Price Data'!AN59="","",'CEM Price Data'!AN59)</f>
        <v>264.23</v>
      </c>
      <c r="AN60" s="526">
        <f>IF('CEM Price Data'!AO59="","",'CEM Price Data'!AO59)</f>
        <v>13.48</v>
      </c>
    </row>
    <row r="61" spans="1:40">
      <c r="A61" s="525">
        <f>IF('CEM Price Data'!B60="","",'CEM Price Data'!B60)</f>
        <v>44844</v>
      </c>
      <c r="B61" s="526">
        <f>IF('CEM Price Data'!C60="","",'CEM Price Data'!C60)</f>
        <v>125.95</v>
      </c>
      <c r="C61" s="526">
        <f>IF('CEM Price Data'!D60="","",'CEM Price Data'!D60)</f>
        <v>101.13</v>
      </c>
      <c r="D61" s="526">
        <f>IF('CEM Price Data'!E60="","",'CEM Price Data'!E60)</f>
        <v>140.9</v>
      </c>
      <c r="E61" s="526">
        <f>IF('CEM Price Data'!F60="","",'CEM Price Data'!F60)</f>
        <v>149.57</v>
      </c>
      <c r="F61" s="526">
        <f>IF('CEM Price Data'!G60="","",'CEM Price Data'!G60)</f>
        <v>49.58</v>
      </c>
      <c r="G61" s="526">
        <f>IF('CEM Price Data'!H60="","",'CEM Price Data'!H60)</f>
        <v>232.44</v>
      </c>
      <c r="H61" s="526">
        <f>IF('CEM Price Data'!I60="","",'CEM Price Data'!I60)</f>
        <v>65</v>
      </c>
      <c r="I61" s="526">
        <f>IF('CEM Price Data'!J60="","",'CEM Price Data'!J60)</f>
        <v>68.48</v>
      </c>
      <c r="J61" s="526">
        <f>IF('CEM Price Data'!K60="","",'CEM Price Data'!K60)</f>
        <v>143.53</v>
      </c>
      <c r="K61" s="526">
        <f>IF('CEM Price Data'!L60="","",'CEM Price Data'!L60)</f>
        <v>261.23</v>
      </c>
      <c r="L61" s="526">
        <f>IF('CEM Price Data'!M60="","",'CEM Price Data'!M60)</f>
        <v>437.41</v>
      </c>
      <c r="M61" s="526">
        <f>IF('CEM Price Data'!N60="","",'CEM Price Data'!N60)</f>
        <v>117.52</v>
      </c>
      <c r="N61" s="526">
        <f>IF('CEM Price Data'!O60="","",'CEM Price Data'!O60)</f>
        <v>124.02</v>
      </c>
      <c r="O61" s="526">
        <f>IF('CEM Price Data'!P60="","",'CEM Price Data'!P60)</f>
        <v>88.76</v>
      </c>
      <c r="P61" s="526">
        <f>IF('CEM Price Data'!Q60="","",'CEM Price Data'!Q60)</f>
        <v>81.099999999999994</v>
      </c>
      <c r="Q61" s="526">
        <f>IF('CEM Price Data'!R60="","",'CEM Price Data'!R60)</f>
        <v>133.24</v>
      </c>
      <c r="R61" s="526">
        <f>IF('CEM Price Data'!S60="","",'CEM Price Data'!S60)</f>
        <v>185.43</v>
      </c>
      <c r="S61" s="526">
        <f>IF('CEM Price Data'!T60="","",'CEM Price Data'!T60)</f>
        <v>75.86</v>
      </c>
      <c r="T61" s="526">
        <f>IF('CEM Price Data'!U60="","",'CEM Price Data'!U60)</f>
        <v>90.48</v>
      </c>
      <c r="U61" s="526">
        <f>IF('CEM Price Data'!V60="","",'CEM Price Data'!V60)</f>
        <v>406.92</v>
      </c>
      <c r="V61" s="526">
        <f>IF('CEM Price Data'!W60="","",'CEM Price Data'!W60)</f>
        <v>227.02</v>
      </c>
      <c r="W61" s="526">
        <f>IF('CEM Price Data'!X60="","",'CEM Price Data'!X60)</f>
        <v>306.51</v>
      </c>
      <c r="X61" s="526">
        <f>IF('CEM Price Data'!Y60="","",'CEM Price Data'!Y60)</f>
        <v>503.83</v>
      </c>
      <c r="Y61" s="526">
        <f>IF('CEM Price Data'!Z60="","",'CEM Price Data'!Z60)</f>
        <v>267.85000000000002</v>
      </c>
      <c r="Z61" s="526">
        <f>IF('CEM Price Data'!AA60="","",'CEM Price Data'!AA60)</f>
        <v>62.57</v>
      </c>
      <c r="AA61" s="526">
        <f>IF('CEM Price Data'!AB60="","",'CEM Price Data'!AB60)</f>
        <v>123.73</v>
      </c>
      <c r="AB61" s="526">
        <f>IF('CEM Price Data'!AC60="","",'CEM Price Data'!AC60)</f>
        <v>82.8</v>
      </c>
      <c r="AC61" s="526">
        <f>IF('CEM Price Data'!AD60="","",'CEM Price Data'!AD60)</f>
        <v>104.79</v>
      </c>
      <c r="AD61" s="526">
        <f>IF('CEM Price Data'!AE60="","",'CEM Price Data'!AE60)</f>
        <v>36.450000000000003</v>
      </c>
      <c r="AE61" s="526">
        <f>IF('CEM Price Data'!AF60="","",'CEM Price Data'!AF60)</f>
        <v>205.8</v>
      </c>
      <c r="AF61" s="526">
        <f>IF('CEM Price Data'!AG60="","",'CEM Price Data'!AG60)</f>
        <v>86.31</v>
      </c>
      <c r="AG61" s="526">
        <f>IF('CEM Price Data'!AH60="","",'CEM Price Data'!AH60)</f>
        <v>5.93</v>
      </c>
      <c r="AH61" s="526">
        <f>IF('CEM Price Data'!AI60="","",'CEM Price Data'!AI60)</f>
        <v>70.69</v>
      </c>
      <c r="AI61" s="526">
        <f>IF('CEM Price Data'!AJ60="","",'CEM Price Data'!AJ60)</f>
        <v>510.84</v>
      </c>
      <c r="AJ61" s="526">
        <f>IF('CEM Price Data'!AK60="","",'CEM Price Data'!AK60)</f>
        <v>156.79</v>
      </c>
      <c r="AK61" s="526">
        <f>IF('CEM Price Data'!AL60="","",'CEM Price Data'!AL60)</f>
        <v>176.99</v>
      </c>
      <c r="AL61" s="526">
        <f>IF('CEM Price Data'!AM60="","",'CEM Price Data'!AM60)</f>
        <v>272.26</v>
      </c>
      <c r="AM61" s="526">
        <f>IF('CEM Price Data'!AN60="","",'CEM Price Data'!AN60)</f>
        <v>260.98</v>
      </c>
      <c r="AN61" s="526">
        <f>IF('CEM Price Data'!AO60="","",'CEM Price Data'!AO60)</f>
        <v>13.52</v>
      </c>
    </row>
    <row r="62" spans="1:40">
      <c r="A62" s="525">
        <f>IF('CEM Price Data'!B61="","",'CEM Price Data'!B61)</f>
        <v>44841</v>
      </c>
      <c r="B62" s="526">
        <f>IF('CEM Price Data'!C61="","",'CEM Price Data'!C61)</f>
        <v>127.44</v>
      </c>
      <c r="C62" s="526">
        <f>IF('CEM Price Data'!D61="","",'CEM Price Data'!D61)</f>
        <v>101.79</v>
      </c>
      <c r="D62" s="526">
        <f>IF('CEM Price Data'!E61="","",'CEM Price Data'!E61)</f>
        <v>144.91999999999999</v>
      </c>
      <c r="E62" s="526">
        <f>IF('CEM Price Data'!F61="","",'CEM Price Data'!F61)</f>
        <v>147.69</v>
      </c>
      <c r="F62" s="526">
        <f>IF('CEM Price Data'!G61="","",'CEM Price Data'!G61)</f>
        <v>49.5</v>
      </c>
      <c r="G62" s="526">
        <f>IF('CEM Price Data'!H61="","",'CEM Price Data'!H61)</f>
        <v>231.75</v>
      </c>
      <c r="H62" s="526">
        <f>IF('CEM Price Data'!I61="","",'CEM Price Data'!I61)</f>
        <v>65.13</v>
      </c>
      <c r="I62" s="526">
        <f>IF('CEM Price Data'!J61="","",'CEM Price Data'!J61)</f>
        <v>69.7</v>
      </c>
      <c r="J62" s="526">
        <f>IF('CEM Price Data'!K61="","",'CEM Price Data'!K61)</f>
        <v>142.87</v>
      </c>
      <c r="K62" s="526">
        <f>IF('CEM Price Data'!L61="","",'CEM Price Data'!L61)</f>
        <v>260.76</v>
      </c>
      <c r="L62" s="526">
        <f>IF('CEM Price Data'!M61="","",'CEM Price Data'!M61)</f>
        <v>436.11</v>
      </c>
      <c r="M62" s="526">
        <f>IF('CEM Price Data'!N61="","",'CEM Price Data'!N61)</f>
        <v>116.02</v>
      </c>
      <c r="N62" s="526">
        <f>IF('CEM Price Data'!O61="","",'CEM Price Data'!O61)</f>
        <v>123.31</v>
      </c>
      <c r="O62" s="526">
        <f>IF('CEM Price Data'!P61="","",'CEM Price Data'!P61)</f>
        <v>88.36</v>
      </c>
      <c r="P62" s="526">
        <f>IF('CEM Price Data'!Q61="","",'CEM Price Data'!Q61)</f>
        <v>80.569999999999993</v>
      </c>
      <c r="Q62" s="526">
        <f>IF('CEM Price Data'!R61="","",'CEM Price Data'!R61)</f>
        <v>129.91999999999999</v>
      </c>
      <c r="R62" s="526">
        <f>IF('CEM Price Data'!S61="","",'CEM Price Data'!S61)</f>
        <v>185.66</v>
      </c>
      <c r="S62" s="526">
        <f>IF('CEM Price Data'!T61="","",'CEM Price Data'!T61)</f>
        <v>73.44</v>
      </c>
      <c r="T62" s="526">
        <f>IF('CEM Price Data'!U61="","",'CEM Price Data'!U61)</f>
        <v>87.6</v>
      </c>
      <c r="U62" s="526">
        <f>IF('CEM Price Data'!V61="","",'CEM Price Data'!V61)</f>
        <v>419.84</v>
      </c>
      <c r="V62" s="526">
        <f>IF('CEM Price Data'!W61="","",'CEM Price Data'!W61)</f>
        <v>229.85</v>
      </c>
      <c r="W62" s="526">
        <f>IF('CEM Price Data'!X61="","",'CEM Price Data'!X61)</f>
        <v>297.70999999999998</v>
      </c>
      <c r="X62" s="526">
        <f>IF('CEM Price Data'!Y61="","",'CEM Price Data'!Y61)</f>
        <v>496.09</v>
      </c>
      <c r="Y62" s="526">
        <f>IF('CEM Price Data'!Z61="","",'CEM Price Data'!Z61)</f>
        <v>260.04000000000002</v>
      </c>
      <c r="Z62" s="526">
        <f>IF('CEM Price Data'!AA61="","",'CEM Price Data'!AA61)</f>
        <v>63.29</v>
      </c>
      <c r="AA62" s="526">
        <f>IF('CEM Price Data'!AB61="","",'CEM Price Data'!AB61)</f>
        <v>121.96</v>
      </c>
      <c r="AB62" s="526">
        <f>IF('CEM Price Data'!AC61="","",'CEM Price Data'!AC61)</f>
        <v>82.17</v>
      </c>
      <c r="AC62" s="526">
        <f>IF('CEM Price Data'!AD61="","",'CEM Price Data'!AD61)</f>
        <v>101.94</v>
      </c>
      <c r="AD62" s="526">
        <f>IF('CEM Price Data'!AE61="","",'CEM Price Data'!AE61)</f>
        <v>36.159999999999997</v>
      </c>
      <c r="AE62" s="526">
        <f>IF('CEM Price Data'!AF61="","",'CEM Price Data'!AF61)</f>
        <v>205.6</v>
      </c>
      <c r="AF62" s="526">
        <f>IF('CEM Price Data'!AG61="","",'CEM Price Data'!AG61)</f>
        <v>84.3</v>
      </c>
      <c r="AG62" s="526">
        <f>IF('CEM Price Data'!AH61="","",'CEM Price Data'!AH61)</f>
        <v>5.87</v>
      </c>
      <c r="AH62" s="526">
        <f>IF('CEM Price Data'!AI61="","",'CEM Price Data'!AI61)</f>
        <v>68.97</v>
      </c>
      <c r="AI62" s="526">
        <f>IF('CEM Price Data'!AJ61="","",'CEM Price Data'!AJ61)</f>
        <v>523.61</v>
      </c>
      <c r="AJ62" s="526">
        <f>IF('CEM Price Data'!AK61="","",'CEM Price Data'!AK61)</f>
        <v>159.28</v>
      </c>
      <c r="AK62" s="526">
        <f>IF('CEM Price Data'!AL61="","",'CEM Price Data'!AL61)</f>
        <v>177.86</v>
      </c>
      <c r="AL62" s="526">
        <f>IF('CEM Price Data'!AM61="","",'CEM Price Data'!AM61)</f>
        <v>276.5</v>
      </c>
      <c r="AM62" s="526">
        <f>IF('CEM Price Data'!AN61="","",'CEM Price Data'!AN61)</f>
        <v>258.48</v>
      </c>
      <c r="AN62" s="526">
        <f>IF('CEM Price Data'!AO61="","",'CEM Price Data'!AO61)</f>
        <v>13.47</v>
      </c>
    </row>
    <row r="63" spans="1:40">
      <c r="A63" s="525">
        <f>IF('CEM Price Data'!B62="","",'CEM Price Data'!B62)</f>
        <v>44840</v>
      </c>
      <c r="B63" s="526">
        <f>IF('CEM Price Data'!C62="","",'CEM Price Data'!C62)</f>
        <v>132.18</v>
      </c>
      <c r="C63" s="526">
        <f>IF('CEM Price Data'!D62="","",'CEM Price Data'!D62)</f>
        <v>102.45</v>
      </c>
      <c r="D63" s="526">
        <f>IF('CEM Price Data'!E62="","",'CEM Price Data'!E62)</f>
        <v>150.97</v>
      </c>
      <c r="E63" s="526">
        <f>IF('CEM Price Data'!F62="","",'CEM Price Data'!F62)</f>
        <v>149.93</v>
      </c>
      <c r="F63" s="526">
        <f>IF('CEM Price Data'!G62="","",'CEM Price Data'!G62)</f>
        <v>50.78</v>
      </c>
      <c r="G63" s="526">
        <f>IF('CEM Price Data'!H62="","",'CEM Price Data'!H62)</f>
        <v>238.59</v>
      </c>
      <c r="H63" s="526">
        <f>IF('CEM Price Data'!I62="","",'CEM Price Data'!I62)</f>
        <v>66.2</v>
      </c>
      <c r="I63" s="526">
        <f>IF('CEM Price Data'!J62="","",'CEM Price Data'!J62)</f>
        <v>70.239999999999995</v>
      </c>
      <c r="J63" s="526">
        <f>IF('CEM Price Data'!K62="","",'CEM Price Data'!K62)</f>
        <v>145.44</v>
      </c>
      <c r="K63" s="526">
        <f>IF('CEM Price Data'!L62="","",'CEM Price Data'!L62)</f>
        <v>263.01</v>
      </c>
      <c r="L63" s="526">
        <f>IF('CEM Price Data'!M62="","",'CEM Price Data'!M62)</f>
        <v>440.47</v>
      </c>
      <c r="M63" s="526">
        <f>IF('CEM Price Data'!N62="","",'CEM Price Data'!N62)</f>
        <v>123.64</v>
      </c>
      <c r="N63" s="526">
        <f>IF('CEM Price Data'!O62="","",'CEM Price Data'!O62)</f>
        <v>126.06</v>
      </c>
      <c r="O63" s="526">
        <f>IF('CEM Price Data'!P62="","",'CEM Price Data'!P62)</f>
        <v>87.5</v>
      </c>
      <c r="P63" s="526">
        <f>IF('CEM Price Data'!Q62="","",'CEM Price Data'!Q62)</f>
        <v>80.73</v>
      </c>
      <c r="Q63" s="526">
        <f>IF('CEM Price Data'!R62="","",'CEM Price Data'!R62)</f>
        <v>128.72</v>
      </c>
      <c r="R63" s="526">
        <f>IF('CEM Price Data'!S62="","",'CEM Price Data'!S62)</f>
        <v>186.02</v>
      </c>
      <c r="S63" s="526">
        <f>IF('CEM Price Data'!T62="","",'CEM Price Data'!T62)</f>
        <v>72.430000000000007</v>
      </c>
      <c r="T63" s="526">
        <f>IF('CEM Price Data'!U62="","",'CEM Price Data'!U62)</f>
        <v>87.44</v>
      </c>
      <c r="U63" s="526">
        <f>IF('CEM Price Data'!V62="","",'CEM Price Data'!V62)</f>
        <v>436.65</v>
      </c>
      <c r="V63" s="526">
        <f>IF('CEM Price Data'!W62="","",'CEM Price Data'!W62)</f>
        <v>234.2</v>
      </c>
      <c r="W63" s="526">
        <f>IF('CEM Price Data'!X62="","",'CEM Price Data'!X62)</f>
        <v>303.57</v>
      </c>
      <c r="X63" s="526">
        <f>IF('CEM Price Data'!Y62="","",'CEM Price Data'!Y62)</f>
        <v>485.23</v>
      </c>
      <c r="Y63" s="526">
        <f>IF('CEM Price Data'!Z62="","",'CEM Price Data'!Z62)</f>
        <v>277.18</v>
      </c>
      <c r="Z63" s="526">
        <f>IF('CEM Price Data'!AA62="","",'CEM Price Data'!AA62)</f>
        <v>65.3</v>
      </c>
      <c r="AA63" s="526">
        <f>IF('CEM Price Data'!AB62="","",'CEM Price Data'!AB62)</f>
        <v>121.92</v>
      </c>
      <c r="AB63" s="526">
        <f>IF('CEM Price Data'!AC62="","",'CEM Price Data'!AC62)</f>
        <v>81.150000000000006</v>
      </c>
      <c r="AC63" s="526">
        <f>IF('CEM Price Data'!AD62="","",'CEM Price Data'!AD62)</f>
        <v>103.66</v>
      </c>
      <c r="AD63" s="526">
        <f>IF('CEM Price Data'!AE62="","",'CEM Price Data'!AE62)</f>
        <v>37.130000000000003</v>
      </c>
      <c r="AE63" s="526">
        <f>IF('CEM Price Data'!AF62="","",'CEM Price Data'!AF62)</f>
        <v>216.77</v>
      </c>
      <c r="AF63" s="526">
        <f>IF('CEM Price Data'!AG62="","",'CEM Price Data'!AG62)</f>
        <v>85.31</v>
      </c>
      <c r="AG63" s="526">
        <f>IF('CEM Price Data'!AH62="","",'CEM Price Data'!AH62)</f>
        <v>5.93</v>
      </c>
      <c r="AH63" s="526">
        <f>IF('CEM Price Data'!AI62="","",'CEM Price Data'!AI62)</f>
        <v>70.8</v>
      </c>
      <c r="AI63" s="526">
        <f>IF('CEM Price Data'!AJ62="","",'CEM Price Data'!AJ62)</f>
        <v>540.59</v>
      </c>
      <c r="AJ63" s="526">
        <f>IF('CEM Price Data'!AK62="","",'CEM Price Data'!AK62)</f>
        <v>166.54</v>
      </c>
      <c r="AK63" s="526">
        <f>IF('CEM Price Data'!AL62="","",'CEM Price Data'!AL62)</f>
        <v>182.08</v>
      </c>
      <c r="AL63" s="526">
        <f>IF('CEM Price Data'!AM62="","",'CEM Price Data'!AM62)</f>
        <v>287.55</v>
      </c>
      <c r="AM63" s="526">
        <f>IF('CEM Price Data'!AN62="","",'CEM Price Data'!AN62)</f>
        <v>268.19</v>
      </c>
      <c r="AN63" s="526">
        <f>IF('CEM Price Data'!AO62="","",'CEM Price Data'!AO62)</f>
        <v>13.84</v>
      </c>
    </row>
    <row r="65" spans="1:40">
      <c r="A65" s="523" t="s">
        <v>23</v>
      </c>
      <c r="B65" s="316">
        <f t="shared" ref="B65:AN65" si="0">IFERROR(ROUND(AVERAGE(B4:B63),2),0)</f>
        <v>143.41</v>
      </c>
      <c r="C65" s="316">
        <f t="shared" si="0"/>
        <v>103.62</v>
      </c>
      <c r="D65" s="316">
        <f t="shared" si="0"/>
        <v>156.44</v>
      </c>
      <c r="E65" s="316">
        <f t="shared" si="0"/>
        <v>132.31</v>
      </c>
      <c r="F65" s="316">
        <f t="shared" si="0"/>
        <v>56.13</v>
      </c>
      <c r="G65" s="316">
        <f t="shared" si="0"/>
        <v>283.73</v>
      </c>
      <c r="H65" s="316">
        <f t="shared" si="0"/>
        <v>67.84</v>
      </c>
      <c r="I65" s="316">
        <f t="shared" si="0"/>
        <v>75.62</v>
      </c>
      <c r="J65" s="316">
        <f t="shared" si="0"/>
        <v>141.63</v>
      </c>
      <c r="K65" s="316">
        <f t="shared" si="0"/>
        <v>292.69</v>
      </c>
      <c r="L65" s="316">
        <f t="shared" si="0"/>
        <v>488.69</v>
      </c>
      <c r="M65" s="316">
        <f t="shared" si="0"/>
        <v>119.35</v>
      </c>
      <c r="N65" s="316">
        <f t="shared" si="0"/>
        <v>144.53</v>
      </c>
      <c r="O65" s="316">
        <f t="shared" si="0"/>
        <v>97.51</v>
      </c>
      <c r="P65" s="316">
        <f t="shared" si="0"/>
        <v>92.71</v>
      </c>
      <c r="Q65" s="316">
        <f t="shared" si="0"/>
        <v>149.24</v>
      </c>
      <c r="R65" s="316">
        <f t="shared" si="0"/>
        <v>184.5</v>
      </c>
      <c r="S65" s="316">
        <f t="shared" si="0"/>
        <v>80.98</v>
      </c>
      <c r="T65" s="316">
        <f t="shared" si="0"/>
        <v>102.92</v>
      </c>
      <c r="U65" s="316">
        <f t="shared" si="0"/>
        <v>466.39</v>
      </c>
      <c r="V65" s="316">
        <f t="shared" si="0"/>
        <v>250.74</v>
      </c>
      <c r="W65" s="316">
        <f t="shared" si="0"/>
        <v>307.73</v>
      </c>
      <c r="X65" s="316">
        <f t="shared" si="0"/>
        <v>523.41</v>
      </c>
      <c r="Y65" s="316">
        <f t="shared" si="0"/>
        <v>284.83999999999997</v>
      </c>
      <c r="Z65" s="316">
        <f t="shared" si="0"/>
        <v>76.540000000000006</v>
      </c>
      <c r="AA65" s="316">
        <f t="shared" si="0"/>
        <v>126.94</v>
      </c>
      <c r="AB65" s="316">
        <f t="shared" si="0"/>
        <v>89.41</v>
      </c>
      <c r="AC65" s="316">
        <f t="shared" si="0"/>
        <v>125.35</v>
      </c>
      <c r="AD65" s="316">
        <f t="shared" si="0"/>
        <v>38.97</v>
      </c>
      <c r="AE65" s="316">
        <f t="shared" si="0"/>
        <v>231.93</v>
      </c>
      <c r="AF65" s="316">
        <f t="shared" si="0"/>
        <v>91.48</v>
      </c>
      <c r="AG65" s="316">
        <f t="shared" si="0"/>
        <v>6.16</v>
      </c>
      <c r="AH65" s="316">
        <f t="shared" si="0"/>
        <v>71.62</v>
      </c>
      <c r="AI65" s="316">
        <f t="shared" si="0"/>
        <v>529.55999999999995</v>
      </c>
      <c r="AJ65" s="316">
        <f t="shared" si="0"/>
        <v>166.87</v>
      </c>
      <c r="AK65" s="316">
        <f t="shared" si="0"/>
        <v>192.17</v>
      </c>
      <c r="AL65" s="316">
        <f t="shared" si="0"/>
        <v>317.89999999999998</v>
      </c>
      <c r="AM65" s="316">
        <f t="shared" si="0"/>
        <v>262.52</v>
      </c>
      <c r="AN65" s="316">
        <f t="shared" si="0"/>
        <v>13.79</v>
      </c>
    </row>
    <row r="66" spans="1:40">
      <c r="B66" s="316"/>
      <c r="C66" s="316"/>
      <c r="D66" s="316"/>
      <c r="E66" s="316"/>
      <c r="F66" s="316"/>
      <c r="G66" s="655"/>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row>
    <row r="67" spans="1:40" s="527" customFormat="1">
      <c r="A67" s="527" t="s">
        <v>157</v>
      </c>
      <c r="B67" s="164">
        <f>VLOOKUP(B2,'CEM Data Lookup'!$A$3:$I$60,9,FALSE)</f>
        <v>0.9</v>
      </c>
      <c r="C67" s="164">
        <f>VLOOKUP(C2,'CEM Data Lookup'!$A$3:$I$60,9,FALSE)</f>
        <v>2.04</v>
      </c>
      <c r="D67" s="164">
        <f>VLOOKUP(D2,'CEM Data Lookup'!$A$3:$I$60,9,FALSE)</f>
        <v>3.04</v>
      </c>
      <c r="E67" s="164">
        <f>VLOOKUP(E2,'CEM Data Lookup'!$A$3:$I$60,9,FALSE)</f>
        <v>2.8</v>
      </c>
      <c r="F67" s="164">
        <f>VLOOKUP(F2,'CEM Data Lookup'!$A$3:$I$60,9,FALSE)</f>
        <v>1.2</v>
      </c>
      <c r="G67" s="164">
        <f>VLOOKUP(G2,'CEM Data Lookup'!$A$3:$I$60,9,FALSE)</f>
        <v>6.48</v>
      </c>
      <c r="H67" s="164">
        <f>VLOOKUP(H2,'CEM Data Lookup'!$A$3:$I$60,9,FALSE)</f>
        <v>0.82199999999999995</v>
      </c>
      <c r="I67" s="164">
        <f>VLOOKUP(I2,'CEM Data Lookup'!$A$3:$I$60,9,FALSE)</f>
        <v>2.2799999999999998</v>
      </c>
      <c r="J67" s="164">
        <f>VLOOKUP(J2,'CEM Data Lookup'!$A$3:$I$60,9,FALSE)</f>
        <v>2.9</v>
      </c>
      <c r="K67" s="164" t="str">
        <f>VLOOKUP(K2,'CEM Data Lookup'!$A$3:$I$60,9,FALSE)</f>
        <v>NA</v>
      </c>
      <c r="L67" s="164">
        <f>VLOOKUP(L2,'CEM Data Lookup'!$A$3:$I$60,9,FALSE)</f>
        <v>1.52</v>
      </c>
      <c r="M67" s="164">
        <f>VLOOKUP(M2,'CEM Data Lookup'!$A$3:$I$60,9,FALSE)</f>
        <v>0.68</v>
      </c>
      <c r="N67" s="164">
        <f>VLOOKUP(N2,'CEM Data Lookup'!$A$3:$I$60,9,FALSE)</f>
        <v>2.64</v>
      </c>
      <c r="O67" s="164">
        <f>VLOOKUP(O2,'CEM Data Lookup'!$A$3:$I$60,9,FALSE)</f>
        <v>0.96</v>
      </c>
      <c r="P67" s="164">
        <f>VLOOKUP(P2,'CEM Data Lookup'!$A$3:$I$60,9,FALSE)</f>
        <v>2.84</v>
      </c>
      <c r="Q67" s="164">
        <f>VLOOKUP(Q2,'CEM Data Lookup'!$A$3:$I$60,9,FALSE)</f>
        <v>2.8</v>
      </c>
      <c r="R67" s="164">
        <f>VLOOKUP(R2,'CEM Data Lookup'!$A$3:$I$60,9,FALSE)</f>
        <v>1.96</v>
      </c>
      <c r="S67" s="164">
        <f>VLOOKUP(S2,'CEM Data Lookup'!$A$3:$I$60,9,FALSE)</f>
        <v>1.56</v>
      </c>
      <c r="T67" s="164">
        <f>VLOOKUP(T2,'CEM Data Lookup'!$A$3:$I$60,9,FALSE)</f>
        <v>2.92</v>
      </c>
      <c r="U67" s="164">
        <f>VLOOKUP(U2,'CEM Data Lookup'!$A$3:$I$60,9,FALSE)</f>
        <v>5</v>
      </c>
      <c r="V67" s="164">
        <f>VLOOKUP(V2,'CEM Data Lookup'!$A$3:$I$60,9,FALSE)</f>
        <v>3.52</v>
      </c>
      <c r="W67" s="164">
        <f>VLOOKUP(W2,'CEM Data Lookup'!$A$3:$I$60,9,FALSE)</f>
        <v>8.4</v>
      </c>
      <c r="X67" s="164">
        <f>VLOOKUP(X2,'CEM Data Lookup'!$A$3:$I$60,9,FALSE)</f>
        <v>6.92</v>
      </c>
      <c r="Y67" s="164">
        <f>VLOOKUP(Y2,'CEM Data Lookup'!$A$3:$I$60,9,FALSE)</f>
        <v>1.2</v>
      </c>
      <c r="Z67" s="164">
        <f>VLOOKUP(Z2,'CEM Data Lookup'!$A$3:$I$60,9,FALSE)</f>
        <v>1.28</v>
      </c>
      <c r="AA67" s="164">
        <f>VLOOKUP(AA2,'CEM Data Lookup'!$A$3:$I$60,9,FALSE)</f>
        <v>0.4</v>
      </c>
      <c r="AB67" s="164" t="str">
        <f>VLOOKUP(AB2,'CEM Data Lookup'!$A$3:$I$60,9,FALSE)</f>
        <v>NA</v>
      </c>
      <c r="AC67" s="164">
        <f>VLOOKUP(AC2,'CEM Data Lookup'!$A$3:$I$60,9,FALSE)</f>
        <v>1.04</v>
      </c>
      <c r="AD67" s="164">
        <f>VLOOKUP(AD2,'CEM Data Lookup'!$A$3:$I$60,9,FALSE)</f>
        <v>0.52</v>
      </c>
      <c r="AE67" s="164">
        <f>VLOOKUP(AE2,'CEM Data Lookup'!$A$3:$I$60,9,FALSE)</f>
        <v>2.4</v>
      </c>
      <c r="AF67" s="164">
        <f>VLOOKUP(AF2,'CEM Data Lookup'!$A$3:$I$60,9,FALSE)</f>
        <v>1.2</v>
      </c>
      <c r="AG67" s="164">
        <f>VLOOKUP(AG2,'CEM Data Lookup'!$A$3:$I$60,9,FALSE)</f>
        <v>9.6799999999999997E-2</v>
      </c>
      <c r="AH67" s="164">
        <f>VLOOKUP(AH2,'CEM Data Lookup'!$A$3:$I$60,9,FALSE)</f>
        <v>1.64</v>
      </c>
      <c r="AI67" s="164">
        <f>VLOOKUP(AI2,'CEM Data Lookup'!$A$3:$I$60,9,FALSE)</f>
        <v>1.2</v>
      </c>
      <c r="AJ67" s="164">
        <f>VLOOKUP(AJ2,'CEM Data Lookup'!$A$3:$I$60,9,FALSE)</f>
        <v>4.96</v>
      </c>
      <c r="AK67" s="164" t="str">
        <f>VLOOKUP(AK2,'CEM Data Lookup'!$A$3:$I$60,9,FALSE)</f>
        <v>NA</v>
      </c>
      <c r="AL67" s="164" t="str">
        <f>VLOOKUP(AL2,'CEM Data Lookup'!$A$3:$I$60,9,FALSE)</f>
        <v>NA</v>
      </c>
      <c r="AM67" s="164">
        <f>VLOOKUP(AM2,'CEM Data Lookup'!$A$3:$I$60,9,FALSE)</f>
        <v>8.8000000000000007</v>
      </c>
      <c r="AN67" s="164">
        <f>VLOOKUP(AN2,'CEM Data Lookup'!$A$3:$I$60,9,FALSE)</f>
        <v>0.94</v>
      </c>
    </row>
    <row r="68" spans="1:40">
      <c r="B68" s="316"/>
      <c r="C68" s="316"/>
      <c r="D68" s="316"/>
      <c r="E68" s="316"/>
      <c r="F68" s="316"/>
      <c r="G68" s="655"/>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row>
    <row r="69" spans="1:40">
      <c r="A69" s="523" t="s">
        <v>1320</v>
      </c>
      <c r="B69" s="316">
        <f t="shared" ref="B69:AN69" si="1">IFERROR(ROUND(100 * B67/B65,2),0)</f>
        <v>0.63</v>
      </c>
      <c r="C69" s="316">
        <f t="shared" si="1"/>
        <v>1.97</v>
      </c>
      <c r="D69" s="316">
        <f t="shared" si="1"/>
        <v>1.94</v>
      </c>
      <c r="E69" s="316">
        <f t="shared" si="1"/>
        <v>2.12</v>
      </c>
      <c r="F69" s="316">
        <f t="shared" si="1"/>
        <v>2.14</v>
      </c>
      <c r="G69" s="316">
        <f t="shared" si="1"/>
        <v>2.2799999999999998</v>
      </c>
      <c r="H69" s="316">
        <f t="shared" si="1"/>
        <v>1.21</v>
      </c>
      <c r="I69" s="316">
        <f t="shared" si="1"/>
        <v>3.02</v>
      </c>
      <c r="J69" s="316">
        <f t="shared" si="1"/>
        <v>2.0499999999999998</v>
      </c>
      <c r="K69" s="316">
        <f t="shared" si="1"/>
        <v>0</v>
      </c>
      <c r="L69" s="316">
        <f t="shared" si="1"/>
        <v>0.31</v>
      </c>
      <c r="M69" s="316">
        <f t="shared" si="1"/>
        <v>0.56999999999999995</v>
      </c>
      <c r="N69" s="316">
        <f t="shared" si="1"/>
        <v>1.83</v>
      </c>
      <c r="O69" s="316">
        <f t="shared" si="1"/>
        <v>0.98</v>
      </c>
      <c r="P69" s="316">
        <f t="shared" si="1"/>
        <v>3.06</v>
      </c>
      <c r="Q69" s="316">
        <f t="shared" si="1"/>
        <v>1.88</v>
      </c>
      <c r="R69" s="316">
        <f t="shared" si="1"/>
        <v>1.06</v>
      </c>
      <c r="S69" s="316">
        <f t="shared" si="1"/>
        <v>1.93</v>
      </c>
      <c r="T69" s="316">
        <f t="shared" si="1"/>
        <v>2.84</v>
      </c>
      <c r="U69" s="316">
        <f t="shared" si="1"/>
        <v>1.07</v>
      </c>
      <c r="V69" s="316">
        <f t="shared" si="1"/>
        <v>1.4</v>
      </c>
      <c r="W69" s="316">
        <f t="shared" si="1"/>
        <v>2.73</v>
      </c>
      <c r="X69" s="316">
        <f t="shared" si="1"/>
        <v>1.32</v>
      </c>
      <c r="Y69" s="316">
        <f t="shared" si="1"/>
        <v>0.42</v>
      </c>
      <c r="Z69" s="316">
        <f t="shared" si="1"/>
        <v>1.67</v>
      </c>
      <c r="AA69" s="316">
        <f t="shared" si="1"/>
        <v>0.32</v>
      </c>
      <c r="AB69" s="316">
        <f t="shared" si="1"/>
        <v>0</v>
      </c>
      <c r="AC69" s="316">
        <f t="shared" si="1"/>
        <v>0.83</v>
      </c>
      <c r="AD69" s="316">
        <f t="shared" si="1"/>
        <v>1.33</v>
      </c>
      <c r="AE69" s="316">
        <f t="shared" si="1"/>
        <v>1.03</v>
      </c>
      <c r="AF69" s="316">
        <f t="shared" si="1"/>
        <v>1.31</v>
      </c>
      <c r="AG69" s="316">
        <f t="shared" si="1"/>
        <v>1.57</v>
      </c>
      <c r="AH69" s="316">
        <f t="shared" si="1"/>
        <v>2.29</v>
      </c>
      <c r="AI69" s="316">
        <f t="shared" si="1"/>
        <v>0.23</v>
      </c>
      <c r="AJ69" s="316">
        <f t="shared" si="1"/>
        <v>2.97</v>
      </c>
      <c r="AK69" s="316">
        <f t="shared" si="1"/>
        <v>0</v>
      </c>
      <c r="AL69" s="316">
        <f t="shared" si="1"/>
        <v>0</v>
      </c>
      <c r="AM69" s="316">
        <f t="shared" si="1"/>
        <v>3.35</v>
      </c>
      <c r="AN69" s="316">
        <f t="shared" si="1"/>
        <v>6.82</v>
      </c>
    </row>
    <row r="75" spans="1:40">
      <c r="G75" s="317"/>
    </row>
    <row r="76" spans="1:40">
      <c r="G76" s="317"/>
    </row>
    <row r="77" spans="1:40">
      <c r="G77" s="317"/>
    </row>
    <row r="78" spans="1:40">
      <c r="G78" s="317"/>
    </row>
    <row r="79" spans="1:40">
      <c r="G79" s="317"/>
    </row>
    <row r="80" spans="1:40">
      <c r="G80" s="317"/>
    </row>
    <row r="81" spans="7:7">
      <c r="G81" s="317"/>
    </row>
    <row r="82" spans="7:7">
      <c r="G82" s="317"/>
    </row>
    <row r="83" spans="7:7">
      <c r="G83" s="317"/>
    </row>
    <row r="84" spans="7:7">
      <c r="G84" s="317"/>
    </row>
    <row r="85" spans="7:7">
      <c r="G85" s="317"/>
    </row>
    <row r="86" spans="7:7">
      <c r="G86" s="317"/>
    </row>
    <row r="87" spans="7:7">
      <c r="G87" s="317"/>
    </row>
    <row r="88" spans="7:7">
      <c r="G88" s="317"/>
    </row>
    <row r="89" spans="7:7">
      <c r="G89" s="317"/>
    </row>
    <row r="90" spans="7:7">
      <c r="G90" s="317"/>
    </row>
    <row r="91" spans="7:7">
      <c r="G91" s="317"/>
    </row>
    <row r="92" spans="7:7">
      <c r="G92" s="317"/>
    </row>
    <row r="93" spans="7:7">
      <c r="G93" s="317"/>
    </row>
    <row r="94" spans="7:7">
      <c r="G94" s="317"/>
    </row>
    <row r="95" spans="7:7">
      <c r="G95" s="317"/>
    </row>
    <row r="96" spans="7:7">
      <c r="G96" s="317"/>
    </row>
    <row r="97" spans="7:7">
      <c r="G97" s="317"/>
    </row>
    <row r="98" spans="7:7">
      <c r="G98" s="317"/>
    </row>
    <row r="99" spans="7:7">
      <c r="G99" s="317"/>
    </row>
    <row r="100" spans="7:7">
      <c r="G100" s="317"/>
    </row>
    <row r="101" spans="7:7">
      <c r="G101" s="317"/>
    </row>
    <row r="102" spans="7:7">
      <c r="G102" s="317"/>
    </row>
    <row r="103" spans="7:7">
      <c r="G103" s="317"/>
    </row>
    <row r="104" spans="7:7">
      <c r="G104" s="317"/>
    </row>
    <row r="105" spans="7:7">
      <c r="G105" s="317"/>
    </row>
    <row r="106" spans="7:7">
      <c r="G106" s="317"/>
    </row>
    <row r="107" spans="7:7">
      <c r="G107" s="317"/>
    </row>
    <row r="108" spans="7:7">
      <c r="G108" s="317"/>
    </row>
    <row r="109" spans="7:7">
      <c r="G109" s="317"/>
    </row>
    <row r="110" spans="7:7">
      <c r="G110" s="317"/>
    </row>
    <row r="111" spans="7:7">
      <c r="G111" s="317"/>
    </row>
    <row r="112" spans="7:7">
      <c r="G112" s="317"/>
    </row>
    <row r="113" spans="7:7">
      <c r="G113" s="317"/>
    </row>
    <row r="114" spans="7:7">
      <c r="G114" s="317"/>
    </row>
    <row r="115" spans="7:7">
      <c r="G115" s="317"/>
    </row>
    <row r="116" spans="7:7">
      <c r="G116" s="317"/>
    </row>
    <row r="117" spans="7:7">
      <c r="G117" s="317"/>
    </row>
    <row r="118" spans="7:7">
      <c r="G118" s="317"/>
    </row>
    <row r="119" spans="7:7">
      <c r="G119" s="317"/>
    </row>
    <row r="120" spans="7:7">
      <c r="G120" s="317"/>
    </row>
    <row r="121" spans="7:7">
      <c r="G121" s="317"/>
    </row>
    <row r="122" spans="7:7">
      <c r="G122" s="317"/>
    </row>
    <row r="123" spans="7:7">
      <c r="G123" s="317"/>
    </row>
    <row r="124" spans="7:7">
      <c r="G124" s="317"/>
    </row>
    <row r="125" spans="7:7">
      <c r="G125" s="317"/>
    </row>
    <row r="126" spans="7:7">
      <c r="G126" s="317"/>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160"/>
  <sheetViews>
    <sheetView topLeftCell="A24" zoomScale="70" zoomScaleNormal="70" workbookViewId="0">
      <selection activeCell="C68" sqref="C68"/>
    </sheetView>
  </sheetViews>
  <sheetFormatPr defaultColWidth="9" defaultRowHeight="15.75"/>
  <cols>
    <col min="1" max="1" width="12.28515625" style="53" customWidth="1"/>
    <col min="2" max="2" width="22.85546875" style="53" bestFit="1" customWidth="1"/>
    <col min="3" max="3" width="9" style="53" customWidth="1"/>
    <col min="4" max="4" width="16" style="53" bestFit="1" customWidth="1"/>
    <col min="5" max="5" width="7.28515625" style="53" bestFit="1" customWidth="1"/>
    <col min="6" max="6" width="14" style="53" bestFit="1" customWidth="1"/>
    <col min="7" max="7" width="9.5703125" style="53" bestFit="1" customWidth="1"/>
    <col min="8" max="8" width="15.28515625" style="53" bestFit="1" customWidth="1"/>
    <col min="9" max="9" width="5.85546875" style="53" customWidth="1"/>
    <col min="10" max="10" width="13.28515625" style="53" bestFit="1" customWidth="1"/>
    <col min="11" max="11" width="9.28515625" style="53" bestFit="1" customWidth="1"/>
    <col min="12" max="12" width="19.28515625" style="53" customWidth="1"/>
    <col min="13" max="13" width="10.85546875" style="53" bestFit="1" customWidth="1"/>
    <col min="14" max="14" width="9.28515625" style="53" bestFit="1" customWidth="1"/>
    <col min="15" max="16384" width="9" style="53"/>
  </cols>
  <sheetData>
    <row r="1" spans="1:19">
      <c r="A1" s="930"/>
      <c r="B1" s="52"/>
      <c r="C1" s="52"/>
      <c r="D1" s="52"/>
      <c r="E1" s="52"/>
      <c r="F1" s="52"/>
      <c r="G1" s="52"/>
      <c r="H1" s="52"/>
      <c r="I1" s="52"/>
      <c r="J1" s="52"/>
      <c r="K1" s="52"/>
      <c r="L1" s="52"/>
      <c r="M1" s="52"/>
      <c r="N1" s="52"/>
      <c r="O1" s="52"/>
      <c r="P1" s="52"/>
      <c r="Q1" s="52"/>
      <c r="R1" s="52"/>
      <c r="S1" s="52"/>
    </row>
    <row r="3" spans="1:19" s="167" customFormat="1">
      <c r="B3" s="931"/>
      <c r="C3" s="931"/>
      <c r="D3" s="1052" t="s">
        <v>91</v>
      </c>
      <c r="E3" s="1053"/>
      <c r="F3" s="931"/>
      <c r="G3" s="1052" t="s">
        <v>90</v>
      </c>
      <c r="H3" s="1053"/>
      <c r="I3" s="931"/>
      <c r="J3" s="931"/>
      <c r="K3" s="931"/>
      <c r="L3" s="931"/>
      <c r="M3" s="931"/>
      <c r="N3" s="931"/>
    </row>
    <row r="4" spans="1:19" s="167" customFormat="1">
      <c r="B4" s="1052" t="s">
        <v>89</v>
      </c>
      <c r="C4" s="931"/>
      <c r="D4" s="1053"/>
      <c r="E4" s="1053"/>
      <c r="F4" s="931"/>
      <c r="G4" s="1053"/>
      <c r="H4" s="1053"/>
      <c r="I4" s="931"/>
      <c r="J4" s="1052" t="s">
        <v>88</v>
      </c>
      <c r="K4" s="1053"/>
      <c r="L4" s="931"/>
      <c r="M4" s="1052" t="s">
        <v>87</v>
      </c>
      <c r="N4" s="1053"/>
    </row>
    <row r="5" spans="1:19" s="167" customFormat="1">
      <c r="B5" s="1054"/>
      <c r="C5" s="931"/>
      <c r="D5" s="1054"/>
      <c r="E5" s="1054"/>
      <c r="F5" s="931"/>
      <c r="G5" s="1054"/>
      <c r="H5" s="1054"/>
      <c r="I5" s="931"/>
      <c r="J5" s="1054"/>
      <c r="K5" s="1054"/>
      <c r="L5" s="931"/>
      <c r="M5" s="1054"/>
      <c r="N5" s="1054"/>
    </row>
    <row r="6" spans="1:19" s="167" customFormat="1" ht="16.5" thickBot="1">
      <c r="B6" s="932"/>
      <c r="C6" s="932"/>
      <c r="D6" s="932"/>
      <c r="E6" s="932"/>
      <c r="F6" s="932"/>
      <c r="G6" s="932"/>
      <c r="H6" s="932"/>
      <c r="I6" s="932"/>
      <c r="J6" s="932"/>
      <c r="K6" s="932"/>
      <c r="L6" s="932"/>
      <c r="M6" s="932"/>
      <c r="N6" s="932"/>
    </row>
    <row r="7" spans="1:19">
      <c r="A7" s="933"/>
      <c r="B7" s="934">
        <v>44925</v>
      </c>
      <c r="C7" s="167"/>
      <c r="D7" s="935">
        <v>0.7</v>
      </c>
      <c r="E7" s="932"/>
      <c r="F7" s="932"/>
      <c r="G7" s="700">
        <f t="shared" ref="G7:G19" si="0">ROUND(((1+D7)^0.25)-1,4)</f>
        <v>0.1419</v>
      </c>
      <c r="H7" s="932"/>
      <c r="I7" s="932"/>
      <c r="J7" s="936">
        <v>2.3E-2</v>
      </c>
      <c r="K7" s="337"/>
      <c r="L7" s="337"/>
      <c r="M7" s="937">
        <f>J7+G7</f>
        <v>0.16489999999999999</v>
      </c>
      <c r="N7" s="938"/>
      <c r="O7" s="52"/>
      <c r="P7" s="52"/>
      <c r="Q7" s="52"/>
      <c r="R7" s="52"/>
      <c r="S7" s="52"/>
    </row>
    <row r="8" spans="1:19">
      <c r="A8" s="939"/>
      <c r="B8" s="934">
        <v>44918</v>
      </c>
      <c r="C8" s="932"/>
      <c r="D8" s="940">
        <v>0.6</v>
      </c>
      <c r="E8" s="932"/>
      <c r="F8" s="932"/>
      <c r="G8" s="701">
        <f t="shared" si="0"/>
        <v>0.12470000000000001</v>
      </c>
      <c r="H8" s="932"/>
      <c r="I8" s="932"/>
      <c r="J8" s="941">
        <v>2.1999999999999999E-2</v>
      </c>
      <c r="K8" s="932"/>
      <c r="L8" s="932"/>
      <c r="M8" s="937">
        <f t="shared" ref="M8:M19" si="1">J8+G8</f>
        <v>0.1467</v>
      </c>
      <c r="N8" s="938"/>
      <c r="O8" s="311"/>
      <c r="P8" s="52"/>
      <c r="Q8" s="311"/>
      <c r="R8" s="52"/>
      <c r="S8" s="77"/>
    </row>
    <row r="9" spans="1:19">
      <c r="A9" s="939"/>
      <c r="B9" s="934">
        <v>44911</v>
      </c>
      <c r="C9" s="932"/>
      <c r="D9" s="942">
        <v>0.6</v>
      </c>
      <c r="E9" s="932"/>
      <c r="F9" s="932"/>
      <c r="G9" s="701">
        <f t="shared" si="0"/>
        <v>0.12470000000000001</v>
      </c>
      <c r="H9" s="932"/>
      <c r="I9" s="932"/>
      <c r="J9" s="941">
        <v>2.1000000000000001E-2</v>
      </c>
      <c r="K9" s="932"/>
      <c r="L9" s="932"/>
      <c r="M9" s="937">
        <f t="shared" si="1"/>
        <v>0.1457</v>
      </c>
      <c r="N9" s="938"/>
      <c r="O9" s="311"/>
      <c r="P9" s="52"/>
      <c r="Q9" s="311"/>
      <c r="R9" s="52"/>
      <c r="S9" s="77"/>
    </row>
    <row r="10" spans="1:19">
      <c r="A10" s="939"/>
      <c r="B10" s="943">
        <v>44904</v>
      </c>
      <c r="C10" s="932"/>
      <c r="D10" s="942">
        <v>0.65</v>
      </c>
      <c r="G10" s="701">
        <f t="shared" si="0"/>
        <v>0.13339999999999999</v>
      </c>
      <c r="J10" s="941">
        <v>2.1000000000000001E-2</v>
      </c>
      <c r="K10" s="932"/>
      <c r="L10" s="932"/>
      <c r="M10" s="937">
        <f t="shared" si="1"/>
        <v>0.15439999999999998</v>
      </c>
      <c r="N10" s="938"/>
      <c r="O10" s="311"/>
      <c r="P10" s="52"/>
      <c r="Q10" s="311"/>
      <c r="R10" s="52"/>
      <c r="S10" s="77"/>
    </row>
    <row r="11" spans="1:19">
      <c r="A11" s="939"/>
      <c r="B11" s="943">
        <v>44897</v>
      </c>
      <c r="C11" s="167"/>
      <c r="D11" s="944">
        <v>0.65</v>
      </c>
      <c r="E11" s="932"/>
      <c r="F11" s="932"/>
      <c r="G11" s="702">
        <f t="shared" si="0"/>
        <v>0.13339999999999999</v>
      </c>
      <c r="H11" s="932"/>
      <c r="I11" s="932"/>
      <c r="J11" s="945">
        <v>2.1000000000000001E-2</v>
      </c>
      <c r="K11" s="932"/>
      <c r="L11" s="932"/>
      <c r="M11" s="937">
        <f t="shared" si="1"/>
        <v>0.15439999999999998</v>
      </c>
      <c r="N11" s="937"/>
      <c r="O11" s="52"/>
      <c r="P11" s="52"/>
      <c r="Q11" s="52"/>
      <c r="R11" s="52"/>
      <c r="S11" s="52"/>
    </row>
    <row r="12" spans="1:19">
      <c r="A12" s="939"/>
      <c r="B12" s="934">
        <v>44890</v>
      </c>
      <c r="C12" s="932"/>
      <c r="D12" s="940">
        <v>0.65</v>
      </c>
      <c r="E12" s="932"/>
      <c r="F12" s="932"/>
      <c r="G12" s="701">
        <f t="shared" si="0"/>
        <v>0.13339999999999999</v>
      </c>
      <c r="H12" s="932"/>
      <c r="I12" s="932"/>
      <c r="J12" s="941">
        <v>2.1000000000000001E-2</v>
      </c>
      <c r="K12" s="937"/>
      <c r="L12" s="932"/>
      <c r="M12" s="937">
        <f t="shared" si="1"/>
        <v>0.15439999999999998</v>
      </c>
      <c r="N12" s="938"/>
      <c r="O12" s="52"/>
      <c r="P12" s="52"/>
      <c r="Q12" s="52"/>
      <c r="R12" s="52"/>
      <c r="S12" s="52"/>
    </row>
    <row r="13" spans="1:19">
      <c r="A13" s="939"/>
      <c r="B13" s="934">
        <v>44883</v>
      </c>
      <c r="C13" s="932"/>
      <c r="D13" s="942">
        <v>0.7</v>
      </c>
      <c r="E13" s="932"/>
      <c r="F13" s="932"/>
      <c r="G13" s="701">
        <f t="shared" si="0"/>
        <v>0.1419</v>
      </c>
      <c r="H13" s="932"/>
      <c r="I13" s="932"/>
      <c r="J13" s="941">
        <v>2.1999999999999999E-2</v>
      </c>
      <c r="K13" s="937"/>
      <c r="L13" s="932"/>
      <c r="M13" s="937">
        <f t="shared" si="1"/>
        <v>0.16389999999999999</v>
      </c>
      <c r="N13" s="938"/>
      <c r="O13" s="52"/>
      <c r="P13" s="52"/>
      <c r="Q13" s="52"/>
      <c r="R13" s="52"/>
      <c r="S13" s="52"/>
    </row>
    <row r="14" spans="1:19">
      <c r="A14" s="939"/>
      <c r="B14" s="934">
        <v>44876</v>
      </c>
      <c r="C14" s="932"/>
      <c r="D14" s="942">
        <v>0.7</v>
      </c>
      <c r="G14" s="701">
        <f t="shared" si="0"/>
        <v>0.1419</v>
      </c>
      <c r="J14" s="941">
        <v>2.1999999999999999E-2</v>
      </c>
      <c r="K14" s="937"/>
      <c r="L14" s="932"/>
      <c r="M14" s="937">
        <f t="shared" si="1"/>
        <v>0.16389999999999999</v>
      </c>
      <c r="N14" s="938"/>
      <c r="O14" s="52"/>
      <c r="P14" s="52"/>
      <c r="Q14" s="52"/>
      <c r="R14" s="52"/>
      <c r="S14" s="52"/>
    </row>
    <row r="15" spans="1:19">
      <c r="A15" s="939"/>
      <c r="B15" s="934">
        <v>44869</v>
      </c>
      <c r="D15" s="942">
        <v>0.75</v>
      </c>
      <c r="G15" s="701">
        <f t="shared" si="0"/>
        <v>0.1502</v>
      </c>
      <c r="J15" s="941">
        <v>2.3E-2</v>
      </c>
      <c r="K15" s="937"/>
      <c r="L15" s="932"/>
      <c r="M15" s="937">
        <f t="shared" si="1"/>
        <v>0.17319999999999999</v>
      </c>
      <c r="N15" s="938"/>
    </row>
    <row r="16" spans="1:19">
      <c r="A16" s="939"/>
      <c r="B16" s="934">
        <v>44862</v>
      </c>
      <c r="D16" s="942">
        <v>0.8</v>
      </c>
      <c r="G16" s="701">
        <f t="shared" si="0"/>
        <v>0.1583</v>
      </c>
      <c r="J16" s="941">
        <v>2.3E-2</v>
      </c>
      <c r="K16" s="937"/>
      <c r="L16" s="932"/>
      <c r="M16" s="937">
        <f t="shared" si="1"/>
        <v>0.18129999999999999</v>
      </c>
      <c r="N16" s="938"/>
    </row>
    <row r="17" spans="1:15">
      <c r="A17" s="939"/>
      <c r="B17" s="934">
        <v>44855</v>
      </c>
      <c r="D17" s="942">
        <v>0.8</v>
      </c>
      <c r="G17" s="701">
        <f t="shared" si="0"/>
        <v>0.1583</v>
      </c>
      <c r="H17" s="336"/>
      <c r="I17" s="336"/>
      <c r="J17" s="941">
        <v>2.4E-2</v>
      </c>
      <c r="K17" s="937"/>
      <c r="L17" s="932"/>
      <c r="M17" s="937">
        <f t="shared" si="1"/>
        <v>0.18229999999999999</v>
      </c>
      <c r="N17" s="938"/>
    </row>
    <row r="18" spans="1:15">
      <c r="A18" s="939"/>
      <c r="B18" s="934">
        <v>44848</v>
      </c>
      <c r="D18" s="942">
        <v>0.8</v>
      </c>
      <c r="G18" s="701">
        <f t="shared" si="0"/>
        <v>0.1583</v>
      </c>
      <c r="H18" s="336"/>
      <c r="I18" s="336"/>
      <c r="J18" s="941">
        <v>2.3E-2</v>
      </c>
      <c r="K18" s="937"/>
      <c r="L18" s="932"/>
      <c r="M18" s="937">
        <f t="shared" si="1"/>
        <v>0.18129999999999999</v>
      </c>
      <c r="N18" s="938"/>
    </row>
    <row r="19" spans="1:15">
      <c r="A19" s="939"/>
      <c r="B19" s="934">
        <v>44841</v>
      </c>
      <c r="D19" s="942">
        <v>0.85</v>
      </c>
      <c r="G19" s="701">
        <f t="shared" si="0"/>
        <v>0.1663</v>
      </c>
      <c r="H19" s="336"/>
      <c r="I19" s="336"/>
      <c r="J19" s="941">
        <v>2.4E-2</v>
      </c>
      <c r="K19" s="937"/>
      <c r="L19" s="932"/>
      <c r="M19" s="937">
        <f t="shared" si="1"/>
        <v>0.1903</v>
      </c>
      <c r="N19" s="938"/>
    </row>
    <row r="20" spans="1:15">
      <c r="B20" s="946"/>
      <c r="C20" s="932"/>
      <c r="D20" s="307"/>
      <c r="E20" s="932"/>
      <c r="F20" s="932"/>
      <c r="G20" s="308"/>
      <c r="H20" s="932"/>
      <c r="I20" s="932"/>
      <c r="J20" s="308"/>
      <c r="K20" s="937"/>
      <c r="L20" s="932"/>
      <c r="M20" s="937"/>
      <c r="N20" s="947"/>
    </row>
    <row r="21" spans="1:15">
      <c r="B21" s="948"/>
      <c r="C21" s="932"/>
      <c r="D21" s="307"/>
      <c r="E21" s="932"/>
      <c r="F21" s="932"/>
      <c r="G21" s="932"/>
      <c r="H21" s="932"/>
      <c r="I21" s="932"/>
      <c r="J21" s="308"/>
      <c r="K21" s="932"/>
      <c r="L21" s="932"/>
      <c r="M21" s="308"/>
      <c r="N21" s="932"/>
    </row>
    <row r="22" spans="1:15">
      <c r="B22" s="948" t="s">
        <v>80</v>
      </c>
      <c r="C22" s="932"/>
      <c r="D22" s="307">
        <f>ROUND(AVERAGE(D7:D19),2)</f>
        <v>0.71</v>
      </c>
      <c r="E22" s="932"/>
      <c r="F22" s="932"/>
      <c r="G22" s="361">
        <f>ROUND(((1+D22)^0.25)-1,4)</f>
        <v>0.14349999999999999</v>
      </c>
      <c r="H22" s="937"/>
      <c r="I22" s="937"/>
      <c r="J22" s="949">
        <f>ROUND(AVERAGE(J7:J19),4)</f>
        <v>2.23E-2</v>
      </c>
      <c r="K22" s="937"/>
      <c r="L22" s="937"/>
      <c r="M22" s="937">
        <f>J22+G22</f>
        <v>0.1658</v>
      </c>
    </row>
    <row r="25" spans="1:15">
      <c r="B25" s="1043" t="s">
        <v>85</v>
      </c>
      <c r="C25" s="1043"/>
      <c r="D25" s="1043"/>
      <c r="E25" s="1043"/>
      <c r="F25" s="1043"/>
      <c r="G25" s="1043"/>
      <c r="H25" s="1043"/>
      <c r="I25" s="1043"/>
      <c r="J25" s="1043"/>
      <c r="K25" s="52"/>
      <c r="L25" s="52"/>
      <c r="M25" s="52"/>
      <c r="N25" s="52"/>
    </row>
    <row r="26" spans="1:15">
      <c r="B26" s="1055" t="s">
        <v>84</v>
      </c>
      <c r="C26" s="1055"/>
      <c r="D26" s="1055"/>
      <c r="E26" s="1055"/>
      <c r="F26" s="1055"/>
      <c r="G26" s="1055"/>
      <c r="H26" s="1055"/>
      <c r="I26" s="1055"/>
      <c r="J26" s="1055"/>
      <c r="K26" s="52"/>
      <c r="L26" s="52"/>
      <c r="M26" s="52"/>
      <c r="N26" s="52"/>
    </row>
    <row r="27" spans="1:15" ht="16.5" thickBot="1">
      <c r="B27" s="950"/>
      <c r="M27" s="53" t="s">
        <v>152</v>
      </c>
      <c r="O27" s="53" t="s">
        <v>1389</v>
      </c>
    </row>
    <row r="28" spans="1:15">
      <c r="B28" s="951" t="s">
        <v>4074</v>
      </c>
      <c r="C28" s="52"/>
      <c r="D28" s="309"/>
      <c r="E28" s="52"/>
      <c r="F28" s="952">
        <v>4</v>
      </c>
      <c r="G28" s="171" t="s">
        <v>18</v>
      </c>
      <c r="H28" s="52"/>
      <c r="I28" s="52"/>
      <c r="J28" s="52"/>
      <c r="K28" s="52" t="s">
        <v>4074</v>
      </c>
      <c r="L28" s="52"/>
      <c r="M28" s="953">
        <v>5.0999999999999996</v>
      </c>
      <c r="N28" s="83"/>
      <c r="O28" s="954">
        <v>6.1</v>
      </c>
    </row>
    <row r="29" spans="1:15">
      <c r="B29" s="951" t="s">
        <v>4267</v>
      </c>
      <c r="C29" s="52"/>
      <c r="D29" s="309"/>
      <c r="E29" s="52"/>
      <c r="F29" s="955">
        <v>4</v>
      </c>
      <c r="G29" s="171"/>
      <c r="H29" s="52"/>
      <c r="I29" s="52"/>
      <c r="J29" s="52"/>
      <c r="K29" s="52" t="s">
        <v>4267</v>
      </c>
      <c r="L29" s="52"/>
      <c r="M29" s="956">
        <v>5.2</v>
      </c>
      <c r="N29" s="83"/>
      <c r="O29" s="957">
        <v>6.3</v>
      </c>
    </row>
    <row r="30" spans="1:15">
      <c r="B30" s="951" t="s">
        <v>4268</v>
      </c>
      <c r="C30" s="52"/>
      <c r="D30" s="309"/>
      <c r="E30" s="52"/>
      <c r="F30" s="955">
        <v>3.9</v>
      </c>
      <c r="G30" s="171"/>
      <c r="H30" s="52"/>
      <c r="I30" s="52"/>
      <c r="J30" s="52"/>
      <c r="K30" s="52" t="s">
        <v>4268</v>
      </c>
      <c r="L30" s="52"/>
      <c r="M30" s="956">
        <v>5.2</v>
      </c>
      <c r="N30" s="7"/>
      <c r="O30" s="957">
        <v>6.2</v>
      </c>
    </row>
    <row r="31" spans="1:15">
      <c r="B31" s="951" t="s">
        <v>4269</v>
      </c>
      <c r="C31" s="52"/>
      <c r="D31" s="309"/>
      <c r="E31" s="52"/>
      <c r="F31" s="955">
        <v>3.9</v>
      </c>
      <c r="G31" s="171"/>
      <c r="I31" s="52"/>
      <c r="J31" s="52"/>
      <c r="K31" s="52" t="s">
        <v>4269</v>
      </c>
      <c r="L31" s="52"/>
      <c r="M31" s="956">
        <v>5.0999999999999996</v>
      </c>
      <c r="N31" s="83"/>
      <c r="O31" s="957">
        <v>6.1</v>
      </c>
    </row>
    <row r="32" spans="1:15">
      <c r="B32" s="951" t="s">
        <v>4270</v>
      </c>
      <c r="C32" s="52"/>
      <c r="D32" s="309"/>
      <c r="E32" s="52"/>
      <c r="F32" s="955">
        <v>3.8</v>
      </c>
      <c r="G32" s="171"/>
      <c r="H32" s="167"/>
      <c r="I32" s="52"/>
      <c r="J32" s="52"/>
      <c r="K32" s="52" t="s">
        <v>4270</v>
      </c>
      <c r="L32" s="52"/>
      <c r="M32" s="956">
        <v>4.9000000000000004</v>
      </c>
      <c r="N32" s="83"/>
      <c r="O32" s="957">
        <v>5.9</v>
      </c>
    </row>
    <row r="33" spans="2:15">
      <c r="B33" s="951" t="s">
        <v>4593</v>
      </c>
      <c r="C33" s="52"/>
      <c r="D33" s="309"/>
      <c r="E33" s="52"/>
      <c r="F33" s="955">
        <v>3.8</v>
      </c>
      <c r="G33" s="171"/>
      <c r="H33" s="167" t="s">
        <v>83</v>
      </c>
      <c r="I33" s="52"/>
      <c r="J33" s="52"/>
      <c r="K33" s="52" t="s">
        <v>4593</v>
      </c>
      <c r="L33" s="52"/>
      <c r="M33" s="956">
        <v>4.8</v>
      </c>
      <c r="N33" s="83"/>
      <c r="O33" s="957">
        <v>5.8</v>
      </c>
    </row>
    <row r="34" spans="2:15">
      <c r="B34" s="951" t="s">
        <v>4271</v>
      </c>
      <c r="C34" s="52"/>
      <c r="D34" s="309"/>
      <c r="E34" s="52"/>
      <c r="F34" s="955">
        <v>3.9</v>
      </c>
      <c r="G34" s="171"/>
      <c r="H34" s="167" t="s">
        <v>82</v>
      </c>
      <c r="I34" s="52"/>
      <c r="J34" s="52"/>
      <c r="K34" s="52" t="s">
        <v>4271</v>
      </c>
      <c r="L34" s="52"/>
      <c r="M34" s="956">
        <v>5</v>
      </c>
      <c r="N34" s="83"/>
      <c r="O34" s="957">
        <v>6</v>
      </c>
    </row>
    <row r="35" spans="2:15" ht="16.5" thickBot="1">
      <c r="B35" s="958" t="s">
        <v>4272</v>
      </c>
      <c r="C35" s="52"/>
      <c r="D35" s="309"/>
      <c r="E35" s="52"/>
      <c r="F35" s="959">
        <v>4</v>
      </c>
      <c r="G35" s="171"/>
      <c r="H35" s="960" t="s">
        <v>81</v>
      </c>
      <c r="I35" s="52"/>
      <c r="K35" s="52" t="s">
        <v>4272</v>
      </c>
      <c r="M35" s="961">
        <v>5.0999999999999996</v>
      </c>
      <c r="N35" s="83"/>
      <c r="O35" s="961">
        <v>6</v>
      </c>
    </row>
    <row r="36" spans="2:15">
      <c r="B36" s="52"/>
      <c r="C36" s="52"/>
      <c r="D36" s="309"/>
      <c r="E36" s="52"/>
      <c r="F36" s="312"/>
      <c r="G36" s="171"/>
      <c r="H36" s="52"/>
      <c r="I36" s="52"/>
    </row>
    <row r="37" spans="2:15" ht="16.5" thickBot="1">
      <c r="B37" s="181" t="s">
        <v>80</v>
      </c>
      <c r="C37" s="52"/>
      <c r="D37" s="309"/>
      <c r="E37" s="52"/>
      <c r="F37" s="362">
        <f>ROUND(AVERAGE(F28:F35),2)</f>
        <v>3.91</v>
      </c>
      <c r="G37" s="171" t="s">
        <v>18</v>
      </c>
      <c r="H37" s="59">
        <f>($M$22*100)-$F$37</f>
        <v>12.670000000000002</v>
      </c>
      <c r="I37" s="171" t="s">
        <v>18</v>
      </c>
      <c r="M37" s="7">
        <f>ROUND(AVERAGE(M28:M35),2)</f>
        <v>5.05</v>
      </c>
      <c r="N37" s="7"/>
      <c r="O37" s="7">
        <f>ROUND(AVERAGE(O28:O35),2)</f>
        <v>6.05</v>
      </c>
    </row>
    <row r="38" spans="2:15" ht="16.5" thickTop="1">
      <c r="B38" s="181"/>
      <c r="C38" s="52"/>
      <c r="D38" s="309"/>
      <c r="E38" s="52"/>
      <c r="F38" s="310"/>
      <c r="G38" s="171"/>
      <c r="H38" s="59"/>
      <c r="I38" s="171"/>
    </row>
    <row r="39" spans="2:15">
      <c r="B39" s="181"/>
      <c r="C39" s="52"/>
      <c r="D39" s="309"/>
      <c r="E39" s="52"/>
      <c r="F39" s="310"/>
      <c r="G39" s="171"/>
      <c r="H39" s="59"/>
      <c r="I39" s="171"/>
    </row>
    <row r="40" spans="2:15">
      <c r="B40" s="53" t="s">
        <v>1326</v>
      </c>
      <c r="C40" s="52"/>
      <c r="D40" s="309"/>
      <c r="E40" s="52"/>
      <c r="F40" s="310"/>
      <c r="G40" s="171"/>
      <c r="H40" s="59"/>
      <c r="I40" s="171"/>
    </row>
    <row r="41" spans="2:15">
      <c r="B41" s="53" t="s">
        <v>2235</v>
      </c>
      <c r="C41" s="52"/>
      <c r="D41" s="309"/>
      <c r="E41" s="52"/>
      <c r="F41" s="310"/>
      <c r="G41" s="171"/>
      <c r="H41" s="363">
        <f>('MRP WP3'!$H$504*100)-'MRP WP1'!F37</f>
        <v>11.761050750081154</v>
      </c>
      <c r="I41" s="171"/>
    </row>
    <row r="42" spans="2:15">
      <c r="C42" s="52"/>
      <c r="D42" s="309"/>
      <c r="E42" s="52"/>
      <c r="F42" s="310"/>
      <c r="G42" s="171"/>
      <c r="H42" s="59"/>
      <c r="I42" s="171"/>
    </row>
    <row r="43" spans="2:15" ht="16.5" thickBot="1">
      <c r="B43" s="962" t="s">
        <v>2241</v>
      </c>
      <c r="C43" s="52"/>
      <c r="D43" s="309"/>
      <c r="E43" s="52"/>
      <c r="F43" s="310"/>
      <c r="G43" s="171"/>
      <c r="H43" s="364">
        <f>AVERAGE(H37,H41)</f>
        <v>12.215525375040578</v>
      </c>
      <c r="I43" s="171" t="s">
        <v>18</v>
      </c>
    </row>
    <row r="44" spans="2:15" ht="16.5" thickTop="1">
      <c r="B44" s="52"/>
      <c r="C44" s="52"/>
      <c r="D44" s="52"/>
      <c r="E44" s="52"/>
      <c r="F44" s="52"/>
      <c r="G44" s="171"/>
      <c r="H44" s="190"/>
      <c r="I44" s="171"/>
    </row>
    <row r="45" spans="2:15">
      <c r="B45" s="52" t="s">
        <v>4570</v>
      </c>
      <c r="C45" s="52"/>
      <c r="D45" s="52"/>
      <c r="E45" s="52"/>
      <c r="F45" s="52"/>
      <c r="G45" s="171"/>
      <c r="H45" s="190"/>
      <c r="I45" s="171"/>
    </row>
    <row r="46" spans="2:15">
      <c r="B46" s="52"/>
      <c r="C46" s="52"/>
      <c r="D46" s="52"/>
      <c r="E46" s="52"/>
      <c r="F46" s="52"/>
      <c r="G46" s="171"/>
      <c r="H46" s="190"/>
      <c r="I46" s="171"/>
    </row>
    <row r="47" spans="2:15">
      <c r="B47" s="52" t="s">
        <v>153</v>
      </c>
      <c r="C47" s="52"/>
      <c r="D47" s="52"/>
      <c r="E47" s="52"/>
      <c r="F47" s="52"/>
      <c r="G47" s="171"/>
      <c r="H47" s="310">
        <f>'PRPM WP1'!H1177*100</f>
        <v>10.862499418503081</v>
      </c>
      <c r="I47" s="171" t="s">
        <v>18</v>
      </c>
    </row>
    <row r="48" spans="2:15">
      <c r="B48" s="52"/>
      <c r="C48" s="52"/>
      <c r="D48" s="52"/>
      <c r="E48" s="52"/>
      <c r="F48" s="52"/>
      <c r="G48" s="171"/>
      <c r="H48" s="190"/>
      <c r="I48" s="171"/>
    </row>
    <row r="49" spans="2:11">
      <c r="B49" s="53" t="s">
        <v>79</v>
      </c>
      <c r="C49" s="52"/>
      <c r="D49" s="52"/>
      <c r="E49" s="52"/>
      <c r="F49" s="52"/>
      <c r="G49" s="171"/>
      <c r="H49" s="190"/>
      <c r="I49" s="171"/>
    </row>
    <row r="50" spans="2:11">
      <c r="B50" s="171" t="s">
        <v>4249</v>
      </c>
      <c r="C50" s="52"/>
      <c r="D50" s="52"/>
      <c r="E50" s="52"/>
      <c r="F50" s="52"/>
      <c r="G50" s="171"/>
      <c r="H50" s="190">
        <f>Input!F21</f>
        <v>12.37</v>
      </c>
      <c r="I50" s="171" t="s">
        <v>18</v>
      </c>
      <c r="K50" s="190"/>
    </row>
    <row r="51" spans="2:11">
      <c r="B51" s="53" t="s">
        <v>78</v>
      </c>
      <c r="C51" s="52"/>
      <c r="D51" s="52"/>
      <c r="E51" s="52"/>
      <c r="F51" s="52"/>
      <c r="G51" s="171"/>
      <c r="H51" s="190"/>
      <c r="I51" s="171"/>
    </row>
    <row r="52" spans="2:11">
      <c r="B52" s="171" t="s">
        <v>4248</v>
      </c>
      <c r="C52" s="52"/>
      <c r="D52" s="52"/>
      <c r="E52" s="52"/>
      <c r="F52" s="52"/>
      <c r="G52" s="171"/>
      <c r="H52" s="963">
        <f>Input!F22</f>
        <v>5.0199999999999996</v>
      </c>
      <c r="I52" s="171"/>
      <c r="K52" s="190"/>
    </row>
    <row r="53" spans="2:11">
      <c r="B53" s="52"/>
      <c r="C53" s="52"/>
      <c r="D53" s="52"/>
      <c r="E53" s="52"/>
      <c r="F53" s="52"/>
      <c r="G53" s="171"/>
      <c r="H53" s="190"/>
      <c r="I53" s="171"/>
    </row>
    <row r="54" spans="2:11" ht="16.5" thickBot="1">
      <c r="B54" s="53" t="s">
        <v>77</v>
      </c>
      <c r="C54" s="52"/>
      <c r="D54" s="52"/>
      <c r="E54" s="52"/>
      <c r="F54" s="52"/>
      <c r="G54" s="52"/>
      <c r="H54" s="964">
        <f>H50-H52</f>
        <v>7.35</v>
      </c>
      <c r="I54" s="171" t="s">
        <v>18</v>
      </c>
      <c r="K54" s="190"/>
    </row>
    <row r="55" spans="2:11" ht="16.5" thickTop="1">
      <c r="C55" s="52"/>
      <c r="D55" s="52"/>
      <c r="E55" s="52"/>
      <c r="F55" s="52"/>
      <c r="G55" s="52"/>
      <c r="H55" s="190"/>
      <c r="I55" s="171"/>
    </row>
    <row r="56" spans="2:11">
      <c r="B56" s="53" t="s">
        <v>4247</v>
      </c>
      <c r="C56" s="52"/>
      <c r="D56" s="52"/>
      <c r="E56" s="52"/>
      <c r="F56" s="52"/>
      <c r="G56" s="52"/>
      <c r="H56" s="190">
        <f>'MRP ERP WP'!AA42*100</f>
        <v>8.7068916532172782</v>
      </c>
      <c r="I56" s="171"/>
    </row>
    <row r="57" spans="2:11">
      <c r="C57" s="52"/>
      <c r="D57" s="52"/>
      <c r="E57" s="52"/>
      <c r="F57" s="52"/>
      <c r="G57" s="52"/>
      <c r="H57" s="190"/>
      <c r="I57" s="171"/>
    </row>
    <row r="58" spans="2:11" ht="16.5" thickBot="1">
      <c r="B58" s="53" t="s">
        <v>4571</v>
      </c>
      <c r="C58" s="52"/>
      <c r="D58" s="52"/>
      <c r="E58" s="52"/>
      <c r="F58" s="52" t="s">
        <v>5</v>
      </c>
      <c r="G58" s="52"/>
      <c r="H58" s="964">
        <f>AVERAGE(H56,H54,H47)</f>
        <v>8.9731303572401195</v>
      </c>
      <c r="I58" s="171"/>
    </row>
    <row r="59" spans="2:11" ht="16.5" thickTop="1">
      <c r="C59" s="52"/>
      <c r="D59" s="52"/>
      <c r="E59" s="52"/>
      <c r="F59" s="52"/>
      <c r="G59" s="52"/>
      <c r="H59" s="190"/>
      <c r="I59" s="171"/>
      <c r="K59" s="190"/>
    </row>
    <row r="60" spans="2:11">
      <c r="B60" s="53" t="s">
        <v>1326</v>
      </c>
      <c r="C60" s="52"/>
      <c r="D60" s="52"/>
      <c r="E60" s="52"/>
      <c r="F60" s="52"/>
      <c r="G60" s="52"/>
      <c r="H60" s="190"/>
      <c r="I60" s="171"/>
    </row>
    <row r="61" spans="2:11" ht="16.5" thickBot="1">
      <c r="B61" s="53" t="s">
        <v>1327</v>
      </c>
      <c r="C61" s="52"/>
      <c r="D61" s="52"/>
      <c r="E61" s="52"/>
      <c r="F61" s="52"/>
      <c r="G61" s="52"/>
      <c r="H61" s="964">
        <f>'MRP WP2'!$Q$504*100-F37</f>
        <v>7.1484012397640146</v>
      </c>
      <c r="I61" s="171"/>
    </row>
    <row r="62" spans="2:11" ht="16.5" thickTop="1">
      <c r="C62" s="52"/>
      <c r="D62" s="52"/>
      <c r="E62" s="52"/>
      <c r="F62" s="52"/>
      <c r="G62" s="52"/>
      <c r="H62" s="190"/>
      <c r="I62" s="171"/>
    </row>
    <row r="63" spans="2:11">
      <c r="C63" s="52"/>
      <c r="D63" s="52"/>
      <c r="E63" s="52"/>
      <c r="F63" s="52"/>
      <c r="G63" s="52"/>
      <c r="H63" s="190"/>
      <c r="I63" s="171"/>
    </row>
    <row r="64" spans="2:11">
      <c r="B64" s="53" t="s">
        <v>76</v>
      </c>
      <c r="C64" s="52"/>
      <c r="D64" s="52"/>
      <c r="E64" s="52"/>
      <c r="F64" s="52"/>
      <c r="G64" s="52"/>
      <c r="H64" s="190"/>
      <c r="I64" s="171"/>
    </row>
    <row r="65" spans="1:10" ht="16.5" thickBot="1">
      <c r="B65" s="53" t="s">
        <v>75</v>
      </c>
      <c r="C65" s="52"/>
      <c r="D65" s="52"/>
      <c r="E65" s="52"/>
      <c r="F65" s="52"/>
      <c r="G65" s="52"/>
      <c r="H65" s="364">
        <f>AVERAGE(H37,H41,H47,H54,H56,H61)</f>
        <v>9.7498071769275878</v>
      </c>
      <c r="I65" s="171" t="s">
        <v>18</v>
      </c>
    </row>
    <row r="66" spans="1:10" ht="16.5" thickTop="1">
      <c r="B66" s="52"/>
      <c r="C66" s="52"/>
      <c r="D66" s="52"/>
      <c r="E66" s="52"/>
      <c r="F66" s="52"/>
      <c r="G66" s="52"/>
      <c r="H66" s="52" t="s">
        <v>5</v>
      </c>
      <c r="I66" s="52"/>
    </row>
    <row r="67" spans="1:10">
      <c r="B67" s="181" t="s">
        <v>74</v>
      </c>
      <c r="C67" s="53" t="s">
        <v>73</v>
      </c>
      <c r="D67" s="52"/>
      <c r="E67" s="52"/>
      <c r="F67" s="52"/>
      <c r="G67" s="52"/>
      <c r="H67" s="52"/>
      <c r="I67" s="52"/>
      <c r="J67" s="52"/>
    </row>
    <row r="68" spans="1:10">
      <c r="B68" s="52"/>
      <c r="C68" s="53" t="s">
        <v>4614</v>
      </c>
      <c r="H68" s="52"/>
      <c r="I68" s="52"/>
      <c r="J68" s="52"/>
    </row>
    <row r="69" spans="1:10">
      <c r="C69" s="53" t="s">
        <v>4503</v>
      </c>
    </row>
    <row r="70" spans="1:10">
      <c r="B70" s="181"/>
      <c r="C70" s="53" t="s">
        <v>1354</v>
      </c>
    </row>
    <row r="71" spans="1:10">
      <c r="B71" s="181"/>
    </row>
    <row r="72" spans="1:10">
      <c r="B72" s="181"/>
    </row>
    <row r="73" spans="1:10" ht="16.5" thickBot="1">
      <c r="A73" s="950"/>
      <c r="B73" s="965" t="s">
        <v>1441</v>
      </c>
      <c r="C73" s="965" t="s">
        <v>1442</v>
      </c>
      <c r="D73" s="965" t="s">
        <v>1443</v>
      </c>
      <c r="E73" s="965" t="s">
        <v>1442</v>
      </c>
    </row>
    <row r="74" spans="1:10" ht="15" customHeight="1">
      <c r="A74" s="1050" t="s">
        <v>4183</v>
      </c>
      <c r="B74" s="966" t="s">
        <v>2333</v>
      </c>
      <c r="C74" s="967">
        <v>0.8</v>
      </c>
      <c r="D74" s="968" t="s">
        <v>192</v>
      </c>
      <c r="E74" s="967">
        <v>0.85</v>
      </c>
      <c r="F74" s="179"/>
      <c r="H74" s="604"/>
      <c r="I74" s="179"/>
      <c r="J74" s="179"/>
    </row>
    <row r="75" spans="1:10" ht="15" customHeight="1">
      <c r="A75" s="1050"/>
      <c r="B75" s="53" t="s">
        <v>3051</v>
      </c>
      <c r="C75" s="969">
        <v>0.95</v>
      </c>
      <c r="D75" s="970" t="s">
        <v>1495</v>
      </c>
      <c r="E75" s="969">
        <v>0.9</v>
      </c>
      <c r="F75" s="179"/>
      <c r="H75" s="604"/>
      <c r="I75" s="179"/>
      <c r="J75" s="179"/>
    </row>
    <row r="76" spans="1:10">
      <c r="A76" s="1050"/>
      <c r="B76" s="53" t="s">
        <v>214</v>
      </c>
      <c r="C76" s="969">
        <v>0.85</v>
      </c>
      <c r="D76" s="970" t="s">
        <v>1501</v>
      </c>
      <c r="E76" s="971">
        <v>1</v>
      </c>
      <c r="F76" s="179"/>
      <c r="H76" s="604"/>
      <c r="J76" s="179"/>
    </row>
    <row r="77" spans="1:10">
      <c r="A77" s="1050"/>
      <c r="B77" s="53" t="s">
        <v>3052</v>
      </c>
      <c r="C77" s="969">
        <v>0.8</v>
      </c>
      <c r="D77" s="970" t="s">
        <v>1516</v>
      </c>
      <c r="E77" s="971">
        <v>0.9</v>
      </c>
      <c r="F77" s="179"/>
      <c r="H77" s="604"/>
      <c r="J77" s="179"/>
    </row>
    <row r="78" spans="1:10">
      <c r="A78" s="1050"/>
      <c r="B78" s="53" t="s">
        <v>3053</v>
      </c>
      <c r="C78" s="971">
        <v>0.8</v>
      </c>
      <c r="D78" s="972" t="s">
        <v>2275</v>
      </c>
      <c r="E78" s="971">
        <v>0.9</v>
      </c>
      <c r="F78" s="179"/>
      <c r="H78" s="604"/>
      <c r="J78" s="179"/>
    </row>
    <row r="79" spans="1:10">
      <c r="A79" s="1050"/>
      <c r="B79" s="53" t="s">
        <v>3055</v>
      </c>
      <c r="C79" s="971">
        <v>0.85</v>
      </c>
      <c r="D79" s="972" t="s">
        <v>1545</v>
      </c>
      <c r="E79" s="971">
        <v>0.9</v>
      </c>
      <c r="F79" s="179"/>
      <c r="H79" s="604"/>
      <c r="J79" s="179"/>
    </row>
    <row r="80" spans="1:10">
      <c r="A80" s="1050"/>
      <c r="C80" s="971"/>
      <c r="D80" s="972" t="s">
        <v>4154</v>
      </c>
      <c r="E80" s="971">
        <v>0.85</v>
      </c>
      <c r="F80" s="179"/>
      <c r="H80" s="604"/>
      <c r="J80" s="179"/>
    </row>
    <row r="81" spans="1:10">
      <c r="A81" s="1050"/>
      <c r="C81" s="971"/>
      <c r="D81" s="972" t="s">
        <v>1582</v>
      </c>
      <c r="E81" s="971">
        <v>0.8</v>
      </c>
      <c r="F81" s="179"/>
      <c r="H81" s="604"/>
      <c r="J81" s="179"/>
    </row>
    <row r="82" spans="1:10">
      <c r="A82" s="1050"/>
      <c r="C82" s="971"/>
      <c r="D82" s="972" t="s">
        <v>2399</v>
      </c>
      <c r="E82" s="971">
        <v>0.9</v>
      </c>
      <c r="F82" s="179"/>
      <c r="H82" s="604"/>
      <c r="J82" s="179"/>
    </row>
    <row r="83" spans="1:10">
      <c r="A83" s="1050"/>
      <c r="C83" s="971"/>
      <c r="D83" s="972" t="s">
        <v>3974</v>
      </c>
      <c r="E83" s="971">
        <v>0.9</v>
      </c>
      <c r="F83" s="179"/>
      <c r="H83" s="604"/>
      <c r="J83" s="179"/>
    </row>
    <row r="84" spans="1:10">
      <c r="A84" s="1050"/>
      <c r="C84" s="971"/>
      <c r="D84" s="972" t="s">
        <v>4155</v>
      </c>
      <c r="E84" s="971">
        <v>0.8</v>
      </c>
      <c r="F84" s="179"/>
      <c r="H84" s="604"/>
      <c r="J84" s="179"/>
    </row>
    <row r="85" spans="1:10">
      <c r="A85" s="1050"/>
      <c r="C85" s="971"/>
      <c r="D85" s="972" t="s">
        <v>4061</v>
      </c>
      <c r="E85" s="971">
        <v>0.85</v>
      </c>
      <c r="F85" s="179"/>
      <c r="H85" s="604"/>
      <c r="J85" s="179"/>
    </row>
    <row r="86" spans="1:10" ht="16.5" thickBot="1">
      <c r="A86" s="1051"/>
      <c r="B86" s="950"/>
      <c r="C86" s="973"/>
      <c r="D86" s="972" t="s">
        <v>1670</v>
      </c>
      <c r="E86" s="971">
        <v>0.8</v>
      </c>
      <c r="F86" s="179"/>
      <c r="H86" s="604"/>
      <c r="J86" s="179"/>
    </row>
    <row r="87" spans="1:10">
      <c r="D87" s="972" t="s">
        <v>3016</v>
      </c>
      <c r="E87" s="971">
        <v>0.9</v>
      </c>
      <c r="F87" s="179"/>
      <c r="H87" s="604"/>
      <c r="J87" s="179"/>
    </row>
    <row r="88" spans="1:10">
      <c r="D88" s="972" t="s">
        <v>3017</v>
      </c>
      <c r="E88" s="971">
        <v>0.9</v>
      </c>
      <c r="F88" s="179"/>
      <c r="H88" s="604"/>
      <c r="J88" s="179"/>
    </row>
    <row r="89" spans="1:10">
      <c r="D89" s="972" t="s">
        <v>4514</v>
      </c>
      <c r="E89" s="971">
        <v>0.9</v>
      </c>
      <c r="F89" s="179"/>
      <c r="H89" s="604"/>
      <c r="J89" s="179"/>
    </row>
    <row r="90" spans="1:10">
      <c r="D90" s="972" t="s">
        <v>2563</v>
      </c>
      <c r="E90" s="971">
        <v>0.85</v>
      </c>
      <c r="F90" s="179"/>
      <c r="H90" s="604"/>
      <c r="J90" s="179"/>
    </row>
    <row r="91" spans="1:10">
      <c r="D91" s="972" t="s">
        <v>1897</v>
      </c>
      <c r="E91" s="971">
        <v>0.75</v>
      </c>
      <c r="F91" s="179"/>
      <c r="H91" s="604"/>
      <c r="J91" s="179"/>
    </row>
    <row r="92" spans="1:10">
      <c r="D92" s="972" t="s">
        <v>1308</v>
      </c>
      <c r="E92" s="971">
        <v>0.75</v>
      </c>
      <c r="F92" s="179"/>
      <c r="H92" s="604"/>
      <c r="J92" s="179"/>
    </row>
    <row r="93" spans="1:10">
      <c r="D93" s="972" t="s">
        <v>2324</v>
      </c>
      <c r="E93" s="971">
        <v>1.05</v>
      </c>
      <c r="F93" s="179"/>
      <c r="G93" s="974"/>
      <c r="H93" s="604"/>
      <c r="J93" s="179"/>
    </row>
    <row r="94" spans="1:10">
      <c r="D94" s="972" t="s">
        <v>1920</v>
      </c>
      <c r="E94" s="971">
        <v>0.9</v>
      </c>
      <c r="F94" s="179"/>
      <c r="G94" s="974"/>
      <c r="H94" s="604"/>
      <c r="J94" s="179"/>
    </row>
    <row r="95" spans="1:10">
      <c r="D95" s="972" t="s">
        <v>4238</v>
      </c>
      <c r="E95" s="971">
        <v>0.75</v>
      </c>
      <c r="F95" s="179"/>
      <c r="G95" s="974"/>
      <c r="H95" s="604"/>
      <c r="J95" s="179"/>
    </row>
    <row r="96" spans="1:10">
      <c r="D96" s="972" t="s">
        <v>1938</v>
      </c>
      <c r="E96" s="971">
        <v>0.8</v>
      </c>
      <c r="F96" s="179"/>
      <c r="G96" s="974"/>
      <c r="H96" s="604"/>
      <c r="J96" s="179"/>
    </row>
    <row r="97" spans="4:10">
      <c r="D97" s="972" t="s">
        <v>2968</v>
      </c>
      <c r="E97" s="971">
        <v>0.95</v>
      </c>
      <c r="F97" s="179"/>
      <c r="G97" s="974"/>
      <c r="H97" s="604"/>
      <c r="J97" s="179"/>
    </row>
    <row r="98" spans="4:10">
      <c r="D98" s="972" t="s">
        <v>1958</v>
      </c>
      <c r="E98" s="971">
        <v>0.8</v>
      </c>
      <c r="F98" s="179"/>
      <c r="G98" s="974"/>
      <c r="H98" s="604"/>
      <c r="J98" s="179"/>
    </row>
    <row r="99" spans="4:10">
      <c r="D99" s="972" t="s">
        <v>1975</v>
      </c>
      <c r="E99" s="971">
        <v>0.75</v>
      </c>
      <c r="F99" s="179"/>
      <c r="G99" s="974"/>
      <c r="H99" s="604"/>
      <c r="J99" s="179"/>
    </row>
    <row r="100" spans="4:10">
      <c r="D100" s="972" t="s">
        <v>4515</v>
      </c>
      <c r="E100" s="975" t="s">
        <v>4057</v>
      </c>
      <c r="F100" s="179"/>
      <c r="G100" s="974"/>
      <c r="H100" s="604"/>
      <c r="J100" s="179"/>
    </row>
    <row r="101" spans="4:10">
      <c r="D101" s="972" t="s">
        <v>3975</v>
      </c>
      <c r="E101" s="971">
        <v>0.8</v>
      </c>
      <c r="F101" s="179"/>
      <c r="G101" s="974"/>
      <c r="H101" s="604"/>
      <c r="J101" s="179"/>
    </row>
    <row r="102" spans="4:10">
      <c r="D102" s="972" t="s">
        <v>2688</v>
      </c>
      <c r="E102" s="971">
        <v>0.85</v>
      </c>
      <c r="F102" s="179"/>
      <c r="G102" s="974"/>
      <c r="H102" s="604"/>
      <c r="J102" s="179"/>
    </row>
    <row r="103" spans="4:10">
      <c r="D103" s="972" t="s">
        <v>186</v>
      </c>
      <c r="E103" s="971">
        <v>0.95</v>
      </c>
      <c r="F103" s="179"/>
      <c r="G103" s="974"/>
      <c r="H103" s="604"/>
      <c r="J103" s="179"/>
    </row>
    <row r="104" spans="4:10">
      <c r="D104" s="972" t="s">
        <v>3018</v>
      </c>
      <c r="E104" s="971">
        <v>0.85</v>
      </c>
      <c r="F104" s="179"/>
      <c r="G104" s="974"/>
      <c r="H104" s="604"/>
      <c r="J104" s="179"/>
    </row>
    <row r="105" spans="4:10">
      <c r="D105" s="972" t="s">
        <v>3976</v>
      </c>
      <c r="E105" s="971">
        <v>0.9</v>
      </c>
      <c r="F105" s="179"/>
      <c r="G105" s="974"/>
      <c r="H105" s="604"/>
      <c r="J105" s="179"/>
    </row>
    <row r="106" spans="4:10">
      <c r="D106" s="972" t="s">
        <v>4516</v>
      </c>
      <c r="E106" s="971">
        <v>0.95</v>
      </c>
      <c r="F106" s="179"/>
      <c r="G106" s="974"/>
      <c r="H106" s="604"/>
      <c r="J106" s="179"/>
    </row>
    <row r="107" spans="4:10">
      <c r="D107" s="972" t="s">
        <v>2074</v>
      </c>
      <c r="E107" s="971">
        <v>0.85</v>
      </c>
      <c r="F107" s="179"/>
      <c r="G107" s="974"/>
      <c r="H107" s="604"/>
      <c r="J107" s="179"/>
    </row>
    <row r="108" spans="4:10">
      <c r="D108" s="972" t="s">
        <v>2084</v>
      </c>
      <c r="E108" s="971">
        <v>0.9</v>
      </c>
      <c r="F108" s="179"/>
      <c r="G108" s="974"/>
      <c r="H108" s="604"/>
      <c r="J108" s="179"/>
    </row>
    <row r="109" spans="4:10">
      <c r="D109" s="972" t="s">
        <v>2116</v>
      </c>
      <c r="E109" s="971">
        <v>0.95</v>
      </c>
      <c r="F109" s="179"/>
      <c r="G109" s="974"/>
      <c r="H109" s="604"/>
      <c r="J109" s="179"/>
    </row>
    <row r="110" spans="4:10">
      <c r="D110" s="972" t="s">
        <v>2124</v>
      </c>
      <c r="E110" s="971">
        <v>0.95</v>
      </c>
      <c r="F110" s="179"/>
      <c r="G110" s="974"/>
      <c r="H110" s="604"/>
      <c r="J110" s="179"/>
    </row>
    <row r="111" spans="4:10">
      <c r="D111" s="972" t="s">
        <v>4157</v>
      </c>
      <c r="E111" s="971">
        <v>0.85</v>
      </c>
      <c r="F111" s="179"/>
      <c r="G111" s="974"/>
      <c r="H111" s="604"/>
      <c r="J111" s="179"/>
    </row>
    <row r="112" spans="4:10" ht="16.5" thickBot="1">
      <c r="D112" s="976" t="s">
        <v>2142</v>
      </c>
      <c r="E112" s="973">
        <v>0.8</v>
      </c>
      <c r="F112" s="179"/>
      <c r="G112" s="974"/>
      <c r="H112" s="604"/>
      <c r="J112" s="179"/>
    </row>
    <row r="113" spans="6:10">
      <c r="F113" s="179"/>
      <c r="G113" s="974"/>
      <c r="H113" s="604"/>
      <c r="J113" s="179"/>
    </row>
    <row r="114" spans="6:10">
      <c r="F114" s="179"/>
      <c r="G114" s="974"/>
      <c r="J114" s="179"/>
    </row>
    <row r="115" spans="6:10">
      <c r="F115" s="179"/>
      <c r="G115" s="974"/>
      <c r="J115" s="179"/>
    </row>
    <row r="116" spans="6:10">
      <c r="F116" s="179"/>
      <c r="G116" s="974"/>
      <c r="J116" s="179"/>
    </row>
    <row r="117" spans="6:10">
      <c r="F117" s="179"/>
      <c r="G117" s="974"/>
      <c r="J117" s="179"/>
    </row>
    <row r="118" spans="6:10">
      <c r="F118" s="179"/>
      <c r="G118" s="974"/>
      <c r="J118" s="179"/>
    </row>
    <row r="119" spans="6:10">
      <c r="F119" s="179"/>
      <c r="G119" s="974"/>
      <c r="J119" s="179"/>
    </row>
    <row r="120" spans="6:10">
      <c r="F120" s="179"/>
      <c r="G120" s="974"/>
      <c r="J120" s="179"/>
    </row>
    <row r="121" spans="6:10">
      <c r="F121" s="179"/>
      <c r="G121" s="974"/>
    </row>
    <row r="122" spans="6:10">
      <c r="F122" s="179"/>
      <c r="G122" s="146"/>
      <c r="H122" s="604"/>
    </row>
    <row r="123" spans="6:10">
      <c r="F123" s="179"/>
      <c r="G123" s="146"/>
      <c r="H123" s="604"/>
    </row>
    <row r="124" spans="6:10">
      <c r="F124" s="179"/>
      <c r="G124" s="146"/>
      <c r="H124" s="604"/>
    </row>
    <row r="125" spans="6:10">
      <c r="F125" s="179"/>
      <c r="G125" s="146"/>
      <c r="H125" s="604"/>
    </row>
    <row r="126" spans="6:10">
      <c r="F126" s="179"/>
      <c r="G126" s="146"/>
      <c r="H126" s="604"/>
    </row>
    <row r="127" spans="6:10">
      <c r="F127" s="179"/>
      <c r="G127" s="146"/>
      <c r="H127" s="604"/>
    </row>
    <row r="128" spans="6:10">
      <c r="F128" s="179"/>
      <c r="G128" s="146"/>
      <c r="H128" s="604"/>
    </row>
    <row r="129" spans="6:8">
      <c r="F129" s="179"/>
      <c r="G129" s="146"/>
      <c r="H129" s="604"/>
    </row>
    <row r="130" spans="6:8">
      <c r="F130" s="179"/>
      <c r="G130" s="146"/>
      <c r="H130" s="604"/>
    </row>
    <row r="131" spans="6:8">
      <c r="F131" s="179"/>
      <c r="G131" s="146"/>
      <c r="H131" s="604"/>
    </row>
    <row r="132" spans="6:8">
      <c r="F132" s="179"/>
      <c r="G132" s="146"/>
      <c r="H132" s="604"/>
    </row>
    <row r="133" spans="6:8">
      <c r="F133" s="179"/>
      <c r="G133" s="146"/>
      <c r="H133" s="604"/>
    </row>
    <row r="134" spans="6:8">
      <c r="F134" s="179"/>
      <c r="G134" s="146"/>
      <c r="H134" s="604"/>
    </row>
    <row r="135" spans="6:8">
      <c r="F135" s="179"/>
      <c r="G135" s="146"/>
      <c r="H135" s="604"/>
    </row>
    <row r="136" spans="6:8">
      <c r="F136" s="179"/>
      <c r="G136" s="146"/>
      <c r="H136" s="604"/>
    </row>
    <row r="137" spans="6:8">
      <c r="F137" s="179"/>
      <c r="G137" s="146"/>
      <c r="H137" s="604"/>
    </row>
    <row r="138" spans="6:8">
      <c r="F138" s="179"/>
      <c r="G138" s="146"/>
      <c r="H138" s="604"/>
    </row>
    <row r="139" spans="6:8">
      <c r="F139" s="179"/>
      <c r="G139" s="146"/>
      <c r="H139" s="604"/>
    </row>
    <row r="140" spans="6:8">
      <c r="F140" s="179"/>
      <c r="G140" s="146"/>
      <c r="H140" s="604"/>
    </row>
    <row r="141" spans="6:8">
      <c r="F141" s="179"/>
      <c r="G141" s="146"/>
      <c r="H141" s="604"/>
    </row>
    <row r="142" spans="6:8">
      <c r="F142" s="179"/>
      <c r="G142" s="146"/>
      <c r="H142" s="604"/>
    </row>
    <row r="143" spans="6:8">
      <c r="F143" s="179"/>
      <c r="G143" s="146"/>
      <c r="H143" s="604"/>
    </row>
    <row r="144" spans="6:8">
      <c r="F144" s="179"/>
      <c r="G144" s="146"/>
      <c r="H144" s="604"/>
    </row>
    <row r="145" spans="6:8">
      <c r="F145" s="179"/>
      <c r="G145" s="146"/>
      <c r="H145" s="604"/>
    </row>
    <row r="146" spans="6:8">
      <c r="F146" s="179"/>
      <c r="G146" s="146"/>
      <c r="H146" s="604"/>
    </row>
    <row r="147" spans="6:8">
      <c r="F147" s="179"/>
      <c r="G147" s="146"/>
      <c r="H147" s="604"/>
    </row>
    <row r="148" spans="6:8">
      <c r="F148" s="179"/>
      <c r="G148" s="146"/>
      <c r="H148" s="604"/>
    </row>
    <row r="149" spans="6:8">
      <c r="F149" s="179"/>
      <c r="G149" s="146"/>
      <c r="H149" s="604"/>
    </row>
    <row r="150" spans="6:8">
      <c r="F150" s="179"/>
      <c r="G150" s="146"/>
      <c r="H150" s="604"/>
    </row>
    <row r="151" spans="6:8">
      <c r="F151" s="179"/>
      <c r="G151" s="146"/>
      <c r="H151" s="604"/>
    </row>
    <row r="152" spans="6:8">
      <c r="F152" s="179"/>
      <c r="G152" s="146"/>
      <c r="H152" s="604"/>
    </row>
    <row r="153" spans="6:8">
      <c r="F153" s="179"/>
      <c r="G153" s="146"/>
      <c r="H153" s="604"/>
    </row>
    <row r="154" spans="6:8">
      <c r="F154" s="179"/>
      <c r="G154" s="146"/>
      <c r="H154" s="604"/>
    </row>
    <row r="155" spans="6:8">
      <c r="F155" s="179"/>
      <c r="G155" s="146"/>
      <c r="H155" s="604"/>
    </row>
    <row r="156" spans="6:8">
      <c r="F156" s="179"/>
      <c r="G156" s="146"/>
      <c r="H156" s="604"/>
    </row>
    <row r="157" spans="6:8">
      <c r="F157" s="179"/>
      <c r="G157" s="146"/>
      <c r="H157" s="604"/>
    </row>
    <row r="158" spans="6:8">
      <c r="F158" s="179"/>
      <c r="G158" s="146"/>
      <c r="H158" s="604"/>
    </row>
    <row r="159" spans="6:8">
      <c r="F159" s="179"/>
      <c r="G159" s="146"/>
      <c r="H159" s="604"/>
    </row>
    <row r="160" spans="6:8">
      <c r="F160" s="179"/>
      <c r="G160" s="146"/>
      <c r="H160" s="604"/>
    </row>
  </sheetData>
  <mergeCells count="8">
    <mergeCell ref="A74:A86"/>
    <mergeCell ref="M4:N5"/>
    <mergeCell ref="B25:J25"/>
    <mergeCell ref="B26:J26"/>
    <mergeCell ref="D3:E5"/>
    <mergeCell ref="G3:H5"/>
    <mergeCell ref="B4:B5"/>
    <mergeCell ref="J4:K5"/>
  </mergeCells>
  <phoneticPr fontId="0" type="noConversion"/>
  <pageMargins left="0.7" right="0.7" top="0.75" bottom="0.75" header="0.3" footer="0.3"/>
  <pageSetup scale="39" orientation="portrait" horizontalDpi="4294967293"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Q505"/>
  <sheetViews>
    <sheetView zoomScale="85" zoomScaleNormal="85" workbookViewId="0"/>
  </sheetViews>
  <sheetFormatPr defaultColWidth="8.85546875" defaultRowHeight="15.75"/>
  <cols>
    <col min="1" max="1" width="17" style="3" bestFit="1" customWidth="1"/>
    <col min="2" max="2" width="33.42578125" style="3" bestFit="1" customWidth="1"/>
    <col min="3" max="3" width="12.42578125" style="3" bestFit="1" customWidth="1"/>
    <col min="4" max="4" width="24.5703125" style="3" customWidth="1"/>
    <col min="5" max="5" width="17.85546875" style="3" bestFit="1" customWidth="1"/>
    <col min="6" max="6" width="30.85546875" style="3" bestFit="1" customWidth="1"/>
    <col min="7" max="7" width="12.5703125" style="3" bestFit="1" customWidth="1"/>
    <col min="8" max="8" width="9.7109375" style="3" bestFit="1" customWidth="1"/>
    <col min="9" max="9" width="7.7109375" style="3" customWidth="1"/>
    <col min="10" max="10" width="45.42578125" style="3" bestFit="1" customWidth="1"/>
    <col min="11" max="11" width="17.7109375" style="3" customWidth="1"/>
    <col min="12" max="12" width="21.140625" style="3" customWidth="1"/>
    <col min="13" max="15" width="15" style="3" customWidth="1"/>
    <col min="16" max="16" width="12.5703125" style="3" customWidth="1"/>
    <col min="17" max="17" width="15" style="3" customWidth="1"/>
    <col min="18" max="16384" width="8.85546875" style="3"/>
  </cols>
  <sheetData>
    <row r="1" spans="1:17">
      <c r="A1" s="703" t="s">
        <v>4541</v>
      </c>
      <c r="B1" s="704">
        <v>44925</v>
      </c>
    </row>
    <row r="2" spans="1:17" ht="47.25">
      <c r="B2" s="3" t="s">
        <v>1318</v>
      </c>
      <c r="C2" s="3" t="s">
        <v>173</v>
      </c>
      <c r="D2" s="3" t="s">
        <v>1317</v>
      </c>
      <c r="E2" s="3" t="s">
        <v>1316</v>
      </c>
      <c r="F2" s="3" t="s">
        <v>1315</v>
      </c>
      <c r="G2" s="3" t="s">
        <v>1314</v>
      </c>
      <c r="H2" s="3" t="s">
        <v>1302</v>
      </c>
      <c r="I2" s="12"/>
      <c r="J2" s="705" t="s">
        <v>158</v>
      </c>
      <c r="K2" s="705" t="s">
        <v>181</v>
      </c>
      <c r="L2" s="705" t="s">
        <v>2199</v>
      </c>
      <c r="M2" s="705" t="s">
        <v>2201</v>
      </c>
      <c r="N2" s="705" t="s">
        <v>2202</v>
      </c>
      <c r="O2" s="705" t="s">
        <v>2203</v>
      </c>
      <c r="P2" s="705" t="s">
        <v>2200</v>
      </c>
      <c r="Q2" s="705" t="s">
        <v>2204</v>
      </c>
    </row>
    <row r="3" spans="1:17">
      <c r="A3" s="3" t="s">
        <v>1484</v>
      </c>
      <c r="B3" s="3" t="s">
        <v>2335</v>
      </c>
      <c r="C3" s="3" t="s">
        <v>192</v>
      </c>
      <c r="D3" s="3">
        <v>44307180786.000008</v>
      </c>
      <c r="E3" s="3">
        <v>0.59405278984296694</v>
      </c>
      <c r="F3" s="3">
        <v>10</v>
      </c>
      <c r="G3" s="3">
        <v>296.072</v>
      </c>
      <c r="H3" s="3">
        <v>149.65</v>
      </c>
      <c r="I3" s="706"/>
      <c r="J3" s="707" t="str">
        <f>B3</f>
        <v>Agilent Technologies Inc</v>
      </c>
      <c r="K3" s="708" t="str">
        <f t="shared" ref="K3:K66" si="0">C3</f>
        <v>A</v>
      </c>
      <c r="L3" s="709">
        <f t="shared" ref="L3:L66" si="1">D3/1000000</f>
        <v>44307.180786000004</v>
      </c>
      <c r="M3" s="710">
        <f t="shared" ref="M3:M66" si="2">IFERROR(E3/100,"0.00%")</f>
        <v>5.9405278984296693E-3</v>
      </c>
      <c r="N3" s="710">
        <f t="shared" ref="N3:N66" si="3">IFERROR(F3/100,"N/A")</f>
        <v>0.1</v>
      </c>
      <c r="O3" s="711">
        <f t="shared" ref="O3:O66" si="4">IFERROR(M3*(1+0.5*N3)+N3,"N/A")</f>
        <v>0.10623755429335116</v>
      </c>
      <c r="P3" s="712">
        <f t="shared" ref="P3:P66" si="5">IF(N3="N/A","N/A",L3/$L$504)</f>
        <v>1.3835946975148455E-3</v>
      </c>
      <c r="Q3" s="713">
        <f t="shared" ref="Q3:Q66" si="6">IF(AND(ISNUMBER(L3),ISNUMBER(O3)),O3*P3,"N/A")</f>
        <v>1.4698971679722619E-4</v>
      </c>
    </row>
    <row r="4" spans="1:17">
      <c r="A4" s="3" t="s">
        <v>1485</v>
      </c>
      <c r="B4" s="3" t="s">
        <v>2336</v>
      </c>
      <c r="C4" s="3" t="s">
        <v>1486</v>
      </c>
      <c r="D4" s="3">
        <v>8266739282.6400013</v>
      </c>
      <c r="E4" s="3">
        <v>0</v>
      </c>
      <c r="F4" s="3" t="s">
        <v>1483</v>
      </c>
      <c r="G4" s="3">
        <v>649.90089999999998</v>
      </c>
      <c r="H4" s="3">
        <v>12.72</v>
      </c>
      <c r="I4" s="706"/>
      <c r="J4" s="707" t="str">
        <f t="shared" ref="J4:K67" si="7">B4</f>
        <v>American Airlines Group Inc</v>
      </c>
      <c r="K4" s="708" t="str">
        <f t="shared" si="0"/>
        <v>AAL</v>
      </c>
      <c r="L4" s="709">
        <f t="shared" si="1"/>
        <v>8266.739282640001</v>
      </c>
      <c r="M4" s="710">
        <f t="shared" si="2"/>
        <v>0</v>
      </c>
      <c r="N4" s="710" t="str">
        <f t="shared" si="3"/>
        <v>N/A</v>
      </c>
      <c r="O4" s="711" t="str">
        <f t="shared" si="4"/>
        <v>N/A</v>
      </c>
      <c r="P4" s="712" t="str">
        <f t="shared" si="5"/>
        <v>N/A</v>
      </c>
      <c r="Q4" s="713" t="str">
        <f t="shared" si="6"/>
        <v>N/A</v>
      </c>
    </row>
    <row r="5" spans="1:17">
      <c r="A5" s="3" t="s">
        <v>1487</v>
      </c>
      <c r="B5" s="3" t="s">
        <v>2337</v>
      </c>
      <c r="C5" s="3" t="s">
        <v>1488</v>
      </c>
      <c r="D5" s="3">
        <v>8712073863.4799995</v>
      </c>
      <c r="E5" s="3">
        <v>3.8121471808474459</v>
      </c>
      <c r="F5" s="3">
        <v>12.525</v>
      </c>
      <c r="G5" s="3">
        <v>59.253719999999994</v>
      </c>
      <c r="H5" s="3">
        <v>147.03</v>
      </c>
      <c r="I5" s="706"/>
      <c r="J5" s="707" t="str">
        <f t="shared" si="7"/>
        <v>Advance Auto Parts Inc</v>
      </c>
      <c r="K5" s="708" t="str">
        <f t="shared" si="0"/>
        <v>AAP</v>
      </c>
      <c r="L5" s="709">
        <f t="shared" si="1"/>
        <v>8712.07386348</v>
      </c>
      <c r="M5" s="710">
        <f t="shared" si="2"/>
        <v>3.8121471808474458E-2</v>
      </c>
      <c r="N5" s="710">
        <f t="shared" si="3"/>
        <v>0.12525</v>
      </c>
      <c r="O5" s="711">
        <f t="shared" si="4"/>
        <v>0.16575882898048017</v>
      </c>
      <c r="P5" s="712">
        <f t="shared" si="5"/>
        <v>2.7205475473802586E-4</v>
      </c>
      <c r="Q5" s="713">
        <f t="shared" si="6"/>
        <v>4.5095477563946905E-5</v>
      </c>
    </row>
    <row r="6" spans="1:17">
      <c r="A6" s="3" t="s">
        <v>1489</v>
      </c>
      <c r="B6" s="3" t="s">
        <v>2338</v>
      </c>
      <c r="C6" s="3" t="s">
        <v>1490</v>
      </c>
      <c r="D6" s="3">
        <v>2066941771740.0002</v>
      </c>
      <c r="E6" s="3">
        <v>0.75579158008158243</v>
      </c>
      <c r="F6" s="3">
        <v>13</v>
      </c>
      <c r="G6" s="3">
        <v>15908.119999999999</v>
      </c>
      <c r="H6" s="3">
        <v>129.93</v>
      </c>
      <c r="I6" s="706"/>
      <c r="J6" s="707" t="str">
        <f t="shared" si="7"/>
        <v>Apple Inc</v>
      </c>
      <c r="K6" s="708" t="str">
        <f t="shared" si="0"/>
        <v>AAPL</v>
      </c>
      <c r="L6" s="709">
        <f t="shared" si="1"/>
        <v>2066941.7717400002</v>
      </c>
      <c r="M6" s="710">
        <f t="shared" si="2"/>
        <v>7.5579158008158244E-3</v>
      </c>
      <c r="N6" s="710">
        <f t="shared" si="3"/>
        <v>0.13</v>
      </c>
      <c r="O6" s="711">
        <f t="shared" si="4"/>
        <v>0.13804918032786886</v>
      </c>
      <c r="P6" s="712">
        <f t="shared" si="5"/>
        <v>6.4545060749047589E-2</v>
      </c>
      <c r="Q6" s="713">
        <f t="shared" si="6"/>
        <v>8.9103927306185219E-3</v>
      </c>
    </row>
    <row r="7" spans="1:17">
      <c r="A7" s="3" t="s">
        <v>1491</v>
      </c>
      <c r="B7" s="3" t="s">
        <v>2339</v>
      </c>
      <c r="C7" s="3" t="s">
        <v>1492</v>
      </c>
      <c r="D7" s="3">
        <v>285804134897.88</v>
      </c>
      <c r="E7" s="3">
        <v>3.502258523606212</v>
      </c>
      <c r="F7" s="3">
        <v>-1.97</v>
      </c>
      <c r="G7" s="3">
        <v>1768.481</v>
      </c>
      <c r="H7" s="3">
        <v>161.61000000000001</v>
      </c>
      <c r="I7" s="706"/>
      <c r="J7" s="707" t="str">
        <f t="shared" si="7"/>
        <v>AbbVie Inc</v>
      </c>
      <c r="K7" s="708" t="str">
        <f t="shared" si="0"/>
        <v>ABBV</v>
      </c>
      <c r="L7" s="709">
        <f t="shared" si="1"/>
        <v>285804.13489788002</v>
      </c>
      <c r="M7" s="710">
        <f t="shared" si="2"/>
        <v>3.5022585236062123E-2</v>
      </c>
      <c r="N7" s="710">
        <f t="shared" si="3"/>
        <v>-1.9699999999999999E-2</v>
      </c>
      <c r="O7" s="711">
        <f t="shared" si="4"/>
        <v>1.4977612771486914E-2</v>
      </c>
      <c r="P7" s="712">
        <f t="shared" si="5"/>
        <v>8.9248983699155363E-3</v>
      </c>
      <c r="Q7" s="713">
        <f t="shared" si="6"/>
        <v>1.3367367180946969E-4</v>
      </c>
    </row>
    <row r="8" spans="1:17">
      <c r="A8" s="3" t="s">
        <v>1493</v>
      </c>
      <c r="B8" s="3" t="s">
        <v>2340</v>
      </c>
      <c r="C8" s="3" t="s">
        <v>1312</v>
      </c>
      <c r="D8" s="3">
        <v>33687180928.700008</v>
      </c>
      <c r="E8" s="3">
        <v>1.1767545712389114</v>
      </c>
      <c r="F8" s="3">
        <v>8.19</v>
      </c>
      <c r="G8" s="3">
        <v>203.29</v>
      </c>
      <c r="H8" s="3">
        <v>165.71</v>
      </c>
      <c r="I8" s="706"/>
      <c r="J8" s="707" t="str">
        <f t="shared" si="7"/>
        <v>AmerisourceBergen Corp</v>
      </c>
      <c r="K8" s="708" t="str">
        <f t="shared" si="0"/>
        <v>ABC</v>
      </c>
      <c r="L8" s="709">
        <f t="shared" si="1"/>
        <v>33687.180928700007</v>
      </c>
      <c r="M8" s="710">
        <f t="shared" si="2"/>
        <v>1.1767545712389114E-2</v>
      </c>
      <c r="N8" s="710">
        <f t="shared" si="3"/>
        <v>8.1900000000000001E-2</v>
      </c>
      <c r="O8" s="711">
        <f t="shared" si="4"/>
        <v>9.4149426709311451E-2</v>
      </c>
      <c r="P8" s="712">
        <f t="shared" si="5"/>
        <v>1.0519605192732102E-3</v>
      </c>
      <c r="Q8" s="713">
        <f t="shared" si="6"/>
        <v>9.9041479810402323E-5</v>
      </c>
    </row>
    <row r="9" spans="1:17">
      <c r="A9" s="3" t="s">
        <v>1494</v>
      </c>
      <c r="B9" s="3" t="s">
        <v>2341</v>
      </c>
      <c r="C9" s="3" t="s">
        <v>1495</v>
      </c>
      <c r="D9" s="3">
        <v>191426964976.83002</v>
      </c>
      <c r="E9" s="3">
        <v>1.7041624920302394</v>
      </c>
      <c r="F9" s="3">
        <v>3.59</v>
      </c>
      <c r="G9" s="3">
        <v>1743.5739999999998</v>
      </c>
      <c r="H9" s="3">
        <v>109.79</v>
      </c>
      <c r="I9" s="706"/>
      <c r="J9" s="707" t="str">
        <f t="shared" si="7"/>
        <v>Abbott Laboratories</v>
      </c>
      <c r="K9" s="708" t="str">
        <f t="shared" si="0"/>
        <v>ABT</v>
      </c>
      <c r="L9" s="709">
        <f t="shared" si="1"/>
        <v>191426.96497683003</v>
      </c>
      <c r="M9" s="710">
        <f t="shared" si="2"/>
        <v>1.7041624920302395E-2</v>
      </c>
      <c r="N9" s="710">
        <f t="shared" si="3"/>
        <v>3.5900000000000001E-2</v>
      </c>
      <c r="O9" s="711">
        <f t="shared" si="4"/>
        <v>5.3247522087621818E-2</v>
      </c>
      <c r="P9" s="712">
        <f t="shared" si="5"/>
        <v>5.9777518904337639E-3</v>
      </c>
      <c r="Q9" s="713">
        <f t="shared" si="6"/>
        <v>3.1830047582019492E-4</v>
      </c>
    </row>
    <row r="10" spans="1:17">
      <c r="A10" s="3" t="s">
        <v>4542</v>
      </c>
      <c r="B10" s="3" t="s">
        <v>4543</v>
      </c>
      <c r="C10" s="3" t="s">
        <v>4544</v>
      </c>
      <c r="D10" s="3">
        <v>23220628635.059998</v>
      </c>
      <c r="E10" s="3" t="s">
        <v>1483</v>
      </c>
      <c r="F10" s="3">
        <v>15.5</v>
      </c>
      <c r="G10" s="3">
        <v>369.87299999999999</v>
      </c>
      <c r="H10" s="3">
        <v>62.78</v>
      </c>
      <c r="I10" s="706"/>
      <c r="J10" s="707" t="str">
        <f t="shared" si="7"/>
        <v>Arch Capital Group Ltd</v>
      </c>
      <c r="K10" s="708" t="str">
        <f t="shared" si="0"/>
        <v>ACGL</v>
      </c>
      <c r="L10" s="709">
        <f t="shared" si="1"/>
        <v>23220.628635059998</v>
      </c>
      <c r="M10" s="710" t="str">
        <f t="shared" si="2"/>
        <v>0.00%</v>
      </c>
      <c r="N10" s="710">
        <f t="shared" si="3"/>
        <v>0.155</v>
      </c>
      <c r="O10" s="711">
        <f t="shared" si="4"/>
        <v>0.155</v>
      </c>
      <c r="P10" s="712">
        <f t="shared" si="5"/>
        <v>7.2511809784526061E-4</v>
      </c>
      <c r="Q10" s="713">
        <f t="shared" si="6"/>
        <v>1.1239330516601539E-4</v>
      </c>
    </row>
    <row r="11" spans="1:17">
      <c r="A11" s="3" t="s">
        <v>1496</v>
      </c>
      <c r="B11" s="3" t="s">
        <v>2342</v>
      </c>
      <c r="C11" s="3" t="s">
        <v>1497</v>
      </c>
      <c r="D11" s="3">
        <v>175940456610.23996</v>
      </c>
      <c r="E11" s="3">
        <v>1.6107030430220359</v>
      </c>
      <c r="F11" s="3">
        <v>9.2000000000000011</v>
      </c>
      <c r="G11" s="3">
        <v>658.38850000000002</v>
      </c>
      <c r="H11" s="3">
        <v>266.83999999999997</v>
      </c>
      <c r="I11" s="706"/>
      <c r="J11" s="707" t="str">
        <f t="shared" si="7"/>
        <v>Accenture PLC</v>
      </c>
      <c r="K11" s="708" t="str">
        <f t="shared" si="0"/>
        <v>ACN</v>
      </c>
      <c r="L11" s="709">
        <f t="shared" si="1"/>
        <v>175940.45661023995</v>
      </c>
      <c r="M11" s="710">
        <f t="shared" si="2"/>
        <v>1.6107030430220361E-2</v>
      </c>
      <c r="N11" s="710">
        <f t="shared" si="3"/>
        <v>9.2000000000000012E-2</v>
      </c>
      <c r="O11" s="711">
        <f t="shared" si="4"/>
        <v>0.1088479538300105</v>
      </c>
      <c r="P11" s="712">
        <f t="shared" si="5"/>
        <v>5.4941496733907939E-3</v>
      </c>
      <c r="Q11" s="713">
        <f t="shared" si="6"/>
        <v>5.980269499844084E-4</v>
      </c>
    </row>
    <row r="12" spans="1:17">
      <c r="A12" s="3" t="s">
        <v>1498</v>
      </c>
      <c r="B12" s="3" t="s">
        <v>2343</v>
      </c>
      <c r="C12" s="3" t="s">
        <v>1499</v>
      </c>
      <c r="D12" s="3">
        <v>156452797000</v>
      </c>
      <c r="E12" s="3">
        <v>0</v>
      </c>
      <c r="F12" s="3">
        <v>15.25</v>
      </c>
      <c r="G12" s="3">
        <v>464.9</v>
      </c>
      <c r="H12" s="3">
        <v>336.53</v>
      </c>
      <c r="I12" s="706"/>
      <c r="J12" s="707" t="str">
        <f t="shared" si="7"/>
        <v>Adobe Inc</v>
      </c>
      <c r="K12" s="708" t="str">
        <f t="shared" si="0"/>
        <v>ADBE</v>
      </c>
      <c r="L12" s="709">
        <f t="shared" si="1"/>
        <v>156452.79699999999</v>
      </c>
      <c r="M12" s="710">
        <f t="shared" si="2"/>
        <v>0</v>
      </c>
      <c r="N12" s="710">
        <f t="shared" si="3"/>
        <v>0.1525</v>
      </c>
      <c r="O12" s="711">
        <f t="shared" si="4"/>
        <v>0.1525</v>
      </c>
      <c r="P12" s="712">
        <f t="shared" si="5"/>
        <v>4.8856022094045069E-3</v>
      </c>
      <c r="Q12" s="713">
        <f t="shared" si="6"/>
        <v>7.4505433693418724E-4</v>
      </c>
    </row>
    <row r="13" spans="1:17">
      <c r="A13" s="3" t="s">
        <v>1500</v>
      </c>
      <c r="B13" s="3" t="s">
        <v>2344</v>
      </c>
      <c r="C13" s="3" t="s">
        <v>1501</v>
      </c>
      <c r="D13" s="3">
        <v>83539813202.229996</v>
      </c>
      <c r="E13" s="3">
        <v>2.0179235505700177</v>
      </c>
      <c r="F13" s="3">
        <v>9.4500000000000011</v>
      </c>
      <c r="G13" s="3">
        <v>509.29589999999996</v>
      </c>
      <c r="H13" s="3">
        <v>164.03</v>
      </c>
      <c r="I13" s="706"/>
      <c r="J13" s="707" t="str">
        <f t="shared" si="7"/>
        <v>Analog Devices Inc</v>
      </c>
      <c r="K13" s="708" t="str">
        <f t="shared" si="0"/>
        <v>ADI</v>
      </c>
      <c r="L13" s="709">
        <f t="shared" si="1"/>
        <v>83539.813202229998</v>
      </c>
      <c r="M13" s="710">
        <f t="shared" si="2"/>
        <v>2.0179235505700176E-2</v>
      </c>
      <c r="N13" s="710">
        <f t="shared" si="3"/>
        <v>9.4500000000000015E-2</v>
      </c>
      <c r="O13" s="711">
        <f t="shared" si="4"/>
        <v>0.11563270438334453</v>
      </c>
      <c r="P13" s="712">
        <f t="shared" si="5"/>
        <v>2.6087248280646249E-3</v>
      </c>
      <c r="Q13" s="713">
        <f t="shared" si="6"/>
        <v>3.0165390686108805E-4</v>
      </c>
    </row>
    <row r="14" spans="1:17">
      <c r="A14" s="3" t="s">
        <v>1502</v>
      </c>
      <c r="B14" s="3" t="s">
        <v>2345</v>
      </c>
      <c r="C14" s="3" t="s">
        <v>1503</v>
      </c>
      <c r="D14" s="3">
        <v>51005682976.950005</v>
      </c>
      <c r="E14" s="3">
        <v>1.7145934302638668</v>
      </c>
      <c r="F14" s="3">
        <v>7.24</v>
      </c>
      <c r="G14" s="3">
        <v>549.33420000000001</v>
      </c>
      <c r="H14" s="3">
        <v>92.85</v>
      </c>
      <c r="I14" s="706"/>
      <c r="J14" s="707" t="str">
        <f t="shared" si="7"/>
        <v>Archer-Daniels-Midland Co</v>
      </c>
      <c r="K14" s="708" t="str">
        <f t="shared" si="0"/>
        <v>ADM</v>
      </c>
      <c r="L14" s="709">
        <f t="shared" si="1"/>
        <v>51005.682976950004</v>
      </c>
      <c r="M14" s="710">
        <f t="shared" si="2"/>
        <v>1.7145934302638669E-2</v>
      </c>
      <c r="N14" s="710">
        <f t="shared" si="3"/>
        <v>7.2400000000000006E-2</v>
      </c>
      <c r="O14" s="711">
        <f t="shared" si="4"/>
        <v>9.0166617124394194E-2</v>
      </c>
      <c r="P14" s="712">
        <f t="shared" si="5"/>
        <v>1.5927709968929019E-3</v>
      </c>
      <c r="Q14" s="713">
        <f t="shared" si="6"/>
        <v>1.4361477264368194E-4</v>
      </c>
    </row>
    <row r="15" spans="1:17">
      <c r="A15" s="3" t="s">
        <v>1504</v>
      </c>
      <c r="B15" s="3" t="s">
        <v>2346</v>
      </c>
      <c r="C15" s="3" t="s">
        <v>1505</v>
      </c>
      <c r="D15" s="3">
        <v>99085760903.340012</v>
      </c>
      <c r="E15" s="3">
        <v>1.7801222473415388</v>
      </c>
      <c r="F15" s="3">
        <v>13.4</v>
      </c>
      <c r="G15" s="3">
        <v>414.82779999999997</v>
      </c>
      <c r="H15" s="3">
        <v>238.86</v>
      </c>
      <c r="I15" s="706"/>
      <c r="J15" s="707" t="str">
        <f t="shared" si="7"/>
        <v>Automatic Data Processing Inc</v>
      </c>
      <c r="K15" s="708" t="str">
        <f t="shared" si="0"/>
        <v>ADP</v>
      </c>
      <c r="L15" s="709">
        <f t="shared" si="1"/>
        <v>99085.760903340008</v>
      </c>
      <c r="M15" s="710">
        <f t="shared" si="2"/>
        <v>1.7801222473415389E-2</v>
      </c>
      <c r="N15" s="710">
        <f t="shared" si="3"/>
        <v>0.13400000000000001</v>
      </c>
      <c r="O15" s="711">
        <f t="shared" si="4"/>
        <v>0.15299390437913424</v>
      </c>
      <c r="P15" s="712">
        <f t="shared" si="5"/>
        <v>3.0941831764751682E-3</v>
      </c>
      <c r="Q15" s="713">
        <f t="shared" si="6"/>
        <v>4.7339116503316772E-4</v>
      </c>
    </row>
    <row r="16" spans="1:17">
      <c r="A16" s="3" t="s">
        <v>1506</v>
      </c>
      <c r="B16" s="3" t="s">
        <v>2347</v>
      </c>
      <c r="C16" s="3" t="s">
        <v>1507</v>
      </c>
      <c r="D16" s="3">
        <v>40320471603.780006</v>
      </c>
      <c r="E16" s="3">
        <v>0</v>
      </c>
      <c r="F16" s="3">
        <v>19.100000000000001</v>
      </c>
      <c r="G16" s="3">
        <v>215.76749999999998</v>
      </c>
      <c r="H16" s="3">
        <v>186.87</v>
      </c>
      <c r="I16" s="706"/>
      <c r="J16" s="707" t="str">
        <f t="shared" si="7"/>
        <v>Autodesk Inc</v>
      </c>
      <c r="K16" s="708" t="str">
        <f t="shared" si="0"/>
        <v>ADSK</v>
      </c>
      <c r="L16" s="709">
        <f t="shared" si="1"/>
        <v>40320.47160378001</v>
      </c>
      <c r="M16" s="710">
        <f t="shared" si="2"/>
        <v>0</v>
      </c>
      <c r="N16" s="710">
        <f t="shared" si="3"/>
        <v>0.191</v>
      </c>
      <c r="O16" s="711">
        <f t="shared" si="4"/>
        <v>0.191</v>
      </c>
      <c r="P16" s="712">
        <f t="shared" si="5"/>
        <v>1.2591004375055008E-3</v>
      </c>
      <c r="Q16" s="713">
        <f t="shared" si="6"/>
        <v>2.4048818356355066E-4</v>
      </c>
    </row>
    <row r="17" spans="1:17">
      <c r="A17" s="3" t="s">
        <v>1508</v>
      </c>
      <c r="B17" s="3" t="s">
        <v>2348</v>
      </c>
      <c r="C17" s="3" t="s">
        <v>205</v>
      </c>
      <c r="D17" s="3">
        <v>22974314196.599998</v>
      </c>
      <c r="E17" s="3">
        <v>2.6461988304093569</v>
      </c>
      <c r="F17" s="3">
        <v>7.3550000000000004</v>
      </c>
      <c r="G17" s="3">
        <v>258.37059999999997</v>
      </c>
      <c r="H17" s="3">
        <v>88.92</v>
      </c>
      <c r="I17" s="706"/>
      <c r="J17" s="707" t="str">
        <f t="shared" si="7"/>
        <v>Ameren Corp</v>
      </c>
      <c r="K17" s="708" t="str">
        <f t="shared" si="0"/>
        <v>AEE</v>
      </c>
      <c r="L17" s="709">
        <f t="shared" si="1"/>
        <v>22974.3141966</v>
      </c>
      <c r="M17" s="710">
        <f t="shared" si="2"/>
        <v>2.6461988304093569E-2</v>
      </c>
      <c r="N17" s="710">
        <f t="shared" si="3"/>
        <v>7.3550000000000004E-2</v>
      </c>
      <c r="O17" s="711">
        <f t="shared" si="4"/>
        <v>0.10098512792397661</v>
      </c>
      <c r="P17" s="712">
        <f t="shared" si="5"/>
        <v>7.1742635702743167E-4</v>
      </c>
      <c r="Q17" s="713">
        <f t="shared" si="6"/>
        <v>7.2449392440447703E-5</v>
      </c>
    </row>
    <row r="18" spans="1:17">
      <c r="A18" s="3" t="s">
        <v>3939</v>
      </c>
      <c r="B18" s="3" t="s">
        <v>2349</v>
      </c>
      <c r="C18" s="3" t="s">
        <v>198</v>
      </c>
      <c r="D18" s="3">
        <v>48791356226.100006</v>
      </c>
      <c r="E18" s="3">
        <v>3.3301737756714056</v>
      </c>
      <c r="F18" s="3">
        <v>6.13</v>
      </c>
      <c r="G18" s="3">
        <v>513.86369999999999</v>
      </c>
      <c r="H18" s="3">
        <v>94.95</v>
      </c>
      <c r="I18" s="706"/>
      <c r="J18" s="707" t="str">
        <f t="shared" si="7"/>
        <v>American Electric Power Co Inc</v>
      </c>
      <c r="K18" s="708" t="str">
        <f t="shared" si="0"/>
        <v>AEP</v>
      </c>
      <c r="L18" s="709">
        <f t="shared" si="1"/>
        <v>48791.356226100004</v>
      </c>
      <c r="M18" s="710">
        <f t="shared" si="2"/>
        <v>3.3301737756714057E-2</v>
      </c>
      <c r="N18" s="710">
        <f t="shared" si="3"/>
        <v>6.13E-2</v>
      </c>
      <c r="O18" s="711">
        <f t="shared" si="4"/>
        <v>9.5622436018957341E-2</v>
      </c>
      <c r="P18" s="712">
        <f t="shared" si="5"/>
        <v>1.5236234976232258E-3</v>
      </c>
      <c r="Q18" s="713">
        <f t="shared" si="6"/>
        <v>1.4569259041845691E-4</v>
      </c>
    </row>
    <row r="19" spans="1:17">
      <c r="A19" s="3" t="s">
        <v>1510</v>
      </c>
      <c r="B19" s="3" t="s">
        <v>2990</v>
      </c>
      <c r="C19" s="3" t="s">
        <v>1448</v>
      </c>
      <c r="D19" s="3">
        <v>19210235615.280003</v>
      </c>
      <c r="E19" s="3">
        <v>2.2009735744089012</v>
      </c>
      <c r="F19" s="3" t="s">
        <v>1483</v>
      </c>
      <c r="G19" s="3">
        <v>667.94979999999998</v>
      </c>
      <c r="H19" s="3">
        <v>28.76</v>
      </c>
      <c r="I19" s="706"/>
      <c r="J19" s="707" t="str">
        <f t="shared" si="7"/>
        <v>AES Corp/The</v>
      </c>
      <c r="K19" s="708" t="str">
        <f t="shared" si="0"/>
        <v>AES</v>
      </c>
      <c r="L19" s="709">
        <f t="shared" si="1"/>
        <v>19210.235615280002</v>
      </c>
      <c r="M19" s="710">
        <f t="shared" si="2"/>
        <v>2.2009735744089012E-2</v>
      </c>
      <c r="N19" s="710" t="str">
        <f t="shared" si="3"/>
        <v>N/A</v>
      </c>
      <c r="O19" s="711" t="str">
        <f t="shared" si="4"/>
        <v>N/A</v>
      </c>
      <c r="P19" s="712" t="str">
        <f t="shared" si="5"/>
        <v>N/A</v>
      </c>
      <c r="Q19" s="713" t="str">
        <f t="shared" si="6"/>
        <v>N/A</v>
      </c>
    </row>
    <row r="20" spans="1:17">
      <c r="A20" s="3" t="s">
        <v>1511</v>
      </c>
      <c r="B20" s="3" t="s">
        <v>2350</v>
      </c>
      <c r="C20" s="3" t="s">
        <v>1512</v>
      </c>
      <c r="D20" s="3">
        <v>44731469006.399994</v>
      </c>
      <c r="E20" s="3">
        <v>2.2338059494022797</v>
      </c>
      <c r="F20" s="3" t="s">
        <v>1483</v>
      </c>
      <c r="G20" s="3">
        <v>621.78859999999997</v>
      </c>
      <c r="H20" s="3">
        <v>71.94</v>
      </c>
      <c r="I20" s="706"/>
      <c r="J20" s="707" t="str">
        <f t="shared" si="7"/>
        <v>Aflac Inc</v>
      </c>
      <c r="K20" s="708" t="str">
        <f t="shared" si="0"/>
        <v>AFL</v>
      </c>
      <c r="L20" s="709">
        <f t="shared" si="1"/>
        <v>44731.469006399995</v>
      </c>
      <c r="M20" s="710">
        <f t="shared" si="2"/>
        <v>2.2338059494022799E-2</v>
      </c>
      <c r="N20" s="710" t="str">
        <f t="shared" si="3"/>
        <v>N/A</v>
      </c>
      <c r="O20" s="711" t="str">
        <f t="shared" si="4"/>
        <v>N/A</v>
      </c>
      <c r="P20" s="712" t="str">
        <f t="shared" si="5"/>
        <v>N/A</v>
      </c>
      <c r="Q20" s="713" t="str">
        <f t="shared" si="6"/>
        <v>N/A</v>
      </c>
    </row>
    <row r="21" spans="1:17">
      <c r="A21" s="3" t="s">
        <v>1513</v>
      </c>
      <c r="B21" s="3" t="s">
        <v>2351</v>
      </c>
      <c r="C21" s="3" t="s">
        <v>1514</v>
      </c>
      <c r="D21" s="3">
        <v>46986055832.400002</v>
      </c>
      <c r="E21" s="3">
        <v>2.0287792536369382</v>
      </c>
      <c r="F21" s="3">
        <v>10</v>
      </c>
      <c r="G21" s="3">
        <v>742.98</v>
      </c>
      <c r="H21" s="3">
        <v>63.24</v>
      </c>
      <c r="I21" s="706"/>
      <c r="J21" s="707" t="str">
        <f t="shared" si="7"/>
        <v>American International Group Inc</v>
      </c>
      <c r="K21" s="708" t="str">
        <f t="shared" si="0"/>
        <v>AIG</v>
      </c>
      <c r="L21" s="709">
        <f t="shared" si="1"/>
        <v>46986.055832400001</v>
      </c>
      <c r="M21" s="710">
        <f t="shared" si="2"/>
        <v>2.0287792536369382E-2</v>
      </c>
      <c r="N21" s="710">
        <f t="shared" si="3"/>
        <v>0.1</v>
      </c>
      <c r="O21" s="711">
        <f t="shared" si="4"/>
        <v>0.12130218216318786</v>
      </c>
      <c r="P21" s="712">
        <f t="shared" si="5"/>
        <v>1.4672487970028235E-3</v>
      </c>
      <c r="Q21" s="713">
        <f t="shared" si="6"/>
        <v>1.7798048085275475E-4</v>
      </c>
    </row>
    <row r="22" spans="1:17">
      <c r="A22" s="3" t="s">
        <v>1515</v>
      </c>
      <c r="B22" s="3" t="s">
        <v>2352</v>
      </c>
      <c r="C22" s="3" t="s">
        <v>1516</v>
      </c>
      <c r="D22" s="3">
        <v>6607098510.7399998</v>
      </c>
      <c r="E22" s="3">
        <v>2.1925475771629617</v>
      </c>
      <c r="F22" s="3">
        <v>12.67</v>
      </c>
      <c r="G22" s="3">
        <v>52.831429999999997</v>
      </c>
      <c r="H22" s="3">
        <v>125.06</v>
      </c>
      <c r="I22" s="706"/>
      <c r="J22" s="707" t="str">
        <f t="shared" si="7"/>
        <v>Assurant Inc</v>
      </c>
      <c r="K22" s="708" t="str">
        <f t="shared" si="0"/>
        <v>AIZ</v>
      </c>
      <c r="L22" s="709">
        <f t="shared" si="1"/>
        <v>6607.0985107400002</v>
      </c>
      <c r="M22" s="710">
        <f t="shared" si="2"/>
        <v>2.1925475771629618E-2</v>
      </c>
      <c r="N22" s="710">
        <f t="shared" si="3"/>
        <v>0.12670000000000001</v>
      </c>
      <c r="O22" s="711">
        <f t="shared" si="4"/>
        <v>0.15001445466176236</v>
      </c>
      <c r="P22" s="712">
        <f t="shared" si="5"/>
        <v>2.0632200702570101E-4</v>
      </c>
      <c r="Q22" s="713">
        <f t="shared" si="6"/>
        <v>3.0951283368680838E-5</v>
      </c>
    </row>
    <row r="23" spans="1:17">
      <c r="A23" s="3" t="s">
        <v>1517</v>
      </c>
      <c r="B23" s="3" t="s">
        <v>2353</v>
      </c>
      <c r="C23" s="3" t="s">
        <v>1518</v>
      </c>
      <c r="D23" s="3">
        <v>39751773600</v>
      </c>
      <c r="E23" s="3">
        <v>1.0804073406173755</v>
      </c>
      <c r="F23" s="3">
        <v>12.08</v>
      </c>
      <c r="G23" s="3">
        <v>210.84</v>
      </c>
      <c r="H23" s="3">
        <v>188.54</v>
      </c>
      <c r="I23" s="706"/>
      <c r="J23" s="707" t="str">
        <f t="shared" si="7"/>
        <v>Arthur J Gallagher &amp; Co</v>
      </c>
      <c r="K23" s="708" t="str">
        <f t="shared" si="0"/>
        <v>AJG</v>
      </c>
      <c r="L23" s="709">
        <f t="shared" si="1"/>
        <v>39751.7736</v>
      </c>
      <c r="M23" s="710">
        <f t="shared" si="2"/>
        <v>1.0804073406173755E-2</v>
      </c>
      <c r="N23" s="710">
        <f t="shared" si="3"/>
        <v>0.1208</v>
      </c>
      <c r="O23" s="711">
        <f t="shared" si="4"/>
        <v>0.13225663943990665</v>
      </c>
      <c r="P23" s="712">
        <f t="shared" si="5"/>
        <v>1.241341520585968E-3</v>
      </c>
      <c r="Q23" s="713">
        <f t="shared" si="6"/>
        <v>1.6417565790992383E-4</v>
      </c>
    </row>
    <row r="24" spans="1:17">
      <c r="A24" s="3" t="s">
        <v>1519</v>
      </c>
      <c r="B24" s="3" t="s">
        <v>2354</v>
      </c>
      <c r="C24" s="3" t="s">
        <v>1520</v>
      </c>
      <c r="D24" s="3">
        <v>13255525215.599998</v>
      </c>
      <c r="E24" s="3">
        <v>0</v>
      </c>
      <c r="F24" s="3">
        <v>12</v>
      </c>
      <c r="G24" s="3">
        <v>157.2423</v>
      </c>
      <c r="H24" s="3">
        <v>84.3</v>
      </c>
      <c r="I24" s="706"/>
      <c r="J24" s="707" t="str">
        <f t="shared" si="7"/>
        <v>Akamai Technologies Inc</v>
      </c>
      <c r="K24" s="708" t="str">
        <f t="shared" si="0"/>
        <v>AKAM</v>
      </c>
      <c r="L24" s="709">
        <f t="shared" si="1"/>
        <v>13255.525215599999</v>
      </c>
      <c r="M24" s="710">
        <f t="shared" si="2"/>
        <v>0</v>
      </c>
      <c r="N24" s="710">
        <f t="shared" si="3"/>
        <v>0.12</v>
      </c>
      <c r="O24" s="711">
        <f t="shared" si="4"/>
        <v>0.12</v>
      </c>
      <c r="P24" s="712">
        <f t="shared" si="5"/>
        <v>4.1393458296659603E-4</v>
      </c>
      <c r="Q24" s="713">
        <f t="shared" si="6"/>
        <v>4.9672149955991521E-5</v>
      </c>
    </row>
    <row r="25" spans="1:17">
      <c r="A25" s="3" t="s">
        <v>1521</v>
      </c>
      <c r="B25" s="3" t="s">
        <v>2355</v>
      </c>
      <c r="C25" s="3" t="s">
        <v>1522</v>
      </c>
      <c r="D25" s="3">
        <v>25405754906.84</v>
      </c>
      <c r="E25" s="3">
        <v>0.72673614313381896</v>
      </c>
      <c r="F25" s="3">
        <v>59.734999999999999</v>
      </c>
      <c r="G25" s="3">
        <v>117.1528</v>
      </c>
      <c r="H25" s="3">
        <v>216.86</v>
      </c>
      <c r="I25" s="706"/>
      <c r="J25" s="707" t="str">
        <f t="shared" si="7"/>
        <v>Albemarle Corp</v>
      </c>
      <c r="K25" s="708" t="str">
        <f t="shared" si="0"/>
        <v>ALB</v>
      </c>
      <c r="L25" s="709">
        <f t="shared" si="1"/>
        <v>25405.75490684</v>
      </c>
      <c r="M25" s="710">
        <f t="shared" si="2"/>
        <v>7.26736143133819E-3</v>
      </c>
      <c r="N25" s="710">
        <f t="shared" si="3"/>
        <v>0.59735000000000005</v>
      </c>
      <c r="O25" s="711">
        <f t="shared" si="4"/>
        <v>0.60678794060684316</v>
      </c>
      <c r="P25" s="712">
        <f t="shared" si="5"/>
        <v>7.9335374428906441E-4</v>
      </c>
      <c r="Q25" s="713">
        <f t="shared" si="6"/>
        <v>4.8139748466988945E-4</v>
      </c>
    </row>
    <row r="26" spans="1:17">
      <c r="A26" s="3" t="s">
        <v>2278</v>
      </c>
      <c r="B26" s="3" t="s">
        <v>2356</v>
      </c>
      <c r="C26" s="3" t="s">
        <v>2279</v>
      </c>
      <c r="D26" s="3">
        <v>16473894825.900003</v>
      </c>
      <c r="E26" s="3" t="s">
        <v>1483</v>
      </c>
      <c r="F26" s="3">
        <v>3.24</v>
      </c>
      <c r="G26" s="3">
        <v>78.112349999999992</v>
      </c>
      <c r="H26" s="3">
        <v>210.9</v>
      </c>
      <c r="I26" s="706"/>
      <c r="J26" s="707" t="str">
        <f t="shared" si="7"/>
        <v>Align Technology Inc</v>
      </c>
      <c r="K26" s="708" t="str">
        <f t="shared" si="0"/>
        <v>ALGN</v>
      </c>
      <c r="L26" s="709">
        <f t="shared" si="1"/>
        <v>16473.894825900003</v>
      </c>
      <c r="M26" s="710" t="str">
        <f t="shared" si="2"/>
        <v>0.00%</v>
      </c>
      <c r="N26" s="710">
        <f t="shared" si="3"/>
        <v>3.2400000000000005E-2</v>
      </c>
      <c r="O26" s="711">
        <f t="shared" si="4"/>
        <v>3.2400000000000005E-2</v>
      </c>
      <c r="P26" s="712">
        <f t="shared" si="5"/>
        <v>5.1443565409006102E-4</v>
      </c>
      <c r="Q26" s="713">
        <f t="shared" si="6"/>
        <v>1.6667715192517979E-5</v>
      </c>
    </row>
    <row r="27" spans="1:17">
      <c r="A27" s="3" t="s">
        <v>1523</v>
      </c>
      <c r="B27" s="3" t="s">
        <v>2357</v>
      </c>
      <c r="C27" s="3" t="s">
        <v>1524</v>
      </c>
      <c r="D27" s="3">
        <v>5446416463.1400003</v>
      </c>
      <c r="E27" s="3">
        <v>0.22123893805309736</v>
      </c>
      <c r="F27" s="3">
        <v>74.180000000000007</v>
      </c>
      <c r="G27" s="3">
        <v>126.83779999999999</v>
      </c>
      <c r="H27" s="3">
        <v>42.94</v>
      </c>
      <c r="I27" s="706"/>
      <c r="J27" s="707" t="str">
        <f t="shared" si="7"/>
        <v>Alaska Air Group Inc</v>
      </c>
      <c r="K27" s="708" t="str">
        <f t="shared" si="0"/>
        <v>ALK</v>
      </c>
      <c r="L27" s="709">
        <f t="shared" si="1"/>
        <v>5446.4164631399999</v>
      </c>
      <c r="M27" s="710">
        <f t="shared" si="2"/>
        <v>2.2123893805309734E-3</v>
      </c>
      <c r="N27" s="710">
        <f t="shared" si="3"/>
        <v>0.74180000000000001</v>
      </c>
      <c r="O27" s="711">
        <f t="shared" si="4"/>
        <v>0.74483296460176995</v>
      </c>
      <c r="P27" s="712">
        <f t="shared" si="5"/>
        <v>1.7007701246564397E-4</v>
      </c>
      <c r="Q27" s="713">
        <f t="shared" si="6"/>
        <v>1.2667896540539779E-4</v>
      </c>
    </row>
    <row r="28" spans="1:17">
      <c r="A28" s="3" t="s">
        <v>1525</v>
      </c>
      <c r="B28" s="3" t="s">
        <v>2358</v>
      </c>
      <c r="C28" s="3" t="s">
        <v>1526</v>
      </c>
      <c r="D28" s="3">
        <v>35962418234.399994</v>
      </c>
      <c r="E28" s="3">
        <v>2.4756637168141595</v>
      </c>
      <c r="F28" s="3">
        <v>1.9950000000000001</v>
      </c>
      <c r="G28" s="3">
        <v>265.20959999999997</v>
      </c>
      <c r="H28" s="3">
        <v>135.6</v>
      </c>
      <c r="I28" s="706"/>
      <c r="J28" s="707" t="str">
        <f t="shared" si="7"/>
        <v>Allstate Corp/The</v>
      </c>
      <c r="K28" s="708" t="str">
        <f t="shared" si="0"/>
        <v>ALL</v>
      </c>
      <c r="L28" s="709">
        <f t="shared" si="1"/>
        <v>35962.418234399993</v>
      </c>
      <c r="M28" s="710">
        <f t="shared" si="2"/>
        <v>2.4756637168141596E-2</v>
      </c>
      <c r="N28" s="710">
        <f t="shared" si="3"/>
        <v>1.9950000000000002E-2</v>
      </c>
      <c r="O28" s="711">
        <f t="shared" si="4"/>
        <v>4.4953584623893816E-2</v>
      </c>
      <c r="P28" s="712">
        <f t="shared" si="5"/>
        <v>1.1230100921846321E-3</v>
      </c>
      <c r="Q28" s="713">
        <f t="shared" si="6"/>
        <v>5.0483329212508658E-5</v>
      </c>
    </row>
    <row r="29" spans="1:17">
      <c r="A29" s="3" t="s">
        <v>1527</v>
      </c>
      <c r="B29" s="3" t="s">
        <v>2991</v>
      </c>
      <c r="C29" s="3" t="s">
        <v>1528</v>
      </c>
      <c r="D29" s="3">
        <v>9246545963.7199993</v>
      </c>
      <c r="E29" s="3">
        <v>1.5380961428842865</v>
      </c>
      <c r="F29" s="3">
        <v>8.65</v>
      </c>
      <c r="G29" s="3">
        <v>87.844819999999999</v>
      </c>
      <c r="H29" s="3">
        <v>105.26</v>
      </c>
      <c r="I29" s="706"/>
      <c r="J29" s="707" t="str">
        <f t="shared" si="7"/>
        <v>Allegion plc</v>
      </c>
      <c r="K29" s="708" t="str">
        <f t="shared" si="0"/>
        <v>ALLE</v>
      </c>
      <c r="L29" s="709">
        <f t="shared" si="1"/>
        <v>9246.5459637200001</v>
      </c>
      <c r="M29" s="710">
        <f t="shared" si="2"/>
        <v>1.5380961428842866E-2</v>
      </c>
      <c r="N29" s="710">
        <f t="shared" si="3"/>
        <v>8.6500000000000007E-2</v>
      </c>
      <c r="O29" s="711">
        <f t="shared" si="4"/>
        <v>0.10254618801064033</v>
      </c>
      <c r="P29" s="712">
        <f t="shared" si="5"/>
        <v>2.8874488827266388E-4</v>
      </c>
      <c r="Q29" s="713">
        <f t="shared" si="6"/>
        <v>2.9609687599919928E-5</v>
      </c>
    </row>
    <row r="30" spans="1:17">
      <c r="A30" s="3" t="s">
        <v>1529</v>
      </c>
      <c r="B30" s="3" t="s">
        <v>2359</v>
      </c>
      <c r="C30" s="3" t="s">
        <v>1530</v>
      </c>
      <c r="D30" s="3">
        <v>82202326128.360001</v>
      </c>
      <c r="E30" s="3">
        <v>1.1121380160197165</v>
      </c>
      <c r="F30" s="3">
        <v>2.3650000000000002</v>
      </c>
      <c r="G30" s="3">
        <v>844.13969999999995</v>
      </c>
      <c r="H30" s="3">
        <v>97.38</v>
      </c>
      <c r="I30" s="706"/>
      <c r="J30" s="707" t="str">
        <f t="shared" si="7"/>
        <v>Applied Materials Inc</v>
      </c>
      <c r="K30" s="708" t="str">
        <f t="shared" si="0"/>
        <v>AMAT</v>
      </c>
      <c r="L30" s="709">
        <f t="shared" si="1"/>
        <v>82202.32612836</v>
      </c>
      <c r="M30" s="710">
        <f t="shared" si="2"/>
        <v>1.1121380160197165E-2</v>
      </c>
      <c r="N30" s="710">
        <f t="shared" si="3"/>
        <v>2.3650000000000001E-2</v>
      </c>
      <c r="O30" s="711">
        <f t="shared" si="4"/>
        <v>3.4902890480591496E-2</v>
      </c>
      <c r="P30" s="712">
        <f t="shared" si="5"/>
        <v>2.5669586856341435E-3</v>
      </c>
      <c r="Q30" s="713">
        <f t="shared" si="6"/>
        <v>8.9594277872891604E-5</v>
      </c>
    </row>
    <row r="31" spans="1:17">
      <c r="A31" s="3" t="s">
        <v>2887</v>
      </c>
      <c r="B31" s="3" t="s">
        <v>2888</v>
      </c>
      <c r="C31" s="3" t="s">
        <v>2889</v>
      </c>
      <c r="D31" s="3">
        <v>17734222911.960003</v>
      </c>
      <c r="E31" s="3">
        <v>4.1057934508816123</v>
      </c>
      <c r="F31" s="3">
        <v>3.58</v>
      </c>
      <c r="G31" s="3">
        <v>1489.02</v>
      </c>
      <c r="H31" s="3">
        <v>11.91</v>
      </c>
      <c r="I31" s="706"/>
      <c r="J31" s="707" t="str">
        <f t="shared" si="7"/>
        <v>Amcor PLC</v>
      </c>
      <c r="K31" s="708" t="str">
        <f t="shared" si="0"/>
        <v>AMCR</v>
      </c>
      <c r="L31" s="709">
        <f t="shared" si="1"/>
        <v>17734.222911960002</v>
      </c>
      <c r="M31" s="710">
        <f t="shared" si="2"/>
        <v>4.1057934508816125E-2</v>
      </c>
      <c r="N31" s="710">
        <f t="shared" si="3"/>
        <v>3.5799999999999998E-2</v>
      </c>
      <c r="O31" s="711">
        <f t="shared" si="4"/>
        <v>7.7592871536523944E-2</v>
      </c>
      <c r="P31" s="712">
        <f t="shared" si="5"/>
        <v>5.5379232779548075E-4</v>
      </c>
      <c r="Q31" s="713">
        <f t="shared" si="6"/>
        <v>4.2970336948547294E-5</v>
      </c>
    </row>
    <row r="32" spans="1:17">
      <c r="A32" s="3" t="s">
        <v>2360</v>
      </c>
      <c r="B32" s="3" t="s">
        <v>2361</v>
      </c>
      <c r="C32" s="3" t="s">
        <v>2222</v>
      </c>
      <c r="D32" s="3">
        <v>104432308612.74001</v>
      </c>
      <c r="E32" s="3">
        <v>0</v>
      </c>
      <c r="F32" s="3">
        <v>29.653000000000002</v>
      </c>
      <c r="G32" s="3">
        <v>1612.356</v>
      </c>
      <c r="H32" s="3">
        <v>64.77</v>
      </c>
      <c r="I32" s="706"/>
      <c r="J32" s="707" t="str">
        <f t="shared" si="7"/>
        <v>Advanced Micro Devices Inc</v>
      </c>
      <c r="K32" s="708" t="str">
        <f t="shared" si="0"/>
        <v>AMD</v>
      </c>
      <c r="L32" s="709">
        <f t="shared" si="1"/>
        <v>104432.30861274</v>
      </c>
      <c r="M32" s="710">
        <f t="shared" si="2"/>
        <v>0</v>
      </c>
      <c r="N32" s="710">
        <f t="shared" si="3"/>
        <v>0.29653000000000002</v>
      </c>
      <c r="O32" s="711">
        <f t="shared" si="4"/>
        <v>0.29653000000000002</v>
      </c>
      <c r="P32" s="712">
        <f t="shared" si="5"/>
        <v>3.2611415549932028E-3</v>
      </c>
      <c r="Q32" s="713">
        <f t="shared" si="6"/>
        <v>9.6702630530213444E-4</v>
      </c>
    </row>
    <row r="33" spans="1:17">
      <c r="A33" s="3" t="s">
        <v>1531</v>
      </c>
      <c r="B33" s="3" t="s">
        <v>2362</v>
      </c>
      <c r="C33" s="3" t="s">
        <v>1532</v>
      </c>
      <c r="D33" s="3">
        <v>32087312348.839996</v>
      </c>
      <c r="E33" s="3">
        <v>0.63126252505010028</v>
      </c>
      <c r="F33" s="3">
        <v>9.91</v>
      </c>
      <c r="G33" s="3">
        <v>229.65439999999998</v>
      </c>
      <c r="H33" s="3">
        <v>139.72</v>
      </c>
      <c r="I33" s="706"/>
      <c r="J33" s="707" t="str">
        <f t="shared" si="7"/>
        <v>AMETEK Inc</v>
      </c>
      <c r="K33" s="708" t="str">
        <f t="shared" si="0"/>
        <v>AME</v>
      </c>
      <c r="L33" s="709">
        <f t="shared" si="1"/>
        <v>32087.312348839998</v>
      </c>
      <c r="M33" s="710">
        <f t="shared" si="2"/>
        <v>6.3126252505010024E-3</v>
      </c>
      <c r="N33" s="710">
        <f t="shared" si="3"/>
        <v>9.9100000000000008E-2</v>
      </c>
      <c r="O33" s="711">
        <f t="shared" si="4"/>
        <v>0.10572541583166334</v>
      </c>
      <c r="P33" s="712">
        <f t="shared" si="5"/>
        <v>1.0020009044986599E-3</v>
      </c>
      <c r="Q33" s="713">
        <f t="shared" si="6"/>
        <v>1.059369622918236E-4</v>
      </c>
    </row>
    <row r="34" spans="1:17">
      <c r="A34" s="3" t="s">
        <v>1533</v>
      </c>
      <c r="B34" s="3" t="s">
        <v>2363</v>
      </c>
      <c r="C34" s="3" t="s">
        <v>1534</v>
      </c>
      <c r="D34" s="3">
        <v>140139242663.84</v>
      </c>
      <c r="E34" s="3">
        <v>2.9523301858056659</v>
      </c>
      <c r="F34" s="3">
        <v>7</v>
      </c>
      <c r="G34" s="3">
        <v>533.57920000000001</v>
      </c>
      <c r="H34" s="3">
        <v>262.64</v>
      </c>
      <c r="I34" s="706"/>
      <c r="J34" s="707" t="str">
        <f t="shared" si="7"/>
        <v>Amgen Inc</v>
      </c>
      <c r="K34" s="708" t="str">
        <f t="shared" si="0"/>
        <v>AMGN</v>
      </c>
      <c r="L34" s="709">
        <f t="shared" si="1"/>
        <v>140139.24266384001</v>
      </c>
      <c r="M34" s="710">
        <f t="shared" si="2"/>
        <v>2.9523301858056659E-2</v>
      </c>
      <c r="N34" s="710">
        <f t="shared" si="3"/>
        <v>7.0000000000000007E-2</v>
      </c>
      <c r="O34" s="711">
        <f t="shared" si="4"/>
        <v>0.10055661742308865</v>
      </c>
      <c r="P34" s="712">
        <f t="shared" si="5"/>
        <v>4.3761735597653206E-3</v>
      </c>
      <c r="Q34" s="713">
        <f t="shared" si="6"/>
        <v>4.4005321042635731E-4</v>
      </c>
    </row>
    <row r="35" spans="1:17">
      <c r="A35" s="3" t="s">
        <v>1535</v>
      </c>
      <c r="B35" s="3" t="s">
        <v>2364</v>
      </c>
      <c r="C35" s="3" t="s">
        <v>1536</v>
      </c>
      <c r="D35" s="3">
        <v>33135123252.630001</v>
      </c>
      <c r="E35" s="3">
        <v>1.5746539486784215</v>
      </c>
      <c r="F35" s="3">
        <v>12.9</v>
      </c>
      <c r="G35" s="3">
        <v>106.41719999999999</v>
      </c>
      <c r="H35" s="3">
        <v>311.37</v>
      </c>
      <c r="I35" s="706"/>
      <c r="J35" s="707" t="str">
        <f t="shared" si="7"/>
        <v>Ameriprise Financial Inc</v>
      </c>
      <c r="K35" s="708" t="str">
        <f t="shared" si="0"/>
        <v>AMP</v>
      </c>
      <c r="L35" s="709">
        <f t="shared" si="1"/>
        <v>33135.123252630001</v>
      </c>
      <c r="M35" s="710">
        <f t="shared" si="2"/>
        <v>1.5746539486784214E-2</v>
      </c>
      <c r="N35" s="710">
        <f t="shared" si="3"/>
        <v>0.129</v>
      </c>
      <c r="O35" s="711">
        <f t="shared" si="4"/>
        <v>0.14576219128368179</v>
      </c>
      <c r="P35" s="712">
        <f t="shared" si="5"/>
        <v>1.0347212352613919E-3</v>
      </c>
      <c r="Q35" s="713">
        <f t="shared" si="6"/>
        <v>1.5082323461945851E-4</v>
      </c>
    </row>
    <row r="36" spans="1:17">
      <c r="A36" s="3" t="s">
        <v>1537</v>
      </c>
      <c r="B36" s="3" t="s">
        <v>2365</v>
      </c>
      <c r="C36" s="3" t="s">
        <v>1538</v>
      </c>
      <c r="D36" s="3">
        <v>98643203051.580002</v>
      </c>
      <c r="E36" s="3">
        <v>2.7570093457943923</v>
      </c>
      <c r="F36" s="3">
        <v>11.41</v>
      </c>
      <c r="G36" s="3">
        <v>465.60559999999998</v>
      </c>
      <c r="H36" s="3">
        <v>211.86</v>
      </c>
      <c r="I36" s="706"/>
      <c r="J36" s="707" t="str">
        <f t="shared" si="7"/>
        <v>American Tower Corp</v>
      </c>
      <c r="K36" s="708" t="str">
        <f t="shared" si="0"/>
        <v>AMT</v>
      </c>
      <c r="L36" s="709">
        <f t="shared" si="1"/>
        <v>98643.20305158</v>
      </c>
      <c r="M36" s="710">
        <f t="shared" si="2"/>
        <v>2.7570093457943923E-2</v>
      </c>
      <c r="N36" s="710">
        <f t="shared" si="3"/>
        <v>0.11410000000000001</v>
      </c>
      <c r="O36" s="711">
        <f t="shared" si="4"/>
        <v>0.14324296728971964</v>
      </c>
      <c r="P36" s="712">
        <f t="shared" si="5"/>
        <v>3.0803632789737638E-3</v>
      </c>
      <c r="Q36" s="713">
        <f t="shared" si="6"/>
        <v>4.4124037641049237E-4</v>
      </c>
    </row>
    <row r="37" spans="1:17">
      <c r="A37" s="3" t="s">
        <v>1539</v>
      </c>
      <c r="B37" s="3" t="s">
        <v>2366</v>
      </c>
      <c r="C37" s="3" t="s">
        <v>1540</v>
      </c>
      <c r="D37" s="3">
        <v>856938950784</v>
      </c>
      <c r="E37" s="3">
        <v>0</v>
      </c>
      <c r="F37" s="3">
        <v>-2.68</v>
      </c>
      <c r="G37" s="3">
        <v>10201.65</v>
      </c>
      <c r="H37" s="3">
        <v>84</v>
      </c>
      <c r="I37" s="706"/>
      <c r="J37" s="707" t="str">
        <f t="shared" si="7"/>
        <v>Amazon.com Inc</v>
      </c>
      <c r="K37" s="708" t="str">
        <f t="shared" si="0"/>
        <v>AMZN</v>
      </c>
      <c r="L37" s="709">
        <f t="shared" si="1"/>
        <v>856938.95078399999</v>
      </c>
      <c r="M37" s="710">
        <f t="shared" si="2"/>
        <v>0</v>
      </c>
      <c r="N37" s="710">
        <f t="shared" si="3"/>
        <v>-2.6800000000000001E-2</v>
      </c>
      <c r="O37" s="711">
        <f t="shared" si="4"/>
        <v>-2.6800000000000001E-2</v>
      </c>
      <c r="P37" s="712">
        <f t="shared" si="5"/>
        <v>2.6759910411030173E-2</v>
      </c>
      <c r="Q37" s="713">
        <f t="shared" si="6"/>
        <v>-7.1716559901560868E-4</v>
      </c>
    </row>
    <row r="38" spans="1:17">
      <c r="A38" s="3" t="s">
        <v>2367</v>
      </c>
      <c r="B38" s="3" t="s">
        <v>2368</v>
      </c>
      <c r="C38" s="3" t="s">
        <v>2369</v>
      </c>
      <c r="D38" s="3">
        <v>37081236951.599998</v>
      </c>
      <c r="E38" s="3">
        <v>0</v>
      </c>
      <c r="F38" s="3">
        <v>29.234999999999999</v>
      </c>
      <c r="G38" s="3">
        <v>305.57259999999997</v>
      </c>
      <c r="H38" s="3">
        <v>121.35</v>
      </c>
      <c r="I38" s="706"/>
      <c r="J38" s="707" t="str">
        <f t="shared" si="7"/>
        <v>Arista Networks Inc</v>
      </c>
      <c r="K38" s="708" t="str">
        <f t="shared" si="0"/>
        <v>ANET</v>
      </c>
      <c r="L38" s="709">
        <f t="shared" si="1"/>
        <v>37081.236951599996</v>
      </c>
      <c r="M38" s="710">
        <f t="shared" si="2"/>
        <v>0</v>
      </c>
      <c r="N38" s="710">
        <f t="shared" si="3"/>
        <v>0.29235</v>
      </c>
      <c r="O38" s="711">
        <f t="shared" si="4"/>
        <v>0.29235</v>
      </c>
      <c r="P38" s="712">
        <f t="shared" si="5"/>
        <v>1.1579478069554039E-3</v>
      </c>
      <c r="Q38" s="713">
        <f t="shared" si="6"/>
        <v>3.3852604136341233E-4</v>
      </c>
    </row>
    <row r="39" spans="1:17">
      <c r="A39" s="3" t="s">
        <v>2270</v>
      </c>
      <c r="B39" s="3" t="s">
        <v>2370</v>
      </c>
      <c r="C39" s="3" t="s">
        <v>2271</v>
      </c>
      <c r="D39" s="3">
        <v>21045444853.649998</v>
      </c>
      <c r="E39" s="3">
        <v>0</v>
      </c>
      <c r="F39" s="3">
        <v>7.94</v>
      </c>
      <c r="G39" s="3">
        <v>87.11224</v>
      </c>
      <c r="H39" s="3">
        <v>241.59</v>
      </c>
      <c r="I39" s="706"/>
      <c r="J39" s="707" t="str">
        <f t="shared" si="7"/>
        <v>ANSYS Inc</v>
      </c>
      <c r="K39" s="708" t="str">
        <f t="shared" si="0"/>
        <v>ANSS</v>
      </c>
      <c r="L39" s="709">
        <f t="shared" si="1"/>
        <v>21045.444853649999</v>
      </c>
      <c r="M39" s="710">
        <f t="shared" si="2"/>
        <v>0</v>
      </c>
      <c r="N39" s="710">
        <f t="shared" si="3"/>
        <v>7.9399999999999998E-2</v>
      </c>
      <c r="O39" s="711">
        <f t="shared" si="4"/>
        <v>7.9399999999999998E-2</v>
      </c>
      <c r="P39" s="712">
        <f t="shared" si="5"/>
        <v>6.5719292877130945E-4</v>
      </c>
      <c r="Q39" s="713">
        <f t="shared" si="6"/>
        <v>5.218111854444197E-5</v>
      </c>
    </row>
    <row r="40" spans="1:17">
      <c r="A40" s="3" t="s">
        <v>1541</v>
      </c>
      <c r="B40" s="3" t="s">
        <v>2371</v>
      </c>
      <c r="C40" s="3" t="s">
        <v>1542</v>
      </c>
      <c r="D40" s="3">
        <v>62084840211.040001</v>
      </c>
      <c r="E40" s="3">
        <v>0.72566135803291798</v>
      </c>
      <c r="F40" s="3">
        <v>11.44</v>
      </c>
      <c r="G40" s="3">
        <v>206.85289999999998</v>
      </c>
      <c r="H40" s="3">
        <v>300.14</v>
      </c>
      <c r="I40" s="706"/>
      <c r="J40" s="707" t="str">
        <f t="shared" si="7"/>
        <v>Aon PLC</v>
      </c>
      <c r="K40" s="708" t="str">
        <f t="shared" si="0"/>
        <v>AON</v>
      </c>
      <c r="L40" s="709">
        <f t="shared" si="1"/>
        <v>62084.840211039998</v>
      </c>
      <c r="M40" s="710">
        <f t="shared" si="2"/>
        <v>7.25661358032918E-3</v>
      </c>
      <c r="N40" s="710">
        <f t="shared" si="3"/>
        <v>0.1144</v>
      </c>
      <c r="O40" s="711">
        <f t="shared" si="4"/>
        <v>0.12207169187712401</v>
      </c>
      <c r="P40" s="712">
        <f t="shared" si="5"/>
        <v>1.9387434313851404E-3</v>
      </c>
      <c r="Q40" s="713">
        <f t="shared" si="6"/>
        <v>2.3666569078484499E-4</v>
      </c>
    </row>
    <row r="41" spans="1:17">
      <c r="A41" s="3" t="s">
        <v>2274</v>
      </c>
      <c r="B41" s="3" t="s">
        <v>3024</v>
      </c>
      <c r="C41" s="3" t="s">
        <v>2275</v>
      </c>
      <c r="D41" s="3">
        <v>8744871165.4800014</v>
      </c>
      <c r="E41" s="3">
        <v>1.9916142557651992</v>
      </c>
      <c r="F41" s="3" t="s">
        <v>1483</v>
      </c>
      <c r="G41" s="3">
        <v>126.86969999999999</v>
      </c>
      <c r="H41" s="3">
        <v>57.24</v>
      </c>
      <c r="I41" s="706"/>
      <c r="J41" s="707" t="str">
        <f t="shared" si="7"/>
        <v>A O Smith Corp</v>
      </c>
      <c r="K41" s="708" t="str">
        <f t="shared" si="0"/>
        <v>AOS</v>
      </c>
      <c r="L41" s="709">
        <f t="shared" si="1"/>
        <v>8744.8711654800009</v>
      </c>
      <c r="M41" s="710">
        <f t="shared" si="2"/>
        <v>1.9916142557651992E-2</v>
      </c>
      <c r="N41" s="710" t="str">
        <f t="shared" si="3"/>
        <v>N/A</v>
      </c>
      <c r="O41" s="711" t="str">
        <f t="shared" si="4"/>
        <v>N/A</v>
      </c>
      <c r="P41" s="712" t="str">
        <f t="shared" si="5"/>
        <v>N/A</v>
      </c>
      <c r="Q41" s="713" t="str">
        <f t="shared" si="6"/>
        <v>N/A</v>
      </c>
    </row>
    <row r="42" spans="1:17">
      <c r="A42" s="3" t="s">
        <v>3025</v>
      </c>
      <c r="B42" s="3" t="s">
        <v>3980</v>
      </c>
      <c r="C42" s="3" t="s">
        <v>1543</v>
      </c>
      <c r="D42" s="3">
        <v>15008170870.68</v>
      </c>
      <c r="E42" s="3">
        <v>1.3410454155955442</v>
      </c>
      <c r="F42" s="3">
        <v>22.900000000000002</v>
      </c>
      <c r="G42" s="3">
        <v>321.51179999999999</v>
      </c>
      <c r="H42" s="3">
        <v>46.68</v>
      </c>
      <c r="I42" s="706"/>
      <c r="J42" s="707" t="str">
        <f t="shared" si="7"/>
        <v>APA Corp</v>
      </c>
      <c r="K42" s="708" t="str">
        <f t="shared" si="0"/>
        <v>APA</v>
      </c>
      <c r="L42" s="709">
        <f t="shared" si="1"/>
        <v>15008.17087068</v>
      </c>
      <c r="M42" s="710">
        <f t="shared" si="2"/>
        <v>1.3410454155955442E-2</v>
      </c>
      <c r="N42" s="710">
        <f t="shared" si="3"/>
        <v>0.22900000000000001</v>
      </c>
      <c r="O42" s="711">
        <f t="shared" si="4"/>
        <v>0.24394595115681234</v>
      </c>
      <c r="P42" s="712">
        <f t="shared" si="5"/>
        <v>4.6866501699496349E-4</v>
      </c>
      <c r="Q42" s="713">
        <f t="shared" si="6"/>
        <v>1.1432893334475998E-4</v>
      </c>
    </row>
    <row r="43" spans="1:17">
      <c r="A43" s="3" t="s">
        <v>1544</v>
      </c>
      <c r="B43" s="3" t="s">
        <v>2992</v>
      </c>
      <c r="C43" s="3" t="s">
        <v>1545</v>
      </c>
      <c r="D43" s="3">
        <v>68429930559.82</v>
      </c>
      <c r="E43" s="3">
        <v>2.216635307857004</v>
      </c>
      <c r="F43" s="3">
        <v>13.280000000000001</v>
      </c>
      <c r="G43" s="3">
        <v>221.98769999999999</v>
      </c>
      <c r="H43" s="3">
        <v>308.26</v>
      </c>
      <c r="I43" s="706"/>
      <c r="J43" s="707" t="str">
        <f t="shared" si="7"/>
        <v>Air Products and Chemicals Inc</v>
      </c>
      <c r="K43" s="708" t="str">
        <f t="shared" si="0"/>
        <v>APD</v>
      </c>
      <c r="L43" s="709">
        <f t="shared" si="1"/>
        <v>68429.930559820001</v>
      </c>
      <c r="M43" s="710">
        <f t="shared" si="2"/>
        <v>2.2166353078570039E-2</v>
      </c>
      <c r="N43" s="710">
        <f t="shared" si="3"/>
        <v>0.1328</v>
      </c>
      <c r="O43" s="711">
        <f t="shared" si="4"/>
        <v>0.1564381989229871</v>
      </c>
      <c r="P43" s="712">
        <f t="shared" si="5"/>
        <v>2.1368836246018256E-3</v>
      </c>
      <c r="Q43" s="713">
        <f t="shared" si="6"/>
        <v>3.3429022554073409E-4</v>
      </c>
    </row>
    <row r="44" spans="1:17">
      <c r="A44" s="3" t="s">
        <v>1546</v>
      </c>
      <c r="B44" s="3" t="s">
        <v>2372</v>
      </c>
      <c r="C44" s="3" t="s">
        <v>1547</v>
      </c>
      <c r="D44" s="3">
        <v>45310498275.600006</v>
      </c>
      <c r="E44" s="3">
        <v>1.0625164171263464</v>
      </c>
      <c r="F44" s="3">
        <v>9.9</v>
      </c>
      <c r="G44" s="3">
        <v>595.09449999999993</v>
      </c>
      <c r="H44" s="3">
        <v>76.14</v>
      </c>
      <c r="I44" s="706"/>
      <c r="J44" s="707" t="str">
        <f t="shared" si="7"/>
        <v>Amphenol Corp</v>
      </c>
      <c r="K44" s="708" t="str">
        <f t="shared" si="0"/>
        <v>APH</v>
      </c>
      <c r="L44" s="709">
        <f t="shared" si="1"/>
        <v>45310.498275600003</v>
      </c>
      <c r="M44" s="710">
        <f t="shared" si="2"/>
        <v>1.0625164171263463E-2</v>
      </c>
      <c r="N44" s="710">
        <f t="shared" si="3"/>
        <v>9.9000000000000005E-2</v>
      </c>
      <c r="O44" s="711">
        <f t="shared" si="4"/>
        <v>0.11015110979774101</v>
      </c>
      <c r="P44" s="712">
        <f t="shared" si="5"/>
        <v>1.4149256180091844E-3</v>
      </c>
      <c r="Q44" s="713">
        <f t="shared" si="6"/>
        <v>1.5585562710496623E-4</v>
      </c>
    </row>
    <row r="45" spans="1:17">
      <c r="A45" s="3" t="s">
        <v>2301</v>
      </c>
      <c r="B45" s="3" t="s">
        <v>2373</v>
      </c>
      <c r="C45" s="3" t="s">
        <v>2297</v>
      </c>
      <c r="D45" s="3">
        <v>25233534292.27</v>
      </c>
      <c r="E45" s="3">
        <v>9.4491570922366583E-2</v>
      </c>
      <c r="F45" s="3">
        <v>11.293000000000001</v>
      </c>
      <c r="G45" s="3">
        <v>270.94959999999998</v>
      </c>
      <c r="H45" s="3">
        <v>93.13</v>
      </c>
      <c r="I45" s="706"/>
      <c r="J45" s="707" t="str">
        <f t="shared" si="7"/>
        <v>Aptiv PLC</v>
      </c>
      <c r="K45" s="708" t="str">
        <f t="shared" si="0"/>
        <v>APTV</v>
      </c>
      <c r="L45" s="709">
        <f t="shared" si="1"/>
        <v>25233.53429227</v>
      </c>
      <c r="M45" s="710">
        <f t="shared" si="2"/>
        <v>9.4491570922366585E-4</v>
      </c>
      <c r="N45" s="710">
        <f t="shared" si="3"/>
        <v>0.11293000000000002</v>
      </c>
      <c r="O45" s="711">
        <f t="shared" si="4"/>
        <v>0.113928270374745</v>
      </c>
      <c r="P45" s="712">
        <f t="shared" si="5"/>
        <v>7.8797575532892972E-4</v>
      </c>
      <c r="Q45" s="713">
        <f t="shared" si="6"/>
        <v>8.9772714901858219E-5</v>
      </c>
    </row>
    <row r="46" spans="1:17">
      <c r="A46" s="3" t="s">
        <v>2223</v>
      </c>
      <c r="B46" s="3" t="s">
        <v>2374</v>
      </c>
      <c r="C46" s="3" t="s">
        <v>2224</v>
      </c>
      <c r="D46" s="3">
        <v>23902593494.919998</v>
      </c>
      <c r="E46" s="3">
        <v>3.2360815541978449</v>
      </c>
      <c r="F46" s="3">
        <v>-6.04</v>
      </c>
      <c r="G46" s="3">
        <v>164.0873</v>
      </c>
      <c r="H46" s="3">
        <v>145.66999999999999</v>
      </c>
      <c r="I46" s="706"/>
      <c r="J46" s="707" t="str">
        <f t="shared" si="7"/>
        <v>Alexandria Real Estate Equities Inc</v>
      </c>
      <c r="K46" s="708" t="str">
        <f t="shared" si="0"/>
        <v>ARE</v>
      </c>
      <c r="L46" s="709">
        <f t="shared" si="1"/>
        <v>23902.593494919998</v>
      </c>
      <c r="M46" s="710">
        <f t="shared" si="2"/>
        <v>3.2360815541978449E-2</v>
      </c>
      <c r="N46" s="710">
        <f t="shared" si="3"/>
        <v>-6.0400000000000002E-2</v>
      </c>
      <c r="O46" s="711">
        <f t="shared" si="4"/>
        <v>-2.9016481087389301E-2</v>
      </c>
      <c r="P46" s="712">
        <f t="shared" si="5"/>
        <v>7.46414035597452E-4</v>
      </c>
      <c r="Q46" s="713">
        <f t="shared" si="6"/>
        <v>-2.1658308747275391E-5</v>
      </c>
    </row>
    <row r="47" spans="1:17">
      <c r="A47" s="3" t="s">
        <v>2375</v>
      </c>
      <c r="B47" s="3" t="s">
        <v>2376</v>
      </c>
      <c r="C47" s="3" t="s">
        <v>2333</v>
      </c>
      <c r="D47" s="3">
        <v>15803660206.179998</v>
      </c>
      <c r="E47" s="3">
        <v>2.6081913090033018</v>
      </c>
      <c r="F47" s="3" t="s">
        <v>1483</v>
      </c>
      <c r="G47" s="3">
        <v>141.01599999999999</v>
      </c>
      <c r="H47" s="3">
        <v>112.07</v>
      </c>
      <c r="I47" s="706"/>
      <c r="J47" s="707" t="str">
        <f t="shared" si="7"/>
        <v>Atmos Energy Corp</v>
      </c>
      <c r="K47" s="708" t="str">
        <f t="shared" si="0"/>
        <v>ATO</v>
      </c>
      <c r="L47" s="709">
        <f t="shared" si="1"/>
        <v>15803.660206179999</v>
      </c>
      <c r="M47" s="710">
        <f t="shared" si="2"/>
        <v>2.6081913090033017E-2</v>
      </c>
      <c r="N47" s="710" t="str">
        <f t="shared" si="3"/>
        <v>N/A</v>
      </c>
      <c r="O47" s="711" t="str">
        <f t="shared" si="4"/>
        <v>N/A</v>
      </c>
      <c r="P47" s="712" t="str">
        <f t="shared" si="5"/>
        <v>N/A</v>
      </c>
      <c r="Q47" s="713" t="str">
        <f t="shared" si="6"/>
        <v>N/A</v>
      </c>
    </row>
    <row r="48" spans="1:17">
      <c r="A48" s="3" t="s">
        <v>1548</v>
      </c>
      <c r="B48" s="3" t="s">
        <v>2377</v>
      </c>
      <c r="C48" s="3" t="s">
        <v>1549</v>
      </c>
      <c r="D48" s="3">
        <v>59909968169.449997</v>
      </c>
      <c r="E48" s="3">
        <v>0.62050947093403008</v>
      </c>
      <c r="F48" s="3">
        <v>3.6</v>
      </c>
      <c r="G48" s="3">
        <v>782.62529999999992</v>
      </c>
      <c r="H48" s="3">
        <v>76.55</v>
      </c>
      <c r="I48" s="706"/>
      <c r="J48" s="707" t="str">
        <f t="shared" si="7"/>
        <v>Activision Blizzard Inc</v>
      </c>
      <c r="K48" s="708" t="str">
        <f t="shared" si="0"/>
        <v>ATVI</v>
      </c>
      <c r="L48" s="709">
        <f t="shared" si="1"/>
        <v>59909.968169449996</v>
      </c>
      <c r="M48" s="710">
        <f t="shared" si="2"/>
        <v>6.2050947093403004E-3</v>
      </c>
      <c r="N48" s="710">
        <f t="shared" si="3"/>
        <v>3.6000000000000004E-2</v>
      </c>
      <c r="O48" s="711">
        <f t="shared" si="4"/>
        <v>4.231678641410843E-2</v>
      </c>
      <c r="P48" s="712">
        <f t="shared" si="5"/>
        <v>1.8708279971116053E-3</v>
      </c>
      <c r="Q48" s="713">
        <f t="shared" si="6"/>
        <v>7.9167428771306067E-5</v>
      </c>
    </row>
    <row r="49" spans="1:17">
      <c r="A49" s="3" t="s">
        <v>1550</v>
      </c>
      <c r="B49" s="3" t="s">
        <v>2378</v>
      </c>
      <c r="C49" s="3" t="s">
        <v>1551</v>
      </c>
      <c r="D49" s="3">
        <v>22596220133.52</v>
      </c>
      <c r="E49" s="3">
        <v>3.9468796433878155</v>
      </c>
      <c r="F49" s="3">
        <v>13.385</v>
      </c>
      <c r="G49" s="3">
        <v>139.8974</v>
      </c>
      <c r="H49" s="3">
        <v>161.52000000000001</v>
      </c>
      <c r="I49" s="706"/>
      <c r="J49" s="707" t="str">
        <f t="shared" si="7"/>
        <v>AvalonBay Communities Inc</v>
      </c>
      <c r="K49" s="708" t="str">
        <f t="shared" si="0"/>
        <v>AVB</v>
      </c>
      <c r="L49" s="709">
        <f t="shared" si="1"/>
        <v>22596.220133520001</v>
      </c>
      <c r="M49" s="710">
        <f t="shared" si="2"/>
        <v>3.9468796433878156E-2</v>
      </c>
      <c r="N49" s="710">
        <f t="shared" si="3"/>
        <v>0.13385</v>
      </c>
      <c r="O49" s="711">
        <f t="shared" si="4"/>
        <v>0.17596024563521545</v>
      </c>
      <c r="P49" s="712">
        <f t="shared" si="5"/>
        <v>7.0561949115243957E-4</v>
      </c>
      <c r="Q49" s="713">
        <f t="shared" si="6"/>
        <v>1.2416097898817899E-4</v>
      </c>
    </row>
    <row r="50" spans="1:17">
      <c r="A50" s="3" t="s">
        <v>1552</v>
      </c>
      <c r="B50" s="3" t="s">
        <v>2379</v>
      </c>
      <c r="C50" s="3" t="s">
        <v>1553</v>
      </c>
      <c r="D50" s="3">
        <v>233652677458.19998</v>
      </c>
      <c r="E50" s="3">
        <v>3.289932573820042</v>
      </c>
      <c r="F50" s="3">
        <v>12.943</v>
      </c>
      <c r="G50" s="3">
        <v>417.8861</v>
      </c>
      <c r="H50" s="3">
        <v>559.13</v>
      </c>
      <c r="I50" s="706"/>
      <c r="J50" s="707" t="str">
        <f t="shared" si="7"/>
        <v>Broadcom Inc</v>
      </c>
      <c r="K50" s="708" t="str">
        <f t="shared" si="0"/>
        <v>AVGO</v>
      </c>
      <c r="L50" s="709">
        <f t="shared" si="1"/>
        <v>233652.67745819999</v>
      </c>
      <c r="M50" s="710">
        <f t="shared" si="2"/>
        <v>3.2899325738200418E-2</v>
      </c>
      <c r="N50" s="710">
        <f t="shared" si="3"/>
        <v>0.12942999999999999</v>
      </c>
      <c r="O50" s="711">
        <f t="shared" si="4"/>
        <v>0.16445840560334804</v>
      </c>
      <c r="P50" s="712">
        <f t="shared" si="5"/>
        <v>7.2963479024479218E-3</v>
      </c>
      <c r="Q50" s="713">
        <f t="shared" si="6"/>
        <v>1.1999457427639181E-3</v>
      </c>
    </row>
    <row r="51" spans="1:17">
      <c r="A51" s="3" t="s">
        <v>1554</v>
      </c>
      <c r="B51" s="3" t="s">
        <v>2380</v>
      </c>
      <c r="C51" s="3" t="s">
        <v>1555</v>
      </c>
      <c r="D51" s="3">
        <v>14655391534</v>
      </c>
      <c r="E51" s="3">
        <v>1.5845303867403315</v>
      </c>
      <c r="F51" s="3">
        <v>7</v>
      </c>
      <c r="G51" s="3">
        <v>80.969009999999997</v>
      </c>
      <c r="H51" s="3">
        <v>181</v>
      </c>
      <c r="I51" s="706"/>
      <c r="J51" s="707" t="str">
        <f t="shared" si="7"/>
        <v>Avery Dennison Corp</v>
      </c>
      <c r="K51" s="708" t="str">
        <f t="shared" si="0"/>
        <v>AVY</v>
      </c>
      <c r="L51" s="709">
        <f t="shared" si="1"/>
        <v>14655.391534</v>
      </c>
      <c r="M51" s="710">
        <f t="shared" si="2"/>
        <v>1.5845303867403314E-2</v>
      </c>
      <c r="N51" s="710">
        <f t="shared" si="3"/>
        <v>7.0000000000000007E-2</v>
      </c>
      <c r="O51" s="711">
        <f t="shared" si="4"/>
        <v>8.6399889502762436E-2</v>
      </c>
      <c r="P51" s="712">
        <f t="shared" si="5"/>
        <v>4.5764866228756849E-4</v>
      </c>
      <c r="Q51" s="713">
        <f t="shared" si="6"/>
        <v>3.9540793852732957E-5</v>
      </c>
    </row>
    <row r="52" spans="1:17">
      <c r="A52" s="3" t="s">
        <v>1556</v>
      </c>
      <c r="B52" s="3" t="s">
        <v>2381</v>
      </c>
      <c r="C52" s="3" t="s">
        <v>156</v>
      </c>
      <c r="D52" s="3">
        <v>27714204555.079998</v>
      </c>
      <c r="E52" s="3">
        <v>1.6874425928355858</v>
      </c>
      <c r="F52" s="3">
        <v>7</v>
      </c>
      <c r="G52" s="3">
        <v>181.8279</v>
      </c>
      <c r="H52" s="3">
        <v>152.41999999999999</v>
      </c>
      <c r="I52" s="706"/>
      <c r="J52" s="707" t="str">
        <f t="shared" si="7"/>
        <v>American Water Works Co Inc</v>
      </c>
      <c r="K52" s="708" t="str">
        <f t="shared" si="0"/>
        <v>AWK</v>
      </c>
      <c r="L52" s="709">
        <f t="shared" si="1"/>
        <v>27714.204555079999</v>
      </c>
      <c r="M52" s="710">
        <f t="shared" si="2"/>
        <v>1.6874425928355859E-2</v>
      </c>
      <c r="N52" s="710">
        <f t="shared" si="3"/>
        <v>7.0000000000000007E-2</v>
      </c>
      <c r="O52" s="711">
        <f t="shared" si="4"/>
        <v>8.746503083584832E-2</v>
      </c>
      <c r="P52" s="712">
        <f t="shared" si="5"/>
        <v>8.6544044978746724E-4</v>
      </c>
      <c r="Q52" s="713">
        <f t="shared" si="6"/>
        <v>7.5695775627251268E-5</v>
      </c>
    </row>
    <row r="53" spans="1:17">
      <c r="A53" s="3" t="s">
        <v>1557</v>
      </c>
      <c r="B53" s="3" t="s">
        <v>2382</v>
      </c>
      <c r="C53" s="3" t="s">
        <v>1558</v>
      </c>
      <c r="D53" s="3">
        <v>110403630834.00002</v>
      </c>
      <c r="E53" s="3">
        <v>1.3888324873096447</v>
      </c>
      <c r="F53" s="3">
        <v>10.573</v>
      </c>
      <c r="G53" s="3">
        <v>747.23270000000002</v>
      </c>
      <c r="H53" s="3">
        <v>147.75</v>
      </c>
      <c r="I53" s="706"/>
      <c r="J53" s="707" t="str">
        <f t="shared" si="7"/>
        <v>American Express Co</v>
      </c>
      <c r="K53" s="708" t="str">
        <f t="shared" si="0"/>
        <v>AXP</v>
      </c>
      <c r="L53" s="709">
        <f t="shared" si="1"/>
        <v>110403.63083400001</v>
      </c>
      <c r="M53" s="710">
        <f t="shared" si="2"/>
        <v>1.3888324873096446E-2</v>
      </c>
      <c r="N53" s="710">
        <f t="shared" si="3"/>
        <v>0.10573</v>
      </c>
      <c r="O53" s="711">
        <f t="shared" si="4"/>
        <v>0.1203525311675127</v>
      </c>
      <c r="P53" s="712">
        <f t="shared" si="5"/>
        <v>3.4476099697269714E-3</v>
      </c>
      <c r="Q53" s="713">
        <f t="shared" si="6"/>
        <v>4.1492858633499283E-4</v>
      </c>
    </row>
    <row r="54" spans="1:17">
      <c r="A54" s="3" t="s">
        <v>1559</v>
      </c>
      <c r="B54" s="3" t="s">
        <v>2383</v>
      </c>
      <c r="C54" s="3" t="s">
        <v>1560</v>
      </c>
      <c r="D54" s="3">
        <v>46279522506.779999</v>
      </c>
      <c r="E54" s="3">
        <v>0</v>
      </c>
      <c r="F54" s="3">
        <v>12.503</v>
      </c>
      <c r="G54" s="3">
        <v>18.76567</v>
      </c>
      <c r="H54" s="3">
        <v>2466.1799999999998</v>
      </c>
      <c r="I54" s="706"/>
      <c r="J54" s="707" t="str">
        <f t="shared" si="7"/>
        <v>AutoZone Inc</v>
      </c>
      <c r="K54" s="708" t="str">
        <f t="shared" si="0"/>
        <v>AZO</v>
      </c>
      <c r="L54" s="709">
        <f t="shared" si="1"/>
        <v>46279.522506779998</v>
      </c>
      <c r="M54" s="710">
        <f t="shared" si="2"/>
        <v>0</v>
      </c>
      <c r="N54" s="710">
        <f t="shared" si="3"/>
        <v>0.12503</v>
      </c>
      <c r="O54" s="711">
        <f t="shared" si="4"/>
        <v>0.12503</v>
      </c>
      <c r="P54" s="712">
        <f t="shared" si="5"/>
        <v>1.4451856518059563E-3</v>
      </c>
      <c r="Q54" s="713">
        <f t="shared" si="6"/>
        <v>1.8069156204529872E-4</v>
      </c>
    </row>
    <row r="55" spans="1:17">
      <c r="A55" s="3" t="s">
        <v>1561</v>
      </c>
      <c r="B55" s="3" t="s">
        <v>2384</v>
      </c>
      <c r="C55" s="3" t="s">
        <v>1562</v>
      </c>
      <c r="D55" s="3">
        <v>113528838244.08</v>
      </c>
      <c r="E55" s="3">
        <v>0</v>
      </c>
      <c r="F55" s="3">
        <v>-52</v>
      </c>
      <c r="G55" s="3">
        <v>595.98320000000001</v>
      </c>
      <c r="H55" s="3">
        <v>190.49</v>
      </c>
      <c r="I55" s="706"/>
      <c r="J55" s="707" t="str">
        <f t="shared" si="7"/>
        <v>Boeing Co/The</v>
      </c>
      <c r="K55" s="708" t="str">
        <f t="shared" si="0"/>
        <v>BA</v>
      </c>
      <c r="L55" s="709">
        <f t="shared" si="1"/>
        <v>113528.83824408001</v>
      </c>
      <c r="M55" s="710">
        <f t="shared" si="2"/>
        <v>0</v>
      </c>
      <c r="N55" s="710">
        <f t="shared" si="3"/>
        <v>-0.52</v>
      </c>
      <c r="O55" s="711">
        <f t="shared" si="4"/>
        <v>-0.52</v>
      </c>
      <c r="P55" s="712">
        <f t="shared" si="5"/>
        <v>3.545201834623667E-3</v>
      </c>
      <c r="Q55" s="713">
        <f t="shared" si="6"/>
        <v>-1.8435049540043069E-3</v>
      </c>
    </row>
    <row r="56" spans="1:17">
      <c r="A56" s="3" t="s">
        <v>1563</v>
      </c>
      <c r="B56" s="3" t="s">
        <v>2385</v>
      </c>
      <c r="C56" s="3" t="s">
        <v>1564</v>
      </c>
      <c r="D56" s="3">
        <v>265702955755.67999</v>
      </c>
      <c r="E56" s="3">
        <v>2.6630434782608701</v>
      </c>
      <c r="F56" s="3">
        <v>4</v>
      </c>
      <c r="G56" s="3">
        <v>8022.4319999999998</v>
      </c>
      <c r="H56" s="3">
        <v>33.119999999999997</v>
      </c>
      <c r="I56" s="706"/>
      <c r="J56" s="707" t="str">
        <f t="shared" si="7"/>
        <v>Bank of America Corp</v>
      </c>
      <c r="K56" s="708" t="str">
        <f t="shared" si="0"/>
        <v>BAC</v>
      </c>
      <c r="L56" s="709">
        <f t="shared" si="1"/>
        <v>265702.95575567998</v>
      </c>
      <c r="M56" s="710">
        <f t="shared" si="2"/>
        <v>2.6630434782608702E-2</v>
      </c>
      <c r="N56" s="710">
        <f t="shared" si="3"/>
        <v>0.04</v>
      </c>
      <c r="O56" s="711">
        <f t="shared" si="4"/>
        <v>6.7163043478260881E-2</v>
      </c>
      <c r="P56" s="712">
        <f t="shared" si="5"/>
        <v>8.2971923326193905E-3</v>
      </c>
      <c r="Q56" s="713">
        <f t="shared" si="6"/>
        <v>5.5726468938320896E-4</v>
      </c>
    </row>
    <row r="57" spans="1:17">
      <c r="A57" s="3" t="s">
        <v>4273</v>
      </c>
      <c r="B57" s="3" t="s">
        <v>2395</v>
      </c>
      <c r="C57" s="3" t="s">
        <v>4274</v>
      </c>
      <c r="D57" s="3">
        <v>16053946839.639999</v>
      </c>
      <c r="E57" s="3">
        <v>1.589753617520532</v>
      </c>
      <c r="F57" s="3">
        <v>9.3000000000000007</v>
      </c>
      <c r="G57" s="3">
        <v>313.92009999999999</v>
      </c>
      <c r="H57" s="3">
        <v>51.14</v>
      </c>
      <c r="I57" s="706"/>
      <c r="J57" s="707" t="str">
        <f t="shared" si="7"/>
        <v>Ball Corp</v>
      </c>
      <c r="K57" s="708" t="str">
        <f t="shared" si="0"/>
        <v>BALL</v>
      </c>
      <c r="L57" s="709">
        <f t="shared" si="1"/>
        <v>16053.946839639999</v>
      </c>
      <c r="M57" s="710">
        <f t="shared" si="2"/>
        <v>1.5897536175205319E-2</v>
      </c>
      <c r="N57" s="710">
        <f t="shared" si="3"/>
        <v>9.3000000000000013E-2</v>
      </c>
      <c r="O57" s="711">
        <f t="shared" si="4"/>
        <v>0.10963677160735238</v>
      </c>
      <c r="P57" s="712">
        <f t="shared" si="5"/>
        <v>5.0132180218809177E-4</v>
      </c>
      <c r="Q57" s="713">
        <f t="shared" si="6"/>
        <v>5.4963303928282107E-5</v>
      </c>
    </row>
    <row r="58" spans="1:17">
      <c r="A58" s="3" t="s">
        <v>1565</v>
      </c>
      <c r="B58" s="3" t="s">
        <v>2386</v>
      </c>
      <c r="C58" s="3" t="s">
        <v>1566</v>
      </c>
      <c r="D58" s="3">
        <v>25695035086.23</v>
      </c>
      <c r="E58" s="3">
        <v>2.2150284481067297</v>
      </c>
      <c r="F58" s="3">
        <v>4.9950000000000001</v>
      </c>
      <c r="G58" s="3">
        <v>504.12079999999997</v>
      </c>
      <c r="H58" s="3">
        <v>50.97</v>
      </c>
      <c r="I58" s="706"/>
      <c r="J58" s="707" t="str">
        <f t="shared" si="7"/>
        <v>Baxter International Inc</v>
      </c>
      <c r="K58" s="708" t="str">
        <f t="shared" si="0"/>
        <v>BAX</v>
      </c>
      <c r="L58" s="709">
        <f t="shared" si="1"/>
        <v>25695.03508623</v>
      </c>
      <c r="M58" s="710">
        <f t="shared" si="2"/>
        <v>2.2150284481067296E-2</v>
      </c>
      <c r="N58" s="710">
        <f t="shared" si="3"/>
        <v>4.9950000000000001E-2</v>
      </c>
      <c r="O58" s="711">
        <f t="shared" si="4"/>
        <v>7.2653487835981953E-2</v>
      </c>
      <c r="P58" s="712">
        <f t="shared" si="5"/>
        <v>8.0238719022716876E-4</v>
      </c>
      <c r="Q58" s="713">
        <f t="shared" si="6"/>
        <v>5.8296227964917341E-5</v>
      </c>
    </row>
    <row r="59" spans="1:17">
      <c r="A59" s="3" t="s">
        <v>4044</v>
      </c>
      <c r="B59" s="3" t="s">
        <v>4045</v>
      </c>
      <c r="C59" s="3" t="s">
        <v>4046</v>
      </c>
      <c r="D59" s="3">
        <v>9625391876.1000004</v>
      </c>
      <c r="E59" s="3">
        <v>1.9008068343616518</v>
      </c>
      <c r="F59" s="3">
        <v>-3.06</v>
      </c>
      <c r="G59" s="3">
        <v>228.41459999999998</v>
      </c>
      <c r="H59" s="3">
        <v>42.14</v>
      </c>
      <c r="I59" s="706"/>
      <c r="J59" s="707" t="str">
        <f t="shared" si="7"/>
        <v>Bath &amp; Body Works Inc</v>
      </c>
      <c r="K59" s="708" t="str">
        <f t="shared" si="0"/>
        <v>BBWI</v>
      </c>
      <c r="L59" s="709">
        <f t="shared" si="1"/>
        <v>9625.3918761000004</v>
      </c>
      <c r="M59" s="710">
        <f t="shared" si="2"/>
        <v>1.9008068343616517E-2</v>
      </c>
      <c r="N59" s="710">
        <f t="shared" si="3"/>
        <v>-3.0600000000000002E-2</v>
      </c>
      <c r="O59" s="711">
        <f t="shared" si="4"/>
        <v>-1.1882755102040819E-2</v>
      </c>
      <c r="P59" s="712">
        <f t="shared" si="5"/>
        <v>3.0057523238947499E-4</v>
      </c>
      <c r="Q59" s="713">
        <f t="shared" si="6"/>
        <v>-3.5716618762231388E-6</v>
      </c>
    </row>
    <row r="60" spans="1:17">
      <c r="A60" s="3" t="s">
        <v>1567</v>
      </c>
      <c r="B60" s="3" t="s">
        <v>2387</v>
      </c>
      <c r="C60" s="3" t="s">
        <v>1568</v>
      </c>
      <c r="D60" s="3">
        <v>17747621855.34</v>
      </c>
      <c r="E60" s="3">
        <v>4.3236504176536599</v>
      </c>
      <c r="F60" s="3">
        <v>-0.03</v>
      </c>
      <c r="G60" s="3">
        <v>221.2645</v>
      </c>
      <c r="H60" s="3">
        <v>80.209999999999994</v>
      </c>
      <c r="I60" s="706"/>
      <c r="J60" s="707" t="str">
        <f t="shared" si="7"/>
        <v>Best Buy Co Inc</v>
      </c>
      <c r="K60" s="708" t="str">
        <f t="shared" si="0"/>
        <v>BBY</v>
      </c>
      <c r="L60" s="709">
        <f t="shared" si="1"/>
        <v>17747.621855339999</v>
      </c>
      <c r="M60" s="710">
        <f t="shared" si="2"/>
        <v>4.32365041765366E-2</v>
      </c>
      <c r="N60" s="710">
        <f t="shared" si="3"/>
        <v>-2.9999999999999997E-4</v>
      </c>
      <c r="O60" s="711">
        <f t="shared" si="4"/>
        <v>4.2930018700910115E-2</v>
      </c>
      <c r="P60" s="712">
        <f t="shared" si="5"/>
        <v>5.5421074094395904E-4</v>
      </c>
      <c r="Q60" s="713">
        <f t="shared" si="6"/>
        <v>2.3792277472969414E-5</v>
      </c>
    </row>
    <row r="61" spans="1:17">
      <c r="A61" s="3" t="s">
        <v>1569</v>
      </c>
      <c r="B61" s="3" t="s">
        <v>2388</v>
      </c>
      <c r="C61" s="3" t="s">
        <v>1570</v>
      </c>
      <c r="D61" s="3">
        <v>72289345788.199997</v>
      </c>
      <c r="E61" s="3">
        <v>1.5678332677939439</v>
      </c>
      <c r="F61" s="3">
        <v>6.5970000000000004</v>
      </c>
      <c r="G61" s="3">
        <v>284.26799999999997</v>
      </c>
      <c r="H61" s="3">
        <v>254.3</v>
      </c>
      <c r="I61" s="706"/>
      <c r="J61" s="707" t="str">
        <f t="shared" si="7"/>
        <v>Becton Dickinson and Co</v>
      </c>
      <c r="K61" s="708" t="str">
        <f t="shared" si="0"/>
        <v>BDX</v>
      </c>
      <c r="L61" s="709">
        <f t="shared" si="1"/>
        <v>72289.345788199993</v>
      </c>
      <c r="M61" s="710">
        <f t="shared" si="2"/>
        <v>1.567833267793944E-2</v>
      </c>
      <c r="N61" s="710">
        <f t="shared" si="3"/>
        <v>6.5970000000000001E-2</v>
      </c>
      <c r="O61" s="711">
        <f t="shared" si="4"/>
        <v>8.2165482481321273E-2</v>
      </c>
      <c r="P61" s="712">
        <f t="shared" si="5"/>
        <v>2.2574028350495789E-3</v>
      </c>
      <c r="Q61" s="713">
        <f t="shared" si="6"/>
        <v>1.8548059309655114E-4</v>
      </c>
    </row>
    <row r="62" spans="1:17">
      <c r="A62" s="3" t="s">
        <v>1571</v>
      </c>
      <c r="B62" s="3" t="s">
        <v>2389</v>
      </c>
      <c r="C62" s="3" t="s">
        <v>1572</v>
      </c>
      <c r="D62" s="3">
        <v>13196807411.76</v>
      </c>
      <c r="E62" s="3">
        <v>4.6133434420015167</v>
      </c>
      <c r="F62" s="3">
        <v>-9</v>
      </c>
      <c r="G62" s="3">
        <v>500.25809999999996</v>
      </c>
      <c r="H62" s="3">
        <v>26.38</v>
      </c>
      <c r="I62" s="706"/>
      <c r="J62" s="707" t="str">
        <f t="shared" si="7"/>
        <v>Franklin Resources Inc</v>
      </c>
      <c r="K62" s="708" t="str">
        <f t="shared" si="0"/>
        <v>BEN</v>
      </c>
      <c r="L62" s="709">
        <f t="shared" si="1"/>
        <v>13196.807411760001</v>
      </c>
      <c r="M62" s="710">
        <f t="shared" si="2"/>
        <v>4.6133434420015169E-2</v>
      </c>
      <c r="N62" s="710">
        <f t="shared" si="3"/>
        <v>-0.09</v>
      </c>
      <c r="O62" s="711">
        <f t="shared" si="4"/>
        <v>-4.5942570128885508E-2</v>
      </c>
      <c r="P62" s="712">
        <f t="shared" si="5"/>
        <v>4.1210098307146553E-4</v>
      </c>
      <c r="Q62" s="713">
        <f t="shared" si="6"/>
        <v>-1.8932978314943465E-5</v>
      </c>
    </row>
    <row r="63" spans="1:17">
      <c r="A63" s="3" t="s">
        <v>1573</v>
      </c>
      <c r="B63" s="3" t="s">
        <v>2390</v>
      </c>
      <c r="C63" s="3" t="s">
        <v>1574</v>
      </c>
      <c r="D63" s="3">
        <v>31484117578.000004</v>
      </c>
      <c r="E63" s="3">
        <v>1.1799634591961021</v>
      </c>
      <c r="F63" s="3">
        <v>8.51</v>
      </c>
      <c r="G63" s="3">
        <v>309.95189999999997</v>
      </c>
      <c r="H63" s="3">
        <v>65.680000000000007</v>
      </c>
      <c r="I63" s="706"/>
      <c r="J63" s="707" t="str">
        <f t="shared" si="7"/>
        <v>Brown-Forman Corp</v>
      </c>
      <c r="K63" s="708" t="str">
        <f t="shared" si="0"/>
        <v>BF/B</v>
      </c>
      <c r="L63" s="709">
        <f t="shared" si="1"/>
        <v>31484.117578000005</v>
      </c>
      <c r="M63" s="710">
        <f t="shared" si="2"/>
        <v>1.1799634591961022E-2</v>
      </c>
      <c r="N63" s="710">
        <f t="shared" si="3"/>
        <v>8.5099999999999995E-2</v>
      </c>
      <c r="O63" s="711">
        <f t="shared" si="4"/>
        <v>9.7401709043848955E-2</v>
      </c>
      <c r="P63" s="712">
        <f t="shared" si="5"/>
        <v>9.8316474585128776E-4</v>
      </c>
      <c r="Q63" s="713">
        <f t="shared" si="6"/>
        <v>9.5761926517576833E-5</v>
      </c>
    </row>
    <row r="64" spans="1:17">
      <c r="A64" s="3" t="s">
        <v>1575</v>
      </c>
      <c r="B64" s="3" t="s">
        <v>2391</v>
      </c>
      <c r="C64" s="3" t="s">
        <v>1576</v>
      </c>
      <c r="D64" s="3">
        <v>39876868795.680008</v>
      </c>
      <c r="E64" s="3">
        <v>0</v>
      </c>
      <c r="F64" s="3">
        <v>3.637</v>
      </c>
      <c r="G64" s="3">
        <v>144.00139999999999</v>
      </c>
      <c r="H64" s="3">
        <v>276.92</v>
      </c>
      <c r="I64" s="706"/>
      <c r="J64" s="707" t="str">
        <f t="shared" si="7"/>
        <v>Biogen Inc</v>
      </c>
      <c r="K64" s="708" t="str">
        <f t="shared" si="0"/>
        <v>BIIB</v>
      </c>
      <c r="L64" s="709">
        <f t="shared" si="1"/>
        <v>39876.868795680006</v>
      </c>
      <c r="M64" s="710">
        <f t="shared" si="2"/>
        <v>0</v>
      </c>
      <c r="N64" s="710">
        <f t="shared" si="3"/>
        <v>3.637E-2</v>
      </c>
      <c r="O64" s="711">
        <f t="shared" si="4"/>
        <v>3.637E-2</v>
      </c>
      <c r="P64" s="712">
        <f t="shared" si="5"/>
        <v>1.2452479088137227E-3</v>
      </c>
      <c r="Q64" s="713">
        <f t="shared" si="6"/>
        <v>4.5289666443555093E-5</v>
      </c>
    </row>
    <row r="65" spans="1:17">
      <c r="A65" s="3" t="s">
        <v>3026</v>
      </c>
      <c r="B65" s="3" t="s">
        <v>3027</v>
      </c>
      <c r="C65" s="3" t="s">
        <v>3015</v>
      </c>
      <c r="D65" s="3">
        <v>12460413991.440001</v>
      </c>
      <c r="E65" s="3">
        <v>0</v>
      </c>
      <c r="F65" s="3" t="s">
        <v>1483</v>
      </c>
      <c r="G65" s="3">
        <v>24.749309999999998</v>
      </c>
      <c r="H65" s="3">
        <v>420.49</v>
      </c>
      <c r="I65" s="706"/>
      <c r="J65" s="707" t="str">
        <f t="shared" si="7"/>
        <v>Bio-Rad Laboratories Inc</v>
      </c>
      <c r="K65" s="708" t="str">
        <f t="shared" si="0"/>
        <v>BIO</v>
      </c>
      <c r="L65" s="709">
        <f t="shared" si="1"/>
        <v>12460.41399144</v>
      </c>
      <c r="M65" s="710">
        <f t="shared" si="2"/>
        <v>0</v>
      </c>
      <c r="N65" s="710" t="str">
        <f t="shared" si="3"/>
        <v>N/A</v>
      </c>
      <c r="O65" s="711" t="str">
        <f t="shared" si="4"/>
        <v>N/A</v>
      </c>
      <c r="P65" s="712" t="str">
        <f t="shared" si="5"/>
        <v>N/A</v>
      </c>
      <c r="Q65" s="713" t="str">
        <f t="shared" si="6"/>
        <v>N/A</v>
      </c>
    </row>
    <row r="66" spans="1:17">
      <c r="A66" s="3" t="s">
        <v>1577</v>
      </c>
      <c r="B66" s="3" t="s">
        <v>2392</v>
      </c>
      <c r="C66" s="3" t="s">
        <v>1578</v>
      </c>
      <c r="D66" s="3">
        <v>36792903278.480003</v>
      </c>
      <c r="E66" s="3">
        <v>3.1195079086115989</v>
      </c>
      <c r="F66" s="3">
        <v>9.4500000000000011</v>
      </c>
      <c r="G66" s="3">
        <v>808.2799</v>
      </c>
      <c r="H66" s="3">
        <v>45.52</v>
      </c>
      <c r="I66" s="706"/>
      <c r="J66" s="707" t="str">
        <f t="shared" si="7"/>
        <v>Bank of New York Mellon Corp/The</v>
      </c>
      <c r="K66" s="708" t="str">
        <f t="shared" si="0"/>
        <v>BK</v>
      </c>
      <c r="L66" s="709">
        <f t="shared" si="1"/>
        <v>36792.90327848</v>
      </c>
      <c r="M66" s="710">
        <f t="shared" si="2"/>
        <v>3.119507908611599E-2</v>
      </c>
      <c r="N66" s="710">
        <f t="shared" si="3"/>
        <v>9.4500000000000015E-2</v>
      </c>
      <c r="O66" s="711">
        <f t="shared" si="4"/>
        <v>0.12716904657293499</v>
      </c>
      <c r="P66" s="712">
        <f t="shared" si="5"/>
        <v>1.1489439178754229E-3</v>
      </c>
      <c r="Q66" s="713">
        <f t="shared" si="6"/>
        <v>1.4611010260199005E-4</v>
      </c>
    </row>
    <row r="67" spans="1:17">
      <c r="A67" s="3" t="s">
        <v>2309</v>
      </c>
      <c r="B67" s="3" t="s">
        <v>2393</v>
      </c>
      <c r="C67" s="3" t="s">
        <v>2310</v>
      </c>
      <c r="D67" s="3">
        <v>78171477848.639999</v>
      </c>
      <c r="E67" s="3">
        <v>0</v>
      </c>
      <c r="F67" s="3">
        <v>20.2</v>
      </c>
      <c r="G67" s="3">
        <v>38.789389999999997</v>
      </c>
      <c r="H67" s="3">
        <v>2015.28</v>
      </c>
      <c r="I67" s="706"/>
      <c r="J67" s="707" t="str">
        <f t="shared" si="7"/>
        <v>Booking Holdings Inc</v>
      </c>
      <c r="K67" s="708" t="str">
        <f t="shared" si="7"/>
        <v>BKNG</v>
      </c>
      <c r="L67" s="709">
        <f t="shared" ref="L67:L130" si="8">D67/1000000</f>
        <v>78171.477848640003</v>
      </c>
      <c r="M67" s="710">
        <f t="shared" ref="M67:M130" si="9">IFERROR(E67/100,"0.00%")</f>
        <v>0</v>
      </c>
      <c r="N67" s="710">
        <f t="shared" ref="N67:N130" si="10">IFERROR(F67/100,"N/A")</f>
        <v>0.20199999999999999</v>
      </c>
      <c r="O67" s="711">
        <f t="shared" ref="O67:O130" si="11">IFERROR(M67*(1+0.5*N67)+N67,"N/A")</f>
        <v>0.20199999999999999</v>
      </c>
      <c r="P67" s="712">
        <f t="shared" ref="P67:P130" si="12">IF(N67="N/A","N/A",L67/$L$504)</f>
        <v>2.4410860797185433E-3</v>
      </c>
      <c r="Q67" s="713">
        <f t="shared" ref="Q67:Q130" si="13">IF(AND(ISNUMBER(L67),ISNUMBER(O67)),O67*P67,"N/A")</f>
        <v>4.9309938810314575E-4</v>
      </c>
    </row>
    <row r="68" spans="1:17">
      <c r="A68" s="3" t="s">
        <v>4275</v>
      </c>
      <c r="B68" s="3" t="s">
        <v>2890</v>
      </c>
      <c r="C68" s="3" t="s">
        <v>2891</v>
      </c>
      <c r="D68" s="3">
        <v>29780046721.970001</v>
      </c>
      <c r="E68" s="3">
        <v>2.44158482898747</v>
      </c>
      <c r="F68" s="3">
        <v>23.89</v>
      </c>
      <c r="G68" s="3">
        <v>1001.468</v>
      </c>
      <c r="H68" s="3">
        <v>29.53</v>
      </c>
      <c r="I68" s="706"/>
      <c r="J68" s="707" t="str">
        <f t="shared" ref="J68:K131" si="14">B68</f>
        <v>Baker Hughes Co</v>
      </c>
      <c r="K68" s="708" t="str">
        <f t="shared" si="14"/>
        <v>BKR</v>
      </c>
      <c r="L68" s="709">
        <f t="shared" si="8"/>
        <v>29780.04672197</v>
      </c>
      <c r="M68" s="710">
        <f t="shared" si="9"/>
        <v>2.4415848289874701E-2</v>
      </c>
      <c r="N68" s="710">
        <f t="shared" si="10"/>
        <v>0.2389</v>
      </c>
      <c r="O68" s="711">
        <f t="shared" si="11"/>
        <v>0.26623232136810021</v>
      </c>
      <c r="P68" s="712">
        <f t="shared" si="12"/>
        <v>9.2995117281940369E-4</v>
      </c>
      <c r="Q68" s="713">
        <f t="shared" si="13"/>
        <v>2.4758305949869721E-4</v>
      </c>
    </row>
    <row r="69" spans="1:17">
      <c r="A69" s="3" t="s">
        <v>1579</v>
      </c>
      <c r="B69" s="3" t="s">
        <v>2394</v>
      </c>
      <c r="C69" s="3" t="s">
        <v>1580</v>
      </c>
      <c r="D69" s="3">
        <v>107118086084.49001</v>
      </c>
      <c r="E69" s="3">
        <v>2.754611009976998</v>
      </c>
      <c r="F69" s="3">
        <v>-0.66700000000000004</v>
      </c>
      <c r="G69" s="3">
        <v>150.19559999999998</v>
      </c>
      <c r="H69" s="3">
        <v>708.63</v>
      </c>
      <c r="I69" s="706"/>
      <c r="J69" s="707" t="str">
        <f t="shared" si="14"/>
        <v>BlackRock Inc</v>
      </c>
      <c r="K69" s="708" t="str">
        <f t="shared" si="14"/>
        <v>BLK</v>
      </c>
      <c r="L69" s="709">
        <f t="shared" si="8"/>
        <v>107118.08608449</v>
      </c>
      <c r="M69" s="710">
        <f t="shared" si="9"/>
        <v>2.7546110099769979E-2</v>
      </c>
      <c r="N69" s="710">
        <f t="shared" si="10"/>
        <v>-6.6700000000000006E-3</v>
      </c>
      <c r="O69" s="711">
        <f t="shared" si="11"/>
        <v>2.0784243822587249E-2</v>
      </c>
      <c r="P69" s="712">
        <f t="shared" si="12"/>
        <v>3.3450111987551527E-3</v>
      </c>
      <c r="Q69" s="713">
        <f t="shared" si="13"/>
        <v>6.9523528344211946E-5</v>
      </c>
    </row>
    <row r="70" spans="1:17">
      <c r="A70" s="3" t="s">
        <v>1581</v>
      </c>
      <c r="B70" s="3" t="s">
        <v>2396</v>
      </c>
      <c r="C70" s="3" t="s">
        <v>1582</v>
      </c>
      <c r="D70" s="3">
        <v>152977236966.64999</v>
      </c>
      <c r="E70" s="3">
        <v>2.9687282835302296</v>
      </c>
      <c r="F70" s="3">
        <v>4.57</v>
      </c>
      <c r="G70" s="3">
        <v>2126.16</v>
      </c>
      <c r="H70" s="3">
        <v>71.95</v>
      </c>
      <c r="I70" s="706"/>
      <c r="J70" s="707" t="str">
        <f t="shared" si="14"/>
        <v>Bristol-Myers Squibb Co</v>
      </c>
      <c r="K70" s="708" t="str">
        <f t="shared" si="14"/>
        <v>BMY</v>
      </c>
      <c r="L70" s="709">
        <f t="shared" si="8"/>
        <v>152977.23696665</v>
      </c>
      <c r="M70" s="710">
        <f t="shared" si="9"/>
        <v>2.9687282835302295E-2</v>
      </c>
      <c r="N70" s="710">
        <f t="shared" si="10"/>
        <v>4.5700000000000005E-2</v>
      </c>
      <c r="O70" s="711">
        <f t="shared" si="11"/>
        <v>7.6065637248088958E-2</v>
      </c>
      <c r="P70" s="712">
        <f t="shared" si="12"/>
        <v>4.7770697695667412E-3</v>
      </c>
      <c r="Q70" s="713">
        <f t="shared" si="13"/>
        <v>3.6337085620067564E-4</v>
      </c>
    </row>
    <row r="71" spans="1:17">
      <c r="A71" s="3" t="s">
        <v>2397</v>
      </c>
      <c r="B71" s="3" t="s">
        <v>2398</v>
      </c>
      <c r="C71" s="3" t="s">
        <v>2399</v>
      </c>
      <c r="D71" s="3">
        <v>15781108473.99</v>
      </c>
      <c r="E71" s="3">
        <v>2.1658092894952659</v>
      </c>
      <c r="F71" s="3" t="s">
        <v>1483</v>
      </c>
      <c r="G71" s="3">
        <v>117.6553</v>
      </c>
      <c r="H71" s="3">
        <v>134.13</v>
      </c>
      <c r="I71" s="706"/>
      <c r="J71" s="707" t="str">
        <f t="shared" si="14"/>
        <v>Broadridge Financial Solutions Inc</v>
      </c>
      <c r="K71" s="708" t="str">
        <f t="shared" si="14"/>
        <v>BR</v>
      </c>
      <c r="L71" s="709">
        <f t="shared" si="8"/>
        <v>15781.10847399</v>
      </c>
      <c r="M71" s="710">
        <f t="shared" si="9"/>
        <v>2.1658092894952657E-2</v>
      </c>
      <c r="N71" s="710" t="str">
        <f t="shared" si="10"/>
        <v>N/A</v>
      </c>
      <c r="O71" s="711" t="str">
        <f t="shared" si="11"/>
        <v>N/A</v>
      </c>
      <c r="P71" s="712" t="str">
        <f t="shared" si="12"/>
        <v>N/A</v>
      </c>
      <c r="Q71" s="713" t="str">
        <f t="shared" si="13"/>
        <v>N/A</v>
      </c>
    </row>
    <row r="72" spans="1:17">
      <c r="A72" s="3" t="s">
        <v>1583</v>
      </c>
      <c r="B72" s="3" t="s">
        <v>2400</v>
      </c>
      <c r="C72" s="3" t="s">
        <v>1584</v>
      </c>
      <c r="D72" s="3">
        <v>681920956478.99988</v>
      </c>
      <c r="E72" s="3">
        <v>0</v>
      </c>
      <c r="F72" s="3" t="s">
        <v>1483</v>
      </c>
      <c r="G72" s="3">
        <v>1301.981</v>
      </c>
      <c r="H72" s="3">
        <v>308.89999999999998</v>
      </c>
      <c r="I72" s="706"/>
      <c r="J72" s="707" t="str">
        <f t="shared" si="14"/>
        <v>Berkshire Hathaway Inc</v>
      </c>
      <c r="K72" s="708" t="str">
        <f t="shared" si="14"/>
        <v>BRK/B</v>
      </c>
      <c r="L72" s="709">
        <f t="shared" si="8"/>
        <v>681920.95647899993</v>
      </c>
      <c r="M72" s="710">
        <f t="shared" si="9"/>
        <v>0</v>
      </c>
      <c r="N72" s="710" t="str">
        <f t="shared" si="10"/>
        <v>N/A</v>
      </c>
      <c r="O72" s="711" t="str">
        <f t="shared" si="11"/>
        <v>N/A</v>
      </c>
      <c r="P72" s="712" t="str">
        <f t="shared" si="12"/>
        <v>N/A</v>
      </c>
      <c r="Q72" s="713" t="str">
        <f t="shared" si="13"/>
        <v>N/A</v>
      </c>
    </row>
    <row r="73" spans="1:17">
      <c r="A73" s="3" t="s">
        <v>4075</v>
      </c>
      <c r="B73" s="3" t="s">
        <v>4076</v>
      </c>
      <c r="C73" s="3" t="s">
        <v>4077</v>
      </c>
      <c r="D73" s="3">
        <v>16135178247.990002</v>
      </c>
      <c r="E73" s="3">
        <v>0.73723012111637709</v>
      </c>
      <c r="F73" s="3" t="s">
        <v>1483</v>
      </c>
      <c r="G73" s="3">
        <v>283.22239999999999</v>
      </c>
      <c r="H73" s="3">
        <v>56.97</v>
      </c>
      <c r="I73" s="706"/>
      <c r="J73" s="707" t="str">
        <f t="shared" si="14"/>
        <v>Brown &amp; Brown Inc</v>
      </c>
      <c r="K73" s="708" t="str">
        <f t="shared" si="14"/>
        <v>BRO</v>
      </c>
      <c r="L73" s="709">
        <f t="shared" si="8"/>
        <v>16135.178247990001</v>
      </c>
      <c r="M73" s="710">
        <f t="shared" si="9"/>
        <v>7.3723012111637709E-3</v>
      </c>
      <c r="N73" s="710" t="str">
        <f t="shared" si="10"/>
        <v>N/A</v>
      </c>
      <c r="O73" s="711" t="str">
        <f t="shared" si="11"/>
        <v>N/A</v>
      </c>
      <c r="P73" s="712" t="str">
        <f t="shared" si="12"/>
        <v>N/A</v>
      </c>
      <c r="Q73" s="713" t="str">
        <f t="shared" si="13"/>
        <v>N/A</v>
      </c>
    </row>
    <row r="74" spans="1:17">
      <c r="A74" s="3" t="s">
        <v>1585</v>
      </c>
      <c r="B74" s="3" t="s">
        <v>2401</v>
      </c>
      <c r="C74" s="3" t="s">
        <v>1586</v>
      </c>
      <c r="D74" s="3">
        <v>66273043018.139999</v>
      </c>
      <c r="E74" s="3">
        <v>0</v>
      </c>
      <c r="F74" s="3">
        <v>10.563000000000001</v>
      </c>
      <c r="G74" s="3">
        <v>1432.3109999999999</v>
      </c>
      <c r="H74" s="3">
        <v>46.27</v>
      </c>
      <c r="I74" s="706"/>
      <c r="J74" s="707" t="str">
        <f t="shared" si="14"/>
        <v>Boston Scientific Corp</v>
      </c>
      <c r="K74" s="708" t="str">
        <f t="shared" si="14"/>
        <v>BSX</v>
      </c>
      <c r="L74" s="709">
        <f t="shared" si="8"/>
        <v>66273.043018140001</v>
      </c>
      <c r="M74" s="710">
        <f t="shared" si="9"/>
        <v>0</v>
      </c>
      <c r="N74" s="710">
        <f t="shared" si="10"/>
        <v>0.10563</v>
      </c>
      <c r="O74" s="711">
        <f t="shared" si="11"/>
        <v>0.10563</v>
      </c>
      <c r="P74" s="712">
        <f t="shared" si="12"/>
        <v>2.0695297981370361E-3</v>
      </c>
      <c r="Q74" s="713">
        <f t="shared" si="13"/>
        <v>2.1860443257721513E-4</v>
      </c>
    </row>
    <row r="75" spans="1:17">
      <c r="A75" s="3" t="s">
        <v>1587</v>
      </c>
      <c r="B75" s="3" t="s">
        <v>2402</v>
      </c>
      <c r="C75" s="3" t="s">
        <v>1588</v>
      </c>
      <c r="D75" s="3">
        <v>9424695682.5</v>
      </c>
      <c r="E75" s="3">
        <v>1.7739130434782606</v>
      </c>
      <c r="F75" s="3">
        <v>15.15</v>
      </c>
      <c r="G75" s="3">
        <v>234.15389999999999</v>
      </c>
      <c r="H75" s="3">
        <v>40.25</v>
      </c>
      <c r="I75" s="706"/>
      <c r="J75" s="707" t="str">
        <f t="shared" si="14"/>
        <v>BorgWarner Inc</v>
      </c>
      <c r="K75" s="708" t="str">
        <f t="shared" si="14"/>
        <v>BWA</v>
      </c>
      <c r="L75" s="709">
        <f t="shared" si="8"/>
        <v>9424.6956824999997</v>
      </c>
      <c r="M75" s="710">
        <f t="shared" si="9"/>
        <v>1.7739130434782605E-2</v>
      </c>
      <c r="N75" s="710">
        <f t="shared" si="10"/>
        <v>0.1515</v>
      </c>
      <c r="O75" s="711">
        <f t="shared" si="11"/>
        <v>0.17058286956521737</v>
      </c>
      <c r="P75" s="712">
        <f t="shared" si="12"/>
        <v>2.9430802729200884E-4</v>
      </c>
      <c r="Q75" s="713">
        <f t="shared" si="13"/>
        <v>5.020390783154918E-5</v>
      </c>
    </row>
    <row r="76" spans="1:17">
      <c r="A76" s="3" t="s">
        <v>1589</v>
      </c>
      <c r="B76" s="3" t="s">
        <v>2403</v>
      </c>
      <c r="C76" s="3" t="s">
        <v>1590</v>
      </c>
      <c r="D76" s="3">
        <v>10593483436.960001</v>
      </c>
      <c r="E76" s="3">
        <v>5.8094110683634215</v>
      </c>
      <c r="F76" s="3">
        <v>-12.57</v>
      </c>
      <c r="G76" s="3">
        <v>156.75469999999999</v>
      </c>
      <c r="H76" s="3">
        <v>67.58</v>
      </c>
      <c r="I76" s="706"/>
      <c r="J76" s="707" t="str">
        <f t="shared" si="14"/>
        <v>Boston Properties Inc</v>
      </c>
      <c r="K76" s="708" t="str">
        <f t="shared" si="14"/>
        <v>BXP</v>
      </c>
      <c r="L76" s="709">
        <f t="shared" si="8"/>
        <v>10593.483436960001</v>
      </c>
      <c r="M76" s="710">
        <f t="shared" si="9"/>
        <v>5.8094110683634216E-2</v>
      </c>
      <c r="N76" s="710">
        <f t="shared" si="10"/>
        <v>-0.12570000000000001</v>
      </c>
      <c r="O76" s="711">
        <f t="shared" si="11"/>
        <v>-7.1257104172832209E-2</v>
      </c>
      <c r="P76" s="712">
        <f t="shared" si="12"/>
        <v>3.3080614138781959E-4</v>
      </c>
      <c r="Q76" s="713">
        <f t="shared" si="13"/>
        <v>-2.3572287677884522E-5</v>
      </c>
    </row>
    <row r="77" spans="1:17">
      <c r="A77" s="3" t="s">
        <v>1591</v>
      </c>
      <c r="B77" s="3" t="s">
        <v>2404</v>
      </c>
      <c r="C77" s="3" t="s">
        <v>1592</v>
      </c>
      <c r="D77" s="3">
        <v>87603855038.720001</v>
      </c>
      <c r="E77" s="3">
        <v>4.5102807870882158</v>
      </c>
      <c r="F77" s="3">
        <v>-8.0830000000000002</v>
      </c>
      <c r="G77" s="3">
        <v>1936.8529999999998</v>
      </c>
      <c r="H77" s="3">
        <v>45.23</v>
      </c>
      <c r="I77" s="706"/>
      <c r="J77" s="707" t="str">
        <f t="shared" si="14"/>
        <v>Citigroup Inc</v>
      </c>
      <c r="K77" s="708" t="str">
        <f t="shared" si="14"/>
        <v>C</v>
      </c>
      <c r="L77" s="709">
        <f t="shared" si="8"/>
        <v>87603.855038720008</v>
      </c>
      <c r="M77" s="710">
        <f t="shared" si="9"/>
        <v>4.510280787088216E-2</v>
      </c>
      <c r="N77" s="710">
        <f t="shared" si="10"/>
        <v>-8.0829999999999999E-2</v>
      </c>
      <c r="O77" s="711">
        <f t="shared" si="11"/>
        <v>-3.7550022109219539E-2</v>
      </c>
      <c r="P77" s="712">
        <f t="shared" si="12"/>
        <v>2.7356339799378764E-3</v>
      </c>
      <c r="Q77" s="713">
        <f t="shared" si="13"/>
        <v>-1.027231164293995E-4</v>
      </c>
    </row>
    <row r="78" spans="1:17">
      <c r="A78" s="3" t="s">
        <v>1593</v>
      </c>
      <c r="B78" s="3" t="s">
        <v>2405</v>
      </c>
      <c r="C78" s="3" t="s">
        <v>1311</v>
      </c>
      <c r="D78" s="3">
        <v>18547168770.900002</v>
      </c>
      <c r="E78" s="3">
        <v>3.3100775193798446</v>
      </c>
      <c r="F78" s="3">
        <v>8.1999999999999993</v>
      </c>
      <c r="G78" s="3">
        <v>479.255</v>
      </c>
      <c r="H78" s="3">
        <v>38.700000000000003</v>
      </c>
      <c r="I78" s="706"/>
      <c r="J78" s="707" t="str">
        <f t="shared" si="14"/>
        <v>Conagra Brands Inc</v>
      </c>
      <c r="K78" s="708" t="str">
        <f t="shared" si="14"/>
        <v>CAG</v>
      </c>
      <c r="L78" s="709">
        <f t="shared" si="8"/>
        <v>18547.1687709</v>
      </c>
      <c r="M78" s="710">
        <f t="shared" si="9"/>
        <v>3.3100775193798448E-2</v>
      </c>
      <c r="N78" s="710">
        <f t="shared" si="10"/>
        <v>8.199999999999999E-2</v>
      </c>
      <c r="O78" s="711">
        <f t="shared" si="11"/>
        <v>0.11645790697674417</v>
      </c>
      <c r="P78" s="712">
        <f t="shared" si="12"/>
        <v>5.7917845166620646E-4</v>
      </c>
      <c r="Q78" s="713">
        <f t="shared" si="13"/>
        <v>6.7449910247077796E-5</v>
      </c>
    </row>
    <row r="79" spans="1:17">
      <c r="A79" s="3" t="s">
        <v>1594</v>
      </c>
      <c r="B79" s="3" t="s">
        <v>2406</v>
      </c>
      <c r="C79" s="3" t="s">
        <v>1595</v>
      </c>
      <c r="D79" s="3">
        <v>20150244654.110001</v>
      </c>
      <c r="E79" s="3">
        <v>2.5965916482372835</v>
      </c>
      <c r="F79" s="3">
        <v>11.18</v>
      </c>
      <c r="G79" s="3">
        <v>262.13409999999999</v>
      </c>
      <c r="H79" s="3">
        <v>76.87</v>
      </c>
      <c r="I79" s="706"/>
      <c r="J79" s="707" t="str">
        <f t="shared" si="14"/>
        <v>Cardinal Health Inc</v>
      </c>
      <c r="K79" s="708" t="str">
        <f t="shared" si="14"/>
        <v>CAH</v>
      </c>
      <c r="L79" s="709">
        <f t="shared" si="8"/>
        <v>20150.24465411</v>
      </c>
      <c r="M79" s="710">
        <f t="shared" si="9"/>
        <v>2.5965916482372835E-2</v>
      </c>
      <c r="N79" s="710">
        <f t="shared" si="10"/>
        <v>0.1118</v>
      </c>
      <c r="O79" s="711">
        <f t="shared" si="11"/>
        <v>0.13921741121373749</v>
      </c>
      <c r="P79" s="712">
        <f t="shared" si="12"/>
        <v>6.2923822194218214E-4</v>
      </c>
      <c r="Q79" s="713">
        <f t="shared" si="13"/>
        <v>8.7600916295525784E-5</v>
      </c>
    </row>
    <row r="80" spans="1:17">
      <c r="A80" s="3" t="s">
        <v>2993</v>
      </c>
      <c r="B80" s="3" t="s">
        <v>2994</v>
      </c>
      <c r="C80" s="3" t="s">
        <v>2995</v>
      </c>
      <c r="D80" s="3">
        <v>34495787493.75</v>
      </c>
      <c r="E80" s="3">
        <v>1.4860606060606061</v>
      </c>
      <c r="F80" s="3">
        <v>6.3</v>
      </c>
      <c r="G80" s="3">
        <v>836.26149999999996</v>
      </c>
      <c r="H80" s="3">
        <v>41.25</v>
      </c>
      <c r="I80" s="706"/>
      <c r="J80" s="707" t="str">
        <f t="shared" si="14"/>
        <v>Carrier Global Corp</v>
      </c>
      <c r="K80" s="708" t="str">
        <f t="shared" si="14"/>
        <v>CARR</v>
      </c>
      <c r="L80" s="709">
        <f t="shared" si="8"/>
        <v>34495.787493750002</v>
      </c>
      <c r="M80" s="710">
        <f t="shared" si="9"/>
        <v>1.486060606060606E-2</v>
      </c>
      <c r="N80" s="710">
        <f t="shared" si="10"/>
        <v>6.3E-2</v>
      </c>
      <c r="O80" s="711">
        <f t="shared" si="11"/>
        <v>7.8328715151515155E-2</v>
      </c>
      <c r="P80" s="712">
        <f t="shared" si="12"/>
        <v>1.0772111386069586E-3</v>
      </c>
      <c r="Q80" s="713">
        <f t="shared" si="13"/>
        <v>8.4376564433983771E-5</v>
      </c>
    </row>
    <row r="81" spans="1:17">
      <c r="A81" s="3" t="s">
        <v>1596</v>
      </c>
      <c r="B81" s="3" t="s">
        <v>2407</v>
      </c>
      <c r="C81" s="3" t="s">
        <v>1597</v>
      </c>
      <c r="D81" s="3">
        <v>124669265083.8</v>
      </c>
      <c r="E81" s="3">
        <v>1.9306228084822175</v>
      </c>
      <c r="F81" s="3">
        <v>13.5</v>
      </c>
      <c r="G81" s="3">
        <v>520.40940000000001</v>
      </c>
      <c r="H81" s="3">
        <v>239.56</v>
      </c>
      <c r="I81" s="706"/>
      <c r="J81" s="707" t="str">
        <f t="shared" si="14"/>
        <v>Caterpillar Inc</v>
      </c>
      <c r="K81" s="708" t="str">
        <f t="shared" si="14"/>
        <v>CAT</v>
      </c>
      <c r="L81" s="709">
        <f t="shared" si="8"/>
        <v>124669.2650838</v>
      </c>
      <c r="M81" s="710">
        <f t="shared" si="9"/>
        <v>1.9306228084822175E-2</v>
      </c>
      <c r="N81" s="710">
        <f t="shared" si="10"/>
        <v>0.13500000000000001</v>
      </c>
      <c r="O81" s="711">
        <f t="shared" si="11"/>
        <v>0.15560939848054767</v>
      </c>
      <c r="P81" s="712">
        <f t="shared" si="12"/>
        <v>3.893087554952753E-3</v>
      </c>
      <c r="Q81" s="713">
        <f t="shared" si="13"/>
        <v>6.0580101265830398E-4</v>
      </c>
    </row>
    <row r="82" spans="1:17">
      <c r="A82" s="3" t="s">
        <v>1598</v>
      </c>
      <c r="B82" s="3" t="s">
        <v>2408</v>
      </c>
      <c r="C82" s="3" t="s">
        <v>1599</v>
      </c>
      <c r="D82" s="3">
        <v>91560090444.400009</v>
      </c>
      <c r="E82" s="3">
        <v>1.4891205802357208</v>
      </c>
      <c r="F82" s="3">
        <v>14</v>
      </c>
      <c r="G82" s="3">
        <v>415.05029999999999</v>
      </c>
      <c r="H82" s="3">
        <v>220.6</v>
      </c>
      <c r="I82" s="706"/>
      <c r="J82" s="707" t="str">
        <f t="shared" si="14"/>
        <v>Chubb Ltd</v>
      </c>
      <c r="K82" s="708" t="str">
        <f t="shared" si="14"/>
        <v>CB</v>
      </c>
      <c r="L82" s="709">
        <f t="shared" si="8"/>
        <v>91560.090444400004</v>
      </c>
      <c r="M82" s="710">
        <f t="shared" si="9"/>
        <v>1.4891205802357208E-2</v>
      </c>
      <c r="N82" s="710">
        <f t="shared" si="10"/>
        <v>0.14000000000000001</v>
      </c>
      <c r="O82" s="711">
        <f t="shared" si="11"/>
        <v>0.15593359020852224</v>
      </c>
      <c r="P82" s="712">
        <f t="shared" si="12"/>
        <v>2.859176625448487E-3</v>
      </c>
      <c r="Q82" s="713">
        <f t="shared" si="13"/>
        <v>4.4584167624646984E-4</v>
      </c>
    </row>
    <row r="83" spans="1:17">
      <c r="A83" s="3" t="s">
        <v>2409</v>
      </c>
      <c r="B83" s="3" t="s">
        <v>2410</v>
      </c>
      <c r="C83" s="3" t="s">
        <v>2225</v>
      </c>
      <c r="D83" s="3">
        <v>13310130497.25</v>
      </c>
      <c r="E83" s="3">
        <v>1.563720411253686</v>
      </c>
      <c r="F83" s="3" t="s">
        <v>1483</v>
      </c>
      <c r="G83" s="3">
        <v>106.0822</v>
      </c>
      <c r="H83" s="3">
        <v>125.47</v>
      </c>
      <c r="I83" s="706"/>
      <c r="J83" s="707" t="str">
        <f t="shared" si="14"/>
        <v>Cboe Global Markets Inc</v>
      </c>
      <c r="K83" s="708" t="str">
        <f t="shared" si="14"/>
        <v>CBOE</v>
      </c>
      <c r="L83" s="709">
        <f t="shared" si="8"/>
        <v>13310.13049725</v>
      </c>
      <c r="M83" s="710">
        <f t="shared" si="9"/>
        <v>1.563720411253686E-2</v>
      </c>
      <c r="N83" s="710" t="str">
        <f t="shared" si="10"/>
        <v>N/A</v>
      </c>
      <c r="O83" s="711" t="str">
        <f t="shared" si="11"/>
        <v>N/A</v>
      </c>
      <c r="P83" s="712" t="str">
        <f t="shared" si="12"/>
        <v>N/A</v>
      </c>
      <c r="Q83" s="713" t="str">
        <f t="shared" si="13"/>
        <v>N/A</v>
      </c>
    </row>
    <row r="84" spans="1:17">
      <c r="A84" s="3" t="s">
        <v>2311</v>
      </c>
      <c r="B84" s="3" t="s">
        <v>2411</v>
      </c>
      <c r="C84" s="3" t="s">
        <v>2312</v>
      </c>
      <c r="D84" s="3">
        <v>24315399484.479996</v>
      </c>
      <c r="E84" s="3">
        <v>0</v>
      </c>
      <c r="F84" s="3" t="s">
        <v>1483</v>
      </c>
      <c r="G84" s="3">
        <v>315.94849999999997</v>
      </c>
      <c r="H84" s="3">
        <v>76.959999999999994</v>
      </c>
      <c r="I84" s="706"/>
      <c r="J84" s="707" t="str">
        <f t="shared" si="14"/>
        <v>CBRE Group Inc</v>
      </c>
      <c r="K84" s="708" t="str">
        <f t="shared" si="14"/>
        <v>CBRE</v>
      </c>
      <c r="L84" s="709">
        <f t="shared" si="8"/>
        <v>24315.399484479996</v>
      </c>
      <c r="M84" s="710">
        <f t="shared" si="9"/>
        <v>0</v>
      </c>
      <c r="N84" s="710" t="str">
        <f t="shared" si="10"/>
        <v>N/A</v>
      </c>
      <c r="O84" s="711" t="str">
        <f t="shared" si="11"/>
        <v>N/A</v>
      </c>
      <c r="P84" s="712" t="str">
        <f t="shared" si="12"/>
        <v>N/A</v>
      </c>
      <c r="Q84" s="713" t="str">
        <f t="shared" si="13"/>
        <v>N/A</v>
      </c>
    </row>
    <row r="85" spans="1:17">
      <c r="A85" s="3" t="s">
        <v>1600</v>
      </c>
      <c r="B85" s="3" t="s">
        <v>4276</v>
      </c>
      <c r="C85" s="3" t="s">
        <v>1601</v>
      </c>
      <c r="D85" s="3">
        <v>58738630855.639999</v>
      </c>
      <c r="E85" s="3">
        <v>4.4057800058979657</v>
      </c>
      <c r="F85" s="3">
        <v>10.050000000000001</v>
      </c>
      <c r="G85" s="3">
        <v>433.048</v>
      </c>
      <c r="H85" s="3">
        <v>135.63999999999999</v>
      </c>
      <c r="I85" s="706"/>
      <c r="J85" s="707" t="str">
        <f t="shared" si="14"/>
        <v>Crown Castle Inc</v>
      </c>
      <c r="K85" s="708" t="str">
        <f t="shared" si="14"/>
        <v>CCI</v>
      </c>
      <c r="L85" s="709">
        <f t="shared" si="8"/>
        <v>58738.630855639996</v>
      </c>
      <c r="M85" s="710">
        <f t="shared" si="9"/>
        <v>4.4057800058979656E-2</v>
      </c>
      <c r="N85" s="710">
        <f t="shared" si="10"/>
        <v>0.10050000000000001</v>
      </c>
      <c r="O85" s="711">
        <f t="shared" si="11"/>
        <v>0.14677170451194338</v>
      </c>
      <c r="P85" s="712">
        <f t="shared" si="12"/>
        <v>1.8342502670994788E-3</v>
      </c>
      <c r="Q85" s="713">
        <f t="shared" si="13"/>
        <v>2.6921603820367792E-4</v>
      </c>
    </row>
    <row r="86" spans="1:17">
      <c r="A86" s="3" t="s">
        <v>1602</v>
      </c>
      <c r="B86" s="3" t="s">
        <v>2412</v>
      </c>
      <c r="C86" s="3" t="s">
        <v>1603</v>
      </c>
      <c r="D86" s="3">
        <v>9988732694.3278885</v>
      </c>
      <c r="E86" s="3">
        <v>0</v>
      </c>
      <c r="F86" s="3" t="s">
        <v>1483</v>
      </c>
      <c r="G86" s="3">
        <v>1112.7069999999999</v>
      </c>
      <c r="H86" s="3">
        <v>8.06</v>
      </c>
      <c r="I86" s="706"/>
      <c r="J86" s="707" t="str">
        <f t="shared" si="14"/>
        <v>Carnival Corp</v>
      </c>
      <c r="K86" s="708" t="str">
        <f t="shared" si="14"/>
        <v>CCL</v>
      </c>
      <c r="L86" s="709">
        <f t="shared" si="8"/>
        <v>9988.7326943278877</v>
      </c>
      <c r="M86" s="710">
        <f t="shared" si="9"/>
        <v>0</v>
      </c>
      <c r="N86" s="710" t="str">
        <f t="shared" si="10"/>
        <v>N/A</v>
      </c>
      <c r="O86" s="711" t="str">
        <f t="shared" si="11"/>
        <v>N/A</v>
      </c>
      <c r="P86" s="712" t="str">
        <f t="shared" si="12"/>
        <v>N/A</v>
      </c>
      <c r="Q86" s="713" t="str">
        <f t="shared" si="13"/>
        <v>N/A</v>
      </c>
    </row>
    <row r="87" spans="1:17">
      <c r="A87" s="3" t="s">
        <v>4078</v>
      </c>
      <c r="B87" s="3" t="s">
        <v>4079</v>
      </c>
      <c r="C87" s="3" t="s">
        <v>4080</v>
      </c>
      <c r="D87" s="3">
        <v>9853110718.0500011</v>
      </c>
      <c r="E87" s="3">
        <v>0</v>
      </c>
      <c r="F87" s="3" t="s">
        <v>1483</v>
      </c>
      <c r="G87" s="3">
        <v>153.5949</v>
      </c>
      <c r="H87" s="3">
        <v>64.150000000000006</v>
      </c>
      <c r="I87" s="706"/>
      <c r="J87" s="707" t="str">
        <f t="shared" si="14"/>
        <v>Ceridian HCM Holding Inc</v>
      </c>
      <c r="K87" s="708" t="str">
        <f t="shared" si="14"/>
        <v>CDAY</v>
      </c>
      <c r="L87" s="709">
        <f t="shared" si="8"/>
        <v>9853.1107180500003</v>
      </c>
      <c r="M87" s="710">
        <f t="shared" si="9"/>
        <v>0</v>
      </c>
      <c r="N87" s="710" t="str">
        <f t="shared" si="10"/>
        <v>N/A</v>
      </c>
      <c r="O87" s="711" t="str">
        <f t="shared" si="11"/>
        <v>N/A</v>
      </c>
      <c r="P87" s="712" t="str">
        <f t="shared" si="12"/>
        <v>N/A</v>
      </c>
      <c r="Q87" s="713" t="str">
        <f t="shared" si="13"/>
        <v>N/A</v>
      </c>
    </row>
    <row r="88" spans="1:17">
      <c r="A88" s="3" t="s">
        <v>2287</v>
      </c>
      <c r="B88" s="3" t="s">
        <v>2413</v>
      </c>
      <c r="C88" s="3" t="s">
        <v>2288</v>
      </c>
      <c r="D88" s="3">
        <v>44066122239.999992</v>
      </c>
      <c r="E88" s="3">
        <v>0</v>
      </c>
      <c r="F88" s="3">
        <v>19.12</v>
      </c>
      <c r="G88" s="3">
        <v>274.31599999999997</v>
      </c>
      <c r="H88" s="3">
        <v>160.63999999999999</v>
      </c>
      <c r="I88" s="706"/>
      <c r="J88" s="707" t="str">
        <f t="shared" si="14"/>
        <v>Cadence Design Systems Inc</v>
      </c>
      <c r="K88" s="708" t="str">
        <f t="shared" si="14"/>
        <v>CDNS</v>
      </c>
      <c r="L88" s="709">
        <f t="shared" si="8"/>
        <v>44066.12223999999</v>
      </c>
      <c r="M88" s="710">
        <f t="shared" si="9"/>
        <v>0</v>
      </c>
      <c r="N88" s="710">
        <f t="shared" si="10"/>
        <v>0.19120000000000001</v>
      </c>
      <c r="O88" s="711">
        <f t="shared" si="11"/>
        <v>0.19120000000000001</v>
      </c>
      <c r="P88" s="712">
        <f t="shared" si="12"/>
        <v>1.3760670841546734E-3</v>
      </c>
      <c r="Q88" s="713">
        <f t="shared" si="13"/>
        <v>2.6310402649037354E-4</v>
      </c>
    </row>
    <row r="89" spans="1:17">
      <c r="A89" s="3" t="s">
        <v>2892</v>
      </c>
      <c r="B89" s="3" t="s">
        <v>2893</v>
      </c>
      <c r="C89" s="3" t="s">
        <v>2894</v>
      </c>
      <c r="D89" s="3">
        <v>24178121565.560001</v>
      </c>
      <c r="E89" s="3">
        <v>1.1770635009519541</v>
      </c>
      <c r="F89" s="3">
        <v>13.1</v>
      </c>
      <c r="G89" s="3">
        <v>135.39099999999999</v>
      </c>
      <c r="H89" s="3">
        <v>178.58</v>
      </c>
      <c r="I89" s="706"/>
      <c r="J89" s="707" t="str">
        <f t="shared" si="14"/>
        <v>CDW Corp/DE</v>
      </c>
      <c r="K89" s="708" t="str">
        <f t="shared" si="14"/>
        <v>CDW</v>
      </c>
      <c r="L89" s="709">
        <f t="shared" si="8"/>
        <v>24178.121565560003</v>
      </c>
      <c r="M89" s="710">
        <f t="shared" si="9"/>
        <v>1.1770635009519541E-2</v>
      </c>
      <c r="N89" s="710">
        <f t="shared" si="10"/>
        <v>0.13100000000000001</v>
      </c>
      <c r="O89" s="711">
        <f t="shared" si="11"/>
        <v>0.14354161160264309</v>
      </c>
      <c r="P89" s="712">
        <f t="shared" si="12"/>
        <v>7.5501803997758319E-4</v>
      </c>
      <c r="Q89" s="713">
        <f t="shared" si="13"/>
        <v>1.083765062474511E-4</v>
      </c>
    </row>
    <row r="90" spans="1:17">
      <c r="A90" s="3" t="s">
        <v>2414</v>
      </c>
      <c r="B90" s="3" t="s">
        <v>2415</v>
      </c>
      <c r="C90" s="3" t="s">
        <v>2416</v>
      </c>
      <c r="D90" s="3">
        <v>11085685979.039999</v>
      </c>
      <c r="E90" s="3">
        <v>2.6692097026604071</v>
      </c>
      <c r="F90" s="3">
        <v>5.38</v>
      </c>
      <c r="G90" s="3">
        <v>108.4281</v>
      </c>
      <c r="H90" s="3">
        <v>102.24</v>
      </c>
      <c r="I90" s="706"/>
      <c r="J90" s="707" t="str">
        <f t="shared" si="14"/>
        <v>Celanese Corp</v>
      </c>
      <c r="K90" s="708" t="str">
        <f t="shared" si="14"/>
        <v>CE</v>
      </c>
      <c r="L90" s="709">
        <f t="shared" si="8"/>
        <v>11085.685979039999</v>
      </c>
      <c r="M90" s="710">
        <f t="shared" si="9"/>
        <v>2.6692097026604071E-2</v>
      </c>
      <c r="N90" s="710">
        <f t="shared" si="10"/>
        <v>5.3800000000000001E-2</v>
      </c>
      <c r="O90" s="711">
        <f t="shared" si="11"/>
        <v>8.1210114436619713E-2</v>
      </c>
      <c r="P90" s="712">
        <f t="shared" si="12"/>
        <v>3.4617630972722327E-4</v>
      </c>
      <c r="Q90" s="713">
        <f t="shared" si="13"/>
        <v>2.8113017728194513E-5</v>
      </c>
    </row>
    <row r="91" spans="1:17">
      <c r="A91" s="3" t="s">
        <v>4277</v>
      </c>
      <c r="B91" s="3" t="s">
        <v>4278</v>
      </c>
      <c r="C91" s="3" t="s">
        <v>4240</v>
      </c>
      <c r="D91" s="3">
        <v>28161698008.769997</v>
      </c>
      <c r="E91" s="3">
        <v>0.64377682403433489</v>
      </c>
      <c r="F91" s="3" t="s">
        <v>1483</v>
      </c>
      <c r="G91" s="3">
        <v>326.66390000000001</v>
      </c>
      <c r="H91" s="3">
        <v>86.21</v>
      </c>
      <c r="I91" s="706"/>
      <c r="J91" s="707" t="str">
        <f t="shared" si="14"/>
        <v>Constellation Energy Corp</v>
      </c>
      <c r="K91" s="708" t="str">
        <f t="shared" si="14"/>
        <v>CEG</v>
      </c>
      <c r="L91" s="709">
        <f t="shared" si="8"/>
        <v>28161.698008769996</v>
      </c>
      <c r="M91" s="710">
        <f t="shared" si="9"/>
        <v>6.4377682403433494E-3</v>
      </c>
      <c r="N91" s="710" t="str">
        <f t="shared" si="10"/>
        <v>N/A</v>
      </c>
      <c r="O91" s="711" t="str">
        <f t="shared" si="11"/>
        <v>N/A</v>
      </c>
      <c r="P91" s="712" t="str">
        <f t="shared" si="12"/>
        <v>N/A</v>
      </c>
      <c r="Q91" s="713" t="str">
        <f t="shared" si="13"/>
        <v>N/A</v>
      </c>
    </row>
    <row r="92" spans="1:17">
      <c r="A92" s="3" t="s">
        <v>1604</v>
      </c>
      <c r="B92" s="3" t="s">
        <v>2417</v>
      </c>
      <c r="C92" s="3" t="s">
        <v>1605</v>
      </c>
      <c r="D92" s="3">
        <v>16715342247.600002</v>
      </c>
      <c r="E92" s="3">
        <v>1.7382629107981222</v>
      </c>
      <c r="F92" s="3">
        <v>7.95</v>
      </c>
      <c r="G92" s="3">
        <v>196.18949999999998</v>
      </c>
      <c r="H92" s="3">
        <v>85.2</v>
      </c>
      <c r="I92" s="706"/>
      <c r="J92" s="707" t="str">
        <f t="shared" si="14"/>
        <v>CF Industries Holdings Inc</v>
      </c>
      <c r="K92" s="708" t="str">
        <f t="shared" si="14"/>
        <v>CF</v>
      </c>
      <c r="L92" s="709">
        <f t="shared" si="8"/>
        <v>16715.342247600001</v>
      </c>
      <c r="M92" s="710">
        <f t="shared" si="9"/>
        <v>1.7382629107981221E-2</v>
      </c>
      <c r="N92" s="710">
        <f t="shared" si="10"/>
        <v>7.9500000000000001E-2</v>
      </c>
      <c r="O92" s="711">
        <f t="shared" si="11"/>
        <v>9.7573588615023479E-2</v>
      </c>
      <c r="P92" s="712">
        <f t="shared" si="12"/>
        <v>5.2197541099777882E-4</v>
      </c>
      <c r="Q92" s="713">
        <f t="shared" si="13"/>
        <v>5.0931014019855071E-5</v>
      </c>
    </row>
    <row r="93" spans="1:17">
      <c r="A93" s="3" t="s">
        <v>1606</v>
      </c>
      <c r="B93" s="3" t="s">
        <v>2418</v>
      </c>
      <c r="C93" s="3" t="s">
        <v>1607</v>
      </c>
      <c r="D93" s="3">
        <v>19389369331.419998</v>
      </c>
      <c r="E93" s="3">
        <v>4.1148082296164592</v>
      </c>
      <c r="F93" s="3">
        <v>-1.87</v>
      </c>
      <c r="G93" s="3">
        <v>492.49099999999999</v>
      </c>
      <c r="H93" s="3">
        <v>39.369999999999997</v>
      </c>
      <c r="I93" s="706"/>
      <c r="J93" s="707" t="str">
        <f t="shared" si="14"/>
        <v>Citizens Financial Group Inc</v>
      </c>
      <c r="K93" s="708" t="str">
        <f t="shared" si="14"/>
        <v>CFG</v>
      </c>
      <c r="L93" s="709">
        <f t="shared" si="8"/>
        <v>19389.369331419999</v>
      </c>
      <c r="M93" s="710">
        <f t="shared" si="9"/>
        <v>4.1148082296164595E-2</v>
      </c>
      <c r="N93" s="710">
        <f t="shared" si="10"/>
        <v>-1.8700000000000001E-2</v>
      </c>
      <c r="O93" s="711">
        <f t="shared" si="11"/>
        <v>2.2063347726695458E-2</v>
      </c>
      <c r="P93" s="712">
        <f t="shared" si="12"/>
        <v>6.0547812158670154E-4</v>
      </c>
      <c r="Q93" s="713">
        <f t="shared" si="13"/>
        <v>1.3358874337473787E-5</v>
      </c>
    </row>
    <row r="94" spans="1:17">
      <c r="A94" s="3" t="s">
        <v>1608</v>
      </c>
      <c r="B94" s="3" t="s">
        <v>2419</v>
      </c>
      <c r="C94" s="3" t="s">
        <v>1609</v>
      </c>
      <c r="D94" s="3">
        <v>19658227451.669998</v>
      </c>
      <c r="E94" s="3">
        <v>1.3025679196129512</v>
      </c>
      <c r="F94" s="3">
        <v>5.6770000000000005</v>
      </c>
      <c r="G94" s="3">
        <v>243.86829999999998</v>
      </c>
      <c r="H94" s="3">
        <v>80.61</v>
      </c>
      <c r="I94" s="706"/>
      <c r="J94" s="707" t="str">
        <f t="shared" si="14"/>
        <v>Church &amp; Dwight Co Inc</v>
      </c>
      <c r="K94" s="708" t="str">
        <f t="shared" si="14"/>
        <v>CHD</v>
      </c>
      <c r="L94" s="709">
        <f t="shared" si="8"/>
        <v>19658.227451669998</v>
      </c>
      <c r="M94" s="710">
        <f t="shared" si="9"/>
        <v>1.3025679196129512E-2</v>
      </c>
      <c r="N94" s="710">
        <f t="shared" si="10"/>
        <v>5.6770000000000008E-2</v>
      </c>
      <c r="O94" s="711">
        <f t="shared" si="11"/>
        <v>7.0165413100111651E-2</v>
      </c>
      <c r="P94" s="712">
        <f t="shared" si="12"/>
        <v>6.1387384126379845E-4</v>
      </c>
      <c r="Q94" s="713">
        <f t="shared" si="13"/>
        <v>4.3072711663626782E-5</v>
      </c>
    </row>
    <row r="95" spans="1:17">
      <c r="A95" s="3" t="s">
        <v>1610</v>
      </c>
      <c r="B95" s="3" t="s">
        <v>2420</v>
      </c>
      <c r="C95" s="3" t="s">
        <v>1611</v>
      </c>
      <c r="D95" s="3">
        <v>10777478890.08</v>
      </c>
      <c r="E95" s="3">
        <v>2.4290083005679337</v>
      </c>
      <c r="F95" s="3">
        <v>10</v>
      </c>
      <c r="G95" s="3">
        <v>117.70949999999999</v>
      </c>
      <c r="H95" s="3">
        <v>91.56</v>
      </c>
      <c r="I95" s="706"/>
      <c r="J95" s="707" t="str">
        <f t="shared" si="14"/>
        <v>CH Robinson Worldwide Inc</v>
      </c>
      <c r="K95" s="708" t="str">
        <f t="shared" si="14"/>
        <v>CHRW</v>
      </c>
      <c r="L95" s="709">
        <f t="shared" si="8"/>
        <v>10777.478890079999</v>
      </c>
      <c r="M95" s="710">
        <f t="shared" si="9"/>
        <v>2.4290083005679336E-2</v>
      </c>
      <c r="N95" s="710">
        <f t="shared" si="10"/>
        <v>0.1</v>
      </c>
      <c r="O95" s="711">
        <f t="shared" si="11"/>
        <v>0.1255045871559633</v>
      </c>
      <c r="P95" s="712">
        <f t="shared" si="12"/>
        <v>3.3655182704841818E-4</v>
      </c>
      <c r="Q95" s="713">
        <f t="shared" si="13"/>
        <v>4.2238798110296884E-5</v>
      </c>
    </row>
    <row r="96" spans="1:17">
      <c r="A96" s="3" t="s">
        <v>1612</v>
      </c>
      <c r="B96" s="3" t="s">
        <v>2421</v>
      </c>
      <c r="C96" s="3" t="s">
        <v>1613</v>
      </c>
      <c r="D96" s="3">
        <v>61137889704.299995</v>
      </c>
      <c r="E96" s="3">
        <v>0</v>
      </c>
      <c r="F96" s="3">
        <v>19.797000000000001</v>
      </c>
      <c r="G96" s="3">
        <v>155.67230000000001</v>
      </c>
      <c r="H96" s="3">
        <v>339.1</v>
      </c>
      <c r="I96" s="706"/>
      <c r="J96" s="707" t="str">
        <f t="shared" si="14"/>
        <v>Charter Communications Inc</v>
      </c>
      <c r="K96" s="708" t="str">
        <f t="shared" si="14"/>
        <v>CHTR</v>
      </c>
      <c r="L96" s="709">
        <f t="shared" si="8"/>
        <v>61137.889704299996</v>
      </c>
      <c r="M96" s="710">
        <f t="shared" si="9"/>
        <v>0</v>
      </c>
      <c r="N96" s="710">
        <f t="shared" si="10"/>
        <v>0.19797000000000001</v>
      </c>
      <c r="O96" s="711">
        <f t="shared" si="11"/>
        <v>0.19797000000000001</v>
      </c>
      <c r="P96" s="712">
        <f t="shared" si="12"/>
        <v>1.9091727009371211E-3</v>
      </c>
      <c r="Q96" s="713">
        <f t="shared" si="13"/>
        <v>3.7795891960452189E-4</v>
      </c>
    </row>
    <row r="97" spans="1:17">
      <c r="A97" s="3" t="s">
        <v>1614</v>
      </c>
      <c r="B97" s="3" t="s">
        <v>2422</v>
      </c>
      <c r="C97" s="3" t="s">
        <v>1615</v>
      </c>
      <c r="D97" s="3">
        <v>101303561585.36</v>
      </c>
      <c r="E97" s="3">
        <v>1.3457475704714192</v>
      </c>
      <c r="F97" s="3">
        <v>11.505000000000001</v>
      </c>
      <c r="G97" s="3">
        <v>305.73899999999998</v>
      </c>
      <c r="H97" s="3">
        <v>331.34</v>
      </c>
      <c r="I97" s="706"/>
      <c r="J97" s="707" t="str">
        <f t="shared" si="14"/>
        <v>Cigna Corp</v>
      </c>
      <c r="K97" s="708" t="str">
        <f t="shared" si="14"/>
        <v>CI</v>
      </c>
      <c r="L97" s="709">
        <f t="shared" si="8"/>
        <v>101303.56158536</v>
      </c>
      <c r="M97" s="710">
        <f t="shared" si="9"/>
        <v>1.3457475704714193E-2</v>
      </c>
      <c r="N97" s="710">
        <f t="shared" si="10"/>
        <v>0.11505000000000001</v>
      </c>
      <c r="O97" s="711">
        <f t="shared" si="11"/>
        <v>0.1292816169946279</v>
      </c>
      <c r="P97" s="712">
        <f t="shared" si="12"/>
        <v>3.1634391573196379E-3</v>
      </c>
      <c r="Q97" s="713">
        <f t="shared" si="13"/>
        <v>4.0897452952240584E-4</v>
      </c>
    </row>
    <row r="98" spans="1:17">
      <c r="A98" s="3" t="s">
        <v>1616</v>
      </c>
      <c r="B98" s="3" t="s">
        <v>2423</v>
      </c>
      <c r="C98" s="3" t="s">
        <v>1617</v>
      </c>
      <c r="D98" s="3">
        <v>16094101296.119999</v>
      </c>
      <c r="E98" s="3">
        <v>2.6955757398183415</v>
      </c>
      <c r="F98" s="3">
        <v>-1.8900000000000001</v>
      </c>
      <c r="G98" s="3">
        <v>157.18429999999998</v>
      </c>
      <c r="H98" s="3">
        <v>102.39</v>
      </c>
      <c r="I98" s="706"/>
      <c r="J98" s="707" t="str">
        <f t="shared" si="14"/>
        <v>Cincinnati Financial Corp</v>
      </c>
      <c r="K98" s="708" t="str">
        <f t="shared" si="14"/>
        <v>CINF</v>
      </c>
      <c r="L98" s="709">
        <f t="shared" si="8"/>
        <v>16094.101296119999</v>
      </c>
      <c r="M98" s="710">
        <f t="shared" si="9"/>
        <v>2.6955757398183414E-2</v>
      </c>
      <c r="N98" s="710">
        <f t="shared" si="10"/>
        <v>-1.89E-2</v>
      </c>
      <c r="O98" s="711">
        <f t="shared" si="11"/>
        <v>7.8010254907705801E-3</v>
      </c>
      <c r="P98" s="712">
        <f t="shared" si="12"/>
        <v>5.0257571841750973E-4</v>
      </c>
      <c r="Q98" s="713">
        <f t="shared" si="13"/>
        <v>3.9206059904173307E-6</v>
      </c>
    </row>
    <row r="99" spans="1:17">
      <c r="A99" s="3" t="s">
        <v>1618</v>
      </c>
      <c r="B99" s="3" t="s">
        <v>2424</v>
      </c>
      <c r="C99" s="3" t="s">
        <v>1619</v>
      </c>
      <c r="D99" s="3">
        <v>65806527605.900002</v>
      </c>
      <c r="E99" s="3">
        <v>2.3759360324914329</v>
      </c>
      <c r="F99" s="3">
        <v>2.5100000000000002</v>
      </c>
      <c r="G99" s="3">
        <v>835.21420000000001</v>
      </c>
      <c r="H99" s="3">
        <v>78.790000000000006</v>
      </c>
      <c r="I99" s="706"/>
      <c r="J99" s="707" t="str">
        <f t="shared" si="14"/>
        <v>Colgate-Palmolive Co</v>
      </c>
      <c r="K99" s="708" t="str">
        <f t="shared" si="14"/>
        <v>CL</v>
      </c>
      <c r="L99" s="709">
        <f t="shared" si="8"/>
        <v>65806.527605900003</v>
      </c>
      <c r="M99" s="710">
        <f t="shared" si="9"/>
        <v>2.3759360324914328E-2</v>
      </c>
      <c r="N99" s="710">
        <f t="shared" si="10"/>
        <v>2.5100000000000001E-2</v>
      </c>
      <c r="O99" s="711">
        <f t="shared" si="11"/>
        <v>4.9157540296992007E-2</v>
      </c>
      <c r="P99" s="712">
        <f t="shared" si="12"/>
        <v>2.0549617701281732E-3</v>
      </c>
      <c r="Q99" s="713">
        <f t="shared" si="13"/>
        <v>1.010168660238537E-4</v>
      </c>
    </row>
    <row r="100" spans="1:17">
      <c r="A100" s="3" t="s">
        <v>1620</v>
      </c>
      <c r="B100" s="3" t="s">
        <v>2425</v>
      </c>
      <c r="C100" s="3" t="s">
        <v>1621</v>
      </c>
      <c r="D100" s="3">
        <v>17314588563.010002</v>
      </c>
      <c r="E100" s="3">
        <v>3.3663507446732699</v>
      </c>
      <c r="F100" s="3">
        <v>3.1350000000000002</v>
      </c>
      <c r="G100" s="3">
        <v>123.3848</v>
      </c>
      <c r="H100" s="3">
        <v>140.33000000000001</v>
      </c>
      <c r="I100" s="706"/>
      <c r="J100" s="707" t="str">
        <f t="shared" si="14"/>
        <v>Clorox Co/The</v>
      </c>
      <c r="K100" s="708" t="str">
        <f t="shared" si="14"/>
        <v>CLX</v>
      </c>
      <c r="L100" s="709">
        <f t="shared" si="8"/>
        <v>17314.588563010002</v>
      </c>
      <c r="M100" s="710">
        <f t="shared" si="9"/>
        <v>3.3663507446732702E-2</v>
      </c>
      <c r="N100" s="710">
        <f t="shared" si="10"/>
        <v>3.1350000000000003E-2</v>
      </c>
      <c r="O100" s="711">
        <f t="shared" si="11"/>
        <v>6.5541182925960242E-2</v>
      </c>
      <c r="P100" s="712">
        <f t="shared" si="12"/>
        <v>5.4068826994746325E-4</v>
      </c>
      <c r="Q100" s="713">
        <f t="shared" si="13"/>
        <v>3.5437348806547664E-5</v>
      </c>
    </row>
    <row r="101" spans="1:17">
      <c r="A101" s="3" t="s">
        <v>1622</v>
      </c>
      <c r="B101" s="3" t="s">
        <v>2426</v>
      </c>
      <c r="C101" s="3" t="s">
        <v>1623</v>
      </c>
      <c r="D101" s="3">
        <v>8754169210.1499996</v>
      </c>
      <c r="E101" s="3">
        <v>4.082273747195214</v>
      </c>
      <c r="F101" s="3">
        <v>17.167000000000002</v>
      </c>
      <c r="G101" s="3">
        <v>130.95239999999998</v>
      </c>
      <c r="H101" s="3">
        <v>66.849999999999994</v>
      </c>
      <c r="I101" s="706"/>
      <c r="J101" s="707" t="str">
        <f t="shared" si="14"/>
        <v>Comerica Inc</v>
      </c>
      <c r="K101" s="708" t="str">
        <f t="shared" si="14"/>
        <v>CMA</v>
      </c>
      <c r="L101" s="709">
        <f t="shared" si="8"/>
        <v>8754.1692101499993</v>
      </c>
      <c r="M101" s="710">
        <f t="shared" si="9"/>
        <v>4.0822737471952142E-2</v>
      </c>
      <c r="N101" s="710">
        <f t="shared" si="10"/>
        <v>0.17167000000000002</v>
      </c>
      <c r="O101" s="711">
        <f t="shared" si="11"/>
        <v>0.21599675714285718</v>
      </c>
      <c r="P101" s="712">
        <f t="shared" si="12"/>
        <v>2.7336927977458748E-4</v>
      </c>
      <c r="Q101" s="713">
        <f t="shared" si="13"/>
        <v>5.9046877933789351E-5</v>
      </c>
    </row>
    <row r="102" spans="1:17">
      <c r="A102" s="3" t="s">
        <v>1624</v>
      </c>
      <c r="B102" s="3" t="s">
        <v>2427</v>
      </c>
      <c r="C102" s="3" t="s">
        <v>1625</v>
      </c>
      <c r="D102" s="3">
        <v>151189602030.51398</v>
      </c>
      <c r="E102" s="3">
        <v>3.0740634829854163</v>
      </c>
      <c r="F102" s="3">
        <v>8.0180000000000007</v>
      </c>
      <c r="G102" s="3">
        <v>4313.9639999999999</v>
      </c>
      <c r="H102" s="3">
        <v>34.97</v>
      </c>
      <c r="I102" s="706"/>
      <c r="J102" s="707" t="str">
        <f t="shared" si="14"/>
        <v>Comcast Corp</v>
      </c>
      <c r="K102" s="708" t="str">
        <f t="shared" si="14"/>
        <v>CMCSA</v>
      </c>
      <c r="L102" s="709">
        <f t="shared" si="8"/>
        <v>151189.60203051398</v>
      </c>
      <c r="M102" s="710">
        <f t="shared" si="9"/>
        <v>3.0740634829854164E-2</v>
      </c>
      <c r="N102" s="710">
        <f t="shared" si="10"/>
        <v>8.0180000000000001E-2</v>
      </c>
      <c r="O102" s="711">
        <f t="shared" si="11"/>
        <v>0.11215302688018303</v>
      </c>
      <c r="P102" s="712">
        <f t="shared" si="12"/>
        <v>4.7212467139163211E-3</v>
      </c>
      <c r="Q102" s="713">
        <f t="shared" si="13"/>
        <v>5.2950210961383293E-4</v>
      </c>
    </row>
    <row r="103" spans="1:17">
      <c r="A103" s="3" t="s">
        <v>1626</v>
      </c>
      <c r="B103" s="3" t="s">
        <v>2428</v>
      </c>
      <c r="C103" s="3" t="s">
        <v>1627</v>
      </c>
      <c r="D103" s="3">
        <v>60491880154.720009</v>
      </c>
      <c r="E103" s="3">
        <v>4.3845147478591819</v>
      </c>
      <c r="F103" s="3">
        <v>7.8</v>
      </c>
      <c r="G103" s="3">
        <v>359.72499999999997</v>
      </c>
      <c r="H103" s="3">
        <v>168.16</v>
      </c>
      <c r="I103" s="706"/>
      <c r="J103" s="707" t="str">
        <f t="shared" si="14"/>
        <v>CME Group Inc</v>
      </c>
      <c r="K103" s="708" t="str">
        <f t="shared" si="14"/>
        <v>CME</v>
      </c>
      <c r="L103" s="709">
        <f t="shared" si="8"/>
        <v>60491.880154720006</v>
      </c>
      <c r="M103" s="710">
        <f t="shared" si="9"/>
        <v>4.384514747859182E-2</v>
      </c>
      <c r="N103" s="710">
        <f t="shared" si="10"/>
        <v>7.8E-2</v>
      </c>
      <c r="O103" s="711">
        <f t="shared" si="11"/>
        <v>0.12355510823025689</v>
      </c>
      <c r="P103" s="712">
        <f t="shared" si="12"/>
        <v>1.8889995513147184E-3</v>
      </c>
      <c r="Q103" s="713">
        <f t="shared" si="13"/>
        <v>2.3339554400959674E-4</v>
      </c>
    </row>
    <row r="104" spans="1:17">
      <c r="A104" s="3" t="s">
        <v>1628</v>
      </c>
      <c r="B104" s="3" t="s">
        <v>2429</v>
      </c>
      <c r="C104" s="3" t="s">
        <v>1629</v>
      </c>
      <c r="D104" s="3">
        <v>38462765688.880005</v>
      </c>
      <c r="E104" s="3">
        <v>0</v>
      </c>
      <c r="F104" s="3">
        <v>26.830000000000002</v>
      </c>
      <c r="G104" s="3">
        <v>27.721109999999999</v>
      </c>
      <c r="H104" s="3">
        <v>1387.49</v>
      </c>
      <c r="I104" s="706"/>
      <c r="J104" s="707" t="str">
        <f t="shared" si="14"/>
        <v>Chipotle Mexican Grill Inc</v>
      </c>
      <c r="K104" s="708" t="str">
        <f t="shared" si="14"/>
        <v>CMG</v>
      </c>
      <c r="L104" s="709">
        <f t="shared" si="8"/>
        <v>38462.765688880005</v>
      </c>
      <c r="M104" s="710">
        <f t="shared" si="9"/>
        <v>0</v>
      </c>
      <c r="N104" s="710">
        <f t="shared" si="10"/>
        <v>0.26830000000000004</v>
      </c>
      <c r="O104" s="711">
        <f t="shared" si="11"/>
        <v>0.26830000000000004</v>
      </c>
      <c r="P104" s="712">
        <f t="shared" si="12"/>
        <v>1.2010892526862272E-3</v>
      </c>
      <c r="Q104" s="713">
        <f t="shared" si="13"/>
        <v>3.2225224649571482E-4</v>
      </c>
    </row>
    <row r="105" spans="1:17">
      <c r="A105" s="3" t="s">
        <v>1630</v>
      </c>
      <c r="B105" s="3" t="s">
        <v>2430</v>
      </c>
      <c r="C105" s="3" t="s">
        <v>1631</v>
      </c>
      <c r="D105" s="3">
        <v>34168332317.98</v>
      </c>
      <c r="E105" s="3">
        <v>2.4788476618927735</v>
      </c>
      <c r="F105" s="3">
        <v>9.2799999999999994</v>
      </c>
      <c r="G105" s="3">
        <v>141.02249999999998</v>
      </c>
      <c r="H105" s="3">
        <v>242.29</v>
      </c>
      <c r="I105" s="706"/>
      <c r="J105" s="707" t="str">
        <f t="shared" si="14"/>
        <v>Cummins Inc</v>
      </c>
      <c r="K105" s="708" t="str">
        <f t="shared" si="14"/>
        <v>CMI</v>
      </c>
      <c r="L105" s="709">
        <f t="shared" si="8"/>
        <v>34168.332317979999</v>
      </c>
      <c r="M105" s="710">
        <f t="shared" si="9"/>
        <v>2.4788476618927736E-2</v>
      </c>
      <c r="N105" s="710">
        <f t="shared" si="10"/>
        <v>9.2799999999999994E-2</v>
      </c>
      <c r="O105" s="711">
        <f t="shared" si="11"/>
        <v>0.11873866193404597</v>
      </c>
      <c r="P105" s="712">
        <f t="shared" si="12"/>
        <v>1.066985589681663E-3</v>
      </c>
      <c r="Q105" s="713">
        <f t="shared" si="13"/>
        <v>1.2669244122170967E-4</v>
      </c>
    </row>
    <row r="106" spans="1:17">
      <c r="A106" s="3" t="s">
        <v>1632</v>
      </c>
      <c r="B106" s="3" t="s">
        <v>2431</v>
      </c>
      <c r="C106" s="3" t="s">
        <v>207</v>
      </c>
      <c r="D106" s="3">
        <v>18381633954.66</v>
      </c>
      <c r="E106" s="3">
        <v>2.9148902573819679</v>
      </c>
      <c r="F106" s="3">
        <v>8.09</v>
      </c>
      <c r="G106" s="3">
        <v>290.2516</v>
      </c>
      <c r="H106" s="3">
        <v>63.33</v>
      </c>
      <c r="I106" s="706"/>
      <c r="J106" s="707" t="str">
        <f t="shared" si="14"/>
        <v>CMS Energy Corp</v>
      </c>
      <c r="K106" s="708" t="str">
        <f t="shared" si="14"/>
        <v>CMS</v>
      </c>
      <c r="L106" s="709">
        <f t="shared" si="8"/>
        <v>18381.633954659999</v>
      </c>
      <c r="M106" s="710">
        <f t="shared" si="9"/>
        <v>2.914890257381968E-2</v>
      </c>
      <c r="N106" s="710">
        <f t="shared" si="10"/>
        <v>8.09E-2</v>
      </c>
      <c r="O106" s="711">
        <f t="shared" si="11"/>
        <v>0.11122797568293069</v>
      </c>
      <c r="P106" s="712">
        <f t="shared" si="12"/>
        <v>5.7400924229786569E-4</v>
      </c>
      <c r="Q106" s="713">
        <f t="shared" si="13"/>
        <v>6.384588604408448E-5</v>
      </c>
    </row>
    <row r="107" spans="1:17">
      <c r="A107" s="3" t="s">
        <v>1633</v>
      </c>
      <c r="B107" s="3" t="s">
        <v>2432</v>
      </c>
      <c r="C107" s="3" t="s">
        <v>1634</v>
      </c>
      <c r="D107" s="3">
        <v>46438957422.93</v>
      </c>
      <c r="E107" s="3">
        <v>0</v>
      </c>
      <c r="F107" s="3">
        <v>13.41</v>
      </c>
      <c r="G107" s="3">
        <v>566.25969999999995</v>
      </c>
      <c r="H107" s="3">
        <v>82.01</v>
      </c>
      <c r="I107" s="706"/>
      <c r="J107" s="707" t="str">
        <f t="shared" si="14"/>
        <v>Centene Corp</v>
      </c>
      <c r="K107" s="708" t="str">
        <f t="shared" si="14"/>
        <v>CNC</v>
      </c>
      <c r="L107" s="709">
        <f t="shared" si="8"/>
        <v>46438.957422929998</v>
      </c>
      <c r="M107" s="710">
        <f t="shared" si="9"/>
        <v>0</v>
      </c>
      <c r="N107" s="710">
        <f t="shared" si="10"/>
        <v>0.1341</v>
      </c>
      <c r="O107" s="711">
        <f t="shared" si="11"/>
        <v>0.1341</v>
      </c>
      <c r="P107" s="712">
        <f t="shared" si="12"/>
        <v>1.450164377616775E-3</v>
      </c>
      <c r="Q107" s="713">
        <f t="shared" si="13"/>
        <v>1.9446704303840951E-4</v>
      </c>
    </row>
    <row r="108" spans="1:17">
      <c r="A108" s="3" t="s">
        <v>1635</v>
      </c>
      <c r="B108" s="3" t="s">
        <v>2433</v>
      </c>
      <c r="C108" s="3" t="s">
        <v>206</v>
      </c>
      <c r="D108" s="3">
        <v>18876677855.940002</v>
      </c>
      <c r="E108" s="3">
        <v>2.2674224741580526</v>
      </c>
      <c r="F108" s="3" t="s">
        <v>1483</v>
      </c>
      <c r="G108" s="3">
        <v>629.43239999999992</v>
      </c>
      <c r="H108" s="3">
        <v>29.99</v>
      </c>
      <c r="I108" s="706"/>
      <c r="J108" s="707" t="str">
        <f t="shared" si="14"/>
        <v>CenterPoint Energy Inc</v>
      </c>
      <c r="K108" s="708" t="str">
        <f t="shared" si="14"/>
        <v>CNP</v>
      </c>
      <c r="L108" s="709">
        <f t="shared" si="8"/>
        <v>18876.677855940001</v>
      </c>
      <c r="M108" s="710">
        <f t="shared" si="9"/>
        <v>2.2674224741580526E-2</v>
      </c>
      <c r="N108" s="710" t="str">
        <f t="shared" si="10"/>
        <v>N/A</v>
      </c>
      <c r="O108" s="711" t="str">
        <f t="shared" si="11"/>
        <v>N/A</v>
      </c>
      <c r="P108" s="712" t="str">
        <f t="shared" si="12"/>
        <v>N/A</v>
      </c>
      <c r="Q108" s="713" t="str">
        <f t="shared" si="13"/>
        <v>N/A</v>
      </c>
    </row>
    <row r="109" spans="1:17">
      <c r="A109" s="3" t="s">
        <v>1636</v>
      </c>
      <c r="B109" s="3" t="s">
        <v>2434</v>
      </c>
      <c r="C109" s="3" t="s">
        <v>1637</v>
      </c>
      <c r="D109" s="3">
        <v>35482699253.120003</v>
      </c>
      <c r="E109" s="3">
        <v>2.5989672977624787</v>
      </c>
      <c r="F109" s="3">
        <v>-14.540000000000001</v>
      </c>
      <c r="G109" s="3">
        <v>381.6986</v>
      </c>
      <c r="H109" s="3">
        <v>92.96</v>
      </c>
      <c r="I109" s="706"/>
      <c r="J109" s="707" t="str">
        <f t="shared" si="14"/>
        <v>Capital One Financial Corp</v>
      </c>
      <c r="K109" s="708" t="str">
        <f t="shared" si="14"/>
        <v>COF</v>
      </c>
      <c r="L109" s="709">
        <f t="shared" si="8"/>
        <v>35482.699253120001</v>
      </c>
      <c r="M109" s="710">
        <f t="shared" si="9"/>
        <v>2.5989672977624789E-2</v>
      </c>
      <c r="N109" s="710">
        <f t="shared" si="10"/>
        <v>-0.1454</v>
      </c>
      <c r="O109" s="711">
        <f t="shared" si="11"/>
        <v>-0.12129977624784853</v>
      </c>
      <c r="P109" s="712">
        <f t="shared" si="12"/>
        <v>1.1080297520451407E-3</v>
      </c>
      <c r="Q109" s="713">
        <f t="shared" si="13"/>
        <v>-1.3440376099903466E-4</v>
      </c>
    </row>
    <row r="110" spans="1:17">
      <c r="A110" s="3" t="s">
        <v>1638</v>
      </c>
      <c r="B110" s="3" t="s">
        <v>2435</v>
      </c>
      <c r="C110" s="3" t="s">
        <v>1639</v>
      </c>
      <c r="D110" s="3">
        <v>16320014157.280003</v>
      </c>
      <c r="E110" s="3">
        <v>1.8144978377234101E-2</v>
      </c>
      <c r="F110" s="3">
        <v>9.5</v>
      </c>
      <c r="G110" s="3">
        <v>49.354379999999999</v>
      </c>
      <c r="H110" s="3">
        <v>330.67</v>
      </c>
      <c r="I110" s="706"/>
      <c r="J110" s="707" t="str">
        <f t="shared" si="14"/>
        <v>Cooper Cos Inc/The</v>
      </c>
      <c r="K110" s="708" t="str">
        <f t="shared" si="14"/>
        <v>COO</v>
      </c>
      <c r="L110" s="709">
        <f t="shared" si="8"/>
        <v>16320.014157280002</v>
      </c>
      <c r="M110" s="710">
        <f t="shared" si="9"/>
        <v>1.81449783772341E-4</v>
      </c>
      <c r="N110" s="710">
        <f t="shared" si="10"/>
        <v>9.5000000000000001E-2</v>
      </c>
      <c r="O110" s="711">
        <f t="shared" si="11"/>
        <v>9.5190068648501533E-2</v>
      </c>
      <c r="P110" s="712">
        <f t="shared" si="12"/>
        <v>5.0963037256738857E-4</v>
      </c>
      <c r="Q110" s="713">
        <f t="shared" si="13"/>
        <v>4.851175015005113E-5</v>
      </c>
    </row>
    <row r="111" spans="1:17">
      <c r="A111" s="3" t="s">
        <v>1640</v>
      </c>
      <c r="B111" s="3" t="s">
        <v>2436</v>
      </c>
      <c r="C111" s="3" t="s">
        <v>1641</v>
      </c>
      <c r="D111" s="3">
        <v>147036385788</v>
      </c>
      <c r="E111" s="3">
        <v>2.0762711864406782</v>
      </c>
      <c r="F111" s="3" t="s">
        <v>1483</v>
      </c>
      <c r="G111" s="3">
        <v>1246.0709999999999</v>
      </c>
      <c r="H111" s="3">
        <v>118</v>
      </c>
      <c r="I111" s="706"/>
      <c r="J111" s="707" t="str">
        <f t="shared" si="14"/>
        <v>ConocoPhillips</v>
      </c>
      <c r="K111" s="708" t="str">
        <f t="shared" si="14"/>
        <v>COP</v>
      </c>
      <c r="L111" s="709">
        <f t="shared" si="8"/>
        <v>147036.38578800001</v>
      </c>
      <c r="M111" s="710">
        <f t="shared" si="9"/>
        <v>2.0762711864406782E-2</v>
      </c>
      <c r="N111" s="710" t="str">
        <f t="shared" si="10"/>
        <v>N/A</v>
      </c>
      <c r="O111" s="711" t="str">
        <f t="shared" si="11"/>
        <v>N/A</v>
      </c>
      <c r="P111" s="712" t="str">
        <f t="shared" si="12"/>
        <v>N/A</v>
      </c>
      <c r="Q111" s="713" t="str">
        <f t="shared" si="13"/>
        <v>N/A</v>
      </c>
    </row>
    <row r="112" spans="1:17">
      <c r="A112" s="3" t="s">
        <v>1642</v>
      </c>
      <c r="B112" s="3" t="s">
        <v>2437</v>
      </c>
      <c r="C112" s="3" t="s">
        <v>1643</v>
      </c>
      <c r="D112" s="3">
        <v>202562304934</v>
      </c>
      <c r="E112" s="3">
        <v>0.7883899233296825</v>
      </c>
      <c r="F112" s="3">
        <v>11.9</v>
      </c>
      <c r="G112" s="3">
        <v>443.72899999999998</v>
      </c>
      <c r="H112" s="3">
        <v>456.5</v>
      </c>
      <c r="I112" s="706"/>
      <c r="J112" s="707" t="str">
        <f t="shared" si="14"/>
        <v>Costco Wholesale Corp</v>
      </c>
      <c r="K112" s="708" t="str">
        <f t="shared" si="14"/>
        <v>COST</v>
      </c>
      <c r="L112" s="709">
        <f t="shared" si="8"/>
        <v>202562.30493400001</v>
      </c>
      <c r="M112" s="710">
        <f t="shared" si="9"/>
        <v>7.8838992332968243E-3</v>
      </c>
      <c r="N112" s="710">
        <f t="shared" si="10"/>
        <v>0.11900000000000001</v>
      </c>
      <c r="O112" s="711">
        <f t="shared" si="11"/>
        <v>0.12735299123767799</v>
      </c>
      <c r="P112" s="712">
        <f t="shared" si="12"/>
        <v>6.3254787610324409E-3</v>
      </c>
      <c r="Q112" s="713">
        <f t="shared" si="13"/>
        <v>8.0556864122788264E-4</v>
      </c>
    </row>
    <row r="113" spans="1:17">
      <c r="A113" s="3" t="s">
        <v>1644</v>
      </c>
      <c r="B113" s="3" t="s">
        <v>2438</v>
      </c>
      <c r="C113" s="3" t="s">
        <v>1645</v>
      </c>
      <c r="D113" s="3">
        <v>16994784257</v>
      </c>
      <c r="E113" s="3">
        <v>2.6784140969162995</v>
      </c>
      <c r="F113" s="3">
        <v>4.6450000000000005</v>
      </c>
      <c r="G113" s="3">
        <v>299.4676</v>
      </c>
      <c r="H113" s="3">
        <v>56.75</v>
      </c>
      <c r="I113" s="706"/>
      <c r="J113" s="707" t="str">
        <f t="shared" si="14"/>
        <v>Campbell Soup Co</v>
      </c>
      <c r="K113" s="708" t="str">
        <f t="shared" si="14"/>
        <v>CPB</v>
      </c>
      <c r="L113" s="709">
        <f t="shared" si="8"/>
        <v>16994.784256999999</v>
      </c>
      <c r="M113" s="710">
        <f t="shared" si="9"/>
        <v>2.6784140969162994E-2</v>
      </c>
      <c r="N113" s="710">
        <f t="shared" si="10"/>
        <v>4.6450000000000005E-2</v>
      </c>
      <c r="O113" s="711">
        <f t="shared" si="11"/>
        <v>7.3856202643171803E-2</v>
      </c>
      <c r="P113" s="712">
        <f t="shared" si="12"/>
        <v>5.3070163721235446E-4</v>
      </c>
      <c r="Q113" s="713">
        <f t="shared" si="13"/>
        <v>3.9195607661018698E-5</v>
      </c>
    </row>
    <row r="114" spans="1:17">
      <c r="A114" s="3" t="s">
        <v>2439</v>
      </c>
      <c r="B114" s="3" t="s">
        <v>2440</v>
      </c>
      <c r="C114" s="3" t="s">
        <v>2441</v>
      </c>
      <c r="D114" s="3">
        <v>29001907669.789997</v>
      </c>
      <c r="E114" s="3" t="s">
        <v>1483</v>
      </c>
      <c r="F114" s="3" t="s">
        <v>1483</v>
      </c>
      <c r="G114" s="3">
        <v>476.29999999999995</v>
      </c>
      <c r="H114" s="3">
        <v>60.89</v>
      </c>
      <c r="I114" s="706"/>
      <c r="J114" s="707" t="str">
        <f t="shared" si="14"/>
        <v>Copart Inc</v>
      </c>
      <c r="K114" s="708" t="str">
        <f t="shared" si="14"/>
        <v>CPRT</v>
      </c>
      <c r="L114" s="709">
        <f t="shared" si="8"/>
        <v>29001.907669789998</v>
      </c>
      <c r="M114" s="710" t="str">
        <f t="shared" si="9"/>
        <v>0.00%</v>
      </c>
      <c r="N114" s="710" t="str">
        <f t="shared" si="10"/>
        <v>N/A</v>
      </c>
      <c r="O114" s="711" t="str">
        <f t="shared" si="11"/>
        <v>N/A</v>
      </c>
      <c r="P114" s="712" t="str">
        <f t="shared" si="12"/>
        <v>N/A</v>
      </c>
      <c r="Q114" s="713" t="str">
        <f t="shared" si="13"/>
        <v>N/A</v>
      </c>
    </row>
    <row r="115" spans="1:17">
      <c r="A115" s="3" t="s">
        <v>4279</v>
      </c>
      <c r="B115" s="3" t="s">
        <v>4280</v>
      </c>
      <c r="C115" s="3" t="s">
        <v>4281</v>
      </c>
      <c r="D115" s="3">
        <v>11918356555.799999</v>
      </c>
      <c r="E115" s="3">
        <v>3.3089023954236683</v>
      </c>
      <c r="F115" s="3">
        <v>9.120000000000001</v>
      </c>
      <c r="G115" s="3">
        <v>106.52799999999999</v>
      </c>
      <c r="H115" s="3">
        <v>111.88</v>
      </c>
      <c r="I115" s="706"/>
      <c r="J115" s="707" t="str">
        <f t="shared" si="14"/>
        <v>Camden Property Trust</v>
      </c>
      <c r="K115" s="708" t="str">
        <f t="shared" si="14"/>
        <v>CPT</v>
      </c>
      <c r="L115" s="709">
        <f t="shared" si="8"/>
        <v>11918.356555799999</v>
      </c>
      <c r="M115" s="710">
        <f t="shared" si="9"/>
        <v>3.3089023954236685E-2</v>
      </c>
      <c r="N115" s="710">
        <f t="shared" si="10"/>
        <v>9.1200000000000003E-2</v>
      </c>
      <c r="O115" s="711">
        <f t="shared" si="11"/>
        <v>0.12579788344654988</v>
      </c>
      <c r="P115" s="712">
        <f t="shared" si="12"/>
        <v>3.7217838375549887E-4</v>
      </c>
      <c r="Q115" s="713">
        <f t="shared" si="13"/>
        <v>4.681925294099956E-5</v>
      </c>
    </row>
    <row r="116" spans="1:17">
      <c r="A116" s="3" t="s">
        <v>3981</v>
      </c>
      <c r="B116" s="3" t="s">
        <v>4282</v>
      </c>
      <c r="C116" s="3" t="s">
        <v>3982</v>
      </c>
      <c r="D116" s="3">
        <v>11086459142.400002</v>
      </c>
      <c r="E116" s="3">
        <v>0</v>
      </c>
      <c r="F116" s="3">
        <v>14</v>
      </c>
      <c r="G116" s="3">
        <v>50.878659999999996</v>
      </c>
      <c r="H116" s="3">
        <v>217.9</v>
      </c>
      <c r="I116" s="706"/>
      <c r="J116" s="707" t="str">
        <f t="shared" si="14"/>
        <v>Charles River Laboratories International Inc</v>
      </c>
      <c r="K116" s="708" t="str">
        <f t="shared" si="14"/>
        <v>CRL</v>
      </c>
      <c r="L116" s="709">
        <f t="shared" si="8"/>
        <v>11086.459142400001</v>
      </c>
      <c r="M116" s="710">
        <f t="shared" si="9"/>
        <v>0</v>
      </c>
      <c r="N116" s="710">
        <f t="shared" si="10"/>
        <v>0.14000000000000001</v>
      </c>
      <c r="O116" s="711">
        <f t="shared" si="11"/>
        <v>0.14000000000000001</v>
      </c>
      <c r="P116" s="712">
        <f t="shared" si="12"/>
        <v>3.462004535501033E-4</v>
      </c>
      <c r="Q116" s="713">
        <f t="shared" si="13"/>
        <v>4.8468063497014468E-5</v>
      </c>
    </row>
    <row r="117" spans="1:17">
      <c r="A117" s="3" t="s">
        <v>1646</v>
      </c>
      <c r="B117" s="3" t="s">
        <v>4283</v>
      </c>
      <c r="C117" s="3" t="s">
        <v>1647</v>
      </c>
      <c r="D117" s="3">
        <v>132590000000</v>
      </c>
      <c r="E117" s="3">
        <v>0</v>
      </c>
      <c r="F117" s="3">
        <v>17.150000000000002</v>
      </c>
      <c r="G117" s="3">
        <v>1000</v>
      </c>
      <c r="H117" s="3">
        <v>132.59</v>
      </c>
      <c r="I117" s="706"/>
      <c r="J117" s="707" t="str">
        <f t="shared" si="14"/>
        <v>Salesforce Inc</v>
      </c>
      <c r="K117" s="708" t="str">
        <f t="shared" si="14"/>
        <v>CRM</v>
      </c>
      <c r="L117" s="709">
        <f t="shared" si="8"/>
        <v>132590</v>
      </c>
      <c r="M117" s="710">
        <f t="shared" si="9"/>
        <v>0</v>
      </c>
      <c r="N117" s="710">
        <f t="shared" si="10"/>
        <v>0.17150000000000001</v>
      </c>
      <c r="O117" s="711">
        <f t="shared" si="11"/>
        <v>0.17150000000000001</v>
      </c>
      <c r="P117" s="712">
        <f t="shared" si="12"/>
        <v>4.1404309118547979E-3</v>
      </c>
      <c r="Q117" s="713">
        <f t="shared" si="13"/>
        <v>7.1008390138309785E-4</v>
      </c>
    </row>
    <row r="118" spans="1:17">
      <c r="A118" s="3" t="s">
        <v>1648</v>
      </c>
      <c r="B118" s="3" t="s">
        <v>4284</v>
      </c>
      <c r="C118" s="3" t="s">
        <v>1649</v>
      </c>
      <c r="D118" s="3">
        <v>195710029921.31998</v>
      </c>
      <c r="E118" s="3">
        <v>3.2388748950461794</v>
      </c>
      <c r="F118" s="3">
        <v>7.5</v>
      </c>
      <c r="G118" s="3">
        <v>4108.1030000000001</v>
      </c>
      <c r="H118" s="3">
        <v>47.64</v>
      </c>
      <c r="I118" s="706"/>
      <c r="J118" s="707" t="str">
        <f t="shared" si="14"/>
        <v>Cisco Systems Inc</v>
      </c>
      <c r="K118" s="708" t="str">
        <f t="shared" si="14"/>
        <v>CSCO</v>
      </c>
      <c r="L118" s="709">
        <f t="shared" si="8"/>
        <v>195710.02992131998</v>
      </c>
      <c r="M118" s="710">
        <f t="shared" si="9"/>
        <v>3.2388748950461795E-2</v>
      </c>
      <c r="N118" s="710">
        <f t="shared" si="10"/>
        <v>7.4999999999999997E-2</v>
      </c>
      <c r="O118" s="711">
        <f t="shared" si="11"/>
        <v>0.10860332703610412</v>
      </c>
      <c r="P118" s="712">
        <f t="shared" si="12"/>
        <v>6.111500547901506E-3</v>
      </c>
      <c r="Q118" s="713">
        <f t="shared" si="13"/>
        <v>6.6372929268507675E-4</v>
      </c>
    </row>
    <row r="119" spans="1:17">
      <c r="A119" s="3" t="s">
        <v>4285</v>
      </c>
      <c r="B119" s="3" t="s">
        <v>4286</v>
      </c>
      <c r="C119" s="3" t="s">
        <v>4287</v>
      </c>
      <c r="D119" s="3">
        <v>31429007836.800003</v>
      </c>
      <c r="E119" s="3">
        <v>0</v>
      </c>
      <c r="F119" s="3">
        <v>20</v>
      </c>
      <c r="G119" s="3">
        <v>406.69009999999997</v>
      </c>
      <c r="H119" s="3">
        <v>77.28</v>
      </c>
      <c r="I119" s="706"/>
      <c r="J119" s="707" t="str">
        <f t="shared" si="14"/>
        <v>CoStar Group Inc</v>
      </c>
      <c r="K119" s="708" t="str">
        <f t="shared" si="14"/>
        <v>CSGP</v>
      </c>
      <c r="L119" s="709">
        <f t="shared" si="8"/>
        <v>31429.007836800003</v>
      </c>
      <c r="M119" s="710">
        <f t="shared" si="9"/>
        <v>0</v>
      </c>
      <c r="N119" s="710">
        <f t="shared" si="10"/>
        <v>0.2</v>
      </c>
      <c r="O119" s="711">
        <f t="shared" si="11"/>
        <v>0.2</v>
      </c>
      <c r="P119" s="712">
        <f t="shared" si="12"/>
        <v>9.8144381609784623E-4</v>
      </c>
      <c r="Q119" s="713">
        <f t="shared" si="13"/>
        <v>1.9628876321956925E-4</v>
      </c>
    </row>
    <row r="120" spans="1:17">
      <c r="A120" s="3" t="s">
        <v>1650</v>
      </c>
      <c r="B120" s="3" t="s">
        <v>2442</v>
      </c>
      <c r="C120" s="3" t="s">
        <v>1651</v>
      </c>
      <c r="D120" s="3">
        <v>65132622424.420006</v>
      </c>
      <c r="E120" s="3">
        <v>1.3008392511297613</v>
      </c>
      <c r="F120" s="3">
        <v>10.42</v>
      </c>
      <c r="G120" s="3">
        <v>2102.4090000000001</v>
      </c>
      <c r="H120" s="3">
        <v>30.98</v>
      </c>
      <c r="I120" s="706"/>
      <c r="J120" s="707" t="str">
        <f t="shared" si="14"/>
        <v>CSX Corp</v>
      </c>
      <c r="K120" s="708" t="str">
        <f t="shared" si="14"/>
        <v>CSX</v>
      </c>
      <c r="L120" s="709">
        <f t="shared" si="8"/>
        <v>65132.622424420006</v>
      </c>
      <c r="M120" s="710">
        <f t="shared" si="9"/>
        <v>1.3008392511297612E-2</v>
      </c>
      <c r="N120" s="710">
        <f t="shared" si="10"/>
        <v>0.1042</v>
      </c>
      <c r="O120" s="711">
        <f t="shared" si="11"/>
        <v>0.11788612976113622</v>
      </c>
      <c r="P120" s="712">
        <f t="shared" si="12"/>
        <v>2.0339175145654693E-3</v>
      </c>
      <c r="Q120" s="713">
        <f t="shared" si="13"/>
        <v>2.3977066404551258E-4</v>
      </c>
    </row>
    <row r="121" spans="1:17">
      <c r="A121" s="3" t="s">
        <v>1652</v>
      </c>
      <c r="B121" s="3" t="s">
        <v>2443</v>
      </c>
      <c r="C121" s="3" t="s">
        <v>1653</v>
      </c>
      <c r="D121" s="3">
        <v>45885058071.840004</v>
      </c>
      <c r="E121" s="3">
        <v>0.98179885744652595</v>
      </c>
      <c r="F121" s="3">
        <v>11.03</v>
      </c>
      <c r="G121" s="3">
        <v>101.601</v>
      </c>
      <c r="H121" s="3">
        <v>451.62</v>
      </c>
      <c r="I121" s="706"/>
      <c r="J121" s="707" t="str">
        <f t="shared" si="14"/>
        <v>Cintas Corp</v>
      </c>
      <c r="K121" s="708" t="str">
        <f t="shared" si="14"/>
        <v>CTAS</v>
      </c>
      <c r="L121" s="709">
        <f t="shared" si="8"/>
        <v>45885.058071840002</v>
      </c>
      <c r="M121" s="710">
        <f t="shared" si="9"/>
        <v>9.8179885744652598E-3</v>
      </c>
      <c r="N121" s="710">
        <f t="shared" si="10"/>
        <v>0.1103</v>
      </c>
      <c r="O121" s="711">
        <f t="shared" si="11"/>
        <v>0.12065945064434702</v>
      </c>
      <c r="P121" s="712">
        <f t="shared" si="12"/>
        <v>1.4328675830220896E-3</v>
      </c>
      <c r="Q121" s="713">
        <f t="shared" si="13"/>
        <v>1.7288901541353863E-4</v>
      </c>
    </row>
    <row r="122" spans="1:17">
      <c r="A122" s="3" t="s">
        <v>3911</v>
      </c>
      <c r="B122" s="3" t="s">
        <v>3912</v>
      </c>
      <c r="C122" s="3" t="s">
        <v>3913</v>
      </c>
      <c r="D122" s="3">
        <v>8100161140.8899994</v>
      </c>
      <c r="E122" s="3" t="s">
        <v>1483</v>
      </c>
      <c r="F122" s="3">
        <v>7.25</v>
      </c>
      <c r="G122" s="3">
        <v>179.96359999999999</v>
      </c>
      <c r="H122" s="3">
        <v>45.01</v>
      </c>
      <c r="I122" s="706"/>
      <c r="J122" s="707" t="str">
        <f t="shared" si="14"/>
        <v>Catalent Inc</v>
      </c>
      <c r="K122" s="708" t="str">
        <f t="shared" si="14"/>
        <v>CTLT</v>
      </c>
      <c r="L122" s="709">
        <f t="shared" si="8"/>
        <v>8100.1611408899998</v>
      </c>
      <c r="M122" s="710" t="str">
        <f t="shared" si="9"/>
        <v>0.00%</v>
      </c>
      <c r="N122" s="710">
        <f t="shared" si="10"/>
        <v>7.2499999999999995E-2</v>
      </c>
      <c r="O122" s="711">
        <f t="shared" si="11"/>
        <v>7.2499999999999995E-2</v>
      </c>
      <c r="P122" s="712">
        <f t="shared" si="12"/>
        <v>2.529463577852476E-4</v>
      </c>
      <c r="Q122" s="713">
        <f t="shared" si="13"/>
        <v>1.833861093943045E-5</v>
      </c>
    </row>
    <row r="123" spans="1:17">
      <c r="A123" s="3" t="s">
        <v>4081</v>
      </c>
      <c r="B123" s="3" t="s">
        <v>4082</v>
      </c>
      <c r="C123" s="3" t="s">
        <v>4083</v>
      </c>
      <c r="D123" s="3">
        <v>19372642814.07</v>
      </c>
      <c r="E123" s="3">
        <v>4.3549043549043551</v>
      </c>
      <c r="F123" s="3">
        <v>2.48</v>
      </c>
      <c r="G123" s="3">
        <v>788.4674</v>
      </c>
      <c r="H123" s="3">
        <v>24.57</v>
      </c>
      <c r="I123" s="706"/>
      <c r="J123" s="707" t="str">
        <f t="shared" si="14"/>
        <v>Coterra Energy Inc</v>
      </c>
      <c r="K123" s="708" t="str">
        <f t="shared" si="14"/>
        <v>CTRA</v>
      </c>
      <c r="L123" s="709">
        <f t="shared" si="8"/>
        <v>19372.642814070001</v>
      </c>
      <c r="M123" s="710">
        <f t="shared" si="9"/>
        <v>4.3549043549043549E-2</v>
      </c>
      <c r="N123" s="710">
        <f t="shared" si="10"/>
        <v>2.4799999999999999E-2</v>
      </c>
      <c r="O123" s="711">
        <f t="shared" si="11"/>
        <v>6.8889051689051684E-2</v>
      </c>
      <c r="P123" s="712">
        <f t="shared" si="12"/>
        <v>6.0495579720715859E-4</v>
      </c>
      <c r="Q123" s="713">
        <f t="shared" si="13"/>
        <v>4.1674831183395414E-5</v>
      </c>
    </row>
    <row r="124" spans="1:17">
      <c r="A124" s="3" t="s">
        <v>1654</v>
      </c>
      <c r="B124" s="3" t="s">
        <v>2444</v>
      </c>
      <c r="C124" s="3" t="s">
        <v>1655</v>
      </c>
      <c r="D124" s="3">
        <v>29391166696.079998</v>
      </c>
      <c r="E124" s="3">
        <v>1.8692079034796292</v>
      </c>
      <c r="F124" s="3">
        <v>12</v>
      </c>
      <c r="G124" s="3">
        <v>513.92139999999995</v>
      </c>
      <c r="H124" s="3">
        <v>57.19</v>
      </c>
      <c r="I124" s="706"/>
      <c r="J124" s="707" t="str">
        <f t="shared" si="14"/>
        <v>Cognizant Technology Solutions Corp</v>
      </c>
      <c r="K124" s="708" t="str">
        <f t="shared" si="14"/>
        <v>CTSH</v>
      </c>
      <c r="L124" s="709">
        <f t="shared" si="8"/>
        <v>29391.166696079999</v>
      </c>
      <c r="M124" s="710">
        <f t="shared" si="9"/>
        <v>1.8692079034796291E-2</v>
      </c>
      <c r="N124" s="710">
        <f t="shared" si="10"/>
        <v>0.12</v>
      </c>
      <c r="O124" s="711">
        <f t="shared" si="11"/>
        <v>0.13981360377688407</v>
      </c>
      <c r="P124" s="712">
        <f t="shared" si="12"/>
        <v>9.1780749018724548E-4</v>
      </c>
      <c r="Q124" s="713">
        <f t="shared" si="13"/>
        <v>1.2832197277649595E-4</v>
      </c>
    </row>
    <row r="125" spans="1:17">
      <c r="A125" s="3" t="s">
        <v>2895</v>
      </c>
      <c r="B125" s="3" t="s">
        <v>2896</v>
      </c>
      <c r="C125" s="3" t="s">
        <v>2897</v>
      </c>
      <c r="D125" s="3">
        <v>42239308000.000008</v>
      </c>
      <c r="E125" s="3">
        <v>0.97141884994896233</v>
      </c>
      <c r="F125" s="3">
        <v>16.96</v>
      </c>
      <c r="G125" s="3">
        <v>718.6</v>
      </c>
      <c r="H125" s="3">
        <v>58.78</v>
      </c>
      <c r="I125" s="706"/>
      <c r="J125" s="707" t="str">
        <f t="shared" si="14"/>
        <v>Corteva Inc</v>
      </c>
      <c r="K125" s="708" t="str">
        <f t="shared" si="14"/>
        <v>CTVA</v>
      </c>
      <c r="L125" s="709">
        <f t="shared" si="8"/>
        <v>42239.308000000005</v>
      </c>
      <c r="M125" s="710">
        <f t="shared" si="9"/>
        <v>9.7141884994896236E-3</v>
      </c>
      <c r="N125" s="710">
        <f t="shared" si="10"/>
        <v>0.1696</v>
      </c>
      <c r="O125" s="711">
        <f t="shared" si="11"/>
        <v>0.18013795168424634</v>
      </c>
      <c r="P125" s="712">
        <f t="shared" si="12"/>
        <v>1.3190205636816931E-3</v>
      </c>
      <c r="Q125" s="713">
        <f t="shared" si="13"/>
        <v>2.3760566257102021E-4</v>
      </c>
    </row>
    <row r="126" spans="1:17">
      <c r="A126" s="3" t="s">
        <v>1656</v>
      </c>
      <c r="B126" s="3" t="s">
        <v>2445</v>
      </c>
      <c r="C126" s="3" t="s">
        <v>1657</v>
      </c>
      <c r="D126" s="3">
        <v>122448576529.28</v>
      </c>
      <c r="E126" s="3">
        <v>2.3435990986157313</v>
      </c>
      <c r="F126" s="3">
        <v>6.8100000000000005</v>
      </c>
      <c r="G126" s="3">
        <v>1313.9669999999999</v>
      </c>
      <c r="H126" s="3">
        <v>93.19</v>
      </c>
      <c r="I126" s="706"/>
      <c r="J126" s="707" t="str">
        <f t="shared" si="14"/>
        <v>CVS Health Corp</v>
      </c>
      <c r="K126" s="708" t="str">
        <f t="shared" si="14"/>
        <v>CVS</v>
      </c>
      <c r="L126" s="709">
        <f t="shared" si="8"/>
        <v>122448.57652927999</v>
      </c>
      <c r="M126" s="710">
        <f t="shared" si="9"/>
        <v>2.3435990986157312E-2</v>
      </c>
      <c r="N126" s="710">
        <f t="shared" si="10"/>
        <v>6.8100000000000008E-2</v>
      </c>
      <c r="O126" s="711">
        <f t="shared" si="11"/>
        <v>9.2333986479235977E-2</v>
      </c>
      <c r="P126" s="712">
        <f t="shared" si="12"/>
        <v>3.8237413935775606E-3</v>
      </c>
      <c r="Q126" s="713">
        <f t="shared" si="13"/>
        <v>3.5306128613468539E-4</v>
      </c>
    </row>
    <row r="127" spans="1:17">
      <c r="A127" s="3" t="s">
        <v>1658</v>
      </c>
      <c r="B127" s="3" t="s">
        <v>2446</v>
      </c>
      <c r="C127" s="3" t="s">
        <v>1659</v>
      </c>
      <c r="D127" s="3">
        <v>347068782621.54004</v>
      </c>
      <c r="E127" s="3">
        <v>3.1673073708841715</v>
      </c>
      <c r="F127" s="3">
        <v>22.16</v>
      </c>
      <c r="G127" s="3">
        <v>1933.6389999999999</v>
      </c>
      <c r="H127" s="3">
        <v>179.49</v>
      </c>
      <c r="I127" s="706"/>
      <c r="J127" s="707" t="str">
        <f t="shared" si="14"/>
        <v>Chevron Corp</v>
      </c>
      <c r="K127" s="708" t="str">
        <f t="shared" si="14"/>
        <v>CVX</v>
      </c>
      <c r="L127" s="709">
        <f t="shared" si="8"/>
        <v>347068.78262154001</v>
      </c>
      <c r="M127" s="710">
        <f t="shared" si="9"/>
        <v>3.1673073708841717E-2</v>
      </c>
      <c r="N127" s="710">
        <f t="shared" si="10"/>
        <v>0.22159999999999999</v>
      </c>
      <c r="O127" s="711">
        <f t="shared" si="11"/>
        <v>0.25678245027578139</v>
      </c>
      <c r="P127" s="712">
        <f t="shared" si="12"/>
        <v>1.0838029384614508E-2</v>
      </c>
      <c r="Q127" s="713">
        <f t="shared" si="13"/>
        <v>2.7830157415422324E-3</v>
      </c>
    </row>
    <row r="128" spans="1:17">
      <c r="A128" s="3" t="s">
        <v>3983</v>
      </c>
      <c r="B128" s="3" t="s">
        <v>3984</v>
      </c>
      <c r="C128" s="3" t="s">
        <v>3985</v>
      </c>
      <c r="D128" s="3">
        <v>8925949968</v>
      </c>
      <c r="E128" s="3" t="s">
        <v>1483</v>
      </c>
      <c r="F128" s="3" t="s">
        <v>1483</v>
      </c>
      <c r="G128" s="3">
        <v>214.56609999999998</v>
      </c>
      <c r="H128" s="3">
        <v>41.6</v>
      </c>
      <c r="I128" s="706"/>
      <c r="J128" s="707" t="str">
        <f t="shared" si="14"/>
        <v>Caesars Entertainment Inc</v>
      </c>
      <c r="K128" s="708" t="str">
        <f t="shared" si="14"/>
        <v>CZR</v>
      </c>
      <c r="L128" s="709">
        <f t="shared" si="8"/>
        <v>8925.9499680000008</v>
      </c>
      <c r="M128" s="710" t="str">
        <f t="shared" si="9"/>
        <v>0.00%</v>
      </c>
      <c r="N128" s="710" t="str">
        <f t="shared" si="10"/>
        <v>N/A</v>
      </c>
      <c r="O128" s="711" t="str">
        <f t="shared" si="11"/>
        <v>N/A</v>
      </c>
      <c r="P128" s="712" t="str">
        <f t="shared" si="12"/>
        <v>N/A</v>
      </c>
      <c r="Q128" s="713" t="str">
        <f t="shared" si="13"/>
        <v>N/A</v>
      </c>
    </row>
    <row r="129" spans="1:17">
      <c r="A129" s="3" t="s">
        <v>1660</v>
      </c>
      <c r="B129" s="3" t="s">
        <v>2447</v>
      </c>
      <c r="C129" s="3" t="s">
        <v>209</v>
      </c>
      <c r="D129" s="3">
        <v>51096435570.599998</v>
      </c>
      <c r="E129" s="3">
        <v>4.3770384866275283</v>
      </c>
      <c r="F129" s="3">
        <v>6.4630000000000001</v>
      </c>
      <c r="G129" s="3">
        <v>833.27519999999993</v>
      </c>
      <c r="H129" s="3">
        <v>61.32</v>
      </c>
      <c r="I129" s="706"/>
      <c r="J129" s="707" t="str">
        <f t="shared" si="14"/>
        <v>Dominion Energy Inc</v>
      </c>
      <c r="K129" s="708" t="str">
        <f t="shared" si="14"/>
        <v>D</v>
      </c>
      <c r="L129" s="709">
        <f t="shared" si="8"/>
        <v>51096.435570599999</v>
      </c>
      <c r="M129" s="710">
        <f t="shared" si="9"/>
        <v>4.3770384866275283E-2</v>
      </c>
      <c r="N129" s="710">
        <f t="shared" si="10"/>
        <v>6.4630000000000007E-2</v>
      </c>
      <c r="O129" s="711">
        <f t="shared" si="11"/>
        <v>0.10981482485322898</v>
      </c>
      <c r="P129" s="712">
        <f t="shared" si="12"/>
        <v>1.5956049575541842E-3</v>
      </c>
      <c r="Q129" s="713">
        <f t="shared" si="13"/>
        <v>1.7522107894875658E-4</v>
      </c>
    </row>
    <row r="130" spans="1:17">
      <c r="A130" s="3" t="s">
        <v>1661</v>
      </c>
      <c r="B130" s="3" t="s">
        <v>2448</v>
      </c>
      <c r="C130" s="3" t="s">
        <v>1662</v>
      </c>
      <c r="D130" s="3">
        <v>21069449575.32</v>
      </c>
      <c r="E130" s="3">
        <v>0</v>
      </c>
      <c r="F130" s="3">
        <v>126.77</v>
      </c>
      <c r="G130" s="3">
        <v>641.1884</v>
      </c>
      <c r="H130" s="3">
        <v>32.86</v>
      </c>
      <c r="I130" s="706"/>
      <c r="J130" s="707" t="str">
        <f t="shared" si="14"/>
        <v>Delta Air Lines Inc</v>
      </c>
      <c r="K130" s="708" t="str">
        <f t="shared" si="14"/>
        <v>DAL</v>
      </c>
      <c r="L130" s="709">
        <f t="shared" si="8"/>
        <v>21069.449575319999</v>
      </c>
      <c r="M130" s="710">
        <f t="shared" si="9"/>
        <v>0</v>
      </c>
      <c r="N130" s="710">
        <f t="shared" si="10"/>
        <v>1.2677</v>
      </c>
      <c r="O130" s="711">
        <f t="shared" si="11"/>
        <v>1.2677</v>
      </c>
      <c r="P130" s="712">
        <f t="shared" si="12"/>
        <v>6.5794253199653722E-4</v>
      </c>
      <c r="Q130" s="713">
        <f t="shared" si="13"/>
        <v>8.3407374781201029E-4</v>
      </c>
    </row>
    <row r="131" spans="1:17">
      <c r="A131" s="3" t="s">
        <v>2898</v>
      </c>
      <c r="B131" s="3" t="s">
        <v>2899</v>
      </c>
      <c r="C131" s="3" t="s">
        <v>2900</v>
      </c>
      <c r="D131" s="3">
        <v>34094625501.239998</v>
      </c>
      <c r="E131" s="3">
        <v>1.9248142211860704</v>
      </c>
      <c r="F131" s="3">
        <v>-0.77</v>
      </c>
      <c r="G131" s="3">
        <v>496.78889999999996</v>
      </c>
      <c r="H131" s="3">
        <v>68.63</v>
      </c>
      <c r="I131" s="706"/>
      <c r="J131" s="707" t="str">
        <f t="shared" si="14"/>
        <v>DuPont de Nemours Inc</v>
      </c>
      <c r="K131" s="708" t="str">
        <f t="shared" si="14"/>
        <v>DD</v>
      </c>
      <c r="L131" s="709">
        <f t="shared" ref="L131:L194" si="15">D131/1000000</f>
        <v>34094.62550124</v>
      </c>
      <c r="M131" s="710">
        <f t="shared" ref="M131:M194" si="16">IFERROR(E131/100,"0.00%")</f>
        <v>1.9248142211860705E-2</v>
      </c>
      <c r="N131" s="710">
        <f t="shared" ref="N131:N194" si="17">IFERROR(F131/100,"N/A")</f>
        <v>-7.7000000000000002E-3</v>
      </c>
      <c r="O131" s="711">
        <f t="shared" ref="O131:O194" si="18">IFERROR(M131*(1+0.5*N131)+N131,"N/A")</f>
        <v>1.1474036864345042E-2</v>
      </c>
      <c r="P131" s="712">
        <f t="shared" ref="P131:P194" si="19">IF(N131="N/A","N/A",L131/$L$504)</f>
        <v>1.0646839230216982E-3</v>
      </c>
      <c r="Q131" s="713">
        <f t="shared" ref="Q131:Q194" si="20">IF(AND(ISNUMBER(L131),ISNUMBER(O131)),O131*P131,"N/A")</f>
        <v>1.2216222581626464E-5</v>
      </c>
    </row>
    <row r="132" spans="1:17">
      <c r="A132" s="3" t="s">
        <v>1663</v>
      </c>
      <c r="B132" s="3" t="s">
        <v>2449</v>
      </c>
      <c r="C132" s="3" t="s">
        <v>1664</v>
      </c>
      <c r="D132" s="3">
        <v>127872206311.31999</v>
      </c>
      <c r="E132" s="3">
        <v>1.1064464968747085</v>
      </c>
      <c r="F132" s="3">
        <v>14.587</v>
      </c>
      <c r="G132" s="3">
        <v>298.2373</v>
      </c>
      <c r="H132" s="3">
        <v>428.76</v>
      </c>
      <c r="I132" s="706"/>
      <c r="J132" s="707" t="str">
        <f t="shared" ref="J132:K195" si="21">B132</f>
        <v>Deere &amp; Co</v>
      </c>
      <c r="K132" s="708" t="str">
        <f t="shared" si="21"/>
        <v>DE</v>
      </c>
      <c r="L132" s="709">
        <f t="shared" si="15"/>
        <v>127872.20631132</v>
      </c>
      <c r="M132" s="710">
        <f t="shared" si="16"/>
        <v>1.1064464968747086E-2</v>
      </c>
      <c r="N132" s="710">
        <f t="shared" si="17"/>
        <v>0.14587</v>
      </c>
      <c r="O132" s="711">
        <f t="shared" si="18"/>
        <v>0.15774145172124265</v>
      </c>
      <c r="P132" s="712">
        <f t="shared" si="19"/>
        <v>3.99310683896571E-3</v>
      </c>
      <c r="Q132" s="713">
        <f t="shared" si="20"/>
        <v>6.2987846965647338E-4</v>
      </c>
    </row>
    <row r="133" spans="1:17">
      <c r="A133" s="3" t="s">
        <v>1665</v>
      </c>
      <c r="B133" s="3" t="s">
        <v>2450</v>
      </c>
      <c r="C133" s="3" t="s">
        <v>1666</v>
      </c>
      <c r="D133" s="3">
        <v>26729676589.950001</v>
      </c>
      <c r="E133" s="3">
        <v>2.3326178063988552</v>
      </c>
      <c r="F133" s="3">
        <v>-4.2729999999999997</v>
      </c>
      <c r="G133" s="3">
        <v>273.22579999999999</v>
      </c>
      <c r="H133" s="3">
        <v>97.83</v>
      </c>
      <c r="I133" s="706"/>
      <c r="J133" s="707" t="str">
        <f t="shared" si="21"/>
        <v>Discover Financial Services</v>
      </c>
      <c r="K133" s="708" t="str">
        <f t="shared" si="21"/>
        <v>DFS</v>
      </c>
      <c r="L133" s="709">
        <f t="shared" si="15"/>
        <v>26729.676589950002</v>
      </c>
      <c r="M133" s="710">
        <f t="shared" si="16"/>
        <v>2.3326178063988554E-2</v>
      </c>
      <c r="N133" s="710">
        <f t="shared" si="17"/>
        <v>-4.2729999999999997E-2</v>
      </c>
      <c r="O133" s="711">
        <f t="shared" si="18"/>
        <v>-1.9902185730348559E-2</v>
      </c>
      <c r="P133" s="712">
        <f t="shared" si="19"/>
        <v>8.3469627586477515E-4</v>
      </c>
      <c r="Q133" s="713">
        <f t="shared" si="20"/>
        <v>-1.6612280310691013E-5</v>
      </c>
    </row>
    <row r="134" spans="1:17">
      <c r="A134" s="3" t="s">
        <v>1667</v>
      </c>
      <c r="B134" s="3" t="s">
        <v>2451</v>
      </c>
      <c r="C134" s="3" t="s">
        <v>1668</v>
      </c>
      <c r="D134" s="3">
        <v>55055294253.750008</v>
      </c>
      <c r="E134" s="3">
        <v>0.89177664974619297</v>
      </c>
      <c r="F134" s="3">
        <v>9.4</v>
      </c>
      <c r="G134" s="3">
        <v>223.57479999999998</v>
      </c>
      <c r="H134" s="3">
        <v>246.25</v>
      </c>
      <c r="I134" s="706"/>
      <c r="J134" s="707" t="str">
        <f t="shared" si="21"/>
        <v>Dollar General Corp</v>
      </c>
      <c r="K134" s="708" t="str">
        <f t="shared" si="21"/>
        <v>DG</v>
      </c>
      <c r="L134" s="709">
        <f t="shared" si="15"/>
        <v>55055.294253750006</v>
      </c>
      <c r="M134" s="710">
        <f t="shared" si="16"/>
        <v>8.9177664974619299E-3</v>
      </c>
      <c r="N134" s="710">
        <f t="shared" si="17"/>
        <v>9.4E-2</v>
      </c>
      <c r="O134" s="711">
        <f t="shared" si="18"/>
        <v>0.10333690152284264</v>
      </c>
      <c r="P134" s="712">
        <f t="shared" si="19"/>
        <v>1.7192295210007418E-3</v>
      </c>
      <c r="Q134" s="713">
        <f t="shared" si="20"/>
        <v>1.7765985170681758E-4</v>
      </c>
    </row>
    <row r="135" spans="1:17">
      <c r="A135" s="3" t="s">
        <v>1669</v>
      </c>
      <c r="B135" s="3" t="s">
        <v>2452</v>
      </c>
      <c r="C135" s="3" t="s">
        <v>1670</v>
      </c>
      <c r="D135" s="3">
        <v>17816555181.040001</v>
      </c>
      <c r="E135" s="3">
        <v>1.6511122475070314</v>
      </c>
      <c r="F135" s="3">
        <v>-8.99</v>
      </c>
      <c r="G135" s="3">
        <v>113.88749999999999</v>
      </c>
      <c r="H135" s="3">
        <v>156.44</v>
      </c>
      <c r="I135" s="706"/>
      <c r="J135" s="707" t="str">
        <f t="shared" si="21"/>
        <v>Quest Diagnostics Inc</v>
      </c>
      <c r="K135" s="708" t="str">
        <f t="shared" si="21"/>
        <v>DGX</v>
      </c>
      <c r="L135" s="709">
        <f t="shared" si="15"/>
        <v>17816.555181039999</v>
      </c>
      <c r="M135" s="710">
        <f t="shared" si="16"/>
        <v>1.6511122475070316E-2</v>
      </c>
      <c r="N135" s="710">
        <f t="shared" si="17"/>
        <v>-8.9900000000000008E-2</v>
      </c>
      <c r="O135" s="711">
        <f t="shared" si="18"/>
        <v>-7.4131052480184104E-2</v>
      </c>
      <c r="P135" s="712">
        <f t="shared" si="19"/>
        <v>5.5636334425178944E-4</v>
      </c>
      <c r="Q135" s="713">
        <f t="shared" si="20"/>
        <v>-4.1243800270780136E-5</v>
      </c>
    </row>
    <row r="136" spans="1:17">
      <c r="A136" s="3" t="s">
        <v>1671</v>
      </c>
      <c r="B136" s="3" t="s">
        <v>2453</v>
      </c>
      <c r="C136" s="3" t="s">
        <v>1672</v>
      </c>
      <c r="D136" s="3">
        <v>30713003639.019997</v>
      </c>
      <c r="E136" s="3">
        <v>1.1240744895669734</v>
      </c>
      <c r="F136" s="3">
        <v>-23.645</v>
      </c>
      <c r="G136" s="3">
        <v>344.54789999999997</v>
      </c>
      <c r="H136" s="3">
        <v>89.14</v>
      </c>
      <c r="I136" s="706"/>
      <c r="J136" s="707" t="str">
        <f t="shared" si="21"/>
        <v>DR Horton Inc</v>
      </c>
      <c r="K136" s="708" t="str">
        <f t="shared" si="21"/>
        <v>DHI</v>
      </c>
      <c r="L136" s="709">
        <f t="shared" si="15"/>
        <v>30713.003639019997</v>
      </c>
      <c r="M136" s="710">
        <f t="shared" si="16"/>
        <v>1.1240744895669735E-2</v>
      </c>
      <c r="N136" s="710">
        <f t="shared" si="17"/>
        <v>-0.23644999999999999</v>
      </c>
      <c r="O136" s="711">
        <f t="shared" si="18"/>
        <v>-0.22653819216962082</v>
      </c>
      <c r="P136" s="712">
        <f t="shared" si="19"/>
        <v>9.5908492090585485E-4</v>
      </c>
      <c r="Q136" s="713">
        <f t="shared" si="20"/>
        <v>-2.1726936411915613E-4</v>
      </c>
    </row>
    <row r="137" spans="1:17">
      <c r="A137" s="3" t="s">
        <v>1673</v>
      </c>
      <c r="B137" s="3" t="s">
        <v>2454</v>
      </c>
      <c r="C137" s="3" t="s">
        <v>1674</v>
      </c>
      <c r="D137" s="3">
        <v>193215860364.84003</v>
      </c>
      <c r="E137" s="3">
        <v>0.39032476829176399</v>
      </c>
      <c r="F137" s="3">
        <v>29.79</v>
      </c>
      <c r="G137" s="3">
        <v>727.96269999999993</v>
      </c>
      <c r="H137" s="3">
        <v>265.42</v>
      </c>
      <c r="I137" s="706"/>
      <c r="J137" s="707" t="str">
        <f t="shared" si="21"/>
        <v>Danaher Corp</v>
      </c>
      <c r="K137" s="708" t="str">
        <f t="shared" si="21"/>
        <v>DHR</v>
      </c>
      <c r="L137" s="709">
        <f t="shared" si="15"/>
        <v>193215.86036484002</v>
      </c>
      <c r="M137" s="710">
        <f t="shared" si="16"/>
        <v>3.9032476829176399E-3</v>
      </c>
      <c r="N137" s="710">
        <f t="shared" si="17"/>
        <v>0.2979</v>
      </c>
      <c r="O137" s="711">
        <f t="shared" si="18"/>
        <v>0.30238463642528823</v>
      </c>
      <c r="P137" s="712">
        <f t="shared" si="19"/>
        <v>6.0336143066234546E-3</v>
      </c>
      <c r="Q137" s="713">
        <f t="shared" si="20"/>
        <v>1.8244722684387508E-3</v>
      </c>
    </row>
    <row r="138" spans="1:17">
      <c r="A138" s="3" t="s">
        <v>1675</v>
      </c>
      <c r="B138" s="3" t="s">
        <v>2455</v>
      </c>
      <c r="C138" s="3" t="s">
        <v>1676</v>
      </c>
      <c r="D138" s="3">
        <v>158433671917.44</v>
      </c>
      <c r="E138" s="3">
        <v>1.2430939226519337</v>
      </c>
      <c r="F138" s="3">
        <v>21.57</v>
      </c>
      <c r="G138" s="3">
        <v>1823.5919999999999</v>
      </c>
      <c r="H138" s="3">
        <v>86.88</v>
      </c>
      <c r="I138" s="706"/>
      <c r="J138" s="707" t="str">
        <f t="shared" si="21"/>
        <v>Walt Disney Co/The</v>
      </c>
      <c r="K138" s="708" t="str">
        <f t="shared" si="21"/>
        <v>DIS</v>
      </c>
      <c r="L138" s="709">
        <f t="shared" si="15"/>
        <v>158433.67191743999</v>
      </c>
      <c r="M138" s="710">
        <f t="shared" si="16"/>
        <v>1.2430939226519338E-2</v>
      </c>
      <c r="N138" s="710">
        <f t="shared" si="17"/>
        <v>0.2157</v>
      </c>
      <c r="O138" s="711">
        <f t="shared" si="18"/>
        <v>0.22947161602209945</v>
      </c>
      <c r="P138" s="712">
        <f t="shared" si="19"/>
        <v>4.947459632593936E-3</v>
      </c>
      <c r="Q138" s="713">
        <f t="shared" si="20"/>
        <v>1.135301557095433E-3</v>
      </c>
    </row>
    <row r="139" spans="1:17">
      <c r="A139" s="3" t="s">
        <v>2226</v>
      </c>
      <c r="B139" s="3" t="s">
        <v>2456</v>
      </c>
      <c r="C139" s="3" t="s">
        <v>2227</v>
      </c>
      <c r="D139" s="3">
        <v>7451115005.8799992</v>
      </c>
      <c r="E139" s="3">
        <v>0</v>
      </c>
      <c r="F139" s="3">
        <v>-16.96</v>
      </c>
      <c r="G139" s="3">
        <v>292.27100000000002</v>
      </c>
      <c r="H139" s="3">
        <v>14.04</v>
      </c>
      <c r="I139" s="706"/>
      <c r="J139" s="707" t="str">
        <f t="shared" si="21"/>
        <v>DISH Network Corp</v>
      </c>
      <c r="K139" s="708" t="str">
        <f t="shared" si="21"/>
        <v>DISH</v>
      </c>
      <c r="L139" s="709">
        <f t="shared" si="15"/>
        <v>7451.1150058799994</v>
      </c>
      <c r="M139" s="710">
        <f t="shared" si="16"/>
        <v>0</v>
      </c>
      <c r="N139" s="710">
        <f t="shared" si="17"/>
        <v>-0.1696</v>
      </c>
      <c r="O139" s="711">
        <f t="shared" si="18"/>
        <v>-0.1696</v>
      </c>
      <c r="P139" s="712">
        <f t="shared" si="19"/>
        <v>2.3267838372524846E-4</v>
      </c>
      <c r="Q139" s="713">
        <f t="shared" si="20"/>
        <v>-3.9462253879802139E-5</v>
      </c>
    </row>
    <row r="140" spans="1:17">
      <c r="A140" s="3" t="s">
        <v>1677</v>
      </c>
      <c r="B140" s="3" t="s">
        <v>2457</v>
      </c>
      <c r="C140" s="3" t="s">
        <v>1678</v>
      </c>
      <c r="D140" s="3">
        <v>29461024874.609997</v>
      </c>
      <c r="E140" s="3">
        <v>4.8568864067019053</v>
      </c>
      <c r="F140" s="3">
        <v>14.530000000000001</v>
      </c>
      <c r="G140" s="3">
        <v>287.52229999999997</v>
      </c>
      <c r="H140" s="3">
        <v>100.27</v>
      </c>
      <c r="I140" s="706"/>
      <c r="J140" s="707" t="str">
        <f t="shared" si="21"/>
        <v>Digital Realty Trust Inc</v>
      </c>
      <c r="K140" s="708" t="str">
        <f t="shared" si="21"/>
        <v>DLR</v>
      </c>
      <c r="L140" s="709">
        <f t="shared" si="15"/>
        <v>29461.024874609997</v>
      </c>
      <c r="M140" s="710">
        <f t="shared" si="16"/>
        <v>4.8568864067019053E-2</v>
      </c>
      <c r="N140" s="710">
        <f t="shared" si="17"/>
        <v>0.14530000000000001</v>
      </c>
      <c r="O140" s="711">
        <f t="shared" si="18"/>
        <v>0.19739739204148801</v>
      </c>
      <c r="P140" s="712">
        <f t="shared" si="19"/>
        <v>9.199889741742088E-4</v>
      </c>
      <c r="Q140" s="713">
        <f t="shared" si="20"/>
        <v>1.816034242089127E-4</v>
      </c>
    </row>
    <row r="141" spans="1:17">
      <c r="A141" s="3" t="s">
        <v>1679</v>
      </c>
      <c r="B141" s="3" t="s">
        <v>2458</v>
      </c>
      <c r="C141" s="3" t="s">
        <v>1680</v>
      </c>
      <c r="D141" s="3">
        <v>31284332709.760002</v>
      </c>
      <c r="E141" s="3">
        <v>0</v>
      </c>
      <c r="F141" s="3">
        <v>14.973000000000001</v>
      </c>
      <c r="G141" s="3">
        <v>221.18449999999999</v>
      </c>
      <c r="H141" s="3">
        <v>141.44</v>
      </c>
      <c r="I141" s="706"/>
      <c r="J141" s="707" t="str">
        <f t="shared" si="21"/>
        <v>Dollar Tree Inc</v>
      </c>
      <c r="K141" s="708" t="str">
        <f t="shared" si="21"/>
        <v>DLTR</v>
      </c>
      <c r="L141" s="709">
        <f t="shared" si="15"/>
        <v>31284.332709760001</v>
      </c>
      <c r="M141" s="710">
        <f t="shared" si="16"/>
        <v>0</v>
      </c>
      <c r="N141" s="710">
        <f t="shared" si="17"/>
        <v>0.14973</v>
      </c>
      <c r="O141" s="711">
        <f t="shared" si="18"/>
        <v>0.14973</v>
      </c>
      <c r="P141" s="712">
        <f t="shared" si="19"/>
        <v>9.7692599900626358E-4</v>
      </c>
      <c r="Q141" s="713">
        <f t="shared" si="20"/>
        <v>1.4627512983120784E-4</v>
      </c>
    </row>
    <row r="142" spans="1:17">
      <c r="A142" s="3" t="s">
        <v>1681</v>
      </c>
      <c r="B142" s="3" t="s">
        <v>2459</v>
      </c>
      <c r="C142" s="3" t="s">
        <v>1682</v>
      </c>
      <c r="D142" s="3">
        <v>19005328369.5</v>
      </c>
      <c r="E142" s="3">
        <v>1.5006277232109888</v>
      </c>
      <c r="F142" s="3">
        <v>10.5</v>
      </c>
      <c r="G142" s="3">
        <v>140.35399999999998</v>
      </c>
      <c r="H142" s="3">
        <v>135.41</v>
      </c>
      <c r="I142" s="706"/>
      <c r="J142" s="707" t="str">
        <f t="shared" si="21"/>
        <v>Dover Corp</v>
      </c>
      <c r="K142" s="708" t="str">
        <f t="shared" si="21"/>
        <v>DOV</v>
      </c>
      <c r="L142" s="709">
        <f t="shared" si="15"/>
        <v>19005.328369499999</v>
      </c>
      <c r="M142" s="710">
        <f t="shared" si="16"/>
        <v>1.5006277232109889E-2</v>
      </c>
      <c r="N142" s="710">
        <f t="shared" si="17"/>
        <v>0.105</v>
      </c>
      <c r="O142" s="711">
        <f t="shared" si="18"/>
        <v>0.12079410678679565</v>
      </c>
      <c r="P142" s="712">
        <f t="shared" si="19"/>
        <v>5.9348554997381957E-4</v>
      </c>
      <c r="Q142" s="713">
        <f t="shared" si="20"/>
        <v>7.1689556899957706E-5</v>
      </c>
    </row>
    <row r="143" spans="1:17">
      <c r="A143" s="3" t="s">
        <v>2460</v>
      </c>
      <c r="B143" s="3" t="s">
        <v>2461</v>
      </c>
      <c r="C143" s="3" t="s">
        <v>2462</v>
      </c>
      <c r="D143" s="3">
        <v>35462429564.910004</v>
      </c>
      <c r="E143" s="3">
        <v>5.564596150029768</v>
      </c>
      <c r="F143" s="3">
        <v>0.107</v>
      </c>
      <c r="G143" s="3">
        <v>703.75929999999994</v>
      </c>
      <c r="H143" s="3">
        <v>50.39</v>
      </c>
      <c r="I143" s="706"/>
      <c r="J143" s="707" t="str">
        <f t="shared" si="21"/>
        <v>Dow Inc</v>
      </c>
      <c r="K143" s="708" t="str">
        <f t="shared" si="21"/>
        <v>DOW</v>
      </c>
      <c r="L143" s="709">
        <f t="shared" si="15"/>
        <v>35462.429564910002</v>
      </c>
      <c r="M143" s="710">
        <f t="shared" si="16"/>
        <v>5.5645961500297679E-2</v>
      </c>
      <c r="N143" s="710">
        <f t="shared" si="17"/>
        <v>1.07E-3</v>
      </c>
      <c r="O143" s="711">
        <f t="shared" si="18"/>
        <v>5.6745732089700338E-2</v>
      </c>
      <c r="P143" s="712">
        <f t="shared" si="19"/>
        <v>1.1073967839205585E-3</v>
      </c>
      <c r="Q143" s="713">
        <f t="shared" si="20"/>
        <v>6.2840041217351785E-5</v>
      </c>
    </row>
    <row r="144" spans="1:17">
      <c r="A144" s="3" t="s">
        <v>3028</v>
      </c>
      <c r="B144" s="3" t="s">
        <v>3029</v>
      </c>
      <c r="C144" s="3" t="s">
        <v>3030</v>
      </c>
      <c r="D144" s="3">
        <v>12262344885.6</v>
      </c>
      <c r="E144" s="3">
        <v>1.2612586605080831</v>
      </c>
      <c r="F144" s="3">
        <v>12.585000000000001</v>
      </c>
      <c r="G144" s="3">
        <v>35.399380000000001</v>
      </c>
      <c r="H144" s="3">
        <v>346.4</v>
      </c>
      <c r="I144" s="706"/>
      <c r="J144" s="707" t="str">
        <f t="shared" si="21"/>
        <v>Domino's Pizza Inc</v>
      </c>
      <c r="K144" s="708" t="str">
        <f t="shared" si="21"/>
        <v>DPZ</v>
      </c>
      <c r="L144" s="709">
        <f t="shared" si="15"/>
        <v>12262.3448856</v>
      </c>
      <c r="M144" s="710">
        <f t="shared" si="16"/>
        <v>1.2612586605080831E-2</v>
      </c>
      <c r="N144" s="710">
        <f t="shared" si="17"/>
        <v>0.12585000000000002</v>
      </c>
      <c r="O144" s="711">
        <f t="shared" si="18"/>
        <v>0.13925623361720557</v>
      </c>
      <c r="P144" s="712">
        <f t="shared" si="19"/>
        <v>3.8292021884126122E-4</v>
      </c>
      <c r="Q144" s="713">
        <f t="shared" si="20"/>
        <v>5.3324027451710155E-5</v>
      </c>
    </row>
    <row r="145" spans="1:17">
      <c r="A145" s="3" t="s">
        <v>1683</v>
      </c>
      <c r="B145" s="3" t="s">
        <v>2463</v>
      </c>
      <c r="C145" s="3" t="s">
        <v>1684</v>
      </c>
      <c r="D145" s="3">
        <v>16929801871.470001</v>
      </c>
      <c r="E145" s="3">
        <v>3.5169522157160409</v>
      </c>
      <c r="F145" s="3">
        <v>9.66</v>
      </c>
      <c r="G145" s="3">
        <v>122.38709999999999</v>
      </c>
      <c r="H145" s="3">
        <v>138.33000000000001</v>
      </c>
      <c r="I145" s="706"/>
      <c r="J145" s="707" t="str">
        <f t="shared" si="21"/>
        <v>Darden Restaurants Inc</v>
      </c>
      <c r="K145" s="708" t="str">
        <f t="shared" si="21"/>
        <v>DRI</v>
      </c>
      <c r="L145" s="709">
        <f t="shared" si="15"/>
        <v>16929.801871470001</v>
      </c>
      <c r="M145" s="710">
        <f t="shared" si="16"/>
        <v>3.5169522157160411E-2</v>
      </c>
      <c r="N145" s="710">
        <f t="shared" si="17"/>
        <v>9.6600000000000005E-2</v>
      </c>
      <c r="O145" s="711">
        <f t="shared" si="18"/>
        <v>0.13346821007735127</v>
      </c>
      <c r="P145" s="712">
        <f t="shared" si="19"/>
        <v>5.2867241119399356E-4</v>
      </c>
      <c r="Q145" s="713">
        <f t="shared" si="20"/>
        <v>7.0560960439339769E-5</v>
      </c>
    </row>
    <row r="146" spans="1:17">
      <c r="A146" s="3" t="s">
        <v>1685</v>
      </c>
      <c r="B146" s="3" t="s">
        <v>2464</v>
      </c>
      <c r="C146" s="3" t="s">
        <v>210</v>
      </c>
      <c r="D146" s="3">
        <v>22770481981.100002</v>
      </c>
      <c r="E146" s="3">
        <v>3.0273121756147368</v>
      </c>
      <c r="F146" s="3">
        <v>6.133</v>
      </c>
      <c r="G146" s="3">
        <v>193.74189999999999</v>
      </c>
      <c r="H146" s="3">
        <v>117.53</v>
      </c>
      <c r="I146" s="706"/>
      <c r="J146" s="707" t="str">
        <f t="shared" si="21"/>
        <v>DTE Energy Co</v>
      </c>
      <c r="K146" s="708" t="str">
        <f t="shared" si="21"/>
        <v>DTE</v>
      </c>
      <c r="L146" s="709">
        <f t="shared" si="15"/>
        <v>22770.481981100002</v>
      </c>
      <c r="M146" s="710">
        <f t="shared" si="16"/>
        <v>3.0273121756147367E-2</v>
      </c>
      <c r="N146" s="710">
        <f t="shared" si="17"/>
        <v>6.1330000000000003E-2</v>
      </c>
      <c r="O146" s="711">
        <f t="shared" si="18"/>
        <v>9.2531447034799624E-2</v>
      </c>
      <c r="P146" s="712">
        <f t="shared" si="19"/>
        <v>7.110612223574864E-4</v>
      </c>
      <c r="Q146" s="713">
        <f t="shared" si="20"/>
        <v>6.5795523835071636E-5</v>
      </c>
    </row>
    <row r="147" spans="1:17">
      <c r="A147" s="3" t="s">
        <v>1686</v>
      </c>
      <c r="B147" s="3" t="s">
        <v>2465</v>
      </c>
      <c r="C147" s="3" t="s">
        <v>211</v>
      </c>
      <c r="D147" s="3">
        <v>79302300000</v>
      </c>
      <c r="E147" s="3">
        <v>3.863481891445772</v>
      </c>
      <c r="F147" s="3">
        <v>4.92</v>
      </c>
      <c r="G147" s="3">
        <v>770</v>
      </c>
      <c r="H147" s="3">
        <v>102.99</v>
      </c>
      <c r="I147" s="706"/>
      <c r="J147" s="707" t="str">
        <f t="shared" si="21"/>
        <v>Duke Energy Corp</v>
      </c>
      <c r="K147" s="708" t="str">
        <f t="shared" si="21"/>
        <v>DUK</v>
      </c>
      <c r="L147" s="709">
        <f t="shared" si="15"/>
        <v>79302.3</v>
      </c>
      <c r="M147" s="710">
        <f t="shared" si="16"/>
        <v>3.8634818914457719E-2</v>
      </c>
      <c r="N147" s="710">
        <f t="shared" si="17"/>
        <v>4.9200000000000001E-2</v>
      </c>
      <c r="O147" s="711">
        <f t="shared" si="18"/>
        <v>8.8785235459753378E-2</v>
      </c>
      <c r="P147" s="712">
        <f t="shared" si="19"/>
        <v>2.4763986296189966E-3</v>
      </c>
      <c r="Q147" s="713">
        <f t="shared" si="20"/>
        <v>2.1986763542293321E-4</v>
      </c>
    </row>
    <row r="148" spans="1:17">
      <c r="A148" s="3" t="s">
        <v>1687</v>
      </c>
      <c r="B148" s="3" t="s">
        <v>2466</v>
      </c>
      <c r="C148" s="3" t="s">
        <v>1688</v>
      </c>
      <c r="D148" s="3">
        <v>6727767000</v>
      </c>
      <c r="E148" s="3">
        <v>2.5847060399089328</v>
      </c>
      <c r="F148" s="3">
        <v>-6.49</v>
      </c>
      <c r="G148" s="3">
        <v>90.1</v>
      </c>
      <c r="H148" s="3">
        <v>74.67</v>
      </c>
      <c r="I148" s="706"/>
      <c r="J148" s="707" t="str">
        <f t="shared" si="21"/>
        <v>DaVita Inc</v>
      </c>
      <c r="K148" s="708" t="str">
        <f t="shared" si="21"/>
        <v>DVA</v>
      </c>
      <c r="L148" s="709">
        <f t="shared" si="15"/>
        <v>6727.7669999999998</v>
      </c>
      <c r="M148" s="710">
        <f t="shared" si="16"/>
        <v>2.5847060399089329E-2</v>
      </c>
      <c r="N148" s="710">
        <f t="shared" si="17"/>
        <v>-6.4899999999999999E-2</v>
      </c>
      <c r="O148" s="711">
        <f t="shared" si="18"/>
        <v>-3.9891676710861121E-2</v>
      </c>
      <c r="P148" s="712">
        <f t="shared" si="19"/>
        <v>2.1009016105706779E-4</v>
      </c>
      <c r="Q148" s="713">
        <f t="shared" si="20"/>
        <v>-8.3808487850212933E-6</v>
      </c>
    </row>
    <row r="149" spans="1:17">
      <c r="A149" s="3" t="s">
        <v>1689</v>
      </c>
      <c r="B149" s="3" t="s">
        <v>2467</v>
      </c>
      <c r="C149" s="3" t="s">
        <v>1690</v>
      </c>
      <c r="D149" s="3">
        <v>40209087000</v>
      </c>
      <c r="E149" s="3">
        <v>1.0274752072833686</v>
      </c>
      <c r="F149" s="3">
        <v>53.53</v>
      </c>
      <c r="G149" s="3">
        <v>653.69999999999993</v>
      </c>
      <c r="H149" s="3">
        <v>61.51</v>
      </c>
      <c r="I149" s="706"/>
      <c r="J149" s="707" t="str">
        <f t="shared" si="21"/>
        <v>Devon Energy Corp</v>
      </c>
      <c r="K149" s="708" t="str">
        <f t="shared" si="21"/>
        <v>DVN</v>
      </c>
      <c r="L149" s="709">
        <f t="shared" si="15"/>
        <v>40209.087</v>
      </c>
      <c r="M149" s="710">
        <f t="shared" si="16"/>
        <v>1.0274752072833687E-2</v>
      </c>
      <c r="N149" s="710">
        <f t="shared" si="17"/>
        <v>0.5353</v>
      </c>
      <c r="O149" s="711">
        <f t="shared" si="18"/>
        <v>0.54832478946512764</v>
      </c>
      <c r="P149" s="712">
        <f t="shared" si="19"/>
        <v>1.2556221943755856E-3</v>
      </c>
      <c r="Q149" s="713">
        <f t="shared" si="20"/>
        <v>6.8848877537873454E-4</v>
      </c>
    </row>
    <row r="150" spans="1:17">
      <c r="A150" s="3" t="s">
        <v>2259</v>
      </c>
      <c r="B150" s="3" t="s">
        <v>2468</v>
      </c>
      <c r="C150" s="3" t="s">
        <v>2256</v>
      </c>
      <c r="D150" s="3">
        <v>6096728409.5</v>
      </c>
      <c r="E150" s="3">
        <v>1.0075471698113208</v>
      </c>
      <c r="F150" s="3">
        <v>12.19</v>
      </c>
      <c r="G150" s="3">
        <v>230.06519999999998</v>
      </c>
      <c r="H150" s="3">
        <v>26.5</v>
      </c>
      <c r="I150" s="706"/>
      <c r="J150" s="707" t="str">
        <f t="shared" si="21"/>
        <v>DXC Technology Co</v>
      </c>
      <c r="K150" s="708" t="str">
        <f t="shared" si="21"/>
        <v>DXC</v>
      </c>
      <c r="L150" s="709">
        <f t="shared" si="15"/>
        <v>6096.7284095000005</v>
      </c>
      <c r="M150" s="710">
        <f t="shared" si="16"/>
        <v>1.0075471698113207E-2</v>
      </c>
      <c r="N150" s="710">
        <f t="shared" si="17"/>
        <v>0.12189999999999999</v>
      </c>
      <c r="O150" s="711">
        <f t="shared" si="18"/>
        <v>0.1325895716981132</v>
      </c>
      <c r="P150" s="712">
        <f t="shared" si="19"/>
        <v>1.9038451442700911E-4</v>
      </c>
      <c r="Q150" s="713">
        <f t="shared" si="20"/>
        <v>2.524300122583039E-5</v>
      </c>
    </row>
    <row r="151" spans="1:17">
      <c r="A151" s="3" t="s">
        <v>3031</v>
      </c>
      <c r="B151" s="3" t="s">
        <v>3986</v>
      </c>
      <c r="C151" s="3" t="s">
        <v>3032</v>
      </c>
      <c r="D151" s="3">
        <v>43739870075</v>
      </c>
      <c r="E151" s="3">
        <v>0</v>
      </c>
      <c r="F151" s="3">
        <v>18.833000000000002</v>
      </c>
      <c r="G151" s="3">
        <v>386.25809999999996</v>
      </c>
      <c r="H151" s="3">
        <v>113.24</v>
      </c>
      <c r="I151" s="706"/>
      <c r="J151" s="707" t="str">
        <f t="shared" si="21"/>
        <v>Dexcom Inc</v>
      </c>
      <c r="K151" s="708" t="str">
        <f t="shared" si="21"/>
        <v>DXCM</v>
      </c>
      <c r="L151" s="709">
        <f t="shared" si="15"/>
        <v>43739.870074999999</v>
      </c>
      <c r="M151" s="710">
        <f t="shared" si="16"/>
        <v>0</v>
      </c>
      <c r="N151" s="710">
        <f t="shared" si="17"/>
        <v>0.18833000000000003</v>
      </c>
      <c r="O151" s="711">
        <f t="shared" si="18"/>
        <v>0.18833000000000003</v>
      </c>
      <c r="P151" s="712">
        <f t="shared" si="19"/>
        <v>1.3658791020366742E-3</v>
      </c>
      <c r="Q151" s="713">
        <f t="shared" si="20"/>
        <v>2.5723601128656688E-4</v>
      </c>
    </row>
    <row r="152" spans="1:17">
      <c r="A152" s="3" t="s">
        <v>1691</v>
      </c>
      <c r="B152" s="3" t="s">
        <v>2469</v>
      </c>
      <c r="C152" s="3" t="s">
        <v>1692</v>
      </c>
      <c r="D152" s="3">
        <v>33731482990.120007</v>
      </c>
      <c r="E152" s="3">
        <v>0.57947290882304792</v>
      </c>
      <c r="F152" s="3">
        <v>14.503</v>
      </c>
      <c r="G152" s="3">
        <v>276.08019999999999</v>
      </c>
      <c r="H152" s="3">
        <v>122.18</v>
      </c>
      <c r="I152" s="706"/>
      <c r="J152" s="707" t="str">
        <f t="shared" si="21"/>
        <v>Electronic Arts Inc</v>
      </c>
      <c r="K152" s="708" t="str">
        <f t="shared" si="21"/>
        <v>EA</v>
      </c>
      <c r="L152" s="709">
        <f t="shared" si="15"/>
        <v>33731.482990120006</v>
      </c>
      <c r="M152" s="710">
        <f t="shared" si="16"/>
        <v>5.7947290882304795E-3</v>
      </c>
      <c r="N152" s="710">
        <f t="shared" si="17"/>
        <v>0.14502999999999999</v>
      </c>
      <c r="O152" s="711">
        <f t="shared" si="18"/>
        <v>0.15124493386806351</v>
      </c>
      <c r="P152" s="712">
        <f t="shared" si="19"/>
        <v>1.0533439541066233E-3</v>
      </c>
      <c r="Q152" s="713">
        <f t="shared" si="20"/>
        <v>1.5931293667918077E-4</v>
      </c>
    </row>
    <row r="153" spans="1:17">
      <c r="A153" s="3" t="s">
        <v>1693</v>
      </c>
      <c r="B153" s="3" t="s">
        <v>2470</v>
      </c>
      <c r="C153" s="3" t="s">
        <v>1694</v>
      </c>
      <c r="D153" s="3">
        <v>22504072337.889999</v>
      </c>
      <c r="E153" s="3">
        <v>2.1147817699541838</v>
      </c>
      <c r="F153" s="3">
        <v>-10.585000000000001</v>
      </c>
      <c r="G153" s="3">
        <v>542.65909999999997</v>
      </c>
      <c r="H153" s="3">
        <v>41.47</v>
      </c>
      <c r="I153" s="706"/>
      <c r="J153" s="707" t="str">
        <f t="shared" si="21"/>
        <v>eBay Inc</v>
      </c>
      <c r="K153" s="708" t="str">
        <f t="shared" si="21"/>
        <v>EBAY</v>
      </c>
      <c r="L153" s="709">
        <f t="shared" si="15"/>
        <v>22504.07233789</v>
      </c>
      <c r="M153" s="710">
        <f t="shared" si="16"/>
        <v>2.1147817699541837E-2</v>
      </c>
      <c r="N153" s="710">
        <f t="shared" si="17"/>
        <v>-0.10585000000000001</v>
      </c>
      <c r="O153" s="711">
        <f t="shared" si="18"/>
        <v>-8.5821430552206424E-2</v>
      </c>
      <c r="P153" s="712">
        <f t="shared" si="19"/>
        <v>7.0274196206664326E-4</v>
      </c>
      <c r="Q153" s="713">
        <f t="shared" si="20"/>
        <v>-6.0310320493623702E-5</v>
      </c>
    </row>
    <row r="154" spans="1:17">
      <c r="A154" s="3" t="s">
        <v>1695</v>
      </c>
      <c r="B154" s="3" t="s">
        <v>2471</v>
      </c>
      <c r="C154" s="3" t="s">
        <v>1696</v>
      </c>
      <c r="D154" s="3">
        <v>41459572413.599998</v>
      </c>
      <c r="E154" s="3">
        <v>1.4145369607034899</v>
      </c>
      <c r="F154" s="3">
        <v>14</v>
      </c>
      <c r="G154" s="3">
        <v>284.82810000000001</v>
      </c>
      <c r="H154" s="3">
        <v>145.56</v>
      </c>
      <c r="I154" s="706"/>
      <c r="J154" s="707" t="str">
        <f t="shared" si="21"/>
        <v>Ecolab Inc</v>
      </c>
      <c r="K154" s="708" t="str">
        <f t="shared" si="21"/>
        <v>ECL</v>
      </c>
      <c r="L154" s="709">
        <f t="shared" si="15"/>
        <v>41459.572413599999</v>
      </c>
      <c r="M154" s="710">
        <f t="shared" si="16"/>
        <v>1.4145369607034899E-2</v>
      </c>
      <c r="N154" s="710">
        <f t="shared" si="17"/>
        <v>0.14000000000000001</v>
      </c>
      <c r="O154" s="711">
        <f t="shared" si="18"/>
        <v>0.15513554547952735</v>
      </c>
      <c r="P154" s="712">
        <f t="shared" si="19"/>
        <v>1.2946715077573863E-3</v>
      </c>
      <c r="Q154" s="713">
        <f t="shared" si="20"/>
        <v>2.0084957057274426E-4</v>
      </c>
    </row>
    <row r="155" spans="1:17">
      <c r="A155" s="3" t="s">
        <v>1697</v>
      </c>
      <c r="B155" s="3" t="s">
        <v>2472</v>
      </c>
      <c r="C155" s="3" t="s">
        <v>208</v>
      </c>
      <c r="D155" s="3">
        <v>33821978042.880001</v>
      </c>
      <c r="E155" s="3">
        <v>3.3343825411814079</v>
      </c>
      <c r="F155" s="3">
        <v>3.9</v>
      </c>
      <c r="G155" s="3">
        <v>354.86279999999999</v>
      </c>
      <c r="H155" s="3">
        <v>95.31</v>
      </c>
      <c r="I155" s="706"/>
      <c r="J155" s="707" t="str">
        <f t="shared" si="21"/>
        <v>Consolidated Edison Inc</v>
      </c>
      <c r="K155" s="708" t="str">
        <f t="shared" si="21"/>
        <v>ED</v>
      </c>
      <c r="L155" s="709">
        <f t="shared" si="15"/>
        <v>33821.97804288</v>
      </c>
      <c r="M155" s="710">
        <f t="shared" si="16"/>
        <v>3.3343825411814076E-2</v>
      </c>
      <c r="N155" s="710">
        <f t="shared" si="17"/>
        <v>3.9E-2</v>
      </c>
      <c r="O155" s="711">
        <f t="shared" si="18"/>
        <v>7.2994030007344446E-2</v>
      </c>
      <c r="P155" s="712">
        <f t="shared" si="19"/>
        <v>1.0561698724550464E-3</v>
      </c>
      <c r="Q155" s="713">
        <f t="shared" si="20"/>
        <v>7.7094095362836813E-5</v>
      </c>
    </row>
    <row r="156" spans="1:17">
      <c r="A156" s="3" t="s">
        <v>1698</v>
      </c>
      <c r="B156" s="3" t="s">
        <v>2473</v>
      </c>
      <c r="C156" s="3" t="s">
        <v>1699</v>
      </c>
      <c r="D156" s="3">
        <v>23798104860.440002</v>
      </c>
      <c r="E156" s="3">
        <v>0.80263428689030658</v>
      </c>
      <c r="F156" s="3">
        <v>13</v>
      </c>
      <c r="G156" s="3">
        <v>122.4434</v>
      </c>
      <c r="H156" s="3">
        <v>194.36</v>
      </c>
      <c r="I156" s="706"/>
      <c r="J156" s="707" t="str">
        <f t="shared" si="21"/>
        <v>Equifax Inc</v>
      </c>
      <c r="K156" s="708" t="str">
        <f t="shared" si="21"/>
        <v>EFX</v>
      </c>
      <c r="L156" s="709">
        <f t="shared" si="15"/>
        <v>23798.104860440002</v>
      </c>
      <c r="M156" s="710">
        <f t="shared" si="16"/>
        <v>8.0263428689030664E-3</v>
      </c>
      <c r="N156" s="710">
        <f t="shared" si="17"/>
        <v>0.13</v>
      </c>
      <c r="O156" s="711">
        <f t="shared" si="18"/>
        <v>0.13854805515538177</v>
      </c>
      <c r="P156" s="712">
        <f t="shared" si="19"/>
        <v>7.4315113513634282E-4</v>
      </c>
      <c r="Q156" s="713">
        <f t="shared" si="20"/>
        <v>1.0296214445965459E-4</v>
      </c>
    </row>
    <row r="157" spans="1:17">
      <c r="A157" s="3" t="s">
        <v>1700</v>
      </c>
      <c r="B157" s="3" t="s">
        <v>2474</v>
      </c>
      <c r="C157" s="3" t="s">
        <v>199</v>
      </c>
      <c r="D157" s="3">
        <v>24294866759.880001</v>
      </c>
      <c r="E157" s="3">
        <v>4.4199937126689726</v>
      </c>
      <c r="F157" s="3">
        <v>3.2850000000000001</v>
      </c>
      <c r="G157" s="3">
        <v>381.87469999999996</v>
      </c>
      <c r="H157" s="3">
        <v>63.62</v>
      </c>
      <c r="I157" s="706"/>
      <c r="J157" s="707" t="str">
        <f t="shared" si="21"/>
        <v>Edison International</v>
      </c>
      <c r="K157" s="708" t="str">
        <f t="shared" si="21"/>
        <v>EIX</v>
      </c>
      <c r="L157" s="709">
        <f t="shared" si="15"/>
        <v>24294.866759880002</v>
      </c>
      <c r="M157" s="710">
        <f t="shared" si="16"/>
        <v>4.4199937126689723E-2</v>
      </c>
      <c r="N157" s="710">
        <f t="shared" si="17"/>
        <v>3.2850000000000004E-2</v>
      </c>
      <c r="O157" s="711">
        <f t="shared" si="18"/>
        <v>7.7775921093995601E-2</v>
      </c>
      <c r="P157" s="712">
        <f t="shared" si="19"/>
        <v>7.5866368000603946E-4</v>
      </c>
      <c r="Q157" s="713">
        <f t="shared" si="20"/>
        <v>5.9005766513030052E-5</v>
      </c>
    </row>
    <row r="158" spans="1:17">
      <c r="A158" s="3" t="s">
        <v>1701</v>
      </c>
      <c r="B158" s="3" t="s">
        <v>2475</v>
      </c>
      <c r="C158" s="3" t="s">
        <v>1702</v>
      </c>
      <c r="D158" s="3">
        <v>88528706451.970001</v>
      </c>
      <c r="E158" s="3">
        <v>1.0350247873926888</v>
      </c>
      <c r="F158" s="3">
        <v>8.08</v>
      </c>
      <c r="G158" s="3">
        <v>231.27029999999999</v>
      </c>
      <c r="H158" s="3">
        <v>248.11</v>
      </c>
      <c r="I158" s="706"/>
      <c r="J158" s="707" t="str">
        <f t="shared" si="21"/>
        <v>Estee Lauder Cos Inc/The</v>
      </c>
      <c r="K158" s="708" t="str">
        <f t="shared" si="21"/>
        <v>EL</v>
      </c>
      <c r="L158" s="709">
        <f t="shared" si="15"/>
        <v>88528.706451970007</v>
      </c>
      <c r="M158" s="710">
        <f t="shared" si="16"/>
        <v>1.0350247873926887E-2</v>
      </c>
      <c r="N158" s="710">
        <f t="shared" si="17"/>
        <v>8.0799999999999997E-2</v>
      </c>
      <c r="O158" s="711">
        <f t="shared" si="18"/>
        <v>9.1568397888033531E-2</v>
      </c>
      <c r="P158" s="712">
        <f t="shared" si="19"/>
        <v>2.7645146148295944E-3</v>
      </c>
      <c r="Q158" s="713">
        <f t="shared" si="20"/>
        <v>2.5314217421800004E-4</v>
      </c>
    </row>
    <row r="159" spans="1:17">
      <c r="A159" s="3" t="s">
        <v>4288</v>
      </c>
      <c r="B159" s="3" t="s">
        <v>4289</v>
      </c>
      <c r="C159" s="3" t="s">
        <v>4290</v>
      </c>
      <c r="D159" s="3">
        <v>122511384738.54001</v>
      </c>
      <c r="E159" s="3">
        <v>0.98075910871980809</v>
      </c>
      <c r="F159" s="3">
        <v>10.353</v>
      </c>
      <c r="G159" s="3">
        <v>238.82759999999999</v>
      </c>
      <c r="H159" s="3">
        <v>512.97</v>
      </c>
      <c r="I159" s="706"/>
      <c r="J159" s="707" t="str">
        <f t="shared" si="21"/>
        <v>Elevance Health Inc</v>
      </c>
      <c r="K159" s="708" t="str">
        <f t="shared" si="21"/>
        <v>ELV</v>
      </c>
      <c r="L159" s="709">
        <f t="shared" si="15"/>
        <v>122511.38473854001</v>
      </c>
      <c r="M159" s="710">
        <f t="shared" si="16"/>
        <v>9.8075910871980813E-3</v>
      </c>
      <c r="N159" s="710">
        <f t="shared" si="17"/>
        <v>0.10353</v>
      </c>
      <c r="O159" s="711">
        <f t="shared" si="18"/>
        <v>0.11384528103982688</v>
      </c>
      <c r="P159" s="712">
        <f t="shared" si="19"/>
        <v>3.8257027258887335E-3</v>
      </c>
      <c r="Q159" s="713">
        <f t="shared" si="20"/>
        <v>4.3553820200363465E-4</v>
      </c>
    </row>
    <row r="160" spans="1:17">
      <c r="A160" s="3" t="s">
        <v>1703</v>
      </c>
      <c r="B160" s="3" t="s">
        <v>2476</v>
      </c>
      <c r="C160" s="3" t="s">
        <v>1704</v>
      </c>
      <c r="D160" s="3">
        <v>9772015244.1599998</v>
      </c>
      <c r="E160" s="3">
        <v>3.7266699410609037</v>
      </c>
      <c r="F160" s="3">
        <v>7.47</v>
      </c>
      <c r="G160" s="3">
        <v>119.99039999999999</v>
      </c>
      <c r="H160" s="3">
        <v>81.44</v>
      </c>
      <c r="I160" s="706"/>
      <c r="J160" s="707" t="str">
        <f t="shared" si="21"/>
        <v>Eastman Chemical Co</v>
      </c>
      <c r="K160" s="708" t="str">
        <f t="shared" si="21"/>
        <v>EMN</v>
      </c>
      <c r="L160" s="709">
        <f t="shared" si="15"/>
        <v>9772.0152441600003</v>
      </c>
      <c r="M160" s="710">
        <f t="shared" si="16"/>
        <v>3.7266699410609033E-2</v>
      </c>
      <c r="N160" s="710">
        <f t="shared" si="17"/>
        <v>7.4700000000000003E-2</v>
      </c>
      <c r="O160" s="711">
        <f t="shared" si="18"/>
        <v>0.11335861063359529</v>
      </c>
      <c r="P160" s="712">
        <f t="shared" si="19"/>
        <v>3.0515388783495265E-4</v>
      </c>
      <c r="Q160" s="713">
        <f t="shared" si="20"/>
        <v>3.4591820754410204E-5</v>
      </c>
    </row>
    <row r="161" spans="1:17">
      <c r="A161" s="3" t="s">
        <v>1705</v>
      </c>
      <c r="B161" s="3" t="s">
        <v>2477</v>
      </c>
      <c r="C161" s="3" t="s">
        <v>1706</v>
      </c>
      <c r="D161" s="3">
        <v>55936036170.239998</v>
      </c>
      <c r="E161" s="3">
        <v>2.1913387466166978</v>
      </c>
      <c r="F161" s="3">
        <v>7.5979999999999999</v>
      </c>
      <c r="G161" s="3">
        <v>582.30309999999997</v>
      </c>
      <c r="H161" s="3">
        <v>96.06</v>
      </c>
      <c r="I161" s="706"/>
      <c r="J161" s="707" t="str">
        <f t="shared" si="21"/>
        <v>Emerson Electric Co</v>
      </c>
      <c r="K161" s="708" t="str">
        <f t="shared" si="21"/>
        <v>EMR</v>
      </c>
      <c r="L161" s="709">
        <f t="shared" si="15"/>
        <v>55936.036170239997</v>
      </c>
      <c r="M161" s="710">
        <f t="shared" si="16"/>
        <v>2.1913387466166979E-2</v>
      </c>
      <c r="N161" s="710">
        <f t="shared" si="17"/>
        <v>7.5979999999999992E-2</v>
      </c>
      <c r="O161" s="711">
        <f t="shared" si="18"/>
        <v>9.8725877056006661E-2</v>
      </c>
      <c r="P161" s="712">
        <f t="shared" si="19"/>
        <v>1.7467327343381081E-3</v>
      </c>
      <c r="Q161" s="713">
        <f t="shared" si="20"/>
        <v>1.7244772117996641E-4</v>
      </c>
    </row>
    <row r="162" spans="1:17">
      <c r="A162" s="3" t="s">
        <v>3940</v>
      </c>
      <c r="B162" s="3" t="s">
        <v>3941</v>
      </c>
      <c r="C162" s="3" t="s">
        <v>3942</v>
      </c>
      <c r="D162" s="3">
        <v>36014309637.120003</v>
      </c>
      <c r="E162" s="3">
        <v>0</v>
      </c>
      <c r="F162" s="3">
        <v>53.675000000000004</v>
      </c>
      <c r="G162" s="3">
        <v>135.92359999999999</v>
      </c>
      <c r="H162" s="3">
        <v>264.95999999999998</v>
      </c>
      <c r="I162" s="706"/>
      <c r="J162" s="707" t="str">
        <f t="shared" si="21"/>
        <v>Enphase Energy Inc</v>
      </c>
      <c r="K162" s="708" t="str">
        <f t="shared" si="21"/>
        <v>ENPH</v>
      </c>
      <c r="L162" s="709">
        <f t="shared" si="15"/>
        <v>36014.309637120001</v>
      </c>
      <c r="M162" s="710">
        <f t="shared" si="16"/>
        <v>0</v>
      </c>
      <c r="N162" s="710">
        <f t="shared" si="17"/>
        <v>0.53675000000000006</v>
      </c>
      <c r="O162" s="711">
        <f t="shared" si="18"/>
        <v>0.53675000000000006</v>
      </c>
      <c r="P162" s="712">
        <f t="shared" si="19"/>
        <v>1.1246305218390663E-3</v>
      </c>
      <c r="Q162" s="713">
        <f t="shared" si="20"/>
        <v>6.0364543259711892E-4</v>
      </c>
    </row>
    <row r="163" spans="1:17">
      <c r="A163" s="3" t="s">
        <v>1707</v>
      </c>
      <c r="B163" s="3" t="s">
        <v>2478</v>
      </c>
      <c r="C163" s="3" t="s">
        <v>1708</v>
      </c>
      <c r="D163" s="3">
        <v>76078687521.919998</v>
      </c>
      <c r="E163" s="3">
        <v>4.894224830142063</v>
      </c>
      <c r="F163" s="3">
        <v>11.55</v>
      </c>
      <c r="G163" s="3">
        <v>587.3895</v>
      </c>
      <c r="H163" s="3">
        <v>129.52000000000001</v>
      </c>
      <c r="I163" s="706"/>
      <c r="J163" s="707" t="str">
        <f t="shared" si="21"/>
        <v>EOG Resources Inc</v>
      </c>
      <c r="K163" s="708" t="str">
        <f t="shared" si="21"/>
        <v>EOG</v>
      </c>
      <c r="L163" s="709">
        <f t="shared" si="15"/>
        <v>76078.687521920001</v>
      </c>
      <c r="M163" s="710">
        <f t="shared" si="16"/>
        <v>4.8942248301420632E-2</v>
      </c>
      <c r="N163" s="710">
        <f t="shared" si="17"/>
        <v>0.11550000000000001</v>
      </c>
      <c r="O163" s="711">
        <f t="shared" si="18"/>
        <v>0.16726866314082767</v>
      </c>
      <c r="P163" s="712">
        <f t="shared" si="19"/>
        <v>2.375733837763779E-3</v>
      </c>
      <c r="Q163" s="713">
        <f t="shared" si="20"/>
        <v>3.9738582302117529E-4</v>
      </c>
    </row>
    <row r="164" spans="1:17">
      <c r="A164" s="3" t="s">
        <v>4291</v>
      </c>
      <c r="B164" s="3" t="s">
        <v>4292</v>
      </c>
      <c r="C164" s="3" t="s">
        <v>4293</v>
      </c>
      <c r="D164" s="3">
        <v>18849470557.120003</v>
      </c>
      <c r="E164" s="3">
        <v>0</v>
      </c>
      <c r="F164" s="3">
        <v>17.920000000000002</v>
      </c>
      <c r="G164" s="3">
        <v>57.513489999999997</v>
      </c>
      <c r="H164" s="3">
        <v>327.74</v>
      </c>
      <c r="I164" s="706"/>
      <c r="J164" s="707" t="str">
        <f t="shared" si="21"/>
        <v>EPAM Systems Inc</v>
      </c>
      <c r="K164" s="708" t="str">
        <f t="shared" si="21"/>
        <v>EPAM</v>
      </c>
      <c r="L164" s="709">
        <f t="shared" si="15"/>
        <v>18849.470557120003</v>
      </c>
      <c r="M164" s="710">
        <f t="shared" si="16"/>
        <v>0</v>
      </c>
      <c r="N164" s="710">
        <f t="shared" si="17"/>
        <v>0.17920000000000003</v>
      </c>
      <c r="O164" s="711">
        <f t="shared" si="18"/>
        <v>0.17920000000000003</v>
      </c>
      <c r="P164" s="712">
        <f t="shared" si="19"/>
        <v>5.8861852754202076E-4</v>
      </c>
      <c r="Q164" s="713">
        <f t="shared" si="20"/>
        <v>1.0548044013553014E-4</v>
      </c>
    </row>
    <row r="165" spans="1:17">
      <c r="A165" s="3" t="s">
        <v>1709</v>
      </c>
      <c r="B165" s="3" t="s">
        <v>2479</v>
      </c>
      <c r="C165" s="3" t="s">
        <v>1710</v>
      </c>
      <c r="D165" s="3">
        <v>60615241468.450005</v>
      </c>
      <c r="E165" s="3">
        <v>1.8922797429125384</v>
      </c>
      <c r="F165" s="3">
        <v>10.63</v>
      </c>
      <c r="G165" s="3">
        <v>92.538119999999992</v>
      </c>
      <c r="H165" s="3">
        <v>655.03</v>
      </c>
      <c r="I165" s="706"/>
      <c r="J165" s="707" t="str">
        <f t="shared" si="21"/>
        <v>Equinix Inc</v>
      </c>
      <c r="K165" s="708" t="str">
        <f t="shared" si="21"/>
        <v>EQIX</v>
      </c>
      <c r="L165" s="709">
        <f t="shared" si="15"/>
        <v>60615.241468450004</v>
      </c>
      <c r="M165" s="710">
        <f t="shared" si="16"/>
        <v>1.8922797429125383E-2</v>
      </c>
      <c r="N165" s="710">
        <f t="shared" si="17"/>
        <v>0.10630000000000001</v>
      </c>
      <c r="O165" s="711">
        <f t="shared" si="18"/>
        <v>0.12622854411248341</v>
      </c>
      <c r="P165" s="712">
        <f t="shared" si="19"/>
        <v>1.8928517950487459E-3</v>
      </c>
      <c r="Q165" s="713">
        <f t="shared" si="20"/>
        <v>2.3893192630970402E-4</v>
      </c>
    </row>
    <row r="166" spans="1:17">
      <c r="A166" s="3" t="s">
        <v>1711</v>
      </c>
      <c r="B166" s="3" t="s">
        <v>2480</v>
      </c>
      <c r="C166" s="3" t="s">
        <v>1712</v>
      </c>
      <c r="D166" s="3">
        <v>22297216280</v>
      </c>
      <c r="E166" s="3">
        <v>4.2271186440677972</v>
      </c>
      <c r="F166" s="3">
        <v>17.015000000000001</v>
      </c>
      <c r="G166" s="3">
        <v>377.91890000000001</v>
      </c>
      <c r="H166" s="3">
        <v>59</v>
      </c>
      <c r="I166" s="706"/>
      <c r="J166" s="707" t="str">
        <f t="shared" si="21"/>
        <v>Equity Residential</v>
      </c>
      <c r="K166" s="708" t="str">
        <f t="shared" si="21"/>
        <v>EQR</v>
      </c>
      <c r="L166" s="709">
        <f t="shared" si="15"/>
        <v>22297.216280000001</v>
      </c>
      <c r="M166" s="710">
        <f t="shared" si="16"/>
        <v>4.2271186440677976E-2</v>
      </c>
      <c r="N166" s="710">
        <f t="shared" si="17"/>
        <v>0.17015</v>
      </c>
      <c r="O166" s="711">
        <f t="shared" si="18"/>
        <v>0.21601740762711866</v>
      </c>
      <c r="P166" s="712">
        <f t="shared" si="19"/>
        <v>6.9628240089014291E-4</v>
      </c>
      <c r="Q166" s="713">
        <f t="shared" si="20"/>
        <v>1.5040911921667484E-4</v>
      </c>
    </row>
    <row r="167" spans="1:17">
      <c r="A167" s="3" t="s">
        <v>4294</v>
      </c>
      <c r="B167" s="3" t="s">
        <v>4295</v>
      </c>
      <c r="C167" s="3" t="s">
        <v>4296</v>
      </c>
      <c r="D167" s="3">
        <v>12417166349.149998</v>
      </c>
      <c r="E167" s="3">
        <v>1.6316878510198052</v>
      </c>
      <c r="F167" s="3">
        <v>39.020000000000003</v>
      </c>
      <c r="G167" s="3">
        <v>367.04599999999999</v>
      </c>
      <c r="H167" s="3">
        <v>33.83</v>
      </c>
      <c r="I167" s="706"/>
      <c r="J167" s="707" t="str">
        <f t="shared" si="21"/>
        <v>EQT Corp</v>
      </c>
      <c r="K167" s="708" t="str">
        <f t="shared" si="21"/>
        <v>EQT</v>
      </c>
      <c r="L167" s="709">
        <f t="shared" si="15"/>
        <v>12417.166349149998</v>
      </c>
      <c r="M167" s="710">
        <f t="shared" si="16"/>
        <v>1.631687851019805E-2</v>
      </c>
      <c r="N167" s="710">
        <f t="shared" si="17"/>
        <v>0.39020000000000005</v>
      </c>
      <c r="O167" s="711">
        <f t="shared" si="18"/>
        <v>0.40970030150753772</v>
      </c>
      <c r="P167" s="712">
        <f t="shared" si="19"/>
        <v>3.8775487887219125E-4</v>
      </c>
      <c r="Q167" s="713">
        <f t="shared" si="20"/>
        <v>1.5886329078495552E-4</v>
      </c>
    </row>
    <row r="168" spans="1:17">
      <c r="A168" s="3" t="s">
        <v>1713</v>
      </c>
      <c r="B168" s="3" t="s">
        <v>2481</v>
      </c>
      <c r="C168" s="3" t="s">
        <v>1359</v>
      </c>
      <c r="D168" s="3">
        <v>29202093757.440002</v>
      </c>
      <c r="E168" s="3">
        <v>3.0450858778625949</v>
      </c>
      <c r="F168" s="3">
        <v>6.0600000000000005</v>
      </c>
      <c r="G168" s="3">
        <v>348.30739999999997</v>
      </c>
      <c r="H168" s="3">
        <v>83.84</v>
      </c>
      <c r="I168" s="706"/>
      <c r="J168" s="707" t="str">
        <f t="shared" si="21"/>
        <v>Eversource Energy</v>
      </c>
      <c r="K168" s="708" t="str">
        <f t="shared" si="21"/>
        <v>ES</v>
      </c>
      <c r="L168" s="709">
        <f t="shared" si="15"/>
        <v>29202.093757440001</v>
      </c>
      <c r="M168" s="710">
        <f t="shared" si="16"/>
        <v>3.0450858778625949E-2</v>
      </c>
      <c r="N168" s="710">
        <f t="shared" si="17"/>
        <v>6.0600000000000008E-2</v>
      </c>
      <c r="O168" s="711">
        <f t="shared" si="18"/>
        <v>9.197351979961832E-2</v>
      </c>
      <c r="P168" s="712">
        <f t="shared" si="19"/>
        <v>9.1190324824033946E-4</v>
      </c>
      <c r="Q168" s="713">
        <f t="shared" si="20"/>
        <v>8.3870951457369118E-5</v>
      </c>
    </row>
    <row r="169" spans="1:17">
      <c r="A169" s="3" t="s">
        <v>1714</v>
      </c>
      <c r="B169" s="3" t="s">
        <v>2482</v>
      </c>
      <c r="C169" s="3" t="s">
        <v>1715</v>
      </c>
      <c r="D169" s="3">
        <v>13722627839.039999</v>
      </c>
      <c r="E169" s="3">
        <v>4.1454322385805966</v>
      </c>
      <c r="F169" s="3">
        <v>9.0649999999999995</v>
      </c>
      <c r="G169" s="3">
        <v>64.753810000000001</v>
      </c>
      <c r="H169" s="3">
        <v>211.92</v>
      </c>
      <c r="I169" s="706"/>
      <c r="J169" s="707" t="str">
        <f t="shared" si="21"/>
        <v>Essex Property Trust Inc</v>
      </c>
      <c r="K169" s="708" t="str">
        <f t="shared" si="21"/>
        <v>ESS</v>
      </c>
      <c r="L169" s="709">
        <f t="shared" si="15"/>
        <v>13722.627839039998</v>
      </c>
      <c r="M169" s="710">
        <f t="shared" si="16"/>
        <v>4.1454322385805965E-2</v>
      </c>
      <c r="N169" s="710">
        <f t="shared" si="17"/>
        <v>9.0649999999999994E-2</v>
      </c>
      <c r="O169" s="711">
        <f t="shared" si="18"/>
        <v>0.13398323954794261</v>
      </c>
      <c r="P169" s="712">
        <f t="shared" si="19"/>
        <v>4.2852094800995862E-4</v>
      </c>
      <c r="Q169" s="713">
        <f t="shared" si="20"/>
        <v>5.7414624828529746E-5</v>
      </c>
    </row>
    <row r="170" spans="1:17">
      <c r="A170" s="3" t="s">
        <v>1716</v>
      </c>
      <c r="B170" s="3" t="s">
        <v>2483</v>
      </c>
      <c r="C170" s="3" t="s">
        <v>1717</v>
      </c>
      <c r="D170" s="3">
        <v>62419014999.999992</v>
      </c>
      <c r="E170" s="3">
        <v>2.0547945205479454</v>
      </c>
      <c r="F170" s="3">
        <v>10.85</v>
      </c>
      <c r="G170" s="3">
        <v>397.7</v>
      </c>
      <c r="H170" s="3">
        <v>156.94999999999999</v>
      </c>
      <c r="I170" s="706"/>
      <c r="J170" s="707" t="str">
        <f t="shared" si="21"/>
        <v>Eaton Corp PLC</v>
      </c>
      <c r="K170" s="708" t="str">
        <f t="shared" si="21"/>
        <v>ETN</v>
      </c>
      <c r="L170" s="709">
        <f t="shared" si="15"/>
        <v>62419.014999999992</v>
      </c>
      <c r="M170" s="710">
        <f t="shared" si="16"/>
        <v>2.0547945205479454E-2</v>
      </c>
      <c r="N170" s="710">
        <f t="shared" si="17"/>
        <v>0.1085</v>
      </c>
      <c r="O170" s="711">
        <f t="shared" si="18"/>
        <v>0.13016267123287673</v>
      </c>
      <c r="P170" s="712">
        <f t="shared" si="19"/>
        <v>1.9491788158498247E-3</v>
      </c>
      <c r="Q170" s="713">
        <f t="shared" si="20"/>
        <v>2.5371032138154869E-4</v>
      </c>
    </row>
    <row r="171" spans="1:17">
      <c r="A171" s="3" t="s">
        <v>1718</v>
      </c>
      <c r="B171" s="3" t="s">
        <v>2484</v>
      </c>
      <c r="C171" s="3" t="s">
        <v>212</v>
      </c>
      <c r="D171" s="3">
        <v>22891911750</v>
      </c>
      <c r="E171" s="3">
        <v>3.6364444444444448</v>
      </c>
      <c r="F171" s="3">
        <v>6</v>
      </c>
      <c r="G171" s="3">
        <v>203.4837</v>
      </c>
      <c r="H171" s="3">
        <v>112.5</v>
      </c>
      <c r="I171" s="706"/>
      <c r="J171" s="707" t="str">
        <f t="shared" si="21"/>
        <v>Entergy Corp</v>
      </c>
      <c r="K171" s="708" t="str">
        <f t="shared" si="21"/>
        <v>ETR</v>
      </c>
      <c r="L171" s="709">
        <f t="shared" si="15"/>
        <v>22891.911749999999</v>
      </c>
      <c r="M171" s="710">
        <f t="shared" si="16"/>
        <v>3.6364444444444449E-2</v>
      </c>
      <c r="N171" s="710">
        <f t="shared" si="17"/>
        <v>0.06</v>
      </c>
      <c r="O171" s="711">
        <f t="shared" si="18"/>
        <v>9.7455377777777782E-2</v>
      </c>
      <c r="P171" s="712">
        <f t="shared" si="19"/>
        <v>7.1485314911495627E-4</v>
      </c>
      <c r="Q171" s="713">
        <f t="shared" si="20"/>
        <v>6.9666283702632181E-5</v>
      </c>
    </row>
    <row r="172" spans="1:17">
      <c r="A172" s="3" t="s">
        <v>3914</v>
      </c>
      <c r="B172" s="3" t="s">
        <v>3915</v>
      </c>
      <c r="C172" s="3" t="s">
        <v>3916</v>
      </c>
      <c r="D172" s="3">
        <v>15054946490.480001</v>
      </c>
      <c r="E172" s="3">
        <v>0</v>
      </c>
      <c r="F172" s="3">
        <v>14.31</v>
      </c>
      <c r="G172" s="3">
        <v>125.6883</v>
      </c>
      <c r="H172" s="3">
        <v>119.78</v>
      </c>
      <c r="I172" s="706"/>
      <c r="J172" s="707" t="str">
        <f t="shared" si="21"/>
        <v>Etsy Inc</v>
      </c>
      <c r="K172" s="708" t="str">
        <f t="shared" si="21"/>
        <v>ETSY</v>
      </c>
      <c r="L172" s="709">
        <f t="shared" si="15"/>
        <v>15054.946490480001</v>
      </c>
      <c r="M172" s="710">
        <f t="shared" si="16"/>
        <v>0</v>
      </c>
      <c r="N172" s="710">
        <f t="shared" si="17"/>
        <v>0.1431</v>
      </c>
      <c r="O172" s="711">
        <f t="shared" si="18"/>
        <v>0.1431</v>
      </c>
      <c r="P172" s="712">
        <f t="shared" si="19"/>
        <v>4.7012569443776527E-4</v>
      </c>
      <c r="Q172" s="713">
        <f t="shared" si="20"/>
        <v>6.7274986874044215E-5</v>
      </c>
    </row>
    <row r="173" spans="1:17">
      <c r="A173" s="3" t="s">
        <v>4545</v>
      </c>
      <c r="B173" s="3" t="s">
        <v>2486</v>
      </c>
      <c r="C173" s="3" t="s">
        <v>2334</v>
      </c>
      <c r="D173" s="3">
        <v>14441067908.679998</v>
      </c>
      <c r="E173" s="3">
        <v>3.6945812807881779</v>
      </c>
      <c r="F173" s="3">
        <v>5.12</v>
      </c>
      <c r="G173" s="3">
        <v>229.47829999999999</v>
      </c>
      <c r="H173" s="3">
        <v>62.93</v>
      </c>
      <c r="I173" s="706"/>
      <c r="J173" s="707" t="str">
        <f t="shared" si="21"/>
        <v>Evergy Inc</v>
      </c>
      <c r="K173" s="708" t="str">
        <f t="shared" si="21"/>
        <v>EVRG</v>
      </c>
      <c r="L173" s="709">
        <f t="shared" si="15"/>
        <v>14441.067908679999</v>
      </c>
      <c r="M173" s="710">
        <f t="shared" si="16"/>
        <v>3.6945812807881777E-2</v>
      </c>
      <c r="N173" s="710">
        <f t="shared" si="17"/>
        <v>5.1200000000000002E-2</v>
      </c>
      <c r="O173" s="711">
        <f t="shared" si="18"/>
        <v>8.9091625615763559E-2</v>
      </c>
      <c r="P173" s="712">
        <f t="shared" si="19"/>
        <v>4.5095590896216146E-4</v>
      </c>
      <c r="Q173" s="713">
        <f t="shared" si="20"/>
        <v>4.0176395010473241E-5</v>
      </c>
    </row>
    <row r="174" spans="1:17">
      <c r="A174" s="3" t="s">
        <v>1719</v>
      </c>
      <c r="B174" s="3" t="s">
        <v>2487</v>
      </c>
      <c r="C174" s="3" t="s">
        <v>1720</v>
      </c>
      <c r="D174" s="3">
        <v>46128415830.389999</v>
      </c>
      <c r="E174" s="3">
        <v>0</v>
      </c>
      <c r="F174" s="3">
        <v>12.030000000000001</v>
      </c>
      <c r="G174" s="3">
        <v>618.26049999999998</v>
      </c>
      <c r="H174" s="3">
        <v>74.61</v>
      </c>
      <c r="I174" s="706"/>
      <c r="J174" s="707" t="str">
        <f t="shared" si="21"/>
        <v>Edwards Lifesciences Corp</v>
      </c>
      <c r="K174" s="708" t="str">
        <f t="shared" si="21"/>
        <v>EW</v>
      </c>
      <c r="L174" s="709">
        <f t="shared" si="15"/>
        <v>46128.415830389997</v>
      </c>
      <c r="M174" s="710">
        <f t="shared" si="16"/>
        <v>0</v>
      </c>
      <c r="N174" s="710">
        <f t="shared" si="17"/>
        <v>0.12030000000000002</v>
      </c>
      <c r="O174" s="711">
        <f t="shared" si="18"/>
        <v>0.12030000000000002</v>
      </c>
      <c r="P174" s="712">
        <f t="shared" si="19"/>
        <v>1.4404669946378984E-3</v>
      </c>
      <c r="Q174" s="713">
        <f t="shared" si="20"/>
        <v>1.732881794549392E-4</v>
      </c>
    </row>
    <row r="175" spans="1:17">
      <c r="A175" s="3" t="s">
        <v>2901</v>
      </c>
      <c r="B175" s="3" t="s">
        <v>2488</v>
      </c>
      <c r="C175" s="3" t="s">
        <v>213</v>
      </c>
      <c r="D175" s="3">
        <v>42873656406.899994</v>
      </c>
      <c r="E175" s="3">
        <v>3.2338653712699519</v>
      </c>
      <c r="F175" s="3" t="s">
        <v>1483</v>
      </c>
      <c r="G175" s="3">
        <v>991.75699999999995</v>
      </c>
      <c r="H175" s="3">
        <v>43.23</v>
      </c>
      <c r="I175" s="706"/>
      <c r="J175" s="707" t="str">
        <f t="shared" si="21"/>
        <v>Exelon Corp</v>
      </c>
      <c r="K175" s="708" t="str">
        <f t="shared" si="21"/>
        <v>EXC</v>
      </c>
      <c r="L175" s="709">
        <f t="shared" si="15"/>
        <v>42873.656406899994</v>
      </c>
      <c r="M175" s="710">
        <f t="shared" si="16"/>
        <v>3.2338653712699519E-2</v>
      </c>
      <c r="N175" s="710" t="str">
        <f t="shared" si="17"/>
        <v>N/A</v>
      </c>
      <c r="O175" s="711" t="str">
        <f t="shared" si="18"/>
        <v>N/A</v>
      </c>
      <c r="P175" s="712" t="str">
        <f t="shared" si="19"/>
        <v>N/A</v>
      </c>
      <c r="Q175" s="713" t="str">
        <f t="shared" si="20"/>
        <v>N/A</v>
      </c>
    </row>
    <row r="176" spans="1:17">
      <c r="A176" s="3" t="s">
        <v>1721</v>
      </c>
      <c r="B176" s="3" t="s">
        <v>4297</v>
      </c>
      <c r="C176" s="3" t="s">
        <v>1722</v>
      </c>
      <c r="D176" s="3">
        <v>16537453025.279999</v>
      </c>
      <c r="E176" s="3">
        <v>1.2779060816012318</v>
      </c>
      <c r="F176" s="3">
        <v>4.3</v>
      </c>
      <c r="G176" s="3">
        <v>159.13639999999998</v>
      </c>
      <c r="H176" s="3">
        <v>103.92</v>
      </c>
      <c r="I176" s="706"/>
      <c r="J176" s="707" t="str">
        <f t="shared" si="21"/>
        <v>Expeditors International of Washington Inc</v>
      </c>
      <c r="K176" s="708" t="str">
        <f t="shared" si="21"/>
        <v>EXPD</v>
      </c>
      <c r="L176" s="709">
        <f t="shared" si="15"/>
        <v>16537.45302528</v>
      </c>
      <c r="M176" s="710">
        <f t="shared" si="16"/>
        <v>1.2779060816012317E-2</v>
      </c>
      <c r="N176" s="710">
        <f t="shared" si="17"/>
        <v>4.2999999999999997E-2</v>
      </c>
      <c r="O176" s="711">
        <f t="shared" si="18"/>
        <v>5.6053810623556577E-2</v>
      </c>
      <c r="P176" s="712">
        <f t="shared" si="19"/>
        <v>5.1642040658583571E-4</v>
      </c>
      <c r="Q176" s="713">
        <f t="shared" si="20"/>
        <v>2.8947331672902524E-5</v>
      </c>
    </row>
    <row r="177" spans="1:17">
      <c r="A177" s="3" t="s">
        <v>1723</v>
      </c>
      <c r="B177" s="3" t="s">
        <v>2489</v>
      </c>
      <c r="C177" s="3" t="s">
        <v>1724</v>
      </c>
      <c r="D177" s="3">
        <v>13673560737.599998</v>
      </c>
      <c r="E177" s="3">
        <v>3.5388127853881284E-2</v>
      </c>
      <c r="F177" s="3">
        <v>10</v>
      </c>
      <c r="G177" s="3">
        <v>150.56739999999999</v>
      </c>
      <c r="H177" s="3">
        <v>87.6</v>
      </c>
      <c r="I177" s="706"/>
      <c r="J177" s="707" t="str">
        <f t="shared" si="21"/>
        <v>Expedia Group Inc</v>
      </c>
      <c r="K177" s="708" t="str">
        <f t="shared" si="21"/>
        <v>EXPE</v>
      </c>
      <c r="L177" s="709">
        <f t="shared" si="15"/>
        <v>13673.560737599999</v>
      </c>
      <c r="M177" s="710">
        <f t="shared" si="16"/>
        <v>3.5388127853881285E-4</v>
      </c>
      <c r="N177" s="710">
        <f t="shared" si="17"/>
        <v>0.1</v>
      </c>
      <c r="O177" s="711">
        <f t="shared" si="18"/>
        <v>0.10037157534246575</v>
      </c>
      <c r="P177" s="712">
        <f t="shared" si="19"/>
        <v>4.269887137271523E-4</v>
      </c>
      <c r="Q177" s="713">
        <f t="shared" si="20"/>
        <v>4.285752985024741E-5</v>
      </c>
    </row>
    <row r="178" spans="1:17">
      <c r="A178" s="3" t="s">
        <v>1725</v>
      </c>
      <c r="B178" s="3" t="s">
        <v>2490</v>
      </c>
      <c r="C178" s="3" t="s">
        <v>1726</v>
      </c>
      <c r="D178" s="3">
        <v>19710570491.040001</v>
      </c>
      <c r="E178" s="3">
        <v>4.0433482810164421</v>
      </c>
      <c r="F178" s="3">
        <v>7.085</v>
      </c>
      <c r="G178" s="3">
        <v>133.92149999999998</v>
      </c>
      <c r="H178" s="3">
        <v>147.18</v>
      </c>
      <c r="I178" s="706"/>
      <c r="J178" s="707" t="str">
        <f t="shared" si="21"/>
        <v>Extra Space Storage Inc</v>
      </c>
      <c r="K178" s="708" t="str">
        <f t="shared" si="21"/>
        <v>EXR</v>
      </c>
      <c r="L178" s="709">
        <f t="shared" si="15"/>
        <v>19710.570491040002</v>
      </c>
      <c r="M178" s="710">
        <f t="shared" si="16"/>
        <v>4.0433482810164421E-2</v>
      </c>
      <c r="N178" s="710">
        <f t="shared" si="17"/>
        <v>7.0849999999999996E-2</v>
      </c>
      <c r="O178" s="711">
        <f t="shared" si="18"/>
        <v>0.11271583893871449</v>
      </c>
      <c r="P178" s="712">
        <f t="shared" si="19"/>
        <v>6.1550837432230955E-4</v>
      </c>
      <c r="Q178" s="713">
        <f t="shared" si="20"/>
        <v>6.9377542785543437E-5</v>
      </c>
    </row>
    <row r="179" spans="1:17">
      <c r="A179" s="3" t="s">
        <v>1727</v>
      </c>
      <c r="B179" s="3" t="s">
        <v>2491</v>
      </c>
      <c r="C179" s="3" t="s">
        <v>1728</v>
      </c>
      <c r="D179" s="3">
        <v>46758346371.370003</v>
      </c>
      <c r="E179" s="3">
        <v>4.2390369733447972</v>
      </c>
      <c r="F179" s="3">
        <v>16.25</v>
      </c>
      <c r="G179" s="3">
        <v>3949.6419999999998</v>
      </c>
      <c r="H179" s="3">
        <v>11.63</v>
      </c>
      <c r="I179" s="706"/>
      <c r="J179" s="707" t="str">
        <f t="shared" si="21"/>
        <v>Ford Motor Co</v>
      </c>
      <c r="K179" s="708" t="str">
        <f t="shared" si="21"/>
        <v>F</v>
      </c>
      <c r="L179" s="709">
        <f t="shared" si="15"/>
        <v>46758.346371370004</v>
      </c>
      <c r="M179" s="710">
        <f t="shared" si="16"/>
        <v>4.2390369733447973E-2</v>
      </c>
      <c r="N179" s="710">
        <f t="shared" si="17"/>
        <v>0.16250000000000001</v>
      </c>
      <c r="O179" s="711">
        <f t="shared" si="18"/>
        <v>0.20833458727429063</v>
      </c>
      <c r="P179" s="712">
        <f t="shared" si="19"/>
        <v>1.4601380398463985E-3</v>
      </c>
      <c r="Q179" s="713">
        <f t="shared" si="20"/>
        <v>3.0419725589489113E-4</v>
      </c>
    </row>
    <row r="180" spans="1:17">
      <c r="A180" s="3" t="s">
        <v>2492</v>
      </c>
      <c r="B180" s="3" t="s">
        <v>2493</v>
      </c>
      <c r="C180" s="3" t="s">
        <v>2494</v>
      </c>
      <c r="D180" s="3">
        <v>24874616162.060001</v>
      </c>
      <c r="E180" s="3">
        <v>3.9084661500219333</v>
      </c>
      <c r="F180" s="3">
        <v>7.92</v>
      </c>
      <c r="G180" s="3">
        <v>181.8586</v>
      </c>
      <c r="H180" s="3">
        <v>136.78</v>
      </c>
      <c r="I180" s="706"/>
      <c r="J180" s="707" t="str">
        <f t="shared" si="21"/>
        <v>Diamondback Energy Inc</v>
      </c>
      <c r="K180" s="708" t="str">
        <f t="shared" si="21"/>
        <v>FANG</v>
      </c>
      <c r="L180" s="709">
        <f t="shared" si="15"/>
        <v>24874.61616206</v>
      </c>
      <c r="M180" s="710">
        <f t="shared" si="16"/>
        <v>3.9084661500219331E-2</v>
      </c>
      <c r="N180" s="710">
        <f t="shared" si="17"/>
        <v>7.9199999999999993E-2</v>
      </c>
      <c r="O180" s="711">
        <f t="shared" si="18"/>
        <v>0.119832414095628</v>
      </c>
      <c r="P180" s="712">
        <f t="shared" si="19"/>
        <v>7.7676770252595347E-4</v>
      </c>
      <c r="Q180" s="713">
        <f t="shared" si="20"/>
        <v>9.3081948985199652E-5</v>
      </c>
    </row>
    <row r="181" spans="1:17">
      <c r="A181" s="3" t="s">
        <v>1729</v>
      </c>
      <c r="B181" s="3" t="s">
        <v>2495</v>
      </c>
      <c r="C181" s="3" t="s">
        <v>1730</v>
      </c>
      <c r="D181" s="3">
        <v>27102997521.599998</v>
      </c>
      <c r="E181" s="3">
        <v>2.6373626373626373</v>
      </c>
      <c r="F181" s="3" t="s">
        <v>1483</v>
      </c>
      <c r="G181" s="3">
        <v>572.75990000000002</v>
      </c>
      <c r="H181" s="3">
        <v>47.32</v>
      </c>
      <c r="I181" s="706"/>
      <c r="J181" s="707" t="str">
        <f t="shared" si="21"/>
        <v>Fastenal Co</v>
      </c>
      <c r="K181" s="708" t="str">
        <f t="shared" si="21"/>
        <v>FAST</v>
      </c>
      <c r="L181" s="709">
        <f t="shared" si="15"/>
        <v>27102.997521599998</v>
      </c>
      <c r="M181" s="710">
        <f t="shared" si="16"/>
        <v>2.6373626373626374E-2</v>
      </c>
      <c r="N181" s="710" t="str">
        <f t="shared" si="17"/>
        <v>N/A</v>
      </c>
      <c r="O181" s="711" t="str">
        <f t="shared" si="18"/>
        <v>N/A</v>
      </c>
      <c r="P181" s="712" t="str">
        <f t="shared" si="19"/>
        <v>N/A</v>
      </c>
      <c r="Q181" s="713" t="str">
        <f t="shared" si="20"/>
        <v>N/A</v>
      </c>
    </row>
    <row r="182" spans="1:17">
      <c r="A182" s="3" t="s">
        <v>1731</v>
      </c>
      <c r="B182" s="3" t="s">
        <v>2496</v>
      </c>
      <c r="C182" s="3" t="s">
        <v>1732</v>
      </c>
      <c r="D182" s="3">
        <v>54314433258.000008</v>
      </c>
      <c r="E182" s="3">
        <v>1.5789473684210527</v>
      </c>
      <c r="F182" s="3">
        <v>-12.83</v>
      </c>
      <c r="G182" s="3">
        <v>1429.327</v>
      </c>
      <c r="H182" s="3">
        <v>38</v>
      </c>
      <c r="I182" s="706"/>
      <c r="J182" s="707" t="str">
        <f t="shared" si="21"/>
        <v>Freeport-McMoRan Inc</v>
      </c>
      <c r="K182" s="708" t="str">
        <f t="shared" si="21"/>
        <v>FCX</v>
      </c>
      <c r="L182" s="709">
        <f t="shared" si="15"/>
        <v>54314.433258000005</v>
      </c>
      <c r="M182" s="710">
        <f t="shared" si="16"/>
        <v>1.5789473684210527E-2</v>
      </c>
      <c r="N182" s="710">
        <f t="shared" si="17"/>
        <v>-0.1283</v>
      </c>
      <c r="O182" s="711">
        <f t="shared" si="18"/>
        <v>-0.11352342105263158</v>
      </c>
      <c r="P182" s="712">
        <f t="shared" si="19"/>
        <v>1.6960944145206843E-3</v>
      </c>
      <c r="Q182" s="713">
        <f t="shared" si="20"/>
        <v>-1.9254644036464827E-4</v>
      </c>
    </row>
    <row r="183" spans="1:17">
      <c r="A183" s="3" t="s">
        <v>4298</v>
      </c>
      <c r="B183" s="3" t="s">
        <v>4299</v>
      </c>
      <c r="C183" s="3" t="s">
        <v>4156</v>
      </c>
      <c r="D183" s="3">
        <v>15285386043.779999</v>
      </c>
      <c r="E183" s="3">
        <v>0.90850178210911992</v>
      </c>
      <c r="F183" s="3">
        <v>10</v>
      </c>
      <c r="G183" s="3">
        <v>38.098219999999998</v>
      </c>
      <c r="H183" s="3">
        <v>401.21</v>
      </c>
      <c r="I183" s="706"/>
      <c r="J183" s="707" t="str">
        <f t="shared" si="21"/>
        <v>FactSet Research Systems Inc</v>
      </c>
      <c r="K183" s="708" t="str">
        <f t="shared" si="21"/>
        <v>FDS</v>
      </c>
      <c r="L183" s="709">
        <f t="shared" si="15"/>
        <v>15285.386043779999</v>
      </c>
      <c r="M183" s="710">
        <f t="shared" si="16"/>
        <v>9.0850178210911993E-3</v>
      </c>
      <c r="N183" s="710">
        <f t="shared" si="17"/>
        <v>0.1</v>
      </c>
      <c r="O183" s="711">
        <f t="shared" si="18"/>
        <v>0.10953926871214577</v>
      </c>
      <c r="P183" s="712">
        <f t="shared" si="19"/>
        <v>4.7732170507052286E-4</v>
      </c>
      <c r="Q183" s="713">
        <f t="shared" si="20"/>
        <v>5.2285470513859596E-5</v>
      </c>
    </row>
    <row r="184" spans="1:17">
      <c r="A184" s="3" t="s">
        <v>1733</v>
      </c>
      <c r="B184" s="3" t="s">
        <v>2497</v>
      </c>
      <c r="C184" s="3" t="s">
        <v>1734</v>
      </c>
      <c r="D184" s="3">
        <v>43715184647.999992</v>
      </c>
      <c r="E184" s="3">
        <v>2.6558891454965363</v>
      </c>
      <c r="F184" s="3">
        <v>6.3330000000000002</v>
      </c>
      <c r="G184" s="3">
        <v>252.39709999999999</v>
      </c>
      <c r="H184" s="3">
        <v>173.2</v>
      </c>
      <c r="I184" s="706"/>
      <c r="J184" s="707" t="str">
        <f t="shared" si="21"/>
        <v>FedEx Corp</v>
      </c>
      <c r="K184" s="708" t="str">
        <f t="shared" si="21"/>
        <v>FDX</v>
      </c>
      <c r="L184" s="709">
        <f t="shared" si="15"/>
        <v>43715.184647999995</v>
      </c>
      <c r="M184" s="710">
        <f t="shared" si="16"/>
        <v>2.6558891454965362E-2</v>
      </c>
      <c r="N184" s="710">
        <f t="shared" si="17"/>
        <v>6.3329999999999997E-2</v>
      </c>
      <c r="O184" s="711">
        <f t="shared" si="18"/>
        <v>9.0729878752886836E-2</v>
      </c>
      <c r="P184" s="712">
        <f t="shared" si="19"/>
        <v>1.3651082422054413E-3</v>
      </c>
      <c r="Q184" s="713">
        <f t="shared" si="20"/>
        <v>1.2385610529986617E-4</v>
      </c>
    </row>
    <row r="185" spans="1:17">
      <c r="A185" s="3" t="s">
        <v>1735</v>
      </c>
      <c r="B185" s="3" t="s">
        <v>2498</v>
      </c>
      <c r="C185" s="3" t="s">
        <v>200</v>
      </c>
      <c r="D185" s="3">
        <v>23979328998.299999</v>
      </c>
      <c r="E185" s="3">
        <v>3.7315212207916071</v>
      </c>
      <c r="F185" s="3">
        <v>6</v>
      </c>
      <c r="G185" s="3">
        <v>571.75319999999999</v>
      </c>
      <c r="H185" s="3">
        <v>41.94</v>
      </c>
      <c r="I185" s="706"/>
      <c r="J185" s="707" t="str">
        <f t="shared" si="21"/>
        <v>FirstEnergy Corp</v>
      </c>
      <c r="K185" s="708" t="str">
        <f t="shared" si="21"/>
        <v>FE</v>
      </c>
      <c r="L185" s="709">
        <f t="shared" si="15"/>
        <v>23979.3289983</v>
      </c>
      <c r="M185" s="710">
        <f t="shared" si="16"/>
        <v>3.7315212207916074E-2</v>
      </c>
      <c r="N185" s="710">
        <f t="shared" si="17"/>
        <v>0.06</v>
      </c>
      <c r="O185" s="711">
        <f t="shared" si="18"/>
        <v>9.8434668574153561E-2</v>
      </c>
      <c r="P185" s="712">
        <f t="shared" si="19"/>
        <v>7.4881028003693693E-4</v>
      </c>
      <c r="Q185" s="713">
        <f t="shared" si="20"/>
        <v>7.3708891740354999E-5</v>
      </c>
    </row>
    <row r="186" spans="1:17">
      <c r="A186" s="3" t="s">
        <v>1736</v>
      </c>
      <c r="B186" s="3" t="s">
        <v>4094</v>
      </c>
      <c r="C186" s="3" t="s">
        <v>1737</v>
      </c>
      <c r="D186" s="3">
        <v>8663499221.0999985</v>
      </c>
      <c r="E186" s="3">
        <v>0</v>
      </c>
      <c r="F186" s="3">
        <v>6.8900000000000006</v>
      </c>
      <c r="G186" s="3">
        <v>60.368609999999997</v>
      </c>
      <c r="H186" s="3">
        <v>143.51</v>
      </c>
      <c r="I186" s="706"/>
      <c r="J186" s="707" t="str">
        <f t="shared" si="21"/>
        <v>F5 Inc</v>
      </c>
      <c r="K186" s="708" t="str">
        <f t="shared" si="21"/>
        <v>FFIV</v>
      </c>
      <c r="L186" s="709">
        <f t="shared" si="15"/>
        <v>8663.499221099999</v>
      </c>
      <c r="M186" s="710">
        <f t="shared" si="16"/>
        <v>0</v>
      </c>
      <c r="N186" s="710">
        <f t="shared" si="17"/>
        <v>6.8900000000000003E-2</v>
      </c>
      <c r="O186" s="711">
        <f t="shared" si="18"/>
        <v>6.8900000000000003E-2</v>
      </c>
      <c r="P186" s="712">
        <f t="shared" si="19"/>
        <v>2.7053789863392715E-4</v>
      </c>
      <c r="Q186" s="713">
        <f t="shared" si="20"/>
        <v>1.864006121587758E-5</v>
      </c>
    </row>
    <row r="187" spans="1:17">
      <c r="A187" s="3" t="s">
        <v>1738</v>
      </c>
      <c r="B187" s="3" t="s">
        <v>4300</v>
      </c>
      <c r="C187" s="3" t="s">
        <v>1739</v>
      </c>
      <c r="D187" s="3">
        <v>40260796089.599998</v>
      </c>
      <c r="E187" s="3">
        <v>2.6897568165070012</v>
      </c>
      <c r="F187" s="3">
        <v>5.99</v>
      </c>
      <c r="G187" s="3">
        <v>593.37950000000001</v>
      </c>
      <c r="H187" s="3">
        <v>67.849999999999994</v>
      </c>
      <c r="I187" s="706"/>
      <c r="J187" s="707" t="str">
        <f t="shared" si="21"/>
        <v>Fidelity National Information Services Inc</v>
      </c>
      <c r="K187" s="708" t="str">
        <f t="shared" si="21"/>
        <v>FIS</v>
      </c>
      <c r="L187" s="709">
        <f t="shared" si="15"/>
        <v>40260.7960896</v>
      </c>
      <c r="M187" s="710">
        <f t="shared" si="16"/>
        <v>2.689756816507001E-2</v>
      </c>
      <c r="N187" s="710">
        <f t="shared" si="17"/>
        <v>5.9900000000000002E-2</v>
      </c>
      <c r="O187" s="711">
        <f t="shared" si="18"/>
        <v>8.7603150331613852E-2</v>
      </c>
      <c r="P187" s="712">
        <f t="shared" si="19"/>
        <v>1.2572369308791206E-3</v>
      </c>
      <c r="Q187" s="713">
        <f t="shared" si="20"/>
        <v>1.1013791585826043E-4</v>
      </c>
    </row>
    <row r="188" spans="1:17">
      <c r="A188" s="3" t="s">
        <v>1740</v>
      </c>
      <c r="B188" s="3" t="s">
        <v>2499</v>
      </c>
      <c r="C188" s="3" t="s">
        <v>1741</v>
      </c>
      <c r="D188" s="3">
        <v>64182287641.32</v>
      </c>
      <c r="E188" s="3">
        <v>0</v>
      </c>
      <c r="F188" s="3">
        <v>10.85</v>
      </c>
      <c r="G188" s="3">
        <v>635.02809999999999</v>
      </c>
      <c r="H188" s="3">
        <v>101.07</v>
      </c>
      <c r="I188" s="706"/>
      <c r="J188" s="707" t="str">
        <f t="shared" si="21"/>
        <v>Fiserv Inc</v>
      </c>
      <c r="K188" s="708" t="str">
        <f t="shared" si="21"/>
        <v>FISV</v>
      </c>
      <c r="L188" s="709">
        <f t="shared" si="15"/>
        <v>64182.287641319999</v>
      </c>
      <c r="M188" s="710">
        <f t="shared" si="16"/>
        <v>0</v>
      </c>
      <c r="N188" s="710">
        <f t="shared" si="17"/>
        <v>0.1085</v>
      </c>
      <c r="O188" s="711">
        <f t="shared" si="18"/>
        <v>0.1085</v>
      </c>
      <c r="P188" s="712">
        <f t="shared" si="19"/>
        <v>2.0042411022224713E-3</v>
      </c>
      <c r="Q188" s="713">
        <f t="shared" si="20"/>
        <v>2.1746015959113812E-4</v>
      </c>
    </row>
    <row r="189" spans="1:17">
      <c r="A189" s="3" t="s">
        <v>1742</v>
      </c>
      <c r="B189" s="3" t="s">
        <v>2500</v>
      </c>
      <c r="C189" s="3" t="s">
        <v>1743</v>
      </c>
      <c r="D189" s="3">
        <v>22520658206.459999</v>
      </c>
      <c r="E189" s="3">
        <v>3.8402925937214261</v>
      </c>
      <c r="F189" s="3">
        <v>25</v>
      </c>
      <c r="G189" s="3">
        <v>686.39620000000002</v>
      </c>
      <c r="H189" s="3">
        <v>32.81</v>
      </c>
      <c r="I189" s="706"/>
      <c r="J189" s="707" t="str">
        <f t="shared" si="21"/>
        <v>Fifth Third Bancorp</v>
      </c>
      <c r="K189" s="708" t="str">
        <f t="shared" si="21"/>
        <v>FITB</v>
      </c>
      <c r="L189" s="709">
        <f t="shared" si="15"/>
        <v>22520.658206460001</v>
      </c>
      <c r="M189" s="710">
        <f t="shared" si="16"/>
        <v>3.8402925937214262E-2</v>
      </c>
      <c r="N189" s="710">
        <f t="shared" si="17"/>
        <v>0.25</v>
      </c>
      <c r="O189" s="711">
        <f t="shared" si="18"/>
        <v>0.29320329167936604</v>
      </c>
      <c r="P189" s="712">
        <f t="shared" si="19"/>
        <v>7.0325989436113899E-4</v>
      </c>
      <c r="Q189" s="713">
        <f t="shared" si="20"/>
        <v>2.0619811593276918E-4</v>
      </c>
    </row>
    <row r="190" spans="1:17">
      <c r="A190" s="3" t="s">
        <v>2501</v>
      </c>
      <c r="B190" s="3" t="s">
        <v>2502</v>
      </c>
      <c r="C190" s="3" t="s">
        <v>2503</v>
      </c>
      <c r="D190" s="3">
        <v>13546833852.160002</v>
      </c>
      <c r="E190" s="3">
        <v>0</v>
      </c>
      <c r="F190" s="3">
        <v>15.645</v>
      </c>
      <c r="G190" s="3">
        <v>73.752359999999996</v>
      </c>
      <c r="H190" s="3">
        <v>183.68</v>
      </c>
      <c r="I190" s="706"/>
      <c r="J190" s="707" t="str">
        <f t="shared" si="21"/>
        <v>FleetCor Technologies Inc</v>
      </c>
      <c r="K190" s="708" t="str">
        <f t="shared" si="21"/>
        <v>FLT</v>
      </c>
      <c r="L190" s="709">
        <f t="shared" si="15"/>
        <v>13546.833852160002</v>
      </c>
      <c r="M190" s="710">
        <f t="shared" si="16"/>
        <v>0</v>
      </c>
      <c r="N190" s="710">
        <f t="shared" si="17"/>
        <v>0.15645000000000001</v>
      </c>
      <c r="O190" s="711">
        <f t="shared" si="18"/>
        <v>0.15645000000000001</v>
      </c>
      <c r="P190" s="712">
        <f t="shared" si="19"/>
        <v>4.2303137219431539E-4</v>
      </c>
      <c r="Q190" s="713">
        <f t="shared" si="20"/>
        <v>6.6183258179800645E-5</v>
      </c>
    </row>
    <row r="191" spans="1:17">
      <c r="A191" s="3" t="s">
        <v>1744</v>
      </c>
      <c r="B191" s="3" t="s">
        <v>2504</v>
      </c>
      <c r="C191" s="3" t="s">
        <v>1745</v>
      </c>
      <c r="D191" s="3">
        <v>15720547190.4</v>
      </c>
      <c r="E191" s="3">
        <v>1.6858974358974359</v>
      </c>
      <c r="F191" s="3">
        <v>9.1330000000000009</v>
      </c>
      <c r="G191" s="3">
        <v>125.96589999999999</v>
      </c>
      <c r="H191" s="3">
        <v>124.8</v>
      </c>
      <c r="I191" s="706"/>
      <c r="J191" s="707" t="str">
        <f t="shared" si="21"/>
        <v>FMC Corp</v>
      </c>
      <c r="K191" s="708" t="str">
        <f t="shared" si="21"/>
        <v>FMC</v>
      </c>
      <c r="L191" s="709">
        <f t="shared" si="15"/>
        <v>15720.547190399999</v>
      </c>
      <c r="M191" s="710">
        <f t="shared" si="16"/>
        <v>1.6858974358974359E-2</v>
      </c>
      <c r="N191" s="710">
        <f t="shared" si="17"/>
        <v>9.1330000000000008E-2</v>
      </c>
      <c r="O191" s="711">
        <f t="shared" si="18"/>
        <v>0.10895883942307694</v>
      </c>
      <c r="P191" s="712">
        <f t="shared" si="19"/>
        <v>4.9091062326272149E-4</v>
      </c>
      <c r="Q191" s="713">
        <f t="shared" si="20"/>
        <v>5.3489051771165489E-5</v>
      </c>
    </row>
    <row r="192" spans="1:17">
      <c r="A192" s="3" t="s">
        <v>3987</v>
      </c>
      <c r="B192" s="3" t="s">
        <v>2505</v>
      </c>
      <c r="C192" s="3" t="s">
        <v>3988</v>
      </c>
      <c r="D192" s="3">
        <v>16020383676.380003</v>
      </c>
      <c r="E192" s="3">
        <v>1.685874217978268</v>
      </c>
      <c r="F192" s="3">
        <v>12.290000000000001</v>
      </c>
      <c r="G192" s="3">
        <v>302.47460000000001</v>
      </c>
      <c r="H192" s="3">
        <v>30.37</v>
      </c>
      <c r="I192" s="706"/>
      <c r="J192" s="707" t="str">
        <f t="shared" si="21"/>
        <v>Fox Corp</v>
      </c>
      <c r="K192" s="708" t="str">
        <f t="shared" si="21"/>
        <v>FOXA</v>
      </c>
      <c r="L192" s="709">
        <f t="shared" si="15"/>
        <v>16020.383676380003</v>
      </c>
      <c r="M192" s="710">
        <f t="shared" si="16"/>
        <v>1.6858742179782681E-2</v>
      </c>
      <c r="N192" s="710">
        <f t="shared" si="17"/>
        <v>0.12290000000000001</v>
      </c>
      <c r="O192" s="711">
        <f t="shared" si="18"/>
        <v>0.14079471188673034</v>
      </c>
      <c r="P192" s="712">
        <f t="shared" si="19"/>
        <v>5.0027371440876215E-4</v>
      </c>
      <c r="Q192" s="713">
        <f t="shared" si="20"/>
        <v>7.0435893484686085E-5</v>
      </c>
    </row>
    <row r="193" spans="1:17">
      <c r="A193" s="3" t="s">
        <v>2506</v>
      </c>
      <c r="B193" s="3" t="s">
        <v>2507</v>
      </c>
      <c r="C193" s="3" t="s">
        <v>2508</v>
      </c>
      <c r="D193" s="3">
        <v>22296773714.970001</v>
      </c>
      <c r="E193" s="3">
        <v>0.84912626138321423</v>
      </c>
      <c r="F193" s="3">
        <v>4.3049999999999997</v>
      </c>
      <c r="G193" s="3">
        <v>182.9254</v>
      </c>
      <c r="H193" s="3">
        <v>121.89</v>
      </c>
      <c r="I193" s="706"/>
      <c r="J193" s="707" t="str">
        <f t="shared" si="21"/>
        <v>First Republic Bank/CA</v>
      </c>
      <c r="K193" s="708" t="str">
        <f t="shared" si="21"/>
        <v>FRC</v>
      </c>
      <c r="L193" s="709">
        <f t="shared" si="15"/>
        <v>22296.773714970001</v>
      </c>
      <c r="M193" s="710">
        <f t="shared" si="16"/>
        <v>8.4912626138321425E-3</v>
      </c>
      <c r="N193" s="710">
        <f t="shared" si="17"/>
        <v>4.3049999999999998E-2</v>
      </c>
      <c r="O193" s="711">
        <f t="shared" si="18"/>
        <v>5.1724037041594881E-2</v>
      </c>
      <c r="P193" s="712">
        <f t="shared" si="19"/>
        <v>6.962685807684843E-4</v>
      </c>
      <c r="Q193" s="713">
        <f t="shared" si="20"/>
        <v>3.6013821862567777E-5</v>
      </c>
    </row>
    <row r="194" spans="1:17">
      <c r="A194" s="3" t="s">
        <v>1746</v>
      </c>
      <c r="B194" s="3" t="s">
        <v>2509</v>
      </c>
      <c r="C194" s="3" t="s">
        <v>1747</v>
      </c>
      <c r="D194" s="3">
        <v>8205405758.1600008</v>
      </c>
      <c r="E194" s="3">
        <v>4.2666270783847979</v>
      </c>
      <c r="F194" s="3">
        <v>6.58</v>
      </c>
      <c r="G194" s="3">
        <v>81.209479999999999</v>
      </c>
      <c r="H194" s="3">
        <v>101.04</v>
      </c>
      <c r="I194" s="706"/>
      <c r="J194" s="707" t="str">
        <f t="shared" si="21"/>
        <v>Federal Realty Investment Trust</v>
      </c>
      <c r="K194" s="708" t="str">
        <f t="shared" si="21"/>
        <v>FRT</v>
      </c>
      <c r="L194" s="709">
        <f t="shared" si="15"/>
        <v>8205.4057581600009</v>
      </c>
      <c r="M194" s="710">
        <f t="shared" si="16"/>
        <v>4.2666270783847979E-2</v>
      </c>
      <c r="N194" s="710">
        <f t="shared" si="17"/>
        <v>6.5799999999999997E-2</v>
      </c>
      <c r="O194" s="711">
        <f t="shared" si="18"/>
        <v>0.10986999109263657</v>
      </c>
      <c r="P194" s="712">
        <f t="shared" si="19"/>
        <v>2.5623286556600815E-4</v>
      </c>
      <c r="Q194" s="713">
        <f t="shared" si="20"/>
        <v>2.8152302657378056E-5</v>
      </c>
    </row>
    <row r="195" spans="1:17">
      <c r="A195" s="3" t="s">
        <v>4546</v>
      </c>
      <c r="B195" s="3" t="s">
        <v>4547</v>
      </c>
      <c r="C195" s="3" t="s">
        <v>4548</v>
      </c>
      <c r="D195" s="3">
        <v>15968454321.9</v>
      </c>
      <c r="E195" s="3">
        <v>0</v>
      </c>
      <c r="F195" s="3">
        <v>38.055</v>
      </c>
      <c r="G195" s="3">
        <v>106.6056</v>
      </c>
      <c r="H195" s="3">
        <v>149.79</v>
      </c>
      <c r="I195" s="706"/>
      <c r="J195" s="707" t="str">
        <f t="shared" si="21"/>
        <v>First Solar Inc</v>
      </c>
      <c r="K195" s="708" t="str">
        <f t="shared" si="21"/>
        <v>FSLR</v>
      </c>
      <c r="L195" s="709">
        <f t="shared" ref="L195:L258" si="22">D195/1000000</f>
        <v>15968.454321899999</v>
      </c>
      <c r="M195" s="710">
        <f t="shared" ref="M195:M258" si="23">IFERROR(E195/100,"0.00%")</f>
        <v>0</v>
      </c>
      <c r="N195" s="710">
        <f t="shared" ref="N195:N258" si="24">IFERROR(F195/100,"N/A")</f>
        <v>0.38055</v>
      </c>
      <c r="O195" s="711">
        <f t="shared" ref="O195:O258" si="25">IFERROR(M195*(1+0.5*N195)+N195,"N/A")</f>
        <v>0.38055</v>
      </c>
      <c r="P195" s="712">
        <f t="shared" ref="P195:P258" si="26">IF(N195="N/A","N/A",L195/$L$504)</f>
        <v>4.9865209962241571E-4</v>
      </c>
      <c r="Q195" s="713">
        <f t="shared" ref="Q195:Q258" si="27">IF(AND(ISNUMBER(L195),ISNUMBER(O195)),O195*P195,"N/A")</f>
        <v>1.8976205651131031E-4</v>
      </c>
    </row>
    <row r="196" spans="1:17">
      <c r="A196" s="3" t="s">
        <v>2510</v>
      </c>
      <c r="B196" s="3" t="s">
        <v>2511</v>
      </c>
      <c r="C196" s="3" t="s">
        <v>2512</v>
      </c>
      <c r="D196" s="3">
        <v>38194628577.790001</v>
      </c>
      <c r="E196" s="3">
        <v>0</v>
      </c>
      <c r="F196" s="3">
        <v>22.867000000000001</v>
      </c>
      <c r="G196" s="3">
        <v>781.23599999999999</v>
      </c>
      <c r="H196" s="3">
        <v>48.89</v>
      </c>
      <c r="I196" s="706"/>
      <c r="J196" s="707" t="str">
        <f t="shared" ref="J196:K259" si="28">B196</f>
        <v>Fortinet Inc</v>
      </c>
      <c r="K196" s="708" t="str">
        <f t="shared" si="28"/>
        <v>FTNT</v>
      </c>
      <c r="L196" s="709">
        <f t="shared" si="22"/>
        <v>38194.628577789998</v>
      </c>
      <c r="M196" s="710">
        <f t="shared" si="23"/>
        <v>0</v>
      </c>
      <c r="N196" s="710">
        <f t="shared" si="24"/>
        <v>0.22867000000000001</v>
      </c>
      <c r="O196" s="711">
        <f t="shared" si="25"/>
        <v>0.22867000000000001</v>
      </c>
      <c r="P196" s="712">
        <f t="shared" si="26"/>
        <v>1.1927160481958999E-3</v>
      </c>
      <c r="Q196" s="713">
        <f t="shared" si="27"/>
        <v>2.7273837874095642E-4</v>
      </c>
    </row>
    <row r="197" spans="1:17">
      <c r="A197" s="3" t="s">
        <v>1748</v>
      </c>
      <c r="B197" s="3" t="s">
        <v>2513</v>
      </c>
      <c r="C197" s="3" t="s">
        <v>1749</v>
      </c>
      <c r="D197" s="3">
        <v>22732180255.249996</v>
      </c>
      <c r="E197" s="3">
        <v>0.44046692607003896</v>
      </c>
      <c r="F197" s="3">
        <v>9.3550000000000004</v>
      </c>
      <c r="G197" s="3">
        <v>353.80829999999997</v>
      </c>
      <c r="H197" s="3">
        <v>64.25</v>
      </c>
      <c r="I197" s="706"/>
      <c r="J197" s="707" t="str">
        <f t="shared" si="28"/>
        <v>Fortive Corp</v>
      </c>
      <c r="K197" s="708" t="str">
        <f t="shared" si="28"/>
        <v>FTV</v>
      </c>
      <c r="L197" s="709">
        <f t="shared" si="22"/>
        <v>22732.180255249998</v>
      </c>
      <c r="M197" s="710">
        <f t="shared" si="23"/>
        <v>4.4046692607003892E-3</v>
      </c>
      <c r="N197" s="710">
        <f t="shared" si="24"/>
        <v>9.3550000000000008E-2</v>
      </c>
      <c r="O197" s="711">
        <f t="shared" si="25"/>
        <v>9.8160697665369653E-2</v>
      </c>
      <c r="P197" s="712">
        <f t="shared" si="26"/>
        <v>7.0986516194805323E-4</v>
      </c>
      <c r="Q197" s="713">
        <f t="shared" si="27"/>
        <v>6.9680859545161525E-5</v>
      </c>
    </row>
    <row r="198" spans="1:17">
      <c r="A198" s="3" t="s">
        <v>1750</v>
      </c>
      <c r="B198" s="3" t="s">
        <v>2514</v>
      </c>
      <c r="C198" s="3" t="s">
        <v>1751</v>
      </c>
      <c r="D198" s="3">
        <v>68118342713.710007</v>
      </c>
      <c r="E198" s="3">
        <v>2.0265204949417597</v>
      </c>
      <c r="F198" s="3">
        <v>11.275</v>
      </c>
      <c r="G198" s="3">
        <v>274.54899999999998</v>
      </c>
      <c r="H198" s="3">
        <v>248.11</v>
      </c>
      <c r="I198" s="706"/>
      <c r="J198" s="707" t="str">
        <f t="shared" si="28"/>
        <v>General Dynamics Corp</v>
      </c>
      <c r="K198" s="708" t="str">
        <f t="shared" si="28"/>
        <v>GD</v>
      </c>
      <c r="L198" s="709">
        <f t="shared" si="22"/>
        <v>68118.342713710008</v>
      </c>
      <c r="M198" s="710">
        <f t="shared" si="23"/>
        <v>2.0265204949417595E-2</v>
      </c>
      <c r="N198" s="710">
        <f t="shared" si="24"/>
        <v>0.11275</v>
      </c>
      <c r="O198" s="711">
        <f t="shared" si="25"/>
        <v>0.13415765587844103</v>
      </c>
      <c r="P198" s="712">
        <f t="shared" si="26"/>
        <v>2.1271535699235533E-3</v>
      </c>
      <c r="Q198" s="713">
        <f t="shared" si="27"/>
        <v>2.8537393663440139E-4</v>
      </c>
    </row>
    <row r="199" spans="1:17">
      <c r="A199" s="3" t="s">
        <v>1752</v>
      </c>
      <c r="B199" s="3" t="s">
        <v>2515</v>
      </c>
      <c r="C199" s="3" t="s">
        <v>1753</v>
      </c>
      <c r="D199" s="3">
        <v>91554663450.600006</v>
      </c>
      <c r="E199" s="3">
        <v>0.45709511874925401</v>
      </c>
      <c r="F199" s="3">
        <v>8.5</v>
      </c>
      <c r="G199" s="3">
        <v>1092.6679999999999</v>
      </c>
      <c r="H199" s="3">
        <v>83.79</v>
      </c>
      <c r="I199" s="706"/>
      <c r="J199" s="707" t="str">
        <f t="shared" si="28"/>
        <v>General Electric Co</v>
      </c>
      <c r="K199" s="708" t="str">
        <f t="shared" si="28"/>
        <v>GE</v>
      </c>
      <c r="L199" s="709">
        <f t="shared" si="22"/>
        <v>91554.663450600012</v>
      </c>
      <c r="M199" s="710">
        <f t="shared" si="23"/>
        <v>4.5709511874925399E-3</v>
      </c>
      <c r="N199" s="710">
        <f t="shared" si="24"/>
        <v>8.5000000000000006E-2</v>
      </c>
      <c r="O199" s="711">
        <f t="shared" si="25"/>
        <v>8.9765216612960982E-2</v>
      </c>
      <c r="P199" s="712">
        <f t="shared" si="26"/>
        <v>2.8590071549538195E-3</v>
      </c>
      <c r="Q199" s="713">
        <f t="shared" si="27"/>
        <v>2.5663939656243493E-4</v>
      </c>
    </row>
    <row r="200" spans="1:17">
      <c r="A200" s="3" t="s">
        <v>4549</v>
      </c>
      <c r="B200" s="3" t="s">
        <v>4550</v>
      </c>
      <c r="C200" s="3" t="s">
        <v>4551</v>
      </c>
      <c r="D200" s="3">
        <v>13958642249.83</v>
      </c>
      <c r="E200" s="3">
        <v>2.3565095660289312</v>
      </c>
      <c r="F200" s="3" t="s">
        <v>1483</v>
      </c>
      <c r="G200" s="3">
        <v>651.35989999999993</v>
      </c>
      <c r="H200" s="3">
        <v>21.43</v>
      </c>
      <c r="I200" s="706"/>
      <c r="J200" s="707" t="str">
        <f t="shared" si="28"/>
        <v>Gen Digital Inc</v>
      </c>
      <c r="K200" s="708" t="str">
        <f t="shared" si="28"/>
        <v>GEN</v>
      </c>
      <c r="L200" s="709">
        <f t="shared" si="22"/>
        <v>13958.64224983</v>
      </c>
      <c r="M200" s="710">
        <f t="shared" si="23"/>
        <v>2.3565095660289314E-2</v>
      </c>
      <c r="N200" s="710" t="str">
        <f t="shared" si="24"/>
        <v>N/A</v>
      </c>
      <c r="O200" s="711" t="str">
        <f t="shared" si="25"/>
        <v>N/A</v>
      </c>
      <c r="P200" s="712" t="str">
        <f t="shared" si="26"/>
        <v>N/A</v>
      </c>
      <c r="Q200" s="713" t="str">
        <f t="shared" si="27"/>
        <v>N/A</v>
      </c>
    </row>
    <row r="201" spans="1:17">
      <c r="A201" s="3" t="s">
        <v>1754</v>
      </c>
      <c r="B201" s="3" t="s">
        <v>2516</v>
      </c>
      <c r="C201" s="3" t="s">
        <v>1755</v>
      </c>
      <c r="D201" s="3">
        <v>107676834093.24998</v>
      </c>
      <c r="E201" s="3">
        <v>3.3104251601630752</v>
      </c>
      <c r="F201" s="3">
        <v>0.3</v>
      </c>
      <c r="G201" s="3">
        <v>1254.2439999999999</v>
      </c>
      <c r="H201" s="3">
        <v>85.85</v>
      </c>
      <c r="I201" s="706"/>
      <c r="J201" s="707" t="str">
        <f t="shared" si="28"/>
        <v>Gilead Sciences Inc</v>
      </c>
      <c r="K201" s="708" t="str">
        <f t="shared" si="28"/>
        <v>GILD</v>
      </c>
      <c r="L201" s="709">
        <f t="shared" si="22"/>
        <v>107676.83409324999</v>
      </c>
      <c r="M201" s="710">
        <f t="shared" si="23"/>
        <v>3.3104251601630753E-2</v>
      </c>
      <c r="N201" s="710">
        <f t="shared" si="24"/>
        <v>3.0000000000000001E-3</v>
      </c>
      <c r="O201" s="711">
        <f t="shared" si="25"/>
        <v>3.6153907979033201E-2</v>
      </c>
      <c r="P201" s="712">
        <f t="shared" si="26"/>
        <v>3.3624594039546934E-3</v>
      </c>
      <c r="Q201" s="713">
        <f t="shared" si="27"/>
        <v>1.2156604787381281E-4</v>
      </c>
    </row>
    <row r="202" spans="1:17">
      <c r="A202" s="3" t="s">
        <v>1756</v>
      </c>
      <c r="B202" s="3" t="s">
        <v>2517</v>
      </c>
      <c r="C202" s="3" t="s">
        <v>1757</v>
      </c>
      <c r="D202" s="3">
        <v>49438858620.449997</v>
      </c>
      <c r="E202" s="3">
        <v>2.5521765056648777</v>
      </c>
      <c r="F202" s="3">
        <v>7.3500000000000005</v>
      </c>
      <c r="G202" s="3">
        <v>589.61069999999995</v>
      </c>
      <c r="H202" s="3">
        <v>83.85</v>
      </c>
      <c r="I202" s="706"/>
      <c r="J202" s="707" t="str">
        <f t="shared" si="28"/>
        <v>General Mills Inc</v>
      </c>
      <c r="K202" s="708" t="str">
        <f t="shared" si="28"/>
        <v>GIS</v>
      </c>
      <c r="L202" s="709">
        <f t="shared" si="22"/>
        <v>49438.858620449995</v>
      </c>
      <c r="M202" s="710">
        <f t="shared" si="23"/>
        <v>2.5521765056648778E-2</v>
      </c>
      <c r="N202" s="710">
        <f t="shared" si="24"/>
        <v>7.350000000000001E-2</v>
      </c>
      <c r="O202" s="711">
        <f t="shared" si="25"/>
        <v>9.9959689922480638E-2</v>
      </c>
      <c r="P202" s="712">
        <f t="shared" si="26"/>
        <v>1.5438432647931987E-3</v>
      </c>
      <c r="Q202" s="713">
        <f t="shared" si="27"/>
        <v>1.543220940376383E-4</v>
      </c>
    </row>
    <row r="203" spans="1:17">
      <c r="A203" s="3" t="s">
        <v>2902</v>
      </c>
      <c r="B203" s="3" t="s">
        <v>2903</v>
      </c>
      <c r="C203" s="3" t="s">
        <v>2904</v>
      </c>
      <c r="D203" s="3">
        <v>11725926105.950001</v>
      </c>
      <c r="E203" s="3">
        <v>0.68602239734549986</v>
      </c>
      <c r="F203" s="3" t="s">
        <v>1483</v>
      </c>
      <c r="G203" s="3">
        <v>97.270229999999998</v>
      </c>
      <c r="H203" s="3">
        <v>120.55</v>
      </c>
      <c r="I203" s="706"/>
      <c r="J203" s="707" t="str">
        <f t="shared" si="28"/>
        <v>Globe Life Inc</v>
      </c>
      <c r="K203" s="708" t="str">
        <f t="shared" si="28"/>
        <v>GL</v>
      </c>
      <c r="L203" s="709">
        <f t="shared" si="22"/>
        <v>11725.92610595</v>
      </c>
      <c r="M203" s="710">
        <f t="shared" si="23"/>
        <v>6.8602239734549984E-3</v>
      </c>
      <c r="N203" s="710" t="str">
        <f t="shared" si="24"/>
        <v>N/A</v>
      </c>
      <c r="O203" s="711" t="str">
        <f t="shared" si="25"/>
        <v>N/A</v>
      </c>
      <c r="P203" s="712" t="str">
        <f t="shared" si="26"/>
        <v>N/A</v>
      </c>
      <c r="Q203" s="713" t="str">
        <f t="shared" si="27"/>
        <v>N/A</v>
      </c>
    </row>
    <row r="204" spans="1:17">
      <c r="A204" s="3" t="s">
        <v>1758</v>
      </c>
      <c r="B204" s="3" t="s">
        <v>2518</v>
      </c>
      <c r="C204" s="3" t="s">
        <v>1759</v>
      </c>
      <c r="D204" s="3">
        <v>27015215349.440002</v>
      </c>
      <c r="E204" s="3">
        <v>3.3688165309956171</v>
      </c>
      <c r="F204" s="3">
        <v>6.49</v>
      </c>
      <c r="G204" s="3">
        <v>845.81139999999994</v>
      </c>
      <c r="H204" s="3">
        <v>31.94</v>
      </c>
      <c r="I204" s="706"/>
      <c r="J204" s="707" t="str">
        <f t="shared" si="28"/>
        <v>Corning Inc</v>
      </c>
      <c r="K204" s="708" t="str">
        <f t="shared" si="28"/>
        <v>GLW</v>
      </c>
      <c r="L204" s="709">
        <f t="shared" si="22"/>
        <v>27015.215349440001</v>
      </c>
      <c r="M204" s="710">
        <f t="shared" si="23"/>
        <v>3.3688165309956171E-2</v>
      </c>
      <c r="N204" s="710">
        <f t="shared" si="24"/>
        <v>6.4899999999999999E-2</v>
      </c>
      <c r="O204" s="711">
        <f t="shared" si="25"/>
        <v>9.9681346274264254E-2</v>
      </c>
      <c r="P204" s="712">
        <f t="shared" si="26"/>
        <v>8.4361288727080163E-4</v>
      </c>
      <c r="Q204" s="713">
        <f t="shared" si="27"/>
        <v>8.4092468337472638E-5</v>
      </c>
    </row>
    <row r="205" spans="1:17">
      <c r="A205" s="3" t="s">
        <v>1760</v>
      </c>
      <c r="B205" s="3" t="s">
        <v>2519</v>
      </c>
      <c r="C205" s="3" t="s">
        <v>1761</v>
      </c>
      <c r="D205" s="3">
        <v>47792239914.68</v>
      </c>
      <c r="E205" s="3">
        <v>0.44589774078478001</v>
      </c>
      <c r="F205" s="3">
        <v>-0.14499999999999999</v>
      </c>
      <c r="G205" s="3">
        <v>1420.6969999999999</v>
      </c>
      <c r="H205" s="3">
        <v>33.64</v>
      </c>
      <c r="I205" s="706"/>
      <c r="J205" s="707" t="str">
        <f t="shared" si="28"/>
        <v>General Motors Co</v>
      </c>
      <c r="K205" s="708" t="str">
        <f t="shared" si="28"/>
        <v>GM</v>
      </c>
      <c r="L205" s="709">
        <f t="shared" si="22"/>
        <v>47792.239914680002</v>
      </c>
      <c r="M205" s="710">
        <f t="shared" si="23"/>
        <v>4.4589774078478001E-3</v>
      </c>
      <c r="N205" s="710">
        <f t="shared" si="24"/>
        <v>-1.4499999999999999E-3</v>
      </c>
      <c r="O205" s="711">
        <f t="shared" si="25"/>
        <v>3.0057446492271107E-3</v>
      </c>
      <c r="P205" s="712">
        <f t="shared" si="26"/>
        <v>1.4924237686818145E-3</v>
      </c>
      <c r="Q205" s="713">
        <f t="shared" si="27"/>
        <v>4.4858447570947228E-6</v>
      </c>
    </row>
    <row r="206" spans="1:17">
      <c r="A206" s="3" t="s">
        <v>3989</v>
      </c>
      <c r="B206" s="3" t="s">
        <v>3990</v>
      </c>
      <c r="C206" s="3" t="s">
        <v>3991</v>
      </c>
      <c r="D206" s="3">
        <v>6377455425.3200006</v>
      </c>
      <c r="E206" s="3">
        <v>0</v>
      </c>
      <c r="F206" s="3">
        <v>9.6669999999999998</v>
      </c>
      <c r="G206" s="3">
        <v>63.356399999999994</v>
      </c>
      <c r="H206" s="3">
        <v>100.66</v>
      </c>
      <c r="I206" s="706"/>
      <c r="J206" s="707" t="str">
        <f t="shared" si="28"/>
        <v>Generac Holdings Inc</v>
      </c>
      <c r="K206" s="708" t="str">
        <f t="shared" si="28"/>
        <v>GNRC</v>
      </c>
      <c r="L206" s="709">
        <f t="shared" si="22"/>
        <v>6377.4554253200004</v>
      </c>
      <c r="M206" s="710">
        <f t="shared" si="23"/>
        <v>0</v>
      </c>
      <c r="N206" s="710">
        <f t="shared" si="24"/>
        <v>9.6669999999999992E-2</v>
      </c>
      <c r="O206" s="711">
        <f t="shared" si="25"/>
        <v>9.6669999999999992E-2</v>
      </c>
      <c r="P206" s="712">
        <f t="shared" si="26"/>
        <v>1.9915086795362408E-4</v>
      </c>
      <c r="Q206" s="713">
        <f t="shared" si="27"/>
        <v>1.9251914405076837E-5</v>
      </c>
    </row>
    <row r="207" spans="1:17">
      <c r="A207" s="3" t="s">
        <v>4084</v>
      </c>
      <c r="B207" s="3" t="s">
        <v>2520</v>
      </c>
      <c r="C207" s="3" t="s">
        <v>4085</v>
      </c>
      <c r="D207" s="3">
        <v>1145224890000.0002</v>
      </c>
      <c r="E207" s="3">
        <v>0</v>
      </c>
      <c r="F207" s="3">
        <v>16.247</v>
      </c>
      <c r="G207" s="3">
        <v>6086</v>
      </c>
      <c r="H207" s="3">
        <v>88.73</v>
      </c>
      <c r="I207" s="706"/>
      <c r="J207" s="707" t="str">
        <f t="shared" si="28"/>
        <v>Alphabet Inc</v>
      </c>
      <c r="K207" s="708" t="str">
        <f t="shared" si="28"/>
        <v>GOOG</v>
      </c>
      <c r="L207" s="709">
        <f t="shared" si="22"/>
        <v>1145224.8900000001</v>
      </c>
      <c r="M207" s="710">
        <f t="shared" si="23"/>
        <v>0</v>
      </c>
      <c r="N207" s="710">
        <f t="shared" si="24"/>
        <v>0.16247</v>
      </c>
      <c r="O207" s="711">
        <f t="shared" si="25"/>
        <v>0.16247</v>
      </c>
      <c r="P207" s="712">
        <f t="shared" si="26"/>
        <v>3.5762308888917044E-2</v>
      </c>
      <c r="Q207" s="713">
        <f t="shared" si="27"/>
        <v>5.8103023251823522E-3</v>
      </c>
    </row>
    <row r="208" spans="1:17">
      <c r="A208" s="3" t="s">
        <v>1762</v>
      </c>
      <c r="B208" s="3" t="s">
        <v>2521</v>
      </c>
      <c r="C208" s="3" t="s">
        <v>1763</v>
      </c>
      <c r="D208" s="3">
        <v>24492905664.989998</v>
      </c>
      <c r="E208" s="3">
        <v>2.0569419629992507</v>
      </c>
      <c r="F208" s="3">
        <v>11.97</v>
      </c>
      <c r="G208" s="3">
        <v>141.16129999999998</v>
      </c>
      <c r="H208" s="3">
        <v>173.51</v>
      </c>
      <c r="I208" s="706"/>
      <c r="J208" s="707" t="str">
        <f t="shared" si="28"/>
        <v>Genuine Parts Co</v>
      </c>
      <c r="K208" s="708" t="str">
        <f t="shared" si="28"/>
        <v>GPC</v>
      </c>
      <c r="L208" s="709">
        <f t="shared" si="22"/>
        <v>24492.905664989998</v>
      </c>
      <c r="M208" s="710">
        <f t="shared" si="23"/>
        <v>2.0569419629992508E-2</v>
      </c>
      <c r="N208" s="710">
        <f t="shared" si="24"/>
        <v>0.1197</v>
      </c>
      <c r="O208" s="711">
        <f t="shared" si="25"/>
        <v>0.14150049939484755</v>
      </c>
      <c r="P208" s="712">
        <f t="shared" si="26"/>
        <v>7.6484790509441199E-4</v>
      </c>
      <c r="Q208" s="713">
        <f t="shared" si="27"/>
        <v>1.0822636053196225E-4</v>
      </c>
    </row>
    <row r="209" spans="1:17">
      <c r="A209" s="3" t="s">
        <v>1764</v>
      </c>
      <c r="B209" s="3" t="s">
        <v>2522</v>
      </c>
      <c r="C209" s="3" t="s">
        <v>1765</v>
      </c>
      <c r="D209" s="3">
        <v>26856241820.719994</v>
      </c>
      <c r="E209" s="3">
        <v>1.0068465565847766</v>
      </c>
      <c r="F209" s="3">
        <v>14.683</v>
      </c>
      <c r="G209" s="3">
        <v>270.40109999999999</v>
      </c>
      <c r="H209" s="3">
        <v>99.32</v>
      </c>
      <c r="I209" s="706"/>
      <c r="J209" s="707" t="str">
        <f t="shared" si="28"/>
        <v>Global Payments Inc</v>
      </c>
      <c r="K209" s="708" t="str">
        <f t="shared" si="28"/>
        <v>GPN</v>
      </c>
      <c r="L209" s="709">
        <f t="shared" si="22"/>
        <v>26856.241820719995</v>
      </c>
      <c r="M209" s="710">
        <f t="shared" si="23"/>
        <v>1.0068465565847767E-2</v>
      </c>
      <c r="N209" s="710">
        <f t="shared" si="24"/>
        <v>0.14682999999999999</v>
      </c>
      <c r="O209" s="711">
        <f t="shared" si="25"/>
        <v>0.15763764196536448</v>
      </c>
      <c r="P209" s="712">
        <f t="shared" si="26"/>
        <v>8.3864856935482804E-4</v>
      </c>
      <c r="Q209" s="713">
        <f t="shared" si="27"/>
        <v>1.3220258291072153E-4</v>
      </c>
    </row>
    <row r="210" spans="1:17">
      <c r="A210" s="3" t="s">
        <v>4301</v>
      </c>
      <c r="B210" s="3" t="s">
        <v>2523</v>
      </c>
      <c r="C210" s="3" t="s">
        <v>1766</v>
      </c>
      <c r="D210" s="3">
        <v>17688664376.57</v>
      </c>
      <c r="E210" s="3">
        <v>3.1140968685664756</v>
      </c>
      <c r="F210" s="3">
        <v>5.6000000000000005</v>
      </c>
      <c r="G210" s="3">
        <v>191.66389999999998</v>
      </c>
      <c r="H210" s="3">
        <v>92.29</v>
      </c>
      <c r="I210" s="706"/>
      <c r="J210" s="707" t="str">
        <f t="shared" si="28"/>
        <v>Garmin Ltd</v>
      </c>
      <c r="K210" s="708" t="str">
        <f t="shared" si="28"/>
        <v>GRMN</v>
      </c>
      <c r="L210" s="709">
        <f t="shared" si="22"/>
        <v>17688.664376569999</v>
      </c>
      <c r="M210" s="710">
        <f t="shared" si="23"/>
        <v>3.1140968685664756E-2</v>
      </c>
      <c r="N210" s="710">
        <f t="shared" si="24"/>
        <v>5.6000000000000008E-2</v>
      </c>
      <c r="O210" s="711">
        <f t="shared" si="25"/>
        <v>8.8012915808863376E-2</v>
      </c>
      <c r="P210" s="712">
        <f t="shared" si="26"/>
        <v>5.5236965664209371E-4</v>
      </c>
      <c r="Q210" s="713">
        <f t="shared" si="27"/>
        <v>4.8615664085411364E-5</v>
      </c>
    </row>
    <row r="211" spans="1:17">
      <c r="A211" s="3" t="s">
        <v>1767</v>
      </c>
      <c r="B211" s="3" t="s">
        <v>2524</v>
      </c>
      <c r="C211" s="3" t="s">
        <v>1768</v>
      </c>
      <c r="D211" s="3">
        <v>121294179396.89999</v>
      </c>
      <c r="E211" s="3">
        <v>2.6341079853223834</v>
      </c>
      <c r="F211" s="3">
        <v>-2.165</v>
      </c>
      <c r="G211" s="3">
        <v>338.63459999999998</v>
      </c>
      <c r="H211" s="3">
        <v>343.38</v>
      </c>
      <c r="I211" s="706"/>
      <c r="J211" s="707" t="str">
        <f t="shared" si="28"/>
        <v>Goldman Sachs Group Inc/The</v>
      </c>
      <c r="K211" s="708" t="str">
        <f t="shared" si="28"/>
        <v>GS</v>
      </c>
      <c r="L211" s="709">
        <f t="shared" si="22"/>
        <v>121294.1793969</v>
      </c>
      <c r="M211" s="710">
        <f t="shared" si="23"/>
        <v>2.6341079853223835E-2</v>
      </c>
      <c r="N211" s="710">
        <f t="shared" si="24"/>
        <v>-2.1649999999999999E-2</v>
      </c>
      <c r="O211" s="711">
        <f t="shared" si="25"/>
        <v>4.4059376638126875E-3</v>
      </c>
      <c r="P211" s="712">
        <f t="shared" si="26"/>
        <v>3.7876926601024671E-3</v>
      </c>
      <c r="Q211" s="713">
        <f t="shared" si="27"/>
        <v>1.6688337750092329E-5</v>
      </c>
    </row>
    <row r="212" spans="1:17">
      <c r="A212" s="3" t="s">
        <v>1769</v>
      </c>
      <c r="B212" s="3" t="s">
        <v>2525</v>
      </c>
      <c r="C212" s="3" t="s">
        <v>1770</v>
      </c>
      <c r="D212" s="3">
        <v>28106902543.75</v>
      </c>
      <c r="E212" s="3">
        <v>1.2188764044943821</v>
      </c>
      <c r="F212" s="3">
        <v>13</v>
      </c>
      <c r="G212" s="3">
        <v>50.529260000000001</v>
      </c>
      <c r="H212" s="3">
        <v>556.25</v>
      </c>
      <c r="I212" s="706"/>
      <c r="J212" s="707" t="str">
        <f t="shared" si="28"/>
        <v>WW Grainger Inc</v>
      </c>
      <c r="K212" s="708" t="str">
        <f t="shared" si="28"/>
        <v>GWW</v>
      </c>
      <c r="L212" s="709">
        <f t="shared" si="22"/>
        <v>28106.902543749999</v>
      </c>
      <c r="M212" s="710">
        <f t="shared" si="23"/>
        <v>1.2188764044943821E-2</v>
      </c>
      <c r="N212" s="710">
        <f t="shared" si="24"/>
        <v>0.13</v>
      </c>
      <c r="O212" s="711">
        <f t="shared" si="25"/>
        <v>0.14298103370786516</v>
      </c>
      <c r="P212" s="712">
        <f t="shared" si="26"/>
        <v>8.7770335718102984E-4</v>
      </c>
      <c r="Q212" s="713">
        <f t="shared" si="27"/>
        <v>1.2549493329860724E-4</v>
      </c>
    </row>
    <row r="213" spans="1:17">
      <c r="A213" s="3" t="s">
        <v>1771</v>
      </c>
      <c r="B213" s="3" t="s">
        <v>2526</v>
      </c>
      <c r="C213" s="3" t="s">
        <v>1772</v>
      </c>
      <c r="D213" s="3">
        <v>35731640674.950005</v>
      </c>
      <c r="E213" s="3">
        <v>1.2198221092757306</v>
      </c>
      <c r="F213" s="3">
        <v>21.815000000000001</v>
      </c>
      <c r="G213" s="3">
        <v>908.04679999999996</v>
      </c>
      <c r="H213" s="3">
        <v>39.35</v>
      </c>
      <c r="I213" s="706"/>
      <c r="J213" s="707" t="str">
        <f t="shared" si="28"/>
        <v>Halliburton Co</v>
      </c>
      <c r="K213" s="708" t="str">
        <f t="shared" si="28"/>
        <v>HAL</v>
      </c>
      <c r="L213" s="709">
        <f t="shared" si="22"/>
        <v>35731.640674950002</v>
      </c>
      <c r="M213" s="710">
        <f t="shared" si="23"/>
        <v>1.2198221092757306E-2</v>
      </c>
      <c r="N213" s="710">
        <f t="shared" si="24"/>
        <v>0.21815000000000001</v>
      </c>
      <c r="O213" s="711">
        <f t="shared" si="25"/>
        <v>0.23167874205844982</v>
      </c>
      <c r="P213" s="712">
        <f t="shared" si="26"/>
        <v>1.115803526524257E-3</v>
      </c>
      <c r="Q213" s="713">
        <f t="shared" si="27"/>
        <v>2.5850795740952199E-4</v>
      </c>
    </row>
    <row r="214" spans="1:17">
      <c r="A214" s="3" t="s">
        <v>1773</v>
      </c>
      <c r="B214" s="3" t="s">
        <v>2527</v>
      </c>
      <c r="C214" s="3" t="s">
        <v>1774</v>
      </c>
      <c r="D214" s="3">
        <v>8426318179.2199993</v>
      </c>
      <c r="E214" s="3">
        <v>4.5762989673823968</v>
      </c>
      <c r="F214" s="3">
        <v>-0.67500000000000004</v>
      </c>
      <c r="G214" s="3">
        <v>138.11369999999999</v>
      </c>
      <c r="H214" s="3">
        <v>61.01</v>
      </c>
      <c r="I214" s="706"/>
      <c r="J214" s="707" t="str">
        <f t="shared" si="28"/>
        <v>Hasbro Inc</v>
      </c>
      <c r="K214" s="708" t="str">
        <f t="shared" si="28"/>
        <v>HAS</v>
      </c>
      <c r="L214" s="709">
        <f t="shared" si="22"/>
        <v>8426.3181792199994</v>
      </c>
      <c r="M214" s="710">
        <f t="shared" si="23"/>
        <v>4.5762989673823966E-2</v>
      </c>
      <c r="N214" s="710">
        <f t="shared" si="24"/>
        <v>-6.7500000000000008E-3</v>
      </c>
      <c r="O214" s="711">
        <f t="shared" si="25"/>
        <v>3.8858539583674807E-2</v>
      </c>
      <c r="P214" s="712">
        <f t="shared" si="26"/>
        <v>2.6313136935188566E-4</v>
      </c>
      <c r="Q214" s="713">
        <f t="shared" si="27"/>
        <v>1.0224900731666805E-5</v>
      </c>
    </row>
    <row r="215" spans="1:17">
      <c r="A215" s="3" t="s">
        <v>1775</v>
      </c>
      <c r="B215" s="3" t="s">
        <v>2528</v>
      </c>
      <c r="C215" s="3" t="s">
        <v>1776</v>
      </c>
      <c r="D215" s="3">
        <v>20342552995.500004</v>
      </c>
      <c r="E215" s="3">
        <v>4.4326241134751774</v>
      </c>
      <c r="F215" s="3">
        <v>0.21</v>
      </c>
      <c r="G215" s="3">
        <v>1442.7339999999999</v>
      </c>
      <c r="H215" s="3">
        <v>14.1</v>
      </c>
      <c r="I215" s="706"/>
      <c r="J215" s="707" t="str">
        <f t="shared" si="28"/>
        <v>Huntington Bancshares Inc/OH</v>
      </c>
      <c r="K215" s="708" t="str">
        <f t="shared" si="28"/>
        <v>HBAN</v>
      </c>
      <c r="L215" s="709">
        <f t="shared" si="22"/>
        <v>20342.552995500002</v>
      </c>
      <c r="M215" s="710">
        <f t="shared" si="23"/>
        <v>4.4326241134751775E-2</v>
      </c>
      <c r="N215" s="710">
        <f t="shared" si="24"/>
        <v>2.0999999999999999E-3</v>
      </c>
      <c r="O215" s="711">
        <f t="shared" si="25"/>
        <v>4.6472783687943262E-2</v>
      </c>
      <c r="P215" s="712">
        <f t="shared" si="26"/>
        <v>6.3524349685958686E-4</v>
      </c>
      <c r="Q215" s="713">
        <f t="shared" si="27"/>
        <v>2.9521533618728246E-5</v>
      </c>
    </row>
    <row r="216" spans="1:17">
      <c r="A216" s="3" t="s">
        <v>1777</v>
      </c>
      <c r="B216" s="3" t="s">
        <v>2529</v>
      </c>
      <c r="C216" s="3" t="s">
        <v>1778</v>
      </c>
      <c r="D216" s="3">
        <v>67840699332</v>
      </c>
      <c r="E216" s="3">
        <v>0.92307051175195864</v>
      </c>
      <c r="F216" s="3">
        <v>4.76</v>
      </c>
      <c r="G216" s="3">
        <v>282.7167</v>
      </c>
      <c r="H216" s="3">
        <v>239.96</v>
      </c>
      <c r="I216" s="706"/>
      <c r="J216" s="707" t="str">
        <f t="shared" si="28"/>
        <v>HCA Healthcare Inc</v>
      </c>
      <c r="K216" s="708" t="str">
        <f t="shared" si="28"/>
        <v>HCA</v>
      </c>
      <c r="L216" s="709">
        <f t="shared" si="22"/>
        <v>67840.699332000004</v>
      </c>
      <c r="M216" s="710">
        <f t="shared" si="23"/>
        <v>9.2307051175195866E-3</v>
      </c>
      <c r="N216" s="710">
        <f t="shared" si="24"/>
        <v>4.7599999999999996E-2</v>
      </c>
      <c r="O216" s="711">
        <f t="shared" si="25"/>
        <v>5.7050395899316549E-2</v>
      </c>
      <c r="P216" s="712">
        <f t="shared" si="26"/>
        <v>2.1184835100389165E-3</v>
      </c>
      <c r="Q216" s="713">
        <f t="shared" si="27"/>
        <v>1.2086032295389392E-4</v>
      </c>
    </row>
    <row r="217" spans="1:17">
      <c r="A217" s="3" t="s">
        <v>1779</v>
      </c>
      <c r="B217" s="3" t="s">
        <v>2530</v>
      </c>
      <c r="C217" s="3" t="s">
        <v>1780</v>
      </c>
      <c r="D217" s="3">
        <v>321920096908.91998</v>
      </c>
      <c r="E217" s="3">
        <v>2.3997973785854492</v>
      </c>
      <c r="F217" s="3">
        <v>4.9800000000000004</v>
      </c>
      <c r="G217" s="3">
        <v>1019.1859999999999</v>
      </c>
      <c r="H217" s="3">
        <v>315.86</v>
      </c>
      <c r="I217" s="706"/>
      <c r="J217" s="707" t="str">
        <f t="shared" si="28"/>
        <v>Home Depot Inc/The</v>
      </c>
      <c r="K217" s="708" t="str">
        <f t="shared" si="28"/>
        <v>HD</v>
      </c>
      <c r="L217" s="709">
        <f t="shared" si="22"/>
        <v>321920.09690891998</v>
      </c>
      <c r="M217" s="710">
        <f t="shared" si="23"/>
        <v>2.3997973785854491E-2</v>
      </c>
      <c r="N217" s="710">
        <f t="shared" si="24"/>
        <v>4.9800000000000004E-2</v>
      </c>
      <c r="O217" s="711">
        <f t="shared" si="25"/>
        <v>7.4395523333122271E-2</v>
      </c>
      <c r="P217" s="712">
        <f t="shared" si="26"/>
        <v>1.005270322338777E-2</v>
      </c>
      <c r="Q217" s="713">
        <f t="shared" si="27"/>
        <v>7.478761172164983E-4</v>
      </c>
    </row>
    <row r="218" spans="1:17">
      <c r="A218" s="3" t="s">
        <v>1781</v>
      </c>
      <c r="B218" s="3" t="s">
        <v>2531</v>
      </c>
      <c r="C218" s="3" t="s">
        <v>1782</v>
      </c>
      <c r="D218" s="3">
        <v>43724306648.120003</v>
      </c>
      <c r="E218" s="3">
        <v>1.0238330277816952</v>
      </c>
      <c r="F218" s="3">
        <v>14.77</v>
      </c>
      <c r="G218" s="3">
        <v>308.30849999999998</v>
      </c>
      <c r="H218" s="3">
        <v>141.82</v>
      </c>
      <c r="I218" s="706"/>
      <c r="J218" s="707" t="str">
        <f t="shared" si="28"/>
        <v>Hess Corp</v>
      </c>
      <c r="K218" s="708" t="str">
        <f t="shared" si="28"/>
        <v>HES</v>
      </c>
      <c r="L218" s="709">
        <f t="shared" si="22"/>
        <v>43724.30664812</v>
      </c>
      <c r="M218" s="710">
        <f t="shared" si="23"/>
        <v>1.0238330277816952E-2</v>
      </c>
      <c r="N218" s="710">
        <f t="shared" si="24"/>
        <v>0.1477</v>
      </c>
      <c r="O218" s="711">
        <f t="shared" si="25"/>
        <v>0.15869443096883373</v>
      </c>
      <c r="P218" s="712">
        <f t="shared" si="26"/>
        <v>1.3653930978602782E-3</v>
      </c>
      <c r="Q218" s="713">
        <f t="shared" si="27"/>
        <v>2.1668028071370995E-4</v>
      </c>
    </row>
    <row r="219" spans="1:17">
      <c r="A219" s="3" t="s">
        <v>1783</v>
      </c>
      <c r="B219" s="3" t="s">
        <v>4302</v>
      </c>
      <c r="C219" s="3" t="s">
        <v>1784</v>
      </c>
      <c r="D219" s="3">
        <v>24121441786.069996</v>
      </c>
      <c r="E219" s="3">
        <v>2.0902017671106421</v>
      </c>
      <c r="F219" s="3">
        <v>7</v>
      </c>
      <c r="G219" s="3">
        <v>318.09889999999996</v>
      </c>
      <c r="H219" s="3">
        <v>75.83</v>
      </c>
      <c r="I219" s="706"/>
      <c r="J219" s="707" t="str">
        <f t="shared" si="28"/>
        <v>Hartford Financial Services Group Inc/The</v>
      </c>
      <c r="K219" s="708" t="str">
        <f t="shared" si="28"/>
        <v>HIG</v>
      </c>
      <c r="L219" s="709">
        <f t="shared" si="22"/>
        <v>24121.441786069994</v>
      </c>
      <c r="M219" s="710">
        <f t="shared" si="23"/>
        <v>2.0902017671106422E-2</v>
      </c>
      <c r="N219" s="710">
        <f t="shared" si="24"/>
        <v>7.0000000000000007E-2</v>
      </c>
      <c r="O219" s="711">
        <f t="shared" si="25"/>
        <v>9.1633588289595155E-2</v>
      </c>
      <c r="P219" s="712">
        <f t="shared" si="26"/>
        <v>7.532480821294985E-4</v>
      </c>
      <c r="Q219" s="713">
        <f t="shared" si="27"/>
        <v>6.9022824637781621E-5</v>
      </c>
    </row>
    <row r="220" spans="1:17">
      <c r="A220" s="3" t="s">
        <v>2302</v>
      </c>
      <c r="B220" s="3" t="s">
        <v>2532</v>
      </c>
      <c r="C220" s="3" t="s">
        <v>2298</v>
      </c>
      <c r="D220" s="3">
        <v>9204947684.4800014</v>
      </c>
      <c r="E220" s="3">
        <v>2.0795040749089648</v>
      </c>
      <c r="F220" s="3">
        <v>40</v>
      </c>
      <c r="G220" s="3">
        <v>39.90354</v>
      </c>
      <c r="H220" s="3">
        <v>230.68</v>
      </c>
      <c r="I220" s="706"/>
      <c r="J220" s="707" t="str">
        <f t="shared" si="28"/>
        <v>Huntington Ingalls Industries Inc</v>
      </c>
      <c r="K220" s="708" t="str">
        <f t="shared" si="28"/>
        <v>HII</v>
      </c>
      <c r="L220" s="709">
        <f>D220/1000000</f>
        <v>9204.947684480001</v>
      </c>
      <c r="M220" s="710">
        <f t="shared" si="23"/>
        <v>2.0795040749089649E-2</v>
      </c>
      <c r="N220" s="710">
        <f>IFERROR(F220/100,"N/A")</f>
        <v>0.4</v>
      </c>
      <c r="O220" s="711">
        <f t="shared" si="25"/>
        <v>0.42495404889890759</v>
      </c>
      <c r="P220" s="712">
        <f t="shared" si="26"/>
        <v>2.8744588532187375E-4</v>
      </c>
      <c r="Q220" s="713">
        <f t="shared" si="27"/>
        <v>1.2215129280686133E-4</v>
      </c>
    </row>
    <row r="221" spans="1:17">
      <c r="A221" s="3" t="s">
        <v>2276</v>
      </c>
      <c r="B221" s="3" t="s">
        <v>2533</v>
      </c>
      <c r="C221" s="3" t="s">
        <v>2277</v>
      </c>
      <c r="D221" s="3">
        <v>34174822308.119999</v>
      </c>
      <c r="E221" s="3">
        <v>0.36324786324786323</v>
      </c>
      <c r="F221" s="3">
        <v>45.725000000000001</v>
      </c>
      <c r="G221" s="3">
        <v>270.45599999999996</v>
      </c>
      <c r="H221" s="3">
        <v>126.36</v>
      </c>
      <c r="I221" s="706"/>
      <c r="J221" s="707" t="str">
        <f t="shared" si="28"/>
        <v>Hilton Worldwide Holdings Inc</v>
      </c>
      <c r="K221" s="708" t="str">
        <f t="shared" si="28"/>
        <v>HLT</v>
      </c>
      <c r="L221" s="709">
        <f t="shared" si="22"/>
        <v>34174.822308119998</v>
      </c>
      <c r="M221" s="710">
        <f t="shared" si="23"/>
        <v>3.6324786324786322E-3</v>
      </c>
      <c r="N221" s="710">
        <f t="shared" si="24"/>
        <v>0.45724999999999999</v>
      </c>
      <c r="O221" s="711">
        <f t="shared" si="25"/>
        <v>0.46171295405982904</v>
      </c>
      <c r="P221" s="712">
        <f t="shared" si="26"/>
        <v>1.0671882547076323E-3</v>
      </c>
      <c r="Q221" s="713">
        <f t="shared" si="27"/>
        <v>4.927346416190142E-4</v>
      </c>
    </row>
    <row r="222" spans="1:17">
      <c r="A222" s="3" t="s">
        <v>1785</v>
      </c>
      <c r="B222" s="3" t="s">
        <v>2534</v>
      </c>
      <c r="C222" s="3" t="s">
        <v>1786</v>
      </c>
      <c r="D222" s="3">
        <v>18390823510.790001</v>
      </c>
      <c r="E222" s="3">
        <v>0</v>
      </c>
      <c r="F222" s="3">
        <v>-17.670000000000002</v>
      </c>
      <c r="G222" s="3">
        <v>245.8338</v>
      </c>
      <c r="H222" s="3">
        <v>74.81</v>
      </c>
      <c r="I222" s="706"/>
      <c r="J222" s="707" t="str">
        <f t="shared" si="28"/>
        <v>Hologic Inc</v>
      </c>
      <c r="K222" s="708" t="str">
        <f t="shared" si="28"/>
        <v>HOLX</v>
      </c>
      <c r="L222" s="709">
        <f t="shared" si="22"/>
        <v>18390.82351079</v>
      </c>
      <c r="M222" s="710">
        <f t="shared" si="23"/>
        <v>0</v>
      </c>
      <c r="N222" s="710">
        <f t="shared" si="24"/>
        <v>-0.17670000000000002</v>
      </c>
      <c r="O222" s="711">
        <f t="shared" si="25"/>
        <v>-0.17670000000000002</v>
      </c>
      <c r="P222" s="712">
        <f t="shared" si="26"/>
        <v>5.7429620754612641E-4</v>
      </c>
      <c r="Q222" s="713">
        <f t="shared" si="27"/>
        <v>-1.0147813987340055E-4</v>
      </c>
    </row>
    <row r="223" spans="1:17">
      <c r="A223" s="3" t="s">
        <v>3992</v>
      </c>
      <c r="B223" s="3" t="s">
        <v>2535</v>
      </c>
      <c r="C223" s="3" t="s">
        <v>1787</v>
      </c>
      <c r="D223" s="3">
        <v>144078654317.60001</v>
      </c>
      <c r="E223" s="3">
        <v>1.8362109192720484</v>
      </c>
      <c r="F223" s="3">
        <v>7.61</v>
      </c>
      <c r="G223" s="3">
        <v>672.32219999999995</v>
      </c>
      <c r="H223" s="3">
        <v>214.3</v>
      </c>
      <c r="I223" s="706"/>
      <c r="J223" s="707" t="str">
        <f t="shared" si="28"/>
        <v>Honeywell International Inc</v>
      </c>
      <c r="K223" s="708" t="str">
        <f t="shared" si="28"/>
        <v>HON</v>
      </c>
      <c r="L223" s="709">
        <f t="shared" si="22"/>
        <v>144078.65431760001</v>
      </c>
      <c r="M223" s="710">
        <f t="shared" si="23"/>
        <v>1.8362109192720483E-2</v>
      </c>
      <c r="N223" s="710">
        <f t="shared" si="24"/>
        <v>7.6100000000000001E-2</v>
      </c>
      <c r="O223" s="711">
        <f t="shared" si="25"/>
        <v>9.5160787447503503E-2</v>
      </c>
      <c r="P223" s="712">
        <f t="shared" si="26"/>
        <v>4.4991908445209507E-3</v>
      </c>
      <c r="Q223" s="713">
        <f t="shared" si="27"/>
        <v>4.2814654364121198E-4</v>
      </c>
    </row>
    <row r="224" spans="1:17">
      <c r="A224" s="3" t="s">
        <v>1788</v>
      </c>
      <c r="B224" s="3" t="s">
        <v>2536</v>
      </c>
      <c r="C224" s="3" t="s">
        <v>1789</v>
      </c>
      <c r="D224" s="3">
        <v>20457796941.960003</v>
      </c>
      <c r="E224" s="3">
        <v>3.0451127819548871</v>
      </c>
      <c r="F224" s="3">
        <v>3.34</v>
      </c>
      <c r="G224" s="3">
        <v>1281.817</v>
      </c>
      <c r="H224" s="3">
        <v>15.96</v>
      </c>
      <c r="I224" s="706"/>
      <c r="J224" s="707" t="str">
        <f t="shared" si="28"/>
        <v>Hewlett Packard Enterprise Co</v>
      </c>
      <c r="K224" s="708" t="str">
        <f t="shared" si="28"/>
        <v>HPE</v>
      </c>
      <c r="L224" s="709">
        <f t="shared" si="22"/>
        <v>20457.796941960001</v>
      </c>
      <c r="M224" s="710">
        <f t="shared" si="23"/>
        <v>3.0451127819548871E-2</v>
      </c>
      <c r="N224" s="710">
        <f t="shared" si="24"/>
        <v>3.3399999999999999E-2</v>
      </c>
      <c r="O224" s="711">
        <f t="shared" si="25"/>
        <v>6.4359661654135342E-2</v>
      </c>
      <c r="P224" s="712">
        <f t="shared" si="26"/>
        <v>6.3884225693445768E-4</v>
      </c>
      <c r="Q224" s="713">
        <f t="shared" si="27"/>
        <v>4.1115671506665894E-5</v>
      </c>
    </row>
    <row r="225" spans="1:17">
      <c r="A225" s="3" t="s">
        <v>1790</v>
      </c>
      <c r="B225" s="3" t="s">
        <v>2537</v>
      </c>
      <c r="C225" s="3" t="s">
        <v>1791</v>
      </c>
      <c r="D225" s="3">
        <v>26390257538.52</v>
      </c>
      <c r="E225" s="3">
        <v>3.9114253814663189</v>
      </c>
      <c r="F225" s="3">
        <v>-1.59</v>
      </c>
      <c r="G225" s="3">
        <v>982.14580000000001</v>
      </c>
      <c r="H225" s="3">
        <v>26.87</v>
      </c>
      <c r="I225" s="706"/>
      <c r="J225" s="707" t="str">
        <f t="shared" si="28"/>
        <v>HP Inc</v>
      </c>
      <c r="K225" s="708" t="str">
        <f t="shared" si="28"/>
        <v>HPQ</v>
      </c>
      <c r="L225" s="709">
        <f t="shared" si="22"/>
        <v>26390.25753852</v>
      </c>
      <c r="M225" s="710">
        <f t="shared" si="23"/>
        <v>3.9114253814663186E-2</v>
      </c>
      <c r="N225" s="710">
        <f t="shared" si="24"/>
        <v>-1.5900000000000001E-2</v>
      </c>
      <c r="O225" s="711">
        <f t="shared" si="25"/>
        <v>2.2903295496836614E-2</v>
      </c>
      <c r="P225" s="712">
        <f t="shared" si="26"/>
        <v>8.2409712711590101E-4</v>
      </c>
      <c r="Q225" s="713">
        <f t="shared" si="27"/>
        <v>1.8874540020429608E-5</v>
      </c>
    </row>
    <row r="226" spans="1:17">
      <c r="A226" s="3" t="s">
        <v>1792</v>
      </c>
      <c r="B226" s="3" t="s">
        <v>2538</v>
      </c>
      <c r="C226" s="3" t="s">
        <v>1444</v>
      </c>
      <c r="D226" s="3">
        <v>24889622036.700001</v>
      </c>
      <c r="E226" s="3">
        <v>2.4083424807903406</v>
      </c>
      <c r="F226" s="3">
        <v>4.55</v>
      </c>
      <c r="G226" s="3">
        <v>546.42419999999993</v>
      </c>
      <c r="H226" s="3">
        <v>45.55</v>
      </c>
      <c r="I226" s="706"/>
      <c r="J226" s="707" t="str">
        <f t="shared" si="28"/>
        <v>Hormel Foods Corp</v>
      </c>
      <c r="K226" s="708" t="str">
        <f t="shared" si="28"/>
        <v>HRL</v>
      </c>
      <c r="L226" s="709">
        <f t="shared" si="22"/>
        <v>24889.622036700002</v>
      </c>
      <c r="M226" s="710">
        <f t="shared" si="23"/>
        <v>2.4083424807903406E-2</v>
      </c>
      <c r="N226" s="710">
        <f t="shared" si="24"/>
        <v>4.5499999999999999E-2</v>
      </c>
      <c r="O226" s="711">
        <f t="shared" si="25"/>
        <v>7.0131322722283201E-2</v>
      </c>
      <c r="P226" s="712">
        <f t="shared" si="26"/>
        <v>7.7723629583780873E-4</v>
      </c>
      <c r="Q226" s="713">
        <f t="shared" si="27"/>
        <v>5.4508609494873341E-5</v>
      </c>
    </row>
    <row r="227" spans="1:17">
      <c r="A227" s="3" t="s">
        <v>1793</v>
      </c>
      <c r="B227" s="3" t="s">
        <v>2539</v>
      </c>
      <c r="C227" s="3" t="s">
        <v>1794</v>
      </c>
      <c r="D227" s="3">
        <v>10826184815.25</v>
      </c>
      <c r="E227" s="3" t="s">
        <v>1483</v>
      </c>
      <c r="F227" s="3">
        <v>6.8100000000000005</v>
      </c>
      <c r="G227" s="3">
        <v>135.54759999999999</v>
      </c>
      <c r="H227" s="3">
        <v>79.87</v>
      </c>
      <c r="I227" s="706"/>
      <c r="J227" s="707" t="str">
        <f t="shared" si="28"/>
        <v>Henry Schein Inc</v>
      </c>
      <c r="K227" s="708" t="str">
        <f t="shared" si="28"/>
        <v>HSIC</v>
      </c>
      <c r="L227" s="709">
        <f t="shared" si="22"/>
        <v>10826.184815250001</v>
      </c>
      <c r="M227" s="710" t="str">
        <f t="shared" si="23"/>
        <v>0.00%</v>
      </c>
      <c r="N227" s="710">
        <f t="shared" si="24"/>
        <v>6.8100000000000008E-2</v>
      </c>
      <c r="O227" s="711">
        <f t="shared" si="25"/>
        <v>6.8100000000000008E-2</v>
      </c>
      <c r="P227" s="712">
        <f t="shared" si="26"/>
        <v>3.3807278276275834E-4</v>
      </c>
      <c r="Q227" s="713">
        <f t="shared" si="27"/>
        <v>2.3022756506143845E-5</v>
      </c>
    </row>
    <row r="228" spans="1:17">
      <c r="A228" s="3" t="s">
        <v>3943</v>
      </c>
      <c r="B228" s="3" t="s">
        <v>2540</v>
      </c>
      <c r="C228" s="3" t="s">
        <v>1795</v>
      </c>
      <c r="D228" s="3">
        <v>11476195564.050001</v>
      </c>
      <c r="E228" s="3">
        <v>2.2367601246105919</v>
      </c>
      <c r="F228" s="3" t="s">
        <v>1483</v>
      </c>
      <c r="G228" s="3">
        <v>715.02779999999996</v>
      </c>
      <c r="H228" s="3">
        <v>16.05</v>
      </c>
      <c r="I228" s="706"/>
      <c r="J228" s="707" t="str">
        <f t="shared" si="28"/>
        <v>Host Hotels &amp; Resorts Inc</v>
      </c>
      <c r="K228" s="708" t="str">
        <f t="shared" si="28"/>
        <v>HST</v>
      </c>
      <c r="L228" s="709">
        <f t="shared" si="22"/>
        <v>11476.195564050002</v>
      </c>
      <c r="M228" s="710">
        <f t="shared" si="23"/>
        <v>2.2367601246105918E-2</v>
      </c>
      <c r="N228" s="710" t="str">
        <f t="shared" si="24"/>
        <v>N/A</v>
      </c>
      <c r="O228" s="711" t="str">
        <f t="shared" si="25"/>
        <v>N/A</v>
      </c>
      <c r="P228" s="712" t="str">
        <f t="shared" si="26"/>
        <v>N/A</v>
      </c>
      <c r="Q228" s="713" t="str">
        <f t="shared" si="27"/>
        <v>N/A</v>
      </c>
    </row>
    <row r="229" spans="1:17">
      <c r="A229" s="3" t="s">
        <v>1796</v>
      </c>
      <c r="B229" s="3" t="s">
        <v>2541</v>
      </c>
      <c r="C229" s="3" t="s">
        <v>1797</v>
      </c>
      <c r="D229" s="3">
        <v>47490972124.32</v>
      </c>
      <c r="E229" s="3">
        <v>1.6746556116940883</v>
      </c>
      <c r="F229" s="3">
        <v>10</v>
      </c>
      <c r="G229" s="3">
        <v>146.96879999999999</v>
      </c>
      <c r="H229" s="3">
        <v>231.57</v>
      </c>
      <c r="I229" s="706"/>
      <c r="J229" s="707" t="str">
        <f t="shared" si="28"/>
        <v>Hershey Co/The</v>
      </c>
      <c r="K229" s="708" t="str">
        <f t="shared" si="28"/>
        <v>HSY</v>
      </c>
      <c r="L229" s="709">
        <f t="shared" si="22"/>
        <v>47490.972124319997</v>
      </c>
      <c r="M229" s="710">
        <f t="shared" si="23"/>
        <v>1.6746556116940883E-2</v>
      </c>
      <c r="N229" s="710">
        <f t="shared" si="24"/>
        <v>0.1</v>
      </c>
      <c r="O229" s="711">
        <f t="shared" si="25"/>
        <v>0.11758388392278793</v>
      </c>
      <c r="P229" s="712">
        <f t="shared" si="26"/>
        <v>1.4830159817299121E-3</v>
      </c>
      <c r="Q229" s="713">
        <f t="shared" si="27"/>
        <v>1.7437877905136936E-4</v>
      </c>
    </row>
    <row r="230" spans="1:17">
      <c r="A230" s="3" t="s">
        <v>1798</v>
      </c>
      <c r="B230" s="3" t="s">
        <v>2542</v>
      </c>
      <c r="C230" s="3" t="s">
        <v>1799</v>
      </c>
      <c r="D230" s="3">
        <v>64843416876.420006</v>
      </c>
      <c r="E230" s="3">
        <v>0.58689158320154633</v>
      </c>
      <c r="F230" s="3">
        <v>14.96</v>
      </c>
      <c r="G230" s="3">
        <v>126.60029999999999</v>
      </c>
      <c r="H230" s="3">
        <v>512.19000000000005</v>
      </c>
      <c r="I230" s="706"/>
      <c r="J230" s="707" t="str">
        <f t="shared" si="28"/>
        <v>Humana Inc</v>
      </c>
      <c r="K230" s="708" t="str">
        <f t="shared" si="28"/>
        <v>HUM</v>
      </c>
      <c r="L230" s="709">
        <f t="shared" si="22"/>
        <v>64843.416876420008</v>
      </c>
      <c r="M230" s="710">
        <f t="shared" si="23"/>
        <v>5.8689158320154632E-3</v>
      </c>
      <c r="N230" s="710">
        <f t="shared" si="24"/>
        <v>0.14960000000000001</v>
      </c>
      <c r="O230" s="711">
        <f t="shared" si="25"/>
        <v>0.15590791073625024</v>
      </c>
      <c r="P230" s="712">
        <f t="shared" si="26"/>
        <v>2.0248863991659738E-3</v>
      </c>
      <c r="Q230" s="713">
        <f t="shared" si="27"/>
        <v>3.1569580797221583E-4</v>
      </c>
    </row>
    <row r="231" spans="1:17">
      <c r="A231" s="3" t="s">
        <v>2996</v>
      </c>
      <c r="B231" s="3" t="s">
        <v>2997</v>
      </c>
      <c r="C231" s="3" t="s">
        <v>2998</v>
      </c>
      <c r="D231" s="3">
        <v>16304391378.17</v>
      </c>
      <c r="E231" s="3">
        <v>0.24613042375031724</v>
      </c>
      <c r="F231" s="3">
        <v>23.91</v>
      </c>
      <c r="G231" s="3">
        <v>413.71199999999999</v>
      </c>
      <c r="H231" s="3">
        <v>39.409999999999997</v>
      </c>
      <c r="I231" s="706"/>
      <c r="J231" s="707" t="str">
        <f t="shared" si="28"/>
        <v>Howmet Aerospace Inc</v>
      </c>
      <c r="K231" s="708" t="str">
        <f t="shared" si="28"/>
        <v>HWM</v>
      </c>
      <c r="L231" s="709">
        <f t="shared" si="22"/>
        <v>16304.391378169999</v>
      </c>
      <c r="M231" s="710">
        <f t="shared" si="23"/>
        <v>2.4613042375031726E-3</v>
      </c>
      <c r="N231" s="710">
        <f t="shared" si="24"/>
        <v>0.23910000000000001</v>
      </c>
      <c r="O231" s="711">
        <f t="shared" si="25"/>
        <v>0.24185555315909668</v>
      </c>
      <c r="P231" s="712">
        <f t="shared" si="26"/>
        <v>5.0914251497966598E-4</v>
      </c>
      <c r="Q231" s="713">
        <f t="shared" si="27"/>
        <v>1.2313894459722079E-4</v>
      </c>
    </row>
    <row r="232" spans="1:17">
      <c r="A232" s="3" t="s">
        <v>1800</v>
      </c>
      <c r="B232" s="3" t="s">
        <v>2543</v>
      </c>
      <c r="C232" s="3" t="s">
        <v>1801</v>
      </c>
      <c r="D232" s="3">
        <v>127382363283.06998</v>
      </c>
      <c r="E232" s="3">
        <v>4.7207040953935699</v>
      </c>
      <c r="F232" s="3">
        <v>8.2900000000000009</v>
      </c>
      <c r="G232" s="3">
        <v>904.12639999999999</v>
      </c>
      <c r="H232" s="3">
        <v>140.88999999999999</v>
      </c>
      <c r="I232" s="706"/>
      <c r="J232" s="707" t="str">
        <f t="shared" si="28"/>
        <v>International Business Machines Corp</v>
      </c>
      <c r="K232" s="708" t="str">
        <f t="shared" si="28"/>
        <v>IBM</v>
      </c>
      <c r="L232" s="709">
        <f t="shared" si="22"/>
        <v>127382.36328306998</v>
      </c>
      <c r="M232" s="710">
        <f t="shared" si="23"/>
        <v>4.72070409539357E-2</v>
      </c>
      <c r="N232" s="710">
        <f t="shared" si="24"/>
        <v>8.2900000000000015E-2</v>
      </c>
      <c r="O232" s="711">
        <f t="shared" si="25"/>
        <v>0.13206377280147635</v>
      </c>
      <c r="P232" s="712">
        <f t="shared" si="26"/>
        <v>3.977810351929561E-3</v>
      </c>
      <c r="Q232" s="713">
        <f t="shared" si="27"/>
        <v>5.2532464256458626E-4</v>
      </c>
    </row>
    <row r="233" spans="1:17">
      <c r="A233" s="3" t="s">
        <v>1802</v>
      </c>
      <c r="B233" s="3" t="s">
        <v>2544</v>
      </c>
      <c r="C233" s="3" t="s">
        <v>1803</v>
      </c>
      <c r="D233" s="3">
        <v>57301811208.75</v>
      </c>
      <c r="E233" s="3">
        <v>1.4670045813432109</v>
      </c>
      <c r="F233" s="3">
        <v>7.01</v>
      </c>
      <c r="G233" s="3">
        <v>558.55160000000001</v>
      </c>
      <c r="H233" s="3">
        <v>102.59</v>
      </c>
      <c r="I233" s="706"/>
      <c r="J233" s="707" t="str">
        <f t="shared" si="28"/>
        <v>Intercontinental Exchange Inc</v>
      </c>
      <c r="K233" s="708" t="str">
        <f t="shared" si="28"/>
        <v>ICE</v>
      </c>
      <c r="L233" s="709">
        <f t="shared" si="22"/>
        <v>57301.811208749998</v>
      </c>
      <c r="M233" s="710">
        <f t="shared" si="23"/>
        <v>1.4670045813432109E-2</v>
      </c>
      <c r="N233" s="710">
        <f t="shared" si="24"/>
        <v>7.0099999999999996E-2</v>
      </c>
      <c r="O233" s="711">
        <f t="shared" si="25"/>
        <v>8.5284230919192905E-2</v>
      </c>
      <c r="P233" s="712">
        <f t="shared" si="26"/>
        <v>1.7893822342105454E-3</v>
      </c>
      <c r="Q233" s="713">
        <f t="shared" si="27"/>
        <v>1.5260608766511349E-4</v>
      </c>
    </row>
    <row r="234" spans="1:17">
      <c r="A234" s="3" t="s">
        <v>2210</v>
      </c>
      <c r="B234" s="3" t="s">
        <v>2545</v>
      </c>
      <c r="C234" s="3" t="s">
        <v>2211</v>
      </c>
      <c r="D234" s="3">
        <v>33786005777.719997</v>
      </c>
      <c r="E234" s="3" t="s">
        <v>1483</v>
      </c>
      <c r="F234" s="3">
        <v>17.34</v>
      </c>
      <c r="G234" s="3">
        <v>82.816959999999995</v>
      </c>
      <c r="H234" s="3">
        <v>407.96</v>
      </c>
      <c r="I234" s="706"/>
      <c r="J234" s="707" t="str">
        <f t="shared" si="28"/>
        <v>IDEXX Laboratories Inc</v>
      </c>
      <c r="K234" s="708" t="str">
        <f t="shared" si="28"/>
        <v>IDXX</v>
      </c>
      <c r="L234" s="709">
        <f t="shared" si="22"/>
        <v>33786.005777719998</v>
      </c>
      <c r="M234" s="710" t="str">
        <f t="shared" si="23"/>
        <v>0.00%</v>
      </c>
      <c r="N234" s="710">
        <f t="shared" si="24"/>
        <v>0.1734</v>
      </c>
      <c r="O234" s="711">
        <f t="shared" si="25"/>
        <v>0.1734</v>
      </c>
      <c r="P234" s="712">
        <f t="shared" si="26"/>
        <v>1.0550465548697238E-3</v>
      </c>
      <c r="Q234" s="713">
        <f t="shared" si="27"/>
        <v>1.8294507261441009E-4</v>
      </c>
    </row>
    <row r="235" spans="1:17">
      <c r="A235" s="3" t="s">
        <v>2905</v>
      </c>
      <c r="B235" s="3" t="s">
        <v>2906</v>
      </c>
      <c r="C235" s="3" t="s">
        <v>2907</v>
      </c>
      <c r="D235" s="3">
        <v>17220901817.970001</v>
      </c>
      <c r="E235" s="3">
        <v>1.0138834143564139</v>
      </c>
      <c r="F235" s="3">
        <v>15</v>
      </c>
      <c r="G235" s="3">
        <v>75.421109999999999</v>
      </c>
      <c r="H235" s="3">
        <v>228.33</v>
      </c>
      <c r="I235" s="706"/>
      <c r="J235" s="707" t="str">
        <f t="shared" si="28"/>
        <v>IDEX Corp</v>
      </c>
      <c r="K235" s="708" t="str">
        <f t="shared" si="28"/>
        <v>IEX</v>
      </c>
      <c r="L235" s="709">
        <f t="shared" si="22"/>
        <v>17220.90181797</v>
      </c>
      <c r="M235" s="710">
        <f t="shared" si="23"/>
        <v>1.0138834143564139E-2</v>
      </c>
      <c r="N235" s="710">
        <f t="shared" si="24"/>
        <v>0.15</v>
      </c>
      <c r="O235" s="711">
        <f t="shared" si="25"/>
        <v>0.16089924670433145</v>
      </c>
      <c r="P235" s="712">
        <f t="shared" si="26"/>
        <v>5.3776268358955779E-4</v>
      </c>
      <c r="Q235" s="713">
        <f t="shared" si="27"/>
        <v>8.6525610695259596E-5</v>
      </c>
    </row>
    <row r="236" spans="1:17">
      <c r="A236" s="3" t="s">
        <v>1804</v>
      </c>
      <c r="B236" s="3" t="s">
        <v>2546</v>
      </c>
      <c r="C236" s="3" t="s">
        <v>1805</v>
      </c>
      <c r="D236" s="3">
        <v>26730242604.52</v>
      </c>
      <c r="E236" s="3">
        <v>2.9845478824875999</v>
      </c>
      <c r="F236" s="3">
        <v>4.87</v>
      </c>
      <c r="G236" s="3">
        <v>254.9623</v>
      </c>
      <c r="H236" s="3">
        <v>104.84</v>
      </c>
      <c r="I236" s="706"/>
      <c r="J236" s="707" t="str">
        <f t="shared" si="28"/>
        <v>International Flavors &amp; Fragrances Inc</v>
      </c>
      <c r="K236" s="708" t="str">
        <f t="shared" si="28"/>
        <v>IFF</v>
      </c>
      <c r="L236" s="709">
        <f t="shared" si="22"/>
        <v>26730.242604520001</v>
      </c>
      <c r="M236" s="710">
        <f t="shared" si="23"/>
        <v>2.9845478824875999E-2</v>
      </c>
      <c r="N236" s="710">
        <f t="shared" si="24"/>
        <v>4.87E-2</v>
      </c>
      <c r="O236" s="711">
        <f t="shared" si="25"/>
        <v>7.9272216234261728E-2</v>
      </c>
      <c r="P236" s="712">
        <f t="shared" si="26"/>
        <v>8.347139509852381E-4</v>
      </c>
      <c r="Q236" s="713">
        <f t="shared" si="27"/>
        <v>6.616962481625674E-5</v>
      </c>
    </row>
    <row r="237" spans="1:17">
      <c r="A237" s="3" t="s">
        <v>1806</v>
      </c>
      <c r="B237" s="3" t="s">
        <v>2547</v>
      </c>
      <c r="C237" s="3" t="s">
        <v>1807</v>
      </c>
      <c r="D237" s="3">
        <v>31806060000</v>
      </c>
      <c r="E237" s="3">
        <v>0</v>
      </c>
      <c r="F237" s="3" t="s">
        <v>1483</v>
      </c>
      <c r="G237" s="3">
        <v>157.29999999999998</v>
      </c>
      <c r="H237" s="3">
        <v>202.2</v>
      </c>
      <c r="I237" s="706"/>
      <c r="J237" s="707" t="str">
        <f t="shared" si="28"/>
        <v>Illumina Inc</v>
      </c>
      <c r="K237" s="708" t="str">
        <f t="shared" si="28"/>
        <v>ILMN</v>
      </c>
      <c r="L237" s="709">
        <f t="shared" si="22"/>
        <v>31806.06</v>
      </c>
      <c r="M237" s="710">
        <f t="shared" si="23"/>
        <v>0</v>
      </c>
      <c r="N237" s="710" t="str">
        <f t="shared" si="24"/>
        <v>N/A</v>
      </c>
      <c r="O237" s="711" t="str">
        <f t="shared" si="25"/>
        <v>N/A</v>
      </c>
      <c r="P237" s="712" t="str">
        <f t="shared" si="26"/>
        <v>N/A</v>
      </c>
      <c r="Q237" s="713" t="str">
        <f t="shared" si="27"/>
        <v>N/A</v>
      </c>
    </row>
    <row r="238" spans="1:17">
      <c r="A238" s="3" t="s">
        <v>2228</v>
      </c>
      <c r="B238" s="3" t="s">
        <v>2548</v>
      </c>
      <c r="C238" s="3" t="s">
        <v>2229</v>
      </c>
      <c r="D238" s="3">
        <v>17869229589.759998</v>
      </c>
      <c r="E238" s="3">
        <v>0</v>
      </c>
      <c r="F238" s="3">
        <v>22.900000000000002</v>
      </c>
      <c r="G238" s="3">
        <v>222.47549999999998</v>
      </c>
      <c r="H238" s="3">
        <v>80.319999999999993</v>
      </c>
      <c r="I238" s="706"/>
      <c r="J238" s="707" t="str">
        <f t="shared" si="28"/>
        <v>Incyte Corp</v>
      </c>
      <c r="K238" s="708" t="str">
        <f t="shared" si="28"/>
        <v>INCY</v>
      </c>
      <c r="L238" s="709">
        <f t="shared" si="22"/>
        <v>17869.229589759998</v>
      </c>
      <c r="M238" s="710">
        <f t="shared" si="23"/>
        <v>0</v>
      </c>
      <c r="N238" s="710">
        <f t="shared" si="24"/>
        <v>0.22900000000000001</v>
      </c>
      <c r="O238" s="711">
        <f t="shared" si="25"/>
        <v>0.22900000000000001</v>
      </c>
      <c r="P238" s="712">
        <f t="shared" si="26"/>
        <v>5.5800822508841332E-4</v>
      </c>
      <c r="Q238" s="713">
        <f t="shared" si="27"/>
        <v>1.2778388354524664E-4</v>
      </c>
    </row>
    <row r="239" spans="1:17">
      <c r="A239" s="3" t="s">
        <v>1808</v>
      </c>
      <c r="B239" s="3" t="s">
        <v>2549</v>
      </c>
      <c r="C239" s="3" t="s">
        <v>1809</v>
      </c>
      <c r="D239" s="3">
        <v>109076610000</v>
      </c>
      <c r="E239" s="3">
        <v>5.4786227771471809</v>
      </c>
      <c r="F239" s="3">
        <v>-10.370000000000001</v>
      </c>
      <c r="G239" s="3">
        <v>4127</v>
      </c>
      <c r="H239" s="3">
        <v>26.43</v>
      </c>
      <c r="I239" s="706"/>
      <c r="J239" s="707" t="str">
        <f t="shared" si="28"/>
        <v>Intel Corp</v>
      </c>
      <c r="K239" s="708" t="str">
        <f t="shared" si="28"/>
        <v>INTC</v>
      </c>
      <c r="L239" s="709">
        <f t="shared" si="22"/>
        <v>109076.61</v>
      </c>
      <c r="M239" s="710">
        <f t="shared" si="23"/>
        <v>5.478622777147181E-2</v>
      </c>
      <c r="N239" s="710">
        <f t="shared" si="24"/>
        <v>-0.10370000000000001</v>
      </c>
      <c r="O239" s="711">
        <f t="shared" si="25"/>
        <v>-5.1754438138479013E-2</v>
      </c>
      <c r="P239" s="712">
        <f t="shared" si="26"/>
        <v>3.4061706599617632E-3</v>
      </c>
      <c r="Q239" s="713">
        <f t="shared" si="27"/>
        <v>-1.762844487100933E-4</v>
      </c>
    </row>
    <row r="240" spans="1:17">
      <c r="A240" s="3" t="s">
        <v>1810</v>
      </c>
      <c r="B240" s="3" t="s">
        <v>2550</v>
      </c>
      <c r="C240" s="3" t="s">
        <v>1811</v>
      </c>
      <c r="D240" s="3">
        <v>109341764727</v>
      </c>
      <c r="E240" s="3">
        <v>0.75715533631365284</v>
      </c>
      <c r="F240" s="3">
        <v>19.164999999999999</v>
      </c>
      <c r="G240" s="3">
        <v>280.92529999999999</v>
      </c>
      <c r="H240" s="3">
        <v>389.22</v>
      </c>
      <c r="I240" s="706"/>
      <c r="J240" s="707" t="str">
        <f t="shared" si="28"/>
        <v>Intuit Inc</v>
      </c>
      <c r="K240" s="708" t="str">
        <f t="shared" si="28"/>
        <v>INTU</v>
      </c>
      <c r="L240" s="709">
        <f t="shared" si="22"/>
        <v>109341.764727</v>
      </c>
      <c r="M240" s="710">
        <f t="shared" si="23"/>
        <v>7.5715533631365286E-3</v>
      </c>
      <c r="N240" s="710">
        <f t="shared" si="24"/>
        <v>0.19164999999999999</v>
      </c>
      <c r="O240" s="711">
        <f t="shared" si="25"/>
        <v>0.19994709746415906</v>
      </c>
      <c r="P240" s="712">
        <f t="shared" si="26"/>
        <v>3.414450732577309E-3</v>
      </c>
      <c r="Q240" s="713">
        <f t="shared" si="27"/>
        <v>6.8270951341320451E-4</v>
      </c>
    </row>
    <row r="241" spans="1:17">
      <c r="A241" s="3" t="s">
        <v>4303</v>
      </c>
      <c r="B241" s="3" t="s">
        <v>4304</v>
      </c>
      <c r="C241" s="3" t="s">
        <v>4305</v>
      </c>
      <c r="D241" s="3">
        <v>18122189702.759998</v>
      </c>
      <c r="E241" s="3">
        <v>2.9622132253711198</v>
      </c>
      <c r="F241" s="3">
        <v>5.92</v>
      </c>
      <c r="G241" s="3">
        <v>611.40989999999999</v>
      </c>
      <c r="H241" s="3">
        <v>29.64</v>
      </c>
      <c r="I241" s="706"/>
      <c r="J241" s="707" t="str">
        <f t="shared" si="28"/>
        <v>Invitation Homes Inc</v>
      </c>
      <c r="K241" s="708" t="str">
        <f t="shared" si="28"/>
        <v>INVH</v>
      </c>
      <c r="L241" s="709">
        <f t="shared" si="22"/>
        <v>18122.189702759999</v>
      </c>
      <c r="M241" s="710">
        <f t="shared" si="23"/>
        <v>2.9622132253711197E-2</v>
      </c>
      <c r="N241" s="710">
        <f t="shared" si="24"/>
        <v>5.9200000000000003E-2</v>
      </c>
      <c r="O241" s="711">
        <f t="shared" si="25"/>
        <v>8.9698947368421045E-2</v>
      </c>
      <c r="P241" s="712">
        <f t="shared" si="26"/>
        <v>5.6590749253943896E-4</v>
      </c>
      <c r="Q241" s="713">
        <f t="shared" si="27"/>
        <v>5.0761306388690261E-5</v>
      </c>
    </row>
    <row r="242" spans="1:17">
      <c r="A242" s="3" t="s">
        <v>1812</v>
      </c>
      <c r="B242" s="3" t="s">
        <v>2551</v>
      </c>
      <c r="C242" s="3" t="s">
        <v>1813</v>
      </c>
      <c r="D242" s="3">
        <v>12316852411.67</v>
      </c>
      <c r="E242" s="3">
        <v>5.3537395321975163</v>
      </c>
      <c r="F242" s="3">
        <v>-2</v>
      </c>
      <c r="G242" s="3">
        <v>355.66999999999996</v>
      </c>
      <c r="H242" s="3">
        <v>34.630000000000003</v>
      </c>
      <c r="I242" s="706"/>
      <c r="J242" s="707" t="str">
        <f t="shared" si="28"/>
        <v>International Paper Co</v>
      </c>
      <c r="K242" s="708" t="str">
        <f t="shared" si="28"/>
        <v>IP</v>
      </c>
      <c r="L242" s="709">
        <f t="shared" si="22"/>
        <v>12316.852411670001</v>
      </c>
      <c r="M242" s="710">
        <f t="shared" si="23"/>
        <v>5.3537395321975163E-2</v>
      </c>
      <c r="N242" s="710">
        <f t="shared" si="24"/>
        <v>-0.02</v>
      </c>
      <c r="O242" s="711">
        <f t="shared" si="25"/>
        <v>3.3002021368755408E-2</v>
      </c>
      <c r="P242" s="712">
        <f t="shared" si="26"/>
        <v>3.8462234302761737E-4</v>
      </c>
      <c r="Q242" s="713">
        <f t="shared" si="27"/>
        <v>1.2693314783498201E-5</v>
      </c>
    </row>
    <row r="243" spans="1:17">
      <c r="A243" s="3" t="s">
        <v>1814</v>
      </c>
      <c r="B243" s="3" t="s">
        <v>2552</v>
      </c>
      <c r="C243" s="3" t="s">
        <v>1815</v>
      </c>
      <c r="D243" s="3">
        <v>12941758356.580002</v>
      </c>
      <c r="E243" s="3">
        <v>3.4404082858000602</v>
      </c>
      <c r="F243" s="3">
        <v>1.51</v>
      </c>
      <c r="G243" s="3">
        <v>388.5247</v>
      </c>
      <c r="H243" s="3">
        <v>33.31</v>
      </c>
      <c r="I243" s="706"/>
      <c r="J243" s="707" t="str">
        <f t="shared" si="28"/>
        <v>Interpublic Group of Cos Inc/The</v>
      </c>
      <c r="K243" s="708" t="str">
        <f t="shared" si="28"/>
        <v>IPG</v>
      </c>
      <c r="L243" s="709">
        <f t="shared" si="22"/>
        <v>12941.758356580001</v>
      </c>
      <c r="M243" s="710">
        <f t="shared" si="23"/>
        <v>3.4404082858000604E-2</v>
      </c>
      <c r="N243" s="710">
        <f t="shared" si="24"/>
        <v>1.5100000000000001E-2</v>
      </c>
      <c r="O243" s="711">
        <f t="shared" si="25"/>
        <v>4.9763833683578507E-2</v>
      </c>
      <c r="P243" s="712">
        <f t="shared" si="26"/>
        <v>4.0413648354581031E-4</v>
      </c>
      <c r="Q243" s="713">
        <f t="shared" si="27"/>
        <v>2.0111380752639965E-5</v>
      </c>
    </row>
    <row r="244" spans="1:17">
      <c r="A244" s="3" t="s">
        <v>2303</v>
      </c>
      <c r="B244" s="3" t="s">
        <v>2553</v>
      </c>
      <c r="C244" s="3" t="s">
        <v>2299</v>
      </c>
      <c r="D244" s="3">
        <v>38056273312.470001</v>
      </c>
      <c r="E244" s="3" t="s">
        <v>1483</v>
      </c>
      <c r="F244" s="3">
        <v>17.225000000000001</v>
      </c>
      <c r="G244" s="3">
        <v>185.73999999999998</v>
      </c>
      <c r="H244" s="3">
        <v>204.89</v>
      </c>
      <c r="I244" s="706"/>
      <c r="J244" s="707" t="str">
        <f t="shared" si="28"/>
        <v>IQVIA Holdings Inc</v>
      </c>
      <c r="K244" s="708" t="str">
        <f t="shared" si="28"/>
        <v>IQV</v>
      </c>
      <c r="L244" s="709">
        <f t="shared" si="22"/>
        <v>38056.273312470003</v>
      </c>
      <c r="M244" s="710" t="str">
        <f t="shared" si="23"/>
        <v>0.00%</v>
      </c>
      <c r="N244" s="710">
        <f t="shared" si="24"/>
        <v>0.17225000000000001</v>
      </c>
      <c r="O244" s="711">
        <f t="shared" si="25"/>
        <v>0.17225000000000001</v>
      </c>
      <c r="P244" s="712">
        <f t="shared" si="26"/>
        <v>1.1883955834749648E-3</v>
      </c>
      <c r="Q244" s="713">
        <f t="shared" si="27"/>
        <v>2.0470113925356271E-4</v>
      </c>
    </row>
    <row r="245" spans="1:17">
      <c r="A245" s="3" t="s">
        <v>1816</v>
      </c>
      <c r="B245" s="3" t="s">
        <v>2999</v>
      </c>
      <c r="C245" s="3" t="s">
        <v>1817</v>
      </c>
      <c r="D245" s="3">
        <v>21157370071.75</v>
      </c>
      <c r="E245" s="3">
        <v>0.15693779904306221</v>
      </c>
      <c r="F245" s="3" t="s">
        <v>1483</v>
      </c>
      <c r="G245" s="3">
        <v>404.92570000000001</v>
      </c>
      <c r="H245" s="3">
        <v>52.25</v>
      </c>
      <c r="I245" s="706"/>
      <c r="J245" s="707" t="str">
        <f t="shared" si="28"/>
        <v>Ingersoll Rand Inc</v>
      </c>
      <c r="K245" s="708" t="str">
        <f t="shared" si="28"/>
        <v>IR</v>
      </c>
      <c r="L245" s="709">
        <f t="shared" si="22"/>
        <v>21157.37007175</v>
      </c>
      <c r="M245" s="710">
        <f t="shared" si="23"/>
        <v>1.5693779904306221E-3</v>
      </c>
      <c r="N245" s="710" t="str">
        <f t="shared" si="24"/>
        <v>N/A</v>
      </c>
      <c r="O245" s="711" t="str">
        <f t="shared" si="25"/>
        <v>N/A</v>
      </c>
      <c r="P245" s="712" t="str">
        <f t="shared" si="26"/>
        <v>N/A</v>
      </c>
      <c r="Q245" s="713" t="str">
        <f t="shared" si="27"/>
        <v>N/A</v>
      </c>
    </row>
    <row r="246" spans="1:17">
      <c r="A246" s="3" t="s">
        <v>1818</v>
      </c>
      <c r="B246" s="3" t="s">
        <v>2554</v>
      </c>
      <c r="C246" s="3" t="s">
        <v>1819</v>
      </c>
      <c r="D246" s="3">
        <v>14492094744.450001</v>
      </c>
      <c r="E246" s="3">
        <v>4.9689067201604811</v>
      </c>
      <c r="F246" s="3">
        <v>4</v>
      </c>
      <c r="G246" s="3">
        <v>290.714</v>
      </c>
      <c r="H246" s="3">
        <v>49.85</v>
      </c>
      <c r="I246" s="706"/>
      <c r="J246" s="707" t="str">
        <f t="shared" si="28"/>
        <v>Iron Mountain Inc</v>
      </c>
      <c r="K246" s="708" t="str">
        <f t="shared" si="28"/>
        <v>IRM</v>
      </c>
      <c r="L246" s="709">
        <f t="shared" si="22"/>
        <v>14492.094744450002</v>
      </c>
      <c r="M246" s="710">
        <f t="shared" si="23"/>
        <v>4.9689067201604813E-2</v>
      </c>
      <c r="N246" s="710">
        <f t="shared" si="24"/>
        <v>0.04</v>
      </c>
      <c r="O246" s="711">
        <f t="shared" si="25"/>
        <v>9.0682848545636907E-2</v>
      </c>
      <c r="P246" s="712">
        <f t="shared" si="26"/>
        <v>4.5254934050418014E-4</v>
      </c>
      <c r="Q246" s="713">
        <f t="shared" si="27"/>
        <v>4.1038463304368431E-5</v>
      </c>
    </row>
    <row r="247" spans="1:17">
      <c r="A247" s="3" t="s">
        <v>1820</v>
      </c>
      <c r="B247" s="3" t="s">
        <v>2555</v>
      </c>
      <c r="C247" s="3" t="s">
        <v>1821</v>
      </c>
      <c r="D247" s="3">
        <v>93770595649.500015</v>
      </c>
      <c r="E247" s="3">
        <v>0</v>
      </c>
      <c r="F247" s="3">
        <v>12.72</v>
      </c>
      <c r="G247" s="3">
        <v>353.38459999999998</v>
      </c>
      <c r="H247" s="3">
        <v>265.35000000000002</v>
      </c>
      <c r="I247" s="706"/>
      <c r="J247" s="707" t="str">
        <f t="shared" si="28"/>
        <v>Intuitive Surgical Inc</v>
      </c>
      <c r="K247" s="708" t="str">
        <f t="shared" si="28"/>
        <v>ISRG</v>
      </c>
      <c r="L247" s="709">
        <f t="shared" si="22"/>
        <v>93770.595649500014</v>
      </c>
      <c r="M247" s="710">
        <f t="shared" si="23"/>
        <v>0</v>
      </c>
      <c r="N247" s="710">
        <f t="shared" si="24"/>
        <v>0.12720000000000001</v>
      </c>
      <c r="O247" s="711">
        <f t="shared" si="25"/>
        <v>0.12720000000000001</v>
      </c>
      <c r="P247" s="712">
        <f t="shared" si="26"/>
        <v>2.9282047880701931E-3</v>
      </c>
      <c r="Q247" s="713">
        <f t="shared" si="27"/>
        <v>3.7246764904252857E-4</v>
      </c>
    </row>
    <row r="248" spans="1:17">
      <c r="A248" s="3" t="s">
        <v>2260</v>
      </c>
      <c r="B248" s="3" t="s">
        <v>2556</v>
      </c>
      <c r="C248" s="3" t="s">
        <v>2257</v>
      </c>
      <c r="D248" s="3">
        <v>26563255093.199997</v>
      </c>
      <c r="E248" s="3" t="s">
        <v>1483</v>
      </c>
      <c r="F248" s="3">
        <v>11.13</v>
      </c>
      <c r="G248" s="3">
        <v>79.024379999999994</v>
      </c>
      <c r="H248" s="3">
        <v>336.14</v>
      </c>
      <c r="I248" s="706"/>
      <c r="J248" s="707" t="str">
        <f t="shared" si="28"/>
        <v>Gartner Inc</v>
      </c>
      <c r="K248" s="708" t="str">
        <f t="shared" si="28"/>
        <v>IT</v>
      </c>
      <c r="L248" s="709">
        <f t="shared" si="22"/>
        <v>26563.255093199998</v>
      </c>
      <c r="M248" s="710" t="str">
        <f t="shared" si="23"/>
        <v>0.00%</v>
      </c>
      <c r="N248" s="710">
        <f t="shared" si="24"/>
        <v>0.11130000000000001</v>
      </c>
      <c r="O248" s="711">
        <f t="shared" si="25"/>
        <v>0.11130000000000001</v>
      </c>
      <c r="P248" s="712">
        <f t="shared" si="26"/>
        <v>8.2949937783671215E-4</v>
      </c>
      <c r="Q248" s="713">
        <f t="shared" si="27"/>
        <v>9.2323280753226064E-5</v>
      </c>
    </row>
    <row r="249" spans="1:17">
      <c r="A249" s="3" t="s">
        <v>1822</v>
      </c>
      <c r="B249" s="3" t="s">
        <v>2557</v>
      </c>
      <c r="C249" s="3" t="s">
        <v>1823</v>
      </c>
      <c r="D249" s="3">
        <v>67673159293.699997</v>
      </c>
      <c r="E249" s="3">
        <v>2.2451202905129368</v>
      </c>
      <c r="F249" s="3">
        <v>6.66</v>
      </c>
      <c r="G249" s="3">
        <v>307.18639999999999</v>
      </c>
      <c r="H249" s="3">
        <v>220.3</v>
      </c>
      <c r="I249" s="706"/>
      <c r="J249" s="707" t="str">
        <f t="shared" si="28"/>
        <v>Illinois Tool Works Inc</v>
      </c>
      <c r="K249" s="708" t="str">
        <f t="shared" si="28"/>
        <v>ITW</v>
      </c>
      <c r="L249" s="709">
        <f t="shared" si="22"/>
        <v>67673.159293699995</v>
      </c>
      <c r="M249" s="710">
        <f t="shared" si="23"/>
        <v>2.2451202905129367E-2</v>
      </c>
      <c r="N249" s="710">
        <f t="shared" si="24"/>
        <v>6.6600000000000006E-2</v>
      </c>
      <c r="O249" s="711">
        <f t="shared" si="25"/>
        <v>8.9798827961870192E-2</v>
      </c>
      <c r="P249" s="712">
        <f t="shared" si="26"/>
        <v>2.1132516829512728E-3</v>
      </c>
      <c r="Q249" s="713">
        <f t="shared" si="27"/>
        <v>1.8976752431747399E-4</v>
      </c>
    </row>
    <row r="250" spans="1:17">
      <c r="A250" s="3" t="s">
        <v>1824</v>
      </c>
      <c r="B250" s="3" t="s">
        <v>2558</v>
      </c>
      <c r="C250" s="3" t="s">
        <v>1825</v>
      </c>
      <c r="D250" s="3">
        <v>8181575097.9199991</v>
      </c>
      <c r="E250" s="3">
        <v>4.1189549749861039</v>
      </c>
      <c r="F250" s="3">
        <v>-10.515000000000001</v>
      </c>
      <c r="G250" s="3">
        <v>454.78459999999995</v>
      </c>
      <c r="H250" s="3">
        <v>17.989999999999998</v>
      </c>
      <c r="I250" s="706"/>
      <c r="J250" s="707" t="str">
        <f t="shared" si="28"/>
        <v>Invesco Ltd</v>
      </c>
      <c r="K250" s="708" t="str">
        <f t="shared" si="28"/>
        <v>IVZ</v>
      </c>
      <c r="L250" s="709">
        <f t="shared" si="22"/>
        <v>8181.5750979199993</v>
      </c>
      <c r="M250" s="710">
        <f t="shared" si="23"/>
        <v>4.118954974986104E-2</v>
      </c>
      <c r="N250" s="710">
        <f t="shared" si="24"/>
        <v>-0.10515000000000001</v>
      </c>
      <c r="O250" s="711">
        <f t="shared" si="25"/>
        <v>-6.6125990828237918E-2</v>
      </c>
      <c r="P250" s="712">
        <f t="shared" si="26"/>
        <v>2.5548869781348072E-4</v>
      </c>
      <c r="Q250" s="713">
        <f t="shared" si="27"/>
        <v>-1.6894443288332675E-5</v>
      </c>
    </row>
    <row r="251" spans="1:17">
      <c r="A251" s="3" t="s">
        <v>2958</v>
      </c>
      <c r="B251" s="3" t="s">
        <v>4306</v>
      </c>
      <c r="C251" s="3" t="s">
        <v>2959</v>
      </c>
      <c r="D251" s="3">
        <v>15202214108.269999</v>
      </c>
      <c r="E251" s="3">
        <v>0.81952194553177327</v>
      </c>
      <c r="F251" s="3">
        <v>10.3</v>
      </c>
      <c r="G251" s="3">
        <v>126.6113</v>
      </c>
      <c r="H251" s="3">
        <v>120.07</v>
      </c>
      <c r="I251" s="706"/>
      <c r="J251" s="707" t="str">
        <f t="shared" si="28"/>
        <v>Jacobs Solutions Inc</v>
      </c>
      <c r="K251" s="708" t="str">
        <f t="shared" si="28"/>
        <v>J</v>
      </c>
      <c r="L251" s="709">
        <f t="shared" si="22"/>
        <v>15202.214108269998</v>
      </c>
      <c r="M251" s="710">
        <f t="shared" si="23"/>
        <v>8.1952194553177333E-3</v>
      </c>
      <c r="N251" s="710">
        <f t="shared" si="24"/>
        <v>0.10300000000000001</v>
      </c>
      <c r="O251" s="711">
        <f t="shared" si="25"/>
        <v>0.1116172732572666</v>
      </c>
      <c r="P251" s="712">
        <f t="shared" si="26"/>
        <v>4.7472446807840881E-4</v>
      </c>
      <c r="Q251" s="713">
        <f t="shared" si="27"/>
        <v>5.2987450675418289E-5</v>
      </c>
    </row>
    <row r="252" spans="1:17">
      <c r="A252" s="3" t="s">
        <v>1826</v>
      </c>
      <c r="B252" s="3" t="s">
        <v>2559</v>
      </c>
      <c r="C252" s="3" t="s">
        <v>1827</v>
      </c>
      <c r="D252" s="3">
        <v>18052785074.280003</v>
      </c>
      <c r="E252" s="3">
        <v>0.91706813489332417</v>
      </c>
      <c r="F252" s="3">
        <v>22.466999999999999</v>
      </c>
      <c r="G252" s="3">
        <v>103.53739999999999</v>
      </c>
      <c r="H252" s="3">
        <v>174.36</v>
      </c>
      <c r="I252" s="706"/>
      <c r="J252" s="707" t="str">
        <f t="shared" si="28"/>
        <v>JB Hunt Transport Services Inc</v>
      </c>
      <c r="K252" s="708" t="str">
        <f t="shared" si="28"/>
        <v>JBHT</v>
      </c>
      <c r="L252" s="709">
        <f t="shared" si="22"/>
        <v>18052.785074280004</v>
      </c>
      <c r="M252" s="710">
        <f t="shared" si="23"/>
        <v>9.1706813489332416E-3</v>
      </c>
      <c r="N252" s="710">
        <f t="shared" si="24"/>
        <v>0.22466999999999998</v>
      </c>
      <c r="O252" s="711">
        <f t="shared" si="25"/>
        <v>0.23487086983826563</v>
      </c>
      <c r="P252" s="712">
        <f t="shared" si="26"/>
        <v>5.6374017170691482E-4</v>
      </c>
      <c r="Q252" s="713">
        <f t="shared" si="27"/>
        <v>1.3240614449157632E-4</v>
      </c>
    </row>
    <row r="253" spans="1:17">
      <c r="A253" s="3" t="s">
        <v>1828</v>
      </c>
      <c r="B253" s="3" t="s">
        <v>2560</v>
      </c>
      <c r="C253" s="3" t="s">
        <v>1829</v>
      </c>
      <c r="D253" s="3">
        <v>43949048896</v>
      </c>
      <c r="E253" s="3">
        <v>2.3218749999999999</v>
      </c>
      <c r="F253" s="3">
        <v>14.67</v>
      </c>
      <c r="G253" s="3">
        <v>686.70389999999998</v>
      </c>
      <c r="H253" s="3">
        <v>64</v>
      </c>
      <c r="I253" s="706"/>
      <c r="J253" s="707" t="str">
        <f t="shared" si="28"/>
        <v>Johnson Controls International plc</v>
      </c>
      <c r="K253" s="708" t="str">
        <f t="shared" si="28"/>
        <v>JCI</v>
      </c>
      <c r="L253" s="709">
        <f t="shared" si="22"/>
        <v>43949.048896</v>
      </c>
      <c r="M253" s="710">
        <f t="shared" si="23"/>
        <v>2.321875E-2</v>
      </c>
      <c r="N253" s="710">
        <f t="shared" si="24"/>
        <v>0.1467</v>
      </c>
      <c r="O253" s="711">
        <f t="shared" si="25"/>
        <v>0.17162184531249999</v>
      </c>
      <c r="P253" s="712">
        <f t="shared" si="26"/>
        <v>1.3724111968897834E-3</v>
      </c>
      <c r="Q253" s="713">
        <f t="shared" si="27"/>
        <v>2.3553574213776136E-4</v>
      </c>
    </row>
    <row r="254" spans="1:17">
      <c r="A254" s="3" t="s">
        <v>2561</v>
      </c>
      <c r="B254" s="3" t="s">
        <v>2562</v>
      </c>
      <c r="C254" s="3" t="s">
        <v>2563</v>
      </c>
      <c r="D254" s="3">
        <v>12807002457.480001</v>
      </c>
      <c r="E254" s="3">
        <v>1.1318067897015267</v>
      </c>
      <c r="F254" s="3">
        <v>11.15</v>
      </c>
      <c r="G254" s="3">
        <v>72.949429999999992</v>
      </c>
      <c r="H254" s="3">
        <v>175.56</v>
      </c>
      <c r="I254" s="706"/>
      <c r="J254" s="707" t="str">
        <f t="shared" si="28"/>
        <v>Jack Henry &amp; Associates Inc</v>
      </c>
      <c r="K254" s="708" t="str">
        <f t="shared" si="28"/>
        <v>JKHY</v>
      </c>
      <c r="L254" s="709">
        <f t="shared" si="22"/>
        <v>12807.002457480001</v>
      </c>
      <c r="M254" s="710">
        <f t="shared" si="23"/>
        <v>1.1318067897015267E-2</v>
      </c>
      <c r="N254" s="710">
        <f t="shared" si="24"/>
        <v>0.1115</v>
      </c>
      <c r="O254" s="711">
        <f t="shared" si="25"/>
        <v>0.12344905018227387</v>
      </c>
      <c r="P254" s="712">
        <f t="shared" si="26"/>
        <v>3.9992841740063773E-4</v>
      </c>
      <c r="Q254" s="713">
        <f t="shared" si="27"/>
        <v>4.9370783269008698E-5</v>
      </c>
    </row>
    <row r="255" spans="1:17">
      <c r="A255" s="3" t="s">
        <v>1830</v>
      </c>
      <c r="B255" s="3" t="s">
        <v>2564</v>
      </c>
      <c r="C255" s="3" t="s">
        <v>1831</v>
      </c>
      <c r="D255" s="3">
        <v>461848529176.55005</v>
      </c>
      <c r="E255" s="3">
        <v>2.4874044721200113</v>
      </c>
      <c r="F255" s="3">
        <v>4.0229999999999997</v>
      </c>
      <c r="G255" s="3">
        <v>2614.4839999999999</v>
      </c>
      <c r="H255" s="3">
        <v>176.65</v>
      </c>
      <c r="I255" s="706"/>
      <c r="J255" s="707" t="str">
        <f t="shared" si="28"/>
        <v>Johnson &amp; Johnson</v>
      </c>
      <c r="K255" s="708" t="str">
        <f t="shared" si="28"/>
        <v>JNJ</v>
      </c>
      <c r="L255" s="709">
        <f t="shared" si="22"/>
        <v>461848.52917655004</v>
      </c>
      <c r="M255" s="710">
        <f t="shared" si="23"/>
        <v>2.4874044721200111E-2</v>
      </c>
      <c r="N255" s="710">
        <f t="shared" si="24"/>
        <v>4.0229999999999995E-2</v>
      </c>
      <c r="O255" s="711">
        <f t="shared" si="25"/>
        <v>6.5604386130767051E-2</v>
      </c>
      <c r="P255" s="712">
        <f t="shared" si="26"/>
        <v>1.4422293738571991E-2</v>
      </c>
      <c r="Q255" s="713">
        <f t="shared" si="27"/>
        <v>9.4616572731662078E-4</v>
      </c>
    </row>
    <row r="256" spans="1:17">
      <c r="A256" s="3" t="s">
        <v>1832</v>
      </c>
      <c r="B256" s="3" t="s">
        <v>2565</v>
      </c>
      <c r="C256" s="3" t="s">
        <v>1833</v>
      </c>
      <c r="D256" s="3">
        <v>10372794515.08</v>
      </c>
      <c r="E256" s="3">
        <v>2.6188986232790987</v>
      </c>
      <c r="F256" s="3">
        <v>12.32</v>
      </c>
      <c r="G256" s="3">
        <v>324.55549999999999</v>
      </c>
      <c r="H256" s="3">
        <v>31.96</v>
      </c>
      <c r="I256" s="706"/>
      <c r="J256" s="707" t="str">
        <f t="shared" si="28"/>
        <v>Juniper Networks Inc</v>
      </c>
      <c r="K256" s="708" t="str">
        <f t="shared" si="28"/>
        <v>JNPR</v>
      </c>
      <c r="L256" s="709">
        <f t="shared" si="22"/>
        <v>10372.794515080001</v>
      </c>
      <c r="M256" s="710">
        <f t="shared" si="23"/>
        <v>2.6188986232790989E-2</v>
      </c>
      <c r="N256" s="710">
        <f t="shared" si="24"/>
        <v>0.1232</v>
      </c>
      <c r="O256" s="711">
        <f t="shared" si="25"/>
        <v>0.15100222778473094</v>
      </c>
      <c r="P256" s="712">
        <f t="shared" si="26"/>
        <v>3.2391461688328785E-4</v>
      </c>
      <c r="Q256" s="713">
        <f t="shared" si="27"/>
        <v>4.8911828761414083E-5</v>
      </c>
    </row>
    <row r="257" spans="1:17">
      <c r="A257" s="3" t="s">
        <v>1834</v>
      </c>
      <c r="B257" s="3" t="s">
        <v>2566</v>
      </c>
      <c r="C257" s="3" t="s">
        <v>1835</v>
      </c>
      <c r="D257" s="3">
        <v>393342775480.79999</v>
      </c>
      <c r="E257" s="3">
        <v>2.9888143176733784</v>
      </c>
      <c r="F257" s="3">
        <v>-3.8000000000000003</v>
      </c>
      <c r="G257" s="3">
        <v>2933.2049999999999</v>
      </c>
      <c r="H257" s="3">
        <v>134.1</v>
      </c>
      <c r="I257" s="706"/>
      <c r="J257" s="707" t="str">
        <f t="shared" si="28"/>
        <v>JPMorgan Chase &amp; Co</v>
      </c>
      <c r="K257" s="708" t="str">
        <f t="shared" si="28"/>
        <v>JPM</v>
      </c>
      <c r="L257" s="709">
        <f t="shared" si="22"/>
        <v>393342.77548079996</v>
      </c>
      <c r="M257" s="710">
        <f t="shared" si="23"/>
        <v>2.9888143176733783E-2</v>
      </c>
      <c r="N257" s="710">
        <f t="shared" si="24"/>
        <v>-3.8000000000000006E-2</v>
      </c>
      <c r="O257" s="711">
        <f t="shared" si="25"/>
        <v>-8.6797315436241661E-3</v>
      </c>
      <c r="P257" s="712">
        <f t="shared" si="26"/>
        <v>1.2283042360324802E-2</v>
      </c>
      <c r="Q257" s="713">
        <f t="shared" si="27"/>
        <v>-1.0661351022658302E-4</v>
      </c>
    </row>
    <row r="258" spans="1:17">
      <c r="A258" s="3" t="s">
        <v>1836</v>
      </c>
      <c r="B258" s="3" t="s">
        <v>2567</v>
      </c>
      <c r="C258" s="3" t="s">
        <v>1837</v>
      </c>
      <c r="D258" s="3">
        <v>24312868769.799995</v>
      </c>
      <c r="E258" s="3">
        <v>3.2874789444132513</v>
      </c>
      <c r="F258" s="3">
        <v>3.42</v>
      </c>
      <c r="G258" s="3">
        <v>341.28109999999998</v>
      </c>
      <c r="H258" s="3">
        <v>71.239999999999995</v>
      </c>
      <c r="I258" s="706"/>
      <c r="J258" s="707" t="str">
        <f t="shared" si="28"/>
        <v>Kellogg Co</v>
      </c>
      <c r="K258" s="708" t="str">
        <f t="shared" si="28"/>
        <v>K</v>
      </c>
      <c r="L258" s="709">
        <f t="shared" si="22"/>
        <v>24312.868769799996</v>
      </c>
      <c r="M258" s="710">
        <f t="shared" si="23"/>
        <v>3.287478944413251E-2</v>
      </c>
      <c r="N258" s="710">
        <f t="shared" si="24"/>
        <v>3.4200000000000001E-2</v>
      </c>
      <c r="O258" s="711">
        <f t="shared" si="25"/>
        <v>6.7636948343627171E-2</v>
      </c>
      <c r="P258" s="712">
        <f t="shared" si="26"/>
        <v>7.5922583460554362E-4</v>
      </c>
      <c r="Q258" s="713">
        <f t="shared" si="27"/>
        <v>5.1351718556362378E-5</v>
      </c>
    </row>
    <row r="259" spans="1:17">
      <c r="A259" s="3" t="s">
        <v>4307</v>
      </c>
      <c r="B259" s="3" t="s">
        <v>4308</v>
      </c>
      <c r="C259" s="3" t="s">
        <v>4309</v>
      </c>
      <c r="D259" s="3">
        <v>50503521607.619995</v>
      </c>
      <c r="E259" s="3">
        <v>2.1564778463264167</v>
      </c>
      <c r="F259" s="3">
        <v>6.41</v>
      </c>
      <c r="G259" s="3">
        <v>1416.251</v>
      </c>
      <c r="H259" s="3">
        <v>35.659999999999997</v>
      </c>
      <c r="I259" s="706"/>
      <c r="J259" s="707" t="str">
        <f t="shared" si="28"/>
        <v>Keurig Dr Pepper Inc</v>
      </c>
      <c r="K259" s="708" t="str">
        <f t="shared" si="28"/>
        <v>KDP</v>
      </c>
      <c r="L259" s="709">
        <f t="shared" ref="L259:L322" si="29">D259/1000000</f>
        <v>50503.521607619994</v>
      </c>
      <c r="M259" s="710">
        <f t="shared" ref="M259:M322" si="30">IFERROR(E259/100,"0.00%")</f>
        <v>2.1564778463264166E-2</v>
      </c>
      <c r="N259" s="710">
        <f t="shared" ref="N259:N322" si="31">IFERROR(F259/100,"N/A")</f>
        <v>6.4100000000000004E-2</v>
      </c>
      <c r="O259" s="711">
        <f t="shared" ref="O259:O322" si="32">IFERROR(M259*(1+0.5*N259)+N259,"N/A")</f>
        <v>8.6355929613011778E-2</v>
      </c>
      <c r="P259" s="712">
        <f t="shared" ref="P259:P322" si="33">IF(N259="N/A","N/A",L259/$L$504)</f>
        <v>1.5770898410265974E-3</v>
      </c>
      <c r="Q259" s="713">
        <f t="shared" ref="Q259:Q322" si="34">IF(AND(ISNUMBER(L259),ISNUMBER(O259)),O259*P259,"N/A")</f>
        <v>1.3619105930508878E-4</v>
      </c>
    </row>
    <row r="260" spans="1:17">
      <c r="A260" s="3" t="s">
        <v>1838</v>
      </c>
      <c r="B260" s="3" t="s">
        <v>2568</v>
      </c>
      <c r="C260" s="3" t="s">
        <v>1839</v>
      </c>
      <c r="D260" s="3">
        <v>16252330310.060003</v>
      </c>
      <c r="E260" s="3">
        <v>4.5407577497129736</v>
      </c>
      <c r="F260" s="3">
        <v>8.2149999999999999</v>
      </c>
      <c r="G260" s="3">
        <v>932.96960000000001</v>
      </c>
      <c r="H260" s="3">
        <v>17.420000000000002</v>
      </c>
      <c r="I260" s="706"/>
      <c r="J260" s="707" t="str">
        <f t="shared" ref="J260:K323" si="35">B260</f>
        <v>KeyCorp</v>
      </c>
      <c r="K260" s="708" t="str">
        <f t="shared" si="35"/>
        <v>KEY</v>
      </c>
      <c r="L260" s="709">
        <f t="shared" si="29"/>
        <v>16252.330310060002</v>
      </c>
      <c r="M260" s="710">
        <f t="shared" si="30"/>
        <v>4.5407577497129738E-2</v>
      </c>
      <c r="N260" s="710">
        <f t="shared" si="31"/>
        <v>8.2150000000000001E-2</v>
      </c>
      <c r="O260" s="711">
        <f t="shared" si="32"/>
        <v>0.12942269374282434</v>
      </c>
      <c r="P260" s="712">
        <f t="shared" si="33"/>
        <v>5.0751678712909797E-4</v>
      </c>
      <c r="Q260" s="713">
        <f t="shared" si="34"/>
        <v>6.5684189709951419E-5</v>
      </c>
    </row>
    <row r="261" spans="1:17">
      <c r="A261" s="3" t="s">
        <v>2569</v>
      </c>
      <c r="B261" s="3" t="s">
        <v>2570</v>
      </c>
      <c r="C261" s="3" t="s">
        <v>2571</v>
      </c>
      <c r="D261" s="3">
        <v>30586539342.199997</v>
      </c>
      <c r="E261" s="3" t="s">
        <v>1483</v>
      </c>
      <c r="F261" s="3">
        <v>6.6000000000000005</v>
      </c>
      <c r="G261" s="3">
        <v>178.7955</v>
      </c>
      <c r="H261" s="3">
        <v>171.07</v>
      </c>
      <c r="I261" s="706"/>
      <c r="J261" s="707" t="str">
        <f t="shared" si="35"/>
        <v>Keysight Technologies Inc</v>
      </c>
      <c r="K261" s="708" t="str">
        <f t="shared" si="35"/>
        <v>KEYS</v>
      </c>
      <c r="L261" s="709">
        <f t="shared" si="29"/>
        <v>30586.539342199998</v>
      </c>
      <c r="M261" s="710" t="str">
        <f t="shared" si="30"/>
        <v>0.00%</v>
      </c>
      <c r="N261" s="710">
        <f t="shared" si="31"/>
        <v>6.6000000000000003E-2</v>
      </c>
      <c r="O261" s="711">
        <f t="shared" si="32"/>
        <v>6.6000000000000003E-2</v>
      </c>
      <c r="P261" s="712">
        <f t="shared" si="33"/>
        <v>9.5513577931297827E-4</v>
      </c>
      <c r="Q261" s="713">
        <f t="shared" si="34"/>
        <v>6.3038961434656567E-5</v>
      </c>
    </row>
    <row r="262" spans="1:17">
      <c r="A262" s="3" t="s">
        <v>1840</v>
      </c>
      <c r="B262" s="3" t="s">
        <v>2572</v>
      </c>
      <c r="C262" s="3" t="s">
        <v>1841</v>
      </c>
      <c r="D262" s="3">
        <v>49866906976.440002</v>
      </c>
      <c r="E262" s="3">
        <v>3.9302382706951606</v>
      </c>
      <c r="F262" s="3">
        <v>1.5649999999999999</v>
      </c>
      <c r="G262" s="3">
        <v>1224.9299999999998</v>
      </c>
      <c r="H262" s="3">
        <v>40.71</v>
      </c>
      <c r="I262" s="706"/>
      <c r="J262" s="707" t="str">
        <f t="shared" si="35"/>
        <v>Kraft Heinz Co/The</v>
      </c>
      <c r="K262" s="708" t="str">
        <f t="shared" si="35"/>
        <v>KHC</v>
      </c>
      <c r="L262" s="709">
        <f t="shared" si="29"/>
        <v>49866.906976440005</v>
      </c>
      <c r="M262" s="710">
        <f t="shared" si="30"/>
        <v>3.9302382706951605E-2</v>
      </c>
      <c r="N262" s="710">
        <f t="shared" si="31"/>
        <v>1.5650000000000001E-2</v>
      </c>
      <c r="O262" s="711">
        <f t="shared" si="32"/>
        <v>5.5259923851633502E-2</v>
      </c>
      <c r="P262" s="712">
        <f t="shared" si="33"/>
        <v>1.5572100695666329E-3</v>
      </c>
      <c r="Q262" s="713">
        <f t="shared" si="34"/>
        <v>8.605130986524904E-5</v>
      </c>
    </row>
    <row r="263" spans="1:17">
      <c r="A263" s="3" t="s">
        <v>1842</v>
      </c>
      <c r="B263" s="3" t="s">
        <v>2573</v>
      </c>
      <c r="C263" s="3" t="s">
        <v>1843</v>
      </c>
      <c r="D263" s="3">
        <v>13099000358.219999</v>
      </c>
      <c r="E263" s="3">
        <v>3.9801699716713879</v>
      </c>
      <c r="F263" s="3">
        <v>7.8100000000000005</v>
      </c>
      <c r="G263" s="3">
        <v>618.46079999999995</v>
      </c>
      <c r="H263" s="3">
        <v>21.18</v>
      </c>
      <c r="I263" s="706"/>
      <c r="J263" s="707" t="str">
        <f t="shared" si="35"/>
        <v>Kimco Realty Corp</v>
      </c>
      <c r="K263" s="708" t="str">
        <f t="shared" si="35"/>
        <v>KIM</v>
      </c>
      <c r="L263" s="709">
        <f t="shared" si="29"/>
        <v>13099.000358219999</v>
      </c>
      <c r="M263" s="710">
        <f t="shared" si="30"/>
        <v>3.9801699716713879E-2</v>
      </c>
      <c r="N263" s="710">
        <f t="shared" si="31"/>
        <v>7.8100000000000003E-2</v>
      </c>
      <c r="O263" s="711">
        <f t="shared" si="32"/>
        <v>0.11945595609065156</v>
      </c>
      <c r="P263" s="712">
        <f t="shared" si="33"/>
        <v>4.0904673050434537E-4</v>
      </c>
      <c r="Q263" s="713">
        <f t="shared" si="34"/>
        <v>4.8863068278151663E-5</v>
      </c>
    </row>
    <row r="264" spans="1:17">
      <c r="A264" s="3" t="s">
        <v>1844</v>
      </c>
      <c r="B264" s="3" t="s">
        <v>2908</v>
      </c>
      <c r="C264" s="3" t="s">
        <v>1845</v>
      </c>
      <c r="D264" s="3">
        <v>53432060828.80999</v>
      </c>
      <c r="E264" s="3">
        <v>1.3333156512744344</v>
      </c>
      <c r="F264" s="3">
        <v>6.3230000000000004</v>
      </c>
      <c r="G264" s="3">
        <v>141.7183</v>
      </c>
      <c r="H264" s="3">
        <v>377.03</v>
      </c>
      <c r="I264" s="706"/>
      <c r="J264" s="707" t="str">
        <f t="shared" si="35"/>
        <v>KLA Corp</v>
      </c>
      <c r="K264" s="708" t="str">
        <f t="shared" si="35"/>
        <v>KLAC</v>
      </c>
      <c r="L264" s="709">
        <f t="shared" si="29"/>
        <v>53432.06082880999</v>
      </c>
      <c r="M264" s="710">
        <f t="shared" si="30"/>
        <v>1.3333156512744344E-2</v>
      </c>
      <c r="N264" s="710">
        <f t="shared" si="31"/>
        <v>6.3230000000000008E-2</v>
      </c>
      <c r="O264" s="711">
        <f t="shared" si="32"/>
        <v>7.6984684255894761E-2</v>
      </c>
      <c r="P264" s="712">
        <f t="shared" si="33"/>
        <v>1.6685402846346692E-3</v>
      </c>
      <c r="Q264" s="713">
        <f t="shared" si="34"/>
        <v>1.2845204698084078E-4</v>
      </c>
    </row>
    <row r="265" spans="1:17">
      <c r="A265" s="3" t="s">
        <v>1846</v>
      </c>
      <c r="B265" s="3" t="s">
        <v>2574</v>
      </c>
      <c r="C265" s="3" t="s">
        <v>1847</v>
      </c>
      <c r="D265" s="3">
        <v>45814551760.5</v>
      </c>
      <c r="E265" s="3">
        <v>3.387108655616943</v>
      </c>
      <c r="F265" s="3">
        <v>6.6400000000000006</v>
      </c>
      <c r="G265" s="3">
        <v>337.49209999999999</v>
      </c>
      <c r="H265" s="3">
        <v>135.75</v>
      </c>
      <c r="I265" s="706"/>
      <c r="J265" s="707" t="str">
        <f t="shared" si="35"/>
        <v>Kimberly-Clark Corp</v>
      </c>
      <c r="K265" s="708" t="str">
        <f t="shared" si="35"/>
        <v>KMB</v>
      </c>
      <c r="L265" s="709">
        <f t="shared" si="29"/>
        <v>45814.551760499999</v>
      </c>
      <c r="M265" s="710">
        <f t="shared" si="30"/>
        <v>3.3871086556169432E-2</v>
      </c>
      <c r="N265" s="710">
        <f t="shared" si="31"/>
        <v>6.6400000000000001E-2</v>
      </c>
      <c r="O265" s="711">
        <f t="shared" si="32"/>
        <v>0.10139560662983425</v>
      </c>
      <c r="P265" s="712">
        <f t="shared" si="33"/>
        <v>1.4306658595817621E-3</v>
      </c>
      <c r="Q265" s="713">
        <f t="shared" si="34"/>
        <v>1.4506323271688603E-4</v>
      </c>
    </row>
    <row r="266" spans="1:17">
      <c r="A266" s="3" t="s">
        <v>1848</v>
      </c>
      <c r="B266" s="3" t="s">
        <v>3000</v>
      </c>
      <c r="C266" s="3" t="s">
        <v>1849</v>
      </c>
      <c r="D266" s="3">
        <v>40639176643.679993</v>
      </c>
      <c r="E266" s="3">
        <v>6.1283185840707981</v>
      </c>
      <c r="F266" s="3">
        <v>-1</v>
      </c>
      <c r="G266" s="3">
        <v>2247.7419999999997</v>
      </c>
      <c r="H266" s="3">
        <v>18.079999999999998</v>
      </c>
      <c r="I266" s="706"/>
      <c r="J266" s="707" t="str">
        <f t="shared" si="35"/>
        <v>Kinder Morgan Inc</v>
      </c>
      <c r="K266" s="708" t="str">
        <f t="shared" si="35"/>
        <v>KMI</v>
      </c>
      <c r="L266" s="709">
        <f t="shared" si="29"/>
        <v>40639.176643679995</v>
      </c>
      <c r="M266" s="710">
        <f t="shared" si="30"/>
        <v>6.1283185840707979E-2</v>
      </c>
      <c r="N266" s="710">
        <f t="shared" si="31"/>
        <v>-0.01</v>
      </c>
      <c r="O266" s="711">
        <f t="shared" si="32"/>
        <v>5.097676991150444E-2</v>
      </c>
      <c r="P266" s="712">
        <f t="shared" si="33"/>
        <v>1.2690527431014418E-3</v>
      </c>
      <c r="Q266" s="713">
        <f t="shared" si="34"/>
        <v>6.4692209690645757E-5</v>
      </c>
    </row>
    <row r="267" spans="1:17">
      <c r="A267" s="3" t="s">
        <v>1850</v>
      </c>
      <c r="B267" s="3" t="s">
        <v>2575</v>
      </c>
      <c r="C267" s="3" t="s">
        <v>1851</v>
      </c>
      <c r="D267" s="3">
        <v>9621801144.2200012</v>
      </c>
      <c r="E267" s="3" t="s">
        <v>1483</v>
      </c>
      <c r="F267" s="3">
        <v>8.2249999999999996</v>
      </c>
      <c r="G267" s="3">
        <v>158.01939999999999</v>
      </c>
      <c r="H267" s="3">
        <v>60.89</v>
      </c>
      <c r="I267" s="706"/>
      <c r="J267" s="707" t="str">
        <f t="shared" si="35"/>
        <v>CarMax Inc</v>
      </c>
      <c r="K267" s="708" t="str">
        <f t="shared" si="35"/>
        <v>KMX</v>
      </c>
      <c r="L267" s="709">
        <f t="shared" si="29"/>
        <v>9621.8011442200004</v>
      </c>
      <c r="M267" s="710" t="str">
        <f t="shared" si="30"/>
        <v>0.00%</v>
      </c>
      <c r="N267" s="710">
        <f t="shared" si="31"/>
        <v>8.224999999999999E-2</v>
      </c>
      <c r="O267" s="711">
        <f t="shared" si="32"/>
        <v>8.224999999999999E-2</v>
      </c>
      <c r="P267" s="712">
        <f t="shared" si="33"/>
        <v>3.0046310344104647E-4</v>
      </c>
      <c r="Q267" s="713">
        <f t="shared" si="34"/>
        <v>2.4713090258026068E-5</v>
      </c>
    </row>
    <row r="268" spans="1:17">
      <c r="A268" s="3" t="s">
        <v>1852</v>
      </c>
      <c r="B268" s="3" t="s">
        <v>2576</v>
      </c>
      <c r="C268" s="3" t="s">
        <v>1853</v>
      </c>
      <c r="D268" s="3">
        <v>275082288723.04004</v>
      </c>
      <c r="E268" s="3">
        <v>2.7590001572079861</v>
      </c>
      <c r="F268" s="3">
        <v>6.117</v>
      </c>
      <c r="G268" s="3">
        <v>4324.5129999999999</v>
      </c>
      <c r="H268" s="3">
        <v>63.61</v>
      </c>
      <c r="I268" s="706"/>
      <c r="J268" s="707" t="str">
        <f t="shared" si="35"/>
        <v>Coca-Cola Co/The</v>
      </c>
      <c r="K268" s="708" t="str">
        <f t="shared" si="35"/>
        <v>KO</v>
      </c>
      <c r="L268" s="709">
        <f t="shared" si="29"/>
        <v>275082.28872304002</v>
      </c>
      <c r="M268" s="710">
        <f t="shared" si="30"/>
        <v>2.7590001572079862E-2</v>
      </c>
      <c r="N268" s="710">
        <f t="shared" si="31"/>
        <v>6.1170000000000002E-2</v>
      </c>
      <c r="O268" s="711">
        <f t="shared" si="32"/>
        <v>8.9603841770161924E-2</v>
      </c>
      <c r="P268" s="712">
        <f t="shared" si="33"/>
        <v>8.5900838037004396E-3</v>
      </c>
      <c r="Q268" s="713">
        <f t="shared" si="34"/>
        <v>7.6970450993920486E-4</v>
      </c>
    </row>
    <row r="269" spans="1:17">
      <c r="A269" s="3" t="s">
        <v>1854</v>
      </c>
      <c r="B269" s="3" t="s">
        <v>2577</v>
      </c>
      <c r="C269" s="3" t="s">
        <v>185</v>
      </c>
      <c r="D269" s="3">
        <v>31911339187.499996</v>
      </c>
      <c r="E269" s="3">
        <v>2.1691341408703457</v>
      </c>
      <c r="F269" s="3">
        <v>11.743</v>
      </c>
      <c r="G269" s="3">
        <v>715.82189999999991</v>
      </c>
      <c r="H269" s="3">
        <v>44.58</v>
      </c>
      <c r="I269" s="706"/>
      <c r="J269" s="707" t="str">
        <f t="shared" si="35"/>
        <v>Kroger Co/The</v>
      </c>
      <c r="K269" s="708" t="str">
        <f t="shared" si="35"/>
        <v>KR</v>
      </c>
      <c r="L269" s="709">
        <f t="shared" si="29"/>
        <v>31911.339187499998</v>
      </c>
      <c r="M269" s="710">
        <f t="shared" si="30"/>
        <v>2.1691341408703456E-2</v>
      </c>
      <c r="N269" s="710">
        <f t="shared" si="31"/>
        <v>0.11743000000000001</v>
      </c>
      <c r="O269" s="711">
        <f t="shared" si="32"/>
        <v>0.14039494851951548</v>
      </c>
      <c r="P269" s="712">
        <f t="shared" si="33"/>
        <v>9.9650573354407093E-4</v>
      </c>
      <c r="Q269" s="713">
        <f t="shared" si="34"/>
        <v>1.3990437116032185E-4</v>
      </c>
    </row>
    <row r="270" spans="1:17">
      <c r="A270" s="3" t="s">
        <v>1855</v>
      </c>
      <c r="B270" s="3" t="s">
        <v>2578</v>
      </c>
      <c r="C270" s="3" t="s">
        <v>1856</v>
      </c>
      <c r="D270" s="3">
        <v>13849119943.16</v>
      </c>
      <c r="E270" s="3" t="s">
        <v>1483</v>
      </c>
      <c r="F270" s="3" t="s">
        <v>1483</v>
      </c>
      <c r="G270" s="3">
        <v>237.4271</v>
      </c>
      <c r="H270" s="3">
        <v>58.33</v>
      </c>
      <c r="I270" s="706"/>
      <c r="J270" s="707" t="str">
        <f t="shared" si="35"/>
        <v>Loews Corp</v>
      </c>
      <c r="K270" s="708" t="str">
        <f t="shared" si="35"/>
        <v>L</v>
      </c>
      <c r="L270" s="709">
        <f t="shared" si="29"/>
        <v>13849.11994316</v>
      </c>
      <c r="M270" s="710" t="str">
        <f t="shared" si="30"/>
        <v>0.00%</v>
      </c>
      <c r="N270" s="710" t="str">
        <f t="shared" si="31"/>
        <v>N/A</v>
      </c>
      <c r="O270" s="711" t="str">
        <f t="shared" si="32"/>
        <v>N/A</v>
      </c>
      <c r="P270" s="712" t="str">
        <f t="shared" si="33"/>
        <v>N/A</v>
      </c>
      <c r="Q270" s="713" t="str">
        <f t="shared" si="34"/>
        <v>N/A</v>
      </c>
    </row>
    <row r="271" spans="1:17">
      <c r="A271" s="3" t="s">
        <v>2909</v>
      </c>
      <c r="B271" s="3" t="s">
        <v>2910</v>
      </c>
      <c r="C271" s="3" t="s">
        <v>2911</v>
      </c>
      <c r="D271" s="3">
        <v>14378374500.830002</v>
      </c>
      <c r="E271" s="3">
        <v>1.3860633140032321</v>
      </c>
      <c r="F271" s="3">
        <v>5.1100000000000003</v>
      </c>
      <c r="G271" s="3">
        <v>136.68959999999998</v>
      </c>
      <c r="H271" s="3">
        <v>105.19</v>
      </c>
      <c r="I271" s="706"/>
      <c r="J271" s="707" t="str">
        <f t="shared" si="35"/>
        <v>Leidos Holdings Inc</v>
      </c>
      <c r="K271" s="708" t="str">
        <f t="shared" si="35"/>
        <v>LDOS</v>
      </c>
      <c r="L271" s="709">
        <f t="shared" si="29"/>
        <v>14378.374500830001</v>
      </c>
      <c r="M271" s="710">
        <f t="shared" si="30"/>
        <v>1.3860633140032321E-2</v>
      </c>
      <c r="N271" s="710">
        <f t="shared" si="31"/>
        <v>5.1100000000000007E-2</v>
      </c>
      <c r="O271" s="711">
        <f t="shared" si="32"/>
        <v>6.5314772316760153E-2</v>
      </c>
      <c r="P271" s="712">
        <f t="shared" si="33"/>
        <v>4.4899816159183452E-4</v>
      </c>
      <c r="Q271" s="713">
        <f t="shared" si="34"/>
        <v>2.9326212695014555E-5</v>
      </c>
    </row>
    <row r="272" spans="1:17">
      <c r="A272" s="3" t="s">
        <v>1857</v>
      </c>
      <c r="B272" s="3" t="s">
        <v>2579</v>
      </c>
      <c r="C272" s="3" t="s">
        <v>1858</v>
      </c>
      <c r="D272" s="3">
        <v>25778381363.560001</v>
      </c>
      <c r="E272" s="3">
        <v>1.7005524861878454</v>
      </c>
      <c r="F272" s="3">
        <v>-8.7100000000000009</v>
      </c>
      <c r="G272" s="3">
        <v>254.76739999999998</v>
      </c>
      <c r="H272" s="3">
        <v>90.5</v>
      </c>
      <c r="I272" s="706"/>
      <c r="J272" s="707" t="str">
        <f t="shared" si="35"/>
        <v>Lennar Corp</v>
      </c>
      <c r="K272" s="708" t="str">
        <f t="shared" si="35"/>
        <v>LEN</v>
      </c>
      <c r="L272" s="709">
        <f t="shared" si="29"/>
        <v>25778.381363560002</v>
      </c>
      <c r="M272" s="710">
        <f t="shared" si="30"/>
        <v>1.7005524861878455E-2</v>
      </c>
      <c r="N272" s="710">
        <f t="shared" si="31"/>
        <v>-8.7100000000000011E-2</v>
      </c>
      <c r="O272" s="711">
        <f t="shared" si="32"/>
        <v>-7.0835065745856365E-2</v>
      </c>
      <c r="P272" s="712">
        <f t="shared" si="33"/>
        <v>8.0498987144781255E-4</v>
      </c>
      <c r="Q272" s="713">
        <f t="shared" si="34"/>
        <v>-5.7021510468754264E-5</v>
      </c>
    </row>
    <row r="273" spans="1:17">
      <c r="A273" s="3" t="s">
        <v>1859</v>
      </c>
      <c r="B273" s="3" t="s">
        <v>2580</v>
      </c>
      <c r="C273" s="3" t="s">
        <v>1310</v>
      </c>
      <c r="D273" s="3">
        <v>20863528000</v>
      </c>
      <c r="E273" s="3">
        <v>0.92152199762187881</v>
      </c>
      <c r="F273" s="3">
        <v>-12.73</v>
      </c>
      <c r="G273" s="3">
        <v>88.6</v>
      </c>
      <c r="H273" s="3">
        <v>235.48</v>
      </c>
      <c r="I273" s="706"/>
      <c r="J273" s="707" t="str">
        <f t="shared" si="35"/>
        <v>Laboratory Corp of America Holdings</v>
      </c>
      <c r="K273" s="708" t="str">
        <f t="shared" si="35"/>
        <v>LH</v>
      </c>
      <c r="L273" s="709">
        <f t="shared" si="29"/>
        <v>20863.527999999998</v>
      </c>
      <c r="M273" s="710">
        <f t="shared" si="30"/>
        <v>9.2152199762187883E-3</v>
      </c>
      <c r="N273" s="710">
        <f t="shared" si="31"/>
        <v>-0.1273</v>
      </c>
      <c r="O273" s="711">
        <f t="shared" si="32"/>
        <v>-0.11867132877526754</v>
      </c>
      <c r="P273" s="712">
        <f t="shared" si="33"/>
        <v>6.5151215221018253E-4</v>
      </c>
      <c r="Q273" s="713">
        <f t="shared" si="34"/>
        <v>-7.7315812816016724E-5</v>
      </c>
    </row>
    <row r="274" spans="1:17">
      <c r="A274" s="3" t="s">
        <v>2912</v>
      </c>
      <c r="B274" s="3" t="s">
        <v>2913</v>
      </c>
      <c r="C274" s="3" t="s">
        <v>2914</v>
      </c>
      <c r="D274" s="3">
        <v>39643765946.949997</v>
      </c>
      <c r="E274" s="3">
        <v>2.1963402334181836</v>
      </c>
      <c r="F274" s="3">
        <v>2.355</v>
      </c>
      <c r="G274" s="3">
        <v>190.40279999999998</v>
      </c>
      <c r="H274" s="3">
        <v>208.21</v>
      </c>
      <c r="I274" s="706"/>
      <c r="J274" s="707" t="str">
        <f t="shared" si="35"/>
        <v>L3Harris Technologies Inc</v>
      </c>
      <c r="K274" s="708" t="str">
        <f t="shared" si="35"/>
        <v>LHX</v>
      </c>
      <c r="L274" s="709">
        <f t="shared" si="29"/>
        <v>39643.765946949999</v>
      </c>
      <c r="M274" s="710">
        <f t="shared" si="30"/>
        <v>2.1963402334181835E-2</v>
      </c>
      <c r="N274" s="710">
        <f t="shared" si="31"/>
        <v>2.3550000000000001E-2</v>
      </c>
      <c r="O274" s="711">
        <f t="shared" si="32"/>
        <v>4.5772021396666834E-2</v>
      </c>
      <c r="P274" s="712">
        <f t="shared" si="33"/>
        <v>1.2379687305912087E-3</v>
      </c>
      <c r="Q274" s="713">
        <f t="shared" si="34"/>
        <v>5.6664331225025284E-5</v>
      </c>
    </row>
    <row r="275" spans="1:17">
      <c r="A275" s="3" t="s">
        <v>2581</v>
      </c>
      <c r="B275" s="3" t="s">
        <v>2582</v>
      </c>
      <c r="C275" s="3" t="s">
        <v>2583</v>
      </c>
      <c r="D275" s="3">
        <v>160670355987.50003</v>
      </c>
      <c r="E275" s="3">
        <v>1.4381629774970874</v>
      </c>
      <c r="F275" s="3">
        <v>9</v>
      </c>
      <c r="G275" s="3">
        <v>492.58189999999996</v>
      </c>
      <c r="H275" s="3">
        <v>326.18</v>
      </c>
      <c r="I275" s="706"/>
      <c r="J275" s="707" t="str">
        <f t="shared" si="35"/>
        <v>Linde PLC</v>
      </c>
      <c r="K275" s="708" t="str">
        <f t="shared" si="35"/>
        <v>LIN</v>
      </c>
      <c r="L275" s="709">
        <f t="shared" si="29"/>
        <v>160670.35598750002</v>
      </c>
      <c r="M275" s="710">
        <f t="shared" si="30"/>
        <v>1.4381629774970874E-2</v>
      </c>
      <c r="N275" s="710">
        <f t="shared" si="31"/>
        <v>0.09</v>
      </c>
      <c r="O275" s="711">
        <f t="shared" si="32"/>
        <v>0.10502880311484455</v>
      </c>
      <c r="P275" s="712">
        <f t="shared" si="33"/>
        <v>5.0173052911181813E-3</v>
      </c>
      <c r="Q275" s="713">
        <f t="shared" si="34"/>
        <v>5.2696156958791931E-4</v>
      </c>
    </row>
    <row r="276" spans="1:17">
      <c r="A276" s="3" t="s">
        <v>1860</v>
      </c>
      <c r="B276" s="3" t="s">
        <v>2584</v>
      </c>
      <c r="C276" s="3" t="s">
        <v>1861</v>
      </c>
      <c r="D276" s="3">
        <v>14269815948.849998</v>
      </c>
      <c r="E276" s="3">
        <v>1.9097547275791051</v>
      </c>
      <c r="F276" s="3">
        <v>9.9849999999999994</v>
      </c>
      <c r="G276" s="3">
        <v>267.17500000000001</v>
      </c>
      <c r="H276" s="3">
        <v>53.41</v>
      </c>
      <c r="I276" s="706"/>
      <c r="J276" s="707" t="str">
        <f t="shared" si="35"/>
        <v>LKQ Corp</v>
      </c>
      <c r="K276" s="708" t="str">
        <f t="shared" si="35"/>
        <v>LKQ</v>
      </c>
      <c r="L276" s="709">
        <f t="shared" si="29"/>
        <v>14269.815948849999</v>
      </c>
      <c r="M276" s="710">
        <f t="shared" si="30"/>
        <v>1.9097547275791053E-2</v>
      </c>
      <c r="N276" s="710">
        <f t="shared" si="31"/>
        <v>9.9849999999999994E-2</v>
      </c>
      <c r="O276" s="711">
        <f t="shared" si="32"/>
        <v>0.11990099232353492</v>
      </c>
      <c r="P276" s="712">
        <f t="shared" si="33"/>
        <v>4.4560816849760265E-4</v>
      </c>
      <c r="Q276" s="713">
        <f t="shared" si="34"/>
        <v>5.3428861590335512E-5</v>
      </c>
    </row>
    <row r="277" spans="1:17">
      <c r="A277" s="3" t="s">
        <v>1862</v>
      </c>
      <c r="B277" s="3" t="s">
        <v>3993</v>
      </c>
      <c r="C277" s="3" t="s">
        <v>1445</v>
      </c>
      <c r="D277" s="3">
        <v>347613082935.99994</v>
      </c>
      <c r="E277" s="3">
        <v>1.0411655368467092</v>
      </c>
      <c r="F277" s="3">
        <v>14.030000000000001</v>
      </c>
      <c r="G277" s="3">
        <v>950.17789999999991</v>
      </c>
      <c r="H277" s="3">
        <v>365.84</v>
      </c>
      <c r="I277" s="706"/>
      <c r="J277" s="707" t="str">
        <f t="shared" si="35"/>
        <v>Eli Lilly &amp; Co</v>
      </c>
      <c r="K277" s="708" t="str">
        <f t="shared" si="35"/>
        <v>LLY</v>
      </c>
      <c r="L277" s="709">
        <f t="shared" si="29"/>
        <v>347613.08293599996</v>
      </c>
      <c r="M277" s="710">
        <f t="shared" si="30"/>
        <v>1.0411655368467092E-2</v>
      </c>
      <c r="N277" s="710">
        <f t="shared" si="31"/>
        <v>0.14030000000000001</v>
      </c>
      <c r="O277" s="711">
        <f t="shared" si="32"/>
        <v>0.15144203299256506</v>
      </c>
      <c r="P277" s="712">
        <f t="shared" si="33"/>
        <v>1.0855026426980616E-2</v>
      </c>
      <c r="Q277" s="713">
        <f t="shared" si="34"/>
        <v>1.643907270289964E-3</v>
      </c>
    </row>
    <row r="278" spans="1:17">
      <c r="A278" s="3" t="s">
        <v>1863</v>
      </c>
      <c r="B278" s="3" t="s">
        <v>2585</v>
      </c>
      <c r="C278" s="3" t="s">
        <v>1864</v>
      </c>
      <c r="D278" s="3">
        <v>127496362259.87</v>
      </c>
      <c r="E278" s="3">
        <v>2.1500955826430141</v>
      </c>
      <c r="F278" s="3">
        <v>8.09</v>
      </c>
      <c r="G278" s="3">
        <v>262.07400000000001</v>
      </c>
      <c r="H278" s="3">
        <v>486.49</v>
      </c>
      <c r="I278" s="706"/>
      <c r="J278" s="707" t="str">
        <f t="shared" si="35"/>
        <v>Lockheed Martin Corp</v>
      </c>
      <c r="K278" s="708" t="str">
        <f t="shared" si="35"/>
        <v>LMT</v>
      </c>
      <c r="L278" s="709">
        <f t="shared" si="29"/>
        <v>127496.36225987</v>
      </c>
      <c r="M278" s="710">
        <f t="shared" si="30"/>
        <v>2.1500955826430142E-2</v>
      </c>
      <c r="N278" s="710">
        <f t="shared" si="31"/>
        <v>8.09E-2</v>
      </c>
      <c r="O278" s="711">
        <f t="shared" si="32"/>
        <v>0.10327066948960925</v>
      </c>
      <c r="P278" s="712">
        <f t="shared" si="33"/>
        <v>3.9813702349332765E-3</v>
      </c>
      <c r="Q278" s="713">
        <f t="shared" si="34"/>
        <v>4.1115876964756233E-4</v>
      </c>
    </row>
    <row r="279" spans="1:17">
      <c r="A279" s="3" t="s">
        <v>1865</v>
      </c>
      <c r="B279" s="3" t="s">
        <v>2586</v>
      </c>
      <c r="C279" s="3" t="s">
        <v>1866</v>
      </c>
      <c r="D279" s="3">
        <v>5198299054.0799999</v>
      </c>
      <c r="E279" s="3">
        <v>5.911458333333333</v>
      </c>
      <c r="F279" s="3">
        <v>8.24</v>
      </c>
      <c r="G279" s="3">
        <v>169.21549999999999</v>
      </c>
      <c r="H279" s="3">
        <v>30.72</v>
      </c>
      <c r="I279" s="706"/>
      <c r="J279" s="707" t="str">
        <f t="shared" si="35"/>
        <v>Lincoln National Corp</v>
      </c>
      <c r="K279" s="708" t="str">
        <f t="shared" si="35"/>
        <v>LNC</v>
      </c>
      <c r="L279" s="709">
        <f t="shared" si="29"/>
        <v>5198.2990540800001</v>
      </c>
      <c r="M279" s="710">
        <f t="shared" si="30"/>
        <v>5.9114583333333331E-2</v>
      </c>
      <c r="N279" s="710">
        <f t="shared" si="31"/>
        <v>8.2400000000000001E-2</v>
      </c>
      <c r="O279" s="711">
        <f t="shared" si="32"/>
        <v>0.14395010416666665</v>
      </c>
      <c r="P279" s="712">
        <f t="shared" si="33"/>
        <v>1.6232896970041775E-4</v>
      </c>
      <c r="Q279" s="713">
        <f t="shared" si="34"/>
        <v>2.336727209764281E-5</v>
      </c>
    </row>
    <row r="280" spans="1:17">
      <c r="A280" s="3" t="s">
        <v>2587</v>
      </c>
      <c r="B280" s="3" t="s">
        <v>2588</v>
      </c>
      <c r="C280" s="3" t="s">
        <v>1355</v>
      </c>
      <c r="D280" s="3">
        <v>13858915234.300001</v>
      </c>
      <c r="E280" s="3">
        <v>3.0972649882267707</v>
      </c>
      <c r="F280" s="3">
        <v>6.3</v>
      </c>
      <c r="G280" s="3">
        <v>251.02179999999998</v>
      </c>
      <c r="H280" s="3">
        <v>55.21</v>
      </c>
      <c r="I280" s="706"/>
      <c r="J280" s="707" t="str">
        <f t="shared" si="35"/>
        <v>Alliant Energy Corp</v>
      </c>
      <c r="K280" s="708" t="str">
        <f t="shared" si="35"/>
        <v>LNT</v>
      </c>
      <c r="L280" s="709">
        <f t="shared" si="29"/>
        <v>13858.915234300001</v>
      </c>
      <c r="M280" s="710">
        <f t="shared" si="30"/>
        <v>3.0972649882267708E-2</v>
      </c>
      <c r="N280" s="710">
        <f t="shared" si="31"/>
        <v>6.3E-2</v>
      </c>
      <c r="O280" s="711">
        <f t="shared" si="32"/>
        <v>9.4948288353559146E-2</v>
      </c>
      <c r="P280" s="712">
        <f t="shared" si="33"/>
        <v>4.3277683868218642E-4</v>
      </c>
      <c r="Q280" s="713">
        <f t="shared" si="34"/>
        <v>4.1091420071937985E-5</v>
      </c>
    </row>
    <row r="281" spans="1:17">
      <c r="A281" s="3" t="s">
        <v>1867</v>
      </c>
      <c r="B281" s="3" t="s">
        <v>2589</v>
      </c>
      <c r="C281" s="3" t="s">
        <v>1868</v>
      </c>
      <c r="D281" s="3">
        <v>120480941043.00002</v>
      </c>
      <c r="E281" s="3">
        <v>1.974001204577394</v>
      </c>
      <c r="F281" s="3">
        <v>18.43</v>
      </c>
      <c r="G281" s="3">
        <v>604.70259999999996</v>
      </c>
      <c r="H281" s="3">
        <v>199.24</v>
      </c>
      <c r="I281" s="706"/>
      <c r="J281" s="707" t="str">
        <f t="shared" si="35"/>
        <v>Lowe's Cos Inc</v>
      </c>
      <c r="K281" s="708" t="str">
        <f t="shared" si="35"/>
        <v>LOW</v>
      </c>
      <c r="L281" s="709">
        <f t="shared" si="29"/>
        <v>120480.94104300001</v>
      </c>
      <c r="M281" s="710">
        <f t="shared" si="30"/>
        <v>1.9740012045773941E-2</v>
      </c>
      <c r="N281" s="710">
        <f t="shared" si="31"/>
        <v>0.18429999999999999</v>
      </c>
      <c r="O281" s="711">
        <f t="shared" si="32"/>
        <v>0.205859054155792</v>
      </c>
      <c r="P281" s="712">
        <f t="shared" si="33"/>
        <v>3.7622974023968072E-3</v>
      </c>
      <c r="Q281" s="713">
        <f t="shared" si="34"/>
        <v>7.7450298471019993E-4</v>
      </c>
    </row>
    <row r="282" spans="1:17">
      <c r="A282" s="3" t="s">
        <v>1869</v>
      </c>
      <c r="B282" s="3" t="s">
        <v>2590</v>
      </c>
      <c r="C282" s="3" t="s">
        <v>1870</v>
      </c>
      <c r="D282" s="3">
        <v>57320234920.800003</v>
      </c>
      <c r="E282" s="3">
        <v>1.5845824411134903</v>
      </c>
      <c r="F282" s="3">
        <v>1.81</v>
      </c>
      <c r="G282" s="3">
        <v>136.3793</v>
      </c>
      <c r="H282" s="3">
        <v>420.3</v>
      </c>
      <c r="I282" s="706"/>
      <c r="J282" s="707" t="str">
        <f t="shared" si="35"/>
        <v>Lam Research Corp</v>
      </c>
      <c r="K282" s="708" t="str">
        <f t="shared" si="35"/>
        <v>LRCX</v>
      </c>
      <c r="L282" s="709">
        <f t="shared" si="29"/>
        <v>57320.234920800001</v>
      </c>
      <c r="M282" s="710">
        <f t="shared" si="30"/>
        <v>1.5845824411134902E-2</v>
      </c>
      <c r="N282" s="710">
        <f t="shared" si="31"/>
        <v>1.8100000000000002E-2</v>
      </c>
      <c r="O282" s="711">
        <f t="shared" si="32"/>
        <v>3.408922912205567E-2</v>
      </c>
      <c r="P282" s="712">
        <f t="shared" si="33"/>
        <v>1.7899575574391671E-3</v>
      </c>
      <c r="Q282" s="713">
        <f t="shared" si="34"/>
        <v>6.1018273294298891E-5</v>
      </c>
    </row>
    <row r="283" spans="1:17">
      <c r="A283" s="3" t="s">
        <v>3917</v>
      </c>
      <c r="B283" s="3" t="s">
        <v>3944</v>
      </c>
      <c r="C283" s="3" t="s">
        <v>3918</v>
      </c>
      <c r="D283" s="3">
        <v>5400522440.4599991</v>
      </c>
      <c r="E283" s="3">
        <v>14.367816091954024</v>
      </c>
      <c r="F283" s="3">
        <v>-14.065</v>
      </c>
      <c r="G283" s="3">
        <v>1034.5829999999999</v>
      </c>
      <c r="H283" s="3">
        <v>5.22</v>
      </c>
      <c r="I283" s="706"/>
      <c r="J283" s="707" t="str">
        <f t="shared" si="35"/>
        <v>Lumen Technologies Inc</v>
      </c>
      <c r="K283" s="708" t="str">
        <f t="shared" si="35"/>
        <v>LUMN</v>
      </c>
      <c r="L283" s="709">
        <f t="shared" si="29"/>
        <v>5400.5224404599994</v>
      </c>
      <c r="M283" s="710">
        <f t="shared" si="30"/>
        <v>0.14367816091954025</v>
      </c>
      <c r="N283" s="710">
        <f t="shared" si="31"/>
        <v>-0.14065</v>
      </c>
      <c r="O283" s="711">
        <f t="shared" si="32"/>
        <v>-7.0760057471264126E-3</v>
      </c>
      <c r="P283" s="712">
        <f t="shared" si="33"/>
        <v>1.6864386494189678E-4</v>
      </c>
      <c r="Q283" s="713">
        <f t="shared" si="34"/>
        <v>-1.1933249575464721E-6</v>
      </c>
    </row>
    <row r="284" spans="1:17">
      <c r="A284" s="3" t="s">
        <v>1871</v>
      </c>
      <c r="B284" s="3" t="s">
        <v>2591</v>
      </c>
      <c r="C284" s="3" t="s">
        <v>1872</v>
      </c>
      <c r="D284" s="3">
        <v>19991629974.680004</v>
      </c>
      <c r="E284" s="3">
        <v>0</v>
      </c>
      <c r="F284" s="3">
        <v>106.04</v>
      </c>
      <c r="G284" s="3">
        <v>593.75199999999995</v>
      </c>
      <c r="H284" s="3">
        <v>33.67</v>
      </c>
      <c r="I284" s="706"/>
      <c r="J284" s="707" t="str">
        <f t="shared" si="35"/>
        <v>Southwest Airlines Co</v>
      </c>
      <c r="K284" s="708" t="str">
        <f t="shared" si="35"/>
        <v>LUV</v>
      </c>
      <c r="L284" s="709">
        <f t="shared" si="29"/>
        <v>19991.629974680003</v>
      </c>
      <c r="M284" s="710">
        <f t="shared" si="30"/>
        <v>0</v>
      </c>
      <c r="N284" s="710">
        <f t="shared" si="31"/>
        <v>1.0604</v>
      </c>
      <c r="O284" s="711">
        <f t="shared" si="32"/>
        <v>1.0604</v>
      </c>
      <c r="P284" s="712">
        <f t="shared" si="33"/>
        <v>6.2428510992931622E-4</v>
      </c>
      <c r="Q284" s="713">
        <f t="shared" si="34"/>
        <v>6.6199193056904696E-4</v>
      </c>
    </row>
    <row r="285" spans="1:17">
      <c r="A285" s="3" t="s">
        <v>2915</v>
      </c>
      <c r="B285" s="3" t="s">
        <v>2916</v>
      </c>
      <c r="C285" s="3" t="s">
        <v>2917</v>
      </c>
      <c r="D285" s="3">
        <v>36733472118.199997</v>
      </c>
      <c r="E285" s="3">
        <v>0</v>
      </c>
      <c r="F285" s="3">
        <v>-170.9</v>
      </c>
      <c r="G285" s="3">
        <v>764.16629999999998</v>
      </c>
      <c r="H285" s="3">
        <v>48.07</v>
      </c>
      <c r="I285" s="706"/>
      <c r="J285" s="707" t="str">
        <f t="shared" si="35"/>
        <v>Las Vegas Sands Corp</v>
      </c>
      <c r="K285" s="708" t="str">
        <f t="shared" si="35"/>
        <v>LVS</v>
      </c>
      <c r="L285" s="709">
        <f t="shared" si="29"/>
        <v>36733.472118199999</v>
      </c>
      <c r="M285" s="710">
        <f t="shared" si="30"/>
        <v>0</v>
      </c>
      <c r="N285" s="710">
        <f t="shared" si="31"/>
        <v>-1.7090000000000001</v>
      </c>
      <c r="O285" s="711">
        <f t="shared" si="32"/>
        <v>-1.7090000000000001</v>
      </c>
      <c r="P285" s="712">
        <f t="shared" si="33"/>
        <v>1.1470880417674908E-3</v>
      </c>
      <c r="Q285" s="713">
        <f t="shared" si="34"/>
        <v>-1.9603734633806421E-3</v>
      </c>
    </row>
    <row r="286" spans="1:17">
      <c r="A286" s="3" t="s">
        <v>2592</v>
      </c>
      <c r="B286" s="3" t="s">
        <v>2593</v>
      </c>
      <c r="C286" s="3" t="s">
        <v>2594</v>
      </c>
      <c r="D286" s="3">
        <v>12852756389.440001</v>
      </c>
      <c r="E286" s="3">
        <v>1.112354521038496</v>
      </c>
      <c r="F286" s="3">
        <v>26.69</v>
      </c>
      <c r="G286" s="3">
        <v>143.8312</v>
      </c>
      <c r="H286" s="3">
        <v>89.36</v>
      </c>
      <c r="I286" s="706"/>
      <c r="J286" s="707" t="str">
        <f t="shared" si="35"/>
        <v>Lamb Weston Holdings Inc</v>
      </c>
      <c r="K286" s="708" t="str">
        <f t="shared" si="35"/>
        <v>LW</v>
      </c>
      <c r="L286" s="709">
        <f t="shared" si="29"/>
        <v>12852.756389440001</v>
      </c>
      <c r="M286" s="710">
        <f t="shared" si="30"/>
        <v>1.112354521038496E-2</v>
      </c>
      <c r="N286" s="710">
        <f t="shared" si="31"/>
        <v>0.26690000000000003</v>
      </c>
      <c r="O286" s="711">
        <f t="shared" si="32"/>
        <v>0.27950798231871088</v>
      </c>
      <c r="P286" s="712">
        <f t="shared" si="33"/>
        <v>4.0135719026605809E-4</v>
      </c>
      <c r="Q286" s="713">
        <f t="shared" si="34"/>
        <v>1.1218253844037285E-4</v>
      </c>
    </row>
    <row r="287" spans="1:17">
      <c r="A287" s="3" t="s">
        <v>1873</v>
      </c>
      <c r="B287" s="3" t="s">
        <v>2595</v>
      </c>
      <c r="C287" s="3" t="s">
        <v>1874</v>
      </c>
      <c r="D287" s="3">
        <v>27036596671.990002</v>
      </c>
      <c r="E287" s="3">
        <v>5.599181018908828</v>
      </c>
      <c r="F287" s="3">
        <v>14</v>
      </c>
      <c r="G287" s="3">
        <v>325.62439999999998</v>
      </c>
      <c r="H287" s="3">
        <v>83.03</v>
      </c>
      <c r="I287" s="706"/>
      <c r="J287" s="707" t="str">
        <f t="shared" si="35"/>
        <v>LyondellBasell Industries NV</v>
      </c>
      <c r="K287" s="708" t="str">
        <f t="shared" si="35"/>
        <v>LYB</v>
      </c>
      <c r="L287" s="709">
        <f t="shared" si="29"/>
        <v>27036.596671990003</v>
      </c>
      <c r="M287" s="710">
        <f t="shared" si="30"/>
        <v>5.5991810189088283E-2</v>
      </c>
      <c r="N287" s="710">
        <f t="shared" si="31"/>
        <v>0.14000000000000001</v>
      </c>
      <c r="O287" s="711">
        <f t="shared" si="32"/>
        <v>0.19991123690232449</v>
      </c>
      <c r="P287" s="712">
        <f t="shared" si="33"/>
        <v>8.4428056876127884E-4</v>
      </c>
      <c r="Q287" s="713">
        <f t="shared" si="34"/>
        <v>1.6878117279366526E-4</v>
      </c>
    </row>
    <row r="288" spans="1:17">
      <c r="A288" s="3" t="s">
        <v>2960</v>
      </c>
      <c r="B288" s="3" t="s">
        <v>2961</v>
      </c>
      <c r="C288" s="3" t="s">
        <v>2962</v>
      </c>
      <c r="D288" s="3">
        <v>16101562761.459997</v>
      </c>
      <c r="E288" s="3">
        <v>0</v>
      </c>
      <c r="F288" s="3" t="s">
        <v>1483</v>
      </c>
      <c r="G288" s="3">
        <v>230.87989999999999</v>
      </c>
      <c r="H288" s="3">
        <v>69.739999999999995</v>
      </c>
      <c r="I288" s="706"/>
      <c r="J288" s="707" t="str">
        <f t="shared" si="35"/>
        <v>Live Nation Entertainment Inc</v>
      </c>
      <c r="K288" s="708" t="str">
        <f t="shared" si="35"/>
        <v>LYV</v>
      </c>
      <c r="L288" s="709">
        <f t="shared" si="29"/>
        <v>16101.562761459998</v>
      </c>
      <c r="M288" s="710">
        <f t="shared" si="30"/>
        <v>0</v>
      </c>
      <c r="N288" s="710" t="str">
        <f t="shared" si="31"/>
        <v>N/A</v>
      </c>
      <c r="O288" s="711" t="str">
        <f t="shared" si="32"/>
        <v>N/A</v>
      </c>
      <c r="P288" s="712" t="str">
        <f t="shared" si="33"/>
        <v>N/A</v>
      </c>
      <c r="Q288" s="713" t="str">
        <f t="shared" si="34"/>
        <v>N/A</v>
      </c>
    </row>
    <row r="289" spans="1:17">
      <c r="A289" s="3" t="s">
        <v>1875</v>
      </c>
      <c r="B289" s="3" t="s">
        <v>2596</v>
      </c>
      <c r="C289" s="3" t="s">
        <v>1876</v>
      </c>
      <c r="D289" s="3">
        <v>334328407560.75</v>
      </c>
      <c r="E289" s="3">
        <v>0.54812641992350386</v>
      </c>
      <c r="F289" s="3">
        <v>22.558</v>
      </c>
      <c r="G289" s="3">
        <v>953.803</v>
      </c>
      <c r="H289" s="3">
        <v>347.73</v>
      </c>
      <c r="I289" s="706"/>
      <c r="J289" s="707" t="str">
        <f t="shared" si="35"/>
        <v>Mastercard Inc</v>
      </c>
      <c r="K289" s="708" t="str">
        <f t="shared" si="35"/>
        <v>MA</v>
      </c>
      <c r="L289" s="709">
        <f t="shared" si="29"/>
        <v>334328.40756075003</v>
      </c>
      <c r="M289" s="710">
        <f t="shared" si="30"/>
        <v>5.4812641992350386E-3</v>
      </c>
      <c r="N289" s="710">
        <f t="shared" si="31"/>
        <v>0.22558</v>
      </c>
      <c r="O289" s="711">
        <f t="shared" si="32"/>
        <v>0.23167949598826676</v>
      </c>
      <c r="P289" s="712">
        <f t="shared" si="33"/>
        <v>1.044018156252899E-2</v>
      </c>
      <c r="Q289" s="713">
        <f t="shared" si="34"/>
        <v>2.4187760024327117E-3</v>
      </c>
    </row>
    <row r="290" spans="1:17">
      <c r="A290" s="3" t="s">
        <v>2205</v>
      </c>
      <c r="B290" s="3" t="s">
        <v>2597</v>
      </c>
      <c r="C290" s="3" t="s">
        <v>2206</v>
      </c>
      <c r="D290" s="3">
        <v>18128737055.820004</v>
      </c>
      <c r="E290" s="3">
        <v>2.9887253965220717</v>
      </c>
      <c r="F290" s="3" t="s">
        <v>1483</v>
      </c>
      <c r="G290" s="3">
        <v>115.47699999999999</v>
      </c>
      <c r="H290" s="3">
        <v>156.99</v>
      </c>
      <c r="I290" s="706"/>
      <c r="J290" s="707" t="str">
        <f t="shared" si="35"/>
        <v>Mid-America Apartment Communities Inc</v>
      </c>
      <c r="K290" s="708" t="str">
        <f t="shared" si="35"/>
        <v>MAA</v>
      </c>
      <c r="L290" s="709">
        <f t="shared" si="29"/>
        <v>18128.737055820002</v>
      </c>
      <c r="M290" s="710">
        <f t="shared" si="30"/>
        <v>2.9887253965220718E-2</v>
      </c>
      <c r="N290" s="710" t="str">
        <f t="shared" si="31"/>
        <v>N/A</v>
      </c>
      <c r="O290" s="711" t="str">
        <f t="shared" si="32"/>
        <v>N/A</v>
      </c>
      <c r="P290" s="712" t="str">
        <f t="shared" si="33"/>
        <v>N/A</v>
      </c>
      <c r="Q290" s="713" t="str">
        <f t="shared" si="34"/>
        <v>N/A</v>
      </c>
    </row>
    <row r="291" spans="1:17">
      <c r="A291" s="3" t="s">
        <v>1877</v>
      </c>
      <c r="B291" s="3" t="s">
        <v>2598</v>
      </c>
      <c r="C291" s="3" t="s">
        <v>1878</v>
      </c>
      <c r="D291" s="3">
        <v>47129582979.569992</v>
      </c>
      <c r="E291" s="3">
        <v>0.6239505675330782</v>
      </c>
      <c r="F291" s="3">
        <v>38.21</v>
      </c>
      <c r="G291" s="3">
        <v>316.53960000000001</v>
      </c>
      <c r="H291" s="3">
        <v>148.88999999999999</v>
      </c>
      <c r="I291" s="706"/>
      <c r="J291" s="707" t="str">
        <f t="shared" si="35"/>
        <v>Marriott International Inc/MD</v>
      </c>
      <c r="K291" s="708" t="str">
        <f t="shared" si="35"/>
        <v>MAR</v>
      </c>
      <c r="L291" s="709">
        <f t="shared" si="29"/>
        <v>47129.58297956999</v>
      </c>
      <c r="M291" s="710">
        <f t="shared" si="30"/>
        <v>6.239505675330782E-3</v>
      </c>
      <c r="N291" s="710">
        <f t="shared" si="31"/>
        <v>0.3821</v>
      </c>
      <c r="O291" s="711">
        <f t="shared" si="32"/>
        <v>0.3895315632346027</v>
      </c>
      <c r="P291" s="712">
        <f t="shared" si="33"/>
        <v>1.4717307657548635E-3</v>
      </c>
      <c r="Q291" s="713">
        <f t="shared" si="34"/>
        <v>5.7328558584495088E-4</v>
      </c>
    </row>
    <row r="292" spans="1:17">
      <c r="A292" s="3" t="s">
        <v>1879</v>
      </c>
      <c r="B292" s="3" t="s">
        <v>2599</v>
      </c>
      <c r="C292" s="3" t="s">
        <v>1880</v>
      </c>
      <c r="D292" s="3">
        <v>10525444170.410002</v>
      </c>
      <c r="E292" s="3">
        <v>2.3526890936361688</v>
      </c>
      <c r="F292" s="3">
        <v>7.2050000000000001</v>
      </c>
      <c r="G292" s="3">
        <v>225.5291</v>
      </c>
      <c r="H292" s="3">
        <v>46.67</v>
      </c>
      <c r="I292" s="706"/>
      <c r="J292" s="707" t="str">
        <f t="shared" si="35"/>
        <v>Masco Corp</v>
      </c>
      <c r="K292" s="708" t="str">
        <f t="shared" si="35"/>
        <v>MAS</v>
      </c>
      <c r="L292" s="709">
        <f t="shared" si="29"/>
        <v>10525.444170410001</v>
      </c>
      <c r="M292" s="710">
        <f t="shared" si="30"/>
        <v>2.3526890936361688E-2</v>
      </c>
      <c r="N292" s="710">
        <f t="shared" si="31"/>
        <v>7.2050000000000003E-2</v>
      </c>
      <c r="O292" s="711">
        <f t="shared" si="32"/>
        <v>9.6424447182344122E-2</v>
      </c>
      <c r="P292" s="712">
        <f t="shared" si="33"/>
        <v>3.2868145715489439E-4</v>
      </c>
      <c r="Q292" s="713">
        <f t="shared" si="34"/>
        <v>3.1692927805248016E-5</v>
      </c>
    </row>
    <row r="293" spans="1:17">
      <c r="A293" s="3" t="s">
        <v>1881</v>
      </c>
      <c r="B293" s="3" t="s">
        <v>2600</v>
      </c>
      <c r="C293" s="3" t="s">
        <v>1882</v>
      </c>
      <c r="D293" s="3">
        <v>193015668258.75998</v>
      </c>
      <c r="E293" s="3">
        <v>2.1416916480097146</v>
      </c>
      <c r="F293" s="3">
        <v>7.63</v>
      </c>
      <c r="G293" s="3">
        <v>732.4239</v>
      </c>
      <c r="H293" s="3">
        <v>263.52999999999997</v>
      </c>
      <c r="I293" s="706"/>
      <c r="J293" s="707" t="str">
        <f t="shared" si="35"/>
        <v>McDonald's Corp</v>
      </c>
      <c r="K293" s="708" t="str">
        <f t="shared" si="35"/>
        <v>MCD</v>
      </c>
      <c r="L293" s="709">
        <f t="shared" si="29"/>
        <v>193015.66825875998</v>
      </c>
      <c r="M293" s="710">
        <f t="shared" si="30"/>
        <v>2.1416916480097147E-2</v>
      </c>
      <c r="N293" s="710">
        <f t="shared" si="31"/>
        <v>7.6299999999999993E-2</v>
      </c>
      <c r="O293" s="711">
        <f t="shared" si="32"/>
        <v>9.8533971843812851E-2</v>
      </c>
      <c r="P293" s="712">
        <f t="shared" si="33"/>
        <v>6.027362842830385E-3</v>
      </c>
      <c r="Q293" s="713">
        <f t="shared" si="34"/>
        <v>5.9390000064789294E-4</v>
      </c>
    </row>
    <row r="294" spans="1:17">
      <c r="A294" s="3" t="s">
        <v>1883</v>
      </c>
      <c r="B294" s="3" t="s">
        <v>2601</v>
      </c>
      <c r="C294" s="3" t="s">
        <v>1884</v>
      </c>
      <c r="D294" s="3">
        <v>38638111877.5</v>
      </c>
      <c r="E294" s="3">
        <v>1.7822064056939502</v>
      </c>
      <c r="F294" s="3">
        <v>17.824999999999999</v>
      </c>
      <c r="G294" s="3">
        <v>550.00869999999998</v>
      </c>
      <c r="H294" s="3">
        <v>70.25</v>
      </c>
      <c r="I294" s="706"/>
      <c r="J294" s="707" t="str">
        <f t="shared" si="35"/>
        <v>Microchip Technology Inc</v>
      </c>
      <c r="K294" s="708" t="str">
        <f t="shared" si="35"/>
        <v>MCHP</v>
      </c>
      <c r="L294" s="709">
        <f t="shared" si="29"/>
        <v>38638.1118775</v>
      </c>
      <c r="M294" s="710">
        <f t="shared" si="30"/>
        <v>1.78220640569395E-2</v>
      </c>
      <c r="N294" s="710">
        <f t="shared" si="31"/>
        <v>0.17824999999999999</v>
      </c>
      <c r="O294" s="711">
        <f t="shared" si="32"/>
        <v>0.19766045551601422</v>
      </c>
      <c r="P294" s="712">
        <f t="shared" si="33"/>
        <v>1.2065648449604421E-3</v>
      </c>
      <c r="Q294" s="713">
        <f t="shared" si="34"/>
        <v>2.3849015686449007E-4</v>
      </c>
    </row>
    <row r="295" spans="1:17">
      <c r="A295" s="3" t="s">
        <v>1885</v>
      </c>
      <c r="B295" s="3" t="s">
        <v>2602</v>
      </c>
      <c r="C295" s="3" t="s">
        <v>1309</v>
      </c>
      <c r="D295" s="3">
        <v>53189570217.599998</v>
      </c>
      <c r="E295" s="3">
        <v>0.54595862657283001</v>
      </c>
      <c r="F295" s="3">
        <v>15.57</v>
      </c>
      <c r="G295" s="3">
        <v>141.79349999999999</v>
      </c>
      <c r="H295" s="3">
        <v>375.12</v>
      </c>
      <c r="I295" s="706"/>
      <c r="J295" s="707" t="str">
        <f t="shared" si="35"/>
        <v>McKesson Corp</v>
      </c>
      <c r="K295" s="708" t="str">
        <f t="shared" si="35"/>
        <v>MCK</v>
      </c>
      <c r="L295" s="709">
        <f t="shared" si="29"/>
        <v>53189.570217599998</v>
      </c>
      <c r="M295" s="710">
        <f t="shared" si="30"/>
        <v>5.4595862657283003E-3</v>
      </c>
      <c r="N295" s="710">
        <f t="shared" si="31"/>
        <v>0.15570000000000001</v>
      </c>
      <c r="O295" s="711">
        <f t="shared" si="32"/>
        <v>0.16158461505651525</v>
      </c>
      <c r="P295" s="712">
        <f t="shared" si="33"/>
        <v>1.6609679517099506E-3</v>
      </c>
      <c r="Q295" s="713">
        <f t="shared" si="34"/>
        <v>2.6838686709826099E-4</v>
      </c>
    </row>
    <row r="296" spans="1:17">
      <c r="A296" s="3" t="s">
        <v>1886</v>
      </c>
      <c r="B296" s="3" t="s">
        <v>2603</v>
      </c>
      <c r="C296" s="3" t="s">
        <v>1887</v>
      </c>
      <c r="D296" s="3">
        <v>51043184000</v>
      </c>
      <c r="E296" s="3">
        <v>0.99885148230564924</v>
      </c>
      <c r="F296" s="3" t="s">
        <v>1483</v>
      </c>
      <c r="G296" s="3">
        <v>183.2</v>
      </c>
      <c r="H296" s="3">
        <v>278.62</v>
      </c>
      <c r="I296" s="706"/>
      <c r="J296" s="707" t="str">
        <f t="shared" si="35"/>
        <v>Moody's Corp</v>
      </c>
      <c r="K296" s="708" t="str">
        <f t="shared" si="35"/>
        <v>MCO</v>
      </c>
      <c r="L296" s="709">
        <f t="shared" si="29"/>
        <v>51043.184000000001</v>
      </c>
      <c r="M296" s="710">
        <f t="shared" si="30"/>
        <v>9.9885148230564932E-3</v>
      </c>
      <c r="N296" s="710" t="str">
        <f t="shared" si="31"/>
        <v>N/A</v>
      </c>
      <c r="O296" s="711" t="str">
        <f t="shared" si="32"/>
        <v>N/A</v>
      </c>
      <c r="P296" s="712" t="str">
        <f t="shared" si="33"/>
        <v>N/A</v>
      </c>
      <c r="Q296" s="713" t="str">
        <f t="shared" si="34"/>
        <v>N/A</v>
      </c>
    </row>
    <row r="297" spans="1:17">
      <c r="A297" s="3" t="s">
        <v>1888</v>
      </c>
      <c r="B297" s="3" t="s">
        <v>2604</v>
      </c>
      <c r="C297" s="3" t="s">
        <v>1889</v>
      </c>
      <c r="D297" s="3">
        <v>91018473558.200012</v>
      </c>
      <c r="E297" s="3">
        <v>2.2955738934733683</v>
      </c>
      <c r="F297" s="3">
        <v>5.54</v>
      </c>
      <c r="G297" s="3">
        <v>1365.6189999999999</v>
      </c>
      <c r="H297" s="3">
        <v>66.650000000000006</v>
      </c>
      <c r="I297" s="706"/>
      <c r="J297" s="707" t="str">
        <f t="shared" si="35"/>
        <v>Mondelez International Inc</v>
      </c>
      <c r="K297" s="708" t="str">
        <f t="shared" si="35"/>
        <v>MDLZ</v>
      </c>
      <c r="L297" s="709">
        <f t="shared" si="29"/>
        <v>91018.473558200014</v>
      </c>
      <c r="M297" s="710">
        <f t="shared" si="30"/>
        <v>2.2955738934733683E-2</v>
      </c>
      <c r="N297" s="710">
        <f t="shared" si="31"/>
        <v>5.5399999999999998E-2</v>
      </c>
      <c r="O297" s="711">
        <f t="shared" si="32"/>
        <v>7.8991612903225802E-2</v>
      </c>
      <c r="P297" s="712">
        <f t="shared" si="33"/>
        <v>2.8422633793665428E-3</v>
      </c>
      <c r="Q297" s="713">
        <f t="shared" si="34"/>
        <v>2.2451496863193636E-4</v>
      </c>
    </row>
    <row r="298" spans="1:17">
      <c r="A298" s="3" t="s">
        <v>1890</v>
      </c>
      <c r="B298" s="3" t="s">
        <v>2605</v>
      </c>
      <c r="C298" s="3" t="s">
        <v>1891</v>
      </c>
      <c r="D298" s="3">
        <v>103381587890.15999</v>
      </c>
      <c r="E298" s="3">
        <v>3.4161091096242924</v>
      </c>
      <c r="F298" s="3">
        <v>5.08</v>
      </c>
      <c r="G298" s="3">
        <v>1330.1799999999998</v>
      </c>
      <c r="H298" s="3">
        <v>77.72</v>
      </c>
      <c r="I298" s="706"/>
      <c r="J298" s="707" t="str">
        <f t="shared" si="35"/>
        <v>Medtronic PLC</v>
      </c>
      <c r="K298" s="708" t="str">
        <f t="shared" si="35"/>
        <v>MDT</v>
      </c>
      <c r="L298" s="709">
        <f t="shared" si="29"/>
        <v>103381.58789015999</v>
      </c>
      <c r="M298" s="710">
        <f t="shared" si="30"/>
        <v>3.4161091096242921E-2</v>
      </c>
      <c r="N298" s="710">
        <f t="shared" si="31"/>
        <v>5.0799999999999998E-2</v>
      </c>
      <c r="O298" s="711">
        <f t="shared" si="32"/>
        <v>8.5828782810087489E-2</v>
      </c>
      <c r="P298" s="712">
        <f t="shared" si="33"/>
        <v>3.2283303583758357E-3</v>
      </c>
      <c r="Q298" s="713">
        <f t="shared" si="34"/>
        <v>2.770836651682515E-4</v>
      </c>
    </row>
    <row r="299" spans="1:17">
      <c r="A299" s="3" t="s">
        <v>1892</v>
      </c>
      <c r="B299" s="3" t="s">
        <v>2606</v>
      </c>
      <c r="C299" s="3" t="s">
        <v>1893</v>
      </c>
      <c r="D299" s="3">
        <v>56781951055.850006</v>
      </c>
      <c r="E299" s="3">
        <v>2.7317949426557968</v>
      </c>
      <c r="F299" s="3">
        <v>3.1630000000000003</v>
      </c>
      <c r="G299" s="3">
        <v>784.60619999999994</v>
      </c>
      <c r="H299" s="3">
        <v>72.37</v>
      </c>
      <c r="I299" s="706"/>
      <c r="J299" s="707" t="str">
        <f t="shared" si="35"/>
        <v>MetLife Inc</v>
      </c>
      <c r="K299" s="708" t="str">
        <f t="shared" si="35"/>
        <v>MET</v>
      </c>
      <c r="L299" s="709">
        <f t="shared" si="29"/>
        <v>56781.951055850004</v>
      </c>
      <c r="M299" s="710">
        <f t="shared" si="30"/>
        <v>2.7317949426557967E-2</v>
      </c>
      <c r="N299" s="710">
        <f t="shared" si="31"/>
        <v>3.1630000000000005E-2</v>
      </c>
      <c r="O299" s="711">
        <f t="shared" si="32"/>
        <v>5.9379982796738985E-2</v>
      </c>
      <c r="P299" s="712">
        <f t="shared" si="33"/>
        <v>1.7731483926922659E-3</v>
      </c>
      <c r="Q299" s="713">
        <f t="shared" si="34"/>
        <v>1.0528952105413213E-4</v>
      </c>
    </row>
    <row r="300" spans="1:17">
      <c r="A300" s="3" t="s">
        <v>4310</v>
      </c>
      <c r="B300" s="3" t="s">
        <v>4093</v>
      </c>
      <c r="C300" s="3" t="s">
        <v>4311</v>
      </c>
      <c r="D300" s="3">
        <v>315555188424.08002</v>
      </c>
      <c r="E300" s="3">
        <v>0</v>
      </c>
      <c r="F300" s="3">
        <v>0.86599999999999999</v>
      </c>
      <c r="G300" s="3">
        <v>2255.3209999999999</v>
      </c>
      <c r="H300" s="3">
        <v>120.34</v>
      </c>
      <c r="I300" s="706"/>
      <c r="J300" s="707" t="str">
        <f t="shared" si="35"/>
        <v>Meta Platforms Inc</v>
      </c>
      <c r="K300" s="708" t="str">
        <f t="shared" si="35"/>
        <v>META</v>
      </c>
      <c r="L300" s="709">
        <f t="shared" si="29"/>
        <v>315555.18842408003</v>
      </c>
      <c r="M300" s="710">
        <f t="shared" si="30"/>
        <v>0</v>
      </c>
      <c r="N300" s="710">
        <f t="shared" si="31"/>
        <v>8.6599999999999993E-3</v>
      </c>
      <c r="O300" s="711">
        <f t="shared" si="32"/>
        <v>8.6599999999999993E-3</v>
      </c>
      <c r="P300" s="712">
        <f t="shared" si="33"/>
        <v>9.8539441628118733E-3</v>
      </c>
      <c r="Q300" s="713">
        <f t="shared" si="34"/>
        <v>8.5335156449950809E-5</v>
      </c>
    </row>
    <row r="301" spans="1:17">
      <c r="A301" s="3" t="s">
        <v>2272</v>
      </c>
      <c r="B301" s="3" t="s">
        <v>2607</v>
      </c>
      <c r="C301" s="3" t="s">
        <v>2273</v>
      </c>
      <c r="D301" s="3">
        <v>12876200524.879999</v>
      </c>
      <c r="E301" s="3">
        <v>5.9648076349537726E-2</v>
      </c>
      <c r="F301" s="3">
        <v>17.57</v>
      </c>
      <c r="G301" s="3">
        <v>384.02029999999996</v>
      </c>
      <c r="H301" s="3">
        <v>33.53</v>
      </c>
      <c r="I301" s="706"/>
      <c r="J301" s="707" t="str">
        <f t="shared" si="35"/>
        <v>MGM Resorts International</v>
      </c>
      <c r="K301" s="708" t="str">
        <f t="shared" si="35"/>
        <v>MGM</v>
      </c>
      <c r="L301" s="709">
        <f t="shared" si="29"/>
        <v>12876.20052488</v>
      </c>
      <c r="M301" s="710">
        <f t="shared" si="30"/>
        <v>5.9648076349537731E-4</v>
      </c>
      <c r="N301" s="710">
        <f t="shared" si="31"/>
        <v>0.1757</v>
      </c>
      <c r="O301" s="711">
        <f t="shared" si="32"/>
        <v>0.17634888159856843</v>
      </c>
      <c r="P301" s="712">
        <f t="shared" si="33"/>
        <v>4.0208928788335561E-4</v>
      </c>
      <c r="Q301" s="713">
        <f t="shared" si="34"/>
        <v>7.0907996220994577E-5</v>
      </c>
    </row>
    <row r="302" spans="1:17">
      <c r="A302" s="3" t="s">
        <v>1894</v>
      </c>
      <c r="B302" s="3" t="s">
        <v>2608</v>
      </c>
      <c r="C302" s="3" t="s">
        <v>1895</v>
      </c>
      <c r="D302" s="3">
        <v>6494448751.04</v>
      </c>
      <c r="E302" s="3" t="s">
        <v>1483</v>
      </c>
      <c r="F302" s="3">
        <v>-5.36</v>
      </c>
      <c r="G302" s="3">
        <v>63.534029999999994</v>
      </c>
      <c r="H302" s="3">
        <v>102.22</v>
      </c>
      <c r="I302" s="706"/>
      <c r="J302" s="707" t="str">
        <f t="shared" si="35"/>
        <v>Mohawk Industries Inc</v>
      </c>
      <c r="K302" s="708" t="str">
        <f t="shared" si="35"/>
        <v>MHK</v>
      </c>
      <c r="L302" s="709">
        <f t="shared" si="29"/>
        <v>6494.4487510400004</v>
      </c>
      <c r="M302" s="710" t="str">
        <f t="shared" si="30"/>
        <v>0.00%</v>
      </c>
      <c r="N302" s="710">
        <f t="shared" si="31"/>
        <v>-5.3600000000000002E-2</v>
      </c>
      <c r="O302" s="711">
        <f t="shared" si="32"/>
        <v>-5.3600000000000002E-2</v>
      </c>
      <c r="P302" s="712">
        <f t="shared" si="33"/>
        <v>2.0280425646174524E-4</v>
      </c>
      <c r="Q302" s="713">
        <f t="shared" si="34"/>
        <v>-1.0870308146349545E-5</v>
      </c>
    </row>
    <row r="303" spans="1:17">
      <c r="A303" s="3" t="s">
        <v>1896</v>
      </c>
      <c r="B303" s="3" t="s">
        <v>2609</v>
      </c>
      <c r="C303" s="3" t="s">
        <v>1897</v>
      </c>
      <c r="D303" s="3">
        <v>22219003598.939999</v>
      </c>
      <c r="E303" s="3">
        <v>1.7782603450355894</v>
      </c>
      <c r="F303" s="3">
        <v>-0.55000000000000004</v>
      </c>
      <c r="G303" s="3">
        <v>250.60079999999999</v>
      </c>
      <c r="H303" s="3">
        <v>82.89</v>
      </c>
      <c r="I303" s="706"/>
      <c r="J303" s="707" t="str">
        <f t="shared" si="35"/>
        <v>McCormick &amp; Co Inc/MD</v>
      </c>
      <c r="K303" s="708" t="str">
        <f t="shared" si="35"/>
        <v>MKC</v>
      </c>
      <c r="L303" s="709">
        <f t="shared" si="29"/>
        <v>22219.003598939998</v>
      </c>
      <c r="M303" s="710">
        <f t="shared" si="30"/>
        <v>1.7782603450355892E-2</v>
      </c>
      <c r="N303" s="710">
        <f t="shared" si="31"/>
        <v>-5.5000000000000005E-3</v>
      </c>
      <c r="O303" s="711">
        <f t="shared" si="32"/>
        <v>1.2233701290867413E-2</v>
      </c>
      <c r="P303" s="712">
        <f t="shared" si="33"/>
        <v>6.9384002814438627E-4</v>
      </c>
      <c r="Q303" s="713">
        <f t="shared" si="34"/>
        <v>8.4882316479654605E-6</v>
      </c>
    </row>
    <row r="304" spans="1:17">
      <c r="A304" s="3" t="s">
        <v>2918</v>
      </c>
      <c r="B304" s="3" t="s">
        <v>2919</v>
      </c>
      <c r="C304" s="3" t="s">
        <v>2920</v>
      </c>
      <c r="D304" s="3">
        <v>10496533566.469999</v>
      </c>
      <c r="E304" s="3">
        <v>1.0082828355265518</v>
      </c>
      <c r="F304" s="3" t="s">
        <v>1483</v>
      </c>
      <c r="G304" s="3">
        <v>37.63682</v>
      </c>
      <c r="H304" s="3">
        <v>278.89</v>
      </c>
      <c r="I304" s="706"/>
      <c r="J304" s="707" t="str">
        <f t="shared" si="35"/>
        <v>MarketAxess Holdings Inc</v>
      </c>
      <c r="K304" s="708" t="str">
        <f t="shared" si="35"/>
        <v>MKTX</v>
      </c>
      <c r="L304" s="709">
        <f t="shared" si="29"/>
        <v>10496.53356647</v>
      </c>
      <c r="M304" s="710">
        <f t="shared" si="30"/>
        <v>1.0082828355265519E-2</v>
      </c>
      <c r="N304" s="710" t="str">
        <f t="shared" si="31"/>
        <v>N/A</v>
      </c>
      <c r="O304" s="711" t="str">
        <f t="shared" si="32"/>
        <v>N/A</v>
      </c>
      <c r="P304" s="712" t="str">
        <f t="shared" si="33"/>
        <v>N/A</v>
      </c>
      <c r="Q304" s="713" t="str">
        <f t="shared" si="34"/>
        <v>N/A</v>
      </c>
    </row>
    <row r="305" spans="1:17">
      <c r="A305" s="3" t="s">
        <v>1898</v>
      </c>
      <c r="B305" s="3" t="s">
        <v>2610</v>
      </c>
      <c r="C305" s="3" t="s">
        <v>1899</v>
      </c>
      <c r="D305" s="3">
        <v>20984791851.18</v>
      </c>
      <c r="E305" s="3">
        <v>0.74178181495398998</v>
      </c>
      <c r="F305" s="3">
        <v>14.26</v>
      </c>
      <c r="G305" s="3">
        <v>62.090689999999995</v>
      </c>
      <c r="H305" s="3">
        <v>337.97</v>
      </c>
      <c r="I305" s="706"/>
      <c r="J305" s="707" t="str">
        <f t="shared" si="35"/>
        <v>Martin Marietta Materials Inc</v>
      </c>
      <c r="K305" s="708" t="str">
        <f t="shared" si="35"/>
        <v>MLM</v>
      </c>
      <c r="L305" s="709">
        <f t="shared" si="29"/>
        <v>20984.791851180002</v>
      </c>
      <c r="M305" s="710">
        <f t="shared" si="30"/>
        <v>7.4178181495399001E-3</v>
      </c>
      <c r="N305" s="710">
        <f t="shared" si="31"/>
        <v>0.1426</v>
      </c>
      <c r="O305" s="711">
        <f t="shared" si="32"/>
        <v>0.15054670858360208</v>
      </c>
      <c r="P305" s="712">
        <f t="shared" si="33"/>
        <v>6.5529889780122444E-4</v>
      </c>
      <c r="Q305" s="713">
        <f t="shared" si="34"/>
        <v>9.8653092202436582E-5</v>
      </c>
    </row>
    <row r="306" spans="1:17">
      <c r="A306" s="3" t="s">
        <v>1900</v>
      </c>
      <c r="B306" s="3" t="s">
        <v>2611</v>
      </c>
      <c r="C306" s="3" t="s">
        <v>1901</v>
      </c>
      <c r="D306" s="3">
        <v>82079653052.87999</v>
      </c>
      <c r="E306" s="3">
        <v>1.3578680203045685</v>
      </c>
      <c r="F306" s="3">
        <v>9.1549999999999994</v>
      </c>
      <c r="G306" s="3">
        <v>496.0095</v>
      </c>
      <c r="H306" s="3">
        <v>165.48</v>
      </c>
      <c r="I306" s="706"/>
      <c r="J306" s="707" t="str">
        <f t="shared" si="35"/>
        <v>Marsh &amp; McLennan Cos Inc</v>
      </c>
      <c r="K306" s="708" t="str">
        <f t="shared" si="35"/>
        <v>MMC</v>
      </c>
      <c r="L306" s="709">
        <f t="shared" si="29"/>
        <v>82079.653052879992</v>
      </c>
      <c r="M306" s="710">
        <f t="shared" si="30"/>
        <v>1.3578680203045685E-2</v>
      </c>
      <c r="N306" s="710">
        <f t="shared" si="31"/>
        <v>9.1549999999999992E-2</v>
      </c>
      <c r="O306" s="711">
        <f t="shared" si="32"/>
        <v>0.10575024428934009</v>
      </c>
      <c r="P306" s="712">
        <f t="shared" si="33"/>
        <v>2.5631279337390554E-3</v>
      </c>
      <c r="Q306" s="713">
        <f t="shared" si="34"/>
        <v>2.7105140513773658E-4</v>
      </c>
    </row>
    <row r="307" spans="1:17">
      <c r="A307" s="3" t="s">
        <v>1902</v>
      </c>
      <c r="B307" s="3" t="s">
        <v>2612</v>
      </c>
      <c r="C307" s="3" t="s">
        <v>1903</v>
      </c>
      <c r="D307" s="3">
        <v>66284930366.800003</v>
      </c>
      <c r="E307" s="3">
        <v>4.970813875917278</v>
      </c>
      <c r="F307" s="3">
        <v>7.55</v>
      </c>
      <c r="G307" s="3">
        <v>552.74289999999996</v>
      </c>
      <c r="H307" s="3">
        <v>119.92</v>
      </c>
      <c r="I307" s="706"/>
      <c r="J307" s="707" t="str">
        <f t="shared" si="35"/>
        <v>3M Co</v>
      </c>
      <c r="K307" s="708" t="str">
        <f t="shared" si="35"/>
        <v>MMM</v>
      </c>
      <c r="L307" s="709">
        <f t="shared" si="29"/>
        <v>66284.930366800007</v>
      </c>
      <c r="M307" s="710">
        <f t="shared" si="30"/>
        <v>4.9708138759172779E-2</v>
      </c>
      <c r="N307" s="710">
        <f t="shared" si="31"/>
        <v>7.5499999999999998E-2</v>
      </c>
      <c r="O307" s="711">
        <f t="shared" si="32"/>
        <v>0.12708462099733153</v>
      </c>
      <c r="P307" s="712">
        <f t="shared" si="33"/>
        <v>2.0699010082271779E-3</v>
      </c>
      <c r="Q307" s="713">
        <f t="shared" si="34"/>
        <v>2.6305258513254534E-4</v>
      </c>
    </row>
    <row r="308" spans="1:17">
      <c r="A308" s="3" t="s">
        <v>1904</v>
      </c>
      <c r="B308" s="3" t="s">
        <v>2613</v>
      </c>
      <c r="C308" s="3" t="s">
        <v>1905</v>
      </c>
      <c r="D308" s="3">
        <v>52972628926.360001</v>
      </c>
      <c r="E308" s="3">
        <v>0</v>
      </c>
      <c r="F308" s="3">
        <v>9.1850000000000005</v>
      </c>
      <c r="G308" s="3">
        <v>521.74360000000001</v>
      </c>
      <c r="H308" s="3">
        <v>101.53</v>
      </c>
      <c r="I308" s="706"/>
      <c r="J308" s="707" t="str">
        <f t="shared" si="35"/>
        <v>Monster Beverage Corp</v>
      </c>
      <c r="K308" s="708" t="str">
        <f t="shared" si="35"/>
        <v>MNST</v>
      </c>
      <c r="L308" s="709">
        <f t="shared" si="29"/>
        <v>52972.628926359997</v>
      </c>
      <c r="M308" s="710">
        <f t="shared" si="30"/>
        <v>0</v>
      </c>
      <c r="N308" s="710">
        <f t="shared" si="31"/>
        <v>9.1850000000000001E-2</v>
      </c>
      <c r="O308" s="711">
        <f t="shared" si="32"/>
        <v>9.1850000000000001E-2</v>
      </c>
      <c r="P308" s="712">
        <f t="shared" si="33"/>
        <v>1.6541934556822879E-3</v>
      </c>
      <c r="Q308" s="713">
        <f t="shared" si="34"/>
        <v>1.5193766890441815E-4</v>
      </c>
    </row>
    <row r="309" spans="1:17">
      <c r="A309" s="3" t="s">
        <v>1906</v>
      </c>
      <c r="B309" s="3" t="s">
        <v>2614</v>
      </c>
      <c r="C309" s="3" t="s">
        <v>1907</v>
      </c>
      <c r="D309" s="3">
        <v>81920210368.779999</v>
      </c>
      <c r="E309" s="3">
        <v>8.0463793480638817</v>
      </c>
      <c r="F309" s="3">
        <v>1.1500000000000001</v>
      </c>
      <c r="G309" s="3">
        <v>1792.173</v>
      </c>
      <c r="H309" s="3">
        <v>45.71</v>
      </c>
      <c r="I309" s="706"/>
      <c r="J309" s="707" t="str">
        <f t="shared" si="35"/>
        <v>Altria Group Inc</v>
      </c>
      <c r="K309" s="708" t="str">
        <f t="shared" si="35"/>
        <v>MO</v>
      </c>
      <c r="L309" s="709">
        <f t="shared" si="29"/>
        <v>81920.210368779997</v>
      </c>
      <c r="M309" s="710">
        <f t="shared" si="30"/>
        <v>8.0463793480638812E-2</v>
      </c>
      <c r="N309" s="710">
        <f t="shared" si="31"/>
        <v>1.1500000000000002E-2</v>
      </c>
      <c r="O309" s="711">
        <f t="shared" si="32"/>
        <v>9.2426460293152476E-2</v>
      </c>
      <c r="P309" s="712">
        <f t="shared" si="33"/>
        <v>2.5581489653559442E-3</v>
      </c>
      <c r="Q309" s="713">
        <f t="shared" si="34"/>
        <v>2.3644065377044027E-4</v>
      </c>
    </row>
    <row r="310" spans="1:17">
      <c r="A310" s="3" t="s">
        <v>4312</v>
      </c>
      <c r="B310" s="3" t="s">
        <v>4313</v>
      </c>
      <c r="C310" s="3" t="s">
        <v>4314</v>
      </c>
      <c r="D310" s="3">
        <v>19284848000</v>
      </c>
      <c r="E310" s="3" t="s">
        <v>1483</v>
      </c>
      <c r="F310" s="3">
        <v>19.580000000000002</v>
      </c>
      <c r="G310" s="3">
        <v>58.4</v>
      </c>
      <c r="H310" s="3">
        <v>330.22</v>
      </c>
      <c r="I310" s="706"/>
      <c r="J310" s="707" t="str">
        <f t="shared" si="35"/>
        <v>Molina Healthcare Inc</v>
      </c>
      <c r="K310" s="708" t="str">
        <f t="shared" si="35"/>
        <v>MOH</v>
      </c>
      <c r="L310" s="709">
        <f t="shared" si="29"/>
        <v>19284.848000000002</v>
      </c>
      <c r="M310" s="710" t="str">
        <f t="shared" si="30"/>
        <v>0.00%</v>
      </c>
      <c r="N310" s="710">
        <f t="shared" si="31"/>
        <v>0.19580000000000003</v>
      </c>
      <c r="O310" s="711">
        <f t="shared" si="32"/>
        <v>0.19580000000000003</v>
      </c>
      <c r="P310" s="712">
        <f t="shared" si="33"/>
        <v>6.0221420008764752E-4</v>
      </c>
      <c r="Q310" s="713">
        <f t="shared" si="34"/>
        <v>1.179135403771614E-4</v>
      </c>
    </row>
    <row r="311" spans="1:17">
      <c r="A311" s="3" t="s">
        <v>1908</v>
      </c>
      <c r="B311" s="3" t="s">
        <v>2615</v>
      </c>
      <c r="C311" s="3" t="s">
        <v>1909</v>
      </c>
      <c r="D311" s="3">
        <v>14936902961.580002</v>
      </c>
      <c r="E311" s="3">
        <v>1.3220879872350124</v>
      </c>
      <c r="F311" s="3">
        <v>-1.4000000000000001</v>
      </c>
      <c r="G311" s="3">
        <v>340.48099999999999</v>
      </c>
      <c r="H311" s="3">
        <v>43.87</v>
      </c>
      <c r="I311" s="706"/>
      <c r="J311" s="707" t="str">
        <f t="shared" si="35"/>
        <v>Mosaic Co/The</v>
      </c>
      <c r="K311" s="708" t="str">
        <f t="shared" si="35"/>
        <v>MOS</v>
      </c>
      <c r="L311" s="709">
        <f t="shared" si="29"/>
        <v>14936.902961580003</v>
      </c>
      <c r="M311" s="710">
        <f t="shared" si="30"/>
        <v>1.3220879872350124E-2</v>
      </c>
      <c r="N311" s="710">
        <f t="shared" si="31"/>
        <v>-1.4000000000000002E-2</v>
      </c>
      <c r="O311" s="711">
        <f t="shared" si="32"/>
        <v>-8.7166628675632886E-4</v>
      </c>
      <c r="P311" s="712">
        <f t="shared" si="33"/>
        <v>4.6643951089449671E-4</v>
      </c>
      <c r="Q311" s="713">
        <f t="shared" si="34"/>
        <v>-4.0657959645784417E-7</v>
      </c>
    </row>
    <row r="312" spans="1:17">
      <c r="A312" s="3" t="s">
        <v>1910</v>
      </c>
      <c r="B312" s="3" t="s">
        <v>2616</v>
      </c>
      <c r="C312" s="3" t="s">
        <v>1911</v>
      </c>
      <c r="D312" s="3">
        <v>54547434352.870003</v>
      </c>
      <c r="E312" s="3">
        <v>2.172007904459146</v>
      </c>
      <c r="F312" s="3">
        <v>25.805</v>
      </c>
      <c r="G312" s="3">
        <v>468.66079999999999</v>
      </c>
      <c r="H312" s="3">
        <v>116.39</v>
      </c>
      <c r="I312" s="706"/>
      <c r="J312" s="707" t="str">
        <f t="shared" si="35"/>
        <v>Marathon Petroleum Corp</v>
      </c>
      <c r="K312" s="708" t="str">
        <f t="shared" si="35"/>
        <v>MPC</v>
      </c>
      <c r="L312" s="709">
        <f t="shared" si="29"/>
        <v>54547.434352870005</v>
      </c>
      <c r="M312" s="710">
        <f t="shared" si="30"/>
        <v>2.1720079044591459E-2</v>
      </c>
      <c r="N312" s="710">
        <f t="shared" si="31"/>
        <v>0.25805</v>
      </c>
      <c r="O312" s="711">
        <f t="shared" si="32"/>
        <v>0.28257251224331986</v>
      </c>
      <c r="P312" s="712">
        <f t="shared" si="33"/>
        <v>1.7033704152424262E-3</v>
      </c>
      <c r="Q312" s="713">
        <f t="shared" si="34"/>
        <v>4.8132565751599933E-4</v>
      </c>
    </row>
    <row r="313" spans="1:17">
      <c r="A313" s="3" t="s">
        <v>3945</v>
      </c>
      <c r="B313" s="3" t="s">
        <v>3946</v>
      </c>
      <c r="C313" s="3" t="s">
        <v>3947</v>
      </c>
      <c r="D313" s="3">
        <v>16599160620.000002</v>
      </c>
      <c r="E313" s="3">
        <v>0.80597268176804948</v>
      </c>
      <c r="F313" s="3">
        <v>27.25</v>
      </c>
      <c r="G313" s="3">
        <v>46.942</v>
      </c>
      <c r="H313" s="3">
        <v>353.61</v>
      </c>
      <c r="I313" s="706"/>
      <c r="J313" s="707" t="str">
        <f t="shared" si="35"/>
        <v>Monolithic Power Systems Inc</v>
      </c>
      <c r="K313" s="708" t="str">
        <f t="shared" si="35"/>
        <v>MPWR</v>
      </c>
      <c r="L313" s="709">
        <f t="shared" si="29"/>
        <v>16599.160620000002</v>
      </c>
      <c r="M313" s="710">
        <f t="shared" si="30"/>
        <v>8.0597268176804942E-3</v>
      </c>
      <c r="N313" s="710">
        <f t="shared" si="31"/>
        <v>0.27250000000000002</v>
      </c>
      <c r="O313" s="711">
        <f t="shared" si="32"/>
        <v>0.28165786459658948</v>
      </c>
      <c r="P313" s="712">
        <f t="shared" si="33"/>
        <v>5.1834736964998006E-4</v>
      </c>
      <c r="Q313" s="713">
        <f t="shared" si="34"/>
        <v>1.4599661325487241E-4</v>
      </c>
    </row>
    <row r="314" spans="1:17">
      <c r="A314" s="3" t="s">
        <v>1912</v>
      </c>
      <c r="B314" s="3" t="s">
        <v>2617</v>
      </c>
      <c r="C314" s="3" t="s">
        <v>1308</v>
      </c>
      <c r="D314" s="3">
        <v>281302183315.30005</v>
      </c>
      <c r="E314" s="3">
        <v>2.5110410094637223</v>
      </c>
      <c r="F314" s="3">
        <v>11.365</v>
      </c>
      <c r="G314" s="3">
        <v>2535.3959999999997</v>
      </c>
      <c r="H314" s="3">
        <v>110.95</v>
      </c>
      <c r="I314" s="706"/>
      <c r="J314" s="707" t="str">
        <f t="shared" si="35"/>
        <v>Merck &amp; Co Inc</v>
      </c>
      <c r="K314" s="708" t="str">
        <f t="shared" si="35"/>
        <v>MRK</v>
      </c>
      <c r="L314" s="709">
        <f t="shared" si="29"/>
        <v>281302.18331530003</v>
      </c>
      <c r="M314" s="710">
        <f t="shared" si="30"/>
        <v>2.5110410094637225E-2</v>
      </c>
      <c r="N314" s="710">
        <f t="shared" si="31"/>
        <v>0.11365</v>
      </c>
      <c r="O314" s="711">
        <f t="shared" si="32"/>
        <v>0.14018730914826499</v>
      </c>
      <c r="P314" s="712">
        <f t="shared" si="33"/>
        <v>8.7843144684434209E-3</v>
      </c>
      <c r="Q314" s="713">
        <f t="shared" si="34"/>
        <v>1.2314494080432549E-3</v>
      </c>
    </row>
    <row r="315" spans="1:17">
      <c r="A315" s="3" t="s">
        <v>3994</v>
      </c>
      <c r="B315" s="3" t="s">
        <v>3995</v>
      </c>
      <c r="C315" s="3" t="s">
        <v>3996</v>
      </c>
      <c r="D315" s="3">
        <v>69006495841.780014</v>
      </c>
      <c r="E315" s="3">
        <v>0</v>
      </c>
      <c r="F315" s="3">
        <v>-151.75</v>
      </c>
      <c r="G315" s="3">
        <v>384.18049999999999</v>
      </c>
      <c r="H315" s="3">
        <v>179.62</v>
      </c>
      <c r="I315" s="706"/>
      <c r="J315" s="707" t="str">
        <f t="shared" si="35"/>
        <v>Moderna Inc</v>
      </c>
      <c r="K315" s="708" t="str">
        <f t="shared" si="35"/>
        <v>MRNA</v>
      </c>
      <c r="L315" s="709">
        <f t="shared" si="29"/>
        <v>69006.495841780008</v>
      </c>
      <c r="M315" s="710">
        <f t="shared" si="30"/>
        <v>0</v>
      </c>
      <c r="N315" s="710">
        <f t="shared" si="31"/>
        <v>-1.5175000000000001</v>
      </c>
      <c r="O315" s="711">
        <f t="shared" si="32"/>
        <v>-1.5175000000000001</v>
      </c>
      <c r="P315" s="712">
        <f t="shared" si="33"/>
        <v>2.15488821556743E-3</v>
      </c>
      <c r="Q315" s="713">
        <f t="shared" si="34"/>
        <v>-3.2700428671235751E-3</v>
      </c>
    </row>
    <row r="316" spans="1:17">
      <c r="A316" s="3" t="s">
        <v>1913</v>
      </c>
      <c r="B316" s="3" t="s">
        <v>2618</v>
      </c>
      <c r="C316" s="3" t="s">
        <v>1914</v>
      </c>
      <c r="D316" s="3">
        <v>17191286428.800003</v>
      </c>
      <c r="E316" s="3">
        <v>1.1784263021795347</v>
      </c>
      <c r="F316" s="3" t="s">
        <v>1483</v>
      </c>
      <c r="G316" s="3">
        <v>635.06779999999992</v>
      </c>
      <c r="H316" s="3">
        <v>27.07</v>
      </c>
      <c r="I316" s="706"/>
      <c r="J316" s="707" t="str">
        <f t="shared" si="35"/>
        <v>Marathon Oil Corp</v>
      </c>
      <c r="K316" s="708" t="str">
        <f t="shared" si="35"/>
        <v>MRO</v>
      </c>
      <c r="L316" s="709">
        <f t="shared" si="29"/>
        <v>17191.286428800002</v>
      </c>
      <c r="M316" s="710">
        <f t="shared" si="30"/>
        <v>1.1784263021795346E-2</v>
      </c>
      <c r="N316" s="710" t="str">
        <f t="shared" si="31"/>
        <v>N/A</v>
      </c>
      <c r="O316" s="711" t="str">
        <f t="shared" si="32"/>
        <v>N/A</v>
      </c>
      <c r="P316" s="712" t="str">
        <f t="shared" si="33"/>
        <v>N/A</v>
      </c>
      <c r="Q316" s="713" t="str">
        <f t="shared" si="34"/>
        <v>N/A</v>
      </c>
    </row>
    <row r="317" spans="1:17">
      <c r="A317" s="3" t="s">
        <v>1915</v>
      </c>
      <c r="B317" s="3" t="s">
        <v>2619</v>
      </c>
      <c r="C317" s="3" t="s">
        <v>1916</v>
      </c>
      <c r="D317" s="3">
        <v>143693102803.38</v>
      </c>
      <c r="E317" s="3">
        <v>3.4944718889673023</v>
      </c>
      <c r="F317" s="3">
        <v>1.07</v>
      </c>
      <c r="G317" s="3">
        <v>1690.1089999999999</v>
      </c>
      <c r="H317" s="3">
        <v>85.02</v>
      </c>
      <c r="I317" s="706"/>
      <c r="J317" s="707" t="str">
        <f t="shared" si="35"/>
        <v>Morgan Stanley</v>
      </c>
      <c r="K317" s="708" t="str">
        <f t="shared" si="35"/>
        <v>MS</v>
      </c>
      <c r="L317" s="709">
        <f t="shared" si="29"/>
        <v>143693.10280338</v>
      </c>
      <c r="M317" s="710">
        <f t="shared" si="30"/>
        <v>3.4944718889673022E-2</v>
      </c>
      <c r="N317" s="710">
        <f t="shared" si="31"/>
        <v>1.0700000000000001E-2</v>
      </c>
      <c r="O317" s="711">
        <f t="shared" si="32"/>
        <v>4.5831673135732776E-2</v>
      </c>
      <c r="P317" s="712">
        <f t="shared" si="33"/>
        <v>4.4871511024017182E-3</v>
      </c>
      <c r="Q317" s="713">
        <f t="shared" si="34"/>
        <v>2.0565364263591852E-4</v>
      </c>
    </row>
    <row r="318" spans="1:17">
      <c r="A318" s="3" t="s">
        <v>2323</v>
      </c>
      <c r="B318" s="3" t="s">
        <v>2620</v>
      </c>
      <c r="C318" s="3" t="s">
        <v>2324</v>
      </c>
      <c r="D318" s="3">
        <v>37194140078.220009</v>
      </c>
      <c r="E318" s="3">
        <v>0.98759593266977663</v>
      </c>
      <c r="F318" s="3" t="s">
        <v>1483</v>
      </c>
      <c r="G318" s="3">
        <v>79.958169999999996</v>
      </c>
      <c r="H318" s="3">
        <v>465.17</v>
      </c>
      <c r="I318" s="706"/>
      <c r="J318" s="707" t="str">
        <f t="shared" si="35"/>
        <v>MSCI Inc</v>
      </c>
      <c r="K318" s="708" t="str">
        <f t="shared" si="35"/>
        <v>MSCI</v>
      </c>
      <c r="L318" s="709">
        <f t="shared" si="29"/>
        <v>37194.140078220007</v>
      </c>
      <c r="M318" s="710">
        <f t="shared" si="30"/>
        <v>9.8759593266977662E-3</v>
      </c>
      <c r="N318" s="710" t="str">
        <f t="shared" si="31"/>
        <v>N/A</v>
      </c>
      <c r="O318" s="711" t="str">
        <f t="shared" si="32"/>
        <v>N/A</v>
      </c>
      <c r="P318" s="712" t="str">
        <f t="shared" si="33"/>
        <v>N/A</v>
      </c>
      <c r="Q318" s="713" t="str">
        <f t="shared" si="34"/>
        <v>N/A</v>
      </c>
    </row>
    <row r="319" spans="1:17">
      <c r="A319" s="3" t="s">
        <v>1917</v>
      </c>
      <c r="B319" s="3" t="s">
        <v>2621</v>
      </c>
      <c r="C319" s="3" t="s">
        <v>1918</v>
      </c>
      <c r="D319" s="3">
        <v>1787731749394.0798</v>
      </c>
      <c r="E319" s="3">
        <v>1.0974897840046702</v>
      </c>
      <c r="F319" s="3">
        <v>11.065</v>
      </c>
      <c r="G319" s="3">
        <v>7454.473</v>
      </c>
      <c r="H319" s="3">
        <v>239.82</v>
      </c>
      <c r="I319" s="706"/>
      <c r="J319" s="707" t="str">
        <f t="shared" si="35"/>
        <v>Microsoft Corp</v>
      </c>
      <c r="K319" s="708" t="str">
        <f t="shared" si="35"/>
        <v>MSFT</v>
      </c>
      <c r="L319" s="709">
        <f t="shared" si="29"/>
        <v>1787731.7493940799</v>
      </c>
      <c r="M319" s="710">
        <f t="shared" si="30"/>
        <v>1.0974897840046703E-2</v>
      </c>
      <c r="N319" s="710">
        <f t="shared" si="31"/>
        <v>0.11065</v>
      </c>
      <c r="O319" s="711">
        <f t="shared" si="32"/>
        <v>0.12223208406304728</v>
      </c>
      <c r="P319" s="712">
        <f t="shared" si="33"/>
        <v>5.5826078869413251E-2</v>
      </c>
      <c r="Q319" s="713">
        <f t="shared" si="34"/>
        <v>6.8237379652764281E-3</v>
      </c>
    </row>
    <row r="320" spans="1:17">
      <c r="A320" s="3" t="s">
        <v>1919</v>
      </c>
      <c r="B320" s="3" t="s">
        <v>2622</v>
      </c>
      <c r="C320" s="3" t="s">
        <v>1920</v>
      </c>
      <c r="D320" s="3">
        <v>43089938991.389992</v>
      </c>
      <c r="E320" s="3">
        <v>1.2180357766481706</v>
      </c>
      <c r="F320" s="3" t="s">
        <v>1483</v>
      </c>
      <c r="G320" s="3">
        <v>167.20319999999998</v>
      </c>
      <c r="H320" s="3">
        <v>257.70999999999998</v>
      </c>
      <c r="I320" s="706"/>
      <c r="J320" s="707" t="str">
        <f t="shared" si="35"/>
        <v>Motorola Solutions Inc</v>
      </c>
      <c r="K320" s="708" t="str">
        <f t="shared" si="35"/>
        <v>MSI</v>
      </c>
      <c r="L320" s="709">
        <f t="shared" si="29"/>
        <v>43089.938991389994</v>
      </c>
      <c r="M320" s="710">
        <f t="shared" si="30"/>
        <v>1.2180357766481707E-2</v>
      </c>
      <c r="N320" s="710" t="str">
        <f t="shared" si="31"/>
        <v>N/A</v>
      </c>
      <c r="O320" s="711" t="str">
        <f t="shared" si="32"/>
        <v>N/A</v>
      </c>
      <c r="P320" s="712" t="str">
        <f t="shared" si="33"/>
        <v>N/A</v>
      </c>
      <c r="Q320" s="713" t="str">
        <f t="shared" si="34"/>
        <v>N/A</v>
      </c>
    </row>
    <row r="321" spans="1:17">
      <c r="A321" s="3" t="s">
        <v>1921</v>
      </c>
      <c r="B321" s="3" t="s">
        <v>2623</v>
      </c>
      <c r="C321" s="3" t="s">
        <v>1922</v>
      </c>
      <c r="D321" s="3">
        <v>25039291535.579998</v>
      </c>
      <c r="E321" s="3">
        <v>3.345512201847511</v>
      </c>
      <c r="F321" s="3">
        <v>8.18</v>
      </c>
      <c r="G321" s="3">
        <v>172.61329999999998</v>
      </c>
      <c r="H321" s="3">
        <v>145.06</v>
      </c>
      <c r="I321" s="706"/>
      <c r="J321" s="707" t="str">
        <f t="shared" si="35"/>
        <v>M&amp;T Bank Corp</v>
      </c>
      <c r="K321" s="708" t="str">
        <f t="shared" si="35"/>
        <v>MTB</v>
      </c>
      <c r="L321" s="709">
        <f t="shared" si="29"/>
        <v>25039.29153558</v>
      </c>
      <c r="M321" s="710">
        <f t="shared" si="30"/>
        <v>3.3455122018475107E-2</v>
      </c>
      <c r="N321" s="710">
        <f t="shared" si="31"/>
        <v>8.1799999999999998E-2</v>
      </c>
      <c r="O321" s="711">
        <f t="shared" si="32"/>
        <v>0.11662343650903073</v>
      </c>
      <c r="P321" s="712">
        <f t="shared" si="33"/>
        <v>7.8191007379787029E-4</v>
      </c>
      <c r="Q321" s="713">
        <f t="shared" si="34"/>
        <v>9.1189039847337463E-5</v>
      </c>
    </row>
    <row r="322" spans="1:17">
      <c r="A322" s="3" t="s">
        <v>4086</v>
      </c>
      <c r="B322" s="3" t="s">
        <v>4087</v>
      </c>
      <c r="C322" s="3" t="s">
        <v>4088</v>
      </c>
      <c r="D322" s="3">
        <v>11588410337.940001</v>
      </c>
      <c r="E322" s="3">
        <v>0</v>
      </c>
      <c r="F322" s="3">
        <v>35.615000000000002</v>
      </c>
      <c r="G322" s="3">
        <v>279.30610000000001</v>
      </c>
      <c r="H322" s="3">
        <v>41.49</v>
      </c>
      <c r="I322" s="706"/>
      <c r="J322" s="707" t="str">
        <f t="shared" si="35"/>
        <v>Match Group Inc</v>
      </c>
      <c r="K322" s="708" t="str">
        <f t="shared" si="35"/>
        <v>MTCH</v>
      </c>
      <c r="L322" s="709">
        <f t="shared" si="29"/>
        <v>11588.41033794</v>
      </c>
      <c r="M322" s="710">
        <f t="shared" si="30"/>
        <v>0</v>
      </c>
      <c r="N322" s="710">
        <f t="shared" si="31"/>
        <v>0.35615000000000002</v>
      </c>
      <c r="O322" s="711">
        <f t="shared" si="32"/>
        <v>0.35615000000000002</v>
      </c>
      <c r="P322" s="712">
        <f t="shared" si="33"/>
        <v>3.6187504625133479E-4</v>
      </c>
      <c r="Q322" s="713">
        <f t="shared" si="34"/>
        <v>1.2888179772241291E-4</v>
      </c>
    </row>
    <row r="323" spans="1:17">
      <c r="A323" s="3" t="s">
        <v>1923</v>
      </c>
      <c r="B323" s="3" t="s">
        <v>2624</v>
      </c>
      <c r="C323" s="3" t="s">
        <v>1924</v>
      </c>
      <c r="D323" s="3">
        <v>32225135490.049999</v>
      </c>
      <c r="E323" s="3">
        <v>0</v>
      </c>
      <c r="F323" s="3">
        <v>16.323</v>
      </c>
      <c r="G323" s="3">
        <v>22.29419</v>
      </c>
      <c r="H323" s="3">
        <v>1445.45</v>
      </c>
      <c r="I323" s="706"/>
      <c r="J323" s="707" t="str">
        <f t="shared" si="35"/>
        <v>Mettler-Toledo International Inc</v>
      </c>
      <c r="K323" s="708" t="str">
        <f t="shared" si="35"/>
        <v>MTD</v>
      </c>
      <c r="L323" s="709">
        <f t="shared" ref="L323:L386" si="36">D323/1000000</f>
        <v>32225.135490050001</v>
      </c>
      <c r="M323" s="710">
        <f t="shared" ref="M323:M386" si="37">IFERROR(E323/100,"0.00%")</f>
        <v>0</v>
      </c>
      <c r="N323" s="710">
        <f t="shared" ref="N323:N386" si="38">IFERROR(F323/100,"N/A")</f>
        <v>0.16323000000000001</v>
      </c>
      <c r="O323" s="711">
        <f t="shared" ref="O323:O386" si="39">IFERROR(M323*(1+0.5*N323)+N323,"N/A")</f>
        <v>0.16323000000000001</v>
      </c>
      <c r="P323" s="712">
        <f t="shared" ref="P323:P386" si="40">IF(N323="N/A","N/A",L323/$L$504)</f>
        <v>1.006304752407513E-3</v>
      </c>
      <c r="Q323" s="713">
        <f t="shared" ref="Q323:Q386" si="41">IF(AND(ISNUMBER(L323),ISNUMBER(O323)),O323*P323,"N/A")</f>
        <v>1.6425912473547836E-4</v>
      </c>
    </row>
    <row r="324" spans="1:17">
      <c r="A324" s="3" t="s">
        <v>1925</v>
      </c>
      <c r="B324" s="3" t="s">
        <v>2625</v>
      </c>
      <c r="C324" s="3" t="s">
        <v>1926</v>
      </c>
      <c r="D324" s="3">
        <v>54537004068.959991</v>
      </c>
      <c r="E324" s="3">
        <v>0.90836334533813523</v>
      </c>
      <c r="F324" s="3">
        <v>-12.8</v>
      </c>
      <c r="G324" s="3">
        <v>1091.1769999999999</v>
      </c>
      <c r="H324" s="3">
        <v>49.98</v>
      </c>
      <c r="I324" s="706"/>
      <c r="J324" s="707" t="str">
        <f t="shared" ref="J324:K387" si="42">B324</f>
        <v>Micron Technology Inc</v>
      </c>
      <c r="K324" s="708" t="str">
        <f t="shared" si="42"/>
        <v>MU</v>
      </c>
      <c r="L324" s="709">
        <f t="shared" si="36"/>
        <v>54537.004068959992</v>
      </c>
      <c r="M324" s="710">
        <f t="shared" si="37"/>
        <v>9.0836334533813522E-3</v>
      </c>
      <c r="N324" s="710">
        <f t="shared" si="38"/>
        <v>-0.128</v>
      </c>
      <c r="O324" s="711">
        <f t="shared" si="39"/>
        <v>-0.11949771908763505</v>
      </c>
      <c r="P324" s="712">
        <f t="shared" si="40"/>
        <v>1.7030447053855708E-3</v>
      </c>
      <c r="Q324" s="713">
        <f t="shared" si="41"/>
        <v>-2.0350995779784914E-4</v>
      </c>
    </row>
    <row r="325" spans="1:17">
      <c r="A325" s="3" t="s">
        <v>2304</v>
      </c>
      <c r="B325" s="3" t="s">
        <v>2626</v>
      </c>
      <c r="C325" s="3" t="s">
        <v>2289</v>
      </c>
      <c r="D325" s="3">
        <v>5157888264</v>
      </c>
      <c r="E325" s="3">
        <v>0</v>
      </c>
      <c r="F325" s="3">
        <v>-137.66</v>
      </c>
      <c r="G325" s="3">
        <v>421.39609999999999</v>
      </c>
      <c r="H325" s="3">
        <v>12.24</v>
      </c>
      <c r="I325" s="706"/>
      <c r="J325" s="707" t="str">
        <f t="shared" si="42"/>
        <v>Norwegian Cruise Line Holdings Ltd</v>
      </c>
      <c r="K325" s="708" t="str">
        <f t="shared" si="42"/>
        <v>NCLH</v>
      </c>
      <c r="L325" s="709">
        <f t="shared" si="36"/>
        <v>5157.8882640000002</v>
      </c>
      <c r="M325" s="710">
        <f t="shared" si="37"/>
        <v>0</v>
      </c>
      <c r="N325" s="710">
        <f t="shared" si="38"/>
        <v>-1.3766</v>
      </c>
      <c r="O325" s="711">
        <f t="shared" si="39"/>
        <v>-1.3766</v>
      </c>
      <c r="P325" s="712">
        <f t="shared" si="40"/>
        <v>1.6106704885857667E-4</v>
      </c>
      <c r="Q325" s="713">
        <f t="shared" si="41"/>
        <v>-2.2172489945871665E-4</v>
      </c>
    </row>
    <row r="326" spans="1:17">
      <c r="A326" s="3" t="s">
        <v>1927</v>
      </c>
      <c r="B326" s="3" t="s">
        <v>2627</v>
      </c>
      <c r="C326" s="3" t="s">
        <v>1928</v>
      </c>
      <c r="D326" s="3">
        <v>30139998920.099998</v>
      </c>
      <c r="E326" s="3">
        <v>1.2713936430317847</v>
      </c>
      <c r="F326" s="3">
        <v>6.335</v>
      </c>
      <c r="G326" s="3">
        <v>491.27949999999998</v>
      </c>
      <c r="H326" s="3">
        <v>61.35</v>
      </c>
      <c r="I326" s="706"/>
      <c r="J326" s="707" t="str">
        <f t="shared" si="42"/>
        <v>Nasdaq Inc</v>
      </c>
      <c r="K326" s="708" t="str">
        <f t="shared" si="42"/>
        <v>NDAQ</v>
      </c>
      <c r="L326" s="709">
        <f t="shared" si="36"/>
        <v>30139.998920099999</v>
      </c>
      <c r="M326" s="710">
        <f t="shared" si="37"/>
        <v>1.2713936430317848E-2</v>
      </c>
      <c r="N326" s="710">
        <f t="shared" si="38"/>
        <v>6.3350000000000004E-2</v>
      </c>
      <c r="O326" s="711">
        <f t="shared" si="39"/>
        <v>7.6466650366748171E-2</v>
      </c>
      <c r="P326" s="712">
        <f t="shared" si="40"/>
        <v>9.4119151679653262E-4</v>
      </c>
      <c r="Q326" s="713">
        <f t="shared" si="41"/>
        <v>7.1969762643029852E-5</v>
      </c>
    </row>
    <row r="327" spans="1:17">
      <c r="A327" s="3" t="s">
        <v>4315</v>
      </c>
      <c r="B327" s="3" t="s">
        <v>4316</v>
      </c>
      <c r="C327" s="3" t="s">
        <v>4317</v>
      </c>
      <c r="D327" s="3">
        <v>13587320201.279999</v>
      </c>
      <c r="E327" s="3">
        <v>1.093723708564698</v>
      </c>
      <c r="F327" s="3">
        <v>8.75</v>
      </c>
      <c r="G327" s="3">
        <v>57.156819999999996</v>
      </c>
      <c r="H327" s="3">
        <v>237.72</v>
      </c>
      <c r="I327" s="706"/>
      <c r="J327" s="707" t="str">
        <f t="shared" si="42"/>
        <v>Nordson Corp</v>
      </c>
      <c r="K327" s="708" t="str">
        <f t="shared" si="42"/>
        <v>NDSN</v>
      </c>
      <c r="L327" s="709">
        <f t="shared" si="36"/>
        <v>13587.320201279999</v>
      </c>
      <c r="M327" s="710">
        <f t="shared" si="37"/>
        <v>1.093723708564698E-2</v>
      </c>
      <c r="N327" s="710">
        <f t="shared" si="38"/>
        <v>8.7499999999999994E-2</v>
      </c>
      <c r="O327" s="711">
        <f t="shared" si="39"/>
        <v>9.8915741208144031E-2</v>
      </c>
      <c r="P327" s="712">
        <f t="shared" si="40"/>
        <v>4.2429565254279252E-4</v>
      </c>
      <c r="Q327" s="713">
        <f t="shared" si="41"/>
        <v>4.1969518962663462E-5</v>
      </c>
    </row>
    <row r="328" spans="1:17">
      <c r="A328" s="3" t="s">
        <v>1929</v>
      </c>
      <c r="B328" s="3" t="s">
        <v>2628</v>
      </c>
      <c r="C328" s="3" t="s">
        <v>201</v>
      </c>
      <c r="D328" s="3">
        <v>166126881307.19998</v>
      </c>
      <c r="E328" s="3">
        <v>2.0275119617224884</v>
      </c>
      <c r="F328" s="3">
        <v>8</v>
      </c>
      <c r="G328" s="3">
        <v>1987.164</v>
      </c>
      <c r="H328" s="3">
        <v>83.6</v>
      </c>
      <c r="I328" s="706"/>
      <c r="J328" s="707" t="str">
        <f t="shared" si="42"/>
        <v>NextEra Energy Inc</v>
      </c>
      <c r="K328" s="708" t="str">
        <f t="shared" si="42"/>
        <v>NEE</v>
      </c>
      <c r="L328" s="709">
        <f t="shared" si="36"/>
        <v>166126.88130719998</v>
      </c>
      <c r="M328" s="710">
        <f t="shared" si="37"/>
        <v>2.0275119617224883E-2</v>
      </c>
      <c r="N328" s="710">
        <f t="shared" si="38"/>
        <v>0.08</v>
      </c>
      <c r="O328" s="711">
        <f t="shared" si="39"/>
        <v>0.10108612440191388</v>
      </c>
      <c r="P328" s="712">
        <f t="shared" si="40"/>
        <v>5.1876979761246228E-3</v>
      </c>
      <c r="Q328" s="713">
        <f t="shared" si="41"/>
        <v>5.2440428297409046E-4</v>
      </c>
    </row>
    <row r="329" spans="1:17">
      <c r="A329" s="3" t="s">
        <v>1930</v>
      </c>
      <c r="B329" s="3" t="s">
        <v>3001</v>
      </c>
      <c r="C329" s="3" t="s">
        <v>1931</v>
      </c>
      <c r="D329" s="3">
        <v>37464468103.200005</v>
      </c>
      <c r="E329" s="3">
        <v>4.9004237288135597</v>
      </c>
      <c r="F329" s="3">
        <v>-3</v>
      </c>
      <c r="G329" s="3">
        <v>793.73869999999999</v>
      </c>
      <c r="H329" s="3">
        <v>47.2</v>
      </c>
      <c r="I329" s="706"/>
      <c r="J329" s="707" t="str">
        <f t="shared" si="42"/>
        <v>Newmont Corp</v>
      </c>
      <c r="K329" s="708" t="str">
        <f t="shared" si="42"/>
        <v>NEM</v>
      </c>
      <c r="L329" s="709">
        <f t="shared" si="36"/>
        <v>37464.468103200008</v>
      </c>
      <c r="M329" s="710">
        <f t="shared" si="37"/>
        <v>4.9004237288135598E-2</v>
      </c>
      <c r="N329" s="710">
        <f t="shared" si="38"/>
        <v>-0.03</v>
      </c>
      <c r="O329" s="711">
        <f t="shared" si="39"/>
        <v>1.8269173728813565E-2</v>
      </c>
      <c r="P329" s="712">
        <f t="shared" si="40"/>
        <v>1.1699150903589064E-3</v>
      </c>
      <c r="Q329" s="713">
        <f t="shared" si="41"/>
        <v>2.1373382033727482E-5</v>
      </c>
    </row>
    <row r="330" spans="1:17">
      <c r="A330" s="3" t="s">
        <v>1932</v>
      </c>
      <c r="B330" s="3" t="s">
        <v>2629</v>
      </c>
      <c r="C330" s="3" t="s">
        <v>1933</v>
      </c>
      <c r="D330" s="3">
        <v>131227643270.72</v>
      </c>
      <c r="E330" s="3">
        <v>0</v>
      </c>
      <c r="F330" s="3">
        <v>17.015000000000001</v>
      </c>
      <c r="G330" s="3">
        <v>445.02049999999997</v>
      </c>
      <c r="H330" s="3">
        <v>294.88</v>
      </c>
      <c r="I330" s="706"/>
      <c r="J330" s="707" t="str">
        <f t="shared" si="42"/>
        <v>Netflix Inc</v>
      </c>
      <c r="K330" s="708" t="str">
        <f t="shared" si="42"/>
        <v>NFLX</v>
      </c>
      <c r="L330" s="709">
        <f t="shared" si="36"/>
        <v>131227.64327072</v>
      </c>
      <c r="M330" s="710">
        <f t="shared" si="37"/>
        <v>0</v>
      </c>
      <c r="N330" s="710">
        <f t="shared" si="38"/>
        <v>0.17015</v>
      </c>
      <c r="O330" s="711">
        <f t="shared" si="39"/>
        <v>0.17015</v>
      </c>
      <c r="P330" s="712">
        <f t="shared" si="40"/>
        <v>4.0978881566328031E-3</v>
      </c>
      <c r="Q330" s="713">
        <f t="shared" si="41"/>
        <v>6.9725566985107145E-4</v>
      </c>
    </row>
    <row r="331" spans="1:17">
      <c r="A331" s="3" t="s">
        <v>1934</v>
      </c>
      <c r="B331" s="3" t="s">
        <v>2630</v>
      </c>
      <c r="C331" s="3" t="s">
        <v>214</v>
      </c>
      <c r="D331" s="3">
        <v>11136203657.640001</v>
      </c>
      <c r="E331" s="3">
        <v>3.450036469730124</v>
      </c>
      <c r="F331" s="3">
        <v>7.65</v>
      </c>
      <c r="G331" s="3">
        <v>406.1343</v>
      </c>
      <c r="H331" s="3">
        <v>27.42</v>
      </c>
      <c r="I331" s="706"/>
      <c r="J331" s="707" t="str">
        <f t="shared" si="42"/>
        <v>NiSource Inc</v>
      </c>
      <c r="K331" s="708" t="str">
        <f t="shared" si="42"/>
        <v>NI</v>
      </c>
      <c r="L331" s="709">
        <f t="shared" si="36"/>
        <v>11136.203657640001</v>
      </c>
      <c r="M331" s="710">
        <f t="shared" si="37"/>
        <v>3.4500364697301243E-2</v>
      </c>
      <c r="N331" s="710">
        <f t="shared" si="38"/>
        <v>7.6499999999999999E-2</v>
      </c>
      <c r="O331" s="711">
        <f t="shared" si="39"/>
        <v>0.112320003646973</v>
      </c>
      <c r="P331" s="712">
        <f t="shared" si="40"/>
        <v>3.4775384165324023E-4</v>
      </c>
      <c r="Q331" s="713">
        <f t="shared" si="41"/>
        <v>3.9059712762740817E-5</v>
      </c>
    </row>
    <row r="332" spans="1:17">
      <c r="A332" s="3" t="s">
        <v>1935</v>
      </c>
      <c r="B332" s="3" t="s">
        <v>2631</v>
      </c>
      <c r="C332" s="3" t="s">
        <v>1936</v>
      </c>
      <c r="D332" s="3">
        <v>183072786006.41003</v>
      </c>
      <c r="E332" s="3">
        <v>1.0990513631313561</v>
      </c>
      <c r="F332" s="3">
        <v>7.09</v>
      </c>
      <c r="G332" s="3">
        <v>1259.6879999999999</v>
      </c>
      <c r="H332" s="3">
        <v>117.01</v>
      </c>
      <c r="I332" s="706"/>
      <c r="J332" s="707" t="str">
        <f t="shared" si="42"/>
        <v>NIKE Inc</v>
      </c>
      <c r="K332" s="708" t="str">
        <f t="shared" si="42"/>
        <v>NKE</v>
      </c>
      <c r="L332" s="709">
        <f t="shared" si="36"/>
        <v>183072.78600641002</v>
      </c>
      <c r="M332" s="710">
        <f t="shared" si="37"/>
        <v>1.0990513631313561E-2</v>
      </c>
      <c r="N332" s="710">
        <f t="shared" si="38"/>
        <v>7.0900000000000005E-2</v>
      </c>
      <c r="O332" s="711">
        <f t="shared" si="39"/>
        <v>8.2280127339543624E-2</v>
      </c>
      <c r="P332" s="712">
        <f t="shared" si="40"/>
        <v>5.7168732355405271E-3</v>
      </c>
      <c r="Q332" s="713">
        <f t="shared" si="41"/>
        <v>4.7038505780430337E-4</v>
      </c>
    </row>
    <row r="333" spans="1:17">
      <c r="A333" s="3" t="s">
        <v>1937</v>
      </c>
      <c r="B333" s="3" t="s">
        <v>2632</v>
      </c>
      <c r="C333" s="3" t="s">
        <v>1938</v>
      </c>
      <c r="D333" s="3">
        <v>83976011435.160004</v>
      </c>
      <c r="E333" s="3">
        <v>1.236780850790858</v>
      </c>
      <c r="F333" s="3">
        <v>0.67</v>
      </c>
      <c r="G333" s="3">
        <v>153.91219999999998</v>
      </c>
      <c r="H333" s="3">
        <v>545.61</v>
      </c>
      <c r="I333" s="706"/>
      <c r="J333" s="707" t="str">
        <f t="shared" si="42"/>
        <v>Northrop Grumman Corp</v>
      </c>
      <c r="K333" s="708" t="str">
        <f t="shared" si="42"/>
        <v>NOC</v>
      </c>
      <c r="L333" s="709">
        <f t="shared" si="36"/>
        <v>83976.011435160006</v>
      </c>
      <c r="M333" s="710">
        <f t="shared" si="37"/>
        <v>1.2367808507908579E-2</v>
      </c>
      <c r="N333" s="710">
        <f t="shared" si="38"/>
        <v>6.7000000000000002E-3</v>
      </c>
      <c r="O333" s="711">
        <f t="shared" si="39"/>
        <v>1.9109240666410073E-2</v>
      </c>
      <c r="P333" s="712">
        <f t="shared" si="40"/>
        <v>2.6223461316872199E-3</v>
      </c>
      <c r="Q333" s="713">
        <f t="shared" si="41"/>
        <v>5.011104334104057E-5</v>
      </c>
    </row>
    <row r="334" spans="1:17">
      <c r="A334" s="3" t="s">
        <v>2963</v>
      </c>
      <c r="B334" s="3" t="s">
        <v>2964</v>
      </c>
      <c r="C334" s="3" t="s">
        <v>2965</v>
      </c>
      <c r="D334" s="3">
        <v>78430540000</v>
      </c>
      <c r="E334" s="3" t="s">
        <v>1483</v>
      </c>
      <c r="F334" s="3">
        <v>30.625</v>
      </c>
      <c r="G334" s="3">
        <v>202</v>
      </c>
      <c r="H334" s="3">
        <v>388.27</v>
      </c>
      <c r="I334" s="706"/>
      <c r="J334" s="707" t="str">
        <f t="shared" si="42"/>
        <v>ServiceNow Inc</v>
      </c>
      <c r="K334" s="708" t="str">
        <f t="shared" si="42"/>
        <v>NOW</v>
      </c>
      <c r="L334" s="709">
        <f t="shared" si="36"/>
        <v>78430.539999999994</v>
      </c>
      <c r="M334" s="710" t="str">
        <f t="shared" si="37"/>
        <v>0.00%</v>
      </c>
      <c r="N334" s="710">
        <f t="shared" si="38"/>
        <v>0.30625000000000002</v>
      </c>
      <c r="O334" s="711">
        <f t="shared" si="39"/>
        <v>0.30625000000000002</v>
      </c>
      <c r="P334" s="712">
        <f t="shared" si="40"/>
        <v>2.4491758974995413E-3</v>
      </c>
      <c r="Q334" s="713">
        <f t="shared" si="41"/>
        <v>7.5006011860923461E-4</v>
      </c>
    </row>
    <row r="335" spans="1:17">
      <c r="A335" s="3" t="s">
        <v>1939</v>
      </c>
      <c r="B335" s="3" t="s">
        <v>2633</v>
      </c>
      <c r="C335" s="3" t="s">
        <v>1449</v>
      </c>
      <c r="D335" s="3">
        <v>6790032538.7799997</v>
      </c>
      <c r="E335" s="3">
        <v>4.3997485857950975</v>
      </c>
      <c r="F335" s="3">
        <v>-3.45</v>
      </c>
      <c r="G335" s="3">
        <v>213.3888</v>
      </c>
      <c r="H335" s="3">
        <v>31.82</v>
      </c>
      <c r="I335" s="706"/>
      <c r="J335" s="707" t="str">
        <f t="shared" si="42"/>
        <v>NRG Energy Inc</v>
      </c>
      <c r="K335" s="708" t="str">
        <f t="shared" si="42"/>
        <v>NRG</v>
      </c>
      <c r="L335" s="709">
        <f t="shared" si="36"/>
        <v>6790.0325387799994</v>
      </c>
      <c r="M335" s="710">
        <f t="shared" si="37"/>
        <v>4.3997485857950977E-2</v>
      </c>
      <c r="N335" s="710">
        <f t="shared" si="38"/>
        <v>-3.4500000000000003E-2</v>
      </c>
      <c r="O335" s="711">
        <f t="shared" si="39"/>
        <v>8.738529226901319E-3</v>
      </c>
      <c r="P335" s="712">
        <f t="shared" si="40"/>
        <v>2.1203454722124309E-4</v>
      </c>
      <c r="Q335" s="713">
        <f t="shared" si="41"/>
        <v>1.8528700880056205E-6</v>
      </c>
    </row>
    <row r="336" spans="1:17">
      <c r="A336" s="3" t="s">
        <v>1940</v>
      </c>
      <c r="B336" s="3" t="s">
        <v>2634</v>
      </c>
      <c r="C336" s="3" t="s">
        <v>1941</v>
      </c>
      <c r="D336" s="3">
        <v>57049732367.459999</v>
      </c>
      <c r="E336" s="3">
        <v>2.0144468793117443</v>
      </c>
      <c r="F336" s="3">
        <v>7.7130000000000001</v>
      </c>
      <c r="G336" s="3">
        <v>231.51419999999999</v>
      </c>
      <c r="H336" s="3">
        <v>246.42</v>
      </c>
      <c r="I336" s="706"/>
      <c r="J336" s="707" t="str">
        <f t="shared" si="42"/>
        <v>Norfolk Southern Corp</v>
      </c>
      <c r="K336" s="708" t="str">
        <f t="shared" si="42"/>
        <v>NSC</v>
      </c>
      <c r="L336" s="709">
        <f t="shared" si="36"/>
        <v>57049.732367459997</v>
      </c>
      <c r="M336" s="710">
        <f t="shared" si="37"/>
        <v>2.0144468793117442E-2</v>
      </c>
      <c r="N336" s="710">
        <f t="shared" si="38"/>
        <v>7.7130000000000004E-2</v>
      </c>
      <c r="O336" s="711">
        <f t="shared" si="39"/>
        <v>9.8051340232124015E-2</v>
      </c>
      <c r="P336" s="712">
        <f t="shared" si="40"/>
        <v>1.781510486516891E-3</v>
      </c>
      <c r="Q336" s="713">
        <f t="shared" si="41"/>
        <v>1.7467949084056447E-4</v>
      </c>
    </row>
    <row r="337" spans="1:17">
      <c r="A337" s="3" t="s">
        <v>1942</v>
      </c>
      <c r="B337" s="3" t="s">
        <v>2635</v>
      </c>
      <c r="C337" s="3" t="s">
        <v>1943</v>
      </c>
      <c r="D337" s="3">
        <v>12947335821.42</v>
      </c>
      <c r="E337" s="3">
        <v>3.334998334998335</v>
      </c>
      <c r="F337" s="3">
        <v>6</v>
      </c>
      <c r="G337" s="3">
        <v>215.57339999999999</v>
      </c>
      <c r="H337" s="3">
        <v>60.06</v>
      </c>
      <c r="I337" s="706"/>
      <c r="J337" s="707" t="str">
        <f t="shared" si="42"/>
        <v>NetApp Inc</v>
      </c>
      <c r="K337" s="708" t="str">
        <f t="shared" si="42"/>
        <v>NTAP</v>
      </c>
      <c r="L337" s="709">
        <f t="shared" si="36"/>
        <v>12947.33582142</v>
      </c>
      <c r="M337" s="710">
        <f t="shared" si="37"/>
        <v>3.3349983349983348E-2</v>
      </c>
      <c r="N337" s="710">
        <f t="shared" si="38"/>
        <v>0.06</v>
      </c>
      <c r="O337" s="711">
        <f t="shared" si="39"/>
        <v>9.4350482850482836E-2</v>
      </c>
      <c r="P337" s="712">
        <f t="shared" si="40"/>
        <v>4.043106528484222E-4</v>
      </c>
      <c r="Q337" s="713">
        <f t="shared" si="41"/>
        <v>3.814690531784258E-5</v>
      </c>
    </row>
    <row r="338" spans="1:17">
      <c r="A338" s="3" t="s">
        <v>1944</v>
      </c>
      <c r="B338" s="3" t="s">
        <v>2636</v>
      </c>
      <c r="C338" s="3" t="s">
        <v>1945</v>
      </c>
      <c r="D338" s="3">
        <v>18442702903.769997</v>
      </c>
      <c r="E338" s="3">
        <v>3.3111085998417904</v>
      </c>
      <c r="F338" s="3">
        <v>13</v>
      </c>
      <c r="G338" s="3">
        <v>208.41569999999999</v>
      </c>
      <c r="H338" s="3">
        <v>88.49</v>
      </c>
      <c r="I338" s="706"/>
      <c r="J338" s="707" t="str">
        <f t="shared" si="42"/>
        <v>Northern Trust Corp</v>
      </c>
      <c r="K338" s="708" t="str">
        <f t="shared" si="42"/>
        <v>NTRS</v>
      </c>
      <c r="L338" s="709">
        <f t="shared" si="36"/>
        <v>18442.702903769998</v>
      </c>
      <c r="M338" s="710">
        <f t="shared" si="37"/>
        <v>3.3111085998417902E-2</v>
      </c>
      <c r="N338" s="710">
        <f t="shared" si="38"/>
        <v>0.13</v>
      </c>
      <c r="O338" s="711">
        <f t="shared" si="39"/>
        <v>0.16526330658831506</v>
      </c>
      <c r="P338" s="712">
        <f t="shared" si="40"/>
        <v>5.7591626216851606E-4</v>
      </c>
      <c r="Q338" s="713">
        <f t="shared" si="41"/>
        <v>9.51778258039519E-5</v>
      </c>
    </row>
    <row r="339" spans="1:17">
      <c r="A339" s="3" t="s">
        <v>1946</v>
      </c>
      <c r="B339" s="3" t="s">
        <v>2637</v>
      </c>
      <c r="C339" s="3" t="s">
        <v>1947</v>
      </c>
      <c r="D339" s="3">
        <v>33815026415.100002</v>
      </c>
      <c r="E339" s="3">
        <v>1.5196115620969579</v>
      </c>
      <c r="F339" s="3" t="s">
        <v>1483</v>
      </c>
      <c r="G339" s="3">
        <v>256.5437</v>
      </c>
      <c r="H339" s="3">
        <v>131.81</v>
      </c>
      <c r="I339" s="706"/>
      <c r="J339" s="707" t="str">
        <f t="shared" si="42"/>
        <v>Nucor Corp</v>
      </c>
      <c r="K339" s="708" t="str">
        <f t="shared" si="42"/>
        <v>NUE</v>
      </c>
      <c r="L339" s="709">
        <f t="shared" si="36"/>
        <v>33815.026415100001</v>
      </c>
      <c r="M339" s="710">
        <f t="shared" si="37"/>
        <v>1.5196115620969579E-2</v>
      </c>
      <c r="N339" s="710" t="str">
        <f t="shared" si="38"/>
        <v>N/A</v>
      </c>
      <c r="O339" s="711" t="str">
        <f t="shared" si="39"/>
        <v>N/A</v>
      </c>
      <c r="P339" s="712" t="str">
        <f t="shared" si="40"/>
        <v>N/A</v>
      </c>
      <c r="Q339" s="713" t="str">
        <f t="shared" si="41"/>
        <v>N/A</v>
      </c>
    </row>
    <row r="340" spans="1:17">
      <c r="A340" s="3" t="s">
        <v>1948</v>
      </c>
      <c r="B340" s="3" t="s">
        <v>2638</v>
      </c>
      <c r="C340" s="3" t="s">
        <v>1949</v>
      </c>
      <c r="D340" s="3">
        <v>359504399999.99994</v>
      </c>
      <c r="E340" s="3">
        <v>0.14438209935678117</v>
      </c>
      <c r="F340" s="3">
        <v>18.058</v>
      </c>
      <c r="G340" s="3">
        <v>2460</v>
      </c>
      <c r="H340" s="3">
        <v>146.13999999999999</v>
      </c>
      <c r="I340" s="706"/>
      <c r="J340" s="707" t="str">
        <f t="shared" si="42"/>
        <v>NVIDIA Corp</v>
      </c>
      <c r="K340" s="708" t="str">
        <f t="shared" si="42"/>
        <v>NVDA</v>
      </c>
      <c r="L340" s="709">
        <f t="shared" si="36"/>
        <v>359504.39999999997</v>
      </c>
      <c r="M340" s="710">
        <f t="shared" si="37"/>
        <v>1.4438209935678117E-3</v>
      </c>
      <c r="N340" s="710">
        <f t="shared" si="38"/>
        <v>0.18057999999999999</v>
      </c>
      <c r="O340" s="711">
        <f t="shared" si="39"/>
        <v>0.18215418359107705</v>
      </c>
      <c r="P340" s="712">
        <f t="shared" si="40"/>
        <v>1.1226360439760252E-2</v>
      </c>
      <c r="Q340" s="713">
        <f t="shared" si="41"/>
        <v>2.0449285206036935E-3</v>
      </c>
    </row>
    <row r="341" spans="1:17">
      <c r="A341" s="3" t="s">
        <v>2921</v>
      </c>
      <c r="B341" s="3" t="s">
        <v>2922</v>
      </c>
      <c r="C341" s="3" t="s">
        <v>2923</v>
      </c>
      <c r="D341" s="3">
        <v>14741284458.459999</v>
      </c>
      <c r="E341" s="3" t="s">
        <v>1483</v>
      </c>
      <c r="F341" s="3">
        <v>1.29</v>
      </c>
      <c r="G341" s="3">
        <v>3.1958799999999998</v>
      </c>
      <c r="H341" s="3">
        <v>4612.58</v>
      </c>
      <c r="I341" s="706"/>
      <c r="J341" s="707" t="str">
        <f t="shared" si="42"/>
        <v>NVR Inc</v>
      </c>
      <c r="K341" s="708" t="str">
        <f t="shared" si="42"/>
        <v>NVR</v>
      </c>
      <c r="L341" s="709">
        <f t="shared" si="36"/>
        <v>14741.284458459999</v>
      </c>
      <c r="M341" s="710" t="str">
        <f t="shared" si="37"/>
        <v>0.00%</v>
      </c>
      <c r="N341" s="710">
        <f t="shared" si="38"/>
        <v>1.29E-2</v>
      </c>
      <c r="O341" s="711">
        <f t="shared" si="39"/>
        <v>1.29E-2</v>
      </c>
      <c r="P341" s="712">
        <f t="shared" si="40"/>
        <v>4.603308684836903E-4</v>
      </c>
      <c r="Q341" s="713">
        <f t="shared" si="41"/>
        <v>5.9382682034396045E-6</v>
      </c>
    </row>
    <row r="342" spans="1:17">
      <c r="A342" s="3" t="s">
        <v>2639</v>
      </c>
      <c r="B342" s="3" t="s">
        <v>2640</v>
      </c>
      <c r="C342" s="3" t="s">
        <v>1950</v>
      </c>
      <c r="D342" s="3">
        <v>5409888000</v>
      </c>
      <c r="E342" s="3">
        <v>7.0336391437308867</v>
      </c>
      <c r="F342" s="3">
        <v>-3</v>
      </c>
      <c r="G342" s="3">
        <v>413.59999999999997</v>
      </c>
      <c r="H342" s="3">
        <v>13.08</v>
      </c>
      <c r="I342" s="706"/>
      <c r="J342" s="707" t="str">
        <f t="shared" si="42"/>
        <v>Newell Brands Inc</v>
      </c>
      <c r="K342" s="708" t="str">
        <f t="shared" si="42"/>
        <v>NWL</v>
      </c>
      <c r="L342" s="709">
        <f t="shared" si="36"/>
        <v>5409.8879999999999</v>
      </c>
      <c r="M342" s="710">
        <f t="shared" si="37"/>
        <v>7.0336391437308868E-2</v>
      </c>
      <c r="N342" s="710">
        <f t="shared" si="38"/>
        <v>-0.03</v>
      </c>
      <c r="O342" s="711">
        <f t="shared" si="39"/>
        <v>3.9281345565749234E-2</v>
      </c>
      <c r="P342" s="712">
        <f t="shared" si="40"/>
        <v>1.6893632630569672E-4</v>
      </c>
      <c r="Q342" s="713">
        <f t="shared" si="41"/>
        <v>6.6360462122222453E-6</v>
      </c>
    </row>
    <row r="343" spans="1:17">
      <c r="A343" s="3" t="s">
        <v>3997</v>
      </c>
      <c r="B343" s="3" t="s">
        <v>2641</v>
      </c>
      <c r="C343" s="3" t="s">
        <v>3998</v>
      </c>
      <c r="D343" s="3">
        <v>10522812219.560001</v>
      </c>
      <c r="E343" s="3">
        <v>1.1373626373626375</v>
      </c>
      <c r="F343" s="3">
        <v>2.8000000000000003</v>
      </c>
      <c r="G343" s="3">
        <v>382.35149999999999</v>
      </c>
      <c r="H343" s="3">
        <v>18.2</v>
      </c>
      <c r="I343" s="706"/>
      <c r="J343" s="707" t="str">
        <f t="shared" si="42"/>
        <v>News Corp</v>
      </c>
      <c r="K343" s="708" t="str">
        <f t="shared" si="42"/>
        <v>NWSA</v>
      </c>
      <c r="L343" s="709">
        <f t="shared" si="36"/>
        <v>10522.812219560001</v>
      </c>
      <c r="M343" s="710">
        <f t="shared" si="37"/>
        <v>1.1373626373626376E-2</v>
      </c>
      <c r="N343" s="710">
        <f t="shared" si="38"/>
        <v>2.8000000000000004E-2</v>
      </c>
      <c r="O343" s="711">
        <f t="shared" si="39"/>
        <v>3.9532857142857147E-2</v>
      </c>
      <c r="P343" s="712">
        <f t="shared" si="40"/>
        <v>3.2859926837249887E-4</v>
      </c>
      <c r="Q343" s="713">
        <f t="shared" si="41"/>
        <v>1.2990467933817375E-5</v>
      </c>
    </row>
    <row r="344" spans="1:17">
      <c r="A344" s="3" t="s">
        <v>3999</v>
      </c>
      <c r="B344" s="3" t="s">
        <v>4000</v>
      </c>
      <c r="C344" s="3" t="s">
        <v>4001</v>
      </c>
      <c r="D344" s="3">
        <v>40951082241.860001</v>
      </c>
      <c r="E344" s="3">
        <v>2.1489590584066316</v>
      </c>
      <c r="F344" s="3">
        <v>17.3</v>
      </c>
      <c r="G344" s="3">
        <v>259.13490000000002</v>
      </c>
      <c r="H344" s="3">
        <v>158.03</v>
      </c>
      <c r="I344" s="706"/>
      <c r="J344" s="707" t="str">
        <f t="shared" si="42"/>
        <v>NXP Semiconductors NV</v>
      </c>
      <c r="K344" s="708" t="str">
        <f t="shared" si="42"/>
        <v>NXPI</v>
      </c>
      <c r="L344" s="709">
        <f t="shared" si="36"/>
        <v>40951.08224186</v>
      </c>
      <c r="M344" s="710">
        <f t="shared" si="37"/>
        <v>2.1489590584066316E-2</v>
      </c>
      <c r="N344" s="710">
        <f t="shared" si="38"/>
        <v>0.17300000000000001</v>
      </c>
      <c r="O344" s="711">
        <f t="shared" si="39"/>
        <v>0.19634844016958808</v>
      </c>
      <c r="P344" s="712">
        <f t="shared" si="40"/>
        <v>1.2787927203266099E-3</v>
      </c>
      <c r="Q344" s="713">
        <f t="shared" si="41"/>
        <v>2.5108895593635417E-4</v>
      </c>
    </row>
    <row r="345" spans="1:17">
      <c r="A345" s="3" t="s">
        <v>1951</v>
      </c>
      <c r="B345" s="3" t="s">
        <v>2642</v>
      </c>
      <c r="C345" s="3" t="s">
        <v>1952</v>
      </c>
      <c r="D345" s="3">
        <v>39780369403.229996</v>
      </c>
      <c r="E345" s="3">
        <v>4.5861579694151038</v>
      </c>
      <c r="F345" s="3">
        <v>3.36</v>
      </c>
      <c r="G345" s="3">
        <v>627.15390000000002</v>
      </c>
      <c r="H345" s="3">
        <v>63.43</v>
      </c>
      <c r="I345" s="706"/>
      <c r="J345" s="707" t="str">
        <f t="shared" si="42"/>
        <v>Realty Income Corp</v>
      </c>
      <c r="K345" s="708" t="str">
        <f t="shared" si="42"/>
        <v>O</v>
      </c>
      <c r="L345" s="709">
        <f t="shared" si="36"/>
        <v>39780.369403229997</v>
      </c>
      <c r="M345" s="710">
        <f t="shared" si="37"/>
        <v>4.5861579694151035E-2</v>
      </c>
      <c r="N345" s="710">
        <f t="shared" si="38"/>
        <v>3.3599999999999998E-2</v>
      </c>
      <c r="O345" s="711">
        <f t="shared" si="39"/>
        <v>8.0232054233012773E-2</v>
      </c>
      <c r="P345" s="712">
        <f t="shared" si="40"/>
        <v>1.2422344910033658E-3</v>
      </c>
      <c r="Q345" s="713">
        <f t="shared" si="41"/>
        <v>9.966702505230106E-5</v>
      </c>
    </row>
    <row r="346" spans="1:17">
      <c r="A346" s="3" t="s">
        <v>2966</v>
      </c>
      <c r="B346" s="3" t="s">
        <v>2967</v>
      </c>
      <c r="C346" s="3" t="s">
        <v>2968</v>
      </c>
      <c r="D346" s="3">
        <v>31352474691.159996</v>
      </c>
      <c r="E346" s="3">
        <v>0.42286278102755659</v>
      </c>
      <c r="F346" s="3">
        <v>12.540000000000001</v>
      </c>
      <c r="G346" s="3">
        <v>110.4816</v>
      </c>
      <c r="H346" s="3">
        <v>283.77999999999997</v>
      </c>
      <c r="I346" s="706"/>
      <c r="J346" s="707" t="str">
        <f t="shared" si="42"/>
        <v>Old Dominion Freight Line Inc</v>
      </c>
      <c r="K346" s="708" t="str">
        <f t="shared" si="42"/>
        <v>ODFL</v>
      </c>
      <c r="L346" s="709">
        <f t="shared" si="36"/>
        <v>31352.474691159998</v>
      </c>
      <c r="M346" s="710">
        <f t="shared" si="37"/>
        <v>4.2286278102755658E-3</v>
      </c>
      <c r="N346" s="710">
        <f t="shared" si="38"/>
        <v>0.12540000000000001</v>
      </c>
      <c r="O346" s="711">
        <f t="shared" si="39"/>
        <v>0.12989376277397985</v>
      </c>
      <c r="P346" s="712">
        <f t="shared" si="40"/>
        <v>9.7905389074910676E-4</v>
      </c>
      <c r="Q346" s="713">
        <f t="shared" si="41"/>
        <v>1.2717299382790647E-4</v>
      </c>
    </row>
    <row r="347" spans="1:17">
      <c r="A347" s="3" t="s">
        <v>4002</v>
      </c>
      <c r="B347" s="3" t="s">
        <v>4003</v>
      </c>
      <c r="C347" s="3" t="s">
        <v>4004</v>
      </c>
      <c r="D347" s="3">
        <v>7104397943.3699999</v>
      </c>
      <c r="E347" s="3">
        <v>3.7952022914428931</v>
      </c>
      <c r="F347" s="3">
        <v>-5.7700000000000005</v>
      </c>
      <c r="G347" s="3">
        <v>254.36439999999999</v>
      </c>
      <c r="H347" s="3">
        <v>27.93</v>
      </c>
      <c r="I347" s="706"/>
      <c r="J347" s="707" t="str">
        <f t="shared" si="42"/>
        <v>Organon &amp; Co</v>
      </c>
      <c r="K347" s="708" t="str">
        <f t="shared" si="42"/>
        <v>OGN</v>
      </c>
      <c r="L347" s="709">
        <f t="shared" si="36"/>
        <v>7104.3979433699997</v>
      </c>
      <c r="M347" s="710">
        <f t="shared" si="37"/>
        <v>3.795202291442893E-2</v>
      </c>
      <c r="N347" s="710">
        <f t="shared" si="38"/>
        <v>-5.7700000000000001E-2</v>
      </c>
      <c r="O347" s="711">
        <f t="shared" si="39"/>
        <v>-2.0842892946652349E-2</v>
      </c>
      <c r="P347" s="712">
        <f t="shared" si="40"/>
        <v>2.2185133761857455E-4</v>
      </c>
      <c r="Q347" s="713">
        <f t="shared" si="41"/>
        <v>-4.624023680055576E-6</v>
      </c>
    </row>
    <row r="348" spans="1:17">
      <c r="A348" s="3" t="s">
        <v>1953</v>
      </c>
      <c r="B348" s="3" t="s">
        <v>2643</v>
      </c>
      <c r="C348" s="3" t="s">
        <v>1954</v>
      </c>
      <c r="D348" s="3">
        <v>29364867419.400002</v>
      </c>
      <c r="E348" s="3">
        <v>5.692541856925418</v>
      </c>
      <c r="F348" s="3">
        <v>10.47</v>
      </c>
      <c r="G348" s="3">
        <v>446.9538</v>
      </c>
      <c r="H348" s="3">
        <v>65.7</v>
      </c>
      <c r="I348" s="706"/>
      <c r="J348" s="707" t="str">
        <f t="shared" si="42"/>
        <v>ONEOK Inc</v>
      </c>
      <c r="K348" s="708" t="str">
        <f t="shared" si="42"/>
        <v>OKE</v>
      </c>
      <c r="L348" s="709">
        <f t="shared" si="36"/>
        <v>29364.867419400001</v>
      </c>
      <c r="M348" s="710">
        <f t="shared" si="37"/>
        <v>5.6925418569254177E-2</v>
      </c>
      <c r="N348" s="710">
        <f t="shared" si="38"/>
        <v>0.1047</v>
      </c>
      <c r="O348" s="711">
        <f t="shared" si="39"/>
        <v>0.16460546423135464</v>
      </c>
      <c r="P348" s="712">
        <f t="shared" si="40"/>
        <v>9.1698623414889207E-4</v>
      </c>
      <c r="Q348" s="713">
        <f t="shared" si="41"/>
        <v>1.5094094476584004E-4</v>
      </c>
    </row>
    <row r="349" spans="1:17">
      <c r="A349" s="3" t="s">
        <v>1955</v>
      </c>
      <c r="B349" s="3" t="s">
        <v>2644</v>
      </c>
      <c r="C349" s="3" t="s">
        <v>1956</v>
      </c>
      <c r="D349" s="3">
        <v>16633438560.959995</v>
      </c>
      <c r="E349" s="3">
        <v>3.479220301581464</v>
      </c>
      <c r="F349" s="3">
        <v>2.9170000000000003</v>
      </c>
      <c r="G349" s="3">
        <v>203.9161</v>
      </c>
      <c r="H349" s="3">
        <v>81.569999999999993</v>
      </c>
      <c r="I349" s="706"/>
      <c r="J349" s="707" t="str">
        <f t="shared" si="42"/>
        <v>Omnicom Group Inc</v>
      </c>
      <c r="K349" s="708" t="str">
        <f t="shared" si="42"/>
        <v>OMC</v>
      </c>
      <c r="L349" s="709">
        <f t="shared" si="36"/>
        <v>16633.438560959996</v>
      </c>
      <c r="M349" s="710">
        <f t="shared" si="37"/>
        <v>3.4792203015814642E-2</v>
      </c>
      <c r="N349" s="710">
        <f t="shared" si="38"/>
        <v>2.9170000000000001E-2</v>
      </c>
      <c r="O349" s="711">
        <f t="shared" si="39"/>
        <v>6.4469647296800298E-2</v>
      </c>
      <c r="P349" s="712">
        <f t="shared" si="40"/>
        <v>5.1941777802425786E-4</v>
      </c>
      <c r="Q349" s="713">
        <f t="shared" si="41"/>
        <v>3.3486680948911615E-5</v>
      </c>
    </row>
    <row r="350" spans="1:17">
      <c r="A350" s="3" t="s">
        <v>4318</v>
      </c>
      <c r="B350" s="3" t="s">
        <v>4319</v>
      </c>
      <c r="C350" s="3" t="s">
        <v>4320</v>
      </c>
      <c r="D350" s="3">
        <v>26970258248.009998</v>
      </c>
      <c r="E350" s="3">
        <v>0</v>
      </c>
      <c r="F350" s="3">
        <v>18.677</v>
      </c>
      <c r="G350" s="3">
        <v>432.42359999999996</v>
      </c>
      <c r="H350" s="3">
        <v>62.37</v>
      </c>
      <c r="I350" s="706"/>
      <c r="J350" s="707" t="str">
        <f t="shared" si="42"/>
        <v>ON Semiconductor Corp</v>
      </c>
      <c r="K350" s="708" t="str">
        <f t="shared" si="42"/>
        <v>ON</v>
      </c>
      <c r="L350" s="709">
        <f t="shared" si="36"/>
        <v>26970.258248009999</v>
      </c>
      <c r="M350" s="710">
        <f t="shared" si="37"/>
        <v>0</v>
      </c>
      <c r="N350" s="710">
        <f t="shared" si="38"/>
        <v>0.18676999999999999</v>
      </c>
      <c r="O350" s="711">
        <f t="shared" si="39"/>
        <v>0.18676999999999999</v>
      </c>
      <c r="P350" s="712">
        <f t="shared" si="40"/>
        <v>8.422089972906511E-4</v>
      </c>
      <c r="Q350" s="713">
        <f t="shared" si="41"/>
        <v>1.5729937442397491E-4</v>
      </c>
    </row>
    <row r="351" spans="1:17">
      <c r="A351" s="3" t="s">
        <v>1957</v>
      </c>
      <c r="B351" s="3" t="s">
        <v>2645</v>
      </c>
      <c r="C351" s="3" t="s">
        <v>1958</v>
      </c>
      <c r="D351" s="3">
        <v>220391720220</v>
      </c>
      <c r="E351" s="3">
        <v>1.570834352826034</v>
      </c>
      <c r="F351" s="3">
        <v>15</v>
      </c>
      <c r="G351" s="3">
        <v>2696.2529999999997</v>
      </c>
      <c r="H351" s="3">
        <v>81.739999999999995</v>
      </c>
      <c r="I351" s="706"/>
      <c r="J351" s="707" t="str">
        <f t="shared" si="42"/>
        <v>Oracle Corp</v>
      </c>
      <c r="K351" s="708" t="str">
        <f t="shared" si="42"/>
        <v>ORCL</v>
      </c>
      <c r="L351" s="709">
        <f t="shared" si="36"/>
        <v>220391.72021999999</v>
      </c>
      <c r="M351" s="710">
        <f t="shared" si="37"/>
        <v>1.5708343528260341E-2</v>
      </c>
      <c r="N351" s="710">
        <f t="shared" si="38"/>
        <v>0.15</v>
      </c>
      <c r="O351" s="711">
        <f t="shared" si="39"/>
        <v>0.16688646929287987</v>
      </c>
      <c r="P351" s="712">
        <f t="shared" si="40"/>
        <v>6.88224369195069E-3</v>
      </c>
      <c r="Q351" s="713">
        <f t="shared" si="41"/>
        <v>1.1485533505628451E-3</v>
      </c>
    </row>
    <row r="352" spans="1:17">
      <c r="A352" s="3" t="s">
        <v>1959</v>
      </c>
      <c r="B352" s="3" t="s">
        <v>2646</v>
      </c>
      <c r="C352" s="3" t="s">
        <v>1960</v>
      </c>
      <c r="D352" s="3">
        <v>52815946161.329994</v>
      </c>
      <c r="E352" s="3">
        <v>0</v>
      </c>
      <c r="F352" s="3">
        <v>10.790000000000001</v>
      </c>
      <c r="G352" s="3">
        <v>62.57591</v>
      </c>
      <c r="H352" s="3">
        <v>844.03</v>
      </c>
      <c r="I352" s="706"/>
      <c r="J352" s="707" t="str">
        <f t="shared" si="42"/>
        <v>O'Reilly Automotive Inc</v>
      </c>
      <c r="K352" s="708" t="str">
        <f t="shared" si="42"/>
        <v>ORLY</v>
      </c>
      <c r="L352" s="709">
        <f t="shared" si="36"/>
        <v>52815.946161329994</v>
      </c>
      <c r="M352" s="710">
        <f t="shared" si="37"/>
        <v>0</v>
      </c>
      <c r="N352" s="710">
        <f t="shared" si="38"/>
        <v>0.10790000000000001</v>
      </c>
      <c r="O352" s="711">
        <f t="shared" si="39"/>
        <v>0.10790000000000001</v>
      </c>
      <c r="P352" s="712">
        <f t="shared" si="40"/>
        <v>1.6493006721866616E-3</v>
      </c>
      <c r="Q352" s="713">
        <f t="shared" si="41"/>
        <v>1.7795954252894079E-4</v>
      </c>
    </row>
    <row r="353" spans="1:17">
      <c r="A353" s="3" t="s">
        <v>3002</v>
      </c>
      <c r="B353" s="3" t="s">
        <v>3003</v>
      </c>
      <c r="C353" s="3" t="s">
        <v>3004</v>
      </c>
      <c r="D353" s="3">
        <v>32622855689.869999</v>
      </c>
      <c r="E353" s="3">
        <v>1.4161665176861193</v>
      </c>
      <c r="F353" s="3">
        <v>7.8500000000000005</v>
      </c>
      <c r="G353" s="3">
        <v>416.58609999999999</v>
      </c>
      <c r="H353" s="3">
        <v>78.31</v>
      </c>
      <c r="I353" s="706"/>
      <c r="J353" s="707" t="str">
        <f t="shared" si="42"/>
        <v>Otis Worldwide Corp</v>
      </c>
      <c r="K353" s="708" t="str">
        <f t="shared" si="42"/>
        <v>OTIS</v>
      </c>
      <c r="L353" s="709">
        <f t="shared" si="36"/>
        <v>32622.855689869997</v>
      </c>
      <c r="M353" s="710">
        <f t="shared" si="37"/>
        <v>1.4161665176861193E-2</v>
      </c>
      <c r="N353" s="710">
        <f t="shared" si="38"/>
        <v>7.85E-2</v>
      </c>
      <c r="O353" s="711">
        <f t="shared" si="39"/>
        <v>9.3217510535052991E-2</v>
      </c>
      <c r="P353" s="712">
        <f t="shared" si="40"/>
        <v>1.0187244900167125E-3</v>
      </c>
      <c r="Q353" s="713">
        <f t="shared" si="41"/>
        <v>9.4962960880449375E-5</v>
      </c>
    </row>
    <row r="354" spans="1:17">
      <c r="A354" s="3" t="s">
        <v>1961</v>
      </c>
      <c r="B354" s="3" t="s">
        <v>2647</v>
      </c>
      <c r="C354" s="3" t="s">
        <v>1962</v>
      </c>
      <c r="D354" s="3">
        <v>57252502245.509995</v>
      </c>
      <c r="E354" s="3">
        <v>0.78901412922686143</v>
      </c>
      <c r="F354" s="3">
        <v>9.1</v>
      </c>
      <c r="G354" s="3">
        <v>908.91409999999996</v>
      </c>
      <c r="H354" s="3">
        <v>62.99</v>
      </c>
      <c r="I354" s="706"/>
      <c r="J354" s="707" t="str">
        <f t="shared" si="42"/>
        <v>Occidental Petroleum Corp</v>
      </c>
      <c r="K354" s="708" t="str">
        <f t="shared" si="42"/>
        <v>OXY</v>
      </c>
      <c r="L354" s="709">
        <f t="shared" si="36"/>
        <v>57252.502245509997</v>
      </c>
      <c r="M354" s="710">
        <f t="shared" si="37"/>
        <v>7.8901412922686136E-3</v>
      </c>
      <c r="N354" s="710">
        <f t="shared" si="38"/>
        <v>9.0999999999999998E-2</v>
      </c>
      <c r="O354" s="711">
        <f t="shared" si="39"/>
        <v>9.924914272106683E-2</v>
      </c>
      <c r="P354" s="712">
        <f t="shared" si="40"/>
        <v>1.7878424472309059E-3</v>
      </c>
      <c r="Q354" s="713">
        <f t="shared" si="41"/>
        <v>1.7744183020800157E-4</v>
      </c>
    </row>
    <row r="355" spans="1:17">
      <c r="A355" s="3" t="s">
        <v>4321</v>
      </c>
      <c r="B355" s="3" t="s">
        <v>4322</v>
      </c>
      <c r="C355" s="3" t="s">
        <v>4323</v>
      </c>
      <c r="D355" s="3">
        <v>11069187790.4</v>
      </c>
      <c r="E355" s="3">
        <v>5.8234597156398102</v>
      </c>
      <c r="F355" s="3">
        <v>-10.927</v>
      </c>
      <c r="G355" s="3">
        <v>608.46969999999999</v>
      </c>
      <c r="H355" s="3">
        <v>16.88</v>
      </c>
      <c r="I355" s="706"/>
      <c r="J355" s="707" t="str">
        <f t="shared" si="42"/>
        <v>Paramount Global</v>
      </c>
      <c r="K355" s="708" t="str">
        <f t="shared" si="42"/>
        <v>PARA</v>
      </c>
      <c r="L355" s="709">
        <f t="shared" si="36"/>
        <v>11069.187790399999</v>
      </c>
      <c r="M355" s="710">
        <f t="shared" si="37"/>
        <v>5.8234597156398102E-2</v>
      </c>
      <c r="N355" s="710">
        <f t="shared" si="38"/>
        <v>-0.10926999999999999</v>
      </c>
      <c r="O355" s="711">
        <f t="shared" si="39"/>
        <v>-5.4217050059241698E-2</v>
      </c>
      <c r="P355" s="712">
        <f t="shared" si="40"/>
        <v>3.4566111544232495E-4</v>
      </c>
      <c r="Q355" s="713">
        <f t="shared" si="41"/>
        <v>-1.8740725999469855E-5</v>
      </c>
    </row>
    <row r="356" spans="1:17">
      <c r="A356" s="3" t="s">
        <v>3005</v>
      </c>
      <c r="B356" s="3" t="s">
        <v>3006</v>
      </c>
      <c r="C356" s="3" t="s">
        <v>3007</v>
      </c>
      <c r="D356" s="3">
        <v>18624920704.390003</v>
      </c>
      <c r="E356" s="3">
        <v>0</v>
      </c>
      <c r="F356" s="3">
        <v>25.75</v>
      </c>
      <c r="G356" s="3">
        <v>60.02037</v>
      </c>
      <c r="H356" s="3">
        <v>310.31</v>
      </c>
      <c r="I356" s="706"/>
      <c r="J356" s="707" t="str">
        <f t="shared" si="42"/>
        <v>Paycom Software Inc</v>
      </c>
      <c r="K356" s="708" t="str">
        <f t="shared" si="42"/>
        <v>PAYC</v>
      </c>
      <c r="L356" s="709">
        <f t="shared" si="36"/>
        <v>18624.920704390002</v>
      </c>
      <c r="M356" s="710">
        <f t="shared" si="37"/>
        <v>0</v>
      </c>
      <c r="N356" s="710">
        <f t="shared" si="38"/>
        <v>0.25750000000000001</v>
      </c>
      <c r="O356" s="711">
        <f t="shared" si="39"/>
        <v>0.25750000000000001</v>
      </c>
      <c r="P356" s="712">
        <f t="shared" si="40"/>
        <v>5.8160643649823364E-4</v>
      </c>
      <c r="Q356" s="713">
        <f t="shared" si="41"/>
        <v>1.4976365739829517E-4</v>
      </c>
    </row>
    <row r="357" spans="1:17">
      <c r="A357" s="3" t="s">
        <v>1963</v>
      </c>
      <c r="B357" s="3" t="s">
        <v>2648</v>
      </c>
      <c r="C357" s="3" t="s">
        <v>1964</v>
      </c>
      <c r="D357" s="3">
        <v>41655514286.880005</v>
      </c>
      <c r="E357" s="3">
        <v>2.7518172377985461</v>
      </c>
      <c r="F357" s="3">
        <v>7</v>
      </c>
      <c r="G357" s="3">
        <v>360.4665</v>
      </c>
      <c r="H357" s="3">
        <v>115.56</v>
      </c>
      <c r="I357" s="706"/>
      <c r="J357" s="707" t="str">
        <f t="shared" si="42"/>
        <v>Paychex Inc</v>
      </c>
      <c r="K357" s="708" t="str">
        <f t="shared" si="42"/>
        <v>PAYX</v>
      </c>
      <c r="L357" s="709">
        <f t="shared" si="36"/>
        <v>41655.514286880003</v>
      </c>
      <c r="M357" s="710">
        <f t="shared" si="37"/>
        <v>2.7518172377985463E-2</v>
      </c>
      <c r="N357" s="710">
        <f t="shared" si="38"/>
        <v>7.0000000000000007E-2</v>
      </c>
      <c r="O357" s="711">
        <f t="shared" si="39"/>
        <v>9.8481308411214954E-2</v>
      </c>
      <c r="P357" s="712">
        <f t="shared" si="40"/>
        <v>1.3007902481530064E-3</v>
      </c>
      <c r="Q357" s="713">
        <f t="shared" si="41"/>
        <v>1.2810352560665706E-4</v>
      </c>
    </row>
    <row r="358" spans="1:17">
      <c r="A358" s="3" t="s">
        <v>1965</v>
      </c>
      <c r="B358" s="3" t="s">
        <v>2649</v>
      </c>
      <c r="C358" s="3" t="s">
        <v>1966</v>
      </c>
      <c r="D358" s="3">
        <v>34418556897.75</v>
      </c>
      <c r="E358" s="3">
        <v>3.2504799434171971</v>
      </c>
      <c r="F358" s="3">
        <v>12</v>
      </c>
      <c r="G358" s="3">
        <v>347.76759999999996</v>
      </c>
      <c r="H358" s="3">
        <v>98.97</v>
      </c>
      <c r="I358" s="706"/>
      <c r="J358" s="707" t="str">
        <f t="shared" si="42"/>
        <v>PACCAR Inc</v>
      </c>
      <c r="K358" s="708" t="str">
        <f t="shared" si="42"/>
        <v>PCAR</v>
      </c>
      <c r="L358" s="709">
        <f t="shared" si="36"/>
        <v>34418.556897750001</v>
      </c>
      <c r="M358" s="710">
        <f t="shared" si="37"/>
        <v>3.250479943417197E-2</v>
      </c>
      <c r="N358" s="710">
        <f t="shared" si="38"/>
        <v>0.12</v>
      </c>
      <c r="O358" s="711">
        <f t="shared" si="39"/>
        <v>0.15445508740022229</v>
      </c>
      <c r="P358" s="712">
        <f t="shared" si="40"/>
        <v>1.0747994337497345E-3</v>
      </c>
      <c r="Q358" s="713">
        <f t="shared" si="41"/>
        <v>1.6600824047752465E-4</v>
      </c>
    </row>
    <row r="359" spans="1:17">
      <c r="A359" s="3" t="s">
        <v>4324</v>
      </c>
      <c r="B359" s="3" t="s">
        <v>4325</v>
      </c>
      <c r="C359" s="3" t="s">
        <v>4326</v>
      </c>
      <c r="D359" s="3">
        <v>32320003382.100002</v>
      </c>
      <c r="E359" s="3">
        <v>0</v>
      </c>
      <c r="F359" s="3">
        <v>6.2549999999999999</v>
      </c>
      <c r="G359" s="3">
        <v>1987.6999999999998</v>
      </c>
      <c r="H359" s="3">
        <v>16.260000000000002</v>
      </c>
      <c r="I359" s="706"/>
      <c r="J359" s="707" t="str">
        <f t="shared" si="42"/>
        <v>PG&amp;E Corp</v>
      </c>
      <c r="K359" s="708" t="str">
        <f t="shared" si="42"/>
        <v>PCG</v>
      </c>
      <c r="L359" s="709">
        <f t="shared" si="36"/>
        <v>32320.003382100003</v>
      </c>
      <c r="M359" s="710">
        <f t="shared" si="37"/>
        <v>0</v>
      </c>
      <c r="N359" s="710">
        <f t="shared" si="38"/>
        <v>6.2549999999999994E-2</v>
      </c>
      <c r="O359" s="711">
        <f t="shared" si="39"/>
        <v>6.2549999999999994E-2</v>
      </c>
      <c r="P359" s="712">
        <f t="shared" si="40"/>
        <v>1.0092672228259934E-3</v>
      </c>
      <c r="Q359" s="713">
        <f t="shared" si="41"/>
        <v>6.3129664787765891E-5</v>
      </c>
    </row>
    <row r="360" spans="1:17">
      <c r="A360" s="3" t="s">
        <v>2969</v>
      </c>
      <c r="B360" s="3" t="s">
        <v>2970</v>
      </c>
      <c r="C360" s="3" t="s">
        <v>2971</v>
      </c>
      <c r="D360" s="3">
        <v>13476131410.080002</v>
      </c>
      <c r="E360" s="3">
        <v>4.8145193458316715</v>
      </c>
      <c r="F360" s="3">
        <v>3.88</v>
      </c>
      <c r="G360" s="3">
        <v>537.54009999999994</v>
      </c>
      <c r="H360" s="3">
        <v>25.07</v>
      </c>
      <c r="I360" s="706"/>
      <c r="J360" s="707" t="str">
        <f t="shared" si="42"/>
        <v>Healthpeak Properties Inc</v>
      </c>
      <c r="K360" s="708" t="str">
        <f t="shared" si="42"/>
        <v>PEAK</v>
      </c>
      <c r="L360" s="709">
        <f t="shared" si="36"/>
        <v>13476.131410080001</v>
      </c>
      <c r="M360" s="710">
        <f t="shared" si="37"/>
        <v>4.8145193458316714E-2</v>
      </c>
      <c r="N360" s="710">
        <f t="shared" si="38"/>
        <v>3.8800000000000001E-2</v>
      </c>
      <c r="O360" s="711">
        <f t="shared" si="39"/>
        <v>8.7879210211408071E-2</v>
      </c>
      <c r="P360" s="712">
        <f t="shared" si="40"/>
        <v>4.2082352411579018E-4</v>
      </c>
      <c r="Q360" s="713">
        <f t="shared" si="41"/>
        <v>3.6981638937677076E-5</v>
      </c>
    </row>
    <row r="361" spans="1:17">
      <c r="A361" s="3" t="s">
        <v>1967</v>
      </c>
      <c r="B361" s="3" t="s">
        <v>2650</v>
      </c>
      <c r="C361" s="3" t="s">
        <v>215</v>
      </c>
      <c r="D361" s="3">
        <v>30570650814.880001</v>
      </c>
      <c r="E361" s="3">
        <v>3.520483107556716</v>
      </c>
      <c r="F361" s="3">
        <v>4.6500000000000004</v>
      </c>
      <c r="G361" s="3">
        <v>498.94969999999995</v>
      </c>
      <c r="H361" s="3">
        <v>61.27</v>
      </c>
      <c r="I361" s="706"/>
      <c r="J361" s="707" t="str">
        <f t="shared" si="42"/>
        <v>Public Service Enterprise Group Inc</v>
      </c>
      <c r="K361" s="708" t="str">
        <f t="shared" si="42"/>
        <v>PEG</v>
      </c>
      <c r="L361" s="709">
        <f t="shared" si="36"/>
        <v>30570.650814880002</v>
      </c>
      <c r="M361" s="710">
        <f t="shared" si="37"/>
        <v>3.5204831075567163E-2</v>
      </c>
      <c r="N361" s="710">
        <f t="shared" si="38"/>
        <v>4.6500000000000007E-2</v>
      </c>
      <c r="O361" s="711">
        <f t="shared" si="39"/>
        <v>8.25233433980741E-2</v>
      </c>
      <c r="P361" s="712">
        <f t="shared" si="40"/>
        <v>9.5463962311975433E-4</v>
      </c>
      <c r="Q361" s="713">
        <f t="shared" si="41"/>
        <v>7.8780053440119532E-5</v>
      </c>
    </row>
    <row r="362" spans="1:17">
      <c r="A362" s="3" t="s">
        <v>2305</v>
      </c>
      <c r="B362" s="3" t="s">
        <v>2651</v>
      </c>
      <c r="C362" s="3" t="s">
        <v>1968</v>
      </c>
      <c r="D362" s="3">
        <v>248896945697.94</v>
      </c>
      <c r="E362" s="3">
        <v>2.5047049706631244</v>
      </c>
      <c r="F362" s="3">
        <v>7.6930000000000005</v>
      </c>
      <c r="G362" s="3">
        <v>1377.7089999999998</v>
      </c>
      <c r="H362" s="3">
        <v>180.66</v>
      </c>
      <c r="I362" s="706"/>
      <c r="J362" s="707" t="str">
        <f t="shared" si="42"/>
        <v>PepsiCo Inc</v>
      </c>
      <c r="K362" s="708" t="str">
        <f t="shared" si="42"/>
        <v>PEP</v>
      </c>
      <c r="L362" s="709">
        <f t="shared" si="36"/>
        <v>248896.94569794001</v>
      </c>
      <c r="M362" s="710">
        <f t="shared" si="37"/>
        <v>2.5047049706631245E-2</v>
      </c>
      <c r="N362" s="710">
        <f t="shared" si="38"/>
        <v>7.6929999999999998E-2</v>
      </c>
      <c r="O362" s="711">
        <f t="shared" si="39"/>
        <v>0.10294048447359681</v>
      </c>
      <c r="P362" s="712">
        <f t="shared" si="40"/>
        <v>7.7723856085224821E-3</v>
      </c>
      <c r="Q362" s="713">
        <f t="shared" si="41"/>
        <v>8.0009314005691592E-4</v>
      </c>
    </row>
    <row r="363" spans="1:17">
      <c r="A363" s="3" t="s">
        <v>1969</v>
      </c>
      <c r="B363" s="3" t="s">
        <v>2652</v>
      </c>
      <c r="C363" s="3" t="s">
        <v>1970</v>
      </c>
      <c r="D363" s="3">
        <v>287626236875.88007</v>
      </c>
      <c r="E363" s="3">
        <v>3.1245120999219358</v>
      </c>
      <c r="F363" s="3">
        <v>0.503</v>
      </c>
      <c r="G363" s="3">
        <v>5613.3149999999996</v>
      </c>
      <c r="H363" s="3">
        <v>51.24</v>
      </c>
      <c r="I363" s="706"/>
      <c r="J363" s="707" t="str">
        <f t="shared" si="42"/>
        <v>Pfizer Inc</v>
      </c>
      <c r="K363" s="708" t="str">
        <f t="shared" si="42"/>
        <v>PFE</v>
      </c>
      <c r="L363" s="709">
        <f t="shared" si="36"/>
        <v>287626.23687588004</v>
      </c>
      <c r="M363" s="710">
        <f t="shared" si="37"/>
        <v>3.1245120999219358E-2</v>
      </c>
      <c r="N363" s="710">
        <f t="shared" si="38"/>
        <v>5.0299999999999997E-3</v>
      </c>
      <c r="O363" s="711">
        <f t="shared" si="39"/>
        <v>3.6353702478532396E-2</v>
      </c>
      <c r="P363" s="712">
        <f t="shared" si="40"/>
        <v>8.9817977390554641E-3</v>
      </c>
      <c r="Q363" s="713">
        <f t="shared" si="41"/>
        <v>3.2652160272797731E-4</v>
      </c>
    </row>
    <row r="364" spans="1:17">
      <c r="A364" s="3" t="s">
        <v>2306</v>
      </c>
      <c r="B364" s="3" t="s">
        <v>2653</v>
      </c>
      <c r="C364" s="3" t="s">
        <v>1971</v>
      </c>
      <c r="D364" s="3">
        <v>20533779736.800003</v>
      </c>
      <c r="E364" s="3">
        <v>3.0695900857959963</v>
      </c>
      <c r="F364" s="3">
        <v>5.5</v>
      </c>
      <c r="G364" s="3">
        <v>244.68279999999999</v>
      </c>
      <c r="H364" s="3">
        <v>83.92</v>
      </c>
      <c r="I364" s="706"/>
      <c r="J364" s="707" t="str">
        <f t="shared" si="42"/>
        <v>Principal Financial Group Inc</v>
      </c>
      <c r="K364" s="708" t="str">
        <f t="shared" si="42"/>
        <v>PFG</v>
      </c>
      <c r="L364" s="709">
        <f t="shared" si="36"/>
        <v>20533.779736800003</v>
      </c>
      <c r="M364" s="710">
        <f t="shared" si="37"/>
        <v>3.0695900857959965E-2</v>
      </c>
      <c r="N364" s="710">
        <f t="shared" si="38"/>
        <v>5.5E-2</v>
      </c>
      <c r="O364" s="711">
        <f t="shared" si="39"/>
        <v>8.6540038131553865E-2</v>
      </c>
      <c r="P364" s="712">
        <f t="shared" si="40"/>
        <v>6.4121499630035751E-4</v>
      </c>
      <c r="Q364" s="713">
        <f t="shared" si="41"/>
        <v>5.5490770230357107E-5</v>
      </c>
    </row>
    <row r="365" spans="1:17">
      <c r="A365" s="3" t="s">
        <v>1972</v>
      </c>
      <c r="B365" s="3" t="s">
        <v>2654</v>
      </c>
      <c r="C365" s="3" t="s">
        <v>1973</v>
      </c>
      <c r="D365" s="3">
        <v>359151256404.71997</v>
      </c>
      <c r="E365" s="3">
        <v>2.4333597255212456</v>
      </c>
      <c r="F365" s="3">
        <v>4.9850000000000003</v>
      </c>
      <c r="G365" s="3">
        <v>2369.6970000000001</v>
      </c>
      <c r="H365" s="3">
        <v>151.56</v>
      </c>
      <c r="I365" s="706"/>
      <c r="J365" s="707" t="str">
        <f t="shared" si="42"/>
        <v>Procter &amp; Gamble Co/The</v>
      </c>
      <c r="K365" s="708" t="str">
        <f t="shared" si="42"/>
        <v>PG</v>
      </c>
      <c r="L365" s="709">
        <f t="shared" si="36"/>
        <v>359151.25640471996</v>
      </c>
      <c r="M365" s="710">
        <f t="shared" si="37"/>
        <v>2.4333597255212457E-2</v>
      </c>
      <c r="N365" s="710">
        <f t="shared" si="38"/>
        <v>4.9850000000000005E-2</v>
      </c>
      <c r="O365" s="711">
        <f t="shared" si="39"/>
        <v>7.4790112166798636E-2</v>
      </c>
      <c r="P365" s="712">
        <f t="shared" si="40"/>
        <v>1.1215332710231472E-2</v>
      </c>
      <c r="Q365" s="713">
        <f t="shared" si="41"/>
        <v>8.3879599138617761E-4</v>
      </c>
    </row>
    <row r="366" spans="1:17">
      <c r="A366" s="3" t="s">
        <v>1974</v>
      </c>
      <c r="B366" s="3" t="s">
        <v>2655</v>
      </c>
      <c r="C366" s="3" t="s">
        <v>1975</v>
      </c>
      <c r="D366" s="3">
        <v>75880350000</v>
      </c>
      <c r="E366" s="3">
        <v>0.69771027677125896</v>
      </c>
      <c r="F366" s="3">
        <v>29.35</v>
      </c>
      <c r="G366" s="3">
        <v>585</v>
      </c>
      <c r="H366" s="3">
        <v>129.71</v>
      </c>
      <c r="I366" s="706"/>
      <c r="J366" s="707" t="str">
        <f t="shared" si="42"/>
        <v>Progressive Corp/The</v>
      </c>
      <c r="K366" s="708" t="str">
        <f t="shared" si="42"/>
        <v>PGR</v>
      </c>
      <c r="L366" s="709">
        <f t="shared" si="36"/>
        <v>75880.350000000006</v>
      </c>
      <c r="M366" s="710">
        <f t="shared" si="37"/>
        <v>6.9771027677125895E-3</v>
      </c>
      <c r="N366" s="710">
        <f t="shared" si="38"/>
        <v>0.29350000000000004</v>
      </c>
      <c r="O366" s="711">
        <f t="shared" si="39"/>
        <v>0.30150099259887447</v>
      </c>
      <c r="P366" s="712">
        <f t="shared" si="40"/>
        <v>2.3695402876714776E-3</v>
      </c>
      <c r="Q366" s="713">
        <f t="shared" si="41"/>
        <v>7.1441874873597305E-4</v>
      </c>
    </row>
    <row r="367" spans="1:17">
      <c r="A367" s="3" t="s">
        <v>1976</v>
      </c>
      <c r="B367" s="3" t="s">
        <v>2656</v>
      </c>
      <c r="C367" s="3" t="s">
        <v>1977</v>
      </c>
      <c r="D367" s="3">
        <v>37366067721</v>
      </c>
      <c r="E367" s="3">
        <v>1.7663230240549828</v>
      </c>
      <c r="F367" s="3">
        <v>14.56</v>
      </c>
      <c r="G367" s="3">
        <v>128.4057</v>
      </c>
      <c r="H367" s="3">
        <v>291</v>
      </c>
      <c r="I367" s="706"/>
      <c r="J367" s="707" t="str">
        <f t="shared" si="42"/>
        <v>Parker-Hannifin Corp</v>
      </c>
      <c r="K367" s="708" t="str">
        <f t="shared" si="42"/>
        <v>PH</v>
      </c>
      <c r="L367" s="709">
        <f t="shared" si="36"/>
        <v>37366.067720999999</v>
      </c>
      <c r="M367" s="710">
        <f t="shared" si="37"/>
        <v>1.7663230240549829E-2</v>
      </c>
      <c r="N367" s="710">
        <f t="shared" si="38"/>
        <v>0.14560000000000001</v>
      </c>
      <c r="O367" s="711">
        <f t="shared" si="39"/>
        <v>0.16454911340206185</v>
      </c>
      <c r="P367" s="712">
        <f t="shared" si="40"/>
        <v>1.1668423097253801E-3</v>
      </c>
      <c r="Q367" s="713">
        <f t="shared" si="41"/>
        <v>1.9200286754532536E-4</v>
      </c>
    </row>
    <row r="368" spans="1:17">
      <c r="A368" s="3" t="s">
        <v>1978</v>
      </c>
      <c r="B368" s="3" t="s">
        <v>2657</v>
      </c>
      <c r="C368" s="3" t="s">
        <v>1979</v>
      </c>
      <c r="D368" s="3">
        <v>10372632033.720001</v>
      </c>
      <c r="E368" s="3">
        <v>1.3156160773116625</v>
      </c>
      <c r="F368" s="3">
        <v>-1.58</v>
      </c>
      <c r="G368" s="3">
        <v>227.81969999999998</v>
      </c>
      <c r="H368" s="3">
        <v>45.53</v>
      </c>
      <c r="I368" s="706"/>
      <c r="J368" s="707" t="str">
        <f t="shared" si="42"/>
        <v>PulteGroup Inc</v>
      </c>
      <c r="K368" s="708" t="str">
        <f t="shared" si="42"/>
        <v>PHM</v>
      </c>
      <c r="L368" s="709">
        <f t="shared" si="36"/>
        <v>10372.632033720001</v>
      </c>
      <c r="M368" s="710">
        <f t="shared" si="37"/>
        <v>1.3156160773116625E-2</v>
      </c>
      <c r="N368" s="710">
        <f t="shared" si="38"/>
        <v>-1.5800000000000002E-2</v>
      </c>
      <c r="O368" s="711">
        <f t="shared" si="39"/>
        <v>-2.7477728969909979E-3</v>
      </c>
      <c r="P368" s="712">
        <f t="shared" si="40"/>
        <v>3.2390954302518736E-4</v>
      </c>
      <c r="Q368" s="713">
        <f t="shared" si="41"/>
        <v>-8.9002986340134937E-7</v>
      </c>
    </row>
    <row r="369" spans="1:17">
      <c r="A369" s="3" t="s">
        <v>2264</v>
      </c>
      <c r="B369" s="3" t="s">
        <v>2658</v>
      </c>
      <c r="C369" s="3" t="s">
        <v>2265</v>
      </c>
      <c r="D369" s="3">
        <v>11836085336.800001</v>
      </c>
      <c r="E369" s="3">
        <v>3.7135485888515363</v>
      </c>
      <c r="F369" s="3">
        <v>5</v>
      </c>
      <c r="G369" s="3">
        <v>92.534480000000002</v>
      </c>
      <c r="H369" s="3">
        <v>127.91</v>
      </c>
      <c r="I369" s="706"/>
      <c r="J369" s="707" t="str">
        <f t="shared" si="42"/>
        <v>Packaging Corp of America</v>
      </c>
      <c r="K369" s="708" t="str">
        <f t="shared" si="42"/>
        <v>PKG</v>
      </c>
      <c r="L369" s="709">
        <f t="shared" si="36"/>
        <v>11836.085336800001</v>
      </c>
      <c r="M369" s="710">
        <f t="shared" si="37"/>
        <v>3.7135485888515361E-2</v>
      </c>
      <c r="N369" s="710">
        <f t="shared" si="38"/>
        <v>0.05</v>
      </c>
      <c r="O369" s="711">
        <f t="shared" si="39"/>
        <v>8.8063873035728241E-2</v>
      </c>
      <c r="P369" s="712">
        <f t="shared" si="40"/>
        <v>3.6960927372982902E-4</v>
      </c>
      <c r="Q369" s="713">
        <f t="shared" si="41"/>
        <v>3.2549224154571386E-5</v>
      </c>
    </row>
    <row r="370" spans="1:17">
      <c r="A370" s="3" t="s">
        <v>1980</v>
      </c>
      <c r="B370" s="3" t="s">
        <v>2659</v>
      </c>
      <c r="C370" s="3" t="s">
        <v>1981</v>
      </c>
      <c r="D370" s="3">
        <v>17712018302.400002</v>
      </c>
      <c r="E370" s="3">
        <v>0.19968620738838971</v>
      </c>
      <c r="F370" s="3" t="s">
        <v>1483</v>
      </c>
      <c r="G370" s="3">
        <v>126.3159</v>
      </c>
      <c r="H370" s="3">
        <v>140.22</v>
      </c>
      <c r="I370" s="706"/>
      <c r="J370" s="707" t="str">
        <f t="shared" si="42"/>
        <v>PerkinElmer Inc</v>
      </c>
      <c r="K370" s="708" t="str">
        <f t="shared" si="42"/>
        <v>PKI</v>
      </c>
      <c r="L370" s="709">
        <f t="shared" si="36"/>
        <v>17712.0183024</v>
      </c>
      <c r="M370" s="710">
        <f t="shared" si="37"/>
        <v>1.9968620738838971E-3</v>
      </c>
      <c r="N370" s="710" t="str">
        <f t="shared" si="38"/>
        <v>N/A</v>
      </c>
      <c r="O370" s="711" t="str">
        <f t="shared" si="39"/>
        <v>N/A</v>
      </c>
      <c r="P370" s="712" t="str">
        <f t="shared" si="40"/>
        <v>N/A</v>
      </c>
      <c r="Q370" s="713" t="str">
        <f t="shared" si="41"/>
        <v>N/A</v>
      </c>
    </row>
    <row r="371" spans="1:17">
      <c r="A371" s="3" t="s">
        <v>1982</v>
      </c>
      <c r="B371" s="3" t="s">
        <v>2660</v>
      </c>
      <c r="C371" s="3" t="s">
        <v>1983</v>
      </c>
      <c r="D371" s="3">
        <v>104058647985.21001</v>
      </c>
      <c r="E371" s="3">
        <v>2.7934001596735558</v>
      </c>
      <c r="F371" s="3">
        <v>9.9450000000000003</v>
      </c>
      <c r="G371" s="3">
        <v>923.07859999999994</v>
      </c>
      <c r="H371" s="3">
        <v>112.73</v>
      </c>
      <c r="I371" s="706"/>
      <c r="J371" s="707" t="str">
        <f t="shared" si="42"/>
        <v>Prologis Inc</v>
      </c>
      <c r="K371" s="708" t="str">
        <f t="shared" si="42"/>
        <v>PLD</v>
      </c>
      <c r="L371" s="709">
        <f t="shared" si="36"/>
        <v>104058.64798521</v>
      </c>
      <c r="M371" s="710">
        <f t="shared" si="37"/>
        <v>2.7934001596735557E-2</v>
      </c>
      <c r="N371" s="710">
        <f t="shared" si="38"/>
        <v>9.9449999999999997E-2</v>
      </c>
      <c r="O371" s="711">
        <f t="shared" si="39"/>
        <v>0.12877301982613323</v>
      </c>
      <c r="P371" s="712">
        <f t="shared" si="40"/>
        <v>3.2494731334473223E-3</v>
      </c>
      <c r="Q371" s="713">
        <f t="shared" si="41"/>
        <v>4.1844446823789932E-4</v>
      </c>
    </row>
    <row r="372" spans="1:17">
      <c r="A372" s="3" t="s">
        <v>1984</v>
      </c>
      <c r="B372" s="3" t="s">
        <v>2661</v>
      </c>
      <c r="C372" s="3" t="s">
        <v>1985</v>
      </c>
      <c r="D372" s="3">
        <v>156895975289.04999</v>
      </c>
      <c r="E372" s="3">
        <v>4.9807331291374375</v>
      </c>
      <c r="F372" s="3">
        <v>2.93</v>
      </c>
      <c r="G372" s="3">
        <v>1550.202</v>
      </c>
      <c r="H372" s="3">
        <v>101.21</v>
      </c>
      <c r="I372" s="706"/>
      <c r="J372" s="707" t="str">
        <f t="shared" si="42"/>
        <v>Philip Morris International Inc</v>
      </c>
      <c r="K372" s="708" t="str">
        <f t="shared" si="42"/>
        <v>PM</v>
      </c>
      <c r="L372" s="709">
        <f t="shared" si="36"/>
        <v>156895.97528904999</v>
      </c>
      <c r="M372" s="710">
        <f t="shared" si="37"/>
        <v>4.9807331291374372E-2</v>
      </c>
      <c r="N372" s="710">
        <f t="shared" si="38"/>
        <v>2.9300000000000003E-2</v>
      </c>
      <c r="O372" s="711">
        <f t="shared" si="39"/>
        <v>7.9837008694793016E-2</v>
      </c>
      <c r="P372" s="712">
        <f t="shared" si="40"/>
        <v>4.8994414815022938E-3</v>
      </c>
      <c r="Q372" s="713">
        <f t="shared" si="41"/>
        <v>3.9115675215832822E-4</v>
      </c>
    </row>
    <row r="373" spans="1:17">
      <c r="A373" s="3" t="s">
        <v>1986</v>
      </c>
      <c r="B373" s="3" t="s">
        <v>2662</v>
      </c>
      <c r="C373" s="3" t="s">
        <v>1987</v>
      </c>
      <c r="D373" s="3">
        <v>63700208072.019997</v>
      </c>
      <c r="E373" s="3">
        <v>3.6406230214005317</v>
      </c>
      <c r="F373" s="3">
        <v>15.325000000000001</v>
      </c>
      <c r="G373" s="3">
        <v>403.31899999999996</v>
      </c>
      <c r="H373" s="3">
        <v>157.94</v>
      </c>
      <c r="I373" s="706"/>
      <c r="J373" s="707" t="str">
        <f t="shared" si="42"/>
        <v>PNC Financial Services Group Inc/The</v>
      </c>
      <c r="K373" s="708" t="str">
        <f t="shared" si="42"/>
        <v>PNC</v>
      </c>
      <c r="L373" s="709">
        <f t="shared" si="36"/>
        <v>63700.208072019996</v>
      </c>
      <c r="M373" s="710">
        <f t="shared" si="37"/>
        <v>3.6406230214005318E-2</v>
      </c>
      <c r="N373" s="710">
        <f t="shared" si="38"/>
        <v>0.15325</v>
      </c>
      <c r="O373" s="711">
        <f t="shared" si="39"/>
        <v>0.19244585760415348</v>
      </c>
      <c r="P373" s="712">
        <f t="shared" si="40"/>
        <v>1.9891870472356445E-3</v>
      </c>
      <c r="Q373" s="713">
        <f t="shared" si="41"/>
        <v>3.8281080724033738E-4</v>
      </c>
    </row>
    <row r="374" spans="1:17">
      <c r="A374" s="3" t="s">
        <v>1988</v>
      </c>
      <c r="B374" s="3" t="s">
        <v>2663</v>
      </c>
      <c r="C374" s="3" t="s">
        <v>1989</v>
      </c>
      <c r="D374" s="3">
        <v>7399135962.9200001</v>
      </c>
      <c r="E374" s="3">
        <v>1.8741662961316141</v>
      </c>
      <c r="F374" s="3">
        <v>8.620000000000001</v>
      </c>
      <c r="G374" s="3">
        <v>164.4984</v>
      </c>
      <c r="H374" s="3">
        <v>44.98</v>
      </c>
      <c r="I374" s="706"/>
      <c r="J374" s="707" t="str">
        <f t="shared" si="42"/>
        <v>Pentair PLC</v>
      </c>
      <c r="K374" s="708" t="str">
        <f t="shared" si="42"/>
        <v>PNR</v>
      </c>
      <c r="L374" s="709">
        <f t="shared" si="36"/>
        <v>7399.1359629199997</v>
      </c>
      <c r="M374" s="710">
        <f t="shared" si="37"/>
        <v>1.874166296131614E-2</v>
      </c>
      <c r="N374" s="710">
        <f t="shared" si="38"/>
        <v>8.6200000000000013E-2</v>
      </c>
      <c r="O374" s="711">
        <f t="shared" si="39"/>
        <v>0.10574942863494888</v>
      </c>
      <c r="P374" s="712">
        <f t="shared" si="40"/>
        <v>2.3105521730062961E-4</v>
      </c>
      <c r="Q374" s="713">
        <f t="shared" si="41"/>
        <v>2.4433957212665537E-5</v>
      </c>
    </row>
    <row r="375" spans="1:17">
      <c r="A375" s="3" t="s">
        <v>1990</v>
      </c>
      <c r="B375" s="3" t="s">
        <v>2664</v>
      </c>
      <c r="C375" s="3" t="s">
        <v>202</v>
      </c>
      <c r="D375" s="3">
        <v>8603181036.1200008</v>
      </c>
      <c r="E375" s="3">
        <v>4.4871120462914247</v>
      </c>
      <c r="F375" s="3">
        <v>-2.1</v>
      </c>
      <c r="G375" s="3">
        <v>113.14019999999999</v>
      </c>
      <c r="H375" s="3">
        <v>76.040000000000006</v>
      </c>
      <c r="I375" s="706"/>
      <c r="J375" s="707" t="str">
        <f t="shared" si="42"/>
        <v>Pinnacle West Capital Corp</v>
      </c>
      <c r="K375" s="708" t="str">
        <f t="shared" si="42"/>
        <v>PNW</v>
      </c>
      <c r="L375" s="709">
        <f t="shared" si="36"/>
        <v>8603.1810361200005</v>
      </c>
      <c r="M375" s="710">
        <f t="shared" si="37"/>
        <v>4.4871120462914249E-2</v>
      </c>
      <c r="N375" s="710">
        <f t="shared" si="38"/>
        <v>-2.1000000000000001E-2</v>
      </c>
      <c r="O375" s="711">
        <f t="shared" si="39"/>
        <v>2.3399973698053651E-2</v>
      </c>
      <c r="P375" s="712">
        <f t="shared" si="40"/>
        <v>2.6865432311814043E-4</v>
      </c>
      <c r="Q375" s="713">
        <f t="shared" si="41"/>
        <v>6.2865040948328931E-6</v>
      </c>
    </row>
    <row r="376" spans="1:17">
      <c r="A376" s="3" t="s">
        <v>3948</v>
      </c>
      <c r="B376" s="3" t="s">
        <v>3949</v>
      </c>
      <c r="C376" s="3" t="s">
        <v>3910</v>
      </c>
      <c r="D376" s="3">
        <v>11806173339.940001</v>
      </c>
      <c r="E376" s="3">
        <v>1.2569047067773627</v>
      </c>
      <c r="F376" s="3">
        <v>6.74</v>
      </c>
      <c r="G376" s="3">
        <v>39.050619999999995</v>
      </c>
      <c r="H376" s="3">
        <v>302.33</v>
      </c>
      <c r="I376" s="706"/>
      <c r="J376" s="707" t="str">
        <f t="shared" si="42"/>
        <v>Pool Corp</v>
      </c>
      <c r="K376" s="708" t="str">
        <f t="shared" si="42"/>
        <v>POOL</v>
      </c>
      <c r="L376" s="709">
        <f t="shared" si="36"/>
        <v>11806.17333994</v>
      </c>
      <c r="M376" s="710">
        <f t="shared" si="37"/>
        <v>1.2569047067773627E-2</v>
      </c>
      <c r="N376" s="710">
        <f t="shared" si="38"/>
        <v>6.7400000000000002E-2</v>
      </c>
      <c r="O376" s="711">
        <f t="shared" si="39"/>
        <v>8.0392623953957604E-2</v>
      </c>
      <c r="P376" s="712">
        <f t="shared" si="40"/>
        <v>3.6867520210727488E-4</v>
      </c>
      <c r="Q376" s="713">
        <f t="shared" si="41"/>
        <v>2.9638766884159467E-5</v>
      </c>
    </row>
    <row r="377" spans="1:17">
      <c r="A377" s="3" t="s">
        <v>1991</v>
      </c>
      <c r="B377" s="3" t="s">
        <v>2665</v>
      </c>
      <c r="C377" s="3" t="s">
        <v>1992</v>
      </c>
      <c r="D377" s="3">
        <v>29552344521.559998</v>
      </c>
      <c r="E377" s="3">
        <v>1.9190392874184827</v>
      </c>
      <c r="F377" s="3">
        <v>6.7700000000000005</v>
      </c>
      <c r="G377" s="3">
        <v>235.0274</v>
      </c>
      <c r="H377" s="3">
        <v>125.74</v>
      </c>
      <c r="I377" s="706"/>
      <c r="J377" s="707" t="str">
        <f t="shared" si="42"/>
        <v>PPG Industries Inc</v>
      </c>
      <c r="K377" s="708" t="str">
        <f t="shared" si="42"/>
        <v>PPG</v>
      </c>
      <c r="L377" s="709">
        <f t="shared" si="36"/>
        <v>29552.344521559997</v>
      </c>
      <c r="M377" s="710">
        <f t="shared" si="37"/>
        <v>1.9190392874184826E-2</v>
      </c>
      <c r="N377" s="710">
        <f t="shared" si="38"/>
        <v>6.770000000000001E-2</v>
      </c>
      <c r="O377" s="711">
        <f t="shared" si="39"/>
        <v>8.7539987672975994E-2</v>
      </c>
      <c r="P377" s="712">
        <f t="shared" si="40"/>
        <v>9.2284064239271288E-4</v>
      </c>
      <c r="Q377" s="713">
        <f t="shared" si="41"/>
        <v>8.0785458459179332E-5</v>
      </c>
    </row>
    <row r="378" spans="1:17">
      <c r="A378" s="3" t="s">
        <v>1993</v>
      </c>
      <c r="B378" s="3" t="s">
        <v>2666</v>
      </c>
      <c r="C378" s="3" t="s">
        <v>203</v>
      </c>
      <c r="D378" s="3">
        <v>21515220258.479996</v>
      </c>
      <c r="E378" s="3">
        <v>3.0595482546201236</v>
      </c>
      <c r="F378" s="3" t="s">
        <v>1483</v>
      </c>
      <c r="G378" s="3">
        <v>736.31830000000002</v>
      </c>
      <c r="H378" s="3">
        <v>29.22</v>
      </c>
      <c r="I378" s="706"/>
      <c r="J378" s="707" t="str">
        <f t="shared" si="42"/>
        <v>PPL Corp</v>
      </c>
      <c r="K378" s="708" t="str">
        <f t="shared" si="42"/>
        <v>PPL</v>
      </c>
      <c r="L378" s="709">
        <f t="shared" si="36"/>
        <v>21515.220258479996</v>
      </c>
      <c r="M378" s="710">
        <f t="shared" si="37"/>
        <v>3.0595482546201237E-2</v>
      </c>
      <c r="N378" s="710" t="str">
        <f t="shared" si="38"/>
        <v>N/A</v>
      </c>
      <c r="O378" s="711" t="str">
        <f t="shared" si="39"/>
        <v>N/A</v>
      </c>
      <c r="P378" s="712" t="str">
        <f t="shared" si="40"/>
        <v>N/A</v>
      </c>
      <c r="Q378" s="713" t="str">
        <f t="shared" si="41"/>
        <v>N/A</v>
      </c>
    </row>
    <row r="379" spans="1:17">
      <c r="A379" s="3" t="s">
        <v>1994</v>
      </c>
      <c r="B379" s="3" t="s">
        <v>2667</v>
      </c>
      <c r="C379" s="3" t="s">
        <v>1995</v>
      </c>
      <c r="D379" s="3">
        <v>36601280000</v>
      </c>
      <c r="E379" s="3">
        <v>4.8210335813392318</v>
      </c>
      <c r="F379" s="3">
        <v>-6.21</v>
      </c>
      <c r="G379" s="3">
        <v>368</v>
      </c>
      <c r="H379" s="3">
        <v>99.46</v>
      </c>
      <c r="I379" s="706"/>
      <c r="J379" s="707" t="str">
        <f t="shared" si="42"/>
        <v>Prudential Financial Inc</v>
      </c>
      <c r="K379" s="708" t="str">
        <f t="shared" si="42"/>
        <v>PRU</v>
      </c>
      <c r="L379" s="709">
        <f t="shared" si="36"/>
        <v>36601.279999999999</v>
      </c>
      <c r="M379" s="710">
        <f t="shared" si="37"/>
        <v>4.8210335813392319E-2</v>
      </c>
      <c r="N379" s="710">
        <f t="shared" si="38"/>
        <v>-6.2100000000000002E-2</v>
      </c>
      <c r="O379" s="711">
        <f t="shared" si="39"/>
        <v>-1.5386595113613517E-2</v>
      </c>
      <c r="P379" s="712">
        <f t="shared" si="40"/>
        <v>1.1429600356395865E-3</v>
      </c>
      <c r="Q379" s="713">
        <f t="shared" si="41"/>
        <v>-1.7586263299427594E-5</v>
      </c>
    </row>
    <row r="380" spans="1:17">
      <c r="A380" s="3" t="s">
        <v>1996</v>
      </c>
      <c r="B380" s="3" t="s">
        <v>2668</v>
      </c>
      <c r="C380" s="3" t="s">
        <v>1997</v>
      </c>
      <c r="D380" s="3">
        <v>49212119933.719994</v>
      </c>
      <c r="E380" s="3">
        <v>5.4705735393839898</v>
      </c>
      <c r="F380" s="3">
        <v>8.27</v>
      </c>
      <c r="G380" s="3">
        <v>175.63839999999999</v>
      </c>
      <c r="H380" s="3">
        <v>280.19</v>
      </c>
      <c r="I380" s="706"/>
      <c r="J380" s="707" t="str">
        <f t="shared" si="42"/>
        <v>Public Storage</v>
      </c>
      <c r="K380" s="708" t="str">
        <f t="shared" si="42"/>
        <v>PSA</v>
      </c>
      <c r="L380" s="709">
        <f t="shared" si="36"/>
        <v>49212.119933719994</v>
      </c>
      <c r="M380" s="710">
        <f t="shared" si="37"/>
        <v>5.4705735393839897E-2</v>
      </c>
      <c r="N380" s="710">
        <f t="shared" si="38"/>
        <v>8.2699999999999996E-2</v>
      </c>
      <c r="O380" s="711">
        <f t="shared" si="39"/>
        <v>0.13966781755237517</v>
      </c>
      <c r="P380" s="712">
        <f t="shared" si="40"/>
        <v>1.5367628223205366E-3</v>
      </c>
      <c r="Q380" s="713">
        <f t="shared" si="41"/>
        <v>2.1463630948913786E-4</v>
      </c>
    </row>
    <row r="381" spans="1:17">
      <c r="A381" s="3" t="s">
        <v>1998</v>
      </c>
      <c r="B381" s="3" t="s">
        <v>2669</v>
      </c>
      <c r="C381" s="3" t="s">
        <v>1999</v>
      </c>
      <c r="D381" s="3">
        <v>49191560729.040001</v>
      </c>
      <c r="E381" s="3">
        <v>3.623174481168332</v>
      </c>
      <c r="F381" s="3">
        <v>11.23</v>
      </c>
      <c r="G381" s="3">
        <v>472.63219999999995</v>
      </c>
      <c r="H381" s="3">
        <v>104.08</v>
      </c>
      <c r="I381" s="706"/>
      <c r="J381" s="707" t="str">
        <f t="shared" si="42"/>
        <v>Phillips 66</v>
      </c>
      <c r="K381" s="708" t="str">
        <f t="shared" si="42"/>
        <v>PSX</v>
      </c>
      <c r="L381" s="709">
        <f t="shared" si="36"/>
        <v>49191.56072904</v>
      </c>
      <c r="M381" s="710">
        <f t="shared" si="37"/>
        <v>3.6231744811683321E-2</v>
      </c>
      <c r="N381" s="710">
        <f t="shared" si="38"/>
        <v>0.11230000000000001</v>
      </c>
      <c r="O381" s="711">
        <f t="shared" si="39"/>
        <v>0.15056615728285935</v>
      </c>
      <c r="P381" s="712">
        <f t="shared" si="40"/>
        <v>1.536120813371293E-3</v>
      </c>
      <c r="Q381" s="713">
        <f t="shared" si="41"/>
        <v>2.3128780799153595E-4</v>
      </c>
    </row>
    <row r="382" spans="1:17">
      <c r="A382" s="3" t="s">
        <v>4005</v>
      </c>
      <c r="B382" s="3" t="s">
        <v>4006</v>
      </c>
      <c r="C382" s="3" t="s">
        <v>4007</v>
      </c>
      <c r="D382" s="3">
        <v>14183220804.880001</v>
      </c>
      <c r="E382" s="3">
        <v>0</v>
      </c>
      <c r="F382" s="3">
        <v>15</v>
      </c>
      <c r="G382" s="3">
        <v>118.1541</v>
      </c>
      <c r="H382" s="3">
        <v>120.04</v>
      </c>
      <c r="I382" s="706"/>
      <c r="J382" s="707" t="str">
        <f t="shared" si="42"/>
        <v>PTC Inc</v>
      </c>
      <c r="K382" s="708" t="str">
        <f t="shared" si="42"/>
        <v>PTC</v>
      </c>
      <c r="L382" s="709">
        <f t="shared" si="36"/>
        <v>14183.22080488</v>
      </c>
      <c r="M382" s="710">
        <f t="shared" si="37"/>
        <v>0</v>
      </c>
      <c r="N382" s="710">
        <f t="shared" si="38"/>
        <v>0.15</v>
      </c>
      <c r="O382" s="711">
        <f t="shared" si="39"/>
        <v>0.15</v>
      </c>
      <c r="P382" s="712">
        <f t="shared" si="40"/>
        <v>4.4290403386520278E-4</v>
      </c>
      <c r="Q382" s="713">
        <f t="shared" si="41"/>
        <v>6.6435605079780412E-5</v>
      </c>
    </row>
    <row r="383" spans="1:17">
      <c r="A383" s="3" t="s">
        <v>2000</v>
      </c>
      <c r="B383" s="3" t="s">
        <v>2670</v>
      </c>
      <c r="C383" s="3" t="s">
        <v>2001</v>
      </c>
      <c r="D383" s="3">
        <v>20363414729.999996</v>
      </c>
      <c r="E383" s="3">
        <v>0.19789473684210529</v>
      </c>
      <c r="F383" s="3">
        <v>15.4</v>
      </c>
      <c r="G383" s="3">
        <v>142.90119999999999</v>
      </c>
      <c r="H383" s="3">
        <v>142.5</v>
      </c>
      <c r="I383" s="706"/>
      <c r="J383" s="707" t="str">
        <f t="shared" si="42"/>
        <v>Quanta Services Inc</v>
      </c>
      <c r="K383" s="708" t="str">
        <f t="shared" si="42"/>
        <v>PWR</v>
      </c>
      <c r="L383" s="709">
        <f t="shared" si="36"/>
        <v>20363.414729999997</v>
      </c>
      <c r="M383" s="710">
        <f t="shared" si="37"/>
        <v>1.9789473684210528E-3</v>
      </c>
      <c r="N383" s="710">
        <f t="shared" si="38"/>
        <v>0.154</v>
      </c>
      <c r="O383" s="711">
        <f t="shared" si="39"/>
        <v>0.15613132631578946</v>
      </c>
      <c r="P383" s="712">
        <f t="shared" si="40"/>
        <v>6.3589495300559102E-4</v>
      </c>
      <c r="Q383" s="713">
        <f t="shared" si="41"/>
        <v>9.9283122410279536E-5</v>
      </c>
    </row>
    <row r="384" spans="1:17">
      <c r="A384" s="3" t="s">
        <v>2002</v>
      </c>
      <c r="B384" s="3" t="s">
        <v>2671</v>
      </c>
      <c r="C384" s="3" t="s">
        <v>2003</v>
      </c>
      <c r="D384" s="3">
        <v>54265174629.870003</v>
      </c>
      <c r="E384" s="3">
        <v>1.6550637068172864</v>
      </c>
      <c r="F384" s="3" t="s">
        <v>1483</v>
      </c>
      <c r="G384" s="3">
        <v>237.59869999999998</v>
      </c>
      <c r="H384" s="3">
        <v>228.39</v>
      </c>
      <c r="I384" s="706"/>
      <c r="J384" s="707" t="str">
        <f t="shared" si="42"/>
        <v>Pioneer Natural Resources Co</v>
      </c>
      <c r="K384" s="708" t="str">
        <f t="shared" si="42"/>
        <v>PXD</v>
      </c>
      <c r="L384" s="709">
        <f t="shared" si="36"/>
        <v>54265.174629870002</v>
      </c>
      <c r="M384" s="710">
        <f t="shared" si="37"/>
        <v>1.6550637068172863E-2</v>
      </c>
      <c r="N384" s="710" t="str">
        <f t="shared" si="38"/>
        <v>N/A</v>
      </c>
      <c r="O384" s="711" t="str">
        <f t="shared" si="39"/>
        <v>N/A</v>
      </c>
      <c r="P384" s="712" t="str">
        <f t="shared" si="40"/>
        <v>N/A</v>
      </c>
      <c r="Q384" s="713" t="str">
        <f t="shared" si="41"/>
        <v>N/A</v>
      </c>
    </row>
    <row r="385" spans="1:17">
      <c r="A385" s="3" t="s">
        <v>2004</v>
      </c>
      <c r="B385" s="3" t="s">
        <v>2672</v>
      </c>
      <c r="C385" s="3" t="s">
        <v>2005</v>
      </c>
      <c r="D385" s="3">
        <v>81192775073.039993</v>
      </c>
      <c r="E385" s="3" t="s">
        <v>1483</v>
      </c>
      <c r="F385" s="3">
        <v>9.370000000000001</v>
      </c>
      <c r="G385" s="3">
        <v>1140.028</v>
      </c>
      <c r="H385" s="3">
        <v>71.22</v>
      </c>
      <c r="I385" s="706"/>
      <c r="J385" s="707" t="str">
        <f t="shared" si="42"/>
        <v>PayPal Holdings Inc</v>
      </c>
      <c r="K385" s="708" t="str">
        <f t="shared" si="42"/>
        <v>PYPL</v>
      </c>
      <c r="L385" s="709">
        <f t="shared" si="36"/>
        <v>81192.77507304</v>
      </c>
      <c r="M385" s="710" t="str">
        <f t="shared" si="37"/>
        <v>0.00%</v>
      </c>
      <c r="N385" s="710">
        <f t="shared" si="38"/>
        <v>9.3700000000000006E-2</v>
      </c>
      <c r="O385" s="711">
        <f t="shared" si="39"/>
        <v>9.3700000000000006E-2</v>
      </c>
      <c r="P385" s="712">
        <f t="shared" si="40"/>
        <v>2.5354331075623238E-3</v>
      </c>
      <c r="Q385" s="713">
        <f t="shared" si="41"/>
        <v>2.3757008217858974E-4</v>
      </c>
    </row>
    <row r="386" spans="1:17">
      <c r="A386" s="3" t="s">
        <v>2006</v>
      </c>
      <c r="B386" s="3" t="s">
        <v>2673</v>
      </c>
      <c r="C386" s="3" t="s">
        <v>2007</v>
      </c>
      <c r="D386" s="3">
        <v>123242739999.99998</v>
      </c>
      <c r="E386" s="3">
        <v>2.7997089321448065</v>
      </c>
      <c r="F386" s="3">
        <v>-1.1599999999999999</v>
      </c>
      <c r="G386" s="3">
        <v>1121</v>
      </c>
      <c r="H386" s="3">
        <v>109.94</v>
      </c>
      <c r="I386" s="706"/>
      <c r="J386" s="707" t="str">
        <f t="shared" si="42"/>
        <v>QUALCOMM Inc</v>
      </c>
      <c r="K386" s="708" t="str">
        <f t="shared" si="42"/>
        <v>QCOM</v>
      </c>
      <c r="L386" s="709">
        <f t="shared" si="36"/>
        <v>123242.73999999999</v>
      </c>
      <c r="M386" s="710">
        <f t="shared" si="37"/>
        <v>2.7997089321448065E-2</v>
      </c>
      <c r="N386" s="710">
        <f t="shared" si="38"/>
        <v>-1.1599999999999999E-2</v>
      </c>
      <c r="O386" s="711">
        <f t="shared" si="39"/>
        <v>1.6234706203383666E-2</v>
      </c>
      <c r="P386" s="712">
        <f t="shared" si="40"/>
        <v>3.8485409937226316E-3</v>
      </c>
      <c r="Q386" s="713">
        <f t="shared" si="41"/>
        <v>6.2479932344765149E-5</v>
      </c>
    </row>
    <row r="387" spans="1:17">
      <c r="A387" s="3" t="s">
        <v>2008</v>
      </c>
      <c r="B387" s="3" t="s">
        <v>2674</v>
      </c>
      <c r="C387" s="3" t="s">
        <v>2009</v>
      </c>
      <c r="D387" s="3">
        <v>9189941832.7199993</v>
      </c>
      <c r="E387" s="3">
        <v>0</v>
      </c>
      <c r="F387" s="3">
        <v>-6.5270000000000001</v>
      </c>
      <c r="G387" s="3">
        <v>101.3895</v>
      </c>
      <c r="H387" s="3">
        <v>90.64</v>
      </c>
      <c r="I387" s="706"/>
      <c r="J387" s="707" t="str">
        <f t="shared" si="42"/>
        <v>Qorvo Inc</v>
      </c>
      <c r="K387" s="708" t="str">
        <f t="shared" si="42"/>
        <v>QRVO</v>
      </c>
      <c r="L387" s="709">
        <f t="shared" ref="L387:L450" si="43">D387/1000000</f>
        <v>9189.9418327200001</v>
      </c>
      <c r="M387" s="710">
        <f t="shared" ref="M387:M450" si="44">IFERROR(E387/100,"0.00%")</f>
        <v>0</v>
      </c>
      <c r="N387" s="710">
        <f t="shared" ref="N387:N450" si="45">IFERROR(F387/100,"N/A")</f>
        <v>-6.5269999999999995E-2</v>
      </c>
      <c r="O387" s="711">
        <f t="shared" ref="O387:O450" si="46">IFERROR(M387*(1+0.5*N387)+N387,"N/A")</f>
        <v>-6.5269999999999995E-2</v>
      </c>
      <c r="P387" s="712">
        <f t="shared" ref="P387:P450" si="47">IF(N387="N/A","N/A",L387/$L$504)</f>
        <v>2.8697729272449975E-4</v>
      </c>
      <c r="Q387" s="713">
        <f t="shared" ref="Q387:Q450" si="48">IF(AND(ISNUMBER(L387),ISNUMBER(O387)),O387*P387,"N/A")</f>
        <v>-1.8731007896128098E-5</v>
      </c>
    </row>
    <row r="388" spans="1:17">
      <c r="A388" s="3" t="s">
        <v>2010</v>
      </c>
      <c r="B388" s="3" t="s">
        <v>2675</v>
      </c>
      <c r="C388" s="3" t="s">
        <v>2011</v>
      </c>
      <c r="D388" s="3">
        <v>12613647001.450001</v>
      </c>
      <c r="E388" s="3">
        <v>0</v>
      </c>
      <c r="F388" s="3">
        <v>-160.47</v>
      </c>
      <c r="G388" s="3">
        <v>255.18199999999999</v>
      </c>
      <c r="H388" s="3">
        <v>49.43</v>
      </c>
      <c r="I388" s="706"/>
      <c r="J388" s="707" t="str">
        <f t="shared" ref="J388:K451" si="49">B388</f>
        <v>Royal Caribbean Cruises Ltd</v>
      </c>
      <c r="K388" s="708" t="str">
        <f t="shared" si="49"/>
        <v>RCL</v>
      </c>
      <c r="L388" s="709">
        <f t="shared" si="43"/>
        <v>12613.647001450001</v>
      </c>
      <c r="M388" s="710">
        <f t="shared" si="44"/>
        <v>0</v>
      </c>
      <c r="N388" s="710">
        <f t="shared" si="45"/>
        <v>-1.6047</v>
      </c>
      <c r="O388" s="711">
        <f t="shared" si="46"/>
        <v>-1.6047</v>
      </c>
      <c r="P388" s="712">
        <f t="shared" si="47"/>
        <v>3.9389044389492547E-4</v>
      </c>
      <c r="Q388" s="713">
        <f t="shared" si="48"/>
        <v>-6.3207599531818687E-4</v>
      </c>
    </row>
    <row r="389" spans="1:17">
      <c r="A389" s="3" t="s">
        <v>2266</v>
      </c>
      <c r="B389" s="3" t="s">
        <v>2676</v>
      </c>
      <c r="C389" s="3" t="s">
        <v>2267</v>
      </c>
      <c r="D389" s="3">
        <v>12974200813.18</v>
      </c>
      <c r="E389" s="3">
        <v>1.6934826576508588</v>
      </c>
      <c r="F389" s="3">
        <v>16.745000000000001</v>
      </c>
      <c r="G389" s="3">
        <v>39.165030000000002</v>
      </c>
      <c r="H389" s="3">
        <v>331.27</v>
      </c>
      <c r="I389" s="706"/>
      <c r="J389" s="707" t="str">
        <f t="shared" si="49"/>
        <v>Everest Re Group Ltd</v>
      </c>
      <c r="K389" s="708" t="str">
        <f t="shared" si="49"/>
        <v>RE</v>
      </c>
      <c r="L389" s="709">
        <f t="shared" si="43"/>
        <v>12974.200813180001</v>
      </c>
      <c r="M389" s="710">
        <f t="shared" si="44"/>
        <v>1.6934826576508587E-2</v>
      </c>
      <c r="N389" s="710">
        <f t="shared" si="45"/>
        <v>0.16745000000000002</v>
      </c>
      <c r="O389" s="711">
        <f t="shared" si="46"/>
        <v>0.18580269493162679</v>
      </c>
      <c r="P389" s="712">
        <f t="shared" si="47"/>
        <v>4.0514957465496743E-4</v>
      </c>
      <c r="Q389" s="713">
        <f t="shared" si="48"/>
        <v>7.5277882821295265E-5</v>
      </c>
    </row>
    <row r="390" spans="1:17">
      <c r="A390" s="3" t="s">
        <v>2677</v>
      </c>
      <c r="B390" s="3" t="s">
        <v>2678</v>
      </c>
      <c r="C390" s="3" t="s">
        <v>2230</v>
      </c>
      <c r="D390" s="3">
        <v>10705532250</v>
      </c>
      <c r="E390" s="3">
        <v>4.0352000000000006</v>
      </c>
      <c r="F390" s="3">
        <v>3.7</v>
      </c>
      <c r="G390" s="3">
        <v>171.12269999999998</v>
      </c>
      <c r="H390" s="3">
        <v>62.5</v>
      </c>
      <c r="I390" s="706"/>
      <c r="J390" s="707" t="str">
        <f t="shared" si="49"/>
        <v>Regency Centers Corp</v>
      </c>
      <c r="K390" s="708" t="str">
        <f t="shared" si="49"/>
        <v>REG</v>
      </c>
      <c r="L390" s="709">
        <f t="shared" si="43"/>
        <v>10705.53225</v>
      </c>
      <c r="M390" s="710">
        <f t="shared" si="44"/>
        <v>4.0352000000000006E-2</v>
      </c>
      <c r="N390" s="710">
        <f t="shared" si="45"/>
        <v>3.7000000000000005E-2</v>
      </c>
      <c r="O390" s="711">
        <f t="shared" si="46"/>
        <v>7.8098512000000009E-2</v>
      </c>
      <c r="P390" s="712">
        <f t="shared" si="47"/>
        <v>3.3430512599561392E-4</v>
      </c>
      <c r="Q390" s="713">
        <f t="shared" si="48"/>
        <v>2.6108732894229969E-5</v>
      </c>
    </row>
    <row r="391" spans="1:17">
      <c r="A391" s="3" t="s">
        <v>2012</v>
      </c>
      <c r="B391" s="3" t="s">
        <v>2679</v>
      </c>
      <c r="C391" s="3" t="s">
        <v>2013</v>
      </c>
      <c r="D391" s="3">
        <v>78571657083.149994</v>
      </c>
      <c r="E391" s="3">
        <v>0</v>
      </c>
      <c r="F391" s="3">
        <v>0.5</v>
      </c>
      <c r="G391" s="3">
        <v>107.0838</v>
      </c>
      <c r="H391" s="3">
        <v>721.49</v>
      </c>
      <c r="I391" s="706"/>
      <c r="J391" s="707" t="str">
        <f t="shared" si="49"/>
        <v>Regeneron Pharmaceuticals Inc</v>
      </c>
      <c r="K391" s="708" t="str">
        <f t="shared" si="49"/>
        <v>REGN</v>
      </c>
      <c r="L391" s="709">
        <f t="shared" si="43"/>
        <v>78571.657083149999</v>
      </c>
      <c r="M391" s="710">
        <f t="shared" si="44"/>
        <v>0</v>
      </c>
      <c r="N391" s="710">
        <f t="shared" si="45"/>
        <v>5.0000000000000001E-3</v>
      </c>
      <c r="O391" s="711">
        <f t="shared" si="46"/>
        <v>5.0000000000000001E-3</v>
      </c>
      <c r="P391" s="712">
        <f t="shared" si="47"/>
        <v>2.4535826064011556E-3</v>
      </c>
      <c r="Q391" s="713">
        <f t="shared" si="48"/>
        <v>1.2267913032005777E-5</v>
      </c>
    </row>
    <row r="392" spans="1:17">
      <c r="A392" s="3" t="s">
        <v>2014</v>
      </c>
      <c r="B392" s="3" t="s">
        <v>2680</v>
      </c>
      <c r="C392" s="3" t="s">
        <v>2015</v>
      </c>
      <c r="D392" s="3">
        <v>20146647265.360001</v>
      </c>
      <c r="E392" s="3">
        <v>3.4183673469387759</v>
      </c>
      <c r="F392" s="3">
        <v>-0.95000000000000007</v>
      </c>
      <c r="G392" s="3">
        <v>934.44560000000001</v>
      </c>
      <c r="H392" s="3">
        <v>21.56</v>
      </c>
      <c r="I392" s="706"/>
      <c r="J392" s="707" t="str">
        <f t="shared" si="49"/>
        <v>Regions Financial Corp</v>
      </c>
      <c r="K392" s="708" t="str">
        <f t="shared" si="49"/>
        <v>RF</v>
      </c>
      <c r="L392" s="709">
        <f t="shared" si="43"/>
        <v>20146.647265359999</v>
      </c>
      <c r="M392" s="710">
        <f t="shared" si="44"/>
        <v>3.4183673469387756E-2</v>
      </c>
      <c r="N392" s="710">
        <f t="shared" si="45"/>
        <v>-9.5000000000000015E-3</v>
      </c>
      <c r="O392" s="711">
        <f t="shared" si="46"/>
        <v>2.4521301020408164E-2</v>
      </c>
      <c r="P392" s="712">
        <f t="shared" si="47"/>
        <v>6.2912588511751619E-4</v>
      </c>
      <c r="Q392" s="713">
        <f t="shared" si="48"/>
        <v>1.542698520869734E-5</v>
      </c>
    </row>
    <row r="393" spans="1:17">
      <c r="A393" s="3" t="s">
        <v>2016</v>
      </c>
      <c r="B393" s="3" t="s">
        <v>2681</v>
      </c>
      <c r="C393" s="3" t="s">
        <v>2017</v>
      </c>
      <c r="D393" s="3">
        <v>8010446912.8800001</v>
      </c>
      <c r="E393" s="3">
        <v>2.3283218203982123</v>
      </c>
      <c r="F393" s="3">
        <v>-2.9950000000000001</v>
      </c>
      <c r="G393" s="3">
        <v>108.49849999999999</v>
      </c>
      <c r="H393" s="3">
        <v>73.83</v>
      </c>
      <c r="I393" s="706"/>
      <c r="J393" s="707" t="str">
        <f t="shared" si="49"/>
        <v>Robert Half International Inc</v>
      </c>
      <c r="K393" s="708" t="str">
        <f t="shared" si="49"/>
        <v>RHI</v>
      </c>
      <c r="L393" s="709">
        <f t="shared" si="43"/>
        <v>8010.4469128800001</v>
      </c>
      <c r="M393" s="710">
        <f t="shared" si="44"/>
        <v>2.3283218203982124E-2</v>
      </c>
      <c r="N393" s="710">
        <f t="shared" si="45"/>
        <v>-2.9950000000000001E-2</v>
      </c>
      <c r="O393" s="711">
        <f t="shared" si="46"/>
        <v>-7.0154479886225078E-3</v>
      </c>
      <c r="P393" s="712">
        <f t="shared" si="47"/>
        <v>2.5014482250441353E-4</v>
      </c>
      <c r="Q393" s="713">
        <f t="shared" si="48"/>
        <v>-1.7548779919029221E-6</v>
      </c>
    </row>
    <row r="394" spans="1:17">
      <c r="A394" s="3" t="s">
        <v>2231</v>
      </c>
      <c r="B394" s="3" t="s">
        <v>2682</v>
      </c>
      <c r="C394" s="3" t="s">
        <v>2232</v>
      </c>
      <c r="D394" s="3">
        <v>22979544591.5</v>
      </c>
      <c r="E394" s="3">
        <v>1.4506317267197006</v>
      </c>
      <c r="F394" s="3">
        <v>10.3</v>
      </c>
      <c r="G394" s="3">
        <v>215.06359999999998</v>
      </c>
      <c r="H394" s="3">
        <v>106.85</v>
      </c>
      <c r="I394" s="706"/>
      <c r="J394" s="707" t="str">
        <f t="shared" si="49"/>
        <v>Raymond James Financial Inc</v>
      </c>
      <c r="K394" s="708" t="str">
        <f t="shared" si="49"/>
        <v>RJF</v>
      </c>
      <c r="L394" s="709">
        <f t="shared" si="43"/>
        <v>22979.544591499998</v>
      </c>
      <c r="M394" s="710">
        <f t="shared" si="44"/>
        <v>1.4506317267197007E-2</v>
      </c>
      <c r="N394" s="710">
        <f t="shared" si="45"/>
        <v>0.10300000000000001</v>
      </c>
      <c r="O394" s="711">
        <f t="shared" si="46"/>
        <v>0.11825339260645766</v>
      </c>
      <c r="P394" s="712">
        <f t="shared" si="47"/>
        <v>7.1758968826451713E-4</v>
      </c>
      <c r="Q394" s="713">
        <f t="shared" si="48"/>
        <v>8.4857415136689514E-5</v>
      </c>
    </row>
    <row r="395" spans="1:17">
      <c r="A395" s="3" t="s">
        <v>2018</v>
      </c>
      <c r="B395" s="3" t="s">
        <v>2683</v>
      </c>
      <c r="C395" s="3" t="s">
        <v>2019</v>
      </c>
      <c r="D395" s="3">
        <v>6971313123.9699993</v>
      </c>
      <c r="E395" s="3">
        <v>2.8598466925333588</v>
      </c>
      <c r="F395" s="3">
        <v>6.2030000000000003</v>
      </c>
      <c r="G395" s="3">
        <v>41.09122</v>
      </c>
      <c r="H395" s="3">
        <v>105.67</v>
      </c>
      <c r="I395" s="706"/>
      <c r="J395" s="707" t="str">
        <f t="shared" si="49"/>
        <v>Ralph Lauren Corp</v>
      </c>
      <c r="K395" s="708" t="str">
        <f t="shared" si="49"/>
        <v>RL</v>
      </c>
      <c r="L395" s="709">
        <f t="shared" si="43"/>
        <v>6971.3131239699997</v>
      </c>
      <c r="M395" s="710">
        <f t="shared" si="44"/>
        <v>2.8598466925333587E-2</v>
      </c>
      <c r="N395" s="710">
        <f t="shared" si="45"/>
        <v>6.2030000000000002E-2</v>
      </c>
      <c r="O395" s="711">
        <f t="shared" si="46"/>
        <v>9.1515448377022815E-2</v>
      </c>
      <c r="P395" s="712">
        <f t="shared" si="47"/>
        <v>2.1769545482090976E-4</v>
      </c>
      <c r="Q395" s="713">
        <f t="shared" si="48"/>
        <v>1.992249715757547E-5</v>
      </c>
    </row>
    <row r="396" spans="1:17">
      <c r="A396" s="3" t="s">
        <v>2268</v>
      </c>
      <c r="B396" s="3" t="s">
        <v>2684</v>
      </c>
      <c r="C396" s="3" t="s">
        <v>2269</v>
      </c>
      <c r="D396" s="3">
        <v>30487642074.500004</v>
      </c>
      <c r="E396" s="3">
        <v>1.4068130495363476</v>
      </c>
      <c r="F396" s="3">
        <v>20.34</v>
      </c>
      <c r="G396" s="3">
        <v>146.4837</v>
      </c>
      <c r="H396" s="3">
        <v>208.13</v>
      </c>
      <c r="I396" s="706"/>
      <c r="J396" s="707" t="str">
        <f t="shared" si="49"/>
        <v>ResMed Inc</v>
      </c>
      <c r="K396" s="708" t="str">
        <f t="shared" si="49"/>
        <v>RMD</v>
      </c>
      <c r="L396" s="709">
        <f t="shared" si="43"/>
        <v>30487.642074500003</v>
      </c>
      <c r="M396" s="710">
        <f t="shared" si="44"/>
        <v>1.4068130495363476E-2</v>
      </c>
      <c r="N396" s="710">
        <f t="shared" si="45"/>
        <v>0.2034</v>
      </c>
      <c r="O396" s="711">
        <f t="shared" si="46"/>
        <v>0.21889885936674194</v>
      </c>
      <c r="P396" s="712">
        <f t="shared" si="47"/>
        <v>9.5204748227486796E-4</v>
      </c>
      <c r="Q396" s="713">
        <f t="shared" si="48"/>
        <v>2.0840210793294706E-4</v>
      </c>
    </row>
    <row r="397" spans="1:17">
      <c r="A397" s="3" t="s">
        <v>2020</v>
      </c>
      <c r="B397" s="3" t="s">
        <v>2685</v>
      </c>
      <c r="C397" s="3" t="s">
        <v>2021</v>
      </c>
      <c r="D397" s="3">
        <v>29555144219.619999</v>
      </c>
      <c r="E397" s="3">
        <v>1.8461000892961137</v>
      </c>
      <c r="F397" s="3">
        <v>8.9329999999999998</v>
      </c>
      <c r="G397" s="3">
        <v>114.7461</v>
      </c>
      <c r="H397" s="3">
        <v>257.57</v>
      </c>
      <c r="I397" s="706"/>
      <c r="J397" s="707" t="str">
        <f t="shared" si="49"/>
        <v>Rockwell Automation Inc</v>
      </c>
      <c r="K397" s="708" t="str">
        <f t="shared" si="49"/>
        <v>ROK</v>
      </c>
      <c r="L397" s="709">
        <f t="shared" si="43"/>
        <v>29555.144219620001</v>
      </c>
      <c r="M397" s="710">
        <f t="shared" si="44"/>
        <v>1.8461000892961137E-2</v>
      </c>
      <c r="N397" s="710">
        <f t="shared" si="45"/>
        <v>8.9329999999999993E-2</v>
      </c>
      <c r="O397" s="711">
        <f t="shared" si="46"/>
        <v>0.10861556149784524</v>
      </c>
      <c r="P397" s="712">
        <f t="shared" si="47"/>
        <v>9.2292806947161395E-4</v>
      </c>
      <c r="Q397" s="713">
        <f t="shared" si="48"/>
        <v>1.0024435048778167E-4</v>
      </c>
    </row>
    <row r="398" spans="1:17">
      <c r="A398" s="3" t="s">
        <v>2686</v>
      </c>
      <c r="B398" s="3" t="s">
        <v>2687</v>
      </c>
      <c r="C398" s="3" t="s">
        <v>2688</v>
      </c>
      <c r="D398" s="3">
        <v>17994942811.439999</v>
      </c>
      <c r="E398" s="3">
        <v>1.1412151067323479</v>
      </c>
      <c r="F398" s="3">
        <v>9</v>
      </c>
      <c r="G398" s="3">
        <v>492.47239999999999</v>
      </c>
      <c r="H398" s="3">
        <v>36.54</v>
      </c>
      <c r="I398" s="706"/>
      <c r="J398" s="707" t="str">
        <f t="shared" si="49"/>
        <v>Rollins Inc</v>
      </c>
      <c r="K398" s="708" t="str">
        <f t="shared" si="49"/>
        <v>ROL</v>
      </c>
      <c r="L398" s="709">
        <f t="shared" si="43"/>
        <v>17994.94281144</v>
      </c>
      <c r="M398" s="710">
        <f t="shared" si="44"/>
        <v>1.1412151067323479E-2</v>
      </c>
      <c r="N398" s="710">
        <f t="shared" si="45"/>
        <v>0.09</v>
      </c>
      <c r="O398" s="711">
        <f t="shared" si="46"/>
        <v>0.10192569786535303</v>
      </c>
      <c r="P398" s="712">
        <f t="shared" si="47"/>
        <v>5.6193391261441636E-4</v>
      </c>
      <c r="Q398" s="713">
        <f t="shared" si="48"/>
        <v>5.7275506197432694E-5</v>
      </c>
    </row>
    <row r="399" spans="1:17">
      <c r="A399" s="3" t="s">
        <v>2022</v>
      </c>
      <c r="B399" s="3" t="s">
        <v>2689</v>
      </c>
      <c r="C399" s="3" t="s">
        <v>2023</v>
      </c>
      <c r="D399" s="3">
        <v>45824032012.860001</v>
      </c>
      <c r="E399" s="3">
        <v>0.5753430998171678</v>
      </c>
      <c r="F399" s="3">
        <v>2.5</v>
      </c>
      <c r="G399" s="3">
        <v>106.0521</v>
      </c>
      <c r="H399" s="3">
        <v>432.09</v>
      </c>
      <c r="I399" s="706"/>
      <c r="J399" s="707" t="str">
        <f t="shared" si="49"/>
        <v>Roper Technologies Inc</v>
      </c>
      <c r="K399" s="708" t="str">
        <f t="shared" si="49"/>
        <v>ROP</v>
      </c>
      <c r="L399" s="709">
        <f t="shared" si="43"/>
        <v>45824.03201286</v>
      </c>
      <c r="M399" s="710">
        <f t="shared" si="44"/>
        <v>5.7534309981716776E-3</v>
      </c>
      <c r="N399" s="710">
        <f t="shared" si="45"/>
        <v>2.5000000000000001E-2</v>
      </c>
      <c r="O399" s="711">
        <f t="shared" si="46"/>
        <v>3.0825348885648824E-2</v>
      </c>
      <c r="P399" s="712">
        <f t="shared" si="47"/>
        <v>1.4309619024954325E-3</v>
      </c>
      <c r="Q399" s="713">
        <f t="shared" si="48"/>
        <v>4.4109899886493502E-5</v>
      </c>
    </row>
    <row r="400" spans="1:17">
      <c r="A400" s="3" t="s">
        <v>2024</v>
      </c>
      <c r="B400" s="3" t="s">
        <v>2690</v>
      </c>
      <c r="C400" s="3" t="s">
        <v>2025</v>
      </c>
      <c r="D400" s="3">
        <v>39971143014.629997</v>
      </c>
      <c r="E400" s="3">
        <v>1.0760747824588612</v>
      </c>
      <c r="F400" s="3">
        <v>10</v>
      </c>
      <c r="G400" s="3">
        <v>344.37099999999998</v>
      </c>
      <c r="H400" s="3">
        <v>116.07</v>
      </c>
      <c r="I400" s="706"/>
      <c r="J400" s="707" t="str">
        <f t="shared" si="49"/>
        <v>Ross Stores Inc</v>
      </c>
      <c r="K400" s="708" t="str">
        <f t="shared" si="49"/>
        <v>ROST</v>
      </c>
      <c r="L400" s="709">
        <f t="shared" si="43"/>
        <v>39971.143014629997</v>
      </c>
      <c r="M400" s="710">
        <f t="shared" si="44"/>
        <v>1.0760747824588612E-2</v>
      </c>
      <c r="N400" s="710">
        <f t="shared" si="45"/>
        <v>0.1</v>
      </c>
      <c r="O400" s="711">
        <f t="shared" si="46"/>
        <v>0.11129878521581804</v>
      </c>
      <c r="P400" s="712">
        <f t="shared" si="47"/>
        <v>1.2481918404098576E-3</v>
      </c>
      <c r="Q400" s="713">
        <f t="shared" si="48"/>
        <v>1.3892223555391338E-4</v>
      </c>
    </row>
    <row r="401" spans="1:17">
      <c r="A401" s="3" t="s">
        <v>2026</v>
      </c>
      <c r="B401" s="3" t="s">
        <v>2691</v>
      </c>
      <c r="C401" s="3" t="s">
        <v>2027</v>
      </c>
      <c r="D401" s="3">
        <v>40760960734.640007</v>
      </c>
      <c r="E401" s="3">
        <v>1.4706566400496162</v>
      </c>
      <c r="F401" s="3">
        <v>12.67</v>
      </c>
      <c r="G401" s="3">
        <v>316.0009</v>
      </c>
      <c r="H401" s="3">
        <v>128.99</v>
      </c>
      <c r="I401" s="706"/>
      <c r="J401" s="707" t="str">
        <f t="shared" si="49"/>
        <v>Republic Services Inc</v>
      </c>
      <c r="K401" s="708" t="str">
        <f t="shared" si="49"/>
        <v>RSG</v>
      </c>
      <c r="L401" s="709">
        <f t="shared" si="43"/>
        <v>40760.960734640008</v>
      </c>
      <c r="M401" s="710">
        <f t="shared" si="44"/>
        <v>1.4706566400496161E-2</v>
      </c>
      <c r="N401" s="710">
        <f t="shared" si="45"/>
        <v>0.12670000000000001</v>
      </c>
      <c r="O401" s="711">
        <f t="shared" si="46"/>
        <v>0.14233822738196761</v>
      </c>
      <c r="P401" s="712">
        <f t="shared" si="47"/>
        <v>1.2728557343887408E-3</v>
      </c>
      <c r="Q401" s="713">
        <f t="shared" si="48"/>
        <v>1.8117602894586596E-4</v>
      </c>
    </row>
    <row r="402" spans="1:17">
      <c r="A402" s="3" t="s">
        <v>3008</v>
      </c>
      <c r="B402" s="3" t="s">
        <v>3009</v>
      </c>
      <c r="C402" s="3" t="s">
        <v>3010</v>
      </c>
      <c r="D402" s="3">
        <v>148358533413</v>
      </c>
      <c r="E402" s="3">
        <v>2.1353547364248913</v>
      </c>
      <c r="F402" s="3">
        <v>10.01</v>
      </c>
      <c r="G402" s="3">
        <v>1470.0609999999999</v>
      </c>
      <c r="H402" s="3">
        <v>100.92</v>
      </c>
      <c r="I402" s="706"/>
      <c r="J402" s="707" t="str">
        <f t="shared" si="49"/>
        <v>Raytheon Technologies Corp</v>
      </c>
      <c r="K402" s="708" t="str">
        <f t="shared" si="49"/>
        <v>RTX</v>
      </c>
      <c r="L402" s="709">
        <f t="shared" si="43"/>
        <v>148358.533413</v>
      </c>
      <c r="M402" s="710">
        <f t="shared" si="44"/>
        <v>2.1353547364248913E-2</v>
      </c>
      <c r="N402" s="710">
        <f t="shared" si="45"/>
        <v>0.10009999999999999</v>
      </c>
      <c r="O402" s="711">
        <f t="shared" si="46"/>
        <v>0.12252229240982956</v>
      </c>
      <c r="P402" s="712">
        <f t="shared" si="47"/>
        <v>4.632840016446399E-3</v>
      </c>
      <c r="Q402" s="713">
        <f t="shared" si="48"/>
        <v>5.6762617918300535E-4</v>
      </c>
    </row>
    <row r="403" spans="1:17">
      <c r="A403" s="3" t="s">
        <v>2290</v>
      </c>
      <c r="B403" s="3" t="s">
        <v>2692</v>
      </c>
      <c r="C403" s="3" t="s">
        <v>2291</v>
      </c>
      <c r="D403" s="3">
        <v>30263819956.779999</v>
      </c>
      <c r="E403" s="3">
        <v>1.0120937533445116</v>
      </c>
      <c r="F403" s="3">
        <v>8</v>
      </c>
      <c r="G403" s="3">
        <v>107.96549999999999</v>
      </c>
      <c r="H403" s="3">
        <v>280.31</v>
      </c>
      <c r="I403" s="706"/>
      <c r="J403" s="707" t="str">
        <f t="shared" si="49"/>
        <v>SBA Communications Corp</v>
      </c>
      <c r="K403" s="708" t="str">
        <f t="shared" si="49"/>
        <v>SBAC</v>
      </c>
      <c r="L403" s="709">
        <f t="shared" si="43"/>
        <v>30263.81995678</v>
      </c>
      <c r="M403" s="710">
        <f t="shared" si="44"/>
        <v>1.0120937533445116E-2</v>
      </c>
      <c r="N403" s="710">
        <f t="shared" si="45"/>
        <v>0.08</v>
      </c>
      <c r="O403" s="711">
        <f t="shared" si="46"/>
        <v>9.0525775034782929E-2</v>
      </c>
      <c r="P403" s="712">
        <f t="shared" si="47"/>
        <v>9.4505811644814879E-4</v>
      </c>
      <c r="Q403" s="713">
        <f t="shared" si="48"/>
        <v>8.5552118444380806E-5</v>
      </c>
    </row>
    <row r="404" spans="1:17">
      <c r="A404" s="3" t="s">
        <v>4327</v>
      </c>
      <c r="B404" s="3" t="s">
        <v>4328</v>
      </c>
      <c r="C404" s="3" t="s">
        <v>4329</v>
      </c>
      <c r="D404" s="3">
        <v>7250486501.7200003</v>
      </c>
      <c r="E404" s="3">
        <v>1.9441069258809238</v>
      </c>
      <c r="F404" s="3">
        <v>12.25</v>
      </c>
      <c r="G404" s="3">
        <v>62.927329999999998</v>
      </c>
      <c r="H404" s="3">
        <v>115.22</v>
      </c>
      <c r="I404" s="706"/>
      <c r="J404" s="707" t="str">
        <f t="shared" si="49"/>
        <v>Signature Bank/New York NY</v>
      </c>
      <c r="K404" s="708" t="str">
        <f t="shared" si="49"/>
        <v>SBNY</v>
      </c>
      <c r="L404" s="709">
        <f t="shared" si="43"/>
        <v>7250.48650172</v>
      </c>
      <c r="M404" s="710">
        <f t="shared" si="44"/>
        <v>1.944106925880924E-2</v>
      </c>
      <c r="N404" s="710">
        <f t="shared" si="45"/>
        <v>0.1225</v>
      </c>
      <c r="O404" s="711">
        <f t="shared" si="46"/>
        <v>0.14313183475091129</v>
      </c>
      <c r="P404" s="712">
        <f t="shared" si="47"/>
        <v>2.2641329238786819E-4</v>
      </c>
      <c r="Q404" s="713">
        <f t="shared" si="48"/>
        <v>3.2406949951470114E-5</v>
      </c>
    </row>
    <row r="405" spans="1:17">
      <c r="A405" s="3" t="s">
        <v>2028</v>
      </c>
      <c r="B405" s="3" t="s">
        <v>2693</v>
      </c>
      <c r="C405" s="3" t="s">
        <v>2029</v>
      </c>
      <c r="D405" s="3">
        <v>113861760000</v>
      </c>
      <c r="E405" s="3">
        <v>2.1673387096774195</v>
      </c>
      <c r="F405" s="3">
        <v>13.4</v>
      </c>
      <c r="G405" s="3">
        <v>1147.8</v>
      </c>
      <c r="H405" s="3">
        <v>99.2</v>
      </c>
      <c r="I405" s="706"/>
      <c r="J405" s="707" t="str">
        <f t="shared" si="49"/>
        <v>Starbucks Corp</v>
      </c>
      <c r="K405" s="708" t="str">
        <f t="shared" si="49"/>
        <v>SBUX</v>
      </c>
      <c r="L405" s="709">
        <f t="shared" si="43"/>
        <v>113861.75999999999</v>
      </c>
      <c r="M405" s="710">
        <f t="shared" si="44"/>
        <v>2.1673387096774195E-2</v>
      </c>
      <c r="N405" s="710">
        <f t="shared" si="45"/>
        <v>0.13400000000000001</v>
      </c>
      <c r="O405" s="711">
        <f t="shared" si="46"/>
        <v>0.15712550403225808</v>
      </c>
      <c r="P405" s="712">
        <f t="shared" si="47"/>
        <v>3.5555980902194141E-3</v>
      </c>
      <c r="Q405" s="713">
        <f t="shared" si="48"/>
        <v>5.5867514206185969E-4</v>
      </c>
    </row>
    <row r="406" spans="1:17">
      <c r="A406" s="3" t="s">
        <v>2030</v>
      </c>
      <c r="B406" s="3" t="s">
        <v>2694</v>
      </c>
      <c r="C406" s="3" t="s">
        <v>2031</v>
      </c>
      <c r="D406" s="3">
        <v>155424720112.72</v>
      </c>
      <c r="E406" s="3">
        <v>1.0064857074225317</v>
      </c>
      <c r="F406" s="3">
        <v>22.62</v>
      </c>
      <c r="G406" s="3">
        <v>1815.846</v>
      </c>
      <c r="H406" s="3">
        <v>83.26</v>
      </c>
      <c r="I406" s="706"/>
      <c r="J406" s="707" t="str">
        <f t="shared" si="49"/>
        <v>Charles Schwab Corp/The</v>
      </c>
      <c r="K406" s="708" t="str">
        <f t="shared" si="49"/>
        <v>SCHW</v>
      </c>
      <c r="L406" s="709">
        <f t="shared" si="43"/>
        <v>155424.72011272001</v>
      </c>
      <c r="M406" s="710">
        <f t="shared" si="44"/>
        <v>1.0064857074225317E-2</v>
      </c>
      <c r="N406" s="710">
        <f t="shared" si="45"/>
        <v>0.22620000000000001</v>
      </c>
      <c r="O406" s="711">
        <f t="shared" si="46"/>
        <v>0.2374031924093202</v>
      </c>
      <c r="P406" s="712">
        <f t="shared" si="47"/>
        <v>4.8534981191725324E-3</v>
      </c>
      <c r="Q406" s="713">
        <f t="shared" si="48"/>
        <v>1.1522359478441904E-3</v>
      </c>
    </row>
    <row r="407" spans="1:17">
      <c r="A407" s="3" t="s">
        <v>4330</v>
      </c>
      <c r="B407" s="3" t="s">
        <v>4331</v>
      </c>
      <c r="C407" s="3" t="s">
        <v>4332</v>
      </c>
      <c r="D407" s="3">
        <v>15833341241.249998</v>
      </c>
      <c r="E407" s="3">
        <v>0</v>
      </c>
      <c r="F407" s="3">
        <v>32.46</v>
      </c>
      <c r="G407" s="3">
        <v>55.894880000000001</v>
      </c>
      <c r="H407" s="3">
        <v>283.27</v>
      </c>
      <c r="I407" s="706"/>
      <c r="J407" s="707" t="str">
        <f t="shared" si="49"/>
        <v>SolarEdge Technologies Inc</v>
      </c>
      <c r="K407" s="708" t="str">
        <f t="shared" si="49"/>
        <v>SEDG</v>
      </c>
      <c r="L407" s="709">
        <f t="shared" si="43"/>
        <v>15833.341241249998</v>
      </c>
      <c r="M407" s="710">
        <f t="shared" si="44"/>
        <v>0</v>
      </c>
      <c r="N407" s="710">
        <f t="shared" si="45"/>
        <v>0.3246</v>
      </c>
      <c r="O407" s="711">
        <f t="shared" si="46"/>
        <v>0.3246</v>
      </c>
      <c r="P407" s="712">
        <f t="shared" si="47"/>
        <v>4.9443287965319333E-4</v>
      </c>
      <c r="Q407" s="713">
        <f t="shared" si="48"/>
        <v>1.6049291273542655E-4</v>
      </c>
    </row>
    <row r="408" spans="1:17">
      <c r="A408" s="3" t="s">
        <v>2032</v>
      </c>
      <c r="B408" s="3" t="s">
        <v>2695</v>
      </c>
      <c r="C408" s="3" t="s">
        <v>2033</v>
      </c>
      <c r="D408" s="3">
        <v>7215517197.3599997</v>
      </c>
      <c r="E408" s="3">
        <v>1.6058540497193265</v>
      </c>
      <c r="F408" s="3">
        <v>6.17</v>
      </c>
      <c r="G408" s="3">
        <v>144.6575</v>
      </c>
      <c r="H408" s="3">
        <v>49.88</v>
      </c>
      <c r="I408" s="706"/>
      <c r="J408" s="707" t="str">
        <f t="shared" si="49"/>
        <v>Sealed Air Corp</v>
      </c>
      <c r="K408" s="708" t="str">
        <f t="shared" si="49"/>
        <v>SEE</v>
      </c>
      <c r="L408" s="709">
        <f t="shared" si="43"/>
        <v>7215.51719736</v>
      </c>
      <c r="M408" s="710">
        <f t="shared" si="44"/>
        <v>1.6058540497193265E-2</v>
      </c>
      <c r="N408" s="710">
        <f t="shared" si="45"/>
        <v>6.1699999999999998E-2</v>
      </c>
      <c r="O408" s="711">
        <f t="shared" si="46"/>
        <v>7.825394647153168E-2</v>
      </c>
      <c r="P408" s="712">
        <f t="shared" si="47"/>
        <v>2.2532129458457834E-4</v>
      </c>
      <c r="Q408" s="713">
        <f t="shared" si="48"/>
        <v>1.7632280525317815E-5</v>
      </c>
    </row>
    <row r="409" spans="1:17">
      <c r="A409" s="3" t="s">
        <v>2034</v>
      </c>
      <c r="B409" s="3" t="s">
        <v>2696</v>
      </c>
      <c r="C409" s="3" t="s">
        <v>186</v>
      </c>
      <c r="D409" s="3">
        <v>61502506919.279999</v>
      </c>
      <c r="E409" s="3">
        <v>1.0066152614503014</v>
      </c>
      <c r="F409" s="3">
        <v>12.605</v>
      </c>
      <c r="G409" s="3">
        <v>259.14339999999999</v>
      </c>
      <c r="H409" s="3">
        <v>237.33</v>
      </c>
      <c r="I409" s="706"/>
      <c r="J409" s="707" t="str">
        <f t="shared" si="49"/>
        <v>Sherwin-Williams Co/The</v>
      </c>
      <c r="K409" s="708" t="str">
        <f t="shared" si="49"/>
        <v>SHW</v>
      </c>
      <c r="L409" s="709">
        <f t="shared" si="43"/>
        <v>61502.50691928</v>
      </c>
      <c r="M409" s="710">
        <f t="shared" si="44"/>
        <v>1.0066152614503015E-2</v>
      </c>
      <c r="N409" s="710">
        <f t="shared" si="45"/>
        <v>0.12605</v>
      </c>
      <c r="O409" s="711">
        <f t="shared" si="46"/>
        <v>0.13675057188303205</v>
      </c>
      <c r="P409" s="712">
        <f t="shared" si="47"/>
        <v>1.9205587209076892E-3</v>
      </c>
      <c r="Q409" s="713">
        <f t="shared" si="48"/>
        <v>2.6263750341907105E-4</v>
      </c>
    </row>
    <row r="410" spans="1:17">
      <c r="A410" s="3" t="s">
        <v>2313</v>
      </c>
      <c r="B410" s="3" t="s">
        <v>2697</v>
      </c>
      <c r="C410" s="3" t="s">
        <v>2314</v>
      </c>
      <c r="D410" s="3">
        <v>13602223097.359999</v>
      </c>
      <c r="E410" s="3" t="s">
        <v>1483</v>
      </c>
      <c r="F410" s="3">
        <v>7</v>
      </c>
      <c r="G410" s="3">
        <v>59.104119999999995</v>
      </c>
      <c r="H410" s="3">
        <v>230.14</v>
      </c>
      <c r="I410" s="706"/>
      <c r="J410" s="707" t="str">
        <f t="shared" si="49"/>
        <v>SVB Financial Group</v>
      </c>
      <c r="K410" s="708" t="str">
        <f t="shared" si="49"/>
        <v>SIVB</v>
      </c>
      <c r="L410" s="709">
        <f t="shared" si="43"/>
        <v>13602.223097359998</v>
      </c>
      <c r="M410" s="710" t="str">
        <f t="shared" si="44"/>
        <v>0.00%</v>
      </c>
      <c r="N410" s="710">
        <f t="shared" si="45"/>
        <v>7.0000000000000007E-2</v>
      </c>
      <c r="O410" s="711">
        <f t="shared" si="46"/>
        <v>7.0000000000000007E-2</v>
      </c>
      <c r="P410" s="712">
        <f t="shared" si="47"/>
        <v>4.2476103010977183E-4</v>
      </c>
      <c r="Q410" s="713">
        <f t="shared" si="48"/>
        <v>2.9733272107684033E-5</v>
      </c>
    </row>
    <row r="411" spans="1:17">
      <c r="A411" s="3" t="s">
        <v>2035</v>
      </c>
      <c r="B411" s="3" t="s">
        <v>3033</v>
      </c>
      <c r="C411" s="3" t="s">
        <v>2036</v>
      </c>
      <c r="D411" s="3">
        <v>16898017683.059999</v>
      </c>
      <c r="E411" s="3">
        <v>2.5672093903824313</v>
      </c>
      <c r="F411" s="3">
        <v>3.3000000000000003</v>
      </c>
      <c r="G411" s="3">
        <v>106.639</v>
      </c>
      <c r="H411" s="3">
        <v>158.46</v>
      </c>
      <c r="I411" s="706"/>
      <c r="J411" s="707" t="str">
        <f t="shared" si="49"/>
        <v>J M Smucker Co/The</v>
      </c>
      <c r="K411" s="708" t="str">
        <f t="shared" si="49"/>
        <v>SJM</v>
      </c>
      <c r="L411" s="709">
        <f t="shared" si="43"/>
        <v>16898.017683059999</v>
      </c>
      <c r="M411" s="710">
        <f t="shared" si="44"/>
        <v>2.5672093903824314E-2</v>
      </c>
      <c r="N411" s="710">
        <f t="shared" si="45"/>
        <v>3.3000000000000002E-2</v>
      </c>
      <c r="O411" s="711">
        <f t="shared" si="46"/>
        <v>5.9095683453237416E-2</v>
      </c>
      <c r="P411" s="712">
        <f t="shared" si="47"/>
        <v>5.2767987603899696E-4</v>
      </c>
      <c r="Q411" s="713">
        <f t="shared" si="48"/>
        <v>3.118360291904412E-5</v>
      </c>
    </row>
    <row r="412" spans="1:17">
      <c r="A412" s="3" t="s">
        <v>2037</v>
      </c>
      <c r="B412" s="3" t="s">
        <v>4552</v>
      </c>
      <c r="C412" s="3" t="s">
        <v>2038</v>
      </c>
      <c r="D412" s="3">
        <v>75805947211.5</v>
      </c>
      <c r="E412" s="3">
        <v>1.1859334081556303</v>
      </c>
      <c r="F412" s="3">
        <v>32.575000000000003</v>
      </c>
      <c r="G412" s="3">
        <v>1417.9939999999999</v>
      </c>
      <c r="H412" s="3">
        <v>53.46</v>
      </c>
      <c r="I412" s="706"/>
      <c r="J412" s="707" t="str">
        <f t="shared" si="49"/>
        <v>Schlumberger Ltd</v>
      </c>
      <c r="K412" s="708" t="str">
        <f t="shared" si="49"/>
        <v>SLB</v>
      </c>
      <c r="L412" s="709">
        <f t="shared" si="43"/>
        <v>75805.947211499995</v>
      </c>
      <c r="M412" s="710">
        <f t="shared" si="44"/>
        <v>1.1859334081556303E-2</v>
      </c>
      <c r="N412" s="710">
        <f t="shared" si="45"/>
        <v>0.32575000000000004</v>
      </c>
      <c r="O412" s="711">
        <f t="shared" si="46"/>
        <v>0.33954092312008982</v>
      </c>
      <c r="P412" s="712">
        <f t="shared" si="47"/>
        <v>2.3672168876757494E-3</v>
      </c>
      <c r="Q412" s="713">
        <f t="shared" si="48"/>
        <v>8.0376700726688993E-4</v>
      </c>
    </row>
    <row r="413" spans="1:17">
      <c r="A413" s="3" t="s">
        <v>2039</v>
      </c>
      <c r="B413" s="3" t="s">
        <v>2698</v>
      </c>
      <c r="C413" s="3" t="s">
        <v>2040</v>
      </c>
      <c r="D413" s="3">
        <v>12145303465.110001</v>
      </c>
      <c r="E413" s="3">
        <v>2.529651188235809</v>
      </c>
      <c r="F413" s="3">
        <v>6.41</v>
      </c>
      <c r="G413" s="3">
        <v>53.154640000000001</v>
      </c>
      <c r="H413" s="3">
        <v>228.49</v>
      </c>
      <c r="I413" s="706"/>
      <c r="J413" s="707" t="str">
        <f t="shared" si="49"/>
        <v>Snap-on Inc</v>
      </c>
      <c r="K413" s="708" t="str">
        <f t="shared" si="49"/>
        <v>SNA</v>
      </c>
      <c r="L413" s="709">
        <f t="shared" si="43"/>
        <v>12145.303465110001</v>
      </c>
      <c r="M413" s="710">
        <f t="shared" si="44"/>
        <v>2.529651188235809E-2</v>
      </c>
      <c r="N413" s="710">
        <f t="shared" si="45"/>
        <v>6.4100000000000004E-2</v>
      </c>
      <c r="O413" s="711">
        <f t="shared" si="46"/>
        <v>9.020726508818766E-2</v>
      </c>
      <c r="P413" s="712">
        <f t="shared" si="47"/>
        <v>3.7926532846216637E-4</v>
      </c>
      <c r="Q413" s="713">
        <f t="shared" si="48"/>
        <v>3.4212488023345209E-5</v>
      </c>
    </row>
    <row r="414" spans="1:17">
      <c r="A414" s="3" t="s">
        <v>2233</v>
      </c>
      <c r="B414" s="3" t="s">
        <v>2699</v>
      </c>
      <c r="C414" s="3" t="s">
        <v>2234</v>
      </c>
      <c r="D414" s="3">
        <v>48665285872.260002</v>
      </c>
      <c r="E414" s="3" t="s">
        <v>1483</v>
      </c>
      <c r="F414" s="3">
        <v>18.305</v>
      </c>
      <c r="G414" s="3">
        <v>152.41719999999998</v>
      </c>
      <c r="H414" s="3">
        <v>319.29000000000002</v>
      </c>
      <c r="I414" s="706"/>
      <c r="J414" s="707" t="str">
        <f t="shared" si="49"/>
        <v>Synopsys Inc</v>
      </c>
      <c r="K414" s="708" t="str">
        <f t="shared" si="49"/>
        <v>SNPS</v>
      </c>
      <c r="L414" s="709">
        <f t="shared" si="43"/>
        <v>48665.285872259999</v>
      </c>
      <c r="M414" s="710" t="str">
        <f t="shared" si="44"/>
        <v>0.00%</v>
      </c>
      <c r="N414" s="710">
        <f t="shared" si="45"/>
        <v>0.18304999999999999</v>
      </c>
      <c r="O414" s="711">
        <f t="shared" si="46"/>
        <v>0.18304999999999999</v>
      </c>
      <c r="P414" s="712">
        <f t="shared" si="47"/>
        <v>1.5196866578154906E-3</v>
      </c>
      <c r="Q414" s="713">
        <f t="shared" si="48"/>
        <v>2.7817864271312552E-4</v>
      </c>
    </row>
    <row r="415" spans="1:17">
      <c r="A415" s="3" t="s">
        <v>2041</v>
      </c>
      <c r="B415" s="3" t="s">
        <v>2700</v>
      </c>
      <c r="C415" s="3" t="s">
        <v>204</v>
      </c>
      <c r="D415" s="3">
        <v>77742126647.479996</v>
      </c>
      <c r="E415" s="3">
        <v>3.7837837837837838</v>
      </c>
      <c r="F415" s="3">
        <v>5.0330000000000004</v>
      </c>
      <c r="G415" s="3">
        <v>1088.673</v>
      </c>
      <c r="H415" s="3">
        <v>71.41</v>
      </c>
      <c r="I415" s="706"/>
      <c r="J415" s="707" t="str">
        <f t="shared" si="49"/>
        <v>Southern Co/The</v>
      </c>
      <c r="K415" s="708" t="str">
        <f t="shared" si="49"/>
        <v>SO</v>
      </c>
      <c r="L415" s="709">
        <f t="shared" si="43"/>
        <v>77742.126647479992</v>
      </c>
      <c r="M415" s="710">
        <f t="shared" si="44"/>
        <v>3.783783783783784E-2</v>
      </c>
      <c r="N415" s="710">
        <f t="shared" si="45"/>
        <v>5.0330000000000007E-2</v>
      </c>
      <c r="O415" s="711">
        <f t="shared" si="46"/>
        <v>8.9120027027027038E-2</v>
      </c>
      <c r="P415" s="712">
        <f t="shared" si="47"/>
        <v>2.4276785905766405E-3</v>
      </c>
      <c r="Q415" s="713">
        <f t="shared" si="48"/>
        <v>2.1635478160512511E-4</v>
      </c>
    </row>
    <row r="416" spans="1:17">
      <c r="A416" s="3" t="s">
        <v>2042</v>
      </c>
      <c r="B416" s="3" t="s">
        <v>2701</v>
      </c>
      <c r="C416" s="3" t="s">
        <v>2043</v>
      </c>
      <c r="D416" s="3">
        <v>38410531366.68</v>
      </c>
      <c r="E416" s="3">
        <v>5.9286687095675861</v>
      </c>
      <c r="F416" s="3">
        <v>3.8000000000000003</v>
      </c>
      <c r="G416" s="3">
        <v>326.94579999999996</v>
      </c>
      <c r="H416" s="3">
        <v>117.48</v>
      </c>
      <c r="I416" s="706"/>
      <c r="J416" s="707" t="str">
        <f t="shared" si="49"/>
        <v>Simon Property Group Inc</v>
      </c>
      <c r="K416" s="708" t="str">
        <f t="shared" si="49"/>
        <v>SPG</v>
      </c>
      <c r="L416" s="709">
        <f t="shared" si="43"/>
        <v>38410.531366679999</v>
      </c>
      <c r="M416" s="710">
        <f t="shared" si="44"/>
        <v>5.9286687095675861E-2</v>
      </c>
      <c r="N416" s="710">
        <f t="shared" si="45"/>
        <v>3.8000000000000006E-2</v>
      </c>
      <c r="O416" s="711">
        <f t="shared" si="46"/>
        <v>9.84131341504937E-2</v>
      </c>
      <c r="P416" s="712">
        <f t="shared" si="47"/>
        <v>1.1994581145740265E-3</v>
      </c>
      <c r="Q416" s="713">
        <f t="shared" si="48"/>
        <v>1.1804243233747191E-4</v>
      </c>
    </row>
    <row r="417" spans="1:17">
      <c r="A417" s="3" t="s">
        <v>2044</v>
      </c>
      <c r="B417" s="3" t="s">
        <v>2702</v>
      </c>
      <c r="C417" s="3" t="s">
        <v>2045</v>
      </c>
      <c r="D417" s="3">
        <v>109123452000</v>
      </c>
      <c r="E417" s="3">
        <v>0.95688780080014335</v>
      </c>
      <c r="F417" s="3" t="s">
        <v>1483</v>
      </c>
      <c r="G417" s="3">
        <v>325.8</v>
      </c>
      <c r="H417" s="3">
        <v>334.94</v>
      </c>
      <c r="I417" s="706"/>
      <c r="J417" s="707" t="str">
        <f t="shared" si="49"/>
        <v>S&amp;P Global Inc</v>
      </c>
      <c r="K417" s="708" t="str">
        <f t="shared" si="49"/>
        <v>SPGI</v>
      </c>
      <c r="L417" s="709">
        <f t="shared" si="43"/>
        <v>109123.452</v>
      </c>
      <c r="M417" s="710">
        <f t="shared" si="44"/>
        <v>9.568878008001434E-3</v>
      </c>
      <c r="N417" s="710" t="str">
        <f t="shared" si="45"/>
        <v>N/A</v>
      </c>
      <c r="O417" s="711" t="str">
        <f t="shared" si="46"/>
        <v>N/A</v>
      </c>
      <c r="P417" s="712" t="str">
        <f t="shared" si="47"/>
        <v>N/A</v>
      </c>
      <c r="Q417" s="713" t="str">
        <f t="shared" si="48"/>
        <v>N/A</v>
      </c>
    </row>
    <row r="418" spans="1:17">
      <c r="A418" s="3" t="s">
        <v>2046</v>
      </c>
      <c r="B418" s="3" t="s">
        <v>2703</v>
      </c>
      <c r="C418" s="3" t="s">
        <v>216</v>
      </c>
      <c r="D418" s="3">
        <v>48577077918.019997</v>
      </c>
      <c r="E418" s="3">
        <v>2.9772227255079593</v>
      </c>
      <c r="F418" s="3" t="s">
        <v>1483</v>
      </c>
      <c r="G418" s="3">
        <v>314.33339999999998</v>
      </c>
      <c r="H418" s="3">
        <v>154.54</v>
      </c>
      <c r="I418" s="706"/>
      <c r="J418" s="707" t="str">
        <f t="shared" si="49"/>
        <v>Sempra Energy</v>
      </c>
      <c r="K418" s="708" t="str">
        <f t="shared" si="49"/>
        <v>SRE</v>
      </c>
      <c r="L418" s="709">
        <f t="shared" si="43"/>
        <v>48577.077918019997</v>
      </c>
      <c r="M418" s="710">
        <f t="shared" si="44"/>
        <v>2.9772227255079595E-2</v>
      </c>
      <c r="N418" s="710" t="str">
        <f t="shared" si="45"/>
        <v>N/A</v>
      </c>
      <c r="O418" s="711" t="str">
        <f t="shared" si="46"/>
        <v>N/A</v>
      </c>
      <c r="P418" s="712" t="str">
        <f t="shared" si="47"/>
        <v>N/A</v>
      </c>
      <c r="Q418" s="713" t="str">
        <f t="shared" si="48"/>
        <v>N/A</v>
      </c>
    </row>
    <row r="419" spans="1:17">
      <c r="A419" s="3" t="s">
        <v>2972</v>
      </c>
      <c r="B419" s="3" t="s">
        <v>2973</v>
      </c>
      <c r="C419" s="3" t="s">
        <v>2974</v>
      </c>
      <c r="D419" s="3">
        <v>18436301189.57</v>
      </c>
      <c r="E419" s="3">
        <v>0.99626400996264008</v>
      </c>
      <c r="F419" s="3" t="s">
        <v>1483</v>
      </c>
      <c r="G419" s="3">
        <v>99.822949999999992</v>
      </c>
      <c r="H419" s="3">
        <v>184.69</v>
      </c>
      <c r="I419" s="706"/>
      <c r="J419" s="707" t="str">
        <f t="shared" si="49"/>
        <v>STERIS PLC</v>
      </c>
      <c r="K419" s="708" t="str">
        <f t="shared" si="49"/>
        <v>STE</v>
      </c>
      <c r="L419" s="709">
        <f t="shared" si="43"/>
        <v>18436.30118957</v>
      </c>
      <c r="M419" s="710">
        <f t="shared" si="44"/>
        <v>9.9626400996264009E-3</v>
      </c>
      <c r="N419" s="710" t="str">
        <f t="shared" si="45"/>
        <v>N/A</v>
      </c>
      <c r="O419" s="711" t="str">
        <f t="shared" si="46"/>
        <v>N/A</v>
      </c>
      <c r="P419" s="712" t="str">
        <f t="shared" si="47"/>
        <v>N/A</v>
      </c>
      <c r="Q419" s="713" t="str">
        <f t="shared" si="48"/>
        <v>N/A</v>
      </c>
    </row>
    <row r="420" spans="1:17">
      <c r="A420" s="3" t="s">
        <v>4553</v>
      </c>
      <c r="B420" s="3" t="s">
        <v>4554</v>
      </c>
      <c r="C420" s="3" t="s">
        <v>4555</v>
      </c>
      <c r="D420" s="3">
        <v>17153326659.300001</v>
      </c>
      <c r="E420" s="3">
        <v>1.3684749232343909</v>
      </c>
      <c r="F420" s="3" t="s">
        <v>1483</v>
      </c>
      <c r="G420" s="3">
        <v>175.57139999999998</v>
      </c>
      <c r="H420" s="3">
        <v>97.7</v>
      </c>
      <c r="I420" s="706"/>
      <c r="J420" s="707" t="str">
        <f t="shared" si="49"/>
        <v>Steel Dynamics Inc</v>
      </c>
      <c r="K420" s="708" t="str">
        <f t="shared" si="49"/>
        <v>STLD</v>
      </c>
      <c r="L420" s="709">
        <f t="shared" si="43"/>
        <v>17153.326659300001</v>
      </c>
      <c r="M420" s="710">
        <f t="shared" si="44"/>
        <v>1.3684749232343909E-2</v>
      </c>
      <c r="N420" s="710" t="str">
        <f t="shared" si="45"/>
        <v>N/A</v>
      </c>
      <c r="O420" s="711" t="str">
        <f t="shared" si="46"/>
        <v>N/A</v>
      </c>
      <c r="P420" s="712" t="str">
        <f t="shared" si="47"/>
        <v>N/A</v>
      </c>
      <c r="Q420" s="713" t="str">
        <f t="shared" si="48"/>
        <v>N/A</v>
      </c>
    </row>
    <row r="421" spans="1:17">
      <c r="A421" s="3" t="s">
        <v>2047</v>
      </c>
      <c r="B421" s="3" t="s">
        <v>2704</v>
      </c>
      <c r="C421" s="3" t="s">
        <v>2048</v>
      </c>
      <c r="D421" s="3">
        <v>28463547202.790001</v>
      </c>
      <c r="E421" s="3">
        <v>3.0926904731210523</v>
      </c>
      <c r="F421" s="3">
        <v>9.1869999999999994</v>
      </c>
      <c r="G421" s="3">
        <v>366.94009999999997</v>
      </c>
      <c r="H421" s="3">
        <v>77.569999999999993</v>
      </c>
      <c r="I421" s="706"/>
      <c r="J421" s="707" t="str">
        <f t="shared" si="49"/>
        <v>State Street Corp</v>
      </c>
      <c r="K421" s="708" t="str">
        <f t="shared" si="49"/>
        <v>STT</v>
      </c>
      <c r="L421" s="709">
        <f t="shared" si="43"/>
        <v>28463.54720279</v>
      </c>
      <c r="M421" s="710">
        <f t="shared" si="44"/>
        <v>3.0926904731210524E-2</v>
      </c>
      <c r="N421" s="710">
        <f t="shared" si="45"/>
        <v>9.1869999999999993E-2</v>
      </c>
      <c r="O421" s="711">
        <f t="shared" si="46"/>
        <v>0.12421753210003868</v>
      </c>
      <c r="P421" s="712">
        <f t="shared" si="47"/>
        <v>8.8884041556278666E-4</v>
      </c>
      <c r="Q421" s="713">
        <f t="shared" si="48"/>
        <v>1.1040956285198216E-4</v>
      </c>
    </row>
    <row r="422" spans="1:17">
      <c r="A422" s="3" t="s">
        <v>2049</v>
      </c>
      <c r="B422" s="3" t="s">
        <v>4008</v>
      </c>
      <c r="C422" s="3" t="s">
        <v>2050</v>
      </c>
      <c r="D422" s="3">
        <v>10861564037.43</v>
      </c>
      <c r="E422" s="3">
        <v>5.3145789773807266</v>
      </c>
      <c r="F422" s="3">
        <v>-2.5630000000000002</v>
      </c>
      <c r="G422" s="3">
        <v>206.45439999999999</v>
      </c>
      <c r="H422" s="3">
        <v>52.61</v>
      </c>
      <c r="I422" s="706"/>
      <c r="J422" s="707" t="str">
        <f t="shared" si="49"/>
        <v>Seagate Technology Holdings PLC</v>
      </c>
      <c r="K422" s="708" t="str">
        <f t="shared" si="49"/>
        <v>STX</v>
      </c>
      <c r="L422" s="709">
        <f t="shared" si="43"/>
        <v>10861.56403743</v>
      </c>
      <c r="M422" s="710">
        <f t="shared" si="44"/>
        <v>5.3145789773807267E-2</v>
      </c>
      <c r="N422" s="710">
        <f t="shared" si="45"/>
        <v>-2.563E-2</v>
      </c>
      <c r="O422" s="711">
        <f t="shared" si="46"/>
        <v>2.6834726477855925E-2</v>
      </c>
      <c r="P422" s="712">
        <f t="shared" si="47"/>
        <v>3.3917758120269683E-4</v>
      </c>
      <c r="Q422" s="713">
        <f t="shared" si="48"/>
        <v>9.1017376189951361E-6</v>
      </c>
    </row>
    <row r="423" spans="1:17">
      <c r="A423" s="3" t="s">
        <v>2051</v>
      </c>
      <c r="B423" s="3" t="s">
        <v>2705</v>
      </c>
      <c r="C423" s="3" t="s">
        <v>2052</v>
      </c>
      <c r="D423" s="3">
        <v>42761963070.000008</v>
      </c>
      <c r="E423" s="3">
        <v>1.3799352750809062</v>
      </c>
      <c r="F423" s="3">
        <v>10.34</v>
      </c>
      <c r="G423" s="3">
        <v>184.4657</v>
      </c>
      <c r="H423" s="3">
        <v>231.75</v>
      </c>
      <c r="I423" s="706"/>
      <c r="J423" s="707" t="str">
        <f t="shared" si="49"/>
        <v>Constellation Brands Inc</v>
      </c>
      <c r="K423" s="708" t="str">
        <f t="shared" si="49"/>
        <v>STZ</v>
      </c>
      <c r="L423" s="709">
        <f t="shared" si="43"/>
        <v>42761.963070000005</v>
      </c>
      <c r="M423" s="710">
        <f t="shared" si="44"/>
        <v>1.3799352750809062E-2</v>
      </c>
      <c r="N423" s="710">
        <f t="shared" si="45"/>
        <v>0.10339999999999999</v>
      </c>
      <c r="O423" s="711">
        <f t="shared" si="46"/>
        <v>0.11791277928802588</v>
      </c>
      <c r="P423" s="712">
        <f t="shared" si="47"/>
        <v>1.335341682982286E-3</v>
      </c>
      <c r="Q423" s="713">
        <f t="shared" si="48"/>
        <v>1.5745384913959132E-4</v>
      </c>
    </row>
    <row r="424" spans="1:17">
      <c r="A424" s="3" t="s">
        <v>2053</v>
      </c>
      <c r="B424" s="3" t="s">
        <v>2706</v>
      </c>
      <c r="C424" s="3" t="s">
        <v>2054</v>
      </c>
      <c r="D424" s="3">
        <v>11113386964.320002</v>
      </c>
      <c r="E424" s="3">
        <v>4.2039403620873266</v>
      </c>
      <c r="F424" s="3">
        <v>-10</v>
      </c>
      <c r="G424" s="3">
        <v>147.9418</v>
      </c>
      <c r="H424" s="3">
        <v>75.12</v>
      </c>
      <c r="I424" s="706"/>
      <c r="J424" s="707" t="str">
        <f t="shared" si="49"/>
        <v>Stanley Black &amp; Decker Inc</v>
      </c>
      <c r="K424" s="708" t="str">
        <f t="shared" si="49"/>
        <v>SWK</v>
      </c>
      <c r="L424" s="709">
        <f t="shared" si="43"/>
        <v>11113.386964320001</v>
      </c>
      <c r="M424" s="710">
        <f t="shared" si="44"/>
        <v>4.2039403620873265E-2</v>
      </c>
      <c r="N424" s="710">
        <f t="shared" si="45"/>
        <v>-0.1</v>
      </c>
      <c r="O424" s="711">
        <f t="shared" si="46"/>
        <v>-6.0062566560170408E-2</v>
      </c>
      <c r="P424" s="712">
        <f t="shared" si="47"/>
        <v>3.4704133737442259E-4</v>
      </c>
      <c r="Q424" s="713">
        <f t="shared" si="48"/>
        <v>-2.0844193425181812E-5</v>
      </c>
    </row>
    <row r="425" spans="1:17">
      <c r="A425" s="3" t="s">
        <v>2055</v>
      </c>
      <c r="B425" s="3" t="s">
        <v>2707</v>
      </c>
      <c r="C425" s="3" t="s">
        <v>2056</v>
      </c>
      <c r="D425" s="3">
        <v>14595477762.320002</v>
      </c>
      <c r="E425" s="3">
        <v>2.6522550203006698</v>
      </c>
      <c r="F425" s="3">
        <v>-1.1300000000000001</v>
      </c>
      <c r="G425" s="3">
        <v>160.1611</v>
      </c>
      <c r="H425" s="3">
        <v>91.13</v>
      </c>
      <c r="I425" s="706"/>
      <c r="J425" s="707" t="str">
        <f t="shared" si="49"/>
        <v>Skyworks Solutions Inc</v>
      </c>
      <c r="K425" s="708" t="str">
        <f t="shared" si="49"/>
        <v>SWKS</v>
      </c>
      <c r="L425" s="709">
        <f t="shared" si="43"/>
        <v>14595.477762320003</v>
      </c>
      <c r="M425" s="710">
        <f t="shared" si="44"/>
        <v>2.6522550203006697E-2</v>
      </c>
      <c r="N425" s="710">
        <f t="shared" si="45"/>
        <v>-1.1300000000000001E-2</v>
      </c>
      <c r="O425" s="711">
        <f t="shared" si="46"/>
        <v>1.5072697794359706E-2</v>
      </c>
      <c r="P425" s="712">
        <f t="shared" si="47"/>
        <v>4.5577771551700002E-4</v>
      </c>
      <c r="Q425" s="713">
        <f t="shared" si="48"/>
        <v>6.8697997673913914E-6</v>
      </c>
    </row>
    <row r="426" spans="1:17">
      <c r="A426" s="3" t="s">
        <v>2057</v>
      </c>
      <c r="B426" s="3" t="s">
        <v>2708</v>
      </c>
      <c r="C426" s="3" t="s">
        <v>2058</v>
      </c>
      <c r="D426" s="3">
        <v>14804791324.079998</v>
      </c>
      <c r="E426" s="3">
        <v>2.7388922702373706</v>
      </c>
      <c r="F426" s="3" t="s">
        <v>1483</v>
      </c>
      <c r="G426" s="3">
        <v>450.54139999999995</v>
      </c>
      <c r="H426" s="3">
        <v>32.86</v>
      </c>
      <c r="I426" s="706"/>
      <c r="J426" s="707" t="str">
        <f t="shared" si="49"/>
        <v>Synchrony Financial</v>
      </c>
      <c r="K426" s="708" t="str">
        <f t="shared" si="49"/>
        <v>SYF</v>
      </c>
      <c r="L426" s="709">
        <f t="shared" si="43"/>
        <v>14804.791324079997</v>
      </c>
      <c r="M426" s="710">
        <f t="shared" si="44"/>
        <v>2.7388922702373707E-2</v>
      </c>
      <c r="N426" s="710" t="str">
        <f t="shared" si="45"/>
        <v>N/A</v>
      </c>
      <c r="O426" s="711" t="str">
        <f t="shared" si="46"/>
        <v>N/A</v>
      </c>
      <c r="P426" s="712" t="str">
        <f t="shared" si="47"/>
        <v>N/A</v>
      </c>
      <c r="Q426" s="713" t="str">
        <f t="shared" si="48"/>
        <v>N/A</v>
      </c>
    </row>
    <row r="427" spans="1:17">
      <c r="A427" s="3" t="s">
        <v>2059</v>
      </c>
      <c r="B427" s="3" t="s">
        <v>2709</v>
      </c>
      <c r="C427" s="3" t="s">
        <v>2060</v>
      </c>
      <c r="D427" s="3">
        <v>92522333341.210007</v>
      </c>
      <c r="E427" s="3">
        <v>1.1117019100985726</v>
      </c>
      <c r="F427" s="3">
        <v>8.245000000000001</v>
      </c>
      <c r="G427" s="3">
        <v>378.42989999999998</v>
      </c>
      <c r="H427" s="3">
        <v>244.49</v>
      </c>
      <c r="I427" s="706"/>
      <c r="J427" s="707" t="str">
        <f t="shared" si="49"/>
        <v>Stryker Corp</v>
      </c>
      <c r="K427" s="708" t="str">
        <f t="shared" si="49"/>
        <v>SYK</v>
      </c>
      <c r="L427" s="709">
        <f t="shared" si="43"/>
        <v>92522.333341210004</v>
      </c>
      <c r="M427" s="710">
        <f t="shared" si="44"/>
        <v>1.1117019100985726E-2</v>
      </c>
      <c r="N427" s="710">
        <f t="shared" si="45"/>
        <v>8.2450000000000009E-2</v>
      </c>
      <c r="O427" s="711">
        <f t="shared" si="46"/>
        <v>9.4025318213423872E-2</v>
      </c>
      <c r="P427" s="712">
        <f t="shared" si="47"/>
        <v>2.8892248963185737E-3</v>
      </c>
      <c r="Q427" s="713">
        <f t="shared" si="48"/>
        <v>2.7166029026650052E-4</v>
      </c>
    </row>
    <row r="428" spans="1:17">
      <c r="A428" s="3" t="s">
        <v>2061</v>
      </c>
      <c r="B428" s="3" t="s">
        <v>2710</v>
      </c>
      <c r="C428" s="3" t="s">
        <v>2062</v>
      </c>
      <c r="D428" s="3">
        <v>38742377362.699997</v>
      </c>
      <c r="E428" s="3">
        <v>2.5990843688685414</v>
      </c>
      <c r="F428" s="3">
        <v>47</v>
      </c>
      <c r="G428" s="3">
        <v>506.76749999999998</v>
      </c>
      <c r="H428" s="3">
        <v>76.45</v>
      </c>
      <c r="I428" s="706"/>
      <c r="J428" s="707" t="str">
        <f t="shared" si="49"/>
        <v>Sysco Corp</v>
      </c>
      <c r="K428" s="708" t="str">
        <f t="shared" si="49"/>
        <v>SYY</v>
      </c>
      <c r="L428" s="709">
        <f t="shared" si="43"/>
        <v>38742.377362699997</v>
      </c>
      <c r="M428" s="710">
        <f t="shared" si="44"/>
        <v>2.5990843688685414E-2</v>
      </c>
      <c r="N428" s="710">
        <f t="shared" si="45"/>
        <v>0.47</v>
      </c>
      <c r="O428" s="711">
        <f t="shared" si="46"/>
        <v>0.50209869195552648</v>
      </c>
      <c r="P428" s="712">
        <f t="shared" si="47"/>
        <v>1.2098207770666462E-3</v>
      </c>
      <c r="Q428" s="713">
        <f t="shared" si="48"/>
        <v>6.0744942966578161E-4</v>
      </c>
    </row>
    <row r="429" spans="1:17">
      <c r="A429" s="3" t="s">
        <v>2063</v>
      </c>
      <c r="B429" s="3" t="s">
        <v>2711</v>
      </c>
      <c r="C429" s="3" t="s">
        <v>2064</v>
      </c>
      <c r="D429" s="3">
        <v>131208070000</v>
      </c>
      <c r="E429" s="3">
        <v>6.6214014122759375</v>
      </c>
      <c r="F429" s="3">
        <v>1.2030000000000001</v>
      </c>
      <c r="G429" s="3">
        <v>7127</v>
      </c>
      <c r="H429" s="3">
        <v>18.41</v>
      </c>
      <c r="I429" s="706"/>
      <c r="J429" s="707" t="str">
        <f t="shared" si="49"/>
        <v>AT&amp;T Inc</v>
      </c>
      <c r="K429" s="708" t="str">
        <f t="shared" si="49"/>
        <v>T</v>
      </c>
      <c r="L429" s="709">
        <f t="shared" si="43"/>
        <v>131208.07</v>
      </c>
      <c r="M429" s="710">
        <f t="shared" si="44"/>
        <v>6.6214014122759374E-2</v>
      </c>
      <c r="N429" s="710">
        <f t="shared" si="45"/>
        <v>1.2030000000000001E-2</v>
      </c>
      <c r="O429" s="711">
        <f t="shared" si="46"/>
        <v>7.8642291417707774E-2</v>
      </c>
      <c r="P429" s="712">
        <f t="shared" si="47"/>
        <v>4.0972769357629397E-3</v>
      </c>
      <c r="Q429" s="713">
        <f t="shared" si="48"/>
        <v>3.2221924680132184E-4</v>
      </c>
    </row>
    <row r="430" spans="1:17">
      <c r="A430" s="3" t="s">
        <v>2065</v>
      </c>
      <c r="B430" s="3" t="s">
        <v>3011</v>
      </c>
      <c r="C430" s="3" t="s">
        <v>2066</v>
      </c>
      <c r="D430" s="3">
        <v>11395960420.880001</v>
      </c>
      <c r="E430" s="3">
        <v>2.8920807453416146</v>
      </c>
      <c r="F430" s="3">
        <v>4.17</v>
      </c>
      <c r="G430" s="3">
        <v>200.14499999999998</v>
      </c>
      <c r="H430" s="3">
        <v>51.52</v>
      </c>
      <c r="I430" s="706"/>
      <c r="J430" s="707" t="str">
        <f t="shared" si="49"/>
        <v>Molson Coors Beverage Co</v>
      </c>
      <c r="K430" s="708" t="str">
        <f t="shared" si="49"/>
        <v>TAP</v>
      </c>
      <c r="L430" s="709">
        <f t="shared" si="43"/>
        <v>11395.960420880001</v>
      </c>
      <c r="M430" s="710">
        <f t="shared" si="44"/>
        <v>2.8920807453416145E-2</v>
      </c>
      <c r="N430" s="710">
        <f t="shared" si="45"/>
        <v>4.1700000000000001E-2</v>
      </c>
      <c r="O430" s="711">
        <f t="shared" si="46"/>
        <v>7.1223806288819871E-2</v>
      </c>
      <c r="P430" s="712">
        <f t="shared" si="47"/>
        <v>3.5586535030458836E-4</v>
      </c>
      <c r="Q430" s="713">
        <f t="shared" si="48"/>
        <v>2.5346084774997028E-5</v>
      </c>
    </row>
    <row r="431" spans="1:17">
      <c r="A431" s="3" t="s">
        <v>2067</v>
      </c>
      <c r="B431" s="3" t="s">
        <v>2712</v>
      </c>
      <c r="C431" s="3" t="s">
        <v>2068</v>
      </c>
      <c r="D431" s="3">
        <v>34236964371.399998</v>
      </c>
      <c r="E431" s="3">
        <v>0</v>
      </c>
      <c r="F431" s="3">
        <v>19.795000000000002</v>
      </c>
      <c r="G431" s="3">
        <v>54.374600000000001</v>
      </c>
      <c r="H431" s="3">
        <v>629.65</v>
      </c>
      <c r="I431" s="706"/>
      <c r="J431" s="707" t="str">
        <f t="shared" si="49"/>
        <v>TransDigm Group Inc</v>
      </c>
      <c r="K431" s="708" t="str">
        <f t="shared" si="49"/>
        <v>TDG</v>
      </c>
      <c r="L431" s="709">
        <f t="shared" si="43"/>
        <v>34236.964371399998</v>
      </c>
      <c r="M431" s="710">
        <f t="shared" si="44"/>
        <v>0</v>
      </c>
      <c r="N431" s="710">
        <f t="shared" si="45"/>
        <v>0.19795000000000001</v>
      </c>
      <c r="O431" s="711">
        <f t="shared" si="46"/>
        <v>0.19795000000000001</v>
      </c>
      <c r="P431" s="712">
        <f t="shared" si="47"/>
        <v>1.0691287850623419E-3</v>
      </c>
      <c r="Q431" s="713">
        <f t="shared" si="48"/>
        <v>2.1163404300309058E-4</v>
      </c>
    </row>
    <row r="432" spans="1:17">
      <c r="A432" s="3" t="s">
        <v>3034</v>
      </c>
      <c r="B432" s="3" t="s">
        <v>3035</v>
      </c>
      <c r="C432" s="3" t="s">
        <v>3036</v>
      </c>
      <c r="D432" s="3">
        <v>18744218801.630001</v>
      </c>
      <c r="E432" s="3" t="s">
        <v>1483</v>
      </c>
      <c r="F432" s="3">
        <v>7.18</v>
      </c>
      <c r="G432" s="3">
        <v>46.871089999999995</v>
      </c>
      <c r="H432" s="3">
        <v>399.91</v>
      </c>
      <c r="I432" s="706"/>
      <c r="J432" s="707" t="str">
        <f t="shared" si="49"/>
        <v>Teledyne Technologies Inc</v>
      </c>
      <c r="K432" s="708" t="str">
        <f t="shared" si="49"/>
        <v>TDY</v>
      </c>
      <c r="L432" s="709">
        <f t="shared" si="43"/>
        <v>18744.218801630002</v>
      </c>
      <c r="M432" s="710" t="str">
        <f t="shared" si="44"/>
        <v>0.00%</v>
      </c>
      <c r="N432" s="710">
        <f t="shared" si="45"/>
        <v>7.1800000000000003E-2</v>
      </c>
      <c r="O432" s="711">
        <f t="shared" si="46"/>
        <v>7.1800000000000003E-2</v>
      </c>
      <c r="P432" s="712">
        <f t="shared" si="47"/>
        <v>5.8533179685375033E-4</v>
      </c>
      <c r="Q432" s="713">
        <f t="shared" si="48"/>
        <v>4.2026823014099275E-5</v>
      </c>
    </row>
    <row r="433" spans="1:17">
      <c r="A433" s="3" t="s">
        <v>4047</v>
      </c>
      <c r="B433" s="3" t="s">
        <v>4048</v>
      </c>
      <c r="C433" s="3" t="s">
        <v>4049</v>
      </c>
      <c r="D433" s="3">
        <v>13009635143.68</v>
      </c>
      <c r="E433" s="3">
        <v>0.45849420849420852</v>
      </c>
      <c r="F433" s="3">
        <v>19</v>
      </c>
      <c r="G433" s="3">
        <v>156.96949999999998</v>
      </c>
      <c r="H433" s="3">
        <v>82.88</v>
      </c>
      <c r="I433" s="706"/>
      <c r="J433" s="707" t="str">
        <f t="shared" si="49"/>
        <v>Bio-Techne Corp</v>
      </c>
      <c r="K433" s="708" t="str">
        <f t="shared" si="49"/>
        <v>TECH</v>
      </c>
      <c r="L433" s="709">
        <f t="shared" si="43"/>
        <v>13009.63514368</v>
      </c>
      <c r="M433" s="710">
        <f t="shared" si="44"/>
        <v>4.5849420849420853E-3</v>
      </c>
      <c r="N433" s="710">
        <f t="shared" si="45"/>
        <v>0.19</v>
      </c>
      <c r="O433" s="711">
        <f t="shared" si="46"/>
        <v>0.19502051158301159</v>
      </c>
      <c r="P433" s="712">
        <f t="shared" si="47"/>
        <v>4.0625609398027909E-4</v>
      </c>
      <c r="Q433" s="713">
        <f t="shared" si="48"/>
        <v>7.9228271281750069E-5</v>
      </c>
    </row>
    <row r="434" spans="1:17">
      <c r="A434" s="3" t="s">
        <v>2069</v>
      </c>
      <c r="B434" s="3" t="s">
        <v>2713</v>
      </c>
      <c r="C434" s="3" t="s">
        <v>2070</v>
      </c>
      <c r="D434" s="3">
        <v>36418068632.400002</v>
      </c>
      <c r="E434" s="3">
        <v>1.8893728222996518</v>
      </c>
      <c r="F434" s="3" t="s">
        <v>1483</v>
      </c>
      <c r="G434" s="3">
        <v>317.23059999999998</v>
      </c>
      <c r="H434" s="3">
        <v>114.8</v>
      </c>
      <c r="I434" s="706"/>
      <c r="J434" s="707" t="str">
        <f t="shared" si="49"/>
        <v>TE Connectivity Ltd</v>
      </c>
      <c r="K434" s="708" t="str">
        <f t="shared" si="49"/>
        <v>TEL</v>
      </c>
      <c r="L434" s="709">
        <f t="shared" si="43"/>
        <v>36418.068632399998</v>
      </c>
      <c r="M434" s="710">
        <f t="shared" si="44"/>
        <v>1.8893728222996519E-2</v>
      </c>
      <c r="N434" s="710" t="str">
        <f t="shared" si="45"/>
        <v>N/A</v>
      </c>
      <c r="O434" s="711" t="str">
        <f t="shared" si="46"/>
        <v>N/A</v>
      </c>
      <c r="P434" s="712" t="str">
        <f t="shared" si="47"/>
        <v>N/A</v>
      </c>
      <c r="Q434" s="713" t="str">
        <f t="shared" si="48"/>
        <v>N/A</v>
      </c>
    </row>
    <row r="435" spans="1:17">
      <c r="A435" s="3" t="s">
        <v>3919</v>
      </c>
      <c r="B435" s="3" t="s">
        <v>3920</v>
      </c>
      <c r="C435" s="3" t="s">
        <v>3921</v>
      </c>
      <c r="D435" s="3">
        <v>13605299353.099998</v>
      </c>
      <c r="E435" s="3">
        <v>0.49570692615912992</v>
      </c>
      <c r="F435" s="3">
        <v>7.5129999999999999</v>
      </c>
      <c r="G435" s="3">
        <v>155.7561</v>
      </c>
      <c r="H435" s="3">
        <v>87.35</v>
      </c>
      <c r="I435" s="706"/>
      <c r="J435" s="707" t="str">
        <f t="shared" si="49"/>
        <v>Teradyne Inc</v>
      </c>
      <c r="K435" s="708" t="str">
        <f t="shared" si="49"/>
        <v>TER</v>
      </c>
      <c r="L435" s="709">
        <f t="shared" si="43"/>
        <v>13605.299353099999</v>
      </c>
      <c r="M435" s="710">
        <f t="shared" si="44"/>
        <v>4.9570692615912995E-3</v>
      </c>
      <c r="N435" s="710">
        <f t="shared" si="45"/>
        <v>7.5130000000000002E-2</v>
      </c>
      <c r="O435" s="711">
        <f t="shared" si="46"/>
        <v>8.0273281568402979E-2</v>
      </c>
      <c r="P435" s="712">
        <f t="shared" si="47"/>
        <v>4.2485709334499829E-4</v>
      </c>
      <c r="Q435" s="713">
        <f t="shared" si="48"/>
        <v>3.4104673080416317E-5</v>
      </c>
    </row>
    <row r="436" spans="1:17">
      <c r="A436" s="3" t="s">
        <v>2975</v>
      </c>
      <c r="B436" s="3" t="s">
        <v>2976</v>
      </c>
      <c r="C436" s="3" t="s">
        <v>2977</v>
      </c>
      <c r="D436" s="3">
        <v>57090753372.639999</v>
      </c>
      <c r="E436" s="3">
        <v>4.6479200557750406</v>
      </c>
      <c r="F436" s="3">
        <v>7.6130000000000004</v>
      </c>
      <c r="G436" s="3">
        <v>1326.7659999999998</v>
      </c>
      <c r="H436" s="3">
        <v>43.03</v>
      </c>
      <c r="I436" s="706"/>
      <c r="J436" s="707" t="str">
        <f t="shared" si="49"/>
        <v>Truist Financial Corp</v>
      </c>
      <c r="K436" s="708" t="str">
        <f t="shared" si="49"/>
        <v>TFC</v>
      </c>
      <c r="L436" s="709">
        <f t="shared" si="43"/>
        <v>57090.75337264</v>
      </c>
      <c r="M436" s="710">
        <f t="shared" si="44"/>
        <v>4.6479200557750407E-2</v>
      </c>
      <c r="N436" s="710">
        <f t="shared" si="45"/>
        <v>7.6130000000000003E-2</v>
      </c>
      <c r="O436" s="711">
        <f t="shared" si="46"/>
        <v>0.12437843132698118</v>
      </c>
      <c r="P436" s="712">
        <f t="shared" si="47"/>
        <v>1.7827914627434739E-3</v>
      </c>
      <c r="Q436" s="713">
        <f t="shared" si="48"/>
        <v>2.2174080551916748E-4</v>
      </c>
    </row>
    <row r="437" spans="1:17">
      <c r="A437" s="3" t="s">
        <v>2714</v>
      </c>
      <c r="B437" s="3" t="s">
        <v>2715</v>
      </c>
      <c r="C437" s="3" t="s">
        <v>2716</v>
      </c>
      <c r="D437" s="3">
        <v>11709253369.050001</v>
      </c>
      <c r="E437" s="3">
        <v>0.54360453471137282</v>
      </c>
      <c r="F437" s="3">
        <v>6.5350000000000001</v>
      </c>
      <c r="G437" s="3">
        <v>46.906439999999996</v>
      </c>
      <c r="H437" s="3">
        <v>249.63</v>
      </c>
      <c r="I437" s="706"/>
      <c r="J437" s="707" t="str">
        <f t="shared" si="49"/>
        <v>Teleflex Inc</v>
      </c>
      <c r="K437" s="708" t="str">
        <f t="shared" si="49"/>
        <v>TFX</v>
      </c>
      <c r="L437" s="709">
        <f t="shared" si="43"/>
        <v>11709.25336905</v>
      </c>
      <c r="M437" s="710">
        <f t="shared" si="44"/>
        <v>5.436045347113728E-3</v>
      </c>
      <c r="N437" s="710">
        <f t="shared" si="45"/>
        <v>6.5350000000000005E-2</v>
      </c>
      <c r="O437" s="711">
        <f t="shared" si="46"/>
        <v>7.0963668128830676E-2</v>
      </c>
      <c r="P437" s="712">
        <f t="shared" si="47"/>
        <v>3.6564865075763299E-4</v>
      </c>
      <c r="Q437" s="713">
        <f t="shared" si="48"/>
        <v>2.5947769504119378E-5</v>
      </c>
    </row>
    <row r="438" spans="1:17">
      <c r="A438" s="3" t="s">
        <v>2071</v>
      </c>
      <c r="B438" s="3" t="s">
        <v>2717</v>
      </c>
      <c r="C438" s="3" t="s">
        <v>1307</v>
      </c>
      <c r="D438" s="3">
        <v>68604615515.519997</v>
      </c>
      <c r="E438" s="3">
        <v>2.5818572195383793</v>
      </c>
      <c r="F438" s="3">
        <v>0.89700000000000002</v>
      </c>
      <c r="G438" s="3">
        <v>460.31009999999998</v>
      </c>
      <c r="H438" s="3">
        <v>149.04</v>
      </c>
      <c r="I438" s="706"/>
      <c r="J438" s="707" t="str">
        <f t="shared" si="49"/>
        <v>Target Corp</v>
      </c>
      <c r="K438" s="708" t="str">
        <f t="shared" si="49"/>
        <v>TGT</v>
      </c>
      <c r="L438" s="709">
        <f t="shared" si="43"/>
        <v>68604.615515519996</v>
      </c>
      <c r="M438" s="710">
        <f t="shared" si="44"/>
        <v>2.5818572195383794E-2</v>
      </c>
      <c r="N438" s="710">
        <f t="shared" si="45"/>
        <v>8.9700000000000005E-3</v>
      </c>
      <c r="O438" s="711">
        <f t="shared" si="46"/>
        <v>3.4904368491680091E-2</v>
      </c>
      <c r="P438" s="712">
        <f t="shared" si="47"/>
        <v>2.1423385683412947E-3</v>
      </c>
      <c r="Q438" s="713">
        <f t="shared" si="48"/>
        <v>7.4776974823322924E-5</v>
      </c>
    </row>
    <row r="439" spans="1:17">
      <c r="A439" s="3" t="s">
        <v>2072</v>
      </c>
      <c r="B439" s="3" t="s">
        <v>2718</v>
      </c>
      <c r="C439" s="3" t="s">
        <v>1306</v>
      </c>
      <c r="D439" s="3">
        <v>91978130260.400009</v>
      </c>
      <c r="E439" s="3">
        <v>1.4711055276381912</v>
      </c>
      <c r="F439" s="3">
        <v>10.55</v>
      </c>
      <c r="G439" s="3">
        <v>1155.5039999999999</v>
      </c>
      <c r="H439" s="3">
        <v>79.599999999999994</v>
      </c>
      <c r="I439" s="706"/>
      <c r="J439" s="707" t="str">
        <f t="shared" si="49"/>
        <v>TJX Cos Inc/The</v>
      </c>
      <c r="K439" s="708" t="str">
        <f t="shared" si="49"/>
        <v>TJX</v>
      </c>
      <c r="L439" s="709">
        <f t="shared" si="43"/>
        <v>91978.130260400008</v>
      </c>
      <c r="M439" s="710">
        <f t="shared" si="44"/>
        <v>1.4711055276381913E-2</v>
      </c>
      <c r="N439" s="710">
        <f t="shared" si="45"/>
        <v>0.10550000000000001</v>
      </c>
      <c r="O439" s="711">
        <f t="shared" si="46"/>
        <v>0.12098706344221107</v>
      </c>
      <c r="P439" s="712">
        <f t="shared" si="47"/>
        <v>2.8722308902991733E-3</v>
      </c>
      <c r="Q439" s="713">
        <f t="shared" si="48"/>
        <v>3.4750278094530443E-4</v>
      </c>
    </row>
    <row r="440" spans="1:17">
      <c r="A440" s="3" t="s">
        <v>2073</v>
      </c>
      <c r="B440" s="3" t="s">
        <v>2719</v>
      </c>
      <c r="C440" s="3" t="s">
        <v>2074</v>
      </c>
      <c r="D440" s="3">
        <v>215978171284.33002</v>
      </c>
      <c r="E440" s="3">
        <v>0.20937369481922677</v>
      </c>
      <c r="F440" s="3" t="s">
        <v>1483</v>
      </c>
      <c r="G440" s="3">
        <v>392.19559999999996</v>
      </c>
      <c r="H440" s="3">
        <v>550.69000000000005</v>
      </c>
      <c r="I440" s="706"/>
      <c r="J440" s="707" t="str">
        <f t="shared" si="49"/>
        <v>Thermo Fisher Scientific Inc</v>
      </c>
      <c r="K440" s="708" t="str">
        <f t="shared" si="49"/>
        <v>TMO</v>
      </c>
      <c r="L440" s="709">
        <f t="shared" si="43"/>
        <v>215978.17128433002</v>
      </c>
      <c r="M440" s="710">
        <f t="shared" si="44"/>
        <v>2.0937369481922679E-3</v>
      </c>
      <c r="N440" s="710" t="str">
        <f t="shared" si="45"/>
        <v>N/A</v>
      </c>
      <c r="O440" s="711" t="str">
        <f t="shared" si="46"/>
        <v>N/A</v>
      </c>
      <c r="P440" s="712" t="str">
        <f t="shared" si="47"/>
        <v>N/A</v>
      </c>
      <c r="Q440" s="713" t="str">
        <f t="shared" si="48"/>
        <v>N/A</v>
      </c>
    </row>
    <row r="441" spans="1:17">
      <c r="A441" s="3" t="s">
        <v>2924</v>
      </c>
      <c r="B441" s="3" t="s">
        <v>2925</v>
      </c>
      <c r="C441" s="3" t="s">
        <v>2926</v>
      </c>
      <c r="D441" s="3">
        <v>174181578760</v>
      </c>
      <c r="E441" s="3">
        <v>0</v>
      </c>
      <c r="F441" s="3">
        <v>5</v>
      </c>
      <c r="G441" s="3">
        <v>1244.154</v>
      </c>
      <c r="H441" s="3">
        <v>140</v>
      </c>
      <c r="I441" s="706"/>
      <c r="J441" s="707" t="str">
        <f t="shared" si="49"/>
        <v>T-Mobile US Inc</v>
      </c>
      <c r="K441" s="708" t="str">
        <f t="shared" si="49"/>
        <v>TMUS</v>
      </c>
      <c r="L441" s="709">
        <f t="shared" si="43"/>
        <v>174181.57876</v>
      </c>
      <c r="M441" s="710">
        <f t="shared" si="44"/>
        <v>0</v>
      </c>
      <c r="N441" s="710">
        <f t="shared" si="45"/>
        <v>0.05</v>
      </c>
      <c r="O441" s="711">
        <f t="shared" si="46"/>
        <v>0.05</v>
      </c>
      <c r="P441" s="712">
        <f t="shared" si="47"/>
        <v>5.4392246245838684E-3</v>
      </c>
      <c r="Q441" s="713">
        <f t="shared" si="48"/>
        <v>2.7196123122919343E-4</v>
      </c>
    </row>
    <row r="442" spans="1:17">
      <c r="A442" s="3" t="s">
        <v>2307</v>
      </c>
      <c r="B442" s="3" t="s">
        <v>2720</v>
      </c>
      <c r="C442" s="3" t="s">
        <v>2300</v>
      </c>
      <c r="D442" s="3">
        <v>9175806342.0799999</v>
      </c>
      <c r="E442" s="3">
        <v>3.0672268907563027</v>
      </c>
      <c r="F442" s="3">
        <v>11</v>
      </c>
      <c r="G442" s="3">
        <v>240.96129999999999</v>
      </c>
      <c r="H442" s="3">
        <v>38.08</v>
      </c>
      <c r="I442" s="706"/>
      <c r="J442" s="707" t="str">
        <f t="shared" si="49"/>
        <v>Tapestry Inc</v>
      </c>
      <c r="K442" s="708" t="str">
        <f t="shared" si="49"/>
        <v>TPR</v>
      </c>
      <c r="L442" s="709">
        <f t="shared" si="43"/>
        <v>9175.8063420800008</v>
      </c>
      <c r="M442" s="710">
        <f t="shared" si="44"/>
        <v>3.0672268907563027E-2</v>
      </c>
      <c r="N442" s="710">
        <f t="shared" si="45"/>
        <v>0.11</v>
      </c>
      <c r="O442" s="711">
        <f t="shared" si="46"/>
        <v>0.14235924369747899</v>
      </c>
      <c r="P442" s="712">
        <f t="shared" si="47"/>
        <v>2.86535879175966E-4</v>
      </c>
      <c r="Q442" s="713">
        <f t="shared" si="48"/>
        <v>4.079103105168274E-5</v>
      </c>
    </row>
    <row r="443" spans="1:17">
      <c r="A443" s="3" t="s">
        <v>4333</v>
      </c>
      <c r="B443" s="3" t="s">
        <v>4334</v>
      </c>
      <c r="C443" s="3" t="s">
        <v>4335</v>
      </c>
      <c r="D443" s="3">
        <v>16638590944.5</v>
      </c>
      <c r="E443" s="3">
        <v>1.9782312925170069</v>
      </c>
      <c r="F443" s="3">
        <v>17</v>
      </c>
      <c r="G443" s="3">
        <v>226.37539999999998</v>
      </c>
      <c r="H443" s="3">
        <v>73.5</v>
      </c>
      <c r="I443" s="706"/>
      <c r="J443" s="707" t="str">
        <f t="shared" si="49"/>
        <v>Targa Resources Corp</v>
      </c>
      <c r="K443" s="708" t="str">
        <f t="shared" si="49"/>
        <v>TRGP</v>
      </c>
      <c r="L443" s="709">
        <f t="shared" si="43"/>
        <v>16638.5909445</v>
      </c>
      <c r="M443" s="710">
        <f t="shared" si="44"/>
        <v>1.9782312925170069E-2</v>
      </c>
      <c r="N443" s="710">
        <f t="shared" si="45"/>
        <v>0.17</v>
      </c>
      <c r="O443" s="711">
        <f t="shared" si="46"/>
        <v>0.19146380952380954</v>
      </c>
      <c r="P443" s="712">
        <f t="shared" si="47"/>
        <v>5.1957867317531576E-4</v>
      </c>
      <c r="Q443" s="713">
        <f t="shared" si="48"/>
        <v>9.9480512113472345E-5</v>
      </c>
    </row>
    <row r="444" spans="1:17">
      <c r="A444" s="3" t="s">
        <v>3950</v>
      </c>
      <c r="B444" s="3" t="s">
        <v>3951</v>
      </c>
      <c r="C444" s="3" t="s">
        <v>3952</v>
      </c>
      <c r="D444" s="3">
        <v>12469344376.960001</v>
      </c>
      <c r="E444" s="3">
        <v>-3.7579113924050632E-2</v>
      </c>
      <c r="F444" s="3">
        <v>10</v>
      </c>
      <c r="G444" s="3">
        <v>246.62469999999999</v>
      </c>
      <c r="H444" s="3">
        <v>50.56</v>
      </c>
      <c r="I444" s="706"/>
      <c r="J444" s="707" t="str">
        <f t="shared" si="49"/>
        <v>Trimble Inc</v>
      </c>
      <c r="K444" s="708" t="str">
        <f t="shared" si="49"/>
        <v>TRMB</v>
      </c>
      <c r="L444" s="709">
        <f t="shared" si="43"/>
        <v>12469.344376960002</v>
      </c>
      <c r="M444" s="710">
        <f t="shared" si="44"/>
        <v>-3.7579113924050633E-4</v>
      </c>
      <c r="N444" s="710">
        <f t="shared" si="45"/>
        <v>0.1</v>
      </c>
      <c r="O444" s="711">
        <f t="shared" si="46"/>
        <v>9.9605419303797474E-2</v>
      </c>
      <c r="P444" s="712">
        <f t="shared" si="47"/>
        <v>3.893842590612263E-4</v>
      </c>
      <c r="Q444" s="713">
        <f t="shared" si="48"/>
        <v>3.8784782394091944E-5</v>
      </c>
    </row>
    <row r="445" spans="1:17">
      <c r="A445" s="3" t="s">
        <v>2075</v>
      </c>
      <c r="B445" s="3" t="s">
        <v>2721</v>
      </c>
      <c r="C445" s="3" t="s">
        <v>2076</v>
      </c>
      <c r="D445" s="3">
        <v>24371072396.719997</v>
      </c>
      <c r="E445" s="3">
        <v>4.4012470199889968</v>
      </c>
      <c r="F445" s="3">
        <v>-15.83</v>
      </c>
      <c r="G445" s="3">
        <v>223.4648</v>
      </c>
      <c r="H445" s="3">
        <v>109.06</v>
      </c>
      <c r="I445" s="706"/>
      <c r="J445" s="707" t="str">
        <f t="shared" si="49"/>
        <v>T Rowe Price Group Inc</v>
      </c>
      <c r="K445" s="708" t="str">
        <f t="shared" si="49"/>
        <v>TROW</v>
      </c>
      <c r="L445" s="709">
        <f t="shared" si="43"/>
        <v>24371.072396719996</v>
      </c>
      <c r="M445" s="710">
        <f t="shared" si="44"/>
        <v>4.4012470199889971E-2</v>
      </c>
      <c r="N445" s="710">
        <f t="shared" si="45"/>
        <v>-0.1583</v>
      </c>
      <c r="O445" s="711">
        <f t="shared" si="46"/>
        <v>-0.11777111681643132</v>
      </c>
      <c r="P445" s="712">
        <f t="shared" si="47"/>
        <v>7.6104337813131205E-4</v>
      </c>
      <c r="Q445" s="713">
        <f t="shared" si="48"/>
        <v>-8.962892858827427E-5</v>
      </c>
    </row>
    <row r="446" spans="1:17">
      <c r="A446" s="3" t="s">
        <v>2077</v>
      </c>
      <c r="B446" s="3" t="s">
        <v>2722</v>
      </c>
      <c r="C446" s="3" t="s">
        <v>2078</v>
      </c>
      <c r="D446" s="3">
        <v>43937817462.25</v>
      </c>
      <c r="E446" s="3">
        <v>1.9595711771294466</v>
      </c>
      <c r="F446" s="3">
        <v>7.4950000000000001</v>
      </c>
      <c r="G446" s="3">
        <v>234.3475</v>
      </c>
      <c r="H446" s="3">
        <v>187.49</v>
      </c>
      <c r="I446" s="706"/>
      <c r="J446" s="707" t="str">
        <f t="shared" si="49"/>
        <v>Travelers Cos Inc/The</v>
      </c>
      <c r="K446" s="708" t="str">
        <f t="shared" si="49"/>
        <v>TRV</v>
      </c>
      <c r="L446" s="709">
        <f t="shared" si="43"/>
        <v>43937.817462250001</v>
      </c>
      <c r="M446" s="710">
        <f t="shared" si="44"/>
        <v>1.9595711771294468E-2</v>
      </c>
      <c r="N446" s="710">
        <f t="shared" si="45"/>
        <v>7.4950000000000003E-2</v>
      </c>
      <c r="O446" s="711">
        <f t="shared" si="46"/>
        <v>9.5280061069923733E-2</v>
      </c>
      <c r="P446" s="712">
        <f t="shared" si="47"/>
        <v>1.3720604692671651E-3</v>
      </c>
      <c r="Q446" s="713">
        <f t="shared" si="48"/>
        <v>1.307300053034037E-4</v>
      </c>
    </row>
    <row r="447" spans="1:17">
      <c r="A447" s="3" t="s">
        <v>2079</v>
      </c>
      <c r="B447" s="3" t="s">
        <v>2723</v>
      </c>
      <c r="C447" s="3" t="s">
        <v>2080</v>
      </c>
      <c r="D447" s="3">
        <v>24850916227.649998</v>
      </c>
      <c r="E447" s="3">
        <v>1.6437747255189581</v>
      </c>
      <c r="F447" s="3">
        <v>10.353</v>
      </c>
      <c r="G447" s="3">
        <v>110.4632</v>
      </c>
      <c r="H447" s="3">
        <v>224.97</v>
      </c>
      <c r="I447" s="706"/>
      <c r="J447" s="707" t="str">
        <f t="shared" si="49"/>
        <v>Tractor Supply Co</v>
      </c>
      <c r="K447" s="708" t="str">
        <f t="shared" si="49"/>
        <v>TSCO</v>
      </c>
      <c r="L447" s="709">
        <f t="shared" si="43"/>
        <v>24850.916227649999</v>
      </c>
      <c r="M447" s="710">
        <f t="shared" si="44"/>
        <v>1.643774725518958E-2</v>
      </c>
      <c r="N447" s="710">
        <f t="shared" si="45"/>
        <v>0.10353</v>
      </c>
      <c r="O447" s="711">
        <f t="shared" si="46"/>
        <v>0.12081864724185447</v>
      </c>
      <c r="P447" s="712">
        <f t="shared" si="47"/>
        <v>7.7602761699129713E-4</v>
      </c>
      <c r="Q447" s="713">
        <f t="shared" si="48"/>
        <v>9.3758606907208482E-5</v>
      </c>
    </row>
    <row r="448" spans="1:17">
      <c r="A448" s="3" t="s">
        <v>3953</v>
      </c>
      <c r="B448" s="3" t="s">
        <v>3954</v>
      </c>
      <c r="C448" s="3" t="s">
        <v>3955</v>
      </c>
      <c r="D448" s="3">
        <v>388971946667.82007</v>
      </c>
      <c r="E448" s="3">
        <v>0</v>
      </c>
      <c r="F448" s="3">
        <v>20</v>
      </c>
      <c r="G448" s="3">
        <v>3157.752</v>
      </c>
      <c r="H448" s="3">
        <v>123.18</v>
      </c>
      <c r="I448" s="706"/>
      <c r="J448" s="707" t="str">
        <f t="shared" si="49"/>
        <v>Tesla Inc</v>
      </c>
      <c r="K448" s="708" t="str">
        <f t="shared" si="49"/>
        <v>TSLA</v>
      </c>
      <c r="L448" s="709">
        <f t="shared" si="43"/>
        <v>388971.94666782004</v>
      </c>
      <c r="M448" s="710">
        <f t="shared" si="44"/>
        <v>0</v>
      </c>
      <c r="N448" s="710">
        <f t="shared" si="45"/>
        <v>0.2</v>
      </c>
      <c r="O448" s="711">
        <f t="shared" si="46"/>
        <v>0.2</v>
      </c>
      <c r="P448" s="712">
        <f t="shared" si="47"/>
        <v>1.214655307208521E-2</v>
      </c>
      <c r="Q448" s="713">
        <f t="shared" si="48"/>
        <v>2.429310614417042E-3</v>
      </c>
    </row>
    <row r="449" spans="1:17">
      <c r="A449" s="3" t="s">
        <v>2081</v>
      </c>
      <c r="B449" s="3" t="s">
        <v>2724</v>
      </c>
      <c r="C449" s="3" t="s">
        <v>2082</v>
      </c>
      <c r="D449" s="3">
        <v>22274679456</v>
      </c>
      <c r="E449" s="3">
        <v>3.1502008032128512</v>
      </c>
      <c r="F449" s="3">
        <v>-1.9350000000000001</v>
      </c>
      <c r="G449" s="3">
        <v>287.81579999999997</v>
      </c>
      <c r="H449" s="3">
        <v>62.25</v>
      </c>
      <c r="I449" s="706"/>
      <c r="J449" s="707" t="str">
        <f t="shared" si="49"/>
        <v>Tyson Foods Inc</v>
      </c>
      <c r="K449" s="708" t="str">
        <f t="shared" si="49"/>
        <v>TSN</v>
      </c>
      <c r="L449" s="709">
        <f t="shared" si="43"/>
        <v>22274.679456000002</v>
      </c>
      <c r="M449" s="710">
        <f t="shared" si="44"/>
        <v>3.1502008032128513E-2</v>
      </c>
      <c r="N449" s="710">
        <f t="shared" si="45"/>
        <v>-1.9349999999999999E-2</v>
      </c>
      <c r="O449" s="711">
        <f t="shared" si="46"/>
        <v>1.1847226104417671E-2</v>
      </c>
      <c r="P449" s="712">
        <f t="shared" si="47"/>
        <v>6.9557863618130639E-4</v>
      </c>
      <c r="Q449" s="713">
        <f t="shared" si="48"/>
        <v>8.2406773762424156E-6</v>
      </c>
    </row>
    <row r="450" spans="1:17">
      <c r="A450" s="3" t="s">
        <v>3012</v>
      </c>
      <c r="B450" s="3" t="s">
        <v>3013</v>
      </c>
      <c r="C450" s="3" t="s">
        <v>3014</v>
      </c>
      <c r="D450" s="3">
        <v>38712353384.639999</v>
      </c>
      <c r="E450" s="3">
        <v>1.5598786364447617</v>
      </c>
      <c r="F450" s="3">
        <v>10.005000000000001</v>
      </c>
      <c r="G450" s="3">
        <v>230.3073</v>
      </c>
      <c r="H450" s="3">
        <v>168.09</v>
      </c>
      <c r="I450" s="706"/>
      <c r="J450" s="707" t="str">
        <f t="shared" si="49"/>
        <v>Trane Technologies PLC</v>
      </c>
      <c r="K450" s="708" t="str">
        <f t="shared" si="49"/>
        <v>TT</v>
      </c>
      <c r="L450" s="709">
        <f t="shared" si="43"/>
        <v>38712.353384640002</v>
      </c>
      <c r="M450" s="710">
        <f t="shared" si="44"/>
        <v>1.5598786364447616E-2</v>
      </c>
      <c r="N450" s="710">
        <f t="shared" si="45"/>
        <v>0.10005000000000001</v>
      </c>
      <c r="O450" s="711">
        <f t="shared" si="46"/>
        <v>0.11642911565232912</v>
      </c>
      <c r="P450" s="712">
        <f t="shared" si="47"/>
        <v>1.2088832085708589E-3</v>
      </c>
      <c r="Q450" s="713">
        <f t="shared" si="48"/>
        <v>1.4074920290085523E-4</v>
      </c>
    </row>
    <row r="451" spans="1:17">
      <c r="A451" s="3" t="s">
        <v>2315</v>
      </c>
      <c r="B451" s="3" t="s">
        <v>2725</v>
      </c>
      <c r="C451" s="3" t="s">
        <v>2316</v>
      </c>
      <c r="D451" s="3">
        <v>17475005590.380001</v>
      </c>
      <c r="E451" s="3">
        <v>0</v>
      </c>
      <c r="F451" s="3">
        <v>41.167000000000002</v>
      </c>
      <c r="G451" s="3">
        <v>167.81909999999999</v>
      </c>
      <c r="H451" s="3">
        <v>104.13</v>
      </c>
      <c r="I451" s="706"/>
      <c r="J451" s="707" t="str">
        <f t="shared" si="49"/>
        <v>Take-Two Interactive Software Inc</v>
      </c>
      <c r="K451" s="708" t="str">
        <f t="shared" si="49"/>
        <v>TTWO</v>
      </c>
      <c r="L451" s="709">
        <f t="shared" ref="L451:L502" si="50">D451/1000000</f>
        <v>17475.005590380002</v>
      </c>
      <c r="M451" s="710">
        <f t="shared" ref="M451:M502" si="51">IFERROR(E451/100,"0.00%")</f>
        <v>0</v>
      </c>
      <c r="N451" s="710">
        <f t="shared" ref="N451:N502" si="52">IFERROR(F451/100,"N/A")</f>
        <v>0.41167000000000004</v>
      </c>
      <c r="O451" s="711">
        <f t="shared" ref="O451:O502" si="53">IFERROR(M451*(1+0.5*N451)+N451,"N/A")</f>
        <v>0.41167000000000004</v>
      </c>
      <c r="P451" s="712">
        <f t="shared" ref="P451:P502" si="54">IF(N451="N/A","N/A",L451/$L$504)</f>
        <v>5.4569766446372096E-4</v>
      </c>
      <c r="Q451" s="713">
        <f t="shared" ref="Q451:Q502" si="55">IF(AND(ISNUMBER(L451),ISNUMBER(O451)),O451*P451,"N/A")</f>
        <v>2.2464735752978003E-4</v>
      </c>
    </row>
    <row r="452" spans="1:17">
      <c r="A452" s="3" t="s">
        <v>2083</v>
      </c>
      <c r="B452" s="3" t="s">
        <v>2726</v>
      </c>
      <c r="C452" s="3" t="s">
        <v>2084</v>
      </c>
      <c r="D452" s="3">
        <v>149948998256.64001</v>
      </c>
      <c r="E452" s="3">
        <v>2.8410604043094057</v>
      </c>
      <c r="F452" s="3">
        <v>10</v>
      </c>
      <c r="G452" s="3">
        <v>907.57169999999996</v>
      </c>
      <c r="H452" s="3">
        <v>165.22</v>
      </c>
      <c r="I452" s="706"/>
      <c r="J452" s="707" t="str">
        <f t="shared" ref="J452:K502" si="56">B452</f>
        <v>Texas Instruments Inc</v>
      </c>
      <c r="K452" s="708" t="str">
        <f t="shared" si="56"/>
        <v>TXN</v>
      </c>
      <c r="L452" s="709">
        <f t="shared" si="50"/>
        <v>149948.99825664001</v>
      </c>
      <c r="M452" s="710">
        <f t="shared" si="51"/>
        <v>2.8410604043094055E-2</v>
      </c>
      <c r="N452" s="710">
        <f t="shared" si="52"/>
        <v>0.1</v>
      </c>
      <c r="O452" s="711">
        <f t="shared" si="53"/>
        <v>0.12983113424524875</v>
      </c>
      <c r="P452" s="712">
        <f t="shared" si="54"/>
        <v>4.6825059777015881E-3</v>
      </c>
      <c r="Q452" s="713">
        <f t="shared" si="55"/>
        <v>6.0793506219515461E-4</v>
      </c>
    </row>
    <row r="453" spans="1:17">
      <c r="A453" s="3" t="s">
        <v>2085</v>
      </c>
      <c r="B453" s="3" t="s">
        <v>2727</v>
      </c>
      <c r="C453" s="3" t="s">
        <v>2086</v>
      </c>
      <c r="D453" s="3">
        <v>14781020217.599998</v>
      </c>
      <c r="E453" s="3">
        <v>0.11440677966101695</v>
      </c>
      <c r="F453" s="3">
        <v>15.22</v>
      </c>
      <c r="G453" s="3">
        <v>208.7715</v>
      </c>
      <c r="H453" s="3">
        <v>70.8</v>
      </c>
      <c r="I453" s="706"/>
      <c r="J453" s="707" t="str">
        <f t="shared" si="56"/>
        <v>Textron Inc</v>
      </c>
      <c r="K453" s="708" t="str">
        <f t="shared" si="56"/>
        <v>TXT</v>
      </c>
      <c r="L453" s="709">
        <f t="shared" si="50"/>
        <v>14781.020217599998</v>
      </c>
      <c r="M453" s="710">
        <f t="shared" si="51"/>
        <v>1.1440677966101695E-3</v>
      </c>
      <c r="N453" s="710">
        <f t="shared" si="52"/>
        <v>0.1522</v>
      </c>
      <c r="O453" s="711">
        <f t="shared" si="53"/>
        <v>0.1534311313559322</v>
      </c>
      <c r="P453" s="712">
        <f t="shared" si="54"/>
        <v>4.615717099155424E-4</v>
      </c>
      <c r="Q453" s="713">
        <f t="shared" si="55"/>
        <v>7.0819469654233812E-5</v>
      </c>
    </row>
    <row r="454" spans="1:17">
      <c r="A454" s="3" t="s">
        <v>3037</v>
      </c>
      <c r="B454" s="3" t="s">
        <v>3038</v>
      </c>
      <c r="C454" s="3" t="s">
        <v>3039</v>
      </c>
      <c r="D454" s="3">
        <v>13425119514.180002</v>
      </c>
      <c r="E454" s="3" t="s">
        <v>1483</v>
      </c>
      <c r="F454" s="3">
        <v>14.8</v>
      </c>
      <c r="G454" s="3">
        <v>41.639899999999997</v>
      </c>
      <c r="H454" s="3">
        <v>322.41000000000003</v>
      </c>
      <c r="I454" s="706"/>
      <c r="J454" s="707" t="str">
        <f t="shared" si="56"/>
        <v>Tyler Technologies Inc</v>
      </c>
      <c r="K454" s="708" t="str">
        <f t="shared" si="56"/>
        <v>TYL</v>
      </c>
      <c r="L454" s="709">
        <f t="shared" si="50"/>
        <v>13425.119514180002</v>
      </c>
      <c r="M454" s="710" t="str">
        <f t="shared" si="51"/>
        <v>0.00%</v>
      </c>
      <c r="N454" s="710">
        <f t="shared" si="52"/>
        <v>0.14800000000000002</v>
      </c>
      <c r="O454" s="711">
        <f t="shared" si="53"/>
        <v>0.14800000000000002</v>
      </c>
      <c r="P454" s="712">
        <f t="shared" si="54"/>
        <v>4.192305591059352E-4</v>
      </c>
      <c r="Q454" s="713">
        <f t="shared" si="55"/>
        <v>6.2046122747678418E-5</v>
      </c>
    </row>
    <row r="455" spans="1:17">
      <c r="A455" s="3" t="s">
        <v>2728</v>
      </c>
      <c r="B455" s="3" t="s">
        <v>2927</v>
      </c>
      <c r="C455" s="3" t="s">
        <v>2087</v>
      </c>
      <c r="D455" s="3">
        <v>12317678059.700001</v>
      </c>
      <c r="E455" s="3">
        <v>0</v>
      </c>
      <c r="F455" s="3" t="s">
        <v>1483</v>
      </c>
      <c r="G455" s="3">
        <v>326.72890000000001</v>
      </c>
      <c r="H455" s="3">
        <v>37.700000000000003</v>
      </c>
      <c r="I455" s="706"/>
      <c r="J455" s="707" t="str">
        <f t="shared" si="56"/>
        <v>United Airlines Holdings Inc</v>
      </c>
      <c r="K455" s="708" t="str">
        <f t="shared" si="56"/>
        <v>UAL</v>
      </c>
      <c r="L455" s="709">
        <f t="shared" si="50"/>
        <v>12317.678059700002</v>
      </c>
      <c r="M455" s="710">
        <f t="shared" si="51"/>
        <v>0</v>
      </c>
      <c r="N455" s="710" t="str">
        <f t="shared" si="52"/>
        <v>N/A</v>
      </c>
      <c r="O455" s="711" t="str">
        <f t="shared" si="53"/>
        <v>N/A</v>
      </c>
      <c r="P455" s="712" t="str">
        <f t="shared" si="54"/>
        <v>N/A</v>
      </c>
      <c r="Q455" s="713" t="str">
        <f t="shared" si="55"/>
        <v>N/A</v>
      </c>
    </row>
    <row r="456" spans="1:17">
      <c r="A456" s="3" t="s">
        <v>2088</v>
      </c>
      <c r="B456" s="3" t="s">
        <v>2729</v>
      </c>
      <c r="C456" s="3" t="s">
        <v>2089</v>
      </c>
      <c r="D456" s="3">
        <v>12608233139.4</v>
      </c>
      <c r="E456" s="3">
        <v>3.9091143816163187</v>
      </c>
      <c r="F456" s="3">
        <v>7.68</v>
      </c>
      <c r="G456" s="3">
        <v>325.54179999999997</v>
      </c>
      <c r="H456" s="3">
        <v>38.729999999999997</v>
      </c>
      <c r="I456" s="706"/>
      <c r="J456" s="707" t="str">
        <f t="shared" si="56"/>
        <v>UDR Inc</v>
      </c>
      <c r="K456" s="708" t="str">
        <f t="shared" si="56"/>
        <v>UDR</v>
      </c>
      <c r="L456" s="709">
        <f t="shared" si="50"/>
        <v>12608.233139399999</v>
      </c>
      <c r="M456" s="710">
        <f t="shared" si="51"/>
        <v>3.9091143816163187E-2</v>
      </c>
      <c r="N456" s="710">
        <f t="shared" si="52"/>
        <v>7.6799999999999993E-2</v>
      </c>
      <c r="O456" s="711">
        <f t="shared" si="53"/>
        <v>0.11739224373870386</v>
      </c>
      <c r="P456" s="712">
        <f t="shared" si="54"/>
        <v>3.9372138346967207E-4</v>
      </c>
      <c r="Q456" s="713">
        <f t="shared" si="55"/>
        <v>4.6219836613411427E-5</v>
      </c>
    </row>
    <row r="457" spans="1:17">
      <c r="A457" s="3" t="s">
        <v>2090</v>
      </c>
      <c r="B457" s="3" t="s">
        <v>2730</v>
      </c>
      <c r="C457" s="3" t="s">
        <v>2091</v>
      </c>
      <c r="D457" s="3">
        <v>10061015764.479998</v>
      </c>
      <c r="E457" s="3">
        <v>0.56639931861736115</v>
      </c>
      <c r="F457" s="3">
        <v>3.87</v>
      </c>
      <c r="G457" s="3">
        <v>64.157470000000004</v>
      </c>
      <c r="H457" s="3">
        <v>140.88999999999999</v>
      </c>
      <c r="I457" s="706"/>
      <c r="J457" s="707" t="str">
        <f t="shared" si="56"/>
        <v>Universal Health Services Inc</v>
      </c>
      <c r="K457" s="708" t="str">
        <f t="shared" si="56"/>
        <v>UHS</v>
      </c>
      <c r="L457" s="709">
        <f t="shared" si="50"/>
        <v>10061.015764479998</v>
      </c>
      <c r="M457" s="710">
        <f t="shared" si="51"/>
        <v>5.6639931861736112E-3</v>
      </c>
      <c r="N457" s="710">
        <f t="shared" si="52"/>
        <v>3.8699999999999998E-2</v>
      </c>
      <c r="O457" s="711">
        <f t="shared" si="53"/>
        <v>4.447359145432607E-2</v>
      </c>
      <c r="P457" s="712">
        <f t="shared" si="54"/>
        <v>3.141786007686207E-4</v>
      </c>
      <c r="Q457" s="713">
        <f t="shared" si="55"/>
        <v>1.3972650734275451E-5</v>
      </c>
    </row>
    <row r="458" spans="1:17">
      <c r="A458" s="3" t="s">
        <v>2092</v>
      </c>
      <c r="B458" s="3" t="s">
        <v>2731</v>
      </c>
      <c r="C458" s="3" t="s">
        <v>2093</v>
      </c>
      <c r="D458" s="3">
        <v>23866643252.970001</v>
      </c>
      <c r="E458" s="3">
        <v>0</v>
      </c>
      <c r="F458" s="3">
        <v>10.870000000000001</v>
      </c>
      <c r="G458" s="3">
        <v>50.880769999999998</v>
      </c>
      <c r="H458" s="3">
        <v>469.07</v>
      </c>
      <c r="I458" s="706"/>
      <c r="J458" s="707" t="str">
        <f t="shared" si="56"/>
        <v>Ulta Beauty Inc</v>
      </c>
      <c r="K458" s="708" t="str">
        <f t="shared" si="56"/>
        <v>ULTA</v>
      </c>
      <c r="L458" s="709">
        <f t="shared" si="50"/>
        <v>23866.64325297</v>
      </c>
      <c r="M458" s="710">
        <f t="shared" si="51"/>
        <v>0</v>
      </c>
      <c r="N458" s="710">
        <f t="shared" si="52"/>
        <v>0.1087</v>
      </c>
      <c r="O458" s="711">
        <f t="shared" si="53"/>
        <v>0.1087</v>
      </c>
      <c r="P458" s="712">
        <f t="shared" si="54"/>
        <v>7.4529140573804757E-4</v>
      </c>
      <c r="Q458" s="713">
        <f t="shared" si="55"/>
        <v>8.1013175803725776E-5</v>
      </c>
    </row>
    <row r="459" spans="1:17">
      <c r="A459" s="3" t="s">
        <v>2094</v>
      </c>
      <c r="B459" s="3" t="s">
        <v>2732</v>
      </c>
      <c r="C459" s="3" t="s">
        <v>2095</v>
      </c>
      <c r="D459" s="3">
        <v>495373191523.13995</v>
      </c>
      <c r="E459" s="3">
        <v>1.1707344675393263</v>
      </c>
      <c r="F459" s="3">
        <v>12.675000000000001</v>
      </c>
      <c r="G459" s="3">
        <v>934.34909999999991</v>
      </c>
      <c r="H459" s="3">
        <v>530.17999999999995</v>
      </c>
      <c r="I459" s="706"/>
      <c r="J459" s="707" t="str">
        <f t="shared" si="56"/>
        <v>UnitedHealth Group Inc</v>
      </c>
      <c r="K459" s="708" t="str">
        <f t="shared" si="56"/>
        <v>UNH</v>
      </c>
      <c r="L459" s="709">
        <f t="shared" si="50"/>
        <v>495373.19152313995</v>
      </c>
      <c r="M459" s="710">
        <f t="shared" si="51"/>
        <v>1.1707344675393264E-2</v>
      </c>
      <c r="N459" s="710">
        <f t="shared" si="52"/>
        <v>0.12675</v>
      </c>
      <c r="O459" s="711">
        <f t="shared" si="53"/>
        <v>0.13919929764419631</v>
      </c>
      <c r="P459" s="712">
        <f t="shared" si="54"/>
        <v>1.5469179237397811E-2</v>
      </c>
      <c r="Q459" s="713">
        <f t="shared" si="55"/>
        <v>2.1532988849779595E-3</v>
      </c>
    </row>
    <row r="460" spans="1:17">
      <c r="A460" s="3" t="s">
        <v>2096</v>
      </c>
      <c r="B460" s="3" t="s">
        <v>2733</v>
      </c>
      <c r="C460" s="3" t="s">
        <v>2097</v>
      </c>
      <c r="D460" s="3">
        <v>127306801656</v>
      </c>
      <c r="E460" s="3">
        <v>2.4537595982035061</v>
      </c>
      <c r="F460" s="3">
        <v>11</v>
      </c>
      <c r="G460" s="3">
        <v>614.80079999999998</v>
      </c>
      <c r="H460" s="3">
        <v>207.07</v>
      </c>
      <c r="I460" s="706"/>
      <c r="J460" s="707" t="str">
        <f t="shared" si="56"/>
        <v>Union Pacific Corp</v>
      </c>
      <c r="K460" s="708" t="str">
        <f t="shared" si="56"/>
        <v>UNP</v>
      </c>
      <c r="L460" s="709">
        <f t="shared" si="50"/>
        <v>127306.801656</v>
      </c>
      <c r="M460" s="710">
        <f t="shared" si="51"/>
        <v>2.453759598203506E-2</v>
      </c>
      <c r="N460" s="710">
        <f t="shared" si="52"/>
        <v>0.11</v>
      </c>
      <c r="O460" s="711">
        <f t="shared" si="53"/>
        <v>0.13588716376104698</v>
      </c>
      <c r="P460" s="712">
        <f t="shared" si="54"/>
        <v>3.9754507645061461E-3</v>
      </c>
      <c r="Q460" s="713">
        <f t="shared" si="55"/>
        <v>5.4021272906042605E-4</v>
      </c>
    </row>
    <row r="461" spans="1:17">
      <c r="A461" s="3" t="s">
        <v>2098</v>
      </c>
      <c r="B461" s="3" t="s">
        <v>2734</v>
      </c>
      <c r="C461" s="3" t="s">
        <v>2099</v>
      </c>
      <c r="D461" s="3">
        <v>150357372586.72</v>
      </c>
      <c r="E461" s="3">
        <v>3.4917165209387941</v>
      </c>
      <c r="F461" s="3">
        <v>5.0200000000000005</v>
      </c>
      <c r="G461" s="3">
        <v>729.82089999999994</v>
      </c>
      <c r="H461" s="3">
        <v>173.84</v>
      </c>
      <c r="I461" s="706"/>
      <c r="J461" s="707" t="str">
        <f t="shared" si="56"/>
        <v>United Parcel Service Inc</v>
      </c>
      <c r="K461" s="708" t="str">
        <f t="shared" si="56"/>
        <v>UPS</v>
      </c>
      <c r="L461" s="709">
        <f t="shared" si="50"/>
        <v>150357.37258672001</v>
      </c>
      <c r="M461" s="710">
        <f t="shared" si="51"/>
        <v>3.4917165209387944E-2</v>
      </c>
      <c r="N461" s="710">
        <f t="shared" si="52"/>
        <v>5.0200000000000002E-2</v>
      </c>
      <c r="O461" s="711">
        <f t="shared" si="53"/>
        <v>8.5993586056143573E-2</v>
      </c>
      <c r="P461" s="712">
        <f t="shared" si="54"/>
        <v>4.695258415290178E-3</v>
      </c>
      <c r="Q461" s="713">
        <f t="shared" si="55"/>
        <v>4.0376210859108822E-4</v>
      </c>
    </row>
    <row r="462" spans="1:17">
      <c r="A462" s="3" t="s">
        <v>2100</v>
      </c>
      <c r="B462" s="3" t="s">
        <v>2735</v>
      </c>
      <c r="C462" s="3" t="s">
        <v>2101</v>
      </c>
      <c r="D462" s="3">
        <v>24633620317.020004</v>
      </c>
      <c r="E462" s="3">
        <v>0</v>
      </c>
      <c r="F462" s="3">
        <v>15.46</v>
      </c>
      <c r="G462" s="3">
        <v>69.308480000000003</v>
      </c>
      <c r="H462" s="3">
        <v>355.42</v>
      </c>
      <c r="I462" s="706"/>
      <c r="J462" s="707" t="str">
        <f t="shared" si="56"/>
        <v>United Rentals Inc</v>
      </c>
      <c r="K462" s="708" t="str">
        <f t="shared" si="56"/>
        <v>URI</v>
      </c>
      <c r="L462" s="709">
        <f t="shared" si="50"/>
        <v>24633.620317020006</v>
      </c>
      <c r="M462" s="710">
        <f t="shared" si="51"/>
        <v>0</v>
      </c>
      <c r="N462" s="710">
        <f t="shared" si="52"/>
        <v>0.15460000000000002</v>
      </c>
      <c r="O462" s="711">
        <f t="shared" si="53"/>
        <v>0.15460000000000002</v>
      </c>
      <c r="P462" s="712">
        <f t="shared" si="54"/>
        <v>7.6924204714898573E-4</v>
      </c>
      <c r="Q462" s="713">
        <f t="shared" si="55"/>
        <v>1.1892482048923321E-4</v>
      </c>
    </row>
    <row r="463" spans="1:17">
      <c r="A463" s="3" t="s">
        <v>2102</v>
      </c>
      <c r="B463" s="3" t="s">
        <v>2736</v>
      </c>
      <c r="C463" s="3" t="s">
        <v>2103</v>
      </c>
      <c r="D463" s="3">
        <v>66733851701.160004</v>
      </c>
      <c r="E463" s="3">
        <v>4.3086448062371021</v>
      </c>
      <c r="F463" s="3">
        <v>3.5329999999999999</v>
      </c>
      <c r="G463" s="3">
        <v>1530.242</v>
      </c>
      <c r="H463" s="3">
        <v>43.61</v>
      </c>
      <c r="I463" s="706"/>
      <c r="J463" s="707" t="str">
        <f t="shared" si="56"/>
        <v>US Bancorp</v>
      </c>
      <c r="K463" s="708" t="str">
        <f t="shared" si="56"/>
        <v>USB</v>
      </c>
      <c r="L463" s="709">
        <f>D463/1000000</f>
        <v>66733.851701160005</v>
      </c>
      <c r="M463" s="710">
        <f t="shared" si="51"/>
        <v>4.3086448062371024E-2</v>
      </c>
      <c r="N463" s="710">
        <f t="shared" si="52"/>
        <v>3.533E-2</v>
      </c>
      <c r="O463" s="711">
        <f t="shared" si="53"/>
        <v>7.9177570167392811E-2</v>
      </c>
      <c r="P463" s="712">
        <f t="shared" si="54"/>
        <v>2.0839196202625896E-3</v>
      </c>
      <c r="Q463" s="713">
        <f t="shared" si="55"/>
        <v>1.6499969195654776E-4</v>
      </c>
    </row>
    <row r="464" spans="1:17">
      <c r="A464" s="3" t="s">
        <v>2104</v>
      </c>
      <c r="B464" s="3" t="s">
        <v>2737</v>
      </c>
      <c r="C464" s="3" t="s">
        <v>2105</v>
      </c>
      <c r="D464" s="3">
        <v>442216920239.03888</v>
      </c>
      <c r="E464" s="3">
        <v>0.83509819021948406</v>
      </c>
      <c r="F464" s="3">
        <v>15.497</v>
      </c>
      <c r="G464" s="3">
        <v>1627.8529999999998</v>
      </c>
      <c r="H464" s="3">
        <v>207.76</v>
      </c>
      <c r="I464" s="706"/>
      <c r="J464" s="707" t="str">
        <f t="shared" si="56"/>
        <v>Visa Inc</v>
      </c>
      <c r="K464" s="708" t="str">
        <f t="shared" si="56"/>
        <v>V</v>
      </c>
      <c r="L464" s="709">
        <f t="shared" si="50"/>
        <v>442216.92023903888</v>
      </c>
      <c r="M464" s="710">
        <f t="shared" si="51"/>
        <v>8.35098190219484E-3</v>
      </c>
      <c r="N464" s="710">
        <f t="shared" si="52"/>
        <v>0.15497</v>
      </c>
      <c r="O464" s="711">
        <f t="shared" si="53"/>
        <v>0.1639680577348864</v>
      </c>
      <c r="P464" s="712">
        <f t="shared" si="54"/>
        <v>1.3809251122278786E-2</v>
      </c>
      <c r="Q464" s="713">
        <f t="shared" si="55"/>
        <v>2.2642760852933526E-3</v>
      </c>
    </row>
    <row r="465" spans="1:17">
      <c r="A465" s="3" t="s">
        <v>2106</v>
      </c>
      <c r="B465" s="3" t="s">
        <v>2738</v>
      </c>
      <c r="C465" s="3" t="s">
        <v>2107</v>
      </c>
      <c r="D465" s="3">
        <v>10728309606.85</v>
      </c>
      <c r="E465" s="3">
        <v>7.3451647953639991</v>
      </c>
      <c r="F465" s="3">
        <v>-2.423</v>
      </c>
      <c r="G465" s="3">
        <v>388.56610000000001</v>
      </c>
      <c r="H465" s="3">
        <v>27.61</v>
      </c>
      <c r="I465" s="706"/>
      <c r="J465" s="707" t="str">
        <f t="shared" si="56"/>
        <v>VF Corp</v>
      </c>
      <c r="K465" s="708" t="str">
        <f t="shared" si="56"/>
        <v>VFC</v>
      </c>
      <c r="L465" s="709">
        <f t="shared" si="50"/>
        <v>10728.30960685</v>
      </c>
      <c r="M465" s="710">
        <f t="shared" si="51"/>
        <v>7.3451647953639995E-2</v>
      </c>
      <c r="N465" s="710">
        <f t="shared" si="52"/>
        <v>-2.4230000000000002E-2</v>
      </c>
      <c r="O465" s="711">
        <f t="shared" si="53"/>
        <v>4.8331781238681648E-2</v>
      </c>
      <c r="P465" s="712">
        <f t="shared" si="54"/>
        <v>3.3501640190173113E-4</v>
      </c>
      <c r="Q465" s="713">
        <f t="shared" si="55"/>
        <v>1.6191939448084718E-5</v>
      </c>
    </row>
    <row r="466" spans="1:17">
      <c r="A466" s="3" t="s">
        <v>4336</v>
      </c>
      <c r="B466" s="3" t="s">
        <v>4337</v>
      </c>
      <c r="C466" s="3" t="s">
        <v>4338</v>
      </c>
      <c r="D466" s="3">
        <v>32314873373.999996</v>
      </c>
      <c r="E466" s="3">
        <v>4.5802469135802477</v>
      </c>
      <c r="F466" s="3">
        <v>6.8500000000000005</v>
      </c>
      <c r="G466" s="3">
        <v>997.37259999999992</v>
      </c>
      <c r="H466" s="3">
        <v>32.4</v>
      </c>
      <c r="I466" s="706"/>
      <c r="J466" s="707" t="str">
        <f t="shared" si="56"/>
        <v>VICI Properties Inc</v>
      </c>
      <c r="K466" s="708" t="str">
        <f t="shared" si="56"/>
        <v>VICI</v>
      </c>
      <c r="L466" s="709">
        <f t="shared" si="50"/>
        <v>32314.873373999995</v>
      </c>
      <c r="M466" s="710">
        <f t="shared" si="51"/>
        <v>4.5802469135802479E-2</v>
      </c>
      <c r="N466" s="710">
        <f t="shared" si="52"/>
        <v>6.8500000000000005E-2</v>
      </c>
      <c r="O466" s="711">
        <f t="shared" si="53"/>
        <v>0.11587120370370373</v>
      </c>
      <c r="P466" s="712">
        <f t="shared" si="54"/>
        <v>1.0091070264000538E-3</v>
      </c>
      <c r="Q466" s="713">
        <f t="shared" si="55"/>
        <v>1.1692644581483936E-4</v>
      </c>
    </row>
    <row r="467" spans="1:17">
      <c r="A467" s="3" t="s">
        <v>2108</v>
      </c>
      <c r="B467" s="3" t="s">
        <v>2739</v>
      </c>
      <c r="C467" s="3" t="s">
        <v>2109</v>
      </c>
      <c r="D467" s="3">
        <v>48907483047.080002</v>
      </c>
      <c r="E467" s="3">
        <v>3.1057859057228443</v>
      </c>
      <c r="F467" s="3">
        <v>10.654999999999999</v>
      </c>
      <c r="G467" s="3">
        <v>385.52330000000001</v>
      </c>
      <c r="H467" s="3">
        <v>126.86</v>
      </c>
      <c r="I467" s="706"/>
      <c r="J467" s="707" t="str">
        <f t="shared" si="56"/>
        <v>Valero Energy Corp</v>
      </c>
      <c r="K467" s="708" t="str">
        <f t="shared" si="56"/>
        <v>VLO</v>
      </c>
      <c r="L467" s="709">
        <f t="shared" si="50"/>
        <v>48907.483047080001</v>
      </c>
      <c r="M467" s="710">
        <f t="shared" si="51"/>
        <v>3.1057859057228444E-2</v>
      </c>
      <c r="N467" s="710">
        <f t="shared" si="52"/>
        <v>0.10654999999999999</v>
      </c>
      <c r="O467" s="711">
        <f t="shared" si="53"/>
        <v>0.13926246649850227</v>
      </c>
      <c r="P467" s="712">
        <f t="shared" si="54"/>
        <v>1.527249827506935E-3</v>
      </c>
      <c r="Q467" s="713">
        <f t="shared" si="55"/>
        <v>2.1268857793802791E-4</v>
      </c>
    </row>
    <row r="468" spans="1:17">
      <c r="A468" s="3" t="s">
        <v>2110</v>
      </c>
      <c r="B468" s="3" t="s">
        <v>2740</v>
      </c>
      <c r="C468" s="3" t="s">
        <v>2111</v>
      </c>
      <c r="D468" s="3">
        <v>23273321305.260002</v>
      </c>
      <c r="E468" s="3">
        <v>0.90742961567015012</v>
      </c>
      <c r="F468" s="3">
        <v>11.085000000000001</v>
      </c>
      <c r="G468" s="3">
        <v>132.90690000000001</v>
      </c>
      <c r="H468" s="3">
        <v>175.11</v>
      </c>
      <c r="I468" s="706"/>
      <c r="J468" s="707" t="str">
        <f t="shared" si="56"/>
        <v>Vulcan Materials Co</v>
      </c>
      <c r="K468" s="708" t="str">
        <f t="shared" si="56"/>
        <v>VMC</v>
      </c>
      <c r="L468" s="709">
        <f t="shared" si="50"/>
        <v>23273.32130526</v>
      </c>
      <c r="M468" s="710">
        <f t="shared" si="51"/>
        <v>9.0742961567015015E-3</v>
      </c>
      <c r="N468" s="710">
        <f t="shared" si="52"/>
        <v>0.11085</v>
      </c>
      <c r="O468" s="711">
        <f t="shared" si="53"/>
        <v>0.12042723902118668</v>
      </c>
      <c r="P468" s="712">
        <f t="shared" si="54"/>
        <v>7.2676354893904034E-4</v>
      </c>
      <c r="Q468" s="713">
        <f t="shared" si="55"/>
        <v>8.7522127619967714E-5</v>
      </c>
    </row>
    <row r="469" spans="1:17">
      <c r="A469" s="3" t="s">
        <v>2112</v>
      </c>
      <c r="B469" s="3" t="s">
        <v>2741</v>
      </c>
      <c r="C469" s="3" t="s">
        <v>2113</v>
      </c>
      <c r="D469" s="3">
        <v>3991705194.04</v>
      </c>
      <c r="E469" s="3">
        <v>10.187409899086978</v>
      </c>
      <c r="F469" s="3">
        <v>-43.57</v>
      </c>
      <c r="G469" s="3">
        <v>191.8167</v>
      </c>
      <c r="H469" s="3">
        <v>20.81</v>
      </c>
      <c r="I469" s="706"/>
      <c r="J469" s="707" t="str">
        <f t="shared" si="56"/>
        <v>Vornado Realty Trust</v>
      </c>
      <c r="K469" s="708" t="str">
        <f t="shared" si="56"/>
        <v>VNO</v>
      </c>
      <c r="L469" s="709">
        <f t="shared" si="50"/>
        <v>3991.7051940400002</v>
      </c>
      <c r="M469" s="710">
        <f t="shared" si="51"/>
        <v>0.10187409899086979</v>
      </c>
      <c r="N469" s="710">
        <f t="shared" si="52"/>
        <v>-0.43569999999999998</v>
      </c>
      <c r="O469" s="711">
        <f t="shared" si="53"/>
        <v>-0.35601917347429118</v>
      </c>
      <c r="P469" s="712">
        <f t="shared" si="54"/>
        <v>1.2465027209001108E-4</v>
      </c>
      <c r="Q469" s="713">
        <f t="shared" si="55"/>
        <v>-4.4377886842831253E-5</v>
      </c>
    </row>
    <row r="470" spans="1:17">
      <c r="A470" s="3" t="s">
        <v>2114</v>
      </c>
      <c r="B470" s="3" t="s">
        <v>2742</v>
      </c>
      <c r="C470" s="3" t="s">
        <v>1397</v>
      </c>
      <c r="D470" s="3">
        <v>27589962138.999996</v>
      </c>
      <c r="E470" s="3">
        <v>0.6971998639610022</v>
      </c>
      <c r="F470" s="3">
        <v>10.35</v>
      </c>
      <c r="G470" s="3">
        <v>156.3879</v>
      </c>
      <c r="H470" s="3">
        <v>176.42</v>
      </c>
      <c r="I470" s="706"/>
      <c r="J470" s="707" t="str">
        <f t="shared" si="56"/>
        <v>Verisk Analytics Inc</v>
      </c>
      <c r="K470" s="708" t="str">
        <f t="shared" si="56"/>
        <v>VRSK</v>
      </c>
      <c r="L470" s="709">
        <f t="shared" si="50"/>
        <v>27589.962138999996</v>
      </c>
      <c r="M470" s="710">
        <f t="shared" si="51"/>
        <v>6.9719986396100221E-3</v>
      </c>
      <c r="N470" s="710">
        <f t="shared" si="52"/>
        <v>0.10349999999999999</v>
      </c>
      <c r="O470" s="711">
        <f t="shared" si="53"/>
        <v>0.11083279956920984</v>
      </c>
      <c r="P470" s="712">
        <f t="shared" si="54"/>
        <v>8.6156069158472811E-4</v>
      </c>
      <c r="Q470" s="713">
        <f t="shared" si="55"/>
        <v>9.5489183447119982E-5</v>
      </c>
    </row>
    <row r="471" spans="1:17">
      <c r="A471" s="3" t="s">
        <v>2115</v>
      </c>
      <c r="B471" s="3" t="s">
        <v>2743</v>
      </c>
      <c r="C471" s="3" t="s">
        <v>2116</v>
      </c>
      <c r="D471" s="3">
        <v>21780020720.639999</v>
      </c>
      <c r="E471" s="3">
        <v>0</v>
      </c>
      <c r="F471" s="3">
        <v>8</v>
      </c>
      <c r="G471" s="3">
        <v>106.01649999999999</v>
      </c>
      <c r="H471" s="3">
        <v>205.44</v>
      </c>
      <c r="I471" s="706"/>
      <c r="J471" s="707" t="str">
        <f t="shared" si="56"/>
        <v>VeriSign Inc</v>
      </c>
      <c r="K471" s="708" t="str">
        <f t="shared" si="56"/>
        <v>VRSN</v>
      </c>
      <c r="L471" s="709">
        <f t="shared" si="50"/>
        <v>21780.020720640001</v>
      </c>
      <c r="M471" s="710">
        <f t="shared" si="51"/>
        <v>0</v>
      </c>
      <c r="N471" s="710">
        <f t="shared" si="52"/>
        <v>0.08</v>
      </c>
      <c r="O471" s="711">
        <f t="shared" si="53"/>
        <v>0.08</v>
      </c>
      <c r="P471" s="712">
        <f t="shared" si="54"/>
        <v>6.801317674981211E-4</v>
      </c>
      <c r="Q471" s="713">
        <f t="shared" si="55"/>
        <v>5.4410541399849691E-5</v>
      </c>
    </row>
    <row r="472" spans="1:17">
      <c r="A472" s="3" t="s">
        <v>2117</v>
      </c>
      <c r="B472" s="3" t="s">
        <v>2744</v>
      </c>
      <c r="C472" s="3" t="s">
        <v>2118</v>
      </c>
      <c r="D472" s="3">
        <v>74127357508.559998</v>
      </c>
      <c r="E472" s="3">
        <v>0</v>
      </c>
      <c r="F472" s="3">
        <v>16.330000000000002</v>
      </c>
      <c r="G472" s="3">
        <v>256.69149999999996</v>
      </c>
      <c r="H472" s="3">
        <v>288.77999999999997</v>
      </c>
      <c r="I472" s="706"/>
      <c r="J472" s="707" t="str">
        <f t="shared" si="56"/>
        <v>Vertex Pharmaceuticals Inc</v>
      </c>
      <c r="K472" s="708" t="str">
        <f t="shared" si="56"/>
        <v>VRTX</v>
      </c>
      <c r="L472" s="709">
        <f t="shared" si="50"/>
        <v>74127.357508560002</v>
      </c>
      <c r="M472" s="710">
        <f t="shared" si="51"/>
        <v>0</v>
      </c>
      <c r="N472" s="710">
        <f t="shared" si="52"/>
        <v>0.16330000000000003</v>
      </c>
      <c r="O472" s="711">
        <f t="shared" si="53"/>
        <v>0.16330000000000003</v>
      </c>
      <c r="P472" s="712">
        <f t="shared" si="54"/>
        <v>2.3147990228716622E-3</v>
      </c>
      <c r="Q472" s="713">
        <f t="shared" si="55"/>
        <v>3.7800668043494251E-4</v>
      </c>
    </row>
    <row r="473" spans="1:17">
      <c r="A473" s="3" t="s">
        <v>2119</v>
      </c>
      <c r="B473" s="3" t="s">
        <v>2745</v>
      </c>
      <c r="C473" s="3" t="s">
        <v>2120</v>
      </c>
      <c r="D473" s="3">
        <v>18007295224.25</v>
      </c>
      <c r="E473" s="3">
        <v>4.031076581576027</v>
      </c>
      <c r="F473" s="3">
        <v>5.14</v>
      </c>
      <c r="G473" s="3">
        <v>399.71799999999996</v>
      </c>
      <c r="H473" s="3">
        <v>45.05</v>
      </c>
      <c r="I473" s="706"/>
      <c r="J473" s="707" t="str">
        <f t="shared" si="56"/>
        <v>Ventas Inc</v>
      </c>
      <c r="K473" s="708" t="str">
        <f t="shared" si="56"/>
        <v>VTR</v>
      </c>
      <c r="L473" s="709">
        <f t="shared" si="50"/>
        <v>18007.29522425</v>
      </c>
      <c r="M473" s="710">
        <f>IFERROR(E473/100,"0.00%")</f>
        <v>4.031076581576027E-2</v>
      </c>
      <c r="N473" s="710">
        <f t="shared" si="52"/>
        <v>5.1399999999999994E-2</v>
      </c>
      <c r="O473" s="711">
        <f t="shared" si="53"/>
        <v>9.2746752497225304E-2</v>
      </c>
      <c r="P473" s="712">
        <f t="shared" si="54"/>
        <v>5.6231964541353027E-4</v>
      </c>
      <c r="Q473" s="713">
        <f t="shared" si="55"/>
        <v>5.215332097749619E-5</v>
      </c>
    </row>
    <row r="474" spans="1:17">
      <c r="A474" s="3" t="s">
        <v>3956</v>
      </c>
      <c r="B474" s="3" t="s">
        <v>3957</v>
      </c>
      <c r="C474" s="3" t="s">
        <v>3958</v>
      </c>
      <c r="D474" s="3">
        <v>13497179575.740002</v>
      </c>
      <c r="E474" s="3">
        <v>4.2497753818508537</v>
      </c>
      <c r="F474" s="3">
        <v>-3.04</v>
      </c>
      <c r="G474" s="3">
        <v>1212.6849999999999</v>
      </c>
      <c r="H474" s="3">
        <v>11.13</v>
      </c>
      <c r="I474" s="706"/>
      <c r="J474" s="707" t="str">
        <f t="shared" si="56"/>
        <v>Viatris Inc</v>
      </c>
      <c r="K474" s="708" t="str">
        <f t="shared" si="56"/>
        <v>VTRS</v>
      </c>
      <c r="L474" s="709">
        <f t="shared" si="50"/>
        <v>13497.179575740001</v>
      </c>
      <c r="M474" s="710">
        <f t="shared" si="51"/>
        <v>4.2497753818508538E-2</v>
      </c>
      <c r="N474" s="710">
        <f t="shared" si="52"/>
        <v>-3.04E-2</v>
      </c>
      <c r="O474" s="711">
        <f t="shared" si="53"/>
        <v>1.1451787960467207E-2</v>
      </c>
      <c r="P474" s="712">
        <f t="shared" si="54"/>
        <v>4.2148080200806343E-4</v>
      </c>
      <c r="Q474" s="713">
        <f t="shared" si="55"/>
        <v>4.8267087740040037E-6</v>
      </c>
    </row>
    <row r="475" spans="1:17">
      <c r="A475" s="3" t="s">
        <v>2121</v>
      </c>
      <c r="B475" s="3" t="s">
        <v>2746</v>
      </c>
      <c r="C475" s="3" t="s">
        <v>2122</v>
      </c>
      <c r="D475" s="3">
        <v>165472807411.80002</v>
      </c>
      <c r="E475" s="3">
        <v>6.5507614213197973</v>
      </c>
      <c r="F475" s="3">
        <v>1.1100000000000001</v>
      </c>
      <c r="G475" s="3">
        <v>4199.817</v>
      </c>
      <c r="H475" s="3">
        <v>39.4</v>
      </c>
      <c r="I475" s="706"/>
      <c r="J475" s="707" t="str">
        <f t="shared" si="56"/>
        <v>Verizon Communications Inc</v>
      </c>
      <c r="K475" s="708" t="str">
        <f t="shared" si="56"/>
        <v>VZ</v>
      </c>
      <c r="L475" s="709">
        <f t="shared" si="50"/>
        <v>165472.80741180002</v>
      </c>
      <c r="M475" s="710">
        <f t="shared" si="51"/>
        <v>6.5507614213197979E-2</v>
      </c>
      <c r="N475" s="710">
        <f t="shared" si="52"/>
        <v>1.11E-2</v>
      </c>
      <c r="O475" s="711">
        <f t="shared" si="53"/>
        <v>7.6971181472081221E-2</v>
      </c>
      <c r="P475" s="712">
        <f t="shared" si="54"/>
        <v>5.167272998561072E-3</v>
      </c>
      <c r="Q475" s="713">
        <f t="shared" si="55"/>
        <v>3.9773110768802957E-4</v>
      </c>
    </row>
    <row r="476" spans="1:17">
      <c r="A476" s="3" t="s">
        <v>2747</v>
      </c>
      <c r="B476" s="3" t="s">
        <v>2978</v>
      </c>
      <c r="C476" s="3" t="s">
        <v>2748</v>
      </c>
      <c r="D476" s="3">
        <v>18152231505.84</v>
      </c>
      <c r="E476" s="3">
        <v>0.59913836288948996</v>
      </c>
      <c r="F476" s="3">
        <v>10.465</v>
      </c>
      <c r="G476" s="3">
        <v>181.86789999999999</v>
      </c>
      <c r="H476" s="3">
        <v>99.81</v>
      </c>
      <c r="I476" s="706"/>
      <c r="J476" s="707" t="str">
        <f t="shared" si="56"/>
        <v>Westinghouse Air Brake Technologies Corp</v>
      </c>
      <c r="K476" s="708" t="str">
        <f t="shared" si="56"/>
        <v>WAB</v>
      </c>
      <c r="L476" s="709">
        <f t="shared" si="50"/>
        <v>18152.231505840002</v>
      </c>
      <c r="M476" s="710">
        <f t="shared" si="51"/>
        <v>5.9913836288949E-3</v>
      </c>
      <c r="N476" s="710">
        <f t="shared" si="52"/>
        <v>0.10464999999999999</v>
      </c>
      <c r="O476" s="711">
        <f t="shared" si="53"/>
        <v>0.11095488277727682</v>
      </c>
      <c r="P476" s="712">
        <f t="shared" si="54"/>
        <v>5.668456176629045E-4</v>
      </c>
      <c r="Q476" s="713">
        <f t="shared" si="55"/>
        <v>6.2894289060600649E-5</v>
      </c>
    </row>
    <row r="477" spans="1:17">
      <c r="A477" s="3" t="s">
        <v>2123</v>
      </c>
      <c r="B477" s="3" t="s">
        <v>2749</v>
      </c>
      <c r="C477" s="3" t="s">
        <v>2124</v>
      </c>
      <c r="D477" s="3">
        <v>20351847043.5</v>
      </c>
      <c r="E477" s="3">
        <v>0</v>
      </c>
      <c r="F477" s="3">
        <v>8.4529999999999994</v>
      </c>
      <c r="G477" s="3">
        <v>59.407579999999996</v>
      </c>
      <c r="H477" s="3">
        <v>342.58</v>
      </c>
      <c r="I477" s="706"/>
      <c r="J477" s="707" t="str">
        <f t="shared" si="56"/>
        <v>Waters Corp</v>
      </c>
      <c r="K477" s="708" t="str">
        <f t="shared" si="56"/>
        <v>WAT</v>
      </c>
      <c r="L477" s="709">
        <f t="shared" si="50"/>
        <v>20351.847043500002</v>
      </c>
      <c r="M477" s="710">
        <f t="shared" si="51"/>
        <v>0</v>
      </c>
      <c r="N477" s="710">
        <f t="shared" si="52"/>
        <v>8.4529999999999994E-2</v>
      </c>
      <c r="O477" s="711">
        <f t="shared" si="53"/>
        <v>8.4529999999999994E-2</v>
      </c>
      <c r="P477" s="712">
        <f t="shared" si="54"/>
        <v>6.3553372510934526E-4</v>
      </c>
      <c r="Q477" s="713">
        <f t="shared" si="55"/>
        <v>5.3721665783492949E-5</v>
      </c>
    </row>
    <row r="478" spans="1:17">
      <c r="A478" s="3" t="s">
        <v>2125</v>
      </c>
      <c r="B478" s="3" t="s">
        <v>2750</v>
      </c>
      <c r="C478" s="3" t="s">
        <v>2126</v>
      </c>
      <c r="D478" s="3">
        <v>32216806832.799999</v>
      </c>
      <c r="E478" s="3">
        <v>5.2542826552462527</v>
      </c>
      <c r="F478" s="3">
        <v>-0.32500000000000001</v>
      </c>
      <c r="G478" s="3">
        <v>862.33420000000001</v>
      </c>
      <c r="H478" s="3">
        <v>37.36</v>
      </c>
      <c r="I478" s="706"/>
      <c r="J478" s="707" t="str">
        <f t="shared" si="56"/>
        <v>Walgreens Boots Alliance Inc</v>
      </c>
      <c r="K478" s="708" t="str">
        <f t="shared" si="56"/>
        <v>WBA</v>
      </c>
      <c r="L478" s="709">
        <f t="shared" si="50"/>
        <v>32216.806832800001</v>
      </c>
      <c r="M478" s="710">
        <f t="shared" si="51"/>
        <v>5.2542826552462528E-2</v>
      </c>
      <c r="N478" s="710">
        <f t="shared" si="52"/>
        <v>-3.2500000000000003E-3</v>
      </c>
      <c r="O478" s="711">
        <f t="shared" si="53"/>
        <v>4.9207444459314777E-2</v>
      </c>
      <c r="P478" s="712">
        <f t="shared" si="54"/>
        <v>1.0060446707276566E-3</v>
      </c>
      <c r="Q478" s="713">
        <f t="shared" si="55"/>
        <v>4.9504887258420786E-5</v>
      </c>
    </row>
    <row r="479" spans="1:17">
      <c r="A479" s="3" t="s">
        <v>4339</v>
      </c>
      <c r="B479" s="3" t="s">
        <v>4340</v>
      </c>
      <c r="C479" s="3" t="s">
        <v>4341</v>
      </c>
      <c r="D479" s="3">
        <v>23021194222.200001</v>
      </c>
      <c r="E479" s="3" t="s">
        <v>1483</v>
      </c>
      <c r="F479" s="3" t="s">
        <v>1483</v>
      </c>
      <c r="G479" s="3">
        <v>2428.3959999999997</v>
      </c>
      <c r="H479" s="3">
        <v>9.48</v>
      </c>
      <c r="I479" s="706"/>
      <c r="J479" s="707" t="str">
        <f t="shared" si="56"/>
        <v>Warner Bros Discovery Inc</v>
      </c>
      <c r="K479" s="708" t="str">
        <f t="shared" si="56"/>
        <v>WBD</v>
      </c>
      <c r="L479" s="709">
        <f t="shared" si="50"/>
        <v>23021.1942222</v>
      </c>
      <c r="M479" s="710" t="str">
        <f t="shared" si="51"/>
        <v>0.00%</v>
      </c>
      <c r="N479" s="710" t="str">
        <f t="shared" si="52"/>
        <v>N/A</v>
      </c>
      <c r="O479" s="711" t="str">
        <f t="shared" si="53"/>
        <v>N/A</v>
      </c>
      <c r="P479" s="712" t="str">
        <f t="shared" si="54"/>
        <v>N/A</v>
      </c>
      <c r="Q479" s="713" t="str">
        <f t="shared" si="55"/>
        <v>N/A</v>
      </c>
    </row>
    <row r="480" spans="1:17">
      <c r="A480" s="3" t="s">
        <v>2127</v>
      </c>
      <c r="B480" s="3" t="s">
        <v>2751</v>
      </c>
      <c r="C480" s="3" t="s">
        <v>2128</v>
      </c>
      <c r="D480" s="3">
        <v>10021866807.25</v>
      </c>
      <c r="E480" s="3">
        <v>0</v>
      </c>
      <c r="F480" s="3">
        <v>-4.6770000000000005</v>
      </c>
      <c r="G480" s="3">
        <v>317.65029999999996</v>
      </c>
      <c r="H480" s="3">
        <v>31.55</v>
      </c>
      <c r="I480" s="706"/>
      <c r="J480" s="707" t="str">
        <f t="shared" si="56"/>
        <v>Western Digital Corp</v>
      </c>
      <c r="K480" s="708" t="str">
        <f t="shared" si="56"/>
        <v>WDC</v>
      </c>
      <c r="L480" s="709">
        <f t="shared" si="50"/>
        <v>10021.86680725</v>
      </c>
      <c r="M480" s="710">
        <f t="shared" si="51"/>
        <v>0</v>
      </c>
      <c r="N480" s="710">
        <f t="shared" si="52"/>
        <v>-4.6770000000000006E-2</v>
      </c>
      <c r="O480" s="711">
        <f t="shared" si="53"/>
        <v>-4.6770000000000006E-2</v>
      </c>
      <c r="P480" s="712">
        <f t="shared" si="54"/>
        <v>3.1295608359023643E-4</v>
      </c>
      <c r="Q480" s="713">
        <f t="shared" si="55"/>
        <v>-1.463695602951536E-5</v>
      </c>
    </row>
    <row r="481" spans="1:17">
      <c r="A481" s="3" t="s">
        <v>2129</v>
      </c>
      <c r="B481" s="3" t="s">
        <v>2752</v>
      </c>
      <c r="C481" s="3" t="s">
        <v>217</v>
      </c>
      <c r="D481" s="3">
        <v>29575141626.560001</v>
      </c>
      <c r="E481" s="3">
        <v>3.1015358361774745</v>
      </c>
      <c r="F481" s="3">
        <v>6.7700000000000005</v>
      </c>
      <c r="G481" s="3">
        <v>315.43450000000001</v>
      </c>
      <c r="H481" s="3">
        <v>93.76</v>
      </c>
      <c r="I481" s="706"/>
      <c r="J481" s="707" t="str">
        <f t="shared" si="56"/>
        <v>WEC Energy Group Inc</v>
      </c>
      <c r="K481" s="708" t="str">
        <f t="shared" si="56"/>
        <v>WEC</v>
      </c>
      <c r="L481" s="709">
        <f t="shared" si="50"/>
        <v>29575.141626560002</v>
      </c>
      <c r="M481" s="710">
        <f t="shared" si="51"/>
        <v>3.1015358361774745E-2</v>
      </c>
      <c r="N481" s="710">
        <f t="shared" si="52"/>
        <v>6.770000000000001E-2</v>
      </c>
      <c r="O481" s="711">
        <f t="shared" si="53"/>
        <v>9.9765228242320828E-2</v>
      </c>
      <c r="P481" s="712">
        <f t="shared" si="54"/>
        <v>9.2355253498071208E-4</v>
      </c>
      <c r="Q481" s="713">
        <f t="shared" si="55"/>
        <v>9.213842944612473E-5</v>
      </c>
    </row>
    <row r="482" spans="1:17">
      <c r="A482" s="3" t="s">
        <v>2317</v>
      </c>
      <c r="B482" s="3" t="s">
        <v>2753</v>
      </c>
      <c r="C482" s="3" t="s">
        <v>2318</v>
      </c>
      <c r="D482" s="3">
        <v>30973780785.300003</v>
      </c>
      <c r="E482" s="3">
        <v>3.7498093058733795</v>
      </c>
      <c r="F482" s="3">
        <v>5.49</v>
      </c>
      <c r="G482" s="3">
        <v>472.52139999999997</v>
      </c>
      <c r="H482" s="3">
        <v>65.55</v>
      </c>
      <c r="I482" s="706"/>
      <c r="J482" s="707" t="str">
        <f t="shared" si="56"/>
        <v>Welltower Inc</v>
      </c>
      <c r="K482" s="708" t="str">
        <f t="shared" si="56"/>
        <v>WELL</v>
      </c>
      <c r="L482" s="709">
        <f t="shared" si="50"/>
        <v>30973.780785300001</v>
      </c>
      <c r="M482" s="710">
        <f t="shared" si="51"/>
        <v>3.7498093058733792E-2</v>
      </c>
      <c r="N482" s="710">
        <f t="shared" si="52"/>
        <v>5.4900000000000004E-2</v>
      </c>
      <c r="O482" s="711">
        <f t="shared" si="53"/>
        <v>9.3427415713196044E-2</v>
      </c>
      <c r="P482" s="712">
        <f t="shared" si="54"/>
        <v>9.6722829338917189E-4</v>
      </c>
      <c r="Q482" s="713">
        <f t="shared" si="55"/>
        <v>9.0365639856035309E-5</v>
      </c>
    </row>
    <row r="483" spans="1:17">
      <c r="A483" s="3" t="s">
        <v>2130</v>
      </c>
      <c r="B483" s="3" t="s">
        <v>2754</v>
      </c>
      <c r="C483" s="3" t="s">
        <v>2131</v>
      </c>
      <c r="D483" s="3">
        <v>157335169178.42001</v>
      </c>
      <c r="E483" s="3">
        <v>2.637442480019375</v>
      </c>
      <c r="F483" s="3">
        <v>13.41</v>
      </c>
      <c r="G483" s="3">
        <v>3810.491</v>
      </c>
      <c r="H483" s="3">
        <v>41.29</v>
      </c>
      <c r="I483" s="706"/>
      <c r="J483" s="707" t="str">
        <f t="shared" si="56"/>
        <v>Wells Fargo &amp; Co</v>
      </c>
      <c r="K483" s="708" t="str">
        <f t="shared" si="56"/>
        <v>WFC</v>
      </c>
      <c r="L483" s="709">
        <f t="shared" si="50"/>
        <v>157335.16917842001</v>
      </c>
      <c r="M483" s="710">
        <f t="shared" si="51"/>
        <v>2.6374424800193749E-2</v>
      </c>
      <c r="N483" s="710">
        <f t="shared" si="52"/>
        <v>0.1341</v>
      </c>
      <c r="O483" s="711">
        <f t="shared" si="53"/>
        <v>0.16224282998304673</v>
      </c>
      <c r="P483" s="712">
        <f t="shared" si="54"/>
        <v>4.9131563314596454E-3</v>
      </c>
      <c r="Q483" s="713">
        <f t="shared" si="55"/>
        <v>7.9712438736513689E-4</v>
      </c>
    </row>
    <row r="484" spans="1:17">
      <c r="A484" s="3" t="s">
        <v>2132</v>
      </c>
      <c r="B484" s="3" t="s">
        <v>2755</v>
      </c>
      <c r="C484" s="3" t="s">
        <v>2133</v>
      </c>
      <c r="D484" s="3">
        <v>7706507956.8400002</v>
      </c>
      <c r="E484" s="3">
        <v>4.9483953060935955</v>
      </c>
      <c r="F484" s="3">
        <v>-2.8000000000000003</v>
      </c>
      <c r="G484" s="3">
        <v>54.478349999999999</v>
      </c>
      <c r="H484" s="3">
        <v>141.46</v>
      </c>
      <c r="I484" s="706"/>
      <c r="J484" s="707" t="str">
        <f t="shared" si="56"/>
        <v>Whirlpool Corp</v>
      </c>
      <c r="K484" s="708" t="str">
        <f t="shared" si="56"/>
        <v>WHR</v>
      </c>
      <c r="L484" s="709">
        <f t="shared" si="50"/>
        <v>7706.5079568400006</v>
      </c>
      <c r="M484" s="710">
        <f t="shared" si="51"/>
        <v>4.9483953060935955E-2</v>
      </c>
      <c r="N484" s="710">
        <f t="shared" si="52"/>
        <v>-2.8000000000000004E-2</v>
      </c>
      <c r="O484" s="711">
        <f t="shared" si="53"/>
        <v>2.0791177718082844E-2</v>
      </c>
      <c r="P484" s="712">
        <f t="shared" si="54"/>
        <v>2.4065362219590693E-4</v>
      </c>
      <c r="Q484" s="713">
        <f t="shared" si="55"/>
        <v>5.0034722275754672E-6</v>
      </c>
    </row>
    <row r="485" spans="1:17">
      <c r="A485" s="3" t="s">
        <v>2134</v>
      </c>
      <c r="B485" s="3" t="s">
        <v>2757</v>
      </c>
      <c r="C485" s="3" t="s">
        <v>2135</v>
      </c>
      <c r="D485" s="3">
        <v>64395646820.480003</v>
      </c>
      <c r="E485" s="3">
        <v>1.4864864864864864</v>
      </c>
      <c r="F485" s="3">
        <v>11.73</v>
      </c>
      <c r="G485" s="3">
        <v>410.47710000000001</v>
      </c>
      <c r="H485" s="3">
        <v>156.88</v>
      </c>
      <c r="I485" s="706"/>
      <c r="J485" s="707" t="str">
        <f t="shared" si="56"/>
        <v>Waste Management Inc</v>
      </c>
      <c r="K485" s="708" t="str">
        <f t="shared" si="56"/>
        <v>WM</v>
      </c>
      <c r="L485" s="709">
        <f t="shared" si="50"/>
        <v>64395.646820480004</v>
      </c>
      <c r="M485" s="710">
        <f t="shared" si="51"/>
        <v>1.4864864864864864E-2</v>
      </c>
      <c r="N485" s="710">
        <f t="shared" si="52"/>
        <v>0.1173</v>
      </c>
      <c r="O485" s="711">
        <f t="shared" si="53"/>
        <v>0.13303668918918921</v>
      </c>
      <c r="P485" s="712">
        <f t="shared" si="54"/>
        <v>2.0109037384749948E-3</v>
      </c>
      <c r="Q485" s="713">
        <f t="shared" si="55"/>
        <v>2.675239756448765E-4</v>
      </c>
    </row>
    <row r="486" spans="1:17">
      <c r="A486" s="3" t="s">
        <v>2136</v>
      </c>
      <c r="B486" s="3" t="s">
        <v>2758</v>
      </c>
      <c r="C486" s="3" t="s">
        <v>2137</v>
      </c>
      <c r="D486" s="3">
        <v>40083380341.199997</v>
      </c>
      <c r="E486" s="3">
        <v>5.179331306990882</v>
      </c>
      <c r="F486" s="3">
        <v>4.5</v>
      </c>
      <c r="G486" s="3">
        <v>1218.3399999999999</v>
      </c>
      <c r="H486" s="3">
        <v>32.9</v>
      </c>
      <c r="I486" s="706"/>
      <c r="J486" s="707" t="str">
        <f t="shared" si="56"/>
        <v>Williams Cos Inc/The</v>
      </c>
      <c r="K486" s="708" t="str">
        <f t="shared" si="56"/>
        <v>WMB</v>
      </c>
      <c r="L486" s="709">
        <f t="shared" si="50"/>
        <v>40083.380341199998</v>
      </c>
      <c r="M486" s="710">
        <f t="shared" si="51"/>
        <v>5.1793313069908822E-2</v>
      </c>
      <c r="N486" s="710">
        <f t="shared" si="52"/>
        <v>4.4999999999999998E-2</v>
      </c>
      <c r="O486" s="711">
        <f t="shared" si="53"/>
        <v>9.795866261398177E-2</v>
      </c>
      <c r="P486" s="712">
        <f t="shared" si="54"/>
        <v>1.251696711790764E-3</v>
      </c>
      <c r="Q486" s="713">
        <f t="shared" si="55"/>
        <v>1.2261453588534183E-4</v>
      </c>
    </row>
    <row r="487" spans="1:17">
      <c r="A487" s="3" t="s">
        <v>2138</v>
      </c>
      <c r="B487" s="3" t="s">
        <v>2759</v>
      </c>
      <c r="C487" s="3" t="s">
        <v>2139</v>
      </c>
      <c r="D487" s="3">
        <v>382379279656.65991</v>
      </c>
      <c r="E487" s="3">
        <v>1.5924959447069611</v>
      </c>
      <c r="F487" s="3">
        <v>6</v>
      </c>
      <c r="G487" s="3">
        <v>2696.7999999999997</v>
      </c>
      <c r="H487" s="3">
        <v>141.79</v>
      </c>
      <c r="I487" s="706"/>
      <c r="J487" s="707" t="str">
        <f t="shared" si="56"/>
        <v>Walmart Inc</v>
      </c>
      <c r="K487" s="708" t="str">
        <f t="shared" si="56"/>
        <v>WMT</v>
      </c>
      <c r="L487" s="709">
        <f t="shared" si="50"/>
        <v>382379.27965665993</v>
      </c>
      <c r="M487" s="710">
        <f t="shared" si="51"/>
        <v>1.5924959447069609E-2</v>
      </c>
      <c r="N487" s="710">
        <f t="shared" si="52"/>
        <v>0.06</v>
      </c>
      <c r="O487" s="711">
        <f t="shared" si="53"/>
        <v>7.6402708230481703E-2</v>
      </c>
      <c r="P487" s="712">
        <f t="shared" si="54"/>
        <v>1.1940681722175165E-2</v>
      </c>
      <c r="Q487" s="713">
        <f t="shared" si="55"/>
        <v>9.1230042169239487E-4</v>
      </c>
    </row>
    <row r="488" spans="1:17">
      <c r="A488" s="3" t="s">
        <v>2979</v>
      </c>
      <c r="B488" s="3" t="s">
        <v>3040</v>
      </c>
      <c r="C488" s="3" t="s">
        <v>2980</v>
      </c>
      <c r="D488" s="3">
        <v>19265602100.969997</v>
      </c>
      <c r="E488" s="3">
        <v>1.9539754719581093</v>
      </c>
      <c r="F488" s="3">
        <v>9.2669999999999995</v>
      </c>
      <c r="G488" s="3">
        <v>265.47609999999997</v>
      </c>
      <c r="H488" s="3">
        <v>72.569999999999993</v>
      </c>
      <c r="I488" s="706"/>
      <c r="J488" s="707" t="str">
        <f t="shared" si="56"/>
        <v>W R Berkley Corp</v>
      </c>
      <c r="K488" s="708" t="str">
        <f t="shared" si="56"/>
        <v>WRB</v>
      </c>
      <c r="L488" s="709">
        <f t="shared" si="50"/>
        <v>19265.602100969998</v>
      </c>
      <c r="M488" s="710">
        <f t="shared" si="51"/>
        <v>1.9539754719581092E-2</v>
      </c>
      <c r="N488" s="710">
        <f t="shared" si="52"/>
        <v>9.2669999999999988E-2</v>
      </c>
      <c r="O488" s="711">
        <f t="shared" si="53"/>
        <v>0.11311512925451286</v>
      </c>
      <c r="P488" s="712">
        <f t="shared" si="54"/>
        <v>6.0161320215967201E-4</v>
      </c>
      <c r="Q488" s="713">
        <f t="shared" si="55"/>
        <v>6.8051555123512672E-5</v>
      </c>
    </row>
    <row r="489" spans="1:17">
      <c r="A489" s="3" t="s">
        <v>2140</v>
      </c>
      <c r="B489" s="3" t="s">
        <v>2760</v>
      </c>
      <c r="C489" s="3" t="s">
        <v>2141</v>
      </c>
      <c r="D489" s="3">
        <v>8948854813.7999992</v>
      </c>
      <c r="E489" s="3">
        <v>3.3959044368600684</v>
      </c>
      <c r="F489" s="3">
        <v>-15.59</v>
      </c>
      <c r="G489" s="3">
        <v>254.51809999999998</v>
      </c>
      <c r="H489" s="3">
        <v>35.159999999999997</v>
      </c>
      <c r="I489" s="706"/>
      <c r="J489" s="707" t="str">
        <f t="shared" si="56"/>
        <v>Westrock Co</v>
      </c>
      <c r="K489" s="708" t="str">
        <f t="shared" si="56"/>
        <v>WRK</v>
      </c>
      <c r="L489" s="709">
        <f t="shared" si="50"/>
        <v>8948.8548137999987</v>
      </c>
      <c r="M489" s="710">
        <f t="shared" si="51"/>
        <v>3.3959044368600685E-2</v>
      </c>
      <c r="N489" s="710">
        <f t="shared" si="52"/>
        <v>-0.15590000000000001</v>
      </c>
      <c r="O489" s="711">
        <f t="shared" si="53"/>
        <v>-0.12458806313993175</v>
      </c>
      <c r="P489" s="712">
        <f t="shared" si="54"/>
        <v>2.7944879023122503E-4</v>
      </c>
      <c r="Q489" s="713">
        <f t="shared" si="55"/>
        <v>-3.4815983521705407E-5</v>
      </c>
    </row>
    <row r="490" spans="1:17">
      <c r="A490" s="3" t="s">
        <v>3041</v>
      </c>
      <c r="B490" s="3" t="s">
        <v>3042</v>
      </c>
      <c r="C490" s="3" t="s">
        <v>3019</v>
      </c>
      <c r="D490" s="3">
        <v>17423663490.450001</v>
      </c>
      <c r="E490" s="3">
        <v>0.30082855321861057</v>
      </c>
      <c r="F490" s="3">
        <v>11.08</v>
      </c>
      <c r="G490" s="3">
        <v>74.032989999999998</v>
      </c>
      <c r="H490" s="3">
        <v>235.35</v>
      </c>
      <c r="I490" s="706"/>
      <c r="J490" s="707" t="str">
        <f t="shared" si="56"/>
        <v>West Pharmaceutical Services Inc</v>
      </c>
      <c r="K490" s="708" t="str">
        <f t="shared" si="56"/>
        <v>WST</v>
      </c>
      <c r="L490" s="709">
        <f t="shared" si="50"/>
        <v>17423.663490450002</v>
      </c>
      <c r="M490" s="710">
        <f t="shared" si="51"/>
        <v>3.0082855321861058E-3</v>
      </c>
      <c r="N490" s="710">
        <f t="shared" si="52"/>
        <v>0.1108</v>
      </c>
      <c r="O490" s="711">
        <f t="shared" si="53"/>
        <v>0.11397494455066921</v>
      </c>
      <c r="P490" s="712">
        <f t="shared" si="54"/>
        <v>5.4409438806557854E-4</v>
      </c>
      <c r="Q490" s="713">
        <f t="shared" si="55"/>
        <v>6.2013127710104608E-5</v>
      </c>
    </row>
    <row r="491" spans="1:17">
      <c r="A491" s="3" t="s">
        <v>4342</v>
      </c>
      <c r="B491" s="3" t="s">
        <v>2756</v>
      </c>
      <c r="C491" s="3" t="s">
        <v>4343</v>
      </c>
      <c r="D491" s="3">
        <v>26472757344.18</v>
      </c>
      <c r="E491" s="3">
        <v>1.3431188159293481</v>
      </c>
      <c r="F491" s="3">
        <v>15.515000000000001</v>
      </c>
      <c r="G491" s="3">
        <v>108.2376</v>
      </c>
      <c r="H491" s="3">
        <v>244.58</v>
      </c>
      <c r="I491" s="706"/>
      <c r="J491" s="707" t="str">
        <f t="shared" si="56"/>
        <v>Willis Towers Watson PLC</v>
      </c>
      <c r="K491" s="708" t="str">
        <f t="shared" si="56"/>
        <v>WTW</v>
      </c>
      <c r="L491" s="709">
        <f t="shared" si="50"/>
        <v>26472.757344180001</v>
      </c>
      <c r="M491" s="710">
        <f t="shared" si="51"/>
        <v>1.3431188159293481E-2</v>
      </c>
      <c r="N491" s="710">
        <f t="shared" si="52"/>
        <v>0.15515000000000001</v>
      </c>
      <c r="O491" s="711">
        <f t="shared" si="53"/>
        <v>0.16962311258075069</v>
      </c>
      <c r="P491" s="712">
        <f t="shared" si="54"/>
        <v>8.2667337529130399E-4</v>
      </c>
      <c r="Q491" s="713">
        <f t="shared" si="55"/>
        <v>1.4022291100454601E-4</v>
      </c>
    </row>
    <row r="492" spans="1:17">
      <c r="A492" s="3" t="s">
        <v>2143</v>
      </c>
      <c r="B492" s="3" t="s">
        <v>2761</v>
      </c>
      <c r="C492" s="3" t="s">
        <v>2144</v>
      </c>
      <c r="D492" s="3">
        <v>22813427000</v>
      </c>
      <c r="E492" s="3">
        <v>5.9580645161290322</v>
      </c>
      <c r="F492" s="3">
        <v>-14</v>
      </c>
      <c r="G492" s="3">
        <v>735.91699999999992</v>
      </c>
      <c r="H492" s="3">
        <v>31</v>
      </c>
      <c r="I492" s="706"/>
      <c r="J492" s="707" t="str">
        <f t="shared" si="56"/>
        <v>Weyerhaeuser Co</v>
      </c>
      <c r="K492" s="708" t="str">
        <f t="shared" si="56"/>
        <v>WY</v>
      </c>
      <c r="L492" s="709">
        <f t="shared" si="50"/>
        <v>22813.427</v>
      </c>
      <c r="M492" s="710">
        <f t="shared" si="51"/>
        <v>5.9580645161290323E-2</v>
      </c>
      <c r="N492" s="710">
        <f t="shared" si="52"/>
        <v>-0.14000000000000001</v>
      </c>
      <c r="O492" s="711">
        <f t="shared" si="53"/>
        <v>-8.4590000000000026E-2</v>
      </c>
      <c r="P492" s="712">
        <f t="shared" si="54"/>
        <v>7.1240228038421346E-4</v>
      </c>
      <c r="Q492" s="713">
        <f t="shared" si="55"/>
        <v>-6.0262108897700638E-5</v>
      </c>
    </row>
    <row r="493" spans="1:17">
      <c r="A493" s="3" t="s">
        <v>2145</v>
      </c>
      <c r="B493" s="3" t="s">
        <v>2762</v>
      </c>
      <c r="C493" s="3" t="s">
        <v>2146</v>
      </c>
      <c r="D493" s="3">
        <v>9344971849.7700005</v>
      </c>
      <c r="E493" s="3">
        <v>0</v>
      </c>
      <c r="F493" s="3">
        <v>-152.72</v>
      </c>
      <c r="G493" s="3">
        <v>113.31359999999999</v>
      </c>
      <c r="H493" s="3">
        <v>82.47</v>
      </c>
      <c r="I493" s="706"/>
      <c r="J493" s="707" t="str">
        <f t="shared" si="56"/>
        <v>Wynn Resorts Ltd</v>
      </c>
      <c r="K493" s="708" t="str">
        <f t="shared" si="56"/>
        <v>WYNN</v>
      </c>
      <c r="L493" s="709">
        <f t="shared" si="50"/>
        <v>9344.9718497699996</v>
      </c>
      <c r="M493" s="710">
        <f t="shared" si="51"/>
        <v>0</v>
      </c>
      <c r="N493" s="710">
        <f t="shared" si="52"/>
        <v>-1.5271999999999999</v>
      </c>
      <c r="O493" s="711">
        <f t="shared" si="53"/>
        <v>-1.5271999999999999</v>
      </c>
      <c r="P493" s="712">
        <f t="shared" si="54"/>
        <v>2.9181846532318136E-4</v>
      </c>
      <c r="Q493" s="713">
        <f t="shared" si="55"/>
        <v>-4.4566516024156251E-4</v>
      </c>
    </row>
    <row r="494" spans="1:17">
      <c r="A494" s="3" t="s">
        <v>2308</v>
      </c>
      <c r="B494" s="3" t="s">
        <v>2763</v>
      </c>
      <c r="C494" s="3" t="s">
        <v>218</v>
      </c>
      <c r="D494" s="3">
        <v>38367592054.560005</v>
      </c>
      <c r="E494" s="3">
        <v>2.7742119526458424</v>
      </c>
      <c r="F494" s="3">
        <v>6.4649999999999999</v>
      </c>
      <c r="G494" s="3">
        <v>547.24849999999992</v>
      </c>
      <c r="H494" s="3">
        <v>70.11</v>
      </c>
      <c r="I494" s="706"/>
      <c r="J494" s="707" t="str">
        <f t="shared" si="56"/>
        <v>Xcel Energy Inc</v>
      </c>
      <c r="K494" s="708" t="str">
        <f t="shared" si="56"/>
        <v>XEL</v>
      </c>
      <c r="L494" s="709">
        <f t="shared" si="50"/>
        <v>38367.592054560002</v>
      </c>
      <c r="M494" s="710">
        <f t="shared" si="51"/>
        <v>2.7742119526458425E-2</v>
      </c>
      <c r="N494" s="710">
        <f t="shared" si="52"/>
        <v>6.4649999999999999E-2</v>
      </c>
      <c r="O494" s="711">
        <f t="shared" si="53"/>
        <v>9.3288883540151191E-2</v>
      </c>
      <c r="P494" s="712">
        <f t="shared" si="54"/>
        <v>1.1981172347547686E-3</v>
      </c>
      <c r="Q494" s="713">
        <f t="shared" si="55"/>
        <v>1.1177101918048559E-4</v>
      </c>
    </row>
    <row r="495" spans="1:17">
      <c r="A495" s="3" t="s">
        <v>2147</v>
      </c>
      <c r="B495" s="3" t="s">
        <v>2764</v>
      </c>
      <c r="C495" s="3" t="s">
        <v>2148</v>
      </c>
      <c r="D495" s="3">
        <v>454247764336.30005</v>
      </c>
      <c r="E495" s="3">
        <v>3.2638259292837715</v>
      </c>
      <c r="F495" s="3">
        <v>23.382999999999999</v>
      </c>
      <c r="G495" s="3">
        <v>4118.2929999999997</v>
      </c>
      <c r="H495" s="3">
        <v>110.3</v>
      </c>
      <c r="I495" s="706"/>
      <c r="J495" s="707" t="str">
        <f t="shared" si="56"/>
        <v>Exxon Mobil Corp</v>
      </c>
      <c r="K495" s="708" t="str">
        <f t="shared" si="56"/>
        <v>XOM</v>
      </c>
      <c r="L495" s="709">
        <f t="shared" si="50"/>
        <v>454247.76433630002</v>
      </c>
      <c r="M495" s="710">
        <f t="shared" si="51"/>
        <v>3.2638259292837715E-2</v>
      </c>
      <c r="N495" s="710">
        <f t="shared" si="52"/>
        <v>0.23382999999999998</v>
      </c>
      <c r="O495" s="711">
        <f t="shared" si="53"/>
        <v>0.27028416137805983</v>
      </c>
      <c r="P495" s="712">
        <f t="shared" si="54"/>
        <v>1.418494219095671E-2</v>
      </c>
      <c r="Q495" s="713">
        <f t="shared" si="55"/>
        <v>3.833965204278993E-3</v>
      </c>
    </row>
    <row r="496" spans="1:17">
      <c r="A496" s="3" t="s">
        <v>2149</v>
      </c>
      <c r="B496" s="3" t="s">
        <v>2765</v>
      </c>
      <c r="C496" s="3" t="s">
        <v>2150</v>
      </c>
      <c r="D496" s="3">
        <v>6842794450.2400007</v>
      </c>
      <c r="E496" s="3">
        <v>1.4855527638190955</v>
      </c>
      <c r="F496" s="3" t="s">
        <v>1483</v>
      </c>
      <c r="G496" s="3">
        <v>214.9119</v>
      </c>
      <c r="H496" s="3">
        <v>31.84</v>
      </c>
      <c r="I496" s="706"/>
      <c r="J496" s="707" t="str">
        <f t="shared" si="56"/>
        <v>DENTSPLY SIRONA Inc</v>
      </c>
      <c r="K496" s="708" t="str">
        <f t="shared" si="56"/>
        <v>XRAY</v>
      </c>
      <c r="L496" s="709">
        <f t="shared" si="50"/>
        <v>6842.7944502400005</v>
      </c>
      <c r="M496" s="710">
        <f t="shared" si="51"/>
        <v>1.4855527638190955E-2</v>
      </c>
      <c r="N496" s="710" t="str">
        <f t="shared" si="52"/>
        <v>N/A</v>
      </c>
      <c r="O496" s="711" t="str">
        <f t="shared" si="53"/>
        <v>N/A</v>
      </c>
      <c r="P496" s="712" t="str">
        <f t="shared" si="54"/>
        <v>N/A</v>
      </c>
      <c r="Q496" s="713" t="str">
        <f t="shared" si="55"/>
        <v>N/A</v>
      </c>
    </row>
    <row r="497" spans="1:17">
      <c r="A497" s="3" t="s">
        <v>2151</v>
      </c>
      <c r="B497" s="3" t="s">
        <v>2766</v>
      </c>
      <c r="C497" s="3" t="s">
        <v>2152</v>
      </c>
      <c r="D497" s="3">
        <v>19927094793.239998</v>
      </c>
      <c r="E497" s="3">
        <v>1.0834765307045311</v>
      </c>
      <c r="F497" s="3" t="s">
        <v>1483</v>
      </c>
      <c r="G497" s="3">
        <v>180.22149999999999</v>
      </c>
      <c r="H497" s="3">
        <v>110.57</v>
      </c>
      <c r="I497" s="706"/>
      <c r="J497" s="707" t="str">
        <f t="shared" si="56"/>
        <v>Xylem Inc/NY</v>
      </c>
      <c r="K497" s="708" t="str">
        <f t="shared" si="56"/>
        <v>XYL</v>
      </c>
      <c r="L497" s="709">
        <f t="shared" si="50"/>
        <v>19927.094793239998</v>
      </c>
      <c r="M497" s="710">
        <f t="shared" si="51"/>
        <v>1.0834765307045311E-2</v>
      </c>
      <c r="N497" s="710" t="str">
        <f t="shared" si="52"/>
        <v>N/A</v>
      </c>
      <c r="O497" s="711" t="str">
        <f t="shared" si="53"/>
        <v>N/A</v>
      </c>
      <c r="P497" s="712" t="str">
        <f t="shared" si="54"/>
        <v>N/A</v>
      </c>
      <c r="Q497" s="713" t="str">
        <f t="shared" si="55"/>
        <v>N/A</v>
      </c>
    </row>
    <row r="498" spans="1:17">
      <c r="A498" s="3" t="s">
        <v>2153</v>
      </c>
      <c r="B498" s="3" t="s">
        <v>2767</v>
      </c>
      <c r="C498" s="3" t="s">
        <v>2154</v>
      </c>
      <c r="D498" s="3">
        <v>36078581877.280006</v>
      </c>
      <c r="E498" s="3">
        <v>1.778575890068707</v>
      </c>
      <c r="F498" s="3">
        <v>12.143000000000001</v>
      </c>
      <c r="G498" s="3">
        <v>281.68790000000001</v>
      </c>
      <c r="H498" s="3">
        <v>128.08000000000001</v>
      </c>
      <c r="I498" s="706"/>
      <c r="J498" s="707" t="str">
        <f t="shared" si="56"/>
        <v>Yum! Brands Inc</v>
      </c>
      <c r="K498" s="708" t="str">
        <f t="shared" si="56"/>
        <v>YUM</v>
      </c>
      <c r="L498" s="709">
        <f t="shared" si="50"/>
        <v>36078.581877280005</v>
      </c>
      <c r="M498" s="710">
        <f t="shared" si="51"/>
        <v>1.7785758900687069E-2</v>
      </c>
      <c r="N498" s="710">
        <f t="shared" si="52"/>
        <v>0.12143000000000001</v>
      </c>
      <c r="O498" s="711">
        <f t="shared" si="53"/>
        <v>0.1402956212523423</v>
      </c>
      <c r="P498" s="712">
        <f t="shared" si="54"/>
        <v>1.1266375719177497E-3</v>
      </c>
      <c r="Q498" s="713">
        <f t="shared" si="55"/>
        <v>1.5806231807843115E-4</v>
      </c>
    </row>
    <row r="499" spans="1:17">
      <c r="A499" s="3" t="s">
        <v>2155</v>
      </c>
      <c r="B499" s="3" t="s">
        <v>2768</v>
      </c>
      <c r="C499" s="3" t="s">
        <v>2156</v>
      </c>
      <c r="D499" s="3">
        <v>26756179980</v>
      </c>
      <c r="E499" s="3">
        <v>0.74745098039215696</v>
      </c>
      <c r="F499" s="3">
        <v>5.657</v>
      </c>
      <c r="G499" s="3">
        <v>209.85239999999999</v>
      </c>
      <c r="H499" s="3">
        <v>127.5</v>
      </c>
      <c r="I499" s="706"/>
      <c r="J499" s="707" t="str">
        <f t="shared" si="56"/>
        <v>Zimmer Biomet Holdings Inc</v>
      </c>
      <c r="K499" s="708" t="str">
        <f t="shared" si="56"/>
        <v>ZBH</v>
      </c>
      <c r="L499" s="709">
        <f t="shared" si="50"/>
        <v>26756.179980000001</v>
      </c>
      <c r="M499" s="710">
        <f t="shared" si="51"/>
        <v>7.4745098039215698E-3</v>
      </c>
      <c r="N499" s="710">
        <f t="shared" si="52"/>
        <v>5.6570000000000002E-2</v>
      </c>
      <c r="O499" s="711">
        <f t="shared" si="53"/>
        <v>6.4255926313725495E-2</v>
      </c>
      <c r="P499" s="712">
        <f t="shared" si="54"/>
        <v>8.3552390581750121E-4</v>
      </c>
      <c r="Q499" s="713">
        <f t="shared" si="55"/>
        <v>5.3687362525565478E-5</v>
      </c>
    </row>
    <row r="500" spans="1:17">
      <c r="A500" s="3" t="s">
        <v>2981</v>
      </c>
      <c r="B500" s="3" t="s">
        <v>2982</v>
      </c>
      <c r="C500" s="3" t="s">
        <v>2983</v>
      </c>
      <c r="D500" s="3">
        <v>13238396505.180002</v>
      </c>
      <c r="E500" s="3" t="s">
        <v>1483</v>
      </c>
      <c r="F500" s="3" t="s">
        <v>1483</v>
      </c>
      <c r="G500" s="3">
        <v>51.629799999999996</v>
      </c>
      <c r="H500" s="3">
        <v>256.41000000000003</v>
      </c>
      <c r="I500" s="706"/>
      <c r="J500" s="707" t="str">
        <f t="shared" si="56"/>
        <v>Zebra Technologies Corp</v>
      </c>
      <c r="K500" s="708" t="str">
        <f t="shared" si="56"/>
        <v>ZBRA</v>
      </c>
      <c r="L500" s="709">
        <f t="shared" si="50"/>
        <v>13238.396505180002</v>
      </c>
      <c r="M500" s="710" t="str">
        <f t="shared" si="51"/>
        <v>0.00%</v>
      </c>
      <c r="N500" s="710" t="str">
        <f t="shared" si="52"/>
        <v>N/A</v>
      </c>
      <c r="O500" s="711" t="str">
        <f t="shared" si="53"/>
        <v>N/A</v>
      </c>
      <c r="P500" s="712" t="str">
        <f t="shared" si="54"/>
        <v>N/A</v>
      </c>
      <c r="Q500" s="713" t="str">
        <f t="shared" si="55"/>
        <v>N/A</v>
      </c>
    </row>
    <row r="501" spans="1:17">
      <c r="A501" s="3" t="s">
        <v>2157</v>
      </c>
      <c r="B501" s="3" t="s">
        <v>2769</v>
      </c>
      <c r="C501" s="3" t="s">
        <v>2158</v>
      </c>
      <c r="D501" s="3">
        <v>7355208786.6399984</v>
      </c>
      <c r="E501" s="3">
        <v>3.1997558991049631</v>
      </c>
      <c r="F501" s="3">
        <v>4.8899999999999997</v>
      </c>
      <c r="G501" s="3">
        <v>149.61779999999999</v>
      </c>
      <c r="H501" s="3">
        <v>49.16</v>
      </c>
      <c r="I501" s="706"/>
      <c r="J501" s="707" t="str">
        <f t="shared" si="56"/>
        <v>Zions Bancorp NA</v>
      </c>
      <c r="K501" s="708" t="str">
        <f t="shared" si="56"/>
        <v>ZION</v>
      </c>
      <c r="L501" s="709">
        <f t="shared" si="50"/>
        <v>7355.2087866399988</v>
      </c>
      <c r="M501" s="710">
        <f t="shared" si="51"/>
        <v>3.1997558991049634E-2</v>
      </c>
      <c r="N501" s="710">
        <f t="shared" si="52"/>
        <v>4.8899999999999999E-2</v>
      </c>
      <c r="O501" s="711">
        <f t="shared" si="53"/>
        <v>8.1679899308380793E-2</v>
      </c>
      <c r="P501" s="712">
        <f t="shared" si="54"/>
        <v>2.2968348912701011E-4</v>
      </c>
      <c r="Q501" s="713">
        <f t="shared" si="55"/>
        <v>1.8760524264691762E-5</v>
      </c>
    </row>
    <row r="502" spans="1:17">
      <c r="A502" s="3" t="s">
        <v>2159</v>
      </c>
      <c r="B502" s="3" t="s">
        <v>2770</v>
      </c>
      <c r="C502" s="3" t="s">
        <v>2160</v>
      </c>
      <c r="D502" s="3">
        <v>68302850867.25</v>
      </c>
      <c r="E502" s="3">
        <v>0.87205731832139188</v>
      </c>
      <c r="F502" s="3">
        <v>9.67</v>
      </c>
      <c r="G502" s="3">
        <v>466.072</v>
      </c>
      <c r="H502" s="3">
        <v>146.55000000000001</v>
      </c>
      <c r="I502" s="706"/>
      <c r="J502" s="707" t="str">
        <f t="shared" si="56"/>
        <v>Zoetis Inc</v>
      </c>
      <c r="K502" s="708" t="str">
        <f t="shared" si="56"/>
        <v>ZTS</v>
      </c>
      <c r="L502" s="709">
        <f t="shared" si="50"/>
        <v>68302.850867250003</v>
      </c>
      <c r="M502" s="710">
        <f t="shared" si="51"/>
        <v>8.7205731832139186E-3</v>
      </c>
      <c r="N502" s="710">
        <f t="shared" si="52"/>
        <v>9.6699999999999994E-2</v>
      </c>
      <c r="O502" s="711">
        <f t="shared" si="53"/>
        <v>0.10584221289662231</v>
      </c>
      <c r="P502" s="712">
        <f t="shared" si="54"/>
        <v>2.1329152658463701E-3</v>
      </c>
      <c r="Q502" s="713">
        <f t="shared" si="55"/>
        <v>2.2575247165816726E-4</v>
      </c>
    </row>
    <row r="503" spans="1:17" ht="38.25" customHeight="1">
      <c r="L503" s="714"/>
      <c r="P503" s="706"/>
    </row>
    <row r="504" spans="1:17" s="12" customFormat="1" ht="33" customHeight="1">
      <c r="J504" s="715"/>
      <c r="K504" s="716" t="s">
        <v>2207</v>
      </c>
      <c r="L504" s="717">
        <f>SUMIF(O3:O502,"&lt;&gt;n/a",L3:L502)</f>
        <v>32023236.910045039</v>
      </c>
      <c r="M504" s="718"/>
      <c r="N504" s="719"/>
      <c r="O504" s="719"/>
      <c r="P504" s="720" t="s">
        <v>2208</v>
      </c>
      <c r="Q504" s="720">
        <f>SUM(Q3:Q502)</f>
        <v>0.11058401239764015</v>
      </c>
    </row>
    <row r="505" spans="1:17">
      <c r="L505" s="51"/>
    </row>
  </sheetData>
  <sortState ref="A3:Q502">
    <sortCondition ref="F3:F502"/>
  </sortStat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07"/>
  <sheetViews>
    <sheetView topLeftCell="A470" zoomScale="85" zoomScaleNormal="85" workbookViewId="0">
      <selection activeCell="H504" sqref="H504"/>
    </sheetView>
  </sheetViews>
  <sheetFormatPr defaultColWidth="8.7109375" defaultRowHeight="15.75"/>
  <cols>
    <col min="1" max="1" width="35" style="3" bestFit="1" customWidth="1"/>
    <col min="2" max="2" width="9" style="3" customWidth="1"/>
    <col min="3" max="3" width="22.7109375" style="3" bestFit="1" customWidth="1"/>
    <col min="4" max="5" width="11.7109375" style="3" customWidth="1"/>
    <col min="6" max="6" width="13" style="3" customWidth="1"/>
    <col min="7" max="7" width="12.7109375" style="3" customWidth="1"/>
    <col min="8" max="8" width="11.140625" style="3" customWidth="1"/>
    <col min="9" max="16384" width="8.7109375" style="3"/>
  </cols>
  <sheetData>
    <row r="1" spans="1:8">
      <c r="A1" s="3" t="s">
        <v>2236</v>
      </c>
      <c r="C1" s="75">
        <v>44925</v>
      </c>
    </row>
    <row r="3" spans="1:8" ht="47.25">
      <c r="A3" s="699" t="s">
        <v>155</v>
      </c>
      <c r="B3" s="699" t="s">
        <v>181</v>
      </c>
      <c r="C3" s="699" t="s">
        <v>2237</v>
      </c>
      <c r="D3" s="439" t="s">
        <v>2238</v>
      </c>
      <c r="E3" s="439" t="s">
        <v>2239</v>
      </c>
      <c r="F3" s="439" t="s">
        <v>2203</v>
      </c>
      <c r="G3" s="439" t="s">
        <v>2200</v>
      </c>
      <c r="H3" s="439" t="s">
        <v>2240</v>
      </c>
    </row>
    <row r="4" spans="1:8">
      <c r="A4" s="3" t="s">
        <v>2335</v>
      </c>
      <c r="B4" s="3" t="s">
        <v>192</v>
      </c>
      <c r="C4" s="721">
        <v>44456.66</v>
      </c>
      <c r="D4" s="722">
        <v>6.0000000000000001E-3</v>
      </c>
      <c r="E4" s="723">
        <v>0.12</v>
      </c>
      <c r="F4" s="724">
        <f t="shared" ref="F4:F67" si="0">IFERROR(D4*(1+0.5*E4)+E4,"N/A")</f>
        <v>0.12636</v>
      </c>
      <c r="G4" s="724">
        <f t="shared" ref="G4:G67" si="1">IF(F4="N/A","N/A",C4/$C$504)</f>
        <v>1.3512790960852502E-3</v>
      </c>
      <c r="H4" s="725">
        <f>IF(ISNUMBER(G4),F4*G4,"N/A")</f>
        <v>1.7074762658133221E-4</v>
      </c>
    </row>
    <row r="5" spans="1:8">
      <c r="A5" s="3" t="s">
        <v>2336</v>
      </c>
      <c r="B5" s="3" t="s">
        <v>1486</v>
      </c>
      <c r="C5" s="721">
        <v>8467.7199999999993</v>
      </c>
      <c r="D5" s="722">
        <v>0</v>
      </c>
      <c r="E5" s="723" t="s">
        <v>4148</v>
      </c>
      <c r="F5" s="724" t="str">
        <f t="shared" si="0"/>
        <v>N/A</v>
      </c>
      <c r="G5" s="724" t="str">
        <f t="shared" si="1"/>
        <v>N/A</v>
      </c>
      <c r="H5" s="725" t="str">
        <f t="shared" ref="H5:H68" si="2">IF(ISNUMBER(G5),F5*G5,"N/A")</f>
        <v>N/A</v>
      </c>
    </row>
    <row r="6" spans="1:8">
      <c r="A6" s="3" t="s">
        <v>2337</v>
      </c>
      <c r="B6" s="3" t="s">
        <v>1488</v>
      </c>
      <c r="C6" s="721">
        <v>8494.14</v>
      </c>
      <c r="D6" s="722">
        <v>4.2199999999999994E-2</v>
      </c>
      <c r="E6" s="723">
        <v>0.155</v>
      </c>
      <c r="F6" s="724">
        <f t="shared" si="0"/>
        <v>0.2004705</v>
      </c>
      <c r="G6" s="724">
        <f t="shared" si="1"/>
        <v>2.5818299938010561E-4</v>
      </c>
      <c r="H6" s="725">
        <f t="shared" si="2"/>
        <v>5.1758074977229464E-5</v>
      </c>
    </row>
    <row r="7" spans="1:8">
      <c r="A7" s="3" t="s">
        <v>2338</v>
      </c>
      <c r="B7" s="3" t="s">
        <v>1490</v>
      </c>
      <c r="C7" s="721">
        <v>2180119</v>
      </c>
      <c r="D7" s="722">
        <v>6.8000000000000005E-3</v>
      </c>
      <c r="E7" s="723">
        <v>0.13500000000000001</v>
      </c>
      <c r="F7" s="724">
        <f t="shared" si="0"/>
        <v>0.142259</v>
      </c>
      <c r="G7" s="724">
        <f t="shared" si="1"/>
        <v>6.6265644600342885E-2</v>
      </c>
      <c r="H7" s="725">
        <f t="shared" si="2"/>
        <v>9.4268843352001783E-3</v>
      </c>
    </row>
    <row r="8" spans="1:8">
      <c r="A8" s="3" t="s">
        <v>2339</v>
      </c>
      <c r="B8" s="3" t="s">
        <v>1492</v>
      </c>
      <c r="C8" s="721">
        <v>286852.3</v>
      </c>
      <c r="D8" s="722">
        <v>3.6499999999999998E-2</v>
      </c>
      <c r="E8" s="723">
        <v>4.4999999999999998E-2</v>
      </c>
      <c r="F8" s="724">
        <f t="shared" si="0"/>
        <v>8.2321249999999985E-2</v>
      </c>
      <c r="G8" s="724">
        <f t="shared" si="1"/>
        <v>8.7189977081943391E-3</v>
      </c>
      <c r="H8" s="725">
        <f t="shared" si="2"/>
        <v>7.1775879008569314E-4</v>
      </c>
    </row>
    <row r="9" spans="1:8">
      <c r="A9" s="3" t="s">
        <v>2340</v>
      </c>
      <c r="B9" s="3" t="s">
        <v>1312</v>
      </c>
      <c r="C9" s="721">
        <v>35195.03</v>
      </c>
      <c r="D9" s="722">
        <v>1.15E-2</v>
      </c>
      <c r="E9" s="723">
        <v>8.5000000000000006E-2</v>
      </c>
      <c r="F9" s="724">
        <f t="shared" si="0"/>
        <v>9.6988750000000012E-2</v>
      </c>
      <c r="G9" s="724">
        <f t="shared" si="1"/>
        <v>1.069767911604094E-3</v>
      </c>
      <c r="H9" s="725">
        <f t="shared" si="2"/>
        <v>1.0375545253659159E-4</v>
      </c>
    </row>
    <row r="10" spans="1:8">
      <c r="A10" s="3" t="s">
        <v>2341</v>
      </c>
      <c r="B10" s="3" t="s">
        <v>1495</v>
      </c>
      <c r="C10" s="721">
        <v>188550.1</v>
      </c>
      <c r="D10" s="722">
        <v>1.89E-2</v>
      </c>
      <c r="E10" s="723">
        <v>7.0000000000000007E-2</v>
      </c>
      <c r="F10" s="724">
        <f t="shared" si="0"/>
        <v>8.9561500000000002E-2</v>
      </c>
      <c r="G10" s="724">
        <f t="shared" si="1"/>
        <v>5.7310605136504525E-3</v>
      </c>
      <c r="H10" s="725">
        <f t="shared" si="2"/>
        <v>5.1328237619330502E-4</v>
      </c>
    </row>
    <row r="11" spans="1:8">
      <c r="A11" s="3" t="s">
        <v>4543</v>
      </c>
      <c r="B11" s="3" t="s">
        <v>4544</v>
      </c>
      <c r="C11" s="721">
        <v>23400.240000000002</v>
      </c>
      <c r="D11" s="722">
        <v>0</v>
      </c>
      <c r="E11" s="723">
        <v>0.19500000000000001</v>
      </c>
      <c r="F11" s="724">
        <f t="shared" si="0"/>
        <v>0.19500000000000001</v>
      </c>
      <c r="G11" s="724">
        <f t="shared" si="1"/>
        <v>7.1126025111598382E-4</v>
      </c>
      <c r="H11" s="725">
        <f t="shared" si="2"/>
        <v>1.3869574896761686E-4</v>
      </c>
    </row>
    <row r="12" spans="1:8">
      <c r="A12" s="3" t="s">
        <v>2342</v>
      </c>
      <c r="B12" s="3" t="s">
        <v>1497</v>
      </c>
      <c r="C12" s="721">
        <v>169404.3</v>
      </c>
      <c r="D12" s="722">
        <v>1.67E-2</v>
      </c>
      <c r="E12" s="723">
        <v>0.12</v>
      </c>
      <c r="F12" s="724">
        <f t="shared" si="0"/>
        <v>0.13770199999999999</v>
      </c>
      <c r="G12" s="724">
        <f t="shared" si="1"/>
        <v>5.1491157765103032E-3</v>
      </c>
      <c r="H12" s="725">
        <f t="shared" si="2"/>
        <v>7.0904354065702178E-4</v>
      </c>
    </row>
    <row r="13" spans="1:8">
      <c r="A13" s="3" t="s">
        <v>2343</v>
      </c>
      <c r="B13" s="3" t="s">
        <v>1499</v>
      </c>
      <c r="C13" s="721">
        <v>159424.5</v>
      </c>
      <c r="D13" s="722">
        <v>0</v>
      </c>
      <c r="E13" s="723">
        <v>0.13500000000000001</v>
      </c>
      <c r="F13" s="724">
        <f t="shared" si="0"/>
        <v>0.13500000000000001</v>
      </c>
      <c r="G13" s="724">
        <f t="shared" si="1"/>
        <v>4.8457755093127318E-3</v>
      </c>
      <c r="H13" s="725">
        <f t="shared" si="2"/>
        <v>6.5417969375721884E-4</v>
      </c>
    </row>
    <row r="14" spans="1:8">
      <c r="A14" s="3" t="s">
        <v>2344</v>
      </c>
      <c r="B14" s="3" t="s">
        <v>1501</v>
      </c>
      <c r="C14" s="721">
        <v>85261.24</v>
      </c>
      <c r="D14" s="722">
        <v>1.8200000000000001E-2</v>
      </c>
      <c r="E14" s="723">
        <v>0.115</v>
      </c>
      <c r="F14" s="724">
        <f t="shared" si="0"/>
        <v>0.13424650000000002</v>
      </c>
      <c r="G14" s="724">
        <f t="shared" si="1"/>
        <v>2.5915516666863317E-3</v>
      </c>
      <c r="H14" s="725">
        <f t="shared" si="2"/>
        <v>3.4790674082180666E-4</v>
      </c>
    </row>
    <row r="15" spans="1:8">
      <c r="A15" s="3" t="s">
        <v>2345</v>
      </c>
      <c r="B15" s="3" t="s">
        <v>1503</v>
      </c>
      <c r="C15" s="721">
        <v>51754.23</v>
      </c>
      <c r="D15" s="722">
        <v>1.7000000000000001E-2</v>
      </c>
      <c r="E15" s="723">
        <v>0.13500000000000001</v>
      </c>
      <c r="F15" s="724">
        <f t="shared" si="0"/>
        <v>0.15314750000000002</v>
      </c>
      <c r="G15" s="724">
        <f t="shared" si="1"/>
        <v>1.5730918411996793E-3</v>
      </c>
      <c r="H15" s="725">
        <f t="shared" si="2"/>
        <v>2.4091508275012792E-4</v>
      </c>
    </row>
    <row r="16" spans="1:8">
      <c r="A16" s="3" t="s">
        <v>2346</v>
      </c>
      <c r="B16" s="3" t="s">
        <v>1505</v>
      </c>
      <c r="C16" s="721">
        <v>102571</v>
      </c>
      <c r="D16" s="722">
        <v>2.0199999999999999E-2</v>
      </c>
      <c r="E16" s="723">
        <v>0.1</v>
      </c>
      <c r="F16" s="724">
        <f t="shared" si="0"/>
        <v>0.12121000000000001</v>
      </c>
      <c r="G16" s="724">
        <f t="shared" si="1"/>
        <v>3.1176891868296042E-3</v>
      </c>
      <c r="H16" s="725">
        <f t="shared" si="2"/>
        <v>3.7789510633561636E-4</v>
      </c>
    </row>
    <row r="17" spans="1:8">
      <c r="A17" s="3" t="s">
        <v>2347</v>
      </c>
      <c r="B17" s="3" t="s">
        <v>1507</v>
      </c>
      <c r="C17" s="721">
        <v>41521.68</v>
      </c>
      <c r="D17" s="722">
        <v>0</v>
      </c>
      <c r="E17" s="723">
        <v>0.14000000000000001</v>
      </c>
      <c r="F17" s="724">
        <f t="shared" si="0"/>
        <v>0.14000000000000001</v>
      </c>
      <c r="G17" s="724">
        <f t="shared" si="1"/>
        <v>1.2620691302122338E-3</v>
      </c>
      <c r="H17" s="725">
        <f t="shared" si="2"/>
        <v>1.7668967822971274E-4</v>
      </c>
    </row>
    <row r="18" spans="1:8">
      <c r="A18" s="3" t="s">
        <v>2348</v>
      </c>
      <c r="B18" s="3" t="s">
        <v>205</v>
      </c>
      <c r="C18" s="721">
        <v>22903.1</v>
      </c>
      <c r="D18" s="722">
        <v>2.7999999999999997E-2</v>
      </c>
      <c r="E18" s="723">
        <v>6.5000000000000002E-2</v>
      </c>
      <c r="F18" s="724">
        <f t="shared" si="0"/>
        <v>9.3909999999999993E-2</v>
      </c>
      <c r="G18" s="724">
        <f t="shared" si="1"/>
        <v>6.9614946929324182E-4</v>
      </c>
      <c r="H18" s="725">
        <f t="shared" si="2"/>
        <v>6.5375396661328339E-5</v>
      </c>
    </row>
    <row r="19" spans="1:8">
      <c r="A19" s="3" t="s">
        <v>2349</v>
      </c>
      <c r="B19" s="3" t="s">
        <v>198</v>
      </c>
      <c r="C19" s="721">
        <v>48983.02</v>
      </c>
      <c r="D19" s="722">
        <v>3.4799999999999998E-2</v>
      </c>
      <c r="E19" s="723">
        <v>6.5000000000000002E-2</v>
      </c>
      <c r="F19" s="724">
        <f t="shared" si="0"/>
        <v>0.10093099999999999</v>
      </c>
      <c r="G19" s="724">
        <f t="shared" si="1"/>
        <v>1.4888597341573956E-3</v>
      </c>
      <c r="H19" s="725">
        <f t="shared" si="2"/>
        <v>1.5027210182824008E-4</v>
      </c>
    </row>
    <row r="20" spans="1:8">
      <c r="A20" s="3" t="s">
        <v>2990</v>
      </c>
      <c r="B20" s="3" t="s">
        <v>1448</v>
      </c>
      <c r="C20" s="721">
        <v>19196.88</v>
      </c>
      <c r="D20" s="722">
        <v>2.3099999999999999E-2</v>
      </c>
      <c r="E20" s="723" t="s">
        <v>4148</v>
      </c>
      <c r="F20" s="724" t="str">
        <f t="shared" si="0"/>
        <v>N/A</v>
      </c>
      <c r="G20" s="724" t="str">
        <f t="shared" si="1"/>
        <v>N/A</v>
      </c>
      <c r="H20" s="725" t="str">
        <f t="shared" si="2"/>
        <v>N/A</v>
      </c>
    </row>
    <row r="21" spans="1:8">
      <c r="A21" s="3" t="s">
        <v>2350</v>
      </c>
      <c r="B21" s="3" t="s">
        <v>1512</v>
      </c>
      <c r="C21" s="721">
        <v>44581.61</v>
      </c>
      <c r="D21" s="722">
        <v>2.3900000000000001E-2</v>
      </c>
      <c r="E21" s="723">
        <v>0.09</v>
      </c>
      <c r="F21" s="724">
        <f t="shared" si="0"/>
        <v>0.11497549999999999</v>
      </c>
      <c r="G21" s="724">
        <f t="shared" si="1"/>
        <v>1.3550770044988792E-3</v>
      </c>
      <c r="H21" s="725">
        <f t="shared" si="2"/>
        <v>1.5580065613076088E-4</v>
      </c>
    </row>
    <row r="22" spans="1:8">
      <c r="A22" s="3" t="s">
        <v>2351</v>
      </c>
      <c r="B22" s="3" t="s">
        <v>1514</v>
      </c>
      <c r="C22" s="721">
        <v>47321.19</v>
      </c>
      <c r="D22" s="722">
        <v>2.0199999999999999E-2</v>
      </c>
      <c r="E22" s="723">
        <v>6.5000000000000002E-2</v>
      </c>
      <c r="F22" s="724">
        <f t="shared" si="0"/>
        <v>8.5856500000000002E-2</v>
      </c>
      <c r="G22" s="724">
        <f t="shared" si="1"/>
        <v>1.438347704233255E-3</v>
      </c>
      <c r="H22" s="725">
        <f t="shared" si="2"/>
        <v>1.2349149966850247E-4</v>
      </c>
    </row>
    <row r="23" spans="1:8">
      <c r="A23" s="3" t="s">
        <v>2352</v>
      </c>
      <c r="B23" s="3" t="s">
        <v>1516</v>
      </c>
      <c r="C23" s="721">
        <v>6533.75</v>
      </c>
      <c r="D23" s="722">
        <v>2.2700000000000001E-2</v>
      </c>
      <c r="E23" s="723">
        <v>0.14000000000000001</v>
      </c>
      <c r="F23" s="724">
        <f t="shared" si="0"/>
        <v>0.16428900000000002</v>
      </c>
      <c r="G23" s="724">
        <f t="shared" si="1"/>
        <v>1.9859611122488739E-4</v>
      </c>
      <c r="H23" s="725">
        <f t="shared" si="2"/>
        <v>3.2627156517025528E-5</v>
      </c>
    </row>
    <row r="24" spans="1:8">
      <c r="A24" s="3" t="s">
        <v>2353</v>
      </c>
      <c r="B24" s="3" t="s">
        <v>1518</v>
      </c>
      <c r="C24" s="721">
        <v>39942.39</v>
      </c>
      <c r="D24" s="722">
        <v>1.0800000000000001E-2</v>
      </c>
      <c r="E24" s="723">
        <v>0.185</v>
      </c>
      <c r="F24" s="724">
        <f t="shared" si="0"/>
        <v>0.196799</v>
      </c>
      <c r="G24" s="724">
        <f t="shared" si="1"/>
        <v>1.2140659387071483E-3</v>
      </c>
      <c r="H24" s="725">
        <f t="shared" si="2"/>
        <v>2.3892696267162808E-4</v>
      </c>
    </row>
    <row r="25" spans="1:8">
      <c r="A25" s="3" t="s">
        <v>2354</v>
      </c>
      <c r="B25" s="3" t="s">
        <v>1520</v>
      </c>
      <c r="C25" s="721">
        <v>13223.78</v>
      </c>
      <c r="D25" s="722">
        <v>0</v>
      </c>
      <c r="E25" s="723">
        <v>5.5E-2</v>
      </c>
      <c r="F25" s="724">
        <f t="shared" si="0"/>
        <v>5.5E-2</v>
      </c>
      <c r="G25" s="724">
        <f t="shared" si="1"/>
        <v>4.0194241954366811E-4</v>
      </c>
      <c r="H25" s="725">
        <f t="shared" si="2"/>
        <v>2.2106833074901745E-5</v>
      </c>
    </row>
    <row r="26" spans="1:8">
      <c r="A26" s="3" t="s">
        <v>2355</v>
      </c>
      <c r="B26" s="3" t="s">
        <v>1522</v>
      </c>
      <c r="C26" s="721">
        <v>27251.439999999999</v>
      </c>
      <c r="D26" s="722">
        <v>6.8000000000000005E-3</v>
      </c>
      <c r="E26" s="723">
        <v>0.215</v>
      </c>
      <c r="F26" s="724">
        <f t="shared" si="0"/>
        <v>0.22253100000000001</v>
      </c>
      <c r="G26" s="724">
        <f t="shared" si="1"/>
        <v>8.2831911372157577E-4</v>
      </c>
      <c r="H26" s="725">
        <f t="shared" si="2"/>
        <v>1.8432668069557598E-4</v>
      </c>
    </row>
    <row r="27" spans="1:8">
      <c r="A27" s="3" t="s">
        <v>2356</v>
      </c>
      <c r="B27" s="3" t="s">
        <v>2279</v>
      </c>
      <c r="C27" s="721">
        <v>15956.51</v>
      </c>
      <c r="D27" s="722">
        <v>0</v>
      </c>
      <c r="E27" s="723">
        <v>0.17</v>
      </c>
      <c r="F27" s="724">
        <f t="shared" si="0"/>
        <v>0.17</v>
      </c>
      <c r="G27" s="724">
        <f t="shared" si="1"/>
        <v>4.8500491061351112E-4</v>
      </c>
      <c r="H27" s="725">
        <f t="shared" si="2"/>
        <v>8.2450834804296896E-5</v>
      </c>
    </row>
    <row r="28" spans="1:8">
      <c r="A28" s="3" t="s">
        <v>2357</v>
      </c>
      <c r="B28" s="3" t="s">
        <v>1524</v>
      </c>
      <c r="C28" s="721">
        <v>5562.94</v>
      </c>
      <c r="D28" s="722">
        <v>0</v>
      </c>
      <c r="E28" s="723" t="s">
        <v>4148</v>
      </c>
      <c r="F28" s="724" t="str">
        <f t="shared" si="0"/>
        <v>N/A</v>
      </c>
      <c r="G28" s="724" t="str">
        <f t="shared" si="1"/>
        <v>N/A</v>
      </c>
      <c r="H28" s="725" t="str">
        <f t="shared" si="2"/>
        <v>N/A</v>
      </c>
    </row>
    <row r="29" spans="1:8">
      <c r="A29" s="3" t="s">
        <v>2358</v>
      </c>
      <c r="B29" s="3" t="s">
        <v>1526</v>
      </c>
      <c r="C29" s="721">
        <v>35814.239999999998</v>
      </c>
      <c r="D29" s="722">
        <v>2.53E-2</v>
      </c>
      <c r="E29" s="723">
        <v>2.5000000000000001E-2</v>
      </c>
      <c r="F29" s="724">
        <f t="shared" si="0"/>
        <v>5.0616250000000002E-2</v>
      </c>
      <c r="G29" s="724">
        <f t="shared" si="1"/>
        <v>1.088589063015085E-3</v>
      </c>
      <c r="H29" s="725">
        <f t="shared" si="2"/>
        <v>5.5100296160837293E-5</v>
      </c>
    </row>
    <row r="30" spans="1:8">
      <c r="A30" s="3" t="s">
        <v>2991</v>
      </c>
      <c r="B30" s="3" t="s">
        <v>1528</v>
      </c>
      <c r="C30" s="721">
        <v>9377.4500000000007</v>
      </c>
      <c r="D30" s="722">
        <v>1.54E-2</v>
      </c>
      <c r="E30" s="723">
        <v>0.11</v>
      </c>
      <c r="F30" s="724">
        <f t="shared" si="0"/>
        <v>0.126247</v>
      </c>
      <c r="G30" s="724">
        <f t="shared" si="1"/>
        <v>2.8503158266016002E-4</v>
      </c>
      <c r="H30" s="725">
        <f t="shared" si="2"/>
        <v>3.5984382216097219E-5</v>
      </c>
    </row>
    <row r="31" spans="1:8">
      <c r="A31" s="3" t="s">
        <v>2359</v>
      </c>
      <c r="B31" s="3" t="s">
        <v>1530</v>
      </c>
      <c r="C31" s="721">
        <v>91106.72</v>
      </c>
      <c r="D31" s="722">
        <v>1.04E-2</v>
      </c>
      <c r="E31" s="723">
        <v>0.16500000000000001</v>
      </c>
      <c r="F31" s="724">
        <f t="shared" si="0"/>
        <v>0.176258</v>
      </c>
      <c r="G31" s="724">
        <f t="shared" si="1"/>
        <v>2.7692275184166325E-3</v>
      </c>
      <c r="H31" s="725">
        <f t="shared" si="2"/>
        <v>4.8809850394107882E-4</v>
      </c>
    </row>
    <row r="32" spans="1:8">
      <c r="A32" s="3" t="s">
        <v>2888</v>
      </c>
      <c r="B32" s="3" t="s">
        <v>2889</v>
      </c>
      <c r="C32" s="721">
        <v>18016.900000000001</v>
      </c>
      <c r="D32" s="722">
        <v>4.0500000000000001E-2</v>
      </c>
      <c r="E32" s="723">
        <v>0.14499999999999999</v>
      </c>
      <c r="F32" s="724">
        <f t="shared" si="0"/>
        <v>0.18843625</v>
      </c>
      <c r="G32" s="724">
        <f t="shared" si="1"/>
        <v>5.4763134131665184E-4</v>
      </c>
      <c r="H32" s="725">
        <f t="shared" si="2"/>
        <v>1.0319359634017994E-4</v>
      </c>
    </row>
    <row r="33" spans="1:8">
      <c r="A33" s="3" t="s">
        <v>2361</v>
      </c>
      <c r="B33" s="3" t="s">
        <v>2222</v>
      </c>
      <c r="C33" s="721">
        <v>109100.1</v>
      </c>
      <c r="D33" s="722">
        <v>0</v>
      </c>
      <c r="E33" s="723">
        <v>0.255</v>
      </c>
      <c r="F33" s="724">
        <f t="shared" si="0"/>
        <v>0.255</v>
      </c>
      <c r="G33" s="724">
        <f t="shared" si="1"/>
        <v>3.3161439593260133E-3</v>
      </c>
      <c r="H33" s="725">
        <f t="shared" si="2"/>
        <v>8.4561670962813337E-4</v>
      </c>
    </row>
    <row r="34" spans="1:8">
      <c r="A34" s="3" t="s">
        <v>2362</v>
      </c>
      <c r="B34" s="3" t="s">
        <v>1532</v>
      </c>
      <c r="C34" s="721">
        <v>32234.23</v>
      </c>
      <c r="D34" s="722">
        <v>6.3E-3</v>
      </c>
      <c r="E34" s="723">
        <v>0.1</v>
      </c>
      <c r="F34" s="724">
        <f t="shared" si="0"/>
        <v>0.106615</v>
      </c>
      <c r="G34" s="724">
        <f t="shared" si="1"/>
        <v>9.797731358452042E-4</v>
      </c>
      <c r="H34" s="725">
        <f t="shared" si="2"/>
        <v>1.0445851287813645E-4</v>
      </c>
    </row>
    <row r="35" spans="1:8">
      <c r="A35" s="3" t="s">
        <v>2363</v>
      </c>
      <c r="B35" s="3" t="s">
        <v>1534</v>
      </c>
      <c r="C35" s="721">
        <v>142049.70000000001</v>
      </c>
      <c r="D35" s="722">
        <v>3.2300000000000002E-2</v>
      </c>
      <c r="E35" s="723">
        <v>5.5E-2</v>
      </c>
      <c r="F35" s="724">
        <f t="shared" si="0"/>
        <v>8.8188249999999996E-2</v>
      </c>
      <c r="G35" s="724">
        <f t="shared" si="1"/>
        <v>4.3176610706962913E-3</v>
      </c>
      <c r="H35" s="725">
        <f t="shared" si="2"/>
        <v>3.8076697391783217E-4</v>
      </c>
    </row>
    <row r="36" spans="1:8">
      <c r="A36" s="3" t="s">
        <v>2364</v>
      </c>
      <c r="B36" s="3" t="s">
        <v>1536</v>
      </c>
      <c r="C36" s="721">
        <v>33398.43</v>
      </c>
      <c r="D36" s="722">
        <v>1.6899999999999998E-2</v>
      </c>
      <c r="E36" s="723">
        <v>0.15</v>
      </c>
      <c r="F36" s="724">
        <f t="shared" si="0"/>
        <v>0.1681675</v>
      </c>
      <c r="G36" s="724">
        <f t="shared" si="1"/>
        <v>1.015159490188118E-3</v>
      </c>
      <c r="H36" s="725">
        <f t="shared" si="2"/>
        <v>1.7071683356621034E-4</v>
      </c>
    </row>
    <row r="37" spans="1:8">
      <c r="A37" s="3" t="s">
        <v>2365</v>
      </c>
      <c r="B37" s="3" t="s">
        <v>1538</v>
      </c>
      <c r="C37" s="721">
        <v>98055.78</v>
      </c>
      <c r="D37" s="722">
        <v>2.98E-2</v>
      </c>
      <c r="E37" s="723">
        <v>0.06</v>
      </c>
      <c r="F37" s="724">
        <f t="shared" si="0"/>
        <v>9.0693999999999997E-2</v>
      </c>
      <c r="G37" s="724">
        <f t="shared" si="1"/>
        <v>2.9804471537972972E-3</v>
      </c>
      <c r="H37" s="725">
        <f t="shared" si="2"/>
        <v>2.7030867416649208E-4</v>
      </c>
    </row>
    <row r="38" spans="1:8">
      <c r="A38" s="3" t="s">
        <v>2366</v>
      </c>
      <c r="B38" s="3" t="s">
        <v>1540</v>
      </c>
      <c r="C38" s="721">
        <v>884880.5</v>
      </c>
      <c r="D38" s="722">
        <v>0</v>
      </c>
      <c r="E38" s="723">
        <v>0.26500000000000001</v>
      </c>
      <c r="F38" s="724">
        <f t="shared" si="0"/>
        <v>0.26500000000000001</v>
      </c>
      <c r="G38" s="724">
        <f t="shared" si="1"/>
        <v>2.6896319295769501E-2</v>
      </c>
      <c r="H38" s="725">
        <f t="shared" si="2"/>
        <v>7.1275246133789185E-3</v>
      </c>
    </row>
    <row r="39" spans="1:8">
      <c r="A39" s="3" t="s">
        <v>2368</v>
      </c>
      <c r="B39" s="3" t="s">
        <v>2369</v>
      </c>
      <c r="C39" s="721">
        <v>37679.160000000003</v>
      </c>
      <c r="D39" s="722">
        <v>0</v>
      </c>
      <c r="E39" s="723">
        <v>0.105</v>
      </c>
      <c r="F39" s="724">
        <f t="shared" si="0"/>
        <v>0.105</v>
      </c>
      <c r="G39" s="724">
        <f t="shared" si="1"/>
        <v>1.1452740998998017E-3</v>
      </c>
      <c r="H39" s="725">
        <f t="shared" si="2"/>
        <v>1.2025378048947917E-4</v>
      </c>
    </row>
    <row r="40" spans="1:8">
      <c r="A40" s="3" t="s">
        <v>2370</v>
      </c>
      <c r="B40" s="3" t="s">
        <v>2271</v>
      </c>
      <c r="C40" s="721">
        <v>21065.72</v>
      </c>
      <c r="D40" s="722">
        <v>0</v>
      </c>
      <c r="E40" s="723">
        <v>8.5000000000000006E-2</v>
      </c>
      <c r="F40" s="724">
        <f t="shared" si="0"/>
        <v>8.5000000000000006E-2</v>
      </c>
      <c r="G40" s="724">
        <f t="shared" si="1"/>
        <v>6.4030152242622307E-4</v>
      </c>
      <c r="H40" s="725">
        <f t="shared" si="2"/>
        <v>5.4425629406228967E-5</v>
      </c>
    </row>
    <row r="41" spans="1:8">
      <c r="A41" s="3" t="s">
        <v>2371</v>
      </c>
      <c r="B41" s="3" t="s">
        <v>1542</v>
      </c>
      <c r="C41" s="721">
        <v>62909.04</v>
      </c>
      <c r="D41" s="722">
        <v>7.7000000000000002E-3</v>
      </c>
      <c r="E41" s="723">
        <v>7.4999999999999997E-2</v>
      </c>
      <c r="F41" s="724">
        <f t="shared" si="0"/>
        <v>8.298875E-2</v>
      </c>
      <c r="G41" s="724">
        <f t="shared" si="1"/>
        <v>1.9121470372895949E-3</v>
      </c>
      <c r="H41" s="725">
        <f t="shared" si="2"/>
        <v>1.5868669244086686E-4</v>
      </c>
    </row>
    <row r="42" spans="1:8">
      <c r="A42" s="3" t="s">
        <v>3024</v>
      </c>
      <c r="B42" s="3" t="s">
        <v>2275</v>
      </c>
      <c r="C42" s="721">
        <v>8744.9</v>
      </c>
      <c r="D42" s="722">
        <v>2.1000000000000001E-2</v>
      </c>
      <c r="E42" s="723">
        <v>0.115</v>
      </c>
      <c r="F42" s="724">
        <f t="shared" si="0"/>
        <v>0.13720750000000001</v>
      </c>
      <c r="G42" s="724">
        <f t="shared" si="1"/>
        <v>2.6580495627327613E-4</v>
      </c>
      <c r="H42" s="725">
        <f t="shared" si="2"/>
        <v>3.6470433537865535E-5</v>
      </c>
    </row>
    <row r="43" spans="1:8">
      <c r="A43" s="3" t="s">
        <v>3980</v>
      </c>
      <c r="B43" s="3" t="s">
        <v>1543</v>
      </c>
      <c r="C43" s="721">
        <v>15101.11</v>
      </c>
      <c r="D43" s="722">
        <v>2.1400000000000002E-2</v>
      </c>
      <c r="E43" s="723">
        <v>0.495</v>
      </c>
      <c r="F43" s="724">
        <f t="shared" si="0"/>
        <v>0.52169650000000001</v>
      </c>
      <c r="G43" s="724">
        <f t="shared" si="1"/>
        <v>4.5900466365858192E-4</v>
      </c>
      <c r="H43" s="725">
        <f t="shared" si="2"/>
        <v>2.3946112651435938E-4</v>
      </c>
    </row>
    <row r="44" spans="1:8">
      <c r="A44" s="3" t="s">
        <v>2992</v>
      </c>
      <c r="B44" s="3" t="s">
        <v>1545</v>
      </c>
      <c r="C44" s="721">
        <v>69753.56</v>
      </c>
      <c r="D44" s="722">
        <v>2.06E-2</v>
      </c>
      <c r="E44" s="723">
        <v>0.11</v>
      </c>
      <c r="F44" s="724">
        <f t="shared" si="0"/>
        <v>0.13173299999999999</v>
      </c>
      <c r="G44" s="724">
        <f t="shared" si="1"/>
        <v>2.1201891348906609E-3</v>
      </c>
      <c r="H44" s="725">
        <f t="shared" si="2"/>
        <v>2.792988753065514E-4</v>
      </c>
    </row>
    <row r="45" spans="1:8">
      <c r="A45" s="3" t="s">
        <v>2372</v>
      </c>
      <c r="B45" s="3" t="s">
        <v>1547</v>
      </c>
      <c r="C45" s="721">
        <v>45684.1</v>
      </c>
      <c r="D45" s="722">
        <v>1.09E-2</v>
      </c>
      <c r="E45" s="723">
        <v>0.13</v>
      </c>
      <c r="F45" s="724">
        <f t="shared" si="0"/>
        <v>0.1416085</v>
      </c>
      <c r="G45" s="724">
        <f t="shared" si="1"/>
        <v>1.3885876571354701E-3</v>
      </c>
      <c r="H45" s="725">
        <f t="shared" si="2"/>
        <v>1.9663581524546821E-4</v>
      </c>
    </row>
    <row r="46" spans="1:8">
      <c r="A46" s="3" t="s">
        <v>2373</v>
      </c>
      <c r="B46" s="3" t="s">
        <v>2297</v>
      </c>
      <c r="C46" s="721">
        <v>25505.63</v>
      </c>
      <c r="D46" s="722">
        <v>0</v>
      </c>
      <c r="E46" s="723">
        <v>0.26</v>
      </c>
      <c r="F46" s="724">
        <f t="shared" si="0"/>
        <v>0.26</v>
      </c>
      <c r="G46" s="724">
        <f t="shared" si="1"/>
        <v>7.7525447596568967E-4</v>
      </c>
      <c r="H46" s="725">
        <f t="shared" si="2"/>
        <v>2.0156616375107932E-4</v>
      </c>
    </row>
    <row r="47" spans="1:8">
      <c r="A47" s="3" t="s">
        <v>2374</v>
      </c>
      <c r="B47" s="3" t="s">
        <v>2224</v>
      </c>
      <c r="C47" s="721">
        <v>23215.09</v>
      </c>
      <c r="D47" s="722">
        <v>3.3000000000000002E-2</v>
      </c>
      <c r="E47" s="723">
        <v>0.1</v>
      </c>
      <c r="F47" s="724">
        <f t="shared" si="0"/>
        <v>0.13464999999999999</v>
      </c>
      <c r="G47" s="724">
        <f t="shared" si="1"/>
        <v>7.0563253808850527E-4</v>
      </c>
      <c r="H47" s="725">
        <f t="shared" si="2"/>
        <v>9.5013421253617228E-5</v>
      </c>
    </row>
    <row r="48" spans="1:8">
      <c r="A48" s="3" t="s">
        <v>2376</v>
      </c>
      <c r="B48" s="3" t="s">
        <v>2333</v>
      </c>
      <c r="C48" s="721">
        <v>16028.48</v>
      </c>
      <c r="D48" s="722">
        <v>2.64E-2</v>
      </c>
      <c r="E48" s="723">
        <v>7.4999999999999997E-2</v>
      </c>
      <c r="F48" s="724">
        <f t="shared" si="0"/>
        <v>0.10238999999999999</v>
      </c>
      <c r="G48" s="724">
        <f t="shared" si="1"/>
        <v>4.8719246938525089E-4</v>
      </c>
      <c r="H48" s="725">
        <f t="shared" si="2"/>
        <v>4.9883636940355835E-5</v>
      </c>
    </row>
    <row r="49" spans="1:8">
      <c r="A49" s="3" t="s">
        <v>2377</v>
      </c>
      <c r="B49" s="3" t="s">
        <v>1549</v>
      </c>
      <c r="C49" s="721">
        <v>59388.480000000003</v>
      </c>
      <c r="D49" s="722">
        <v>6.8999999999999999E-3</v>
      </c>
      <c r="E49" s="723">
        <v>0.115</v>
      </c>
      <c r="F49" s="724">
        <f t="shared" si="0"/>
        <v>0.12229675000000001</v>
      </c>
      <c r="G49" s="724">
        <f t="shared" si="1"/>
        <v>1.8051381181644541E-3</v>
      </c>
      <c r="H49" s="725">
        <f t="shared" si="2"/>
        <v>2.2076252515262871E-4</v>
      </c>
    </row>
    <row r="50" spans="1:8">
      <c r="A50" s="3" t="s">
        <v>2378</v>
      </c>
      <c r="B50" s="3" t="s">
        <v>1551</v>
      </c>
      <c r="C50" s="721">
        <v>22691.53</v>
      </c>
      <c r="D50" s="722">
        <v>4.1399999999999999E-2</v>
      </c>
      <c r="E50" s="723">
        <v>0.09</v>
      </c>
      <c r="F50" s="724">
        <f t="shared" si="0"/>
        <v>0.13326299999999999</v>
      </c>
      <c r="G50" s="724">
        <f t="shared" si="1"/>
        <v>6.8971870912460211E-4</v>
      </c>
      <c r="H50" s="725">
        <f t="shared" si="2"/>
        <v>9.1913984334071852E-5</v>
      </c>
    </row>
    <row r="51" spans="1:8">
      <c r="A51" s="3" t="s">
        <v>2379</v>
      </c>
      <c r="B51" s="3" t="s">
        <v>1553</v>
      </c>
      <c r="C51" s="721">
        <v>227298.1</v>
      </c>
      <c r="D51" s="722">
        <v>3.2799999999999996E-2</v>
      </c>
      <c r="E51" s="723">
        <v>0.3</v>
      </c>
      <c r="F51" s="724">
        <f t="shared" si="0"/>
        <v>0.33771999999999996</v>
      </c>
      <c r="G51" s="724">
        <f t="shared" si="1"/>
        <v>6.9088224601194688E-3</v>
      </c>
      <c r="H51" s="725">
        <f t="shared" si="2"/>
        <v>2.3332475212315467E-3</v>
      </c>
    </row>
    <row r="52" spans="1:8">
      <c r="A52" s="3" t="s">
        <v>2380</v>
      </c>
      <c r="B52" s="3" t="s">
        <v>1555</v>
      </c>
      <c r="C52" s="721">
        <v>14677.22</v>
      </c>
      <c r="D52" s="722">
        <v>1.77E-2</v>
      </c>
      <c r="E52" s="723">
        <v>0.105</v>
      </c>
      <c r="F52" s="724">
        <f t="shared" si="0"/>
        <v>0.12362925</v>
      </c>
      <c r="G52" s="724">
        <f t="shared" si="1"/>
        <v>4.4612034675219314E-4</v>
      </c>
      <c r="H52" s="725">
        <f t="shared" si="2"/>
        <v>5.5153523878713575E-5</v>
      </c>
    </row>
    <row r="53" spans="1:8">
      <c r="A53" s="3" t="s">
        <v>2381</v>
      </c>
      <c r="B53" s="3" t="s">
        <v>156</v>
      </c>
      <c r="C53" s="721">
        <v>27734.07</v>
      </c>
      <c r="D53" s="722">
        <v>1.78E-2</v>
      </c>
      <c r="E53" s="723">
        <v>0.03</v>
      </c>
      <c r="F53" s="724">
        <f t="shared" si="0"/>
        <v>4.8066999999999999E-2</v>
      </c>
      <c r="G53" s="724">
        <f t="shared" si="1"/>
        <v>8.4298885792061413E-4</v>
      </c>
      <c r="H53" s="725">
        <f t="shared" si="2"/>
        <v>4.0519945433670157E-5</v>
      </c>
    </row>
    <row r="54" spans="1:8">
      <c r="A54" s="3" t="s">
        <v>2382</v>
      </c>
      <c r="B54" s="3" t="s">
        <v>1558</v>
      </c>
      <c r="C54" s="721">
        <v>109883.7</v>
      </c>
      <c r="D54" s="722">
        <v>1.41E-2</v>
      </c>
      <c r="E54" s="723">
        <v>0.1</v>
      </c>
      <c r="F54" s="724">
        <f t="shared" si="0"/>
        <v>0.114805</v>
      </c>
      <c r="G54" s="724">
        <f t="shared" si="1"/>
        <v>3.3399618147315338E-3</v>
      </c>
      <c r="H54" s="725">
        <f t="shared" si="2"/>
        <v>3.8344431614025377E-4</v>
      </c>
    </row>
    <row r="55" spans="1:8">
      <c r="A55" s="3" t="s">
        <v>2383</v>
      </c>
      <c r="B55" s="3" t="s">
        <v>1560</v>
      </c>
      <c r="C55" s="721">
        <v>45685.73</v>
      </c>
      <c r="D55" s="722">
        <v>0</v>
      </c>
      <c r="E55" s="723">
        <v>0.14499999999999999</v>
      </c>
      <c r="F55" s="724">
        <f t="shared" si="0"/>
        <v>0.14499999999999999</v>
      </c>
      <c r="G55" s="724">
        <f t="shared" si="1"/>
        <v>1.3886372016790015E-3</v>
      </c>
      <c r="H55" s="725">
        <f t="shared" si="2"/>
        <v>2.013523942434552E-4</v>
      </c>
    </row>
    <row r="56" spans="1:8">
      <c r="A56" s="3" t="s">
        <v>2384</v>
      </c>
      <c r="B56" s="3" t="s">
        <v>1562</v>
      </c>
      <c r="C56" s="721">
        <v>116741.9</v>
      </c>
      <c r="D56" s="722">
        <v>0</v>
      </c>
      <c r="E56" s="723" t="s">
        <v>4148</v>
      </c>
      <c r="F56" s="724" t="str">
        <f t="shared" si="0"/>
        <v>N/A</v>
      </c>
      <c r="G56" s="724" t="str">
        <f t="shared" si="1"/>
        <v>N/A</v>
      </c>
      <c r="H56" s="725" t="str">
        <f t="shared" si="2"/>
        <v>N/A</v>
      </c>
    </row>
    <row r="57" spans="1:8">
      <c r="A57" s="3" t="s">
        <v>2385</v>
      </c>
      <c r="B57" s="3" t="s">
        <v>1564</v>
      </c>
      <c r="C57" s="721">
        <v>262239</v>
      </c>
      <c r="D57" s="722">
        <v>2.75E-2</v>
      </c>
      <c r="E57" s="723">
        <v>8.5000000000000006E-2</v>
      </c>
      <c r="F57" s="724">
        <f t="shared" si="0"/>
        <v>0.11366875000000001</v>
      </c>
      <c r="G57" s="724">
        <f t="shared" si="1"/>
        <v>7.9708659822465278E-3</v>
      </c>
      <c r="H57" s="725">
        <f t="shared" si="2"/>
        <v>9.0603837261948514E-4</v>
      </c>
    </row>
    <row r="58" spans="1:8">
      <c r="A58" s="3" t="s">
        <v>2395</v>
      </c>
      <c r="B58" s="3" t="s">
        <v>4274</v>
      </c>
      <c r="C58" s="721">
        <v>16238.91</v>
      </c>
      <c r="D58" s="722">
        <v>1.6200000000000003E-2</v>
      </c>
      <c r="E58" s="723">
        <v>0.215</v>
      </c>
      <c r="F58" s="724">
        <f t="shared" si="0"/>
        <v>0.2329415</v>
      </c>
      <c r="G58" s="724">
        <f t="shared" si="1"/>
        <v>4.9358857876884426E-4</v>
      </c>
      <c r="H58" s="725">
        <f t="shared" si="2"/>
        <v>1.1497726392128273E-4</v>
      </c>
    </row>
    <row r="59" spans="1:8">
      <c r="A59" s="3" t="s">
        <v>2386</v>
      </c>
      <c r="B59" s="3" t="s">
        <v>1566</v>
      </c>
      <c r="C59" s="721">
        <v>25368.54</v>
      </c>
      <c r="D59" s="722">
        <v>2.3099999999999999E-2</v>
      </c>
      <c r="E59" s="723">
        <v>0.08</v>
      </c>
      <c r="F59" s="724">
        <f t="shared" si="0"/>
        <v>0.10402400000000001</v>
      </c>
      <c r="G59" s="724">
        <f t="shared" si="1"/>
        <v>7.7108756708674274E-4</v>
      </c>
      <c r="H59" s="725">
        <f t="shared" si="2"/>
        <v>8.0211613078631327E-5</v>
      </c>
    </row>
    <row r="60" spans="1:8">
      <c r="A60" s="3" t="s">
        <v>4045</v>
      </c>
      <c r="B60" s="3" t="s">
        <v>4046</v>
      </c>
      <c r="C60" s="721">
        <v>9398.16</v>
      </c>
      <c r="D60" s="722">
        <v>1.9900000000000001E-2</v>
      </c>
      <c r="E60" s="723">
        <v>0.20499999999999999</v>
      </c>
      <c r="F60" s="724">
        <f t="shared" si="0"/>
        <v>0.22693975</v>
      </c>
      <c r="G60" s="724">
        <f t="shared" si="1"/>
        <v>2.8566107192183474E-4</v>
      </c>
      <c r="H60" s="725">
        <f t="shared" si="2"/>
        <v>6.4827852246673198E-5</v>
      </c>
    </row>
    <row r="61" spans="1:8">
      <c r="A61" s="3" t="s">
        <v>2387</v>
      </c>
      <c r="B61" s="3" t="s">
        <v>1568</v>
      </c>
      <c r="C61" s="721">
        <v>18157.88</v>
      </c>
      <c r="D61" s="722">
        <v>4.6300000000000001E-2</v>
      </c>
      <c r="E61" s="723">
        <v>0.04</v>
      </c>
      <c r="F61" s="724">
        <f t="shared" si="0"/>
        <v>8.7225999999999998E-2</v>
      </c>
      <c r="G61" s="724">
        <f t="shared" si="1"/>
        <v>5.5191648840071305E-4</v>
      </c>
      <c r="H61" s="725">
        <f t="shared" si="2"/>
        <v>4.8141467617240596E-5</v>
      </c>
    </row>
    <row r="62" spans="1:8">
      <c r="A62" s="3" t="s">
        <v>2388</v>
      </c>
      <c r="B62" s="3" t="s">
        <v>1570</v>
      </c>
      <c r="C62" s="721">
        <v>72257</v>
      </c>
      <c r="D62" s="722">
        <v>1.44E-2</v>
      </c>
      <c r="E62" s="723">
        <v>4.4999999999999998E-2</v>
      </c>
      <c r="F62" s="724">
        <f t="shared" si="0"/>
        <v>5.9723999999999999E-2</v>
      </c>
      <c r="G62" s="724">
        <f t="shared" si="1"/>
        <v>2.1962822588523726E-3</v>
      </c>
      <c r="H62" s="725">
        <f t="shared" si="2"/>
        <v>1.3117076162769909E-4</v>
      </c>
    </row>
    <row r="63" spans="1:8">
      <c r="A63" s="3" t="s">
        <v>2389</v>
      </c>
      <c r="B63" s="3" t="s">
        <v>1572</v>
      </c>
      <c r="C63" s="721">
        <v>13410.76</v>
      </c>
      <c r="D63" s="722">
        <v>4.4600000000000001E-2</v>
      </c>
      <c r="E63" s="723">
        <v>0.04</v>
      </c>
      <c r="F63" s="724">
        <f t="shared" si="0"/>
        <v>8.5492000000000012E-2</v>
      </c>
      <c r="G63" s="724">
        <f t="shared" si="1"/>
        <v>4.0762575619977364E-4</v>
      </c>
      <c r="H63" s="725">
        <f t="shared" si="2"/>
        <v>3.4848741149031052E-5</v>
      </c>
    </row>
    <row r="64" spans="1:8">
      <c r="A64" s="3" t="s">
        <v>2390</v>
      </c>
      <c r="B64" s="3" t="s">
        <v>1574</v>
      </c>
      <c r="C64" s="721">
        <v>32016.47</v>
      </c>
      <c r="D64" s="722">
        <v>1.23E-2</v>
      </c>
      <c r="E64" s="723">
        <v>0.14499999999999999</v>
      </c>
      <c r="F64" s="724">
        <f t="shared" si="0"/>
        <v>0.15819174999999999</v>
      </c>
      <c r="G64" s="724">
        <f t="shared" si="1"/>
        <v>9.7315422799284807E-4</v>
      </c>
      <c r="H64" s="725">
        <f t="shared" si="2"/>
        <v>1.5394497034608762E-4</v>
      </c>
    </row>
    <row r="65" spans="1:8">
      <c r="A65" s="3" t="s">
        <v>2391</v>
      </c>
      <c r="B65" s="3" t="s">
        <v>1576</v>
      </c>
      <c r="C65" s="721">
        <v>41307.839999999997</v>
      </c>
      <c r="D65" s="722">
        <v>0</v>
      </c>
      <c r="E65" s="723">
        <v>-0.105</v>
      </c>
      <c r="F65" s="724">
        <f t="shared" si="0"/>
        <v>-0.105</v>
      </c>
      <c r="G65" s="724">
        <f t="shared" si="1"/>
        <v>1.2555693724277562E-3</v>
      </c>
      <c r="H65" s="725">
        <f t="shared" si="2"/>
        <v>-1.3183478410491441E-4</v>
      </c>
    </row>
    <row r="66" spans="1:8">
      <c r="A66" s="3" t="s">
        <v>3027</v>
      </c>
      <c r="B66" s="3" t="s">
        <v>3015</v>
      </c>
      <c r="C66" s="721">
        <v>12306.58</v>
      </c>
      <c r="D66" s="722">
        <v>0</v>
      </c>
      <c r="E66" s="723">
        <v>0.15</v>
      </c>
      <c r="F66" s="724">
        <f t="shared" si="0"/>
        <v>0.15</v>
      </c>
      <c r="G66" s="724">
        <f t="shared" si="1"/>
        <v>3.7406373529412279E-4</v>
      </c>
      <c r="H66" s="725">
        <f t="shared" si="2"/>
        <v>5.6109560294118414E-5</v>
      </c>
    </row>
    <row r="67" spans="1:8">
      <c r="A67" s="3" t="s">
        <v>2392</v>
      </c>
      <c r="B67" s="3" t="s">
        <v>1578</v>
      </c>
      <c r="C67" s="721">
        <v>36194.78</v>
      </c>
      <c r="D67" s="722">
        <v>3.39E-2</v>
      </c>
      <c r="E67" s="723">
        <v>0.06</v>
      </c>
      <c r="F67" s="724">
        <f t="shared" si="0"/>
        <v>9.4917000000000001E-2</v>
      </c>
      <c r="G67" s="724">
        <f t="shared" si="1"/>
        <v>1.1001557382269492E-3</v>
      </c>
      <c r="H67" s="725">
        <f t="shared" si="2"/>
        <v>1.0442348220528734E-4</v>
      </c>
    </row>
    <row r="68" spans="1:8">
      <c r="A68" s="3" t="s">
        <v>2393</v>
      </c>
      <c r="B68" s="3" t="s">
        <v>2310</v>
      </c>
      <c r="C68" s="721">
        <v>77040.509999999995</v>
      </c>
      <c r="D68" s="722">
        <v>0</v>
      </c>
      <c r="E68" s="723">
        <v>0.22</v>
      </c>
      <c r="F68" s="724">
        <f t="shared" ref="F68:F131" si="3">IFERROR(D68*(1+0.5*E68)+E68,"N/A")</f>
        <v>0.22</v>
      </c>
      <c r="G68" s="724">
        <f t="shared" ref="G68:G131" si="4">IF(F68="N/A","N/A",C68/$C$504)</f>
        <v>2.3416790805865007E-3</v>
      </c>
      <c r="H68" s="725">
        <f t="shared" si="2"/>
        <v>5.1516939772903016E-4</v>
      </c>
    </row>
    <row r="69" spans="1:8">
      <c r="A69" s="3" t="s">
        <v>2890</v>
      </c>
      <c r="B69" s="3" t="s">
        <v>2891</v>
      </c>
      <c r="C69" s="721">
        <v>29614.15</v>
      </c>
      <c r="D69" s="722">
        <v>2.5899999999999999E-2</v>
      </c>
      <c r="E69" s="723" t="s">
        <v>4148</v>
      </c>
      <c r="F69" s="724" t="str">
        <f t="shared" si="3"/>
        <v>N/A</v>
      </c>
      <c r="G69" s="724" t="str">
        <f t="shared" si="4"/>
        <v>N/A</v>
      </c>
      <c r="H69" s="725" t="str">
        <f t="shared" ref="H69:H132" si="5">IF(ISNUMBER(G69),F69*G69,"N/A")</f>
        <v>N/A</v>
      </c>
    </row>
    <row r="70" spans="1:8">
      <c r="A70" s="3" t="s">
        <v>2394</v>
      </c>
      <c r="B70" s="3" t="s">
        <v>1580</v>
      </c>
      <c r="C70" s="721">
        <v>107270.39999999999</v>
      </c>
      <c r="D70" s="722">
        <v>2.8399999999999998E-2</v>
      </c>
      <c r="E70" s="723">
        <v>8.5000000000000006E-2</v>
      </c>
      <c r="F70" s="724">
        <f t="shared" si="3"/>
        <v>0.114607</v>
      </c>
      <c r="G70" s="724">
        <f t="shared" si="4"/>
        <v>3.2605294493266747E-3</v>
      </c>
      <c r="H70" s="725">
        <f t="shared" si="5"/>
        <v>3.7367949859898222E-4</v>
      </c>
    </row>
    <row r="71" spans="1:8">
      <c r="A71" s="3" t="s">
        <v>2396</v>
      </c>
      <c r="B71" s="3" t="s">
        <v>1582</v>
      </c>
      <c r="C71" s="721">
        <v>155911.29999999999</v>
      </c>
      <c r="D71" s="722">
        <v>3.1099999999999999E-2</v>
      </c>
      <c r="E71" s="723">
        <v>0.44</v>
      </c>
      <c r="F71" s="724">
        <f t="shared" si="3"/>
        <v>0.47794199999999998</v>
      </c>
      <c r="G71" s="724">
        <f t="shared" si="4"/>
        <v>4.7389903005191176E-3</v>
      </c>
      <c r="H71" s="725">
        <f t="shared" si="5"/>
        <v>2.2649625022107081E-3</v>
      </c>
    </row>
    <row r="72" spans="1:8">
      <c r="A72" s="3" t="s">
        <v>2398</v>
      </c>
      <c r="B72" s="3" t="s">
        <v>2399</v>
      </c>
      <c r="C72" s="721">
        <v>16046.04</v>
      </c>
      <c r="D72" s="722">
        <v>2.1299999999999999E-2</v>
      </c>
      <c r="E72" s="723">
        <v>9.5000000000000001E-2</v>
      </c>
      <c r="F72" s="724">
        <f t="shared" si="3"/>
        <v>0.11731175000000001</v>
      </c>
      <c r="G72" s="724">
        <f t="shared" si="4"/>
        <v>4.8772621305666613E-4</v>
      </c>
      <c r="H72" s="725">
        <f t="shared" si="5"/>
        <v>5.7216015574550353E-5</v>
      </c>
    </row>
    <row r="73" spans="1:8">
      <c r="A73" s="3" t="s">
        <v>2400</v>
      </c>
      <c r="B73" s="3" t="s">
        <v>1584</v>
      </c>
      <c r="C73" s="721" t="s">
        <v>4379</v>
      </c>
      <c r="D73" s="722">
        <v>0</v>
      </c>
      <c r="E73" s="723" t="s">
        <v>4148</v>
      </c>
      <c r="F73" s="724" t="str">
        <f t="shared" si="3"/>
        <v>N/A</v>
      </c>
      <c r="G73" s="724" t="str">
        <f t="shared" si="4"/>
        <v>N/A</v>
      </c>
      <c r="H73" s="725" t="str">
        <f t="shared" si="5"/>
        <v>N/A</v>
      </c>
    </row>
    <row r="74" spans="1:8">
      <c r="A74" s="3" t="s">
        <v>4076</v>
      </c>
      <c r="B74" s="3" t="s">
        <v>4077</v>
      </c>
      <c r="C74" s="721">
        <v>16142.43</v>
      </c>
      <c r="D74" s="722">
        <v>8.1000000000000013E-3</v>
      </c>
      <c r="E74" s="723">
        <v>0.08</v>
      </c>
      <c r="F74" s="724">
        <f t="shared" si="3"/>
        <v>8.8424000000000003E-2</v>
      </c>
      <c r="G74" s="724">
        <f t="shared" si="4"/>
        <v>4.9065602811860869E-4</v>
      </c>
      <c r="H74" s="725">
        <f t="shared" si="5"/>
        <v>4.3385768630359859E-5</v>
      </c>
    </row>
    <row r="75" spans="1:8">
      <c r="A75" s="3" t="s">
        <v>2401</v>
      </c>
      <c r="B75" s="3" t="s">
        <v>1586</v>
      </c>
      <c r="C75" s="721">
        <v>65991.539999999994</v>
      </c>
      <c r="D75" s="722">
        <v>0</v>
      </c>
      <c r="E75" s="723">
        <v>0.17</v>
      </c>
      <c r="F75" s="724">
        <f t="shared" si="3"/>
        <v>0.17</v>
      </c>
      <c r="G75" s="724">
        <f t="shared" si="4"/>
        <v>2.0058409363293062E-3</v>
      </c>
      <c r="H75" s="725">
        <f t="shared" si="5"/>
        <v>3.4099295917598211E-4</v>
      </c>
    </row>
    <row r="76" spans="1:8">
      <c r="A76" s="3" t="s">
        <v>2402</v>
      </c>
      <c r="B76" s="3" t="s">
        <v>1588</v>
      </c>
      <c r="C76" s="721">
        <v>9600.31</v>
      </c>
      <c r="D76" s="722">
        <v>1.66E-2</v>
      </c>
      <c r="E76" s="723">
        <v>9.5000000000000001E-2</v>
      </c>
      <c r="F76" s="724">
        <f t="shared" si="3"/>
        <v>0.1123885</v>
      </c>
      <c r="G76" s="724">
        <f t="shared" si="4"/>
        <v>2.9180550718246011E-4</v>
      </c>
      <c r="H76" s="725">
        <f t="shared" si="5"/>
        <v>3.2795583243975916E-5</v>
      </c>
    </row>
    <row r="77" spans="1:8">
      <c r="A77" s="3" t="s">
        <v>2403</v>
      </c>
      <c r="B77" s="3" t="s">
        <v>1590</v>
      </c>
      <c r="C77" s="721">
        <v>10568.35</v>
      </c>
      <c r="D77" s="722">
        <v>5.8099999999999999E-2</v>
      </c>
      <c r="E77" s="723">
        <v>-0.01</v>
      </c>
      <c r="F77" s="724">
        <f t="shared" si="3"/>
        <v>4.7809499999999998E-2</v>
      </c>
      <c r="G77" s="724">
        <f t="shared" si="4"/>
        <v>3.2122949486336927E-4</v>
      </c>
      <c r="H77" s="725">
        <f t="shared" si="5"/>
        <v>1.5357821534670254E-5</v>
      </c>
    </row>
    <row r="78" spans="1:8">
      <c r="A78" s="3" t="s">
        <v>2404</v>
      </c>
      <c r="B78" s="3" t="s">
        <v>1592</v>
      </c>
      <c r="C78" s="721">
        <v>86790.38</v>
      </c>
      <c r="D78" s="722">
        <v>4.8899999999999999E-2</v>
      </c>
      <c r="E78" s="723">
        <v>3.5000000000000003E-2</v>
      </c>
      <c r="F78" s="724">
        <f t="shared" si="3"/>
        <v>8.4755750000000005E-2</v>
      </c>
      <c r="G78" s="724">
        <f t="shared" si="4"/>
        <v>2.6380305276036339E-3</v>
      </c>
      <c r="H78" s="725">
        <f t="shared" si="5"/>
        <v>2.2358825588994171E-4</v>
      </c>
    </row>
    <row r="79" spans="1:8">
      <c r="A79" s="3" t="s">
        <v>2405</v>
      </c>
      <c r="B79" s="3" t="s">
        <v>1311</v>
      </c>
      <c r="C79" s="721">
        <v>18585.509999999998</v>
      </c>
      <c r="D79" s="722">
        <v>3.4000000000000002E-2</v>
      </c>
      <c r="E79" s="723">
        <v>3.5000000000000003E-2</v>
      </c>
      <c r="F79" s="724">
        <f t="shared" si="3"/>
        <v>6.9595000000000018E-2</v>
      </c>
      <c r="G79" s="724">
        <f t="shared" si="4"/>
        <v>5.6491448419839396E-4</v>
      </c>
      <c r="H79" s="725">
        <f t="shared" si="5"/>
        <v>3.9315223527787241E-5</v>
      </c>
    </row>
    <row r="80" spans="1:8">
      <c r="A80" s="3" t="s">
        <v>2406</v>
      </c>
      <c r="B80" s="3" t="s">
        <v>1595</v>
      </c>
      <c r="C80" s="721">
        <v>20960</v>
      </c>
      <c r="D80" s="722">
        <v>2.4799999999999999E-2</v>
      </c>
      <c r="E80" s="723">
        <v>0.05</v>
      </c>
      <c r="F80" s="724">
        <f t="shared" si="3"/>
        <v>7.5420000000000001E-2</v>
      </c>
      <c r="G80" s="724">
        <f t="shared" si="4"/>
        <v>6.3708811804455943E-4</v>
      </c>
      <c r="H80" s="725">
        <f t="shared" si="5"/>
        <v>4.8049185862920676E-5</v>
      </c>
    </row>
    <row r="81" spans="1:8">
      <c r="A81" s="3" t="s">
        <v>2994</v>
      </c>
      <c r="B81" s="3" t="s">
        <v>2995</v>
      </c>
      <c r="C81" s="721">
        <v>35198.269999999997</v>
      </c>
      <c r="D81" s="722">
        <v>1.7600000000000001E-2</v>
      </c>
      <c r="E81" s="723" t="s">
        <v>4148</v>
      </c>
      <c r="F81" s="724" t="str">
        <f t="shared" si="3"/>
        <v>N/A</v>
      </c>
      <c r="G81" s="724" t="str">
        <f t="shared" si="4"/>
        <v>N/A</v>
      </c>
      <c r="H81" s="725" t="str">
        <f t="shared" si="5"/>
        <v>N/A</v>
      </c>
    </row>
    <row r="82" spans="1:8">
      <c r="A82" s="3" t="s">
        <v>2407</v>
      </c>
      <c r="B82" s="3" t="s">
        <v>1597</v>
      </c>
      <c r="C82" s="721">
        <v>125798.5</v>
      </c>
      <c r="D82" s="722">
        <v>1.9900000000000001E-2</v>
      </c>
      <c r="E82" s="723">
        <v>0.11</v>
      </c>
      <c r="F82" s="724">
        <f t="shared" si="3"/>
        <v>0.13099450000000001</v>
      </c>
      <c r="G82" s="724">
        <f t="shared" si="4"/>
        <v>3.8236989321483064E-3</v>
      </c>
      <c r="H82" s="725">
        <f t="shared" si="5"/>
        <v>5.0088352976730135E-4</v>
      </c>
    </row>
    <row r="83" spans="1:8">
      <c r="A83" s="3" t="s">
        <v>2408</v>
      </c>
      <c r="B83" s="3" t="s">
        <v>1599</v>
      </c>
      <c r="C83" s="721">
        <v>90789.78</v>
      </c>
      <c r="D83" s="722">
        <v>1.55E-2</v>
      </c>
      <c r="E83" s="723">
        <v>0.14499999999999999</v>
      </c>
      <c r="F83" s="724">
        <f t="shared" si="3"/>
        <v>0.16162374999999998</v>
      </c>
      <c r="G83" s="724">
        <f t="shared" si="4"/>
        <v>2.7595939922652468E-3</v>
      </c>
      <c r="H83" s="725">
        <f t="shared" si="5"/>
        <v>4.4601592950738015E-4</v>
      </c>
    </row>
    <row r="84" spans="1:8">
      <c r="A84" s="3" t="s">
        <v>2410</v>
      </c>
      <c r="B84" s="3" t="s">
        <v>2225</v>
      </c>
      <c r="C84" s="721">
        <v>13386.49</v>
      </c>
      <c r="D84" s="722">
        <v>1.5900000000000001E-2</v>
      </c>
      <c r="E84" s="723">
        <v>0.1</v>
      </c>
      <c r="F84" s="724">
        <f t="shared" si="3"/>
        <v>0.11669500000000001</v>
      </c>
      <c r="G84" s="724">
        <f t="shared" si="4"/>
        <v>4.0688805922339284E-4</v>
      </c>
      <c r="H84" s="725">
        <f t="shared" si="5"/>
        <v>4.7481802071073832E-5</v>
      </c>
    </row>
    <row r="85" spans="1:8">
      <c r="A85" s="3" t="s">
        <v>2411</v>
      </c>
      <c r="B85" s="3" t="s">
        <v>2312</v>
      </c>
      <c r="C85" s="721">
        <v>24292.75</v>
      </c>
      <c r="D85" s="722">
        <v>0</v>
      </c>
      <c r="E85" s="723">
        <v>7.4999999999999997E-2</v>
      </c>
      <c r="F85" s="724">
        <f t="shared" si="3"/>
        <v>7.4999999999999997E-2</v>
      </c>
      <c r="G85" s="724">
        <f t="shared" si="4"/>
        <v>7.3838847231044702E-4</v>
      </c>
      <c r="H85" s="725">
        <f t="shared" si="5"/>
        <v>5.5379135423283521E-5</v>
      </c>
    </row>
    <row r="86" spans="1:8">
      <c r="A86" s="3" t="s">
        <v>4276</v>
      </c>
      <c r="B86" s="3" t="s">
        <v>1601</v>
      </c>
      <c r="C86" s="721">
        <v>58238.5</v>
      </c>
      <c r="D86" s="722">
        <v>4.6500000000000007E-2</v>
      </c>
      <c r="E86" s="723">
        <v>0.105</v>
      </c>
      <c r="F86" s="724">
        <f t="shared" si="3"/>
        <v>0.15394125</v>
      </c>
      <c r="G86" s="724">
        <f t="shared" si="4"/>
        <v>1.7701839867718546E-3</v>
      </c>
      <c r="H86" s="725">
        <f t="shared" si="5"/>
        <v>2.7250433565364276E-4</v>
      </c>
    </row>
    <row r="87" spans="1:8">
      <c r="A87" s="3" t="s">
        <v>2412</v>
      </c>
      <c r="B87" s="3" t="s">
        <v>1603</v>
      </c>
      <c r="C87" s="721">
        <v>9435.75</v>
      </c>
      <c r="D87" s="722">
        <v>0</v>
      </c>
      <c r="E87" s="723" t="s">
        <v>4148</v>
      </c>
      <c r="F87" s="724" t="str">
        <f t="shared" si="3"/>
        <v>N/A</v>
      </c>
      <c r="G87" s="724" t="str">
        <f t="shared" si="4"/>
        <v>N/A</v>
      </c>
      <c r="H87" s="725" t="str">
        <f t="shared" si="5"/>
        <v>N/A</v>
      </c>
    </row>
    <row r="88" spans="1:8">
      <c r="A88" s="3" t="s">
        <v>4079</v>
      </c>
      <c r="B88" s="3" t="s">
        <v>4080</v>
      </c>
      <c r="C88" s="721">
        <v>9905.5</v>
      </c>
      <c r="D88" s="722">
        <v>0</v>
      </c>
      <c r="E88" s="723" t="s">
        <v>4148</v>
      </c>
      <c r="F88" s="724" t="str">
        <f t="shared" si="3"/>
        <v>N/A</v>
      </c>
      <c r="G88" s="724" t="str">
        <f t="shared" si="4"/>
        <v>N/A</v>
      </c>
      <c r="H88" s="725" t="str">
        <f t="shared" si="5"/>
        <v>N/A</v>
      </c>
    </row>
    <row r="89" spans="1:8">
      <c r="A89" s="3" t="s">
        <v>2413</v>
      </c>
      <c r="B89" s="3" t="s">
        <v>2288</v>
      </c>
      <c r="C89" s="721">
        <v>45374.61</v>
      </c>
      <c r="D89" s="722">
        <v>0</v>
      </c>
      <c r="E89" s="723">
        <v>0.115</v>
      </c>
      <c r="F89" s="724">
        <f t="shared" si="3"/>
        <v>0.115</v>
      </c>
      <c r="G89" s="724">
        <f t="shared" si="4"/>
        <v>1.3791805769039049E-3</v>
      </c>
      <c r="H89" s="725">
        <f t="shared" si="5"/>
        <v>1.5860576634394908E-4</v>
      </c>
    </row>
    <row r="90" spans="1:8">
      <c r="A90" s="3" t="s">
        <v>2893</v>
      </c>
      <c r="B90" s="3" t="s">
        <v>2894</v>
      </c>
      <c r="C90" s="721">
        <v>24501.48</v>
      </c>
      <c r="D90" s="722">
        <v>1.3000000000000001E-2</v>
      </c>
      <c r="E90" s="723">
        <v>8.5000000000000006E-2</v>
      </c>
      <c r="F90" s="724">
        <f t="shared" si="3"/>
        <v>9.8552500000000001E-2</v>
      </c>
      <c r="G90" s="724">
        <f t="shared" si="4"/>
        <v>7.4473290947072574E-4</v>
      </c>
      <c r="H90" s="725">
        <f t="shared" si="5"/>
        <v>7.3395290060613696E-5</v>
      </c>
    </row>
    <row r="91" spans="1:8">
      <c r="A91" s="3" t="s">
        <v>2415</v>
      </c>
      <c r="B91" s="3" t="s">
        <v>2416</v>
      </c>
      <c r="C91" s="721">
        <v>11169.28</v>
      </c>
      <c r="D91" s="722">
        <v>2.7200000000000002E-2</v>
      </c>
      <c r="E91" s="723">
        <v>7.4999999999999997E-2</v>
      </c>
      <c r="F91" s="724">
        <f t="shared" si="3"/>
        <v>0.10322000000000001</v>
      </c>
      <c r="G91" s="724">
        <f t="shared" si="4"/>
        <v>3.3949501789660004E-4</v>
      </c>
      <c r="H91" s="725">
        <f t="shared" si="5"/>
        <v>3.504267574728706E-5</v>
      </c>
    </row>
    <row r="92" spans="1:8">
      <c r="A92" s="3" t="s">
        <v>4278</v>
      </c>
      <c r="B92" s="3" t="s">
        <v>4240</v>
      </c>
      <c r="C92" s="721">
        <v>29315.55</v>
      </c>
      <c r="D92" s="722">
        <v>6.3E-3</v>
      </c>
      <c r="E92" s="723" t="s">
        <v>4148</v>
      </c>
      <c r="F92" s="724" t="str">
        <f t="shared" si="3"/>
        <v>N/A</v>
      </c>
      <c r="G92" s="724" t="str">
        <f t="shared" si="4"/>
        <v>N/A</v>
      </c>
      <c r="H92" s="725" t="str">
        <f t="shared" si="5"/>
        <v>N/A</v>
      </c>
    </row>
    <row r="93" spans="1:8">
      <c r="A93" s="3" t="s">
        <v>2417</v>
      </c>
      <c r="B93" s="3" t="s">
        <v>1605</v>
      </c>
      <c r="C93" s="721">
        <v>18495.09</v>
      </c>
      <c r="D93" s="722">
        <v>1.7100000000000001E-2</v>
      </c>
      <c r="E93" s="723">
        <v>0.33500000000000002</v>
      </c>
      <c r="F93" s="724">
        <f t="shared" si="3"/>
        <v>0.35496425000000004</v>
      </c>
      <c r="G93" s="724">
        <f t="shared" si="4"/>
        <v>5.6216612982656249E-4</v>
      </c>
      <c r="H93" s="725">
        <f t="shared" si="5"/>
        <v>1.9954887864928841E-4</v>
      </c>
    </row>
    <row r="94" spans="1:8">
      <c r="A94" s="3" t="s">
        <v>2418</v>
      </c>
      <c r="B94" s="3" t="s">
        <v>1607</v>
      </c>
      <c r="C94" s="721">
        <v>19189.16</v>
      </c>
      <c r="D94" s="722">
        <v>4.4400000000000002E-2</v>
      </c>
      <c r="E94" s="723">
        <v>0.08</v>
      </c>
      <c r="F94" s="724">
        <f t="shared" si="3"/>
        <v>0.12617600000000001</v>
      </c>
      <c r="G94" s="724">
        <f t="shared" si="4"/>
        <v>5.8326268278892834E-4</v>
      </c>
      <c r="H94" s="725">
        <f t="shared" si="5"/>
        <v>7.3593752263575825E-5</v>
      </c>
    </row>
    <row r="95" spans="1:8">
      <c r="A95" s="3" t="s">
        <v>2419</v>
      </c>
      <c r="B95" s="3" t="s">
        <v>1609</v>
      </c>
      <c r="C95" s="721">
        <v>19677.25</v>
      </c>
      <c r="D95" s="722">
        <v>1.3000000000000001E-2</v>
      </c>
      <c r="E95" s="723">
        <v>0.06</v>
      </c>
      <c r="F95" s="724">
        <f t="shared" si="3"/>
        <v>7.3389999999999997E-2</v>
      </c>
      <c r="G95" s="724">
        <f t="shared" si="4"/>
        <v>5.9809838601108337E-4</v>
      </c>
      <c r="H95" s="725">
        <f t="shared" si="5"/>
        <v>4.389444054935341E-5</v>
      </c>
    </row>
    <row r="96" spans="1:8">
      <c r="A96" s="3" t="s">
        <v>2420</v>
      </c>
      <c r="B96" s="3" t="s">
        <v>1611</v>
      </c>
      <c r="C96" s="721">
        <v>11205.59</v>
      </c>
      <c r="D96" s="722">
        <v>2.63E-2</v>
      </c>
      <c r="E96" s="723">
        <v>8.5000000000000006E-2</v>
      </c>
      <c r="F96" s="724">
        <f t="shared" si="3"/>
        <v>0.11241775000000001</v>
      </c>
      <c r="G96" s="724">
        <f t="shared" si="4"/>
        <v>3.4059867579575069E-4</v>
      </c>
      <c r="H96" s="725">
        <f t="shared" si="5"/>
        <v>3.8289336785937753E-5</v>
      </c>
    </row>
    <row r="97" spans="1:8">
      <c r="A97" s="3" t="s">
        <v>2421</v>
      </c>
      <c r="B97" s="3" t="s">
        <v>1613</v>
      </c>
      <c r="C97" s="721">
        <v>50023.64</v>
      </c>
      <c r="D97" s="722">
        <v>0</v>
      </c>
      <c r="E97" s="723">
        <v>0.23</v>
      </c>
      <c r="F97" s="724">
        <f t="shared" si="3"/>
        <v>0.23</v>
      </c>
      <c r="G97" s="724">
        <f t="shared" si="4"/>
        <v>1.5204898218195871E-3</v>
      </c>
      <c r="H97" s="725">
        <f t="shared" si="5"/>
        <v>3.4971265901850504E-4</v>
      </c>
    </row>
    <row r="98" spans="1:8">
      <c r="A98" s="3" t="s">
        <v>2422</v>
      </c>
      <c r="B98" s="3" t="s">
        <v>1615</v>
      </c>
      <c r="C98" s="721">
        <v>104090.5</v>
      </c>
      <c r="D98" s="722">
        <v>1.38E-2</v>
      </c>
      <c r="E98" s="723">
        <v>0.1</v>
      </c>
      <c r="F98" s="724">
        <f t="shared" si="3"/>
        <v>0.11449000000000001</v>
      </c>
      <c r="G98" s="724">
        <f t="shared" si="4"/>
        <v>3.1638750358452868E-3</v>
      </c>
      <c r="H98" s="725">
        <f t="shared" si="5"/>
        <v>3.6223205285392689E-4</v>
      </c>
    </row>
    <row r="99" spans="1:8">
      <c r="A99" s="3" t="s">
        <v>2423</v>
      </c>
      <c r="B99" s="3" t="s">
        <v>1617</v>
      </c>
      <c r="C99" s="721">
        <v>16424.8</v>
      </c>
      <c r="D99" s="722">
        <v>2.81E-2</v>
      </c>
      <c r="E99" s="723">
        <v>0.09</v>
      </c>
      <c r="F99" s="724">
        <f t="shared" si="3"/>
        <v>0.1193645</v>
      </c>
      <c r="G99" s="724">
        <f t="shared" si="4"/>
        <v>4.9923878441117744E-4</v>
      </c>
      <c r="H99" s="725">
        <f t="shared" si="5"/>
        <v>5.9591387881847991E-5</v>
      </c>
    </row>
    <row r="100" spans="1:8">
      <c r="A100" s="3" t="s">
        <v>2424</v>
      </c>
      <c r="B100" s="3" t="s">
        <v>1619</v>
      </c>
      <c r="C100" s="721">
        <v>65973.55</v>
      </c>
      <c r="D100" s="722">
        <v>2.3799999999999998E-2</v>
      </c>
      <c r="E100" s="723">
        <v>6.5000000000000002E-2</v>
      </c>
      <c r="F100" s="724">
        <f t="shared" si="3"/>
        <v>8.95735E-2</v>
      </c>
      <c r="G100" s="724">
        <f t="shared" si="4"/>
        <v>2.0052941226249353E-3</v>
      </c>
      <c r="H100" s="725">
        <f t="shared" si="5"/>
        <v>1.7962121309294464E-4</v>
      </c>
    </row>
    <row r="101" spans="1:8">
      <c r="A101" s="3" t="s">
        <v>2425</v>
      </c>
      <c r="B101" s="3" t="s">
        <v>1621</v>
      </c>
      <c r="C101" s="721">
        <v>17713.919999999998</v>
      </c>
      <c r="D101" s="722">
        <v>3.2899999999999999E-2</v>
      </c>
      <c r="E101" s="723">
        <v>7.4999999999999997E-2</v>
      </c>
      <c r="F101" s="724">
        <f t="shared" si="3"/>
        <v>0.10913375</v>
      </c>
      <c r="G101" s="724">
        <f t="shared" si="4"/>
        <v>5.3842213530495614E-4</v>
      </c>
      <c r="H101" s="725">
        <f t="shared" si="5"/>
        <v>5.8760026708837256E-5</v>
      </c>
    </row>
    <row r="102" spans="1:8">
      <c r="A102" s="3" t="s">
        <v>2426</v>
      </c>
      <c r="B102" s="3" t="s">
        <v>1623</v>
      </c>
      <c r="C102" s="721">
        <v>8513.7900000000009</v>
      </c>
      <c r="D102" s="722">
        <v>4.1799999999999997E-2</v>
      </c>
      <c r="E102" s="723">
        <v>0.09</v>
      </c>
      <c r="F102" s="724">
        <f t="shared" si="3"/>
        <v>0.13368099999999999</v>
      </c>
      <c r="G102" s="724">
        <f t="shared" si="4"/>
        <v>2.5878026949077243E-4</v>
      </c>
      <c r="H102" s="725">
        <f t="shared" si="5"/>
        <v>3.4594005205795946E-5</v>
      </c>
    </row>
    <row r="103" spans="1:8">
      <c r="A103" s="3" t="s">
        <v>2427</v>
      </c>
      <c r="B103" s="3" t="s">
        <v>1625</v>
      </c>
      <c r="C103" s="721">
        <v>151665.20000000001</v>
      </c>
      <c r="D103" s="722">
        <v>3.0800000000000001E-2</v>
      </c>
      <c r="E103" s="723">
        <v>8.5000000000000006E-2</v>
      </c>
      <c r="F103" s="724">
        <f t="shared" si="3"/>
        <v>0.117109</v>
      </c>
      <c r="G103" s="724">
        <f t="shared" si="4"/>
        <v>4.6099282843917802E-3</v>
      </c>
      <c r="H103" s="725">
        <f t="shared" si="5"/>
        <v>5.3986409145683704E-4</v>
      </c>
    </row>
    <row r="104" spans="1:8">
      <c r="A104" s="3" t="s">
        <v>2428</v>
      </c>
      <c r="B104" s="3" t="s">
        <v>1627</v>
      </c>
      <c r="C104" s="721">
        <v>62039.59</v>
      </c>
      <c r="D104" s="722">
        <v>2.3099999999999999E-2</v>
      </c>
      <c r="E104" s="723">
        <v>8.5000000000000006E-2</v>
      </c>
      <c r="F104" s="724">
        <f t="shared" si="3"/>
        <v>0.10908175000000001</v>
      </c>
      <c r="G104" s="724">
        <f t="shared" si="4"/>
        <v>1.8857197346066825E-3</v>
      </c>
      <c r="H104" s="725">
        <f t="shared" si="5"/>
        <v>2.0569760866043249E-4</v>
      </c>
    </row>
    <row r="105" spans="1:8">
      <c r="A105" s="3" t="s">
        <v>2429</v>
      </c>
      <c r="B105" s="3" t="s">
        <v>1629</v>
      </c>
      <c r="C105" s="721">
        <v>39550.449999999997</v>
      </c>
      <c r="D105" s="722">
        <v>0</v>
      </c>
      <c r="E105" s="723">
        <v>0.23</v>
      </c>
      <c r="F105" s="724">
        <f t="shared" si="3"/>
        <v>0.23</v>
      </c>
      <c r="G105" s="724">
        <f t="shared" si="4"/>
        <v>1.2021527556448208E-3</v>
      </c>
      <c r="H105" s="725">
        <f t="shared" si="5"/>
        <v>2.7649513379830878E-4</v>
      </c>
    </row>
    <row r="106" spans="1:8">
      <c r="A106" s="3" t="s">
        <v>2430</v>
      </c>
      <c r="B106" s="3" t="s">
        <v>1631</v>
      </c>
      <c r="C106" s="721">
        <v>34153.019999999997</v>
      </c>
      <c r="D106" s="722">
        <v>2.5899999999999999E-2</v>
      </c>
      <c r="E106" s="723">
        <v>8.5000000000000006E-2</v>
      </c>
      <c r="F106" s="724">
        <f t="shared" si="3"/>
        <v>0.11200075000000001</v>
      </c>
      <c r="G106" s="724">
        <f t="shared" si="4"/>
        <v>1.0380955743004865E-3</v>
      </c>
      <c r="H106" s="725">
        <f t="shared" si="5"/>
        <v>1.1626748289333521E-4</v>
      </c>
    </row>
    <row r="107" spans="1:8">
      <c r="A107" s="3" t="s">
        <v>2431</v>
      </c>
      <c r="B107" s="3" t="s">
        <v>207</v>
      </c>
      <c r="C107" s="721">
        <v>18190.2</v>
      </c>
      <c r="D107" s="722">
        <v>2.9399999999999999E-2</v>
      </c>
      <c r="E107" s="723">
        <v>6.5000000000000002E-2</v>
      </c>
      <c r="F107" s="724">
        <f t="shared" si="3"/>
        <v>9.5355499999999996E-2</v>
      </c>
      <c r="G107" s="724">
        <f t="shared" si="4"/>
        <v>5.5289886855220153E-4</v>
      </c>
      <c r="H107" s="725">
        <f t="shared" si="5"/>
        <v>5.2721948060229449E-5</v>
      </c>
    </row>
    <row r="108" spans="1:8">
      <c r="A108" s="3" t="s">
        <v>2432</v>
      </c>
      <c r="B108" s="3" t="s">
        <v>1634</v>
      </c>
      <c r="C108" s="721">
        <v>46547.93</v>
      </c>
      <c r="D108" s="722">
        <v>0</v>
      </c>
      <c r="E108" s="723">
        <v>0.1</v>
      </c>
      <c r="F108" s="724">
        <f t="shared" si="3"/>
        <v>0.1</v>
      </c>
      <c r="G108" s="724">
        <f t="shared" si="4"/>
        <v>1.4148441375271892E-3</v>
      </c>
      <c r="H108" s="725">
        <f t="shared" si="5"/>
        <v>1.4148441375271892E-4</v>
      </c>
    </row>
    <row r="109" spans="1:8">
      <c r="A109" s="3" t="s">
        <v>2433</v>
      </c>
      <c r="B109" s="3" t="s">
        <v>206</v>
      </c>
      <c r="C109" s="721">
        <v>19219.61</v>
      </c>
      <c r="D109" s="722">
        <v>2.4900000000000002E-2</v>
      </c>
      <c r="E109" s="723">
        <v>6.5000000000000002E-2</v>
      </c>
      <c r="F109" s="724">
        <f t="shared" si="3"/>
        <v>9.0709250000000005E-2</v>
      </c>
      <c r="G109" s="724">
        <f t="shared" si="4"/>
        <v>5.8418822349477078E-4</v>
      </c>
      <c r="H109" s="725">
        <f t="shared" si="5"/>
        <v>5.2991275612043036E-5</v>
      </c>
    </row>
    <row r="110" spans="1:8">
      <c r="A110" s="3" t="s">
        <v>2434</v>
      </c>
      <c r="B110" s="3" t="s">
        <v>1637</v>
      </c>
      <c r="C110" s="721">
        <v>34270.89</v>
      </c>
      <c r="D110" s="722">
        <v>2.6800000000000001E-2</v>
      </c>
      <c r="E110" s="723">
        <v>-0.01</v>
      </c>
      <c r="F110" s="724">
        <f t="shared" si="3"/>
        <v>1.6666E-2</v>
      </c>
      <c r="G110" s="724">
        <f t="shared" si="4"/>
        <v>1.0416782831017227E-3</v>
      </c>
      <c r="H110" s="725">
        <f t="shared" si="5"/>
        <v>1.7360610266173312E-5</v>
      </c>
    </row>
    <row r="111" spans="1:8">
      <c r="A111" s="3" t="s">
        <v>2435</v>
      </c>
      <c r="B111" s="3" t="s">
        <v>1639</v>
      </c>
      <c r="C111" s="721">
        <v>16204.42</v>
      </c>
      <c r="D111" s="722">
        <v>2.0000000000000001E-4</v>
      </c>
      <c r="E111" s="723">
        <v>0.12</v>
      </c>
      <c r="F111" s="724">
        <f t="shared" si="3"/>
        <v>0.120212</v>
      </c>
      <c r="G111" s="724">
        <f t="shared" si="4"/>
        <v>4.9254024054406576E-4</v>
      </c>
      <c r="H111" s="725">
        <f t="shared" si="5"/>
        <v>5.920924739628323E-5</v>
      </c>
    </row>
    <row r="112" spans="1:8">
      <c r="A112" s="3" t="s">
        <v>2436</v>
      </c>
      <c r="B112" s="3" t="s">
        <v>1641</v>
      </c>
      <c r="C112" s="721">
        <v>144893.1</v>
      </c>
      <c r="D112" s="722">
        <v>1.7500000000000002E-2</v>
      </c>
      <c r="E112" s="723">
        <v>0.2</v>
      </c>
      <c r="F112" s="724">
        <f t="shared" si="3"/>
        <v>0.21925</v>
      </c>
      <c r="G112" s="724">
        <f t="shared" si="4"/>
        <v>4.4040874235039195E-3</v>
      </c>
      <c r="H112" s="725">
        <f t="shared" si="5"/>
        <v>9.6559616760323434E-4</v>
      </c>
    </row>
    <row r="113" spans="1:8">
      <c r="A113" s="3" t="s">
        <v>2437</v>
      </c>
      <c r="B113" s="3" t="s">
        <v>1643</v>
      </c>
      <c r="C113" s="721">
        <v>204537.3</v>
      </c>
      <c r="D113" s="722">
        <v>7.8000000000000005E-3</v>
      </c>
      <c r="E113" s="723">
        <v>0.105</v>
      </c>
      <c r="F113" s="724">
        <f t="shared" si="3"/>
        <v>0.11320949999999999</v>
      </c>
      <c r="G113" s="724">
        <f t="shared" si="4"/>
        <v>6.2169982598719205E-3</v>
      </c>
      <c r="H113" s="725">
        <f t="shared" si="5"/>
        <v>7.0382326450097008E-4</v>
      </c>
    </row>
    <row r="114" spans="1:8">
      <c r="A114" s="3" t="s">
        <v>2438</v>
      </c>
      <c r="B114" s="3" t="s">
        <v>1645</v>
      </c>
      <c r="C114" s="721">
        <v>17016.09</v>
      </c>
      <c r="D114" s="722">
        <v>2.6000000000000002E-2</v>
      </c>
      <c r="E114" s="723">
        <v>4.4999999999999998E-2</v>
      </c>
      <c r="F114" s="724">
        <f t="shared" si="3"/>
        <v>7.1584999999999996E-2</v>
      </c>
      <c r="G114" s="724">
        <f t="shared" si="4"/>
        <v>5.1721129554278854E-4</v>
      </c>
      <c r="H114" s="725">
        <f t="shared" si="5"/>
        <v>3.7024570591430519E-5</v>
      </c>
    </row>
    <row r="115" spans="1:8">
      <c r="A115" s="3" t="s">
        <v>2440</v>
      </c>
      <c r="B115" s="3" t="s">
        <v>2441</v>
      </c>
      <c r="C115" s="721">
        <v>29071.77</v>
      </c>
      <c r="D115" s="722">
        <v>0</v>
      </c>
      <c r="E115" s="723">
        <v>7.0000000000000007E-2</v>
      </c>
      <c r="F115" s="724">
        <f t="shared" si="3"/>
        <v>7.0000000000000007E-2</v>
      </c>
      <c r="G115" s="724">
        <f t="shared" si="4"/>
        <v>8.8364881858417376E-4</v>
      </c>
      <c r="H115" s="725">
        <f t="shared" si="5"/>
        <v>6.1855417300892175E-5</v>
      </c>
    </row>
    <row r="116" spans="1:8">
      <c r="A116" s="3" t="s">
        <v>4280</v>
      </c>
      <c r="B116" s="3" t="s">
        <v>4281</v>
      </c>
      <c r="C116" s="721">
        <v>11421.36</v>
      </c>
      <c r="D116" s="722">
        <v>3.7100000000000001E-2</v>
      </c>
      <c r="E116" s="723">
        <v>3.5000000000000003E-2</v>
      </c>
      <c r="F116" s="724">
        <f t="shared" si="3"/>
        <v>7.2749250000000015E-2</v>
      </c>
      <c r="G116" s="724">
        <f t="shared" si="4"/>
        <v>3.4715709675140312E-4</v>
      </c>
      <c r="H116" s="725">
        <f t="shared" si="5"/>
        <v>2.5255418420842019E-5</v>
      </c>
    </row>
    <row r="117" spans="1:8">
      <c r="A117" s="3" t="s">
        <v>4282</v>
      </c>
      <c r="B117" s="3" t="s">
        <v>3982</v>
      </c>
      <c r="C117" s="721">
        <v>11208.71</v>
      </c>
      <c r="D117" s="722">
        <v>0</v>
      </c>
      <c r="E117" s="723">
        <v>0.11</v>
      </c>
      <c r="F117" s="724">
        <f t="shared" si="3"/>
        <v>0.11</v>
      </c>
      <c r="G117" s="724">
        <f t="shared" si="4"/>
        <v>3.4069350952324585E-4</v>
      </c>
      <c r="H117" s="725">
        <f t="shared" si="5"/>
        <v>3.7476286047557045E-5</v>
      </c>
    </row>
    <row r="118" spans="1:8">
      <c r="A118" s="3" t="s">
        <v>4283</v>
      </c>
      <c r="B118" s="3" t="s">
        <v>1647</v>
      </c>
      <c r="C118" s="721">
        <v>130430.3</v>
      </c>
      <c r="D118" s="722">
        <v>0</v>
      </c>
      <c r="E118" s="723">
        <v>0.2</v>
      </c>
      <c r="F118" s="724">
        <f t="shared" si="3"/>
        <v>0.2</v>
      </c>
      <c r="G118" s="724">
        <f t="shared" si="4"/>
        <v>3.9644844638829814E-3</v>
      </c>
      <c r="H118" s="725">
        <f t="shared" si="5"/>
        <v>7.9289689277659632E-4</v>
      </c>
    </row>
    <row r="119" spans="1:8">
      <c r="A119" s="3" t="s">
        <v>4284</v>
      </c>
      <c r="B119" s="3" t="s">
        <v>1649</v>
      </c>
      <c r="C119" s="721">
        <v>195549</v>
      </c>
      <c r="D119" s="722">
        <v>3.2500000000000001E-2</v>
      </c>
      <c r="E119" s="723">
        <v>0.09</v>
      </c>
      <c r="F119" s="724">
        <f t="shared" si="3"/>
        <v>0.1239625</v>
      </c>
      <c r="G119" s="724">
        <f t="shared" si="4"/>
        <v>5.943795057037001E-3</v>
      </c>
      <c r="H119" s="725">
        <f t="shared" si="5"/>
        <v>7.3680769475794922E-4</v>
      </c>
    </row>
    <row r="120" spans="1:8">
      <c r="A120" s="3" t="s">
        <v>4286</v>
      </c>
      <c r="B120" s="3" t="s">
        <v>4287</v>
      </c>
      <c r="C120" s="721">
        <v>31691.89</v>
      </c>
      <c r="D120" s="722">
        <v>0</v>
      </c>
      <c r="E120" s="723">
        <v>0.155</v>
      </c>
      <c r="F120" s="724">
        <f t="shared" si="3"/>
        <v>0.155</v>
      </c>
      <c r="G120" s="724">
        <f t="shared" si="4"/>
        <v>9.6328848079080113E-4</v>
      </c>
      <c r="H120" s="725">
        <f t="shared" si="5"/>
        <v>1.4930971452257417E-4</v>
      </c>
    </row>
    <row r="121" spans="1:8">
      <c r="A121" s="3" t="s">
        <v>2442</v>
      </c>
      <c r="B121" s="3" t="s">
        <v>1651</v>
      </c>
      <c r="C121" s="721">
        <v>65618.880000000005</v>
      </c>
      <c r="D121" s="722">
        <v>1.2800000000000001E-2</v>
      </c>
      <c r="E121" s="723">
        <v>0.105</v>
      </c>
      <c r="F121" s="724">
        <f t="shared" si="3"/>
        <v>0.11847199999999999</v>
      </c>
      <c r="G121" s="724">
        <f t="shared" si="4"/>
        <v>1.9945137770702188E-3</v>
      </c>
      <c r="H121" s="725">
        <f t="shared" si="5"/>
        <v>2.3629403619706294E-4</v>
      </c>
    </row>
    <row r="122" spans="1:8">
      <c r="A122" s="3" t="s">
        <v>2443</v>
      </c>
      <c r="B122" s="3" t="s">
        <v>1653</v>
      </c>
      <c r="C122" s="721">
        <v>47150.91</v>
      </c>
      <c r="D122" s="722">
        <v>9.8999999999999991E-3</v>
      </c>
      <c r="E122" s="723">
        <v>0.14000000000000001</v>
      </c>
      <c r="F122" s="724">
        <f t="shared" si="3"/>
        <v>0.150593</v>
      </c>
      <c r="G122" s="724">
        <f t="shared" si="4"/>
        <v>1.4331719711826525E-3</v>
      </c>
      <c r="H122" s="725">
        <f t="shared" si="5"/>
        <v>2.158256666563092E-4</v>
      </c>
    </row>
    <row r="123" spans="1:8">
      <c r="A123" s="3" t="s">
        <v>3912</v>
      </c>
      <c r="B123" s="3" t="s">
        <v>3913</v>
      </c>
      <c r="C123" s="721">
        <v>7819.39</v>
      </c>
      <c r="D123" s="722">
        <v>0</v>
      </c>
      <c r="E123" s="723">
        <v>0.15</v>
      </c>
      <c r="F123" s="724">
        <f t="shared" si="3"/>
        <v>0.15</v>
      </c>
      <c r="G123" s="724">
        <f t="shared" si="4"/>
        <v>2.3767368603799845E-4</v>
      </c>
      <c r="H123" s="725">
        <f t="shared" si="5"/>
        <v>3.5651052905699767E-5</v>
      </c>
    </row>
    <row r="124" spans="1:8">
      <c r="A124" s="3" t="s">
        <v>4082</v>
      </c>
      <c r="B124" s="3" t="s">
        <v>4083</v>
      </c>
      <c r="C124" s="721">
        <v>20395.2</v>
      </c>
      <c r="D124" s="722">
        <v>2.3900000000000001E-2</v>
      </c>
      <c r="E124" s="723" t="s">
        <v>4148</v>
      </c>
      <c r="F124" s="724" t="str">
        <f t="shared" si="3"/>
        <v>N/A</v>
      </c>
      <c r="G124" s="724" t="str">
        <f t="shared" si="4"/>
        <v>N/A</v>
      </c>
      <c r="H124" s="725" t="str">
        <f t="shared" si="5"/>
        <v>N/A</v>
      </c>
    </row>
    <row r="125" spans="1:8">
      <c r="A125" s="3" t="s">
        <v>2444</v>
      </c>
      <c r="B125" s="3" t="s">
        <v>1655</v>
      </c>
      <c r="C125" s="721">
        <v>28593.82</v>
      </c>
      <c r="D125" s="722">
        <v>1.9400000000000001E-2</v>
      </c>
      <c r="E125" s="723">
        <v>7.4999999999999997E-2</v>
      </c>
      <c r="F125" s="724">
        <f t="shared" si="3"/>
        <v>9.5127500000000004E-2</v>
      </c>
      <c r="G125" s="724">
        <f t="shared" si="4"/>
        <v>8.6912132497637799E-4</v>
      </c>
      <c r="H125" s="725">
        <f t="shared" si="5"/>
        <v>8.2677338841690405E-5</v>
      </c>
    </row>
    <row r="126" spans="1:8">
      <c r="A126" s="3" t="s">
        <v>2896</v>
      </c>
      <c r="B126" s="3" t="s">
        <v>2897</v>
      </c>
      <c r="C126" s="721">
        <v>42536.6</v>
      </c>
      <c r="D126" s="722">
        <v>1.04E-2</v>
      </c>
      <c r="E126" s="723">
        <v>0.16500000000000001</v>
      </c>
      <c r="F126" s="724">
        <f t="shared" si="3"/>
        <v>0.176258</v>
      </c>
      <c r="G126" s="724">
        <f t="shared" si="4"/>
        <v>1.292918055439609E-3</v>
      </c>
      <c r="H126" s="725">
        <f t="shared" si="5"/>
        <v>2.278871506156746E-4</v>
      </c>
    </row>
    <row r="127" spans="1:8">
      <c r="A127" s="3" t="s">
        <v>2445</v>
      </c>
      <c r="B127" s="3" t="s">
        <v>1657</v>
      </c>
      <c r="C127" s="721">
        <v>123767.8</v>
      </c>
      <c r="D127" s="722">
        <v>2.5699999999999997E-2</v>
      </c>
      <c r="E127" s="723">
        <v>0.06</v>
      </c>
      <c r="F127" s="724">
        <f t="shared" si="3"/>
        <v>8.6470999999999992E-2</v>
      </c>
      <c r="G127" s="724">
        <f t="shared" si="4"/>
        <v>3.7619749416276443E-3</v>
      </c>
      <c r="H127" s="725">
        <f t="shared" si="5"/>
        <v>3.25301735177484E-4</v>
      </c>
    </row>
    <row r="128" spans="1:8">
      <c r="A128" s="3" t="s">
        <v>2446</v>
      </c>
      <c r="B128" s="3" t="s">
        <v>1659</v>
      </c>
      <c r="C128" s="721">
        <v>337806.8</v>
      </c>
      <c r="D128" s="722">
        <v>3.32E-2</v>
      </c>
      <c r="E128" s="723">
        <v>0.45</v>
      </c>
      <c r="F128" s="724">
        <f t="shared" si="3"/>
        <v>0.49067</v>
      </c>
      <c r="G128" s="724">
        <f t="shared" si="4"/>
        <v>1.0267781415775518E-2</v>
      </c>
      <c r="H128" s="725">
        <f t="shared" si="5"/>
        <v>5.0380923072785733E-3</v>
      </c>
    </row>
    <row r="129" spans="1:8">
      <c r="A129" s="3" t="s">
        <v>3984</v>
      </c>
      <c r="B129" s="3" t="s">
        <v>3985</v>
      </c>
      <c r="C129" s="721">
        <v>9655.65</v>
      </c>
      <c r="D129" s="722">
        <v>0</v>
      </c>
      <c r="E129" s="723" t="s">
        <v>4148</v>
      </c>
      <c r="F129" s="724" t="str">
        <f t="shared" si="3"/>
        <v>N/A</v>
      </c>
      <c r="G129" s="724" t="str">
        <f t="shared" si="4"/>
        <v>N/A</v>
      </c>
      <c r="H129" s="725" t="str">
        <f t="shared" si="5"/>
        <v>N/A</v>
      </c>
    </row>
    <row r="130" spans="1:8">
      <c r="A130" s="3" t="s">
        <v>2447</v>
      </c>
      <c r="B130" s="3" t="s">
        <v>209</v>
      </c>
      <c r="C130" s="721">
        <v>50021.65</v>
      </c>
      <c r="D130" s="722">
        <v>4.6500000000000007E-2</v>
      </c>
      <c r="E130" s="723">
        <v>5.5E-2</v>
      </c>
      <c r="F130" s="724">
        <f t="shared" si="3"/>
        <v>0.10277875</v>
      </c>
      <c r="G130" s="724">
        <f t="shared" si="4"/>
        <v>1.5204293349228835E-3</v>
      </c>
      <c r="H130" s="725">
        <f t="shared" si="5"/>
        <v>1.5626782650670531E-4</v>
      </c>
    </row>
    <row r="131" spans="1:8">
      <c r="A131" s="3" t="s">
        <v>2448</v>
      </c>
      <c r="B131" s="3" t="s">
        <v>1662</v>
      </c>
      <c r="C131" s="721">
        <v>21588.799999999999</v>
      </c>
      <c r="D131" s="722">
        <v>0</v>
      </c>
      <c r="E131" s="723" t="s">
        <v>4148</v>
      </c>
      <c r="F131" s="724" t="str">
        <f t="shared" si="3"/>
        <v>N/A</v>
      </c>
      <c r="G131" s="724" t="str">
        <f t="shared" si="4"/>
        <v>N/A</v>
      </c>
      <c r="H131" s="725" t="str">
        <f t="shared" si="5"/>
        <v>N/A</v>
      </c>
    </row>
    <row r="132" spans="1:8">
      <c r="A132" s="3" t="s">
        <v>2899</v>
      </c>
      <c r="B132" s="3" t="s">
        <v>2900</v>
      </c>
      <c r="C132" s="721">
        <v>33937.14</v>
      </c>
      <c r="D132" s="722">
        <v>2.0499999999999997E-2</v>
      </c>
      <c r="E132" s="723">
        <v>8.5000000000000006E-2</v>
      </c>
      <c r="F132" s="724">
        <f t="shared" ref="F132:F195" si="6">IFERROR(D132*(1+0.5*E132)+E132,"N/A")</f>
        <v>0.10637125</v>
      </c>
      <c r="G132" s="724">
        <f t="shared" ref="G132:G195" si="7">IF(F132="N/A","N/A",C132/$C$504)</f>
        <v>1.0315338098480314E-3</v>
      </c>
      <c r="H132" s="725">
        <f t="shared" si="5"/>
        <v>1.097255407707974E-4</v>
      </c>
    </row>
    <row r="133" spans="1:8">
      <c r="A133" s="3" t="s">
        <v>2449</v>
      </c>
      <c r="B133" s="3" t="s">
        <v>1664</v>
      </c>
      <c r="C133" s="721">
        <v>133295.79999999999</v>
      </c>
      <c r="D133" s="722">
        <v>1.09E-2</v>
      </c>
      <c r="E133" s="723">
        <v>0.16500000000000001</v>
      </c>
      <c r="F133" s="724">
        <f t="shared" si="6"/>
        <v>0.17679925000000002</v>
      </c>
      <c r="G133" s="724">
        <f t="shared" si="7"/>
        <v>4.051582555593701E-3</v>
      </c>
      <c r="H133" s="725">
        <f t="shared" ref="H133:H196" si="8">IF(ISNUMBER(G133),F133*G133,"N/A")</f>
        <v>7.1631675714204973E-4</v>
      </c>
    </row>
    <row r="134" spans="1:8">
      <c r="A134" s="3" t="s">
        <v>2450</v>
      </c>
      <c r="B134" s="3" t="s">
        <v>1666</v>
      </c>
      <c r="C134" s="721">
        <v>26721.41</v>
      </c>
      <c r="D134" s="722">
        <v>2.4500000000000001E-2</v>
      </c>
      <c r="E134" s="723">
        <v>8.5000000000000006E-2</v>
      </c>
      <c r="F134" s="724">
        <f t="shared" si="6"/>
        <v>0.11054125000000001</v>
      </c>
      <c r="G134" s="724">
        <f t="shared" si="7"/>
        <v>8.1220862635482209E-4</v>
      </c>
      <c r="H134" s="725">
        <f t="shared" si="8"/>
        <v>8.9782556818044989E-5</v>
      </c>
    </row>
    <row r="135" spans="1:8">
      <c r="A135" s="3" t="s">
        <v>2451</v>
      </c>
      <c r="B135" s="3" t="s">
        <v>1668</v>
      </c>
      <c r="C135" s="721">
        <v>54673.03</v>
      </c>
      <c r="D135" s="722">
        <v>9.0000000000000011E-3</v>
      </c>
      <c r="E135" s="723">
        <v>0.1</v>
      </c>
      <c r="F135" s="724">
        <f t="shared" si="6"/>
        <v>0.10945000000000001</v>
      </c>
      <c r="G135" s="724">
        <f t="shared" si="7"/>
        <v>1.6618100090884417E-3</v>
      </c>
      <c r="H135" s="725">
        <f t="shared" si="8"/>
        <v>1.8188510549472996E-4</v>
      </c>
    </row>
    <row r="136" spans="1:8">
      <c r="A136" s="3" t="s">
        <v>2452</v>
      </c>
      <c r="B136" s="3" t="s">
        <v>1670</v>
      </c>
      <c r="C136" s="721">
        <v>17704.2</v>
      </c>
      <c r="D136" s="722">
        <v>1.7000000000000001E-2</v>
      </c>
      <c r="E136" s="723">
        <v>0.04</v>
      </c>
      <c r="F136" s="724">
        <f t="shared" si="6"/>
        <v>5.7340000000000002E-2</v>
      </c>
      <c r="G136" s="724">
        <f t="shared" si="7"/>
        <v>5.3812669176929819E-4</v>
      </c>
      <c r="H136" s="725">
        <f t="shared" si="8"/>
        <v>3.0856184506051561E-5</v>
      </c>
    </row>
    <row r="137" spans="1:8">
      <c r="A137" s="3" t="s">
        <v>2453</v>
      </c>
      <c r="B137" s="3" t="s">
        <v>1672</v>
      </c>
      <c r="C137" s="721">
        <v>30869.78</v>
      </c>
      <c r="D137" s="722">
        <v>1.11E-2</v>
      </c>
      <c r="E137" s="723">
        <v>5.0000000000000001E-3</v>
      </c>
      <c r="F137" s="724">
        <f t="shared" si="6"/>
        <v>1.612775E-2</v>
      </c>
      <c r="G137" s="724">
        <f t="shared" si="7"/>
        <v>9.3830009755007532E-4</v>
      </c>
      <c r="H137" s="725">
        <f t="shared" si="8"/>
        <v>1.5132669398263227E-5</v>
      </c>
    </row>
    <row r="138" spans="1:8">
      <c r="A138" s="3" t="s">
        <v>2454</v>
      </c>
      <c r="B138" s="3" t="s">
        <v>1674</v>
      </c>
      <c r="C138" s="721">
        <v>189967.3</v>
      </c>
      <c r="D138" s="722">
        <v>3.8E-3</v>
      </c>
      <c r="E138" s="723">
        <v>0.16</v>
      </c>
      <c r="F138" s="724">
        <f t="shared" si="6"/>
        <v>0.164104</v>
      </c>
      <c r="G138" s="724">
        <f t="shared" si="7"/>
        <v>5.7741369106396098E-3</v>
      </c>
      <c r="H138" s="725">
        <f t="shared" si="8"/>
        <v>9.4755896358360249E-4</v>
      </c>
    </row>
    <row r="139" spans="1:8">
      <c r="A139" s="3" t="s">
        <v>2455</v>
      </c>
      <c r="B139" s="3" t="s">
        <v>1676</v>
      </c>
      <c r="C139" s="721">
        <v>154804.5</v>
      </c>
      <c r="D139" s="722">
        <v>0</v>
      </c>
      <c r="E139" s="723">
        <v>0.30499999999999999</v>
      </c>
      <c r="F139" s="724">
        <f t="shared" si="6"/>
        <v>0.30499999999999999</v>
      </c>
      <c r="G139" s="724">
        <f t="shared" si="7"/>
        <v>4.7053486435987115E-3</v>
      </c>
      <c r="H139" s="725">
        <f t="shared" si="8"/>
        <v>1.435131336297607E-3</v>
      </c>
    </row>
    <row r="140" spans="1:8">
      <c r="A140" s="3" t="s">
        <v>2456</v>
      </c>
      <c r="B140" s="3" t="s">
        <v>2227</v>
      </c>
      <c r="C140" s="721">
        <v>7387.43</v>
      </c>
      <c r="D140" s="722">
        <v>0</v>
      </c>
      <c r="E140" s="723">
        <v>-1.4999999999999999E-2</v>
      </c>
      <c r="F140" s="724">
        <f t="shared" si="6"/>
        <v>-1.4999999999999999E-2</v>
      </c>
      <c r="G140" s="724">
        <f t="shared" si="7"/>
        <v>2.2454407804799236E-4</v>
      </c>
      <c r="H140" s="725">
        <f t="shared" si="8"/>
        <v>-3.368161170719885E-6</v>
      </c>
    </row>
    <row r="141" spans="1:8">
      <c r="A141" s="3" t="s">
        <v>2457</v>
      </c>
      <c r="B141" s="3" t="s">
        <v>1678</v>
      </c>
      <c r="C141" s="721">
        <v>28569.48</v>
      </c>
      <c r="D141" s="722">
        <v>5.1399999999999994E-2</v>
      </c>
      <c r="E141" s="723">
        <v>-3.5000000000000003E-2</v>
      </c>
      <c r="F141" s="724">
        <f t="shared" si="6"/>
        <v>1.5500499999999993E-2</v>
      </c>
      <c r="G141" s="724">
        <f t="shared" si="7"/>
        <v>8.6838150032021364E-4</v>
      </c>
      <c r="H141" s="725">
        <f t="shared" si="8"/>
        <v>1.3460347445713466E-5</v>
      </c>
    </row>
    <row r="142" spans="1:8">
      <c r="A142" s="3" t="s">
        <v>2458</v>
      </c>
      <c r="B142" s="3" t="s">
        <v>1680</v>
      </c>
      <c r="C142" s="721">
        <v>31007.81</v>
      </c>
      <c r="D142" s="722">
        <v>0</v>
      </c>
      <c r="E142" s="723">
        <v>0.12</v>
      </c>
      <c r="F142" s="724">
        <f t="shared" si="6"/>
        <v>0.12</v>
      </c>
      <c r="G142" s="724">
        <f t="shared" si="7"/>
        <v>9.4249557812897287E-4</v>
      </c>
      <c r="H142" s="725">
        <f t="shared" si="8"/>
        <v>1.1309946937547674E-4</v>
      </c>
    </row>
    <row r="143" spans="1:8">
      <c r="A143" s="3" t="s">
        <v>2459</v>
      </c>
      <c r="B143" s="3" t="s">
        <v>1682</v>
      </c>
      <c r="C143" s="721">
        <v>18926.740000000002</v>
      </c>
      <c r="D143" s="722">
        <v>1.4999999999999999E-2</v>
      </c>
      <c r="E143" s="723">
        <v>0.08</v>
      </c>
      <c r="F143" s="724">
        <f t="shared" si="6"/>
        <v>9.5600000000000004E-2</v>
      </c>
      <c r="G143" s="724">
        <f t="shared" si="7"/>
        <v>5.7528631523467012E-4</v>
      </c>
      <c r="H143" s="725">
        <f t="shared" si="8"/>
        <v>5.4997371736434463E-5</v>
      </c>
    </row>
    <row r="144" spans="1:8">
      <c r="A144" s="3" t="s">
        <v>2461</v>
      </c>
      <c r="B144" s="3" t="s">
        <v>2462</v>
      </c>
      <c r="C144" s="721">
        <v>35659.47</v>
      </c>
      <c r="D144" s="722">
        <v>5.9200000000000003E-2</v>
      </c>
      <c r="E144" s="723">
        <v>0.13500000000000001</v>
      </c>
      <c r="F144" s="724">
        <f t="shared" si="6"/>
        <v>0.19819600000000001</v>
      </c>
      <c r="G144" s="724">
        <f t="shared" si="7"/>
        <v>1.0838847630136653E-3</v>
      </c>
      <c r="H144" s="725">
        <f t="shared" si="8"/>
        <v>2.1482162449025643E-4</v>
      </c>
    </row>
    <row r="145" spans="1:8">
      <c r="A145" s="3" t="s">
        <v>3029</v>
      </c>
      <c r="B145" s="3" t="s">
        <v>3030</v>
      </c>
      <c r="C145" s="721">
        <v>12684.17</v>
      </c>
      <c r="D145" s="722">
        <v>1.29E-2</v>
      </c>
      <c r="E145" s="723">
        <v>0.14000000000000001</v>
      </c>
      <c r="F145" s="724">
        <f t="shared" si="6"/>
        <v>0.15380300000000002</v>
      </c>
      <c r="G145" s="724">
        <f t="shared" si="7"/>
        <v>3.8554074400082343E-4</v>
      </c>
      <c r="H145" s="725">
        <f t="shared" si="8"/>
        <v>5.9297323049558653E-5</v>
      </c>
    </row>
    <row r="146" spans="1:8">
      <c r="A146" s="3" t="s">
        <v>2463</v>
      </c>
      <c r="B146" s="3" t="s">
        <v>1684</v>
      </c>
      <c r="C146" s="721">
        <v>16972.37</v>
      </c>
      <c r="D146" s="722">
        <v>3.49E-2</v>
      </c>
      <c r="E146" s="723">
        <v>0.215</v>
      </c>
      <c r="F146" s="724">
        <f t="shared" si="6"/>
        <v>0.25365175000000001</v>
      </c>
      <c r="G146" s="724">
        <f t="shared" si="7"/>
        <v>5.1588240754083675E-4</v>
      </c>
      <c r="H146" s="725">
        <f t="shared" si="8"/>
        <v>1.3085447546694643E-4</v>
      </c>
    </row>
    <row r="147" spans="1:8">
      <c r="A147" s="3" t="s">
        <v>2464</v>
      </c>
      <c r="B147" s="3" t="s">
        <v>210</v>
      </c>
      <c r="C147" s="721">
        <v>22751.119999999999</v>
      </c>
      <c r="D147" s="722">
        <v>3.2400000000000005E-2</v>
      </c>
      <c r="E147" s="723">
        <v>4.4999999999999998E-2</v>
      </c>
      <c r="F147" s="724">
        <f t="shared" si="6"/>
        <v>7.8129000000000004E-2</v>
      </c>
      <c r="G147" s="724">
        <f t="shared" si="7"/>
        <v>6.9152997252890916E-4</v>
      </c>
      <c r="H147" s="725">
        <f t="shared" si="8"/>
        <v>5.4028545223711148E-5</v>
      </c>
    </row>
    <row r="148" spans="1:8">
      <c r="A148" s="3" t="s">
        <v>2465</v>
      </c>
      <c r="B148" s="3" t="s">
        <v>211</v>
      </c>
      <c r="C148" s="721">
        <v>78478.399999999994</v>
      </c>
      <c r="D148" s="722">
        <v>3.9399999999999998E-2</v>
      </c>
      <c r="E148" s="723">
        <v>0.04</v>
      </c>
      <c r="F148" s="724">
        <f t="shared" si="6"/>
        <v>8.0188000000000009E-2</v>
      </c>
      <c r="G148" s="724">
        <f t="shared" si="7"/>
        <v>2.3853843589288237E-3</v>
      </c>
      <c r="H148" s="725">
        <f t="shared" si="8"/>
        <v>1.9127920097378453E-4</v>
      </c>
    </row>
    <row r="149" spans="1:8">
      <c r="A149" s="3" t="s">
        <v>2466</v>
      </c>
      <c r="B149" s="3" t="s">
        <v>1688</v>
      </c>
      <c r="C149" s="721">
        <v>6594.71</v>
      </c>
      <c r="D149" s="722">
        <v>0</v>
      </c>
      <c r="E149" s="723">
        <v>8.5000000000000006E-2</v>
      </c>
      <c r="F149" s="724">
        <f t="shared" si="6"/>
        <v>8.5000000000000006E-2</v>
      </c>
      <c r="G149" s="724">
        <f t="shared" si="7"/>
        <v>2.0044901636210097E-4</v>
      </c>
      <c r="H149" s="725">
        <f t="shared" si="8"/>
        <v>1.7038166390778585E-5</v>
      </c>
    </row>
    <row r="150" spans="1:8">
      <c r="A150" s="3" t="s">
        <v>2467</v>
      </c>
      <c r="B150" s="3" t="s">
        <v>1690</v>
      </c>
      <c r="C150" s="721">
        <v>40391.040000000001</v>
      </c>
      <c r="D150" s="722">
        <v>1.1699999999999999E-2</v>
      </c>
      <c r="E150" s="723">
        <v>0.33500000000000002</v>
      </c>
      <c r="F150" s="724">
        <f t="shared" si="6"/>
        <v>0.34865975000000005</v>
      </c>
      <c r="G150" s="724">
        <f t="shared" si="7"/>
        <v>1.2277028463484028E-3</v>
      </c>
      <c r="H150" s="725">
        <f t="shared" si="8"/>
        <v>4.2805056748212262E-4</v>
      </c>
    </row>
    <row r="151" spans="1:8">
      <c r="A151" s="3" t="s">
        <v>2468</v>
      </c>
      <c r="B151" s="3" t="s">
        <v>2256</v>
      </c>
      <c r="C151" s="721">
        <v>6162.77</v>
      </c>
      <c r="D151" s="722">
        <v>0</v>
      </c>
      <c r="E151" s="723">
        <v>0.12</v>
      </c>
      <c r="F151" s="724">
        <f t="shared" si="6"/>
        <v>0.12</v>
      </c>
      <c r="G151" s="724">
        <f t="shared" si="7"/>
        <v>1.8732001628060446E-4</v>
      </c>
      <c r="H151" s="725">
        <f t="shared" si="8"/>
        <v>2.2478401953672533E-5</v>
      </c>
    </row>
    <row r="152" spans="1:8">
      <c r="A152" s="3" t="s">
        <v>3986</v>
      </c>
      <c r="B152" s="3" t="s">
        <v>3032</v>
      </c>
      <c r="C152" s="721">
        <v>44320.31</v>
      </c>
      <c r="D152" s="722">
        <v>0</v>
      </c>
      <c r="E152" s="723">
        <v>0.30499999999999999</v>
      </c>
      <c r="F152" s="724">
        <f t="shared" si="6"/>
        <v>0.30499999999999999</v>
      </c>
      <c r="G152" s="724">
        <f t="shared" si="7"/>
        <v>1.3471346798211577E-3</v>
      </c>
      <c r="H152" s="725">
        <f t="shared" si="8"/>
        <v>4.1087607734545308E-4</v>
      </c>
    </row>
    <row r="153" spans="1:8">
      <c r="A153" s="3" t="s">
        <v>2469</v>
      </c>
      <c r="B153" s="3" t="s">
        <v>1692</v>
      </c>
      <c r="C153" s="721">
        <v>33935.440000000002</v>
      </c>
      <c r="D153" s="722">
        <v>6.5000000000000006E-3</v>
      </c>
      <c r="E153" s="723">
        <v>0.115</v>
      </c>
      <c r="F153" s="724">
        <f t="shared" si="6"/>
        <v>0.12187375</v>
      </c>
      <c r="G153" s="724">
        <f t="shared" si="7"/>
        <v>1.0314821376247168E-3</v>
      </c>
      <c r="H153" s="725">
        <f t="shared" si="8"/>
        <v>1.2571059617034032E-4</v>
      </c>
    </row>
    <row r="154" spans="1:8">
      <c r="A154" s="3" t="s">
        <v>2470</v>
      </c>
      <c r="B154" s="3" t="s">
        <v>1694</v>
      </c>
      <c r="C154" s="721">
        <v>22456.32</v>
      </c>
      <c r="D154" s="722">
        <v>2.35E-2</v>
      </c>
      <c r="E154" s="723">
        <v>0.125</v>
      </c>
      <c r="F154" s="724">
        <f t="shared" si="6"/>
        <v>0.14996875000000001</v>
      </c>
      <c r="G154" s="724">
        <f t="shared" si="7"/>
        <v>6.8256940109763357E-4</v>
      </c>
      <c r="H154" s="725">
        <f t="shared" si="8"/>
        <v>1.0236407987086074E-4</v>
      </c>
    </row>
    <row r="155" spans="1:8">
      <c r="A155" s="3" t="s">
        <v>2471</v>
      </c>
      <c r="B155" s="3" t="s">
        <v>1696</v>
      </c>
      <c r="C155" s="721">
        <v>41096.639999999999</v>
      </c>
      <c r="D155" s="722">
        <v>1.47E-2</v>
      </c>
      <c r="E155" s="723">
        <v>0.105</v>
      </c>
      <c r="F155" s="724">
        <f t="shared" si="6"/>
        <v>0.12047174999999999</v>
      </c>
      <c r="G155" s="724">
        <f t="shared" si="7"/>
        <v>1.249149858566544E-3</v>
      </c>
      <c r="H155" s="725">
        <f t="shared" si="8"/>
        <v>1.5048726947376403E-4</v>
      </c>
    </row>
    <row r="156" spans="1:8">
      <c r="A156" s="3" t="s">
        <v>2472</v>
      </c>
      <c r="B156" s="3" t="s">
        <v>208</v>
      </c>
      <c r="C156" s="721">
        <v>33980.6</v>
      </c>
      <c r="D156" s="722">
        <v>3.3599999999999998E-2</v>
      </c>
      <c r="E156" s="723">
        <v>0.04</v>
      </c>
      <c r="F156" s="724">
        <f t="shared" si="6"/>
        <v>7.4272000000000005E-2</v>
      </c>
      <c r="G156" s="724">
        <f t="shared" si="7"/>
        <v>1.0328547950393585E-3</v>
      </c>
      <c r="H156" s="725">
        <f t="shared" si="8"/>
        <v>7.6712191337163243E-5</v>
      </c>
    </row>
    <row r="157" spans="1:8">
      <c r="A157" s="3" t="s">
        <v>2473</v>
      </c>
      <c r="B157" s="3" t="s">
        <v>1699</v>
      </c>
      <c r="C157" s="721">
        <v>24115.25</v>
      </c>
      <c r="D157" s="722">
        <v>7.9000000000000008E-3</v>
      </c>
      <c r="E157" s="723">
        <v>7.0000000000000007E-2</v>
      </c>
      <c r="F157" s="724">
        <f t="shared" si="6"/>
        <v>7.817650000000001E-2</v>
      </c>
      <c r="G157" s="724">
        <f t="shared" si="7"/>
        <v>7.3299328428788461E-4</v>
      </c>
      <c r="H157" s="725">
        <f t="shared" si="8"/>
        <v>5.7302849489131817E-5</v>
      </c>
    </row>
    <row r="158" spans="1:8">
      <c r="A158" s="3" t="s">
        <v>2474</v>
      </c>
      <c r="B158" s="3" t="s">
        <v>199</v>
      </c>
      <c r="C158" s="721">
        <v>24905.759999999998</v>
      </c>
      <c r="D158" s="722">
        <v>4.5199999999999997E-2</v>
      </c>
      <c r="E158" s="723">
        <v>0.16</v>
      </c>
      <c r="F158" s="724">
        <f t="shared" si="6"/>
        <v>0.208816</v>
      </c>
      <c r="G158" s="724">
        <f t="shared" si="7"/>
        <v>7.5702117208346681E-4</v>
      </c>
      <c r="H158" s="725">
        <f t="shared" si="8"/>
        <v>1.5807813306978121E-4</v>
      </c>
    </row>
    <row r="159" spans="1:8">
      <c r="A159" s="3" t="s">
        <v>2475</v>
      </c>
      <c r="B159" s="3" t="s">
        <v>1702</v>
      </c>
      <c r="C159" s="721">
        <v>87069.15</v>
      </c>
      <c r="D159" s="722">
        <v>1.0800000000000001E-2</v>
      </c>
      <c r="E159" s="723">
        <v>0.14000000000000001</v>
      </c>
      <c r="F159" s="724">
        <f t="shared" si="6"/>
        <v>0.15155600000000002</v>
      </c>
      <c r="G159" s="724">
        <f t="shared" si="7"/>
        <v>2.6465038603644773E-3</v>
      </c>
      <c r="H159" s="725">
        <f t="shared" si="8"/>
        <v>4.0109353906139881E-4</v>
      </c>
    </row>
    <row r="160" spans="1:8">
      <c r="A160" s="3" t="s">
        <v>4289</v>
      </c>
      <c r="B160" s="3" t="s">
        <v>4290</v>
      </c>
      <c r="C160" s="721">
        <v>122078</v>
      </c>
      <c r="D160" s="722">
        <v>1.03E-2</v>
      </c>
      <c r="E160" s="723">
        <v>0.125</v>
      </c>
      <c r="F160" s="724">
        <f t="shared" si="6"/>
        <v>0.13594375</v>
      </c>
      <c r="G160" s="724">
        <f t="shared" si="7"/>
        <v>3.7106127516528492E-3</v>
      </c>
      <c r="H160" s="725">
        <f t="shared" si="8"/>
        <v>5.0443461225750707E-4</v>
      </c>
    </row>
    <row r="161" spans="1:8">
      <c r="A161" s="3" t="s">
        <v>2476</v>
      </c>
      <c r="B161" s="3" t="s">
        <v>1704</v>
      </c>
      <c r="C161" s="721">
        <v>9806.2900000000009</v>
      </c>
      <c r="D161" s="722">
        <v>3.8699999999999998E-2</v>
      </c>
      <c r="E161" s="723">
        <v>9.5000000000000001E-2</v>
      </c>
      <c r="F161" s="724">
        <f t="shared" si="6"/>
        <v>0.13553825</v>
      </c>
      <c r="G161" s="724">
        <f t="shared" si="7"/>
        <v>2.9806635692267093E-4</v>
      </c>
      <c r="H161" s="725">
        <f t="shared" si="8"/>
        <v>4.03993924011742E-5</v>
      </c>
    </row>
    <row r="162" spans="1:8">
      <c r="A162" s="3" t="s">
        <v>2477</v>
      </c>
      <c r="B162" s="3" t="s">
        <v>1706</v>
      </c>
      <c r="C162" s="721">
        <v>57235.69</v>
      </c>
      <c r="D162" s="722">
        <v>2.1899999999999999E-2</v>
      </c>
      <c r="E162" s="723">
        <v>9.5000000000000001E-2</v>
      </c>
      <c r="F162" s="724">
        <f t="shared" si="6"/>
        <v>0.11794025</v>
      </c>
      <c r="G162" s="724">
        <f t="shared" si="7"/>
        <v>1.7397031501470328E-3</v>
      </c>
      <c r="H162" s="725">
        <f t="shared" si="8"/>
        <v>2.0518102445412858E-4</v>
      </c>
    </row>
    <row r="163" spans="1:8">
      <c r="A163" s="3" t="s">
        <v>3941</v>
      </c>
      <c r="B163" s="3" t="s">
        <v>3942</v>
      </c>
      <c r="C163" s="721">
        <v>43080.25</v>
      </c>
      <c r="D163" s="722">
        <v>0</v>
      </c>
      <c r="E163" s="723">
        <v>0.26500000000000001</v>
      </c>
      <c r="F163" s="724">
        <f t="shared" si="6"/>
        <v>0.26500000000000001</v>
      </c>
      <c r="G163" s="724">
        <f t="shared" si="7"/>
        <v>1.3094425285013899E-3</v>
      </c>
      <c r="H163" s="725">
        <f t="shared" si="8"/>
        <v>3.4700227005286831E-4</v>
      </c>
    </row>
    <row r="164" spans="1:8">
      <c r="A164" s="3" t="s">
        <v>2478</v>
      </c>
      <c r="B164" s="3" t="s">
        <v>1708</v>
      </c>
      <c r="C164" s="721">
        <v>76347.73</v>
      </c>
      <c r="D164" s="722">
        <v>2.8799999999999999E-2</v>
      </c>
      <c r="E164" s="723">
        <v>0.26</v>
      </c>
      <c r="F164" s="724">
        <f t="shared" si="6"/>
        <v>0.29254400000000003</v>
      </c>
      <c r="G164" s="724">
        <f t="shared" si="7"/>
        <v>2.3206217377230031E-3</v>
      </c>
      <c r="H164" s="725">
        <f t="shared" si="8"/>
        <v>6.788839656404383E-4</v>
      </c>
    </row>
    <row r="165" spans="1:8">
      <c r="A165" s="3" t="s">
        <v>4292</v>
      </c>
      <c r="B165" s="3" t="s">
        <v>4293</v>
      </c>
      <c r="C165" s="721">
        <v>19492.599999999999</v>
      </c>
      <c r="D165" s="722">
        <v>0</v>
      </c>
      <c r="E165" s="723">
        <v>0.20499999999999999</v>
      </c>
      <c r="F165" s="724">
        <f t="shared" si="6"/>
        <v>0.20499999999999999</v>
      </c>
      <c r="G165" s="724">
        <f t="shared" si="7"/>
        <v>5.9248587069634436E-4</v>
      </c>
      <c r="H165" s="725">
        <f t="shared" si="8"/>
        <v>1.2145960349275058E-4</v>
      </c>
    </row>
    <row r="166" spans="1:8">
      <c r="A166" s="3" t="s">
        <v>2479</v>
      </c>
      <c r="B166" s="3" t="s">
        <v>1710</v>
      </c>
      <c r="C166" s="721">
        <v>61625.01</v>
      </c>
      <c r="D166" s="722">
        <v>1.8600000000000002E-2</v>
      </c>
      <c r="E166" s="723">
        <v>0.15</v>
      </c>
      <c r="F166" s="724">
        <f t="shared" si="6"/>
        <v>0.16999500000000001</v>
      </c>
      <c r="G166" s="724">
        <f t="shared" si="7"/>
        <v>1.8731183991115056E-3</v>
      </c>
      <c r="H166" s="725">
        <f t="shared" si="8"/>
        <v>3.1842076225696038E-4</v>
      </c>
    </row>
    <row r="167" spans="1:8">
      <c r="A167" s="3" t="s">
        <v>2480</v>
      </c>
      <c r="B167" s="3" t="s">
        <v>1712</v>
      </c>
      <c r="C167" s="721">
        <v>22197.4</v>
      </c>
      <c r="D167" s="722">
        <v>4.2300000000000004E-2</v>
      </c>
      <c r="E167" s="723">
        <v>-0.06</v>
      </c>
      <c r="F167" s="724">
        <f t="shared" si="6"/>
        <v>-1.8968999999999993E-2</v>
      </c>
      <c r="G167" s="724">
        <f t="shared" si="7"/>
        <v>6.7469941753255265E-4</v>
      </c>
      <c r="H167" s="725">
        <f t="shared" si="8"/>
        <v>-1.2798373251174987E-5</v>
      </c>
    </row>
    <row r="168" spans="1:8">
      <c r="A168" s="3" t="s">
        <v>4295</v>
      </c>
      <c r="B168" s="3" t="s">
        <v>4296</v>
      </c>
      <c r="C168" s="721">
        <v>13489.46</v>
      </c>
      <c r="D168" s="722">
        <v>1.6399999999999998E-2</v>
      </c>
      <c r="E168" s="723" t="s">
        <v>4148</v>
      </c>
      <c r="F168" s="724" t="str">
        <f t="shared" si="6"/>
        <v>N/A</v>
      </c>
      <c r="G168" s="724" t="str">
        <f t="shared" si="7"/>
        <v>N/A</v>
      </c>
      <c r="H168" s="725" t="str">
        <f t="shared" si="8"/>
        <v>N/A</v>
      </c>
    </row>
    <row r="169" spans="1:8">
      <c r="A169" s="3" t="s">
        <v>2481</v>
      </c>
      <c r="B169" s="3" t="s">
        <v>1359</v>
      </c>
      <c r="C169" s="721">
        <v>29170.37</v>
      </c>
      <c r="D169" s="722">
        <v>3.1699999999999999E-2</v>
      </c>
      <c r="E169" s="723">
        <v>6.5000000000000002E-2</v>
      </c>
      <c r="F169" s="724">
        <f t="shared" si="6"/>
        <v>9.7730249999999991E-2</v>
      </c>
      <c r="G169" s="724">
        <f t="shared" si="7"/>
        <v>8.8664580753642524E-4</v>
      </c>
      <c r="H169" s="725">
        <f t="shared" si="8"/>
        <v>8.6652116431986715E-5</v>
      </c>
    </row>
    <row r="170" spans="1:8">
      <c r="A170" s="3" t="s">
        <v>2482</v>
      </c>
      <c r="B170" s="3" t="s">
        <v>1715</v>
      </c>
      <c r="C170" s="721">
        <v>13000.5</v>
      </c>
      <c r="D170" s="722">
        <v>4.4500000000000005E-2</v>
      </c>
      <c r="E170" s="723">
        <v>-0.04</v>
      </c>
      <c r="F170" s="724">
        <f t="shared" si="6"/>
        <v>3.6100000000000021E-3</v>
      </c>
      <c r="G170" s="724">
        <f t="shared" si="7"/>
        <v>3.9515572894266671E-4</v>
      </c>
      <c r="H170" s="725">
        <f t="shared" si="8"/>
        <v>1.4265121814830276E-6</v>
      </c>
    </row>
    <row r="171" spans="1:8">
      <c r="A171" s="3" t="s">
        <v>2483</v>
      </c>
      <c r="B171" s="3" t="s">
        <v>1717</v>
      </c>
      <c r="C171" s="721">
        <v>62884.32</v>
      </c>
      <c r="D171" s="722">
        <v>2.0499999999999997E-2</v>
      </c>
      <c r="E171" s="723">
        <v>0.12</v>
      </c>
      <c r="F171" s="724">
        <f t="shared" si="6"/>
        <v>0.14172999999999999</v>
      </c>
      <c r="G171" s="724">
        <f t="shared" si="7"/>
        <v>1.9113956623717484E-3</v>
      </c>
      <c r="H171" s="725">
        <f t="shared" si="8"/>
        <v>2.7090210722794788E-4</v>
      </c>
    </row>
    <row r="172" spans="1:8">
      <c r="A172" s="3" t="s">
        <v>2484</v>
      </c>
      <c r="B172" s="3" t="s">
        <v>212</v>
      </c>
      <c r="C172" s="721">
        <v>23217.3</v>
      </c>
      <c r="D172" s="722">
        <v>3.7499999999999999E-2</v>
      </c>
      <c r="E172" s="723">
        <v>0.04</v>
      </c>
      <c r="F172" s="724">
        <f t="shared" si="6"/>
        <v>7.825E-2</v>
      </c>
      <c r="G172" s="724">
        <f t="shared" si="7"/>
        <v>7.0569971197881429E-4</v>
      </c>
      <c r="H172" s="725">
        <f t="shared" si="8"/>
        <v>5.5221002462342218E-5</v>
      </c>
    </row>
    <row r="173" spans="1:8">
      <c r="A173" s="3" t="s">
        <v>3915</v>
      </c>
      <c r="B173" s="3" t="s">
        <v>3916</v>
      </c>
      <c r="C173" s="721">
        <v>16880.18</v>
      </c>
      <c r="D173" s="722">
        <v>0</v>
      </c>
      <c r="E173" s="723">
        <v>0.245</v>
      </c>
      <c r="F173" s="724">
        <f t="shared" si="6"/>
        <v>0.245</v>
      </c>
      <c r="G173" s="724">
        <f t="shared" si="7"/>
        <v>5.1308025326590701E-4</v>
      </c>
      <c r="H173" s="725">
        <f t="shared" si="8"/>
        <v>1.2570466205014721E-4</v>
      </c>
    </row>
    <row r="174" spans="1:8">
      <c r="A174" s="3" t="s">
        <v>2486</v>
      </c>
      <c r="B174" s="3" t="s">
        <v>2334</v>
      </c>
      <c r="C174" s="721">
        <v>14465.11</v>
      </c>
      <c r="D174" s="722">
        <v>3.8900000000000004E-2</v>
      </c>
      <c r="E174" s="723">
        <v>7.4999999999999997E-2</v>
      </c>
      <c r="F174" s="724">
        <f t="shared" si="6"/>
        <v>0.11535875000000001</v>
      </c>
      <c r="G174" s="724">
        <f t="shared" si="7"/>
        <v>4.3967317305379473E-4</v>
      </c>
      <c r="H174" s="725">
        <f t="shared" si="8"/>
        <v>5.0720147652019445E-5</v>
      </c>
    </row>
    <row r="175" spans="1:8">
      <c r="A175" s="3" t="s">
        <v>2487</v>
      </c>
      <c r="B175" s="3" t="s">
        <v>1720</v>
      </c>
      <c r="C175" s="721">
        <v>46306.34</v>
      </c>
      <c r="D175" s="722">
        <v>0</v>
      </c>
      <c r="E175" s="723">
        <v>0.11</v>
      </c>
      <c r="F175" s="724">
        <f t="shared" si="6"/>
        <v>0.11</v>
      </c>
      <c r="G175" s="724">
        <f t="shared" si="7"/>
        <v>1.4075009066856633E-3</v>
      </c>
      <c r="H175" s="725">
        <f t="shared" si="8"/>
        <v>1.5482509973542297E-4</v>
      </c>
    </row>
    <row r="176" spans="1:8">
      <c r="A176" s="3" t="s">
        <v>2488</v>
      </c>
      <c r="B176" s="3" t="s">
        <v>213</v>
      </c>
      <c r="C176" s="721">
        <v>42363.22</v>
      </c>
      <c r="D176" s="722">
        <v>3.2799999999999996E-2</v>
      </c>
      <c r="E176" s="723">
        <v>-0.01</v>
      </c>
      <c r="F176" s="724">
        <f t="shared" si="6"/>
        <v>2.2635999999999996E-2</v>
      </c>
      <c r="G176" s="724">
        <f t="shared" si="7"/>
        <v>1.287648096570021E-3</v>
      </c>
      <c r="H176" s="725">
        <f t="shared" si="8"/>
        <v>2.9147202313958993E-5</v>
      </c>
    </row>
    <row r="177" spans="1:8">
      <c r="A177" s="3" t="s">
        <v>4297</v>
      </c>
      <c r="B177" s="3" t="s">
        <v>1722</v>
      </c>
      <c r="C177" s="721">
        <v>17122.169999999998</v>
      </c>
      <c r="D177" s="722">
        <v>1.2500000000000001E-2</v>
      </c>
      <c r="E177" s="723">
        <v>6.5000000000000002E-2</v>
      </c>
      <c r="F177" s="724">
        <f t="shared" si="6"/>
        <v>7.790625000000001E-2</v>
      </c>
      <c r="G177" s="724">
        <f t="shared" si="7"/>
        <v>5.2043564227762461E-4</v>
      </c>
      <c r="H177" s="725">
        <f t="shared" si="8"/>
        <v>4.0545189256191196E-5</v>
      </c>
    </row>
    <row r="178" spans="1:8">
      <c r="A178" s="3" t="s">
        <v>2489</v>
      </c>
      <c r="B178" s="3" t="s">
        <v>1724</v>
      </c>
      <c r="C178" s="721">
        <v>13534.82</v>
      </c>
      <c r="D178" s="722">
        <v>0</v>
      </c>
      <c r="E178" s="723" t="s">
        <v>4148</v>
      </c>
      <c r="F178" s="724" t="str">
        <f t="shared" si="6"/>
        <v>N/A</v>
      </c>
      <c r="G178" s="724" t="str">
        <f t="shared" si="7"/>
        <v>N/A</v>
      </c>
      <c r="H178" s="725" t="str">
        <f t="shared" si="8"/>
        <v>N/A</v>
      </c>
    </row>
    <row r="179" spans="1:8">
      <c r="A179" s="3" t="s">
        <v>2490</v>
      </c>
      <c r="B179" s="3" t="s">
        <v>1726</v>
      </c>
      <c r="C179" s="721">
        <v>19682.52</v>
      </c>
      <c r="D179" s="722">
        <v>4.2199999999999994E-2</v>
      </c>
      <c r="E179" s="723">
        <v>0.04</v>
      </c>
      <c r="F179" s="724">
        <f t="shared" si="6"/>
        <v>8.3043999999999993E-2</v>
      </c>
      <c r="G179" s="724">
        <f t="shared" si="7"/>
        <v>5.9825856990335883E-4</v>
      </c>
      <c r="H179" s="725">
        <f t="shared" si="8"/>
        <v>4.9681784679054529E-5</v>
      </c>
    </row>
    <row r="180" spans="1:8">
      <c r="A180" s="3" t="s">
        <v>2491</v>
      </c>
      <c r="B180" s="3" t="s">
        <v>1728</v>
      </c>
      <c r="C180" s="721">
        <v>48745.64</v>
      </c>
      <c r="D180" s="722">
        <v>5.0900000000000001E-2</v>
      </c>
      <c r="E180" s="723">
        <v>0.33500000000000002</v>
      </c>
      <c r="F180" s="724">
        <f t="shared" si="6"/>
        <v>0.39442575000000002</v>
      </c>
      <c r="G180" s="724">
        <f t="shared" si="7"/>
        <v>1.4816444680571372E-3</v>
      </c>
      <c r="H180" s="725">
        <f t="shared" si="8"/>
        <v>5.8439873054678742E-4</v>
      </c>
    </row>
    <row r="181" spans="1:8">
      <c r="A181" s="3" t="s">
        <v>2493</v>
      </c>
      <c r="B181" s="3" t="s">
        <v>2494</v>
      </c>
      <c r="C181" s="721">
        <v>24061.45</v>
      </c>
      <c r="D181" s="722">
        <v>2.1899999999999999E-2</v>
      </c>
      <c r="E181" s="723" t="s">
        <v>4148</v>
      </c>
      <c r="F181" s="724" t="str">
        <f t="shared" si="6"/>
        <v>N/A</v>
      </c>
      <c r="G181" s="724" t="str">
        <f t="shared" si="7"/>
        <v>N/A</v>
      </c>
      <c r="H181" s="725" t="str">
        <f t="shared" si="8"/>
        <v>N/A</v>
      </c>
    </row>
    <row r="182" spans="1:8">
      <c r="A182" s="3" t="s">
        <v>2495</v>
      </c>
      <c r="B182" s="3" t="s">
        <v>1730</v>
      </c>
      <c r="C182" s="721">
        <v>27457.83</v>
      </c>
      <c r="D182" s="722">
        <v>2.5899999999999999E-2</v>
      </c>
      <c r="E182" s="723">
        <v>8.5000000000000006E-2</v>
      </c>
      <c r="F182" s="724">
        <f t="shared" si="6"/>
        <v>0.11200075000000001</v>
      </c>
      <c r="G182" s="724">
        <f t="shared" si="7"/>
        <v>8.3459242558623313E-4</v>
      </c>
      <c r="H182" s="725">
        <f t="shared" si="8"/>
        <v>9.3474977609977312E-5</v>
      </c>
    </row>
    <row r="183" spans="1:8">
      <c r="A183" s="3" t="s">
        <v>2496</v>
      </c>
      <c r="B183" s="3" t="s">
        <v>1732</v>
      </c>
      <c r="C183" s="721">
        <v>54957.62</v>
      </c>
      <c r="D183" s="722">
        <v>2.0799999999999999E-2</v>
      </c>
      <c r="E183" s="723">
        <v>0.27500000000000002</v>
      </c>
      <c r="F183" s="724">
        <f t="shared" si="6"/>
        <v>0.29866000000000004</v>
      </c>
      <c r="G183" s="724">
        <f t="shared" si="7"/>
        <v>1.6704602432255744E-3</v>
      </c>
      <c r="H183" s="725">
        <f t="shared" si="8"/>
        <v>4.9889965624175009E-4</v>
      </c>
    </row>
    <row r="184" spans="1:8">
      <c r="A184" s="3" t="s">
        <v>4299</v>
      </c>
      <c r="B184" s="3" t="s">
        <v>4156</v>
      </c>
      <c r="C184" s="721">
        <v>15359.27</v>
      </c>
      <c r="D184" s="722">
        <v>9.1999999999999998E-3</v>
      </c>
      <c r="E184" s="723">
        <v>0.1</v>
      </c>
      <c r="F184" s="724">
        <f t="shared" si="6"/>
        <v>0.10966000000000001</v>
      </c>
      <c r="G184" s="724">
        <f t="shared" si="7"/>
        <v>4.668515467002987E-4</v>
      </c>
      <c r="H184" s="725">
        <f t="shared" si="8"/>
        <v>5.1194940611154759E-5</v>
      </c>
    </row>
    <row r="185" spans="1:8">
      <c r="A185" s="3" t="s">
        <v>2497</v>
      </c>
      <c r="B185" s="3" t="s">
        <v>1734</v>
      </c>
      <c r="C185" s="721">
        <v>42904.959999999999</v>
      </c>
      <c r="D185" s="722">
        <v>2.7099999999999999E-2</v>
      </c>
      <c r="E185" s="723">
        <v>0.11</v>
      </c>
      <c r="F185" s="724">
        <f t="shared" si="6"/>
        <v>0.13859050000000001</v>
      </c>
      <c r="G185" s="724">
        <f t="shared" si="7"/>
        <v>1.3041145143691364E-3</v>
      </c>
      <c r="H185" s="725">
        <f t="shared" si="8"/>
        <v>1.8073788260367579E-4</v>
      </c>
    </row>
    <row r="186" spans="1:8">
      <c r="A186" s="3" t="s">
        <v>2498</v>
      </c>
      <c r="B186" s="3" t="s">
        <v>200</v>
      </c>
      <c r="C186" s="721">
        <v>23853.54</v>
      </c>
      <c r="D186" s="722">
        <v>3.7400000000000003E-2</v>
      </c>
      <c r="E186" s="723">
        <v>0.03</v>
      </c>
      <c r="F186" s="724">
        <f t="shared" si="6"/>
        <v>6.7960999999999994E-2</v>
      </c>
      <c r="G186" s="724">
        <f t="shared" si="7"/>
        <v>7.2503849748571658E-4</v>
      </c>
      <c r="H186" s="725">
        <f t="shared" si="8"/>
        <v>4.9274341327626783E-5</v>
      </c>
    </row>
    <row r="187" spans="1:8">
      <c r="A187" s="3" t="s">
        <v>4094</v>
      </c>
      <c r="B187" s="3" t="s">
        <v>1737</v>
      </c>
      <c r="C187" s="721">
        <v>8506.7000000000007</v>
      </c>
      <c r="D187" s="722">
        <v>0</v>
      </c>
      <c r="E187" s="723">
        <v>0.115</v>
      </c>
      <c r="F187" s="724">
        <f t="shared" si="6"/>
        <v>0.115</v>
      </c>
      <c r="G187" s="724">
        <f t="shared" si="7"/>
        <v>2.5856476592412471E-4</v>
      </c>
      <c r="H187" s="725">
        <f t="shared" si="8"/>
        <v>2.9734948081274343E-5</v>
      </c>
    </row>
    <row r="188" spans="1:8">
      <c r="A188" s="3" t="s">
        <v>4300</v>
      </c>
      <c r="B188" s="3" t="s">
        <v>1739</v>
      </c>
      <c r="C188" s="721">
        <v>39958.36</v>
      </c>
      <c r="D188" s="722">
        <v>2.81E-2</v>
      </c>
      <c r="E188" s="723">
        <v>0.52</v>
      </c>
      <c r="F188" s="724">
        <f t="shared" si="6"/>
        <v>0.55540600000000007</v>
      </c>
      <c r="G188" s="724">
        <f t="shared" si="7"/>
        <v>1.2145513536520516E-3</v>
      </c>
      <c r="H188" s="725">
        <f t="shared" si="8"/>
        <v>6.7456910912647139E-4</v>
      </c>
    </row>
    <row r="189" spans="1:8">
      <c r="A189" s="3" t="s">
        <v>2499</v>
      </c>
      <c r="B189" s="3" t="s">
        <v>1741</v>
      </c>
      <c r="C189" s="721">
        <v>64325.04</v>
      </c>
      <c r="D189" s="722">
        <v>0</v>
      </c>
      <c r="E189" s="723">
        <v>0.11</v>
      </c>
      <c r="F189" s="724">
        <f t="shared" si="6"/>
        <v>0.11</v>
      </c>
      <c r="G189" s="724">
        <f t="shared" si="7"/>
        <v>1.9551869597681779E-3</v>
      </c>
      <c r="H189" s="725">
        <f t="shared" si="8"/>
        <v>2.1507056557449957E-4</v>
      </c>
    </row>
    <row r="190" spans="1:8">
      <c r="A190" s="3" t="s">
        <v>2500</v>
      </c>
      <c r="B190" s="3" t="s">
        <v>1743</v>
      </c>
      <c r="C190" s="721">
        <v>21956.11</v>
      </c>
      <c r="D190" s="722">
        <v>4.2199999999999994E-2</v>
      </c>
      <c r="E190" s="723">
        <v>9.5000000000000001E-2</v>
      </c>
      <c r="F190" s="724">
        <f t="shared" si="6"/>
        <v>0.13920450000000001</v>
      </c>
      <c r="G190" s="724">
        <f t="shared" si="7"/>
        <v>6.6736530531867036E-4</v>
      </c>
      <c r="H190" s="725">
        <f t="shared" si="8"/>
        <v>9.290025364423285E-5</v>
      </c>
    </row>
    <row r="191" spans="1:8">
      <c r="A191" s="3" t="s">
        <v>2502</v>
      </c>
      <c r="B191" s="3" t="s">
        <v>2503</v>
      </c>
      <c r="C191" s="721">
        <v>13407.25</v>
      </c>
      <c r="D191" s="722">
        <v>0</v>
      </c>
      <c r="E191" s="723">
        <v>0.115</v>
      </c>
      <c r="F191" s="724">
        <f t="shared" si="6"/>
        <v>0.115</v>
      </c>
      <c r="G191" s="724">
        <f t="shared" si="7"/>
        <v>4.0751906825634156E-4</v>
      </c>
      <c r="H191" s="725">
        <f t="shared" si="8"/>
        <v>4.6864692849479284E-5</v>
      </c>
    </row>
    <row r="192" spans="1:8">
      <c r="A192" s="3" t="s">
        <v>2504</v>
      </c>
      <c r="B192" s="3" t="s">
        <v>1745</v>
      </c>
      <c r="C192" s="721">
        <v>15757.09</v>
      </c>
      <c r="D192" s="722">
        <v>1.8600000000000002E-2</v>
      </c>
      <c r="E192" s="723">
        <v>0.11</v>
      </c>
      <c r="F192" s="724">
        <f t="shared" si="6"/>
        <v>0.12962299999999999</v>
      </c>
      <c r="G192" s="724">
        <f t="shared" si="7"/>
        <v>4.7894345486444403E-4</v>
      </c>
      <c r="H192" s="725">
        <f t="shared" si="8"/>
        <v>6.2082087449893822E-5</v>
      </c>
    </row>
    <row r="193" spans="1:8">
      <c r="A193" s="3" t="s">
        <v>2505</v>
      </c>
      <c r="B193" s="3" t="s">
        <v>3988</v>
      </c>
      <c r="C193" s="721">
        <v>16510.740000000002</v>
      </c>
      <c r="D193" s="722">
        <v>1.6500000000000001E-2</v>
      </c>
      <c r="E193" s="723">
        <v>0.12</v>
      </c>
      <c r="F193" s="724">
        <f t="shared" si="6"/>
        <v>0.13749</v>
      </c>
      <c r="G193" s="724">
        <f t="shared" si="7"/>
        <v>5.018509672768621E-4</v>
      </c>
      <c r="H193" s="725">
        <f t="shared" si="8"/>
        <v>6.8999489490895768E-5</v>
      </c>
    </row>
    <row r="194" spans="1:8">
      <c r="A194" s="3" t="s">
        <v>2507</v>
      </c>
      <c r="B194" s="3" t="s">
        <v>2508</v>
      </c>
      <c r="C194" s="721">
        <v>22210.03</v>
      </c>
      <c r="D194" s="722">
        <v>9.5999999999999992E-3</v>
      </c>
      <c r="E194" s="723">
        <v>0.115</v>
      </c>
      <c r="F194" s="724">
        <f t="shared" si="6"/>
        <v>0.12515200000000001</v>
      </c>
      <c r="G194" s="724">
        <f t="shared" si="7"/>
        <v>6.7508331175635515E-4</v>
      </c>
      <c r="H194" s="725">
        <f t="shared" si="8"/>
        <v>8.4488026632931369E-5</v>
      </c>
    </row>
    <row r="195" spans="1:8">
      <c r="A195" s="3" t="s">
        <v>2509</v>
      </c>
      <c r="B195" s="3" t="s">
        <v>1747</v>
      </c>
      <c r="C195" s="721">
        <v>7998.64</v>
      </c>
      <c r="D195" s="722">
        <v>4.2500000000000003E-2</v>
      </c>
      <c r="E195" s="723" t="s">
        <v>4148</v>
      </c>
      <c r="F195" s="724" t="str">
        <f t="shared" si="6"/>
        <v>N/A</v>
      </c>
      <c r="G195" s="724" t="str">
        <f t="shared" si="7"/>
        <v>N/A</v>
      </c>
      <c r="H195" s="725" t="str">
        <f t="shared" si="8"/>
        <v>N/A</v>
      </c>
    </row>
    <row r="196" spans="1:8">
      <c r="A196" s="3" t="s">
        <v>4547</v>
      </c>
      <c r="B196" s="3" t="s">
        <v>4548</v>
      </c>
      <c r="C196" s="721">
        <v>17276.57</v>
      </c>
      <c r="D196" s="722">
        <v>0</v>
      </c>
      <c r="E196" s="723">
        <v>0.20499999999999999</v>
      </c>
      <c r="F196" s="724">
        <f t="shared" ref="F196:F259" si="9">IFERROR(D196*(1+0.5*E196)+E196,"N/A")</f>
        <v>0.20499999999999999</v>
      </c>
      <c r="G196" s="724">
        <f t="shared" ref="G196:G259" si="10">IF(F196="N/A","N/A",C196/$C$504)</f>
        <v>5.2512869597161707E-4</v>
      </c>
      <c r="H196" s="725">
        <f t="shared" si="8"/>
        <v>1.0765138267418149E-4</v>
      </c>
    </row>
    <row r="197" spans="1:8">
      <c r="A197" s="3" t="s">
        <v>2511</v>
      </c>
      <c r="B197" s="3" t="s">
        <v>2512</v>
      </c>
      <c r="C197" s="721">
        <v>39012.800000000003</v>
      </c>
      <c r="D197" s="722">
        <v>0</v>
      </c>
      <c r="E197" s="723">
        <v>0.23</v>
      </c>
      <c r="F197" s="724">
        <f t="shared" si="9"/>
        <v>0.23</v>
      </c>
      <c r="G197" s="724">
        <f t="shared" si="10"/>
        <v>1.1858106551359156E-3</v>
      </c>
      <c r="H197" s="725">
        <f t="shared" ref="H197:H260" si="11">IF(ISNUMBER(G197),F197*G197,"N/A")</f>
        <v>2.7273645068126058E-4</v>
      </c>
    </row>
    <row r="198" spans="1:8">
      <c r="A198" s="3" t="s">
        <v>2513</v>
      </c>
      <c r="B198" s="3" t="s">
        <v>1749</v>
      </c>
      <c r="C198" s="721">
        <v>23021.77</v>
      </c>
      <c r="D198" s="722">
        <v>4.3E-3</v>
      </c>
      <c r="E198" s="723">
        <v>0.17</v>
      </c>
      <c r="F198" s="724">
        <f t="shared" si="9"/>
        <v>0.1746655</v>
      </c>
      <c r="G198" s="724">
        <f t="shared" si="10"/>
        <v>6.9975649443486149E-4</v>
      </c>
      <c r="H198" s="725">
        <f t="shared" si="11"/>
        <v>1.2222331797871229E-4</v>
      </c>
    </row>
    <row r="199" spans="1:8">
      <c r="A199" s="3" t="s">
        <v>2514</v>
      </c>
      <c r="B199" s="3" t="s">
        <v>1751</v>
      </c>
      <c r="C199" s="721">
        <v>68629.02</v>
      </c>
      <c r="D199" s="722">
        <v>2.0199999999999999E-2</v>
      </c>
      <c r="E199" s="723">
        <v>0.09</v>
      </c>
      <c r="F199" s="724">
        <f t="shared" si="9"/>
        <v>0.111109</v>
      </c>
      <c r="G199" s="724">
        <f t="shared" si="10"/>
        <v>2.0860082631222535E-3</v>
      </c>
      <c r="H199" s="725">
        <f t="shared" si="11"/>
        <v>2.3177429210725046E-4</v>
      </c>
    </row>
    <row r="200" spans="1:8">
      <c r="A200" s="3" t="s">
        <v>2515</v>
      </c>
      <c r="B200" s="3" t="s">
        <v>1753</v>
      </c>
      <c r="C200" s="721">
        <v>90669.59</v>
      </c>
      <c r="D200" s="722">
        <v>3.9000000000000003E-3</v>
      </c>
      <c r="E200" s="723">
        <v>0.21</v>
      </c>
      <c r="F200" s="724">
        <f t="shared" si="9"/>
        <v>0.21430949999999999</v>
      </c>
      <c r="G200" s="724">
        <f t="shared" si="10"/>
        <v>2.7559407660768991E-3</v>
      </c>
      <c r="H200" s="725">
        <f t="shared" si="11"/>
        <v>5.9062428760755712E-4</v>
      </c>
    </row>
    <row r="201" spans="1:8">
      <c r="A201" s="3" t="s">
        <v>4550</v>
      </c>
      <c r="B201" s="3" t="s">
        <v>4551</v>
      </c>
      <c r="C201" s="721">
        <v>14218.11</v>
      </c>
      <c r="D201" s="722">
        <v>2.3300000000000001E-2</v>
      </c>
      <c r="E201" s="723">
        <v>0.105</v>
      </c>
      <c r="F201" s="724">
        <f t="shared" si="9"/>
        <v>0.12952325000000001</v>
      </c>
      <c r="G201" s="724">
        <f t="shared" si="10"/>
        <v>4.3216550296042611E-4</v>
      </c>
      <c r="H201" s="725">
        <f t="shared" si="11"/>
        <v>5.5975480481319017E-5</v>
      </c>
    </row>
    <row r="202" spans="1:8">
      <c r="A202" s="3" t="s">
        <v>2516</v>
      </c>
      <c r="B202" s="3" t="s">
        <v>1755</v>
      </c>
      <c r="C202" s="721">
        <v>106928.6</v>
      </c>
      <c r="D202" s="722">
        <v>3.4200000000000001E-2</v>
      </c>
      <c r="E202" s="723">
        <v>0.12</v>
      </c>
      <c r="F202" s="724">
        <f t="shared" si="9"/>
        <v>0.156252</v>
      </c>
      <c r="G202" s="724">
        <f t="shared" si="10"/>
        <v>3.250140292897876E-3</v>
      </c>
      <c r="H202" s="725">
        <f t="shared" si="11"/>
        <v>5.0784092104587896E-4</v>
      </c>
    </row>
    <row r="203" spans="1:8">
      <c r="A203" s="3" t="s">
        <v>2517</v>
      </c>
      <c r="B203" s="3" t="s">
        <v>1757</v>
      </c>
      <c r="C203" s="721">
        <v>50379.47</v>
      </c>
      <c r="D203" s="722">
        <v>2.53E-2</v>
      </c>
      <c r="E203" s="723">
        <v>0.04</v>
      </c>
      <c r="F203" s="724">
        <f t="shared" si="9"/>
        <v>6.5806000000000003E-2</v>
      </c>
      <c r="G203" s="724">
        <f t="shared" si="10"/>
        <v>1.5313054260678598E-3</v>
      </c>
      <c r="H203" s="725">
        <f t="shared" si="11"/>
        <v>1.0076908486782159E-4</v>
      </c>
    </row>
    <row r="204" spans="1:8">
      <c r="A204" s="3" t="s">
        <v>2903</v>
      </c>
      <c r="B204" s="3" t="s">
        <v>2904</v>
      </c>
      <c r="C204" s="721">
        <v>11686.69</v>
      </c>
      <c r="D204" s="722">
        <v>7.3000000000000001E-3</v>
      </c>
      <c r="E204" s="723">
        <v>8.5000000000000006E-2</v>
      </c>
      <c r="F204" s="724">
        <f t="shared" si="9"/>
        <v>9.2610250000000005E-2</v>
      </c>
      <c r="G204" s="724">
        <f t="shared" si="10"/>
        <v>3.5522191499380595E-4</v>
      </c>
      <c r="H204" s="725">
        <f t="shared" si="11"/>
        <v>3.2897190353055116E-5</v>
      </c>
    </row>
    <row r="205" spans="1:8">
      <c r="A205" s="3" t="s">
        <v>2518</v>
      </c>
      <c r="B205" s="3" t="s">
        <v>1759</v>
      </c>
      <c r="C205" s="721">
        <v>26360.69</v>
      </c>
      <c r="D205" s="722">
        <v>3.3700000000000001E-2</v>
      </c>
      <c r="E205" s="723">
        <v>0.17499999999999999</v>
      </c>
      <c r="F205" s="724">
        <f t="shared" si="9"/>
        <v>0.21164875</v>
      </c>
      <c r="G205" s="724">
        <f t="shared" si="10"/>
        <v>8.0124438847595594E-4</v>
      </c>
      <c r="H205" s="725">
        <f t="shared" si="11"/>
        <v>1.6958237326545047E-4</v>
      </c>
    </row>
    <row r="206" spans="1:8">
      <c r="A206" s="3" t="s">
        <v>2519</v>
      </c>
      <c r="B206" s="3" t="s">
        <v>1761</v>
      </c>
      <c r="C206" s="721">
        <v>51003.02</v>
      </c>
      <c r="D206" s="722">
        <v>0.01</v>
      </c>
      <c r="E206" s="723">
        <v>0.1</v>
      </c>
      <c r="F206" s="724">
        <f t="shared" si="9"/>
        <v>0.1105</v>
      </c>
      <c r="G206" s="724">
        <f t="shared" si="10"/>
        <v>1.5502584936254303E-3</v>
      </c>
      <c r="H206" s="725">
        <f t="shared" si="11"/>
        <v>1.7130356354561006E-4</v>
      </c>
    </row>
    <row r="207" spans="1:8">
      <c r="A207" s="3" t="s">
        <v>3990</v>
      </c>
      <c r="B207" s="3" t="s">
        <v>3991</v>
      </c>
      <c r="C207" s="721">
        <v>5832.99</v>
      </c>
      <c r="D207" s="722">
        <v>0</v>
      </c>
      <c r="E207" s="723">
        <v>0.23499999999999999</v>
      </c>
      <c r="F207" s="724">
        <f t="shared" si="9"/>
        <v>0.23499999999999999</v>
      </c>
      <c r="G207" s="724">
        <f t="shared" si="10"/>
        <v>1.7729621286606559E-4</v>
      </c>
      <c r="H207" s="725">
        <f t="shared" si="11"/>
        <v>4.1664610023525413E-5</v>
      </c>
    </row>
    <row r="208" spans="1:8">
      <c r="A208" s="3" t="s">
        <v>2520</v>
      </c>
      <c r="B208" s="3" t="s">
        <v>4085</v>
      </c>
      <c r="C208" s="721">
        <v>1168106</v>
      </c>
      <c r="D208" s="722">
        <v>0</v>
      </c>
      <c r="E208" s="723">
        <v>0.185</v>
      </c>
      <c r="F208" s="724">
        <f t="shared" si="9"/>
        <v>0.185</v>
      </c>
      <c r="G208" s="724">
        <f t="shared" si="10"/>
        <v>3.550507887483579E-2</v>
      </c>
      <c r="H208" s="725">
        <f t="shared" si="11"/>
        <v>6.5684395918446208E-3</v>
      </c>
    </row>
    <row r="209" spans="1:8">
      <c r="A209" s="3" t="s">
        <v>2521</v>
      </c>
      <c r="B209" s="3" t="s">
        <v>1763</v>
      </c>
      <c r="C209" s="721">
        <v>25085.599999999999</v>
      </c>
      <c r="D209" s="722">
        <v>2.0099999999999996E-2</v>
      </c>
      <c r="E209" s="723">
        <v>0.09</v>
      </c>
      <c r="F209" s="724">
        <f t="shared" si="9"/>
        <v>0.11100449999999999</v>
      </c>
      <c r="G209" s="724">
        <f t="shared" si="10"/>
        <v>7.6248748540165068E-4</v>
      </c>
      <c r="H209" s="725">
        <f t="shared" si="11"/>
        <v>8.4639542073267526E-5</v>
      </c>
    </row>
    <row r="210" spans="1:8">
      <c r="A210" s="3" t="s">
        <v>2522</v>
      </c>
      <c r="B210" s="3" t="s">
        <v>1765</v>
      </c>
      <c r="C210" s="721">
        <v>25892.799999999999</v>
      </c>
      <c r="D210" s="722">
        <v>1.1000000000000001E-2</v>
      </c>
      <c r="E210" s="723">
        <v>0.17</v>
      </c>
      <c r="F210" s="724">
        <f t="shared" si="9"/>
        <v>0.18193500000000001</v>
      </c>
      <c r="G210" s="724">
        <f t="shared" si="10"/>
        <v>7.8702267284848121E-4</v>
      </c>
      <c r="H210" s="725">
        <f t="shared" si="11"/>
        <v>1.4318696998468844E-4</v>
      </c>
    </row>
    <row r="211" spans="1:8">
      <c r="A211" s="3" t="s">
        <v>2523</v>
      </c>
      <c r="B211" s="3" t="s">
        <v>1766</v>
      </c>
      <c r="C211" s="721">
        <v>17692.09</v>
      </c>
      <c r="D211" s="722">
        <v>3.1699999999999999E-2</v>
      </c>
      <c r="E211" s="723">
        <v>5.5E-2</v>
      </c>
      <c r="F211" s="724">
        <f t="shared" si="9"/>
        <v>8.7571750000000004E-2</v>
      </c>
      <c r="G211" s="724">
        <f t="shared" si="10"/>
        <v>5.3775860316674468E-4</v>
      </c>
      <c r="H211" s="725">
        <f t="shared" si="11"/>
        <v>4.7092461956867374E-5</v>
      </c>
    </row>
    <row r="212" spans="1:8">
      <c r="A212" s="3" t="s">
        <v>2524</v>
      </c>
      <c r="B212" s="3" t="s">
        <v>1768</v>
      </c>
      <c r="C212" s="721">
        <v>118740.3</v>
      </c>
      <c r="D212" s="722">
        <v>2.86E-2</v>
      </c>
      <c r="E212" s="723">
        <v>0.05</v>
      </c>
      <c r="F212" s="724">
        <f t="shared" si="9"/>
        <v>7.9314999999999997E-2</v>
      </c>
      <c r="G212" s="724">
        <f t="shared" si="10"/>
        <v>3.6091619400308397E-3</v>
      </c>
      <c r="H212" s="725">
        <f t="shared" si="11"/>
        <v>2.8626067927354604E-4</v>
      </c>
    </row>
    <row r="213" spans="1:8">
      <c r="A213" s="3" t="s">
        <v>2525</v>
      </c>
      <c r="B213" s="3" t="s">
        <v>1770</v>
      </c>
      <c r="C213" s="721">
        <v>28729.040000000001</v>
      </c>
      <c r="D213" s="722">
        <v>1.23E-2</v>
      </c>
      <c r="E213" s="723">
        <v>0.11</v>
      </c>
      <c r="F213" s="724">
        <f t="shared" si="9"/>
        <v>0.1229765</v>
      </c>
      <c r="G213" s="724">
        <f t="shared" si="10"/>
        <v>8.7323139440967888E-4</v>
      </c>
      <c r="H213" s="725">
        <f t="shared" si="11"/>
        <v>1.0738694057462188E-4</v>
      </c>
    </row>
    <row r="214" spans="1:8">
      <c r="A214" s="3" t="s">
        <v>2526</v>
      </c>
      <c r="B214" s="3" t="s">
        <v>1772</v>
      </c>
      <c r="C214" s="721">
        <v>35076.04</v>
      </c>
      <c r="D214" s="722">
        <v>1.4800000000000001E-2</v>
      </c>
      <c r="E214" s="723">
        <v>0.30499999999999999</v>
      </c>
      <c r="F214" s="724">
        <f t="shared" si="9"/>
        <v>0.32205699999999998</v>
      </c>
      <c r="G214" s="724">
        <f t="shared" si="10"/>
        <v>1.0661511599263211E-3</v>
      </c>
      <c r="H214" s="725">
        <f t="shared" si="11"/>
        <v>3.4336144411239116E-4</v>
      </c>
    </row>
    <row r="215" spans="1:8">
      <c r="A215" s="3" t="s">
        <v>2527</v>
      </c>
      <c r="B215" s="3" t="s">
        <v>1774</v>
      </c>
      <c r="C215" s="721">
        <v>7968.83</v>
      </c>
      <c r="D215" s="722">
        <v>4.8499999999999995E-2</v>
      </c>
      <c r="E215" s="723">
        <v>7.4999999999999997E-2</v>
      </c>
      <c r="F215" s="724">
        <f t="shared" si="9"/>
        <v>0.12531874999999998</v>
      </c>
      <c r="G215" s="724">
        <f t="shared" si="10"/>
        <v>2.4221597842161385E-4</v>
      </c>
      <c r="H215" s="725">
        <f t="shared" si="11"/>
        <v>3.0354203645823614E-5</v>
      </c>
    </row>
    <row r="216" spans="1:8">
      <c r="A216" s="3" t="s">
        <v>2528</v>
      </c>
      <c r="B216" s="3" t="s">
        <v>1776</v>
      </c>
      <c r="C216" s="721">
        <v>20198.28</v>
      </c>
      <c r="D216" s="722">
        <v>4.4299999999999999E-2</v>
      </c>
      <c r="E216" s="723">
        <v>0.125</v>
      </c>
      <c r="F216" s="724">
        <f t="shared" si="9"/>
        <v>0.17206874999999999</v>
      </c>
      <c r="G216" s="724">
        <f t="shared" si="10"/>
        <v>6.1393531454852397E-4</v>
      </c>
      <c r="H216" s="725">
        <f t="shared" si="11"/>
        <v>1.0563908215522133E-4</v>
      </c>
    </row>
    <row r="217" spans="1:8">
      <c r="A217" s="3" t="s">
        <v>2529</v>
      </c>
      <c r="B217" s="3" t="s">
        <v>1778</v>
      </c>
      <c r="C217" s="721">
        <v>68960.28</v>
      </c>
      <c r="D217" s="722">
        <v>9.1999999999999998E-3</v>
      </c>
      <c r="E217" s="723">
        <v>0.115</v>
      </c>
      <c r="F217" s="724">
        <f t="shared" si="9"/>
        <v>0.12472900000000001</v>
      </c>
      <c r="G217" s="724">
        <f t="shared" si="10"/>
        <v>2.0960770517665013E-3</v>
      </c>
      <c r="H217" s="725">
        <f t="shared" si="11"/>
        <v>2.6144159458978394E-4</v>
      </c>
    </row>
    <row r="218" spans="1:8">
      <c r="A218" s="3" t="s">
        <v>2530</v>
      </c>
      <c r="B218" s="3" t="s">
        <v>1780</v>
      </c>
      <c r="C218" s="721">
        <v>325747.20000000001</v>
      </c>
      <c r="D218" s="722">
        <v>2.63E-2</v>
      </c>
      <c r="E218" s="723">
        <v>0.09</v>
      </c>
      <c r="F218" s="724">
        <f t="shared" si="9"/>
        <v>0.11748349999999999</v>
      </c>
      <c r="G218" s="724">
        <f t="shared" si="10"/>
        <v>9.901224742666255E-3</v>
      </c>
      <c r="H218" s="725">
        <f t="shared" si="11"/>
        <v>1.1632305370550308E-3</v>
      </c>
    </row>
    <row r="219" spans="1:8">
      <c r="A219" s="3" t="s">
        <v>2531</v>
      </c>
      <c r="B219" s="3" t="s">
        <v>1782</v>
      </c>
      <c r="C219" s="721">
        <v>43252.53</v>
      </c>
      <c r="D219" s="722">
        <v>1.0700000000000001E-2</v>
      </c>
      <c r="E219" s="723" t="s">
        <v>4148</v>
      </c>
      <c r="F219" s="724" t="str">
        <f t="shared" si="9"/>
        <v>N/A</v>
      </c>
      <c r="G219" s="724" t="str">
        <f t="shared" si="10"/>
        <v>N/A</v>
      </c>
      <c r="H219" s="725" t="str">
        <f t="shared" si="11"/>
        <v>N/A</v>
      </c>
    </row>
    <row r="220" spans="1:8">
      <c r="A220" s="3" t="s">
        <v>4302</v>
      </c>
      <c r="B220" s="3" t="s">
        <v>1784</v>
      </c>
      <c r="C220" s="721">
        <v>24289.759999999998</v>
      </c>
      <c r="D220" s="722">
        <v>2.2400000000000003E-2</v>
      </c>
      <c r="E220" s="723">
        <v>8.5000000000000006E-2</v>
      </c>
      <c r="F220" s="724">
        <f t="shared" si="9"/>
        <v>0.108352</v>
      </c>
      <c r="G220" s="724">
        <f t="shared" si="10"/>
        <v>7.3829758998826414E-4</v>
      </c>
      <c r="H220" s="725">
        <f t="shared" si="11"/>
        <v>7.9996020470408393E-5</v>
      </c>
    </row>
    <row r="221" spans="1:8">
      <c r="A221" s="3" t="s">
        <v>2532</v>
      </c>
      <c r="B221" s="3" t="s">
        <v>2298</v>
      </c>
      <c r="C221" s="721">
        <v>9193.36</v>
      </c>
      <c r="D221" s="722">
        <v>2.1499999999999998E-2</v>
      </c>
      <c r="E221" s="723">
        <v>0.1</v>
      </c>
      <c r="F221" s="724">
        <f t="shared" si="9"/>
        <v>0.122575</v>
      </c>
      <c r="G221" s="724">
        <f t="shared" si="10"/>
        <v>2.7943608878368948E-4</v>
      </c>
      <c r="H221" s="725">
        <f t="shared" si="11"/>
        <v>3.425187858266074E-5</v>
      </c>
    </row>
    <row r="222" spans="1:8">
      <c r="A222" s="3" t="s">
        <v>2533</v>
      </c>
      <c r="B222" s="3" t="s">
        <v>2277</v>
      </c>
      <c r="C222" s="721">
        <v>34553.72</v>
      </c>
      <c r="D222" s="722">
        <v>4.6999999999999993E-3</v>
      </c>
      <c r="E222" s="723">
        <v>0.42</v>
      </c>
      <c r="F222" s="724">
        <f t="shared" si="9"/>
        <v>0.42568699999999998</v>
      </c>
      <c r="G222" s="724">
        <f t="shared" si="10"/>
        <v>1.0502750212900121E-3</v>
      </c>
      <c r="H222" s="725">
        <f t="shared" si="11"/>
        <v>4.4708842298788137E-4</v>
      </c>
    </row>
    <row r="223" spans="1:8">
      <c r="A223" s="3" t="s">
        <v>2534</v>
      </c>
      <c r="B223" s="3" t="s">
        <v>1786</v>
      </c>
      <c r="C223" s="721">
        <v>18638.7</v>
      </c>
      <c r="D223" s="722">
        <v>0</v>
      </c>
      <c r="E223" s="723">
        <v>0.09</v>
      </c>
      <c r="F223" s="724">
        <f t="shared" si="9"/>
        <v>0.09</v>
      </c>
      <c r="G223" s="724">
        <f t="shared" si="10"/>
        <v>5.6653121687963404E-4</v>
      </c>
      <c r="H223" s="725">
        <f t="shared" si="11"/>
        <v>5.0987809519167064E-5</v>
      </c>
    </row>
    <row r="224" spans="1:8">
      <c r="A224" s="3" t="s">
        <v>2535</v>
      </c>
      <c r="B224" s="3" t="s">
        <v>1787</v>
      </c>
      <c r="C224" s="721">
        <v>144611.70000000001</v>
      </c>
      <c r="D224" s="722">
        <v>1.9199999999999998E-2</v>
      </c>
      <c r="E224" s="723">
        <v>0.115</v>
      </c>
      <c r="F224" s="724">
        <f t="shared" si="9"/>
        <v>0.13530400000000001</v>
      </c>
      <c r="G224" s="724">
        <f t="shared" si="10"/>
        <v>4.3955341507740655E-3</v>
      </c>
      <c r="H224" s="725">
        <f t="shared" si="11"/>
        <v>5.9473335273633424E-4</v>
      </c>
    </row>
    <row r="225" spans="1:8">
      <c r="A225" s="3" t="s">
        <v>2536</v>
      </c>
      <c r="B225" s="3" t="s">
        <v>1789</v>
      </c>
      <c r="C225" s="721">
        <v>20214.77</v>
      </c>
      <c r="D225" s="722">
        <v>3.04E-2</v>
      </c>
      <c r="E225" s="723">
        <v>0.08</v>
      </c>
      <c r="F225" s="724">
        <f t="shared" si="9"/>
        <v>0.11161599999999999</v>
      </c>
      <c r="G225" s="724">
        <f t="shared" si="10"/>
        <v>6.1443653511467642E-4</v>
      </c>
      <c r="H225" s="725">
        <f t="shared" si="11"/>
        <v>6.8580948303359718E-5</v>
      </c>
    </row>
    <row r="226" spans="1:8">
      <c r="A226" s="3" t="s">
        <v>2537</v>
      </c>
      <c r="B226" s="3" t="s">
        <v>1791</v>
      </c>
      <c r="C226" s="721">
        <v>26156.2</v>
      </c>
      <c r="D226" s="722">
        <v>3.9300000000000002E-2</v>
      </c>
      <c r="E226" s="723">
        <v>0.105</v>
      </c>
      <c r="F226" s="724">
        <f t="shared" si="9"/>
        <v>0.14636325</v>
      </c>
      <c r="G226" s="724">
        <f t="shared" si="10"/>
        <v>7.9502882791970917E-4</v>
      </c>
      <c r="H226" s="725">
        <f t="shared" si="11"/>
        <v>1.1636300309801937E-4</v>
      </c>
    </row>
    <row r="227" spans="1:8">
      <c r="A227" s="3" t="s">
        <v>2538</v>
      </c>
      <c r="B227" s="3" t="s">
        <v>1444</v>
      </c>
      <c r="C227" s="721">
        <v>24800.95</v>
      </c>
      <c r="D227" s="722">
        <v>2.4199999999999999E-2</v>
      </c>
      <c r="E227" s="723">
        <v>8.5000000000000006E-2</v>
      </c>
      <c r="F227" s="724">
        <f t="shared" si="9"/>
        <v>0.11022850000000001</v>
      </c>
      <c r="G227" s="724">
        <f t="shared" si="10"/>
        <v>7.5383542753898935E-4</v>
      </c>
      <c r="H227" s="725">
        <f t="shared" si="11"/>
        <v>8.3094148424481487E-5</v>
      </c>
    </row>
    <row r="228" spans="1:8">
      <c r="A228" s="3" t="s">
        <v>2539</v>
      </c>
      <c r="B228" s="3" t="s">
        <v>1794</v>
      </c>
      <c r="C228" s="721">
        <v>10957.33</v>
      </c>
      <c r="D228" s="722">
        <v>0</v>
      </c>
      <c r="E228" s="723">
        <v>7.0000000000000007E-2</v>
      </c>
      <c r="F228" s="724">
        <f t="shared" si="9"/>
        <v>7.0000000000000007E-2</v>
      </c>
      <c r="G228" s="724">
        <f t="shared" si="10"/>
        <v>3.3305270746627824E-4</v>
      </c>
      <c r="H228" s="725">
        <f t="shared" si="11"/>
        <v>2.3313689522639478E-5</v>
      </c>
    </row>
    <row r="229" spans="1:8">
      <c r="A229" s="3" t="s">
        <v>2540</v>
      </c>
      <c r="B229" s="3" t="s">
        <v>1795</v>
      </c>
      <c r="C229" s="721">
        <v>11339.91</v>
      </c>
      <c r="D229" s="722">
        <v>3.0200000000000001E-2</v>
      </c>
      <c r="E229" s="723">
        <v>0.59499999999999997</v>
      </c>
      <c r="F229" s="724">
        <f t="shared" si="9"/>
        <v>0.63418449999999993</v>
      </c>
      <c r="G229" s="724">
        <f t="shared" si="10"/>
        <v>3.4468138934612018E-4</v>
      </c>
      <c r="H229" s="725">
        <f t="shared" si="11"/>
        <v>2.1859159456177454E-4</v>
      </c>
    </row>
    <row r="230" spans="1:8">
      <c r="A230" s="3" t="s">
        <v>2541</v>
      </c>
      <c r="B230" s="3" t="s">
        <v>1797</v>
      </c>
      <c r="C230" s="721">
        <v>48186.879999999997</v>
      </c>
      <c r="D230" s="722">
        <v>1.7899999999999999E-2</v>
      </c>
      <c r="E230" s="723">
        <v>0.09</v>
      </c>
      <c r="F230" s="724">
        <f t="shared" si="9"/>
        <v>0.1087055</v>
      </c>
      <c r="G230" s="724">
        <f t="shared" si="10"/>
        <v>1.4646607201163654E-3</v>
      </c>
      <c r="H230" s="725">
        <f t="shared" si="11"/>
        <v>1.5921667591060955E-4</v>
      </c>
    </row>
    <row r="231" spans="1:8">
      <c r="A231" s="3" t="s">
        <v>2542</v>
      </c>
      <c r="B231" s="3" t="s">
        <v>1799</v>
      </c>
      <c r="C231" s="721">
        <v>64326.720000000001</v>
      </c>
      <c r="D231" s="722">
        <v>6.1999999999999998E-3</v>
      </c>
      <c r="E231" s="723">
        <v>0.11</v>
      </c>
      <c r="F231" s="724">
        <f t="shared" si="9"/>
        <v>0.11654100000000001</v>
      </c>
      <c r="G231" s="724">
        <f t="shared" si="10"/>
        <v>1.9552380240829828E-3</v>
      </c>
      <c r="H231" s="725">
        <f t="shared" si="11"/>
        <v>2.278653945646549E-4</v>
      </c>
    </row>
    <row r="232" spans="1:8">
      <c r="A232" s="3" t="s">
        <v>2997</v>
      </c>
      <c r="B232" s="3" t="s">
        <v>2998</v>
      </c>
      <c r="C232" s="721">
        <v>16155.46</v>
      </c>
      <c r="D232" s="722">
        <v>4.0999999999999995E-3</v>
      </c>
      <c r="E232" s="723">
        <v>0.16</v>
      </c>
      <c r="F232" s="724">
        <f t="shared" si="9"/>
        <v>0.16442799999999999</v>
      </c>
      <c r="G232" s="724">
        <f t="shared" si="10"/>
        <v>4.9105208051260295E-4</v>
      </c>
      <c r="H232" s="725">
        <f t="shared" si="11"/>
        <v>8.0742711494526267E-5</v>
      </c>
    </row>
    <row r="233" spans="1:8">
      <c r="A233" s="3" t="s">
        <v>2543</v>
      </c>
      <c r="B233" s="3" t="s">
        <v>1801</v>
      </c>
      <c r="C233" s="721">
        <v>128512.5</v>
      </c>
      <c r="D233" s="722">
        <v>4.6399999999999997E-2</v>
      </c>
      <c r="E233" s="723">
        <v>1.4999999999999999E-2</v>
      </c>
      <c r="F233" s="724">
        <f t="shared" si="9"/>
        <v>6.1747999999999997E-2</v>
      </c>
      <c r="G233" s="724">
        <f t="shared" si="10"/>
        <v>3.9061921168989239E-3</v>
      </c>
      <c r="H233" s="725">
        <f t="shared" si="11"/>
        <v>2.4119955083427475E-4</v>
      </c>
    </row>
    <row r="234" spans="1:8">
      <c r="A234" s="3" t="s">
        <v>2544</v>
      </c>
      <c r="B234" s="3" t="s">
        <v>1803</v>
      </c>
      <c r="C234" s="721">
        <v>57325.45</v>
      </c>
      <c r="D234" s="722">
        <v>1.4800000000000001E-2</v>
      </c>
      <c r="E234" s="723">
        <v>6.5000000000000002E-2</v>
      </c>
      <c r="F234" s="724">
        <f t="shared" si="9"/>
        <v>8.0281000000000005E-2</v>
      </c>
      <c r="G234" s="724">
        <f t="shared" si="10"/>
        <v>1.7424314435380479E-3</v>
      </c>
      <c r="H234" s="725">
        <f t="shared" si="11"/>
        <v>1.3988413871867804E-4</v>
      </c>
    </row>
    <row r="235" spans="1:8">
      <c r="A235" s="3" t="s">
        <v>2545</v>
      </c>
      <c r="B235" s="3" t="s">
        <v>2211</v>
      </c>
      <c r="C235" s="721">
        <v>34696.89</v>
      </c>
      <c r="D235" s="722">
        <v>0</v>
      </c>
      <c r="E235" s="723">
        <v>0.12</v>
      </c>
      <c r="F235" s="724">
        <f t="shared" si="9"/>
        <v>0.12</v>
      </c>
      <c r="G235" s="724">
        <f t="shared" si="10"/>
        <v>1.0546267343558727E-3</v>
      </c>
      <c r="H235" s="725">
        <f t="shared" si="11"/>
        <v>1.2655520812270471E-4</v>
      </c>
    </row>
    <row r="236" spans="1:8">
      <c r="A236" s="3" t="s">
        <v>2906</v>
      </c>
      <c r="B236" s="3" t="s">
        <v>2907</v>
      </c>
      <c r="C236" s="721">
        <v>17522.5</v>
      </c>
      <c r="D236" s="722">
        <v>1.03E-2</v>
      </c>
      <c r="E236" s="723">
        <v>0.105</v>
      </c>
      <c r="F236" s="724">
        <f t="shared" si="9"/>
        <v>0.11584074999999999</v>
      </c>
      <c r="G236" s="724">
        <f t="shared" si="10"/>
        <v>5.3260384295972295E-4</v>
      </c>
      <c r="H236" s="725">
        <f t="shared" si="11"/>
        <v>6.1697228621336518E-5</v>
      </c>
    </row>
    <row r="237" spans="1:8">
      <c r="A237" s="3" t="s">
        <v>2546</v>
      </c>
      <c r="B237" s="3" t="s">
        <v>1805</v>
      </c>
      <c r="C237" s="721">
        <v>26525</v>
      </c>
      <c r="D237" s="722">
        <v>3.1099999999999999E-2</v>
      </c>
      <c r="E237" s="723">
        <v>7.0000000000000007E-2</v>
      </c>
      <c r="F237" s="724">
        <f t="shared" si="9"/>
        <v>0.1021885</v>
      </c>
      <c r="G237" s="724">
        <f t="shared" si="10"/>
        <v>8.0623866083644744E-4</v>
      </c>
      <c r="H237" s="725">
        <f t="shared" si="11"/>
        <v>8.2388319392885306E-5</v>
      </c>
    </row>
    <row r="238" spans="1:8">
      <c r="A238" s="3" t="s">
        <v>2547</v>
      </c>
      <c r="B238" s="3" t="s">
        <v>1807</v>
      </c>
      <c r="C238" s="721">
        <v>31001.22</v>
      </c>
      <c r="D238" s="722">
        <v>0</v>
      </c>
      <c r="E238" s="723">
        <v>6.5000000000000002E-2</v>
      </c>
      <c r="F238" s="724">
        <f t="shared" si="9"/>
        <v>6.5000000000000002E-2</v>
      </c>
      <c r="G238" s="724">
        <f t="shared" si="10"/>
        <v>9.4229527227506469E-4</v>
      </c>
      <c r="H238" s="725">
        <f t="shared" si="11"/>
        <v>6.1249192697879201E-5</v>
      </c>
    </row>
    <row r="239" spans="1:8">
      <c r="A239" s="3" t="s">
        <v>2548</v>
      </c>
      <c r="B239" s="3" t="s">
        <v>2229</v>
      </c>
      <c r="C239" s="721">
        <v>17912.080000000002</v>
      </c>
      <c r="D239" s="722">
        <v>0</v>
      </c>
      <c r="E239" s="723">
        <v>0.255</v>
      </c>
      <c r="F239" s="724">
        <f t="shared" si="9"/>
        <v>0.255</v>
      </c>
      <c r="G239" s="724">
        <f t="shared" si="10"/>
        <v>5.444452928179195E-4</v>
      </c>
      <c r="H239" s="725">
        <f t="shared" si="11"/>
        <v>1.3883354966856947E-4</v>
      </c>
    </row>
    <row r="240" spans="1:8">
      <c r="A240" s="3" t="s">
        <v>2549</v>
      </c>
      <c r="B240" s="3" t="s">
        <v>1809</v>
      </c>
      <c r="C240" s="721">
        <v>110727.4</v>
      </c>
      <c r="D240" s="722">
        <v>5.4400000000000004E-2</v>
      </c>
      <c r="E240" s="723">
        <v>-5.0000000000000001E-3</v>
      </c>
      <c r="F240" s="724">
        <f t="shared" si="9"/>
        <v>4.9264000000000009E-2</v>
      </c>
      <c r="G240" s="724">
        <f t="shared" si="10"/>
        <v>3.3656064352083561E-3</v>
      </c>
      <c r="H240" s="725">
        <f t="shared" si="11"/>
        <v>1.6580323542410448E-4</v>
      </c>
    </row>
    <row r="241" spans="1:8">
      <c r="A241" s="3" t="s">
        <v>2550</v>
      </c>
      <c r="B241" s="3" t="s">
        <v>1811</v>
      </c>
      <c r="C241" s="721">
        <v>110496.2</v>
      </c>
      <c r="D241" s="722">
        <v>7.9000000000000008E-3</v>
      </c>
      <c r="E241" s="723">
        <v>0.17</v>
      </c>
      <c r="F241" s="724">
        <f t="shared" si="9"/>
        <v>0.17857150000000002</v>
      </c>
      <c r="G241" s="724">
        <f t="shared" si="10"/>
        <v>3.3585790128375591E-3</v>
      </c>
      <c r="H241" s="725">
        <f t="shared" si="11"/>
        <v>5.9974649219092231E-4</v>
      </c>
    </row>
    <row r="242" spans="1:8">
      <c r="A242" s="3" t="s">
        <v>4304</v>
      </c>
      <c r="B242" s="3" t="s">
        <v>4305</v>
      </c>
      <c r="C242" s="721" t="s">
        <v>4148</v>
      </c>
      <c r="D242" s="722">
        <v>0</v>
      </c>
      <c r="E242" s="723" t="s">
        <v>4148</v>
      </c>
      <c r="F242" s="724" t="str">
        <f t="shared" si="9"/>
        <v>N/A</v>
      </c>
      <c r="G242" s="724" t="str">
        <f t="shared" si="10"/>
        <v>N/A</v>
      </c>
      <c r="H242" s="725" t="str">
        <f t="shared" si="11"/>
        <v>N/A</v>
      </c>
    </row>
    <row r="243" spans="1:8">
      <c r="A243" s="3" t="s">
        <v>2551</v>
      </c>
      <c r="B243" s="3" t="s">
        <v>1813</v>
      </c>
      <c r="C243" s="721">
        <v>12325.1</v>
      </c>
      <c r="D243" s="722">
        <v>5.3399999999999996E-2</v>
      </c>
      <c r="E243" s="723">
        <v>0.11</v>
      </c>
      <c r="F243" s="724">
        <f t="shared" si="9"/>
        <v>0.16633699999999998</v>
      </c>
      <c r="G243" s="724">
        <f t="shared" si="10"/>
        <v>3.7462665857399804E-4</v>
      </c>
      <c r="H243" s="725">
        <f t="shared" si="11"/>
        <v>6.2314274507223105E-5</v>
      </c>
    </row>
    <row r="244" spans="1:8">
      <c r="A244" s="3" t="s">
        <v>2552</v>
      </c>
      <c r="B244" s="3" t="s">
        <v>1815</v>
      </c>
      <c r="C244" s="721">
        <v>13048.14</v>
      </c>
      <c r="D244" s="722">
        <v>3.7100000000000001E-2</v>
      </c>
      <c r="E244" s="723">
        <v>0.1</v>
      </c>
      <c r="F244" s="724">
        <f t="shared" si="9"/>
        <v>0.138955</v>
      </c>
      <c r="G244" s="724">
        <f t="shared" si="10"/>
        <v>3.9660376701249701E-4</v>
      </c>
      <c r="H244" s="725">
        <f t="shared" si="11"/>
        <v>5.5110076445221517E-5</v>
      </c>
    </row>
    <row r="245" spans="1:8">
      <c r="A245" s="3" t="s">
        <v>2553</v>
      </c>
      <c r="B245" s="3" t="s">
        <v>2299</v>
      </c>
      <c r="C245" s="721">
        <v>38005.39</v>
      </c>
      <c r="D245" s="722">
        <v>0</v>
      </c>
      <c r="E245" s="723">
        <v>0.14499999999999999</v>
      </c>
      <c r="F245" s="724">
        <f t="shared" si="9"/>
        <v>0.14499999999999999</v>
      </c>
      <c r="G245" s="724">
        <f t="shared" si="10"/>
        <v>1.1551899995538891E-3</v>
      </c>
      <c r="H245" s="725">
        <f t="shared" si="11"/>
        <v>1.675025499353139E-4</v>
      </c>
    </row>
    <row r="246" spans="1:8">
      <c r="A246" s="3" t="s">
        <v>2999</v>
      </c>
      <c r="B246" s="3" t="s">
        <v>1817</v>
      </c>
      <c r="C246" s="721">
        <v>21347.49</v>
      </c>
      <c r="D246" s="722">
        <v>1.5E-3</v>
      </c>
      <c r="E246" s="723" t="s">
        <v>4148</v>
      </c>
      <c r="F246" s="724" t="str">
        <f t="shared" si="9"/>
        <v>N/A</v>
      </c>
      <c r="G246" s="724" t="str">
        <f t="shared" si="10"/>
        <v>N/A</v>
      </c>
      <c r="H246" s="725" t="str">
        <f t="shared" si="11"/>
        <v>N/A</v>
      </c>
    </row>
    <row r="247" spans="1:8">
      <c r="A247" s="3" t="s">
        <v>2554</v>
      </c>
      <c r="B247" s="3" t="s">
        <v>1819</v>
      </c>
      <c r="C247" s="721">
        <v>14740.79</v>
      </c>
      <c r="D247" s="722">
        <v>4.8899999999999999E-2</v>
      </c>
      <c r="E247" s="723">
        <v>0.1</v>
      </c>
      <c r="F247" s="724">
        <f t="shared" si="9"/>
        <v>0.15134500000000001</v>
      </c>
      <c r="G247" s="724">
        <f t="shared" si="10"/>
        <v>4.4805258394990752E-4</v>
      </c>
      <c r="H247" s="725">
        <f t="shared" si="11"/>
        <v>6.7810518317898763E-5</v>
      </c>
    </row>
    <row r="248" spans="1:8">
      <c r="A248" s="3" t="s">
        <v>2555</v>
      </c>
      <c r="B248" s="3" t="s">
        <v>1821</v>
      </c>
      <c r="C248" s="721">
        <v>94034.32</v>
      </c>
      <c r="D248" s="722">
        <v>0</v>
      </c>
      <c r="E248" s="723">
        <v>0.125</v>
      </c>
      <c r="F248" s="724">
        <f t="shared" si="9"/>
        <v>0.125</v>
      </c>
      <c r="G248" s="724">
        <f t="shared" si="10"/>
        <v>2.8582131660496125E-3</v>
      </c>
      <c r="H248" s="725">
        <f t="shared" si="11"/>
        <v>3.5727664575620156E-4</v>
      </c>
    </row>
    <row r="249" spans="1:8">
      <c r="A249" s="3" t="s">
        <v>2556</v>
      </c>
      <c r="B249" s="3" t="s">
        <v>2257</v>
      </c>
      <c r="C249" s="721">
        <v>27063.13</v>
      </c>
      <c r="D249" s="722">
        <v>0</v>
      </c>
      <c r="E249" s="723">
        <v>0.18</v>
      </c>
      <c r="F249" s="724">
        <f t="shared" si="9"/>
        <v>0.18</v>
      </c>
      <c r="G249" s="724">
        <f t="shared" si="10"/>
        <v>8.225953511495829E-4</v>
      </c>
      <c r="H249" s="725">
        <f t="shared" si="11"/>
        <v>1.4806716320692491E-4</v>
      </c>
    </row>
    <row r="250" spans="1:8">
      <c r="A250" s="3" t="s">
        <v>2557</v>
      </c>
      <c r="B250" s="3" t="s">
        <v>1823</v>
      </c>
      <c r="C250" s="721">
        <v>68290.52</v>
      </c>
      <c r="D250" s="722">
        <v>2.3599999999999999E-2</v>
      </c>
      <c r="E250" s="723">
        <v>0.11</v>
      </c>
      <c r="F250" s="724">
        <f t="shared" si="9"/>
        <v>0.13489799999999999</v>
      </c>
      <c r="G250" s="724">
        <f t="shared" si="10"/>
        <v>2.0757194115975357E-3</v>
      </c>
      <c r="H250" s="725">
        <f t="shared" si="11"/>
        <v>2.8001039718568438E-4</v>
      </c>
    </row>
    <row r="251" spans="1:8">
      <c r="A251" s="3" t="s">
        <v>2558</v>
      </c>
      <c r="B251" s="3" t="s">
        <v>1825</v>
      </c>
      <c r="C251" s="721">
        <v>8436.5400000000009</v>
      </c>
      <c r="D251" s="722">
        <v>4.3099999999999999E-2</v>
      </c>
      <c r="E251" s="723">
        <v>0.1</v>
      </c>
      <c r="F251" s="724">
        <f t="shared" si="9"/>
        <v>0.14525500000000002</v>
      </c>
      <c r="G251" s="724">
        <f t="shared" si="10"/>
        <v>2.5643222287250226E-4</v>
      </c>
      <c r="H251" s="725">
        <f t="shared" si="11"/>
        <v>3.7248062533345323E-5</v>
      </c>
    </row>
    <row r="252" spans="1:8">
      <c r="A252" s="3" t="s">
        <v>4306</v>
      </c>
      <c r="B252" s="3" t="s">
        <v>2959</v>
      </c>
      <c r="C252" s="721">
        <v>15475.21</v>
      </c>
      <c r="D252" s="722">
        <v>7.6E-3</v>
      </c>
      <c r="E252" s="723">
        <v>0.12</v>
      </c>
      <c r="F252" s="724">
        <f t="shared" si="9"/>
        <v>0.128056</v>
      </c>
      <c r="G252" s="724">
        <f t="shared" si="10"/>
        <v>4.7037559233035998E-4</v>
      </c>
      <c r="H252" s="725">
        <f t="shared" si="11"/>
        <v>6.0234416851456578E-5</v>
      </c>
    </row>
    <row r="253" spans="1:8">
      <c r="A253" s="3" t="s">
        <v>2559</v>
      </c>
      <c r="B253" s="3" t="s">
        <v>1827</v>
      </c>
      <c r="C253" s="721">
        <v>18426.48</v>
      </c>
      <c r="D253" s="722">
        <v>9.3999999999999986E-3</v>
      </c>
      <c r="E253" s="723">
        <v>0.11</v>
      </c>
      <c r="F253" s="724">
        <f t="shared" si="9"/>
        <v>0.119917</v>
      </c>
      <c r="G253" s="724">
        <f t="shared" si="10"/>
        <v>5.6008069968443281E-4</v>
      </c>
      <c r="H253" s="725">
        <f t="shared" si="11"/>
        <v>6.7163197264058123E-5</v>
      </c>
    </row>
    <row r="254" spans="1:8">
      <c r="A254" s="3" t="s">
        <v>2560</v>
      </c>
      <c r="B254" s="3" t="s">
        <v>1829</v>
      </c>
      <c r="C254" s="721">
        <v>44503.6</v>
      </c>
      <c r="D254" s="722">
        <v>2.1700000000000001E-2</v>
      </c>
      <c r="E254" s="723">
        <v>0.13</v>
      </c>
      <c r="F254" s="724">
        <f t="shared" si="9"/>
        <v>0.15311050000000001</v>
      </c>
      <c r="G254" s="724">
        <f t="shared" si="10"/>
        <v>1.3527058573572449E-3</v>
      </c>
      <c r="H254" s="725">
        <f t="shared" si="11"/>
        <v>2.0711347017289647E-4</v>
      </c>
    </row>
    <row r="255" spans="1:8">
      <c r="A255" s="3" t="s">
        <v>2562</v>
      </c>
      <c r="B255" s="3" t="s">
        <v>2563</v>
      </c>
      <c r="C255" s="721">
        <v>12999.13</v>
      </c>
      <c r="D255" s="722">
        <v>1.1000000000000001E-2</v>
      </c>
      <c r="E255" s="723">
        <v>0.08</v>
      </c>
      <c r="F255" s="724">
        <f t="shared" si="9"/>
        <v>9.1440000000000007E-2</v>
      </c>
      <c r="G255" s="724">
        <f t="shared" si="10"/>
        <v>3.9511408720976015E-4</v>
      </c>
      <c r="H255" s="725">
        <f t="shared" si="11"/>
        <v>3.612923213446047E-5</v>
      </c>
    </row>
    <row r="256" spans="1:8">
      <c r="A256" s="3" t="s">
        <v>2564</v>
      </c>
      <c r="B256" s="3" t="s">
        <v>1831</v>
      </c>
      <c r="C256" s="721">
        <v>464967.6</v>
      </c>
      <c r="D256" s="722">
        <v>2.5399999999999999E-2</v>
      </c>
      <c r="E256" s="723">
        <v>0.06</v>
      </c>
      <c r="F256" s="724">
        <f t="shared" si="9"/>
        <v>8.6162000000000002E-2</v>
      </c>
      <c r="G256" s="724">
        <f t="shared" si="10"/>
        <v>1.4132888036054173E-2</v>
      </c>
      <c r="H256" s="725">
        <f t="shared" si="11"/>
        <v>1.2177178989624998E-3</v>
      </c>
    </row>
    <row r="257" spans="1:8">
      <c r="A257" s="3" t="s">
        <v>2565</v>
      </c>
      <c r="B257" s="3" t="s">
        <v>1833</v>
      </c>
      <c r="C257" s="721">
        <v>10302.879999999999</v>
      </c>
      <c r="D257" s="722">
        <v>2.6499999999999999E-2</v>
      </c>
      <c r="E257" s="723">
        <v>0.105</v>
      </c>
      <c r="F257" s="724">
        <f t="shared" si="9"/>
        <v>0.13289124999999999</v>
      </c>
      <c r="G257" s="724">
        <f t="shared" si="10"/>
        <v>3.1316042126139929E-4</v>
      </c>
      <c r="H257" s="725">
        <f t="shared" si="11"/>
        <v>4.1616279831953924E-5</v>
      </c>
    </row>
    <row r="258" spans="1:8">
      <c r="A258" s="3" t="s">
        <v>2566</v>
      </c>
      <c r="B258" s="3" t="s">
        <v>1835</v>
      </c>
      <c r="C258" s="721">
        <v>387652.4</v>
      </c>
      <c r="D258" s="722">
        <v>3.1400000000000004E-2</v>
      </c>
      <c r="E258" s="723">
        <v>0.05</v>
      </c>
      <c r="F258" s="724">
        <f t="shared" si="9"/>
        <v>8.2185000000000008E-2</v>
      </c>
      <c r="G258" s="724">
        <f t="shared" si="10"/>
        <v>1.1782859636042786E-2</v>
      </c>
      <c r="H258" s="725">
        <f t="shared" si="11"/>
        <v>9.6837431918817647E-4</v>
      </c>
    </row>
    <row r="259" spans="1:8">
      <c r="A259" s="3" t="s">
        <v>2567</v>
      </c>
      <c r="B259" s="3" t="s">
        <v>1837</v>
      </c>
      <c r="C259" s="721">
        <v>24507.39</v>
      </c>
      <c r="D259" s="722">
        <v>3.3099999999999997E-2</v>
      </c>
      <c r="E259" s="723">
        <v>3.5000000000000003E-2</v>
      </c>
      <c r="F259" s="724">
        <f t="shared" si="9"/>
        <v>6.8679249999999997E-2</v>
      </c>
      <c r="G259" s="724">
        <f t="shared" si="10"/>
        <v>7.4491254643530794E-4</v>
      </c>
      <c r="H259" s="725">
        <f t="shared" si="11"/>
        <v>5.1160035004767122E-5</v>
      </c>
    </row>
    <row r="260" spans="1:8">
      <c r="A260" s="3" t="s">
        <v>4308</v>
      </c>
      <c r="B260" s="3" t="s">
        <v>4309</v>
      </c>
      <c r="C260" s="721">
        <v>51735.65</v>
      </c>
      <c r="D260" s="722">
        <v>2.1899999999999999E-2</v>
      </c>
      <c r="E260" s="723">
        <v>0.115</v>
      </c>
      <c r="F260" s="724">
        <f t="shared" ref="F260:F323" si="12">IFERROR(D260*(1+0.5*E260)+E260,"N/A")</f>
        <v>0.13815925000000001</v>
      </c>
      <c r="G260" s="724">
        <f t="shared" ref="G260:G323" si="13">IF(F260="N/A","N/A",C260/$C$504)</f>
        <v>1.5725270941942752E-3</v>
      </c>
      <c r="H260" s="725">
        <f t="shared" si="11"/>
        <v>2.1725916393856043E-4</v>
      </c>
    </row>
    <row r="261" spans="1:8">
      <c r="A261" s="3" t="s">
        <v>2568</v>
      </c>
      <c r="B261" s="3" t="s">
        <v>1839</v>
      </c>
      <c r="C261" s="721">
        <v>15822.63</v>
      </c>
      <c r="D261" s="722">
        <v>4.8399999999999999E-2</v>
      </c>
      <c r="E261" s="723">
        <v>7.4999999999999997E-2</v>
      </c>
      <c r="F261" s="724">
        <f t="shared" si="12"/>
        <v>0.12521499999999999</v>
      </c>
      <c r="G261" s="724">
        <f t="shared" si="13"/>
        <v>4.8093557105035239E-4</v>
      </c>
      <c r="H261" s="725">
        <f t="shared" ref="H261:H324" si="14">IF(ISNUMBER(G261),F261*G261,"N/A")</f>
        <v>6.0220347529069869E-5</v>
      </c>
    </row>
    <row r="262" spans="1:8">
      <c r="A262" s="3" t="s">
        <v>2570</v>
      </c>
      <c r="B262" s="3" t="s">
        <v>2571</v>
      </c>
      <c r="C262" s="721">
        <v>31119.54</v>
      </c>
      <c r="D262" s="722">
        <v>0</v>
      </c>
      <c r="E262" s="723">
        <v>0.115</v>
      </c>
      <c r="F262" s="724">
        <f t="shared" si="12"/>
        <v>0.115</v>
      </c>
      <c r="G262" s="724">
        <f t="shared" si="13"/>
        <v>9.458916590177666E-4</v>
      </c>
      <c r="H262" s="725">
        <f t="shared" si="14"/>
        <v>1.0877754078704316E-4</v>
      </c>
    </row>
    <row r="263" spans="1:8">
      <c r="A263" s="3" t="s">
        <v>2572</v>
      </c>
      <c r="B263" s="3" t="s">
        <v>1841</v>
      </c>
      <c r="C263" s="721">
        <v>49300.86</v>
      </c>
      <c r="D263" s="722">
        <v>3.9800000000000002E-2</v>
      </c>
      <c r="E263" s="723">
        <v>3.5000000000000003E-2</v>
      </c>
      <c r="F263" s="724">
        <f t="shared" si="12"/>
        <v>7.5496500000000008E-2</v>
      </c>
      <c r="G263" s="724">
        <f t="shared" si="13"/>
        <v>1.4985206161917126E-3</v>
      </c>
      <c r="H263" s="725">
        <f t="shared" si="14"/>
        <v>1.1313306170031764E-4</v>
      </c>
    </row>
    <row r="264" spans="1:8">
      <c r="A264" s="3" t="s">
        <v>2573</v>
      </c>
      <c r="B264" s="3" t="s">
        <v>1843</v>
      </c>
      <c r="C264" s="721">
        <v>13011.5</v>
      </c>
      <c r="D264" s="722">
        <v>4.8300000000000003E-2</v>
      </c>
      <c r="E264" s="723">
        <v>8.5000000000000006E-2</v>
      </c>
      <c r="F264" s="724">
        <f t="shared" si="12"/>
        <v>0.13535275000000002</v>
      </c>
      <c r="G264" s="724">
        <f t="shared" si="13"/>
        <v>3.9549007862293821E-4</v>
      </c>
      <c r="H264" s="725">
        <f t="shared" si="14"/>
        <v>5.3530669739330906E-5</v>
      </c>
    </row>
    <row r="265" spans="1:8">
      <c r="A265" s="3" t="s">
        <v>2908</v>
      </c>
      <c r="B265" s="3" t="s">
        <v>1845</v>
      </c>
      <c r="C265" s="721">
        <v>56230.87</v>
      </c>
      <c r="D265" s="722">
        <v>1.3100000000000001E-2</v>
      </c>
      <c r="E265" s="723">
        <v>0.2</v>
      </c>
      <c r="F265" s="724">
        <f t="shared" si="12"/>
        <v>0.21441000000000002</v>
      </c>
      <c r="G265" s="724">
        <f t="shared" si="13"/>
        <v>1.7091612187169979E-3</v>
      </c>
      <c r="H265" s="725">
        <f t="shared" si="14"/>
        <v>3.6646125690511155E-4</v>
      </c>
    </row>
    <row r="266" spans="1:8">
      <c r="A266" s="3" t="s">
        <v>2574</v>
      </c>
      <c r="B266" s="3" t="s">
        <v>1847</v>
      </c>
      <c r="C266" s="721">
        <v>46227.83</v>
      </c>
      <c r="D266" s="722">
        <v>3.39E-2</v>
      </c>
      <c r="E266" s="723">
        <v>5.5E-2</v>
      </c>
      <c r="F266" s="724">
        <f t="shared" si="12"/>
        <v>8.9832250000000002E-2</v>
      </c>
      <c r="G266" s="724">
        <f t="shared" si="13"/>
        <v>1.4051145618312895E-3</v>
      </c>
      <c r="H266" s="725">
        <f t="shared" si="14"/>
        <v>1.2622460259706885E-4</v>
      </c>
    </row>
    <row r="267" spans="1:8">
      <c r="A267" s="3" t="s">
        <v>3000</v>
      </c>
      <c r="B267" s="3" t="s">
        <v>1849</v>
      </c>
      <c r="C267" s="721">
        <v>40225.14</v>
      </c>
      <c r="D267" s="722">
        <v>6.2100000000000002E-2</v>
      </c>
      <c r="E267" s="723">
        <v>0.19</v>
      </c>
      <c r="F267" s="724">
        <f t="shared" si="12"/>
        <v>0.25799949999999999</v>
      </c>
      <c r="G267" s="724">
        <f t="shared" si="13"/>
        <v>1.2226602452613993E-3</v>
      </c>
      <c r="H267" s="725">
        <f t="shared" si="14"/>
        <v>3.1544573194731837E-4</v>
      </c>
    </row>
    <row r="268" spans="1:8">
      <c r="A268" s="3" t="s">
        <v>2575</v>
      </c>
      <c r="B268" s="3" t="s">
        <v>1851</v>
      </c>
      <c r="C268" s="721">
        <v>9383.07</v>
      </c>
      <c r="D268" s="722">
        <v>0</v>
      </c>
      <c r="E268" s="723">
        <v>0.04</v>
      </c>
      <c r="F268" s="724">
        <f t="shared" si="12"/>
        <v>0.04</v>
      </c>
      <c r="G268" s="724">
        <f t="shared" si="13"/>
        <v>2.8520240495135324E-4</v>
      </c>
      <c r="H268" s="725">
        <f t="shared" si="14"/>
        <v>1.1408096198054131E-5</v>
      </c>
    </row>
    <row r="269" spans="1:8">
      <c r="A269" s="3" t="s">
        <v>2576</v>
      </c>
      <c r="B269" s="3" t="s">
        <v>1853</v>
      </c>
      <c r="C269" s="721">
        <v>275871.2</v>
      </c>
      <c r="D269" s="722">
        <v>2.8500000000000001E-2</v>
      </c>
      <c r="E269" s="723">
        <v>7.4999999999999997E-2</v>
      </c>
      <c r="F269" s="724">
        <f t="shared" si="12"/>
        <v>0.10456875</v>
      </c>
      <c r="G269" s="724">
        <f t="shared" si="13"/>
        <v>8.3852225014644215E-3</v>
      </c>
      <c r="H269" s="725">
        <f t="shared" si="14"/>
        <v>8.7683223545000771E-4</v>
      </c>
    </row>
    <row r="270" spans="1:8">
      <c r="A270" s="3" t="s">
        <v>2577</v>
      </c>
      <c r="B270" s="3" t="s">
        <v>185</v>
      </c>
      <c r="C270" s="721">
        <v>31833.360000000001</v>
      </c>
      <c r="D270" s="722">
        <v>2.3399999999999997E-2</v>
      </c>
      <c r="E270" s="723">
        <v>6.5000000000000002E-2</v>
      </c>
      <c r="F270" s="724">
        <f t="shared" si="12"/>
        <v>8.9160500000000004E-2</v>
      </c>
      <c r="G270" s="724">
        <f t="shared" si="13"/>
        <v>9.6758852163334711E-4</v>
      </c>
      <c r="H270" s="725">
        <f t="shared" si="14"/>
        <v>8.6270676383090052E-5</v>
      </c>
    </row>
    <row r="271" spans="1:8">
      <c r="A271" s="3" t="s">
        <v>2578</v>
      </c>
      <c r="B271" s="3" t="s">
        <v>1856</v>
      </c>
      <c r="C271" s="721">
        <v>13674.51</v>
      </c>
      <c r="D271" s="722">
        <v>4.4000000000000003E-3</v>
      </c>
      <c r="E271" s="723">
        <v>0.185</v>
      </c>
      <c r="F271" s="724">
        <f t="shared" si="12"/>
        <v>0.189807</v>
      </c>
      <c r="G271" s="724">
        <f t="shared" si="13"/>
        <v>4.1564254966991926E-4</v>
      </c>
      <c r="H271" s="725">
        <f t="shared" si="14"/>
        <v>7.889186542519837E-5</v>
      </c>
    </row>
    <row r="272" spans="1:8">
      <c r="A272" s="3" t="s">
        <v>2910</v>
      </c>
      <c r="B272" s="3" t="s">
        <v>2911</v>
      </c>
      <c r="C272" s="721">
        <v>14498.71</v>
      </c>
      <c r="D272" s="722">
        <v>1.38E-2</v>
      </c>
      <c r="E272" s="723">
        <v>8.5000000000000006E-2</v>
      </c>
      <c r="F272" s="724">
        <f t="shared" si="12"/>
        <v>9.9386500000000003E-2</v>
      </c>
      <c r="G272" s="724">
        <f t="shared" si="13"/>
        <v>4.406944593498966E-4</v>
      </c>
      <c r="H272" s="725">
        <f t="shared" si="14"/>
        <v>4.3799079884178501E-5</v>
      </c>
    </row>
    <row r="273" spans="1:8">
      <c r="A273" s="3" t="s">
        <v>2579</v>
      </c>
      <c r="B273" s="3" t="s">
        <v>1858</v>
      </c>
      <c r="C273" s="721">
        <v>26371</v>
      </c>
      <c r="D273" s="722">
        <v>1.7500000000000002E-2</v>
      </c>
      <c r="E273" s="723">
        <v>8.5000000000000006E-2</v>
      </c>
      <c r="F273" s="724">
        <f t="shared" si="12"/>
        <v>0.10324375000000001</v>
      </c>
      <c r="G273" s="724">
        <f t="shared" si="13"/>
        <v>8.0155776531264675E-4</v>
      </c>
      <c r="H273" s="725">
        <f t="shared" si="14"/>
        <v>8.2755829532497587E-5</v>
      </c>
    </row>
    <row r="274" spans="1:8">
      <c r="A274" s="3" t="s">
        <v>2580</v>
      </c>
      <c r="B274" s="3" t="s">
        <v>1310</v>
      </c>
      <c r="C274" s="721">
        <v>20780.93</v>
      </c>
      <c r="D274" s="722">
        <v>1.24E-2</v>
      </c>
      <c r="E274" s="723">
        <v>1.4999999999999999E-2</v>
      </c>
      <c r="F274" s="724">
        <f t="shared" si="12"/>
        <v>2.7493E-2</v>
      </c>
      <c r="G274" s="724">
        <f t="shared" si="13"/>
        <v>6.3164520920399453E-4</v>
      </c>
      <c r="H274" s="725">
        <f t="shared" si="14"/>
        <v>1.7365821736645421E-5</v>
      </c>
    </row>
    <row r="275" spans="1:8">
      <c r="A275" s="3" t="s">
        <v>2913</v>
      </c>
      <c r="B275" s="3" t="s">
        <v>2914</v>
      </c>
      <c r="C275" s="721">
        <v>39551.599999999999</v>
      </c>
      <c r="D275" s="722">
        <v>2.1600000000000001E-2</v>
      </c>
      <c r="E275" s="723">
        <v>0.17499999999999999</v>
      </c>
      <c r="F275" s="724">
        <f t="shared" si="12"/>
        <v>0.19849</v>
      </c>
      <c r="G275" s="724">
        <f t="shared" si="13"/>
        <v>1.2021877103841219E-3</v>
      </c>
      <c r="H275" s="725">
        <f t="shared" si="14"/>
        <v>2.3862223863414437E-4</v>
      </c>
    </row>
    <row r="276" spans="1:8">
      <c r="A276" s="3" t="s">
        <v>2582</v>
      </c>
      <c r="B276" s="3" t="s">
        <v>2583</v>
      </c>
      <c r="C276" s="721">
        <v>162487.9</v>
      </c>
      <c r="D276" s="722">
        <v>1.4199999999999999E-2</v>
      </c>
      <c r="E276" s="723">
        <v>0.12</v>
      </c>
      <c r="F276" s="724">
        <f t="shared" si="12"/>
        <v>0.13505200000000001</v>
      </c>
      <c r="G276" s="724">
        <f t="shared" si="13"/>
        <v>4.9388888557257904E-3</v>
      </c>
      <c r="H276" s="725">
        <f t="shared" si="14"/>
        <v>6.6700681774347942E-4</v>
      </c>
    </row>
    <row r="277" spans="1:8">
      <c r="A277" s="3" t="s">
        <v>2584</v>
      </c>
      <c r="B277" s="3" t="s">
        <v>1861</v>
      </c>
      <c r="C277" s="721">
        <v>14682.64</v>
      </c>
      <c r="D277" s="722">
        <v>2.0199999999999999E-2</v>
      </c>
      <c r="E277" s="723">
        <v>0.11</v>
      </c>
      <c r="F277" s="724">
        <f t="shared" si="12"/>
        <v>0.13131100000000001</v>
      </c>
      <c r="G277" s="724">
        <f t="shared" si="13"/>
        <v>4.4628508995829053E-4</v>
      </c>
      <c r="H277" s="725">
        <f t="shared" si="14"/>
        <v>5.8602141447513091E-5</v>
      </c>
    </row>
    <row r="278" spans="1:8">
      <c r="A278" s="3" t="s">
        <v>3993</v>
      </c>
      <c r="B278" s="3" t="s">
        <v>1445</v>
      </c>
      <c r="C278" s="721">
        <v>349840.3</v>
      </c>
      <c r="D278" s="722">
        <v>1.23E-2</v>
      </c>
      <c r="E278" s="723">
        <v>0.115</v>
      </c>
      <c r="F278" s="724">
        <f t="shared" si="12"/>
        <v>0.12800725000000002</v>
      </c>
      <c r="G278" s="724">
        <f t="shared" si="13"/>
        <v>1.0633544768279775E-2</v>
      </c>
      <c r="H278" s="725">
        <f t="shared" si="14"/>
        <v>1.3611708235393813E-3</v>
      </c>
    </row>
    <row r="279" spans="1:8">
      <c r="A279" s="3" t="s">
        <v>2585</v>
      </c>
      <c r="B279" s="3" t="s">
        <v>1864</v>
      </c>
      <c r="C279" s="721">
        <v>127800.4</v>
      </c>
      <c r="D279" s="722">
        <v>2.46E-2</v>
      </c>
      <c r="E279" s="723">
        <v>0.08</v>
      </c>
      <c r="F279" s="724">
        <f t="shared" si="12"/>
        <v>0.10558400000000001</v>
      </c>
      <c r="G279" s="724">
        <f t="shared" si="13"/>
        <v>3.8845475344151674E-3</v>
      </c>
      <c r="H279" s="725">
        <f t="shared" si="14"/>
        <v>4.1014606687369106E-4</v>
      </c>
    </row>
    <row r="280" spans="1:8">
      <c r="A280" s="3" t="s">
        <v>2586</v>
      </c>
      <c r="B280" s="3" t="s">
        <v>1866</v>
      </c>
      <c r="C280" s="721">
        <v>5125.49</v>
      </c>
      <c r="D280" s="722">
        <v>5.9400000000000001E-2</v>
      </c>
      <c r="E280" s="723">
        <v>0.115</v>
      </c>
      <c r="F280" s="724">
        <f t="shared" si="12"/>
        <v>0.17781550000000002</v>
      </c>
      <c r="G280" s="724">
        <f t="shared" si="13"/>
        <v>1.5579144933951377E-4</v>
      </c>
      <c r="H280" s="725">
        <f t="shared" si="14"/>
        <v>2.7702134460030312E-5</v>
      </c>
    </row>
    <row r="281" spans="1:8">
      <c r="A281" s="3" t="s">
        <v>2588</v>
      </c>
      <c r="B281" s="3" t="s">
        <v>1355</v>
      </c>
      <c r="C281" s="721">
        <v>13826.29</v>
      </c>
      <c r="D281" s="722">
        <v>3.2000000000000001E-2</v>
      </c>
      <c r="E281" s="723">
        <v>0.06</v>
      </c>
      <c r="F281" s="724">
        <f t="shared" si="12"/>
        <v>9.2960000000000001E-2</v>
      </c>
      <c r="G281" s="724">
        <f t="shared" si="13"/>
        <v>4.2025596734915609E-4</v>
      </c>
      <c r="H281" s="725">
        <f t="shared" si="14"/>
        <v>3.9066994724777552E-5</v>
      </c>
    </row>
    <row r="282" spans="1:8">
      <c r="A282" s="3" t="s">
        <v>2589</v>
      </c>
      <c r="B282" s="3" t="s">
        <v>1868</v>
      </c>
      <c r="C282" s="721">
        <v>123684.7</v>
      </c>
      <c r="D282" s="722">
        <v>2.1700000000000001E-2</v>
      </c>
      <c r="E282" s="723">
        <v>0.125</v>
      </c>
      <c r="F282" s="724">
        <f t="shared" si="12"/>
        <v>0.14805625</v>
      </c>
      <c r="G282" s="724">
        <f t="shared" si="13"/>
        <v>3.7594490817703203E-3</v>
      </c>
      <c r="H282" s="725">
        <f t="shared" si="14"/>
        <v>5.5660993311285696E-4</v>
      </c>
    </row>
    <row r="283" spans="1:8">
      <c r="A283" s="3" t="s">
        <v>2590</v>
      </c>
      <c r="B283" s="3" t="s">
        <v>1870</v>
      </c>
      <c r="C283" s="721">
        <v>61077.82</v>
      </c>
      <c r="D283" s="722">
        <v>1.5600000000000001E-2</v>
      </c>
      <c r="E283" s="723">
        <v>0.14499999999999999</v>
      </c>
      <c r="F283" s="724">
        <f t="shared" si="12"/>
        <v>0.16173099999999999</v>
      </c>
      <c r="G283" s="724">
        <f t="shared" si="13"/>
        <v>1.8564863262435281E-3</v>
      </c>
      <c r="H283" s="725">
        <f t="shared" si="14"/>
        <v>3.00251390029692E-4</v>
      </c>
    </row>
    <row r="284" spans="1:8">
      <c r="A284" s="3" t="s">
        <v>3944</v>
      </c>
      <c r="B284" s="3" t="s">
        <v>3918</v>
      </c>
      <c r="C284" s="721">
        <v>5484.22</v>
      </c>
      <c r="D284" s="722">
        <v>0</v>
      </c>
      <c r="E284" s="723">
        <v>4.4999999999999998E-2</v>
      </c>
      <c r="F284" s="724">
        <f t="shared" si="12"/>
        <v>4.4999999999999998E-2</v>
      </c>
      <c r="G284" s="724">
        <f t="shared" si="13"/>
        <v>1.6669520032167623E-4</v>
      </c>
      <c r="H284" s="725">
        <f t="shared" si="14"/>
        <v>7.5012840144754297E-6</v>
      </c>
    </row>
    <row r="285" spans="1:8">
      <c r="A285" s="3" t="s">
        <v>2591</v>
      </c>
      <c r="B285" s="3" t="s">
        <v>1872</v>
      </c>
      <c r="C285" s="721">
        <v>21731.32</v>
      </c>
      <c r="D285" s="722">
        <v>1.9699999999999999E-2</v>
      </c>
      <c r="E285" s="723" t="s">
        <v>4148</v>
      </c>
      <c r="F285" s="724" t="str">
        <f t="shared" si="12"/>
        <v>N/A</v>
      </c>
      <c r="G285" s="724" t="str">
        <f t="shared" si="13"/>
        <v>N/A</v>
      </c>
      <c r="H285" s="725" t="str">
        <f t="shared" si="14"/>
        <v>N/A</v>
      </c>
    </row>
    <row r="286" spans="1:8">
      <c r="A286" s="3" t="s">
        <v>2916</v>
      </c>
      <c r="B286" s="3" t="s">
        <v>2917</v>
      </c>
      <c r="C286" s="721">
        <v>35823.96</v>
      </c>
      <c r="D286" s="722">
        <v>0</v>
      </c>
      <c r="E286" s="723" t="s">
        <v>4148</v>
      </c>
      <c r="F286" s="724" t="str">
        <f t="shared" si="12"/>
        <v>N/A</v>
      </c>
      <c r="G286" s="724" t="str">
        <f t="shared" si="13"/>
        <v>N/A</v>
      </c>
      <c r="H286" s="725" t="str">
        <f t="shared" si="14"/>
        <v>N/A</v>
      </c>
    </row>
    <row r="287" spans="1:8">
      <c r="A287" s="3" t="s">
        <v>2593</v>
      </c>
      <c r="B287" s="3" t="s">
        <v>2594</v>
      </c>
      <c r="C287" s="721">
        <v>12750.62</v>
      </c>
      <c r="D287" s="722">
        <v>1.26E-2</v>
      </c>
      <c r="E287" s="723">
        <v>0.115</v>
      </c>
      <c r="F287" s="724">
        <f t="shared" si="12"/>
        <v>0.12832450000000001</v>
      </c>
      <c r="G287" s="724">
        <f t="shared" si="13"/>
        <v>3.8756052002391798E-4</v>
      </c>
      <c r="H287" s="725">
        <f t="shared" si="14"/>
        <v>4.9733509951809268E-5</v>
      </c>
    </row>
    <row r="288" spans="1:8">
      <c r="A288" s="3" t="s">
        <v>2595</v>
      </c>
      <c r="B288" s="3" t="s">
        <v>1874</v>
      </c>
      <c r="C288" s="721">
        <v>26798.77</v>
      </c>
      <c r="D288" s="722">
        <v>5.7800000000000004E-2</v>
      </c>
      <c r="E288" s="723">
        <v>3.5000000000000003E-2</v>
      </c>
      <c r="F288" s="724">
        <f t="shared" si="12"/>
        <v>9.381150000000002E-2</v>
      </c>
      <c r="G288" s="724">
        <f t="shared" si="13"/>
        <v>8.1456001646989487E-4</v>
      </c>
      <c r="H288" s="725">
        <f t="shared" si="14"/>
        <v>7.641509698506556E-5</v>
      </c>
    </row>
    <row r="289" spans="1:8">
      <c r="A289" s="3" t="s">
        <v>2961</v>
      </c>
      <c r="B289" s="3" t="s">
        <v>2962</v>
      </c>
      <c r="C289" s="721">
        <v>16318.6</v>
      </c>
      <c r="D289" s="722">
        <v>0</v>
      </c>
      <c r="E289" s="723" t="s">
        <v>4148</v>
      </c>
      <c r="F289" s="724" t="str">
        <f t="shared" si="12"/>
        <v>N/A</v>
      </c>
      <c r="G289" s="724" t="str">
        <f t="shared" si="13"/>
        <v>N/A</v>
      </c>
      <c r="H289" s="725" t="str">
        <f t="shared" si="14"/>
        <v>N/A</v>
      </c>
    </row>
    <row r="290" spans="1:8">
      <c r="A290" s="3" t="s">
        <v>2596</v>
      </c>
      <c r="B290" s="3" t="s">
        <v>1876</v>
      </c>
      <c r="C290" s="721">
        <v>332899.5</v>
      </c>
      <c r="D290" s="722">
        <v>6.6E-3</v>
      </c>
      <c r="E290" s="723">
        <v>0.185</v>
      </c>
      <c r="F290" s="724">
        <f t="shared" si="12"/>
        <v>0.19221050000000001</v>
      </c>
      <c r="G290" s="724">
        <f t="shared" si="13"/>
        <v>1.0118621944321317E-2</v>
      </c>
      <c r="H290" s="725">
        <f t="shared" si="14"/>
        <v>1.9449053832289725E-3</v>
      </c>
    </row>
    <row r="291" spans="1:8">
      <c r="A291" s="3" t="s">
        <v>2597</v>
      </c>
      <c r="B291" s="3" t="s">
        <v>2206</v>
      </c>
      <c r="C291" s="721">
        <v>17987.96</v>
      </c>
      <c r="D291" s="722">
        <v>3.5900000000000001E-2</v>
      </c>
      <c r="E291" s="723">
        <v>-0.14499999999999999</v>
      </c>
      <c r="F291" s="724">
        <f t="shared" si="12"/>
        <v>-0.11170274999999999</v>
      </c>
      <c r="G291" s="724">
        <f t="shared" si="13"/>
        <v>5.46751697703283E-4</v>
      </c>
      <c r="H291" s="725">
        <f t="shared" si="14"/>
        <v>-6.1073668200625395E-5</v>
      </c>
    </row>
    <row r="292" spans="1:8">
      <c r="A292" s="3" t="s">
        <v>2598</v>
      </c>
      <c r="B292" s="3" t="s">
        <v>1878</v>
      </c>
      <c r="C292" s="721">
        <v>47495.88</v>
      </c>
      <c r="D292" s="722">
        <v>1.0800000000000001E-2</v>
      </c>
      <c r="E292" s="723">
        <v>0.26500000000000001</v>
      </c>
      <c r="F292" s="724">
        <f t="shared" si="12"/>
        <v>0.27723100000000001</v>
      </c>
      <c r="G292" s="724">
        <f t="shared" si="13"/>
        <v>1.4436574811102208E-3</v>
      </c>
      <c r="H292" s="725">
        <f t="shared" si="14"/>
        <v>4.0022660714566762E-4</v>
      </c>
    </row>
    <row r="293" spans="1:8">
      <c r="A293" s="3" t="s">
        <v>2599</v>
      </c>
      <c r="B293" s="3" t="s">
        <v>1880</v>
      </c>
      <c r="C293" s="721">
        <v>10616.14</v>
      </c>
      <c r="D293" s="722">
        <v>2.4399999999999998E-2</v>
      </c>
      <c r="E293" s="723">
        <v>0.08</v>
      </c>
      <c r="F293" s="724">
        <f t="shared" si="12"/>
        <v>0.105376</v>
      </c>
      <c r="G293" s="724">
        <f t="shared" si="13"/>
        <v>3.2268209224702141E-4</v>
      </c>
      <c r="H293" s="725">
        <f t="shared" si="14"/>
        <v>3.4002948152622127E-5</v>
      </c>
    </row>
    <row r="294" spans="1:8">
      <c r="A294" s="3" t="s">
        <v>2600</v>
      </c>
      <c r="B294" s="3" t="s">
        <v>1882</v>
      </c>
      <c r="C294" s="721">
        <v>196400.4</v>
      </c>
      <c r="D294" s="722">
        <v>2.2700000000000001E-2</v>
      </c>
      <c r="E294" s="723">
        <v>0.105</v>
      </c>
      <c r="F294" s="724">
        <f t="shared" si="12"/>
        <v>0.12889175</v>
      </c>
      <c r="G294" s="724">
        <f t="shared" si="13"/>
        <v>5.9696737222900134E-3</v>
      </c>
      <c r="H294" s="725">
        <f t="shared" si="14"/>
        <v>7.6944169299497385E-4</v>
      </c>
    </row>
    <row r="295" spans="1:8">
      <c r="A295" s="3" t="s">
        <v>2601</v>
      </c>
      <c r="B295" s="3" t="s">
        <v>1884</v>
      </c>
      <c r="C295" s="721">
        <v>40128.660000000003</v>
      </c>
      <c r="D295" s="722">
        <v>1.8000000000000002E-2</v>
      </c>
      <c r="E295" s="723">
        <v>0.09</v>
      </c>
      <c r="F295" s="724">
        <f t="shared" si="12"/>
        <v>0.10880999999999999</v>
      </c>
      <c r="G295" s="724">
        <f t="shared" si="13"/>
        <v>1.2197276946111636E-3</v>
      </c>
      <c r="H295" s="725">
        <f t="shared" si="14"/>
        <v>1.327185704506407E-4</v>
      </c>
    </row>
    <row r="296" spans="1:8">
      <c r="A296" s="3" t="s">
        <v>2602</v>
      </c>
      <c r="B296" s="3" t="s">
        <v>1309</v>
      </c>
      <c r="C296" s="721">
        <v>54025.32</v>
      </c>
      <c r="D296" s="722">
        <v>5.6999999999999993E-3</v>
      </c>
      <c r="E296" s="723">
        <v>0.1</v>
      </c>
      <c r="F296" s="724">
        <f t="shared" si="12"/>
        <v>0.10598500000000001</v>
      </c>
      <c r="G296" s="724">
        <f t="shared" si="13"/>
        <v>1.6421225880512928E-3</v>
      </c>
      <c r="H296" s="725">
        <f t="shared" si="14"/>
        <v>1.7404036249461628E-4</v>
      </c>
    </row>
    <row r="297" spans="1:8">
      <c r="A297" s="3" t="s">
        <v>2603</v>
      </c>
      <c r="B297" s="3" t="s">
        <v>1887</v>
      </c>
      <c r="C297" s="721">
        <v>51728.61</v>
      </c>
      <c r="D297" s="722">
        <v>9.8999999999999991E-3</v>
      </c>
      <c r="E297" s="723">
        <v>0.04</v>
      </c>
      <c r="F297" s="724">
        <f t="shared" si="12"/>
        <v>5.0098000000000004E-2</v>
      </c>
      <c r="G297" s="724">
        <f t="shared" si="13"/>
        <v>1.5723131103989015E-3</v>
      </c>
      <c r="H297" s="725">
        <f t="shared" si="14"/>
        <v>7.8769742204764178E-5</v>
      </c>
    </row>
    <row r="298" spans="1:8">
      <c r="A298" s="3" t="s">
        <v>2604</v>
      </c>
      <c r="B298" s="3" t="s">
        <v>1889</v>
      </c>
      <c r="C298" s="721">
        <v>91464.91</v>
      </c>
      <c r="D298" s="722">
        <v>2.3E-2</v>
      </c>
      <c r="E298" s="723">
        <v>0.08</v>
      </c>
      <c r="F298" s="724">
        <f t="shared" si="12"/>
        <v>0.10392</v>
      </c>
      <c r="G298" s="724">
        <f t="shared" si="13"/>
        <v>2.7801148558690364E-3</v>
      </c>
      <c r="H298" s="725">
        <f t="shared" si="14"/>
        <v>2.8890953582191029E-4</v>
      </c>
    </row>
    <row r="299" spans="1:8">
      <c r="A299" s="3" t="s">
        <v>2605</v>
      </c>
      <c r="B299" s="3" t="s">
        <v>1891</v>
      </c>
      <c r="C299" s="721">
        <v>102634.2</v>
      </c>
      <c r="D299" s="722">
        <v>3.78E-2</v>
      </c>
      <c r="E299" s="723">
        <v>7.4999999999999997E-2</v>
      </c>
      <c r="F299" s="724">
        <f t="shared" si="12"/>
        <v>0.1142175</v>
      </c>
      <c r="G299" s="724">
        <f t="shared" si="13"/>
        <v>3.119610177719891E-3</v>
      </c>
      <c r="H299" s="725">
        <f t="shared" si="14"/>
        <v>3.5631407547372166E-4</v>
      </c>
    </row>
    <row r="300" spans="1:8">
      <c r="A300" s="3" t="s">
        <v>2606</v>
      </c>
      <c r="B300" s="3" t="s">
        <v>1893</v>
      </c>
      <c r="C300" s="721">
        <v>57349.91</v>
      </c>
      <c r="D300" s="722">
        <v>2.8300000000000002E-2</v>
      </c>
      <c r="E300" s="723">
        <v>0.05</v>
      </c>
      <c r="F300" s="724">
        <f t="shared" si="12"/>
        <v>7.9007500000000008E-2</v>
      </c>
      <c r="G300" s="724">
        <f t="shared" si="13"/>
        <v>1.74317491564527E-3</v>
      </c>
      <c r="H300" s="725">
        <f t="shared" si="14"/>
        <v>1.3772389214784369E-4</v>
      </c>
    </row>
    <row r="301" spans="1:8">
      <c r="A301" s="3" t="s">
        <v>4093</v>
      </c>
      <c r="B301" s="3" t="s">
        <v>4311</v>
      </c>
      <c r="C301" s="721">
        <v>319160.40000000002</v>
      </c>
      <c r="D301" s="722">
        <v>0</v>
      </c>
      <c r="E301" s="723">
        <v>0.11</v>
      </c>
      <c r="F301" s="724">
        <f t="shared" si="12"/>
        <v>0.11</v>
      </c>
      <c r="G301" s="724">
        <f t="shared" si="13"/>
        <v>9.701016154119696E-3</v>
      </c>
      <c r="H301" s="725">
        <f t="shared" si="14"/>
        <v>1.0671117769531667E-3</v>
      </c>
    </row>
    <row r="302" spans="1:8">
      <c r="A302" s="3" t="s">
        <v>2607</v>
      </c>
      <c r="B302" s="3" t="s">
        <v>2273</v>
      </c>
      <c r="C302" s="721">
        <v>13439.47</v>
      </c>
      <c r="D302" s="722">
        <v>2.9999999999999997E-4</v>
      </c>
      <c r="E302" s="723" t="s">
        <v>4148</v>
      </c>
      <c r="F302" s="724" t="str">
        <f t="shared" si="12"/>
        <v>N/A</v>
      </c>
      <c r="G302" s="724" t="str">
        <f t="shared" si="13"/>
        <v>N/A</v>
      </c>
      <c r="H302" s="725" t="str">
        <f t="shared" si="14"/>
        <v>N/A</v>
      </c>
    </row>
    <row r="303" spans="1:8">
      <c r="A303" s="3" t="s">
        <v>2608</v>
      </c>
      <c r="B303" s="3" t="s">
        <v>1895</v>
      </c>
      <c r="C303" s="721">
        <v>6178.05</v>
      </c>
      <c r="D303" s="722">
        <v>0</v>
      </c>
      <c r="E303" s="723">
        <v>0.05</v>
      </c>
      <c r="F303" s="724">
        <f t="shared" si="12"/>
        <v>0.05</v>
      </c>
      <c r="G303" s="724">
        <f t="shared" si="13"/>
        <v>1.8778445838192701E-4</v>
      </c>
      <c r="H303" s="725">
        <f t="shared" si="14"/>
        <v>9.3892229190963505E-6</v>
      </c>
    </row>
    <row r="304" spans="1:8">
      <c r="A304" s="3" t="s">
        <v>2609</v>
      </c>
      <c r="B304" s="3" t="s">
        <v>1897</v>
      </c>
      <c r="C304" s="721">
        <v>22596.44</v>
      </c>
      <c r="D304" s="722">
        <v>1.8500000000000003E-2</v>
      </c>
      <c r="E304" s="723">
        <v>0.05</v>
      </c>
      <c r="F304" s="724">
        <f t="shared" si="12"/>
        <v>6.896250000000001E-2</v>
      </c>
      <c r="G304" s="724">
        <f t="shared" si="13"/>
        <v>6.868284081157826E-4</v>
      </c>
      <c r="H304" s="725">
        <f t="shared" si="14"/>
        <v>4.7365404094684666E-5</v>
      </c>
    </row>
    <row r="305" spans="1:8">
      <c r="A305" s="3" t="s">
        <v>2919</v>
      </c>
      <c r="B305" s="3" t="s">
        <v>2920</v>
      </c>
      <c r="C305" s="721">
        <v>10462.33</v>
      </c>
      <c r="D305" s="722">
        <v>1.01E-2</v>
      </c>
      <c r="E305" s="723">
        <v>0.1</v>
      </c>
      <c r="F305" s="724">
        <f t="shared" si="12"/>
        <v>0.11060500000000001</v>
      </c>
      <c r="G305" s="724">
        <f t="shared" si="13"/>
        <v>3.1800697185406182E-4</v>
      </c>
      <c r="H305" s="725">
        <f t="shared" si="14"/>
        <v>3.5173161121918511E-5</v>
      </c>
    </row>
    <row r="306" spans="1:8">
      <c r="A306" s="3" t="s">
        <v>2610</v>
      </c>
      <c r="B306" s="3" t="s">
        <v>1899</v>
      </c>
      <c r="C306" s="721">
        <v>21246.27</v>
      </c>
      <c r="D306" s="722">
        <v>7.7000000000000002E-3</v>
      </c>
      <c r="E306" s="723">
        <v>4.4999999999999998E-2</v>
      </c>
      <c r="F306" s="724">
        <f t="shared" si="12"/>
        <v>5.2873249999999997E-2</v>
      </c>
      <c r="G306" s="724">
        <f t="shared" si="13"/>
        <v>6.4578941649649725E-4</v>
      </c>
      <c r="H306" s="725">
        <f t="shared" si="14"/>
        <v>3.4144985265773424E-5</v>
      </c>
    </row>
    <row r="307" spans="1:8">
      <c r="A307" s="3" t="s">
        <v>2611</v>
      </c>
      <c r="B307" s="3" t="s">
        <v>1901</v>
      </c>
      <c r="C307" s="721">
        <v>83214.97</v>
      </c>
      <c r="D307" s="722">
        <v>1.44E-2</v>
      </c>
      <c r="E307" s="723">
        <v>0.11</v>
      </c>
      <c r="F307" s="724">
        <f t="shared" si="12"/>
        <v>0.125192</v>
      </c>
      <c r="G307" s="724">
        <f t="shared" si="13"/>
        <v>2.5293544193909574E-3</v>
      </c>
      <c r="H307" s="725">
        <f t="shared" si="14"/>
        <v>3.1665493847239271E-4</v>
      </c>
    </row>
    <row r="308" spans="1:8">
      <c r="A308" s="3" t="s">
        <v>2612</v>
      </c>
      <c r="B308" s="3" t="s">
        <v>1903</v>
      </c>
      <c r="C308" s="721">
        <v>68241.66</v>
      </c>
      <c r="D308" s="722">
        <v>4.8300000000000003E-2</v>
      </c>
      <c r="E308" s="723">
        <v>0.06</v>
      </c>
      <c r="F308" s="724">
        <f t="shared" si="12"/>
        <v>0.109749</v>
      </c>
      <c r="G308" s="724">
        <f t="shared" si="13"/>
        <v>2.0742342911086206E-3</v>
      </c>
      <c r="H308" s="725">
        <f t="shared" si="14"/>
        <v>2.2764513921488E-4</v>
      </c>
    </row>
    <row r="309" spans="1:8">
      <c r="A309" s="3" t="s">
        <v>2613</v>
      </c>
      <c r="B309" s="3" t="s">
        <v>1905</v>
      </c>
      <c r="C309" s="721">
        <v>53418.23</v>
      </c>
      <c r="D309" s="722">
        <v>0</v>
      </c>
      <c r="E309" s="723">
        <v>0.105</v>
      </c>
      <c r="F309" s="724">
        <f t="shared" si="12"/>
        <v>0.105</v>
      </c>
      <c r="G309" s="724">
        <f t="shared" si="13"/>
        <v>1.62366982919711E-3</v>
      </c>
      <c r="H309" s="725">
        <f t="shared" si="14"/>
        <v>1.7048533206569653E-4</v>
      </c>
    </row>
    <row r="310" spans="1:8">
      <c r="A310" s="3" t="s">
        <v>2614</v>
      </c>
      <c r="B310" s="3" t="s">
        <v>1907</v>
      </c>
      <c r="C310" s="721">
        <v>81780.02</v>
      </c>
      <c r="D310" s="722">
        <v>8.2500000000000004E-2</v>
      </c>
      <c r="E310" s="723">
        <v>0.06</v>
      </c>
      <c r="F310" s="724">
        <f t="shared" si="12"/>
        <v>0.14497500000000002</v>
      </c>
      <c r="G310" s="724">
        <f t="shared" si="13"/>
        <v>2.4857385035995435E-3</v>
      </c>
      <c r="H310" s="725">
        <f t="shared" si="14"/>
        <v>3.6036993955934388E-4</v>
      </c>
    </row>
    <row r="311" spans="1:8">
      <c r="A311" s="3" t="s">
        <v>4313</v>
      </c>
      <c r="B311" s="3" t="s">
        <v>4314</v>
      </c>
      <c r="C311" s="721">
        <v>19358.66</v>
      </c>
      <c r="D311" s="722">
        <v>0</v>
      </c>
      <c r="E311" s="723">
        <v>0.11</v>
      </c>
      <c r="F311" s="724">
        <f t="shared" si="12"/>
        <v>0.11</v>
      </c>
      <c r="G311" s="724">
        <f t="shared" si="13"/>
        <v>5.8841470740765697E-4</v>
      </c>
      <c r="H311" s="725">
        <f t="shared" si="14"/>
        <v>6.4725617814842269E-5</v>
      </c>
    </row>
    <row r="312" spans="1:8">
      <c r="A312" s="3" t="s">
        <v>2615</v>
      </c>
      <c r="B312" s="3" t="s">
        <v>1909</v>
      </c>
      <c r="C312" s="721">
        <v>15609.04</v>
      </c>
      <c r="D312" s="722">
        <v>1.7500000000000002E-2</v>
      </c>
      <c r="E312" s="723">
        <v>0.375</v>
      </c>
      <c r="F312" s="724">
        <f t="shared" si="12"/>
        <v>0.39578124999999997</v>
      </c>
      <c r="G312" s="724">
        <f t="shared" si="13"/>
        <v>4.7444341212224476E-4</v>
      </c>
      <c r="H312" s="725">
        <f t="shared" si="14"/>
        <v>1.8777580670400717E-4</v>
      </c>
    </row>
    <row r="313" spans="1:8">
      <c r="A313" s="3" t="s">
        <v>2616</v>
      </c>
      <c r="B313" s="3" t="s">
        <v>1911</v>
      </c>
      <c r="C313" s="721">
        <v>53723.95</v>
      </c>
      <c r="D313" s="722">
        <v>2.6200000000000001E-2</v>
      </c>
      <c r="E313" s="723" t="s">
        <v>4148</v>
      </c>
      <c r="F313" s="724" t="str">
        <f t="shared" si="12"/>
        <v>N/A</v>
      </c>
      <c r="G313" s="724" t="str">
        <f t="shared" si="13"/>
        <v>N/A</v>
      </c>
      <c r="H313" s="725" t="str">
        <f t="shared" si="14"/>
        <v>N/A</v>
      </c>
    </row>
    <row r="314" spans="1:8">
      <c r="A314" s="3" t="s">
        <v>3946</v>
      </c>
      <c r="B314" s="3" t="s">
        <v>3947</v>
      </c>
      <c r="C314" s="721">
        <v>17227.349999999999</v>
      </c>
      <c r="D314" s="722">
        <v>8.199999999999999E-3</v>
      </c>
      <c r="E314" s="723">
        <v>0.23499999999999999</v>
      </c>
      <c r="F314" s="724">
        <f t="shared" si="12"/>
        <v>0.24416349999999998</v>
      </c>
      <c r="G314" s="724">
        <f t="shared" si="13"/>
        <v>5.236326331295296E-4</v>
      </c>
      <c r="H314" s="725">
        <f t="shared" si="14"/>
        <v>1.2785197641912189E-4</v>
      </c>
    </row>
    <row r="315" spans="1:8">
      <c r="A315" s="3" t="s">
        <v>2617</v>
      </c>
      <c r="B315" s="3" t="s">
        <v>1308</v>
      </c>
      <c r="C315" s="721">
        <v>281486.8</v>
      </c>
      <c r="D315" s="722">
        <v>2.63E-2</v>
      </c>
      <c r="E315" s="723">
        <v>0.08</v>
      </c>
      <c r="F315" s="724">
        <f t="shared" si="12"/>
        <v>0.107352</v>
      </c>
      <c r="G315" s="724">
        <f t="shared" si="13"/>
        <v>8.5559110527855566E-3</v>
      </c>
      <c r="H315" s="725">
        <f t="shared" si="14"/>
        <v>9.184941633386351E-4</v>
      </c>
    </row>
    <row r="316" spans="1:8">
      <c r="A316" s="3" t="s">
        <v>3995</v>
      </c>
      <c r="B316" s="3" t="s">
        <v>3996</v>
      </c>
      <c r="C316" s="721">
        <v>81285.48</v>
      </c>
      <c r="D316" s="722">
        <v>0</v>
      </c>
      <c r="E316" s="723">
        <v>-2.5000000000000001E-2</v>
      </c>
      <c r="F316" s="724">
        <f t="shared" si="12"/>
        <v>-2.5000000000000001E-2</v>
      </c>
      <c r="G316" s="724">
        <f t="shared" si="13"/>
        <v>2.4707067498830472E-3</v>
      </c>
      <c r="H316" s="725">
        <f t="shared" si="14"/>
        <v>-6.1767668747076182E-5</v>
      </c>
    </row>
    <row r="317" spans="1:8">
      <c r="A317" s="3" t="s">
        <v>2618</v>
      </c>
      <c r="B317" s="3" t="s">
        <v>1914</v>
      </c>
      <c r="C317" s="721">
        <v>17836.82</v>
      </c>
      <c r="D317" s="722">
        <v>1.3000000000000001E-2</v>
      </c>
      <c r="E317" s="723">
        <v>0.59</v>
      </c>
      <c r="F317" s="724">
        <f t="shared" si="12"/>
        <v>0.60683500000000001</v>
      </c>
      <c r="G317" s="724">
        <f t="shared" si="13"/>
        <v>5.4215773309635297E-4</v>
      </c>
      <c r="H317" s="725">
        <f t="shared" si="14"/>
        <v>3.2900028796352534E-4</v>
      </c>
    </row>
    <row r="318" spans="1:8">
      <c r="A318" s="3" t="s">
        <v>2619</v>
      </c>
      <c r="B318" s="3" t="s">
        <v>1916</v>
      </c>
      <c r="C318" s="721">
        <v>147162.20000000001</v>
      </c>
      <c r="D318" s="722">
        <v>3.5699999999999996E-2</v>
      </c>
      <c r="E318" s="723">
        <v>8.5000000000000006E-2</v>
      </c>
      <c r="F318" s="724">
        <f t="shared" si="12"/>
        <v>0.12221725</v>
      </c>
      <c r="G318" s="724">
        <f t="shared" si="13"/>
        <v>4.4730576834588294E-3</v>
      </c>
      <c r="H318" s="725">
        <f t="shared" si="14"/>
        <v>5.4668480916370856E-4</v>
      </c>
    </row>
    <row r="319" spans="1:8">
      <c r="A319" s="3" t="s">
        <v>2620</v>
      </c>
      <c r="B319" s="3" t="s">
        <v>2324</v>
      </c>
      <c r="C319" s="721">
        <v>37845.949999999997</v>
      </c>
      <c r="D319" s="722">
        <v>1.06E-2</v>
      </c>
      <c r="E319" s="723">
        <v>0.14499999999999999</v>
      </c>
      <c r="F319" s="724">
        <f t="shared" si="12"/>
        <v>0.15636849999999999</v>
      </c>
      <c r="G319" s="724">
        <f t="shared" si="13"/>
        <v>1.1503437529154815E-3</v>
      </c>
      <c r="H319" s="725">
        <f t="shared" si="14"/>
        <v>1.7987752712776448E-4</v>
      </c>
    </row>
    <row r="320" spans="1:8">
      <c r="A320" s="3" t="s">
        <v>2621</v>
      </c>
      <c r="B320" s="3" t="s">
        <v>1918</v>
      </c>
      <c r="C320" s="721">
        <v>1822715</v>
      </c>
      <c r="D320" s="722">
        <v>1.1200000000000002E-2</v>
      </c>
      <c r="E320" s="723">
        <v>0.15</v>
      </c>
      <c r="F320" s="724">
        <f t="shared" si="12"/>
        <v>0.16203999999999999</v>
      </c>
      <c r="G320" s="724">
        <f t="shared" si="13"/>
        <v>5.5402197952365895E-2</v>
      </c>
      <c r="H320" s="725">
        <f t="shared" si="14"/>
        <v>8.9773721562013686E-3</v>
      </c>
    </row>
    <row r="321" spans="1:8">
      <c r="A321" s="3" t="s">
        <v>2622</v>
      </c>
      <c r="B321" s="3" t="s">
        <v>1920</v>
      </c>
      <c r="C321" s="721">
        <v>43131.25</v>
      </c>
      <c r="D321" s="722">
        <v>1.37E-2</v>
      </c>
      <c r="E321" s="723">
        <v>0.105</v>
      </c>
      <c r="F321" s="724">
        <f t="shared" si="12"/>
        <v>0.11941924999999999</v>
      </c>
      <c r="G321" s="724">
        <f t="shared" si="13"/>
        <v>1.3109926952008303E-3</v>
      </c>
      <c r="H321" s="725">
        <f t="shared" si="14"/>
        <v>1.5655776441636174E-4</v>
      </c>
    </row>
    <row r="322" spans="1:8">
      <c r="A322" s="3" t="s">
        <v>2623</v>
      </c>
      <c r="B322" s="3" t="s">
        <v>1922</v>
      </c>
      <c r="C322" s="721">
        <v>24297.4</v>
      </c>
      <c r="D322" s="722">
        <v>3.5699999999999996E-2</v>
      </c>
      <c r="E322" s="723">
        <v>0.09</v>
      </c>
      <c r="F322" s="724">
        <f t="shared" si="12"/>
        <v>0.12730649999999999</v>
      </c>
      <c r="G322" s="724">
        <f t="shared" si="13"/>
        <v>7.385298110389255E-4</v>
      </c>
      <c r="H322" s="725">
        <f t="shared" si="14"/>
        <v>9.4019645389026966E-5</v>
      </c>
    </row>
    <row r="323" spans="1:8">
      <c r="A323" s="3" t="s">
        <v>4087</v>
      </c>
      <c r="B323" s="3" t="s">
        <v>4088</v>
      </c>
      <c r="C323" s="721">
        <v>11369.37</v>
      </c>
      <c r="D323" s="722">
        <v>0</v>
      </c>
      <c r="E323" s="723">
        <v>0.21</v>
      </c>
      <c r="F323" s="724">
        <f t="shared" si="12"/>
        <v>0.21</v>
      </c>
      <c r="G323" s="724">
        <f t="shared" si="13"/>
        <v>3.4557683858073821E-4</v>
      </c>
      <c r="H323" s="725">
        <f t="shared" si="14"/>
        <v>7.2571136101955017E-5</v>
      </c>
    </row>
    <row r="324" spans="1:8">
      <c r="A324" s="3" t="s">
        <v>2624</v>
      </c>
      <c r="B324" s="3" t="s">
        <v>1924</v>
      </c>
      <c r="C324" s="721">
        <v>32192.98</v>
      </c>
      <c r="D324" s="722">
        <v>0</v>
      </c>
      <c r="E324" s="723">
        <v>0.13500000000000001</v>
      </c>
      <c r="F324" s="724">
        <f t="shared" ref="F324:F387" si="15">IFERROR(D324*(1+0.5*E324)+E324,"N/A")</f>
        <v>0.13500000000000001</v>
      </c>
      <c r="G324" s="724">
        <f t="shared" ref="G324:G387" si="16">IF(F324="N/A","N/A",C324/$C$504)</f>
        <v>9.7851932454418597E-4</v>
      </c>
      <c r="H324" s="725">
        <f t="shared" si="14"/>
        <v>1.3210010881346511E-4</v>
      </c>
    </row>
    <row r="325" spans="1:8">
      <c r="A325" s="3" t="s">
        <v>2625</v>
      </c>
      <c r="B325" s="3" t="s">
        <v>1926</v>
      </c>
      <c r="C325" s="721">
        <v>55652.13</v>
      </c>
      <c r="D325" s="722">
        <v>9.0000000000000011E-3</v>
      </c>
      <c r="E325" s="723">
        <v>0.13</v>
      </c>
      <c r="F325" s="724">
        <f t="shared" si="15"/>
        <v>0.13958500000000001</v>
      </c>
      <c r="G325" s="724">
        <f t="shared" si="16"/>
        <v>1.691570170175151E-3</v>
      </c>
      <c r="H325" s="725">
        <f t="shared" ref="H325:H388" si="17">IF(ISNUMBER(G325),F325*G325,"N/A")</f>
        <v>2.3611782220389849E-4</v>
      </c>
    </row>
    <row r="326" spans="1:8">
      <c r="A326" s="3" t="s">
        <v>2626</v>
      </c>
      <c r="B326" s="3" t="s">
        <v>2289</v>
      </c>
      <c r="C326" s="721">
        <v>5794.15</v>
      </c>
      <c r="D326" s="722">
        <v>0</v>
      </c>
      <c r="E326" s="723" t="s">
        <v>4148</v>
      </c>
      <c r="F326" s="724" t="str">
        <f t="shared" si="15"/>
        <v>N/A</v>
      </c>
      <c r="G326" s="724" t="str">
        <f t="shared" si="16"/>
        <v>N/A</v>
      </c>
      <c r="H326" s="725" t="str">
        <f t="shared" si="17"/>
        <v>N/A</v>
      </c>
    </row>
    <row r="327" spans="1:8">
      <c r="A327" s="3" t="s">
        <v>2627</v>
      </c>
      <c r="B327" s="3" t="s">
        <v>1928</v>
      </c>
      <c r="C327" s="721">
        <v>30215.8</v>
      </c>
      <c r="D327" s="722">
        <v>1.3000000000000001E-2</v>
      </c>
      <c r="E327" s="723">
        <v>0.08</v>
      </c>
      <c r="F327" s="724">
        <f t="shared" si="15"/>
        <v>9.3520000000000006E-2</v>
      </c>
      <c r="G327" s="724">
        <f t="shared" si="16"/>
        <v>9.1842209719517163E-4</v>
      </c>
      <c r="H327" s="725">
        <f t="shared" si="17"/>
        <v>8.5890834529692454E-5</v>
      </c>
    </row>
    <row r="328" spans="1:8">
      <c r="A328" s="3" t="s">
        <v>4316</v>
      </c>
      <c r="B328" s="3" t="s">
        <v>4317</v>
      </c>
      <c r="C328" s="721">
        <v>13603.84</v>
      </c>
      <c r="D328" s="722">
        <v>1.11E-2</v>
      </c>
      <c r="E328" s="723">
        <v>0.12</v>
      </c>
      <c r="F328" s="724">
        <f t="shared" si="15"/>
        <v>0.13176599999999999</v>
      </c>
      <c r="G328" s="724">
        <f t="shared" si="16"/>
        <v>4.1349450495130243E-4</v>
      </c>
      <c r="H328" s="725">
        <f t="shared" si="17"/>
        <v>5.4484516939413315E-5</v>
      </c>
    </row>
    <row r="329" spans="1:8">
      <c r="A329" s="3" t="s">
        <v>2628</v>
      </c>
      <c r="B329" s="3" t="s">
        <v>201</v>
      </c>
      <c r="C329" s="721">
        <v>168199.5</v>
      </c>
      <c r="D329" s="722">
        <v>2.1600000000000001E-2</v>
      </c>
      <c r="E329" s="723">
        <v>0.105</v>
      </c>
      <c r="F329" s="724">
        <f t="shared" si="15"/>
        <v>0.12773399999999999</v>
      </c>
      <c r="G329" s="724">
        <f t="shared" si="16"/>
        <v>5.112495367892933E-3</v>
      </c>
      <c r="H329" s="725">
        <f t="shared" si="17"/>
        <v>6.5303948332243579E-4</v>
      </c>
    </row>
    <row r="330" spans="1:8">
      <c r="A330" s="3" t="s">
        <v>3001</v>
      </c>
      <c r="B330" s="3" t="s">
        <v>1931</v>
      </c>
      <c r="C330" s="721">
        <v>37524.76</v>
      </c>
      <c r="D330" s="722">
        <v>4.6500000000000007E-2</v>
      </c>
      <c r="E330" s="723">
        <v>9.5000000000000001E-2</v>
      </c>
      <c r="F330" s="724">
        <f t="shared" si="15"/>
        <v>0.14370875</v>
      </c>
      <c r="G330" s="724">
        <f t="shared" si="16"/>
        <v>1.1405810462058092E-3</v>
      </c>
      <c r="H330" s="725">
        <f t="shared" si="17"/>
        <v>1.6391147642392907E-4</v>
      </c>
    </row>
    <row r="331" spans="1:8">
      <c r="A331" s="3" t="s">
        <v>2629</v>
      </c>
      <c r="B331" s="3" t="s">
        <v>1933</v>
      </c>
      <c r="C331" s="721">
        <v>132598.20000000001</v>
      </c>
      <c r="D331" s="722">
        <v>0</v>
      </c>
      <c r="E331" s="723">
        <v>0.14499999999999999</v>
      </c>
      <c r="F331" s="724">
        <f t="shared" si="15"/>
        <v>0.14499999999999999</v>
      </c>
      <c r="G331" s="724">
        <f t="shared" si="16"/>
        <v>4.030378706779394E-3</v>
      </c>
      <c r="H331" s="725">
        <f t="shared" si="17"/>
        <v>5.8440491248301207E-4</v>
      </c>
    </row>
    <row r="332" spans="1:8">
      <c r="A332" s="3" t="s">
        <v>2630</v>
      </c>
      <c r="B332" s="3" t="s">
        <v>214</v>
      </c>
      <c r="C332" s="721">
        <v>11186.68</v>
      </c>
      <c r="D332" s="722">
        <v>3.5200000000000002E-2</v>
      </c>
      <c r="E332" s="723">
        <v>0.08</v>
      </c>
      <c r="F332" s="724">
        <f t="shared" si="15"/>
        <v>0.116608</v>
      </c>
      <c r="G332" s="724">
        <f t="shared" si="16"/>
        <v>3.4002389829993856E-4</v>
      </c>
      <c r="H332" s="725">
        <f t="shared" si="17"/>
        <v>3.9649506732959236E-5</v>
      </c>
    </row>
    <row r="333" spans="1:8">
      <c r="A333" s="3" t="s">
        <v>2631</v>
      </c>
      <c r="B333" s="3" t="s">
        <v>1936</v>
      </c>
      <c r="C333" s="721">
        <v>181079.9</v>
      </c>
      <c r="D333" s="722">
        <v>1.18E-2</v>
      </c>
      <c r="E333" s="723">
        <v>0.23499999999999999</v>
      </c>
      <c r="F333" s="724">
        <f t="shared" si="15"/>
        <v>0.24818649999999998</v>
      </c>
      <c r="G333" s="724">
        <f t="shared" si="16"/>
        <v>5.5040006062355446E-3</v>
      </c>
      <c r="H333" s="725">
        <f t="shared" si="17"/>
        <v>1.3660186464594778E-3</v>
      </c>
    </row>
    <row r="334" spans="1:8">
      <c r="A334" s="3" t="s">
        <v>2632</v>
      </c>
      <c r="B334" s="3" t="s">
        <v>1938</v>
      </c>
      <c r="C334" s="721">
        <v>83024.31</v>
      </c>
      <c r="D334" s="722">
        <v>1.2800000000000001E-2</v>
      </c>
      <c r="E334" s="723">
        <v>6.5000000000000002E-2</v>
      </c>
      <c r="F334" s="724">
        <f t="shared" si="15"/>
        <v>7.8216000000000008E-2</v>
      </c>
      <c r="G334" s="724">
        <f t="shared" si="16"/>
        <v>2.5235592275690884E-3</v>
      </c>
      <c r="H334" s="725">
        <f t="shared" si="17"/>
        <v>1.9738270854354384E-4</v>
      </c>
    </row>
    <row r="335" spans="1:8">
      <c r="A335" s="3" t="s">
        <v>2964</v>
      </c>
      <c r="B335" s="3" t="s">
        <v>2965</v>
      </c>
      <c r="C335" s="721">
        <v>79308.86</v>
      </c>
      <c r="D335" s="722">
        <v>0</v>
      </c>
      <c r="E335" s="723">
        <v>0.45500000000000002</v>
      </c>
      <c r="F335" s="724">
        <f t="shared" si="15"/>
        <v>0.45500000000000002</v>
      </c>
      <c r="G335" s="724">
        <f t="shared" si="16"/>
        <v>2.4106265439723011E-3</v>
      </c>
      <c r="H335" s="725">
        <f t="shared" si="17"/>
        <v>1.096835077507397E-3</v>
      </c>
    </row>
    <row r="336" spans="1:8">
      <c r="A336" s="3" t="s">
        <v>2633</v>
      </c>
      <c r="B336" s="3" t="s">
        <v>1449</v>
      </c>
      <c r="C336" s="721">
        <v>7525.49</v>
      </c>
      <c r="D336" s="722">
        <v>4.3200000000000002E-2</v>
      </c>
      <c r="E336" s="723">
        <v>-0.105</v>
      </c>
      <c r="F336" s="724">
        <f t="shared" si="15"/>
        <v>-6.4067999999999986E-2</v>
      </c>
      <c r="G336" s="724">
        <f t="shared" si="16"/>
        <v>2.2874047048965416E-4</v>
      </c>
      <c r="H336" s="725">
        <f t="shared" si="17"/>
        <v>-1.465494446333116E-5</v>
      </c>
    </row>
    <row r="337" spans="1:8">
      <c r="A337" s="3" t="s">
        <v>2634</v>
      </c>
      <c r="B337" s="3" t="s">
        <v>1941</v>
      </c>
      <c r="C337" s="721">
        <v>57114.51</v>
      </c>
      <c r="D337" s="722">
        <v>2.0099999999999996E-2</v>
      </c>
      <c r="E337" s="723">
        <v>0.105</v>
      </c>
      <c r="F337" s="724">
        <f t="shared" si="15"/>
        <v>0.12615525</v>
      </c>
      <c r="G337" s="724">
        <f t="shared" si="16"/>
        <v>1.7360198324874604E-3</v>
      </c>
      <c r="H337" s="725">
        <f t="shared" si="17"/>
        <v>2.1900801597241369E-4</v>
      </c>
    </row>
    <row r="338" spans="1:8">
      <c r="A338" s="3" t="s">
        <v>2635</v>
      </c>
      <c r="B338" s="3" t="s">
        <v>1943</v>
      </c>
      <c r="C338" s="721">
        <v>13030.85</v>
      </c>
      <c r="D338" s="722">
        <v>3.3300000000000003E-2</v>
      </c>
      <c r="E338" s="723">
        <v>8.5000000000000006E-2</v>
      </c>
      <c r="F338" s="724">
        <f t="shared" si="15"/>
        <v>0.11971525000000001</v>
      </c>
      <c r="G338" s="724">
        <f t="shared" si="16"/>
        <v>3.9607823010596121E-4</v>
      </c>
      <c r="H338" s="725">
        <f t="shared" si="17"/>
        <v>4.7416604336692676E-5</v>
      </c>
    </row>
    <row r="339" spans="1:8">
      <c r="A339" s="3" t="s">
        <v>2636</v>
      </c>
      <c r="B339" s="3" t="s">
        <v>1945</v>
      </c>
      <c r="C339" s="721">
        <v>18538.599999999999</v>
      </c>
      <c r="D339" s="722">
        <v>3.3700000000000001E-2</v>
      </c>
      <c r="E339" s="723">
        <v>0.08</v>
      </c>
      <c r="F339" s="724">
        <f t="shared" si="15"/>
        <v>0.11504800000000001</v>
      </c>
      <c r="G339" s="724">
        <f t="shared" si="16"/>
        <v>5.6348863478916352E-4</v>
      </c>
      <c r="H339" s="725">
        <f t="shared" si="17"/>
        <v>6.4828240455223695E-5</v>
      </c>
    </row>
    <row r="340" spans="1:8">
      <c r="A340" s="3" t="s">
        <v>2637</v>
      </c>
      <c r="B340" s="3" t="s">
        <v>1947</v>
      </c>
      <c r="C340" s="721">
        <v>35262.11</v>
      </c>
      <c r="D340" s="722">
        <v>1.4999999999999999E-2</v>
      </c>
      <c r="E340" s="723">
        <v>2.5000000000000001E-2</v>
      </c>
      <c r="F340" s="724">
        <f t="shared" si="15"/>
        <v>4.0187500000000001E-2</v>
      </c>
      <c r="G340" s="724">
        <f t="shared" si="16"/>
        <v>1.0718068367452404E-3</v>
      </c>
      <c r="H340" s="725">
        <f t="shared" si="17"/>
        <v>4.3073237251699351E-5</v>
      </c>
    </row>
    <row r="341" spans="1:8">
      <c r="A341" s="3" t="s">
        <v>2638</v>
      </c>
      <c r="B341" s="3" t="s">
        <v>1949</v>
      </c>
      <c r="C341" s="721">
        <v>407244.7</v>
      </c>
      <c r="D341" s="722">
        <v>1E-3</v>
      </c>
      <c r="E341" s="723">
        <v>0.22</v>
      </c>
      <c r="F341" s="724">
        <f t="shared" si="15"/>
        <v>0.22111</v>
      </c>
      <c r="G341" s="724">
        <f t="shared" si="16"/>
        <v>1.2378375930659408E-2</v>
      </c>
      <c r="H341" s="725">
        <f t="shared" si="17"/>
        <v>2.7369827020281017E-3</v>
      </c>
    </row>
    <row r="342" spans="1:8">
      <c r="A342" s="3" t="s">
        <v>2922</v>
      </c>
      <c r="B342" s="3" t="s">
        <v>2923</v>
      </c>
      <c r="C342" s="721">
        <v>15112.33</v>
      </c>
      <c r="D342" s="722">
        <v>0</v>
      </c>
      <c r="E342" s="723">
        <v>5.5E-2</v>
      </c>
      <c r="F342" s="724">
        <f t="shared" si="15"/>
        <v>5.5E-2</v>
      </c>
      <c r="G342" s="724">
        <f t="shared" si="16"/>
        <v>4.593457003324588E-4</v>
      </c>
      <c r="H342" s="725">
        <f t="shared" si="17"/>
        <v>2.5264013518285233E-5</v>
      </c>
    </row>
    <row r="343" spans="1:8">
      <c r="A343" s="3" t="s">
        <v>2640</v>
      </c>
      <c r="B343" s="3" t="s">
        <v>1950</v>
      </c>
      <c r="C343" s="721">
        <v>5331.3</v>
      </c>
      <c r="D343" s="722">
        <v>7.1399999999999991E-2</v>
      </c>
      <c r="E343" s="723" t="s">
        <v>4148</v>
      </c>
      <c r="F343" s="724" t="str">
        <f t="shared" si="15"/>
        <v>N/A</v>
      </c>
      <c r="G343" s="724" t="str">
        <f t="shared" si="16"/>
        <v>N/A</v>
      </c>
      <c r="H343" s="725" t="str">
        <f t="shared" si="17"/>
        <v>N/A</v>
      </c>
    </row>
    <row r="344" spans="1:8">
      <c r="A344" s="3" t="s">
        <v>2641</v>
      </c>
      <c r="B344" s="3" t="s">
        <v>3998</v>
      </c>
      <c r="C344" s="721">
        <v>10260.530000000001</v>
      </c>
      <c r="D344" s="722">
        <v>1.1299999999999999E-2</v>
      </c>
      <c r="E344" s="723" t="s">
        <v>4148</v>
      </c>
      <c r="F344" s="724" t="str">
        <f t="shared" si="15"/>
        <v>N/A</v>
      </c>
      <c r="G344" s="724" t="str">
        <f t="shared" si="16"/>
        <v>N/A</v>
      </c>
      <c r="H344" s="725" t="str">
        <f t="shared" si="17"/>
        <v>N/A</v>
      </c>
    </row>
    <row r="345" spans="1:8">
      <c r="A345" s="3" t="s">
        <v>4000</v>
      </c>
      <c r="B345" s="3" t="s">
        <v>4001</v>
      </c>
      <c r="C345" s="721">
        <v>43300.78</v>
      </c>
      <c r="D345" s="722">
        <v>2.07E-2</v>
      </c>
      <c r="E345" s="723">
        <v>0.12</v>
      </c>
      <c r="F345" s="724">
        <f t="shared" si="15"/>
        <v>0.14194199999999998</v>
      </c>
      <c r="G345" s="724">
        <f t="shared" si="16"/>
        <v>1.3161456316823233E-3</v>
      </c>
      <c r="H345" s="725">
        <f t="shared" si="17"/>
        <v>1.8681634325225233E-4</v>
      </c>
    </row>
    <row r="346" spans="1:8">
      <c r="A346" s="3" t="s">
        <v>2642</v>
      </c>
      <c r="B346" s="3" t="s">
        <v>1952</v>
      </c>
      <c r="C346" s="721">
        <v>37982.67</v>
      </c>
      <c r="D346" s="722">
        <v>4.8600000000000004E-2</v>
      </c>
      <c r="E346" s="723">
        <v>0.06</v>
      </c>
      <c r="F346" s="724">
        <f t="shared" si="15"/>
        <v>0.110058</v>
      </c>
      <c r="G346" s="724">
        <f t="shared" si="16"/>
        <v>1.1544994154870012E-3</v>
      </c>
      <c r="H346" s="725">
        <f t="shared" si="17"/>
        <v>1.2706189666966837E-4</v>
      </c>
    </row>
    <row r="347" spans="1:8">
      <c r="A347" s="3" t="s">
        <v>2967</v>
      </c>
      <c r="B347" s="3" t="s">
        <v>2968</v>
      </c>
      <c r="C347" s="721">
        <v>31878.48</v>
      </c>
      <c r="D347" s="722">
        <v>4.5000000000000005E-3</v>
      </c>
      <c r="E347" s="723">
        <v>0.105</v>
      </c>
      <c r="F347" s="724">
        <f t="shared" si="15"/>
        <v>0.10973624999999999</v>
      </c>
      <c r="G347" s="724">
        <f t="shared" si="16"/>
        <v>9.6895996323096974E-4</v>
      </c>
      <c r="H347" s="725">
        <f t="shared" si="17"/>
        <v>1.0633003276510449E-4</v>
      </c>
    </row>
    <row r="348" spans="1:8">
      <c r="A348" s="3" t="s">
        <v>4003</v>
      </c>
      <c r="B348" s="3" t="s">
        <v>4004</v>
      </c>
      <c r="C348" s="721">
        <v>7068.78</v>
      </c>
      <c r="D348" s="722">
        <v>4.0300000000000002E-2</v>
      </c>
      <c r="E348" s="723" t="s">
        <v>4148</v>
      </c>
      <c r="F348" s="724" t="str">
        <f t="shared" si="15"/>
        <v>N/A</v>
      </c>
      <c r="G348" s="724" t="str">
        <f t="shared" si="16"/>
        <v>N/A</v>
      </c>
      <c r="H348" s="725" t="str">
        <f t="shared" si="17"/>
        <v>N/A</v>
      </c>
    </row>
    <row r="349" spans="1:8">
      <c r="A349" s="3" t="s">
        <v>2643</v>
      </c>
      <c r="B349" s="3" t="s">
        <v>1954</v>
      </c>
      <c r="C349" s="721">
        <v>29056.09</v>
      </c>
      <c r="D349" s="722">
        <v>6.2300000000000001E-2</v>
      </c>
      <c r="E349" s="723">
        <v>0.115</v>
      </c>
      <c r="F349" s="724">
        <f t="shared" si="15"/>
        <v>0.18088225000000002</v>
      </c>
      <c r="G349" s="724">
        <f t="shared" si="16"/>
        <v>8.831722183126595E-4</v>
      </c>
      <c r="H349" s="725">
        <f t="shared" si="17"/>
        <v>1.5975017798588507E-4</v>
      </c>
    </row>
    <row r="350" spans="1:8">
      <c r="A350" s="3" t="s">
        <v>2644</v>
      </c>
      <c r="B350" s="3" t="s">
        <v>1956</v>
      </c>
      <c r="C350" s="721">
        <v>16062.46</v>
      </c>
      <c r="D350" s="722">
        <v>3.6799999999999999E-2</v>
      </c>
      <c r="E350" s="723">
        <v>6.5000000000000002E-2</v>
      </c>
      <c r="F350" s="724">
        <f t="shared" si="15"/>
        <v>0.102996</v>
      </c>
      <c r="G350" s="724">
        <f t="shared" si="16"/>
        <v>4.8822530594303497E-4</v>
      </c>
      <c r="H350" s="725">
        <f t="shared" si="17"/>
        <v>5.0285253610908835E-5</v>
      </c>
    </row>
    <row r="351" spans="1:8">
      <c r="A351" s="3" t="s">
        <v>4319</v>
      </c>
      <c r="B351" s="3" t="s">
        <v>4320</v>
      </c>
      <c r="C351" s="721">
        <v>28123.75</v>
      </c>
      <c r="D351" s="722">
        <v>0</v>
      </c>
      <c r="E351" s="723">
        <v>0.185</v>
      </c>
      <c r="F351" s="724">
        <f t="shared" si="15"/>
        <v>0.185</v>
      </c>
      <c r="G351" s="724">
        <f t="shared" si="16"/>
        <v>8.5483334732135868E-4</v>
      </c>
      <c r="H351" s="725">
        <f t="shared" si="17"/>
        <v>1.5814416925445137E-4</v>
      </c>
    </row>
    <row r="352" spans="1:8">
      <c r="A352" s="3" t="s">
        <v>2645</v>
      </c>
      <c r="B352" s="3" t="s">
        <v>1958</v>
      </c>
      <c r="C352" s="721">
        <v>219642.5</v>
      </c>
      <c r="D352" s="722">
        <v>1.5700000000000002E-2</v>
      </c>
      <c r="E352" s="723">
        <v>0.1</v>
      </c>
      <c r="F352" s="724">
        <f t="shared" si="15"/>
        <v>0.11648500000000001</v>
      </c>
      <c r="G352" s="724">
        <f t="shared" si="16"/>
        <v>6.6761272408207128E-3</v>
      </c>
      <c r="H352" s="725">
        <f t="shared" si="17"/>
        <v>7.776686816470008E-4</v>
      </c>
    </row>
    <row r="353" spans="1:8">
      <c r="A353" s="3" t="s">
        <v>2646</v>
      </c>
      <c r="B353" s="3" t="s">
        <v>1960</v>
      </c>
      <c r="C353" s="721">
        <v>52350.5</v>
      </c>
      <c r="D353" s="722">
        <v>0</v>
      </c>
      <c r="E353" s="723">
        <v>0.13</v>
      </c>
      <c r="F353" s="724">
        <f t="shared" si="15"/>
        <v>0.13</v>
      </c>
      <c r="G353" s="724">
        <f t="shared" si="16"/>
        <v>1.5912157215501768E-3</v>
      </c>
      <c r="H353" s="725">
        <f t="shared" si="17"/>
        <v>2.0685804380152299E-4</v>
      </c>
    </row>
    <row r="354" spans="1:8">
      <c r="A354" s="3" t="s">
        <v>3003</v>
      </c>
      <c r="B354" s="3" t="s">
        <v>3004</v>
      </c>
      <c r="C354" s="721">
        <v>32923.9</v>
      </c>
      <c r="D354" s="722">
        <v>1.47E-2</v>
      </c>
      <c r="E354" s="723" t="s">
        <v>4148</v>
      </c>
      <c r="F354" s="724" t="str">
        <f t="shared" si="15"/>
        <v>N/A</v>
      </c>
      <c r="G354" s="724" t="str">
        <f t="shared" si="16"/>
        <v>N/A</v>
      </c>
      <c r="H354" s="725" t="str">
        <f t="shared" si="17"/>
        <v>N/A</v>
      </c>
    </row>
    <row r="355" spans="1:8">
      <c r="A355" s="3" t="s">
        <v>2647</v>
      </c>
      <c r="B355" s="3" t="s">
        <v>1962</v>
      </c>
      <c r="C355" s="721">
        <v>57871.81</v>
      </c>
      <c r="D355" s="722">
        <v>1.15E-2</v>
      </c>
      <c r="E355" s="723" t="s">
        <v>4148</v>
      </c>
      <c r="F355" s="724" t="str">
        <f t="shared" si="15"/>
        <v>N/A</v>
      </c>
      <c r="G355" s="724" t="str">
        <f t="shared" si="16"/>
        <v>N/A</v>
      </c>
      <c r="H355" s="725" t="str">
        <f t="shared" si="17"/>
        <v>N/A</v>
      </c>
    </row>
    <row r="356" spans="1:8">
      <c r="A356" s="3" t="s">
        <v>4322</v>
      </c>
      <c r="B356" s="3" t="s">
        <v>4323</v>
      </c>
      <c r="C356" s="721">
        <v>10955.12</v>
      </c>
      <c r="D356" s="722">
        <v>5.6900000000000006E-2</v>
      </c>
      <c r="E356" s="723">
        <v>7.4999999999999997E-2</v>
      </c>
      <c r="F356" s="724">
        <f t="shared" si="15"/>
        <v>0.13403375000000001</v>
      </c>
      <c r="G356" s="724">
        <f t="shared" si="16"/>
        <v>3.3298553357596916E-4</v>
      </c>
      <c r="H356" s="725">
        <f t="shared" si="17"/>
        <v>4.4631299760938057E-5</v>
      </c>
    </row>
    <row r="357" spans="1:8">
      <c r="A357" s="3" t="s">
        <v>3006</v>
      </c>
      <c r="B357" s="3" t="s">
        <v>3007</v>
      </c>
      <c r="C357" s="721">
        <v>17959.599999999999</v>
      </c>
      <c r="D357" s="722">
        <v>0</v>
      </c>
      <c r="E357" s="723">
        <v>0.19500000000000001</v>
      </c>
      <c r="F357" s="724">
        <f t="shared" si="15"/>
        <v>0.19500000000000001</v>
      </c>
      <c r="G357" s="724">
        <f t="shared" si="16"/>
        <v>5.4588968343669214E-4</v>
      </c>
      <c r="H357" s="725">
        <f t="shared" si="17"/>
        <v>1.0644848827015497E-4</v>
      </c>
    </row>
    <row r="358" spans="1:8">
      <c r="A358" s="3" t="s">
        <v>2648</v>
      </c>
      <c r="B358" s="3" t="s">
        <v>1964</v>
      </c>
      <c r="C358" s="721">
        <v>41363.11</v>
      </c>
      <c r="D358" s="722">
        <v>2.9399999999999999E-2</v>
      </c>
      <c r="E358" s="723">
        <v>0.105</v>
      </c>
      <c r="F358" s="724">
        <f t="shared" si="15"/>
        <v>0.13594349999999999</v>
      </c>
      <c r="G358" s="724">
        <f t="shared" si="16"/>
        <v>1.2572493275939932E-3</v>
      </c>
      <c r="H358" s="725">
        <f t="shared" si="17"/>
        <v>1.70914873965774E-4</v>
      </c>
    </row>
    <row r="359" spans="1:8">
      <c r="A359" s="3" t="s">
        <v>2649</v>
      </c>
      <c r="B359" s="3" t="s">
        <v>1966</v>
      </c>
      <c r="C359" s="721">
        <v>35139.69</v>
      </c>
      <c r="D359" s="722">
        <v>2.9500000000000002E-2</v>
      </c>
      <c r="E359" s="723">
        <v>0.115</v>
      </c>
      <c r="F359" s="724">
        <f t="shared" si="15"/>
        <v>0.14619625</v>
      </c>
      <c r="G359" s="724">
        <f t="shared" si="16"/>
        <v>1.0680858287580738E-3</v>
      </c>
      <c r="H359" s="725">
        <f t="shared" si="17"/>
        <v>1.5615014284257254E-4</v>
      </c>
    </row>
    <row r="360" spans="1:8">
      <c r="A360" s="3" t="s">
        <v>4325</v>
      </c>
      <c r="B360" s="3" t="s">
        <v>4326</v>
      </c>
      <c r="C360" s="721" t="s">
        <v>4148</v>
      </c>
      <c r="D360" s="722">
        <v>0</v>
      </c>
      <c r="E360" s="723" t="s">
        <v>4148</v>
      </c>
      <c r="F360" s="724" t="str">
        <f t="shared" si="15"/>
        <v>N/A</v>
      </c>
      <c r="G360" s="724" t="str">
        <f t="shared" si="16"/>
        <v>N/A</v>
      </c>
      <c r="H360" s="725" t="str">
        <f t="shared" si="17"/>
        <v>N/A</v>
      </c>
    </row>
    <row r="361" spans="1:8">
      <c r="A361" s="3" t="s">
        <v>2970</v>
      </c>
      <c r="B361" s="3" t="s">
        <v>2971</v>
      </c>
      <c r="C361" s="721">
        <v>13493.6</v>
      </c>
      <c r="D361" s="722">
        <v>4.7899999999999998E-2</v>
      </c>
      <c r="E361" s="723">
        <v>0.17</v>
      </c>
      <c r="F361" s="724">
        <f t="shared" si="15"/>
        <v>0.22197150000000002</v>
      </c>
      <c r="G361" s="724">
        <f t="shared" si="16"/>
        <v>4.1014371324647265E-4</v>
      </c>
      <c r="H361" s="725">
        <f t="shared" si="17"/>
        <v>9.1040215244889413E-5</v>
      </c>
    </row>
    <row r="362" spans="1:8">
      <c r="A362" s="3" t="s">
        <v>2650</v>
      </c>
      <c r="B362" s="3" t="s">
        <v>215</v>
      </c>
      <c r="C362" s="721">
        <v>30068.5</v>
      </c>
      <c r="D362" s="722">
        <v>3.7200000000000004E-2</v>
      </c>
      <c r="E362" s="723">
        <v>0.04</v>
      </c>
      <c r="F362" s="724">
        <f t="shared" si="15"/>
        <v>7.7944000000000013E-2</v>
      </c>
      <c r="G362" s="724">
        <f t="shared" si="16"/>
        <v>9.1394485102208177E-4</v>
      </c>
      <c r="H362" s="725">
        <f t="shared" si="17"/>
        <v>7.123651746806515E-5</v>
      </c>
    </row>
    <row r="363" spans="1:8">
      <c r="A363" s="3" t="s">
        <v>2651</v>
      </c>
      <c r="B363" s="3" t="s">
        <v>1968</v>
      </c>
      <c r="C363" s="721">
        <v>251667.5</v>
      </c>
      <c r="D363" s="722">
        <v>2.52E-2</v>
      </c>
      <c r="E363" s="723">
        <v>0.06</v>
      </c>
      <c r="F363" s="724">
        <f t="shared" si="15"/>
        <v>8.5956000000000005E-2</v>
      </c>
      <c r="G363" s="724">
        <f t="shared" si="16"/>
        <v>7.6495407417928986E-3</v>
      </c>
      <c r="H363" s="725">
        <f t="shared" si="17"/>
        <v>6.5752392400155043E-4</v>
      </c>
    </row>
    <row r="364" spans="1:8">
      <c r="A364" s="3" t="s">
        <v>2652</v>
      </c>
      <c r="B364" s="3" t="s">
        <v>1970</v>
      </c>
      <c r="C364" s="721">
        <v>289915.90000000002</v>
      </c>
      <c r="D364" s="722">
        <v>3.1800000000000002E-2</v>
      </c>
      <c r="E364" s="723">
        <v>6.5000000000000002E-2</v>
      </c>
      <c r="F364" s="724">
        <f t="shared" si="15"/>
        <v>9.7833500000000004E-2</v>
      </c>
      <c r="G364" s="724">
        <f t="shared" si="16"/>
        <v>8.8121171336924941E-3</v>
      </c>
      <c r="H364" s="725">
        <f t="shared" si="17"/>
        <v>8.6212026159910465E-4</v>
      </c>
    </row>
    <row r="365" spans="1:8">
      <c r="A365" s="3" t="s">
        <v>2653</v>
      </c>
      <c r="B365" s="3" t="s">
        <v>1971</v>
      </c>
      <c r="C365" s="721">
        <v>21115.279999999999</v>
      </c>
      <c r="D365" s="722">
        <v>2.9700000000000001E-2</v>
      </c>
      <c r="E365" s="723">
        <v>6.5000000000000002E-2</v>
      </c>
      <c r="F365" s="724">
        <f t="shared" si="15"/>
        <v>9.5665250000000007E-2</v>
      </c>
      <c r="G365" s="724">
        <f t="shared" si="16"/>
        <v>6.4180791971297341E-4</v>
      </c>
      <c r="H365" s="725">
        <f t="shared" si="17"/>
        <v>6.1398715091321536E-5</v>
      </c>
    </row>
    <row r="366" spans="1:8">
      <c r="A366" s="3" t="s">
        <v>2654</v>
      </c>
      <c r="B366" s="3" t="s">
        <v>1973</v>
      </c>
      <c r="C366" s="721">
        <v>359814.8</v>
      </c>
      <c r="D366" s="722">
        <v>2.4E-2</v>
      </c>
      <c r="E366" s="723">
        <v>6.5000000000000002E-2</v>
      </c>
      <c r="F366" s="724">
        <f t="shared" si="15"/>
        <v>8.9779999999999999E-2</v>
      </c>
      <c r="G366" s="724">
        <f t="shared" si="16"/>
        <v>1.0936723939722306E-2</v>
      </c>
      <c r="H366" s="725">
        <f t="shared" si="17"/>
        <v>9.8189907530826857E-4</v>
      </c>
    </row>
    <row r="367" spans="1:8">
      <c r="A367" s="3" t="s">
        <v>2655</v>
      </c>
      <c r="B367" s="3" t="s">
        <v>1975</v>
      </c>
      <c r="C367" s="721">
        <v>75548.11</v>
      </c>
      <c r="D367" s="722">
        <v>3.0999999999999999E-3</v>
      </c>
      <c r="E367" s="723">
        <v>6.5000000000000002E-2</v>
      </c>
      <c r="F367" s="724">
        <f t="shared" si="15"/>
        <v>6.8200750000000004E-2</v>
      </c>
      <c r="G367" s="724">
        <f t="shared" si="16"/>
        <v>2.2963169476013052E-3</v>
      </c>
      <c r="H367" s="725">
        <f t="shared" si="17"/>
        <v>1.5661053806411971E-4</v>
      </c>
    </row>
    <row r="368" spans="1:8">
      <c r="A368" s="3" t="s">
        <v>2656</v>
      </c>
      <c r="B368" s="3" t="s">
        <v>1977</v>
      </c>
      <c r="C368" s="721">
        <v>37525.370000000003</v>
      </c>
      <c r="D368" s="722">
        <v>1.8200000000000001E-2</v>
      </c>
      <c r="E368" s="723">
        <v>0.14000000000000001</v>
      </c>
      <c r="F368" s="724">
        <f t="shared" si="15"/>
        <v>0.159474</v>
      </c>
      <c r="G368" s="724">
        <f t="shared" si="16"/>
        <v>1.1405995874153516E-3</v>
      </c>
      <c r="H368" s="725">
        <f t="shared" si="17"/>
        <v>1.8189597860347577E-4</v>
      </c>
    </row>
    <row r="369" spans="1:8">
      <c r="A369" s="3" t="s">
        <v>2657</v>
      </c>
      <c r="B369" s="3" t="s">
        <v>1979</v>
      </c>
      <c r="C369" s="721">
        <v>10443.9</v>
      </c>
      <c r="D369" s="722">
        <v>1.3999999999999999E-2</v>
      </c>
      <c r="E369" s="723">
        <v>7.0000000000000007E-2</v>
      </c>
      <c r="F369" s="724">
        <f t="shared" si="15"/>
        <v>8.449000000000001E-2</v>
      </c>
      <c r="G369" s="724">
        <f t="shared" si="16"/>
        <v>3.1744678416247967E-4</v>
      </c>
      <c r="H369" s="725">
        <f t="shared" si="17"/>
        <v>2.6821078793887911E-5</v>
      </c>
    </row>
    <row r="370" spans="1:8">
      <c r="A370" s="3" t="s">
        <v>2658</v>
      </c>
      <c r="B370" s="3" t="s">
        <v>2265</v>
      </c>
      <c r="C370" s="721">
        <v>11905.46</v>
      </c>
      <c r="D370" s="722">
        <v>3.8900000000000004E-2</v>
      </c>
      <c r="E370" s="723">
        <v>0.11</v>
      </c>
      <c r="F370" s="724">
        <f t="shared" si="15"/>
        <v>0.15103949999999999</v>
      </c>
      <c r="G370" s="724">
        <f t="shared" si="16"/>
        <v>3.6187152222589598E-4</v>
      </c>
      <c r="H370" s="725">
        <f t="shared" si="17"/>
        <v>5.4656893781238216E-5</v>
      </c>
    </row>
    <row r="371" spans="1:8">
      <c r="A371" s="3" t="s">
        <v>2659</v>
      </c>
      <c r="B371" s="3" t="s">
        <v>1981</v>
      </c>
      <c r="C371" s="721">
        <v>17942.169999999998</v>
      </c>
      <c r="D371" s="722">
        <v>2E-3</v>
      </c>
      <c r="E371" s="723">
        <v>0.04</v>
      </c>
      <c r="F371" s="724">
        <f t="shared" si="15"/>
        <v>4.2040000000000001E-2</v>
      </c>
      <c r="G371" s="724">
        <f t="shared" si="16"/>
        <v>5.4535989117058929E-4</v>
      </c>
      <c r="H371" s="725">
        <f t="shared" si="17"/>
        <v>2.2926929824811575E-5</v>
      </c>
    </row>
    <row r="372" spans="1:8">
      <c r="A372" s="3" t="s">
        <v>2660</v>
      </c>
      <c r="B372" s="3" t="s">
        <v>1983</v>
      </c>
      <c r="C372" s="721">
        <v>84295.89</v>
      </c>
      <c r="D372" s="722">
        <v>2.9500000000000002E-2</v>
      </c>
      <c r="E372" s="723">
        <v>0.06</v>
      </c>
      <c r="F372" s="724">
        <f t="shared" si="15"/>
        <v>9.0384999999999993E-2</v>
      </c>
      <c r="G372" s="724">
        <f t="shared" si="16"/>
        <v>2.5622094426999615E-3</v>
      </c>
      <c r="H372" s="725">
        <f t="shared" si="17"/>
        <v>2.31585300478436E-4</v>
      </c>
    </row>
    <row r="373" spans="1:8">
      <c r="A373" s="3" t="s">
        <v>2661</v>
      </c>
      <c r="B373" s="3" t="s">
        <v>1985</v>
      </c>
      <c r="C373" s="721">
        <v>155825.4</v>
      </c>
      <c r="D373" s="722">
        <v>5.0499999999999996E-2</v>
      </c>
      <c r="E373" s="723">
        <v>0.05</v>
      </c>
      <c r="F373" s="724">
        <f t="shared" si="15"/>
        <v>0.10176249999999999</v>
      </c>
      <c r="G373" s="724">
        <f t="shared" si="16"/>
        <v>4.7363793334704524E-3</v>
      </c>
      <c r="H373" s="725">
        <f t="shared" si="17"/>
        <v>4.8198580192228686E-4</v>
      </c>
    </row>
    <row r="374" spans="1:8">
      <c r="A374" s="3" t="s">
        <v>2662</v>
      </c>
      <c r="B374" s="3" t="s">
        <v>1987</v>
      </c>
      <c r="C374" s="721">
        <v>62175.6</v>
      </c>
      <c r="D374" s="722">
        <v>4.0899999999999999E-2</v>
      </c>
      <c r="E374" s="723">
        <v>0.12</v>
      </c>
      <c r="F374" s="724">
        <f t="shared" si="15"/>
        <v>0.163354</v>
      </c>
      <c r="G374" s="724">
        <f t="shared" si="16"/>
        <v>1.889853816426112E-3</v>
      </c>
      <c r="H374" s="725">
        <f t="shared" si="17"/>
        <v>3.0871518032847111E-4</v>
      </c>
    </row>
    <row r="375" spans="1:8">
      <c r="A375" s="3" t="s">
        <v>2663</v>
      </c>
      <c r="B375" s="3" t="s">
        <v>1989</v>
      </c>
      <c r="C375" s="721">
        <v>7328.39</v>
      </c>
      <c r="D375" s="722">
        <v>1.9799999999999998E-2</v>
      </c>
      <c r="E375" s="723">
        <v>0.12</v>
      </c>
      <c r="F375" s="724">
        <f t="shared" si="15"/>
        <v>0.140988</v>
      </c>
      <c r="G375" s="724">
        <f t="shared" si="16"/>
        <v>2.227495321276989E-4</v>
      </c>
      <c r="H375" s="725">
        <f t="shared" si="17"/>
        <v>3.1405011035620011E-5</v>
      </c>
    </row>
    <row r="376" spans="1:8">
      <c r="A376" s="3" t="s">
        <v>2664</v>
      </c>
      <c r="B376" s="3" t="s">
        <v>202</v>
      </c>
      <c r="C376" s="721">
        <v>8757.5</v>
      </c>
      <c r="D376" s="722">
        <v>4.5199999999999997E-2</v>
      </c>
      <c r="E376" s="723">
        <v>5.0000000000000001E-3</v>
      </c>
      <c r="F376" s="724">
        <f t="shared" si="15"/>
        <v>5.031299999999999E-2</v>
      </c>
      <c r="G376" s="724">
        <f t="shared" si="16"/>
        <v>2.6618793863431435E-4</v>
      </c>
      <c r="H376" s="725">
        <f t="shared" si="17"/>
        <v>1.3392713756508255E-5</v>
      </c>
    </row>
    <row r="377" spans="1:8">
      <c r="A377" s="3" t="s">
        <v>3949</v>
      </c>
      <c r="B377" s="3" t="s">
        <v>3910</v>
      </c>
      <c r="C377" s="721">
        <v>12172.35</v>
      </c>
      <c r="D377" s="722">
        <v>1.2800000000000001E-2</v>
      </c>
      <c r="E377" s="723">
        <v>0.14000000000000001</v>
      </c>
      <c r="F377" s="724">
        <f t="shared" si="15"/>
        <v>0.15369600000000003</v>
      </c>
      <c r="G377" s="724">
        <f t="shared" si="16"/>
        <v>3.6998375733204641E-4</v>
      </c>
      <c r="H377" s="725">
        <f t="shared" si="17"/>
        <v>5.6865023566906217E-5</v>
      </c>
    </row>
    <row r="378" spans="1:8">
      <c r="A378" s="3" t="s">
        <v>2665</v>
      </c>
      <c r="B378" s="3" t="s">
        <v>1992</v>
      </c>
      <c r="C378" s="721">
        <v>29883.68</v>
      </c>
      <c r="D378" s="722">
        <v>1.95E-2</v>
      </c>
      <c r="E378" s="723">
        <v>0.04</v>
      </c>
      <c r="F378" s="724">
        <f t="shared" si="15"/>
        <v>5.9889999999999999E-2</v>
      </c>
      <c r="G378" s="724">
        <f t="shared" si="16"/>
        <v>9.0832716848501143E-4</v>
      </c>
      <c r="H378" s="725">
        <f t="shared" si="17"/>
        <v>5.4399714120567332E-5</v>
      </c>
    </row>
    <row r="379" spans="1:8">
      <c r="A379" s="3" t="s">
        <v>2666</v>
      </c>
      <c r="B379" s="3" t="s">
        <v>203</v>
      </c>
      <c r="C379" s="721">
        <v>21647.54</v>
      </c>
      <c r="D379" s="722">
        <v>3.0600000000000002E-2</v>
      </c>
      <c r="E379" s="723">
        <v>0.03</v>
      </c>
      <c r="F379" s="724">
        <f t="shared" si="15"/>
        <v>6.1059000000000002E-2</v>
      </c>
      <c r="G379" s="724">
        <f t="shared" si="16"/>
        <v>6.5798618887854589E-4</v>
      </c>
      <c r="H379" s="725">
        <f t="shared" si="17"/>
        <v>4.0175978706735136E-5</v>
      </c>
    </row>
    <row r="380" spans="1:8">
      <c r="A380" s="3" t="s">
        <v>2667</v>
      </c>
      <c r="B380" s="3" t="s">
        <v>1995</v>
      </c>
      <c r="C380" s="721">
        <v>37043.68</v>
      </c>
      <c r="D380" s="722">
        <v>4.9299999999999997E-2</v>
      </c>
      <c r="E380" s="723">
        <v>0.05</v>
      </c>
      <c r="F380" s="724">
        <f t="shared" si="15"/>
        <v>0.1005325</v>
      </c>
      <c r="G380" s="724">
        <f t="shared" si="16"/>
        <v>1.1259584149162635E-3</v>
      </c>
      <c r="H380" s="725">
        <f t="shared" si="17"/>
        <v>1.1319541434756925E-4</v>
      </c>
    </row>
    <row r="381" spans="1:8">
      <c r="A381" s="3" t="s">
        <v>2668</v>
      </c>
      <c r="B381" s="3" t="s">
        <v>1997</v>
      </c>
      <c r="C381" s="721">
        <v>49523.67</v>
      </c>
      <c r="D381" s="722">
        <v>2.8199999999999999E-2</v>
      </c>
      <c r="E381" s="723">
        <v>0.08</v>
      </c>
      <c r="F381" s="724">
        <f t="shared" si="15"/>
        <v>0.10932800000000001</v>
      </c>
      <c r="G381" s="724">
        <f t="shared" si="16"/>
        <v>1.5052930209427386E-3</v>
      </c>
      <c r="H381" s="725">
        <f t="shared" si="17"/>
        <v>1.6457067539362775E-4</v>
      </c>
    </row>
    <row r="382" spans="1:8">
      <c r="A382" s="3" t="s">
        <v>2669</v>
      </c>
      <c r="B382" s="3" t="s">
        <v>1999</v>
      </c>
      <c r="C382" s="721">
        <v>48846.52</v>
      </c>
      <c r="D382" s="722">
        <v>3.85E-2</v>
      </c>
      <c r="E382" s="723">
        <v>0.86499999999999999</v>
      </c>
      <c r="F382" s="724">
        <f t="shared" si="15"/>
        <v>0.92015124999999998</v>
      </c>
      <c r="G382" s="724">
        <f t="shared" si="16"/>
        <v>1.4847107585794813E-3</v>
      </c>
      <c r="H382" s="725">
        <f t="shared" si="17"/>
        <v>1.366158460395358E-3</v>
      </c>
    </row>
    <row r="383" spans="1:8">
      <c r="A383" s="3" t="s">
        <v>4006</v>
      </c>
      <c r="B383" s="3" t="s">
        <v>4007</v>
      </c>
      <c r="C383" s="721">
        <v>14518.85</v>
      </c>
      <c r="D383" s="722">
        <v>0</v>
      </c>
      <c r="E383" s="723">
        <v>0.34499999999999997</v>
      </c>
      <c r="F383" s="724">
        <f t="shared" si="15"/>
        <v>0.34499999999999997</v>
      </c>
      <c r="G383" s="724">
        <f t="shared" si="16"/>
        <v>4.4130662321904823E-4</v>
      </c>
      <c r="H383" s="725">
        <f t="shared" si="17"/>
        <v>1.5225078501057162E-4</v>
      </c>
    </row>
    <row r="384" spans="1:8">
      <c r="A384" s="3" t="s">
        <v>2670</v>
      </c>
      <c r="B384" s="3" t="s">
        <v>2001</v>
      </c>
      <c r="C384" s="721">
        <v>20688.18</v>
      </c>
      <c r="D384" s="722">
        <v>2.2000000000000001E-3</v>
      </c>
      <c r="E384" s="723">
        <v>0.16500000000000001</v>
      </c>
      <c r="F384" s="724">
        <f t="shared" si="15"/>
        <v>0.16738150000000002</v>
      </c>
      <c r="G384" s="724">
        <f t="shared" si="16"/>
        <v>6.2882603349079648E-4</v>
      </c>
      <c r="H384" s="725">
        <f t="shared" si="17"/>
        <v>1.0525384472473976E-4</v>
      </c>
    </row>
    <row r="385" spans="1:8">
      <c r="A385" s="3" t="s">
        <v>2671</v>
      </c>
      <c r="B385" s="3" t="s">
        <v>2003</v>
      </c>
      <c r="C385" s="721">
        <v>53623.73</v>
      </c>
      <c r="D385" s="722">
        <v>9.2699999999999991E-2</v>
      </c>
      <c r="E385" s="723">
        <v>0.21</v>
      </c>
      <c r="F385" s="724">
        <f t="shared" si="15"/>
        <v>0.31243349999999998</v>
      </c>
      <c r="G385" s="724">
        <f t="shared" si="16"/>
        <v>1.6299160891330908E-3</v>
      </c>
      <c r="H385" s="725">
        <f t="shared" si="17"/>
        <v>5.0924038843416352E-4</v>
      </c>
    </row>
    <row r="386" spans="1:8">
      <c r="A386" s="3" t="s">
        <v>2672</v>
      </c>
      <c r="B386" s="3" t="s">
        <v>2005</v>
      </c>
      <c r="C386" s="721">
        <v>79383.88</v>
      </c>
      <c r="D386" s="722">
        <v>0</v>
      </c>
      <c r="E386" s="723">
        <v>0.12</v>
      </c>
      <c r="F386" s="724">
        <f t="shared" si="15"/>
        <v>0.12</v>
      </c>
      <c r="G386" s="724">
        <f t="shared" si="16"/>
        <v>2.412906808791753E-3</v>
      </c>
      <c r="H386" s="725">
        <f t="shared" si="17"/>
        <v>2.8954881705501033E-4</v>
      </c>
    </row>
    <row r="387" spans="1:8">
      <c r="A387" s="3" t="s">
        <v>2673</v>
      </c>
      <c r="B387" s="3" t="s">
        <v>2007</v>
      </c>
      <c r="C387" s="721">
        <v>128570</v>
      </c>
      <c r="D387" s="722">
        <v>2.6200000000000001E-2</v>
      </c>
      <c r="E387" s="723">
        <v>0.18</v>
      </c>
      <c r="F387" s="724">
        <f t="shared" si="15"/>
        <v>0.20855799999999999</v>
      </c>
      <c r="G387" s="724">
        <f t="shared" si="16"/>
        <v>3.9079398538639787E-3</v>
      </c>
      <c r="H387" s="725">
        <f t="shared" si="17"/>
        <v>8.1503212004216364E-4</v>
      </c>
    </row>
    <row r="388" spans="1:8">
      <c r="A388" s="3" t="s">
        <v>2674</v>
      </c>
      <c r="B388" s="3" t="s">
        <v>2009</v>
      </c>
      <c r="C388" s="721">
        <v>9509.02</v>
      </c>
      <c r="D388" s="722">
        <v>0</v>
      </c>
      <c r="E388" s="723">
        <v>0.15</v>
      </c>
      <c r="F388" s="724">
        <f t="shared" ref="F388:F451" si="18">IFERROR(D388*(1+0.5*E388)+E388,"N/A")</f>
        <v>0.15</v>
      </c>
      <c r="G388" s="724">
        <f t="shared" ref="G388:G451" si="19">IF(F388="N/A","N/A",C388/$C$504)</f>
        <v>2.8903070879046167E-4</v>
      </c>
      <c r="H388" s="725">
        <f t="shared" si="17"/>
        <v>4.335460631856925E-5</v>
      </c>
    </row>
    <row r="389" spans="1:8">
      <c r="A389" s="3" t="s">
        <v>2675</v>
      </c>
      <c r="B389" s="3" t="s">
        <v>2011</v>
      </c>
      <c r="C389" s="721">
        <v>13220.88</v>
      </c>
      <c r="D389" s="722">
        <v>0</v>
      </c>
      <c r="E389" s="723" t="s">
        <v>4148</v>
      </c>
      <c r="F389" s="724" t="str">
        <f t="shared" si="18"/>
        <v>N/A</v>
      </c>
      <c r="G389" s="724" t="str">
        <f t="shared" si="19"/>
        <v>N/A</v>
      </c>
      <c r="H389" s="725" t="str">
        <f t="shared" ref="H389:H452" si="20">IF(ISNUMBER(G389),F389*G389,"N/A")</f>
        <v>N/A</v>
      </c>
    </row>
    <row r="390" spans="1:8">
      <c r="A390" s="3" t="s">
        <v>2676</v>
      </c>
      <c r="B390" s="3" t="s">
        <v>2267</v>
      </c>
      <c r="C390" s="721">
        <v>13107.49</v>
      </c>
      <c r="D390" s="722">
        <v>1.9900000000000001E-2</v>
      </c>
      <c r="E390" s="723">
        <v>9.5000000000000001E-2</v>
      </c>
      <c r="F390" s="724">
        <f t="shared" si="18"/>
        <v>0.11584525000000001</v>
      </c>
      <c r="G390" s="724">
        <f t="shared" si="19"/>
        <v>3.9840773551468901E-4</v>
      </c>
      <c r="H390" s="725">
        <f t="shared" si="20"/>
        <v>4.6153643722633029E-5</v>
      </c>
    </row>
    <row r="391" spans="1:8">
      <c r="A391" s="3" t="s">
        <v>2678</v>
      </c>
      <c r="B391" s="3" t="s">
        <v>2230</v>
      </c>
      <c r="C391" s="721">
        <v>10675.77</v>
      </c>
      <c r="D391" s="722">
        <v>4.1599999999999998E-2</v>
      </c>
      <c r="E391" s="723">
        <v>0.125</v>
      </c>
      <c r="F391" s="724">
        <f t="shared" si="18"/>
        <v>0.16919999999999999</v>
      </c>
      <c r="G391" s="724">
        <f t="shared" si="19"/>
        <v>3.2449457146834762E-4</v>
      </c>
      <c r="H391" s="725">
        <f t="shared" si="20"/>
        <v>5.4904481492444414E-5</v>
      </c>
    </row>
    <row r="392" spans="1:8">
      <c r="A392" s="3" t="s">
        <v>2679</v>
      </c>
      <c r="B392" s="3" t="s">
        <v>2013</v>
      </c>
      <c r="C392" s="721">
        <v>80097.47</v>
      </c>
      <c r="D392" s="722">
        <v>0</v>
      </c>
      <c r="E392" s="723">
        <v>0.05</v>
      </c>
      <c r="F392" s="724">
        <f t="shared" si="18"/>
        <v>0.05</v>
      </c>
      <c r="G392" s="724">
        <f t="shared" si="19"/>
        <v>2.4345966804594733E-3</v>
      </c>
      <c r="H392" s="725">
        <f t="shared" si="20"/>
        <v>1.2172983402297368E-4</v>
      </c>
    </row>
    <row r="393" spans="1:8">
      <c r="A393" s="3" t="s">
        <v>2680</v>
      </c>
      <c r="B393" s="3" t="s">
        <v>2015</v>
      </c>
      <c r="C393" s="721">
        <v>19660.45</v>
      </c>
      <c r="D393" s="722">
        <v>3.95E-2</v>
      </c>
      <c r="E393" s="723">
        <v>0.115</v>
      </c>
      <c r="F393" s="724">
        <f t="shared" si="18"/>
        <v>0.15677125</v>
      </c>
      <c r="G393" s="724">
        <f t="shared" si="19"/>
        <v>5.9758774286303238E-4</v>
      </c>
      <c r="H393" s="725">
        <f t="shared" si="20"/>
        <v>9.3684577433316162E-5</v>
      </c>
    </row>
    <row r="394" spans="1:8">
      <c r="A394" s="3" t="s">
        <v>2681</v>
      </c>
      <c r="B394" s="3" t="s">
        <v>2017</v>
      </c>
      <c r="C394" s="721">
        <v>7937.71</v>
      </c>
      <c r="D394" s="722">
        <v>2.6200000000000001E-2</v>
      </c>
      <c r="E394" s="723">
        <v>0.105</v>
      </c>
      <c r="F394" s="724">
        <f t="shared" si="18"/>
        <v>0.13257549999999999</v>
      </c>
      <c r="G394" s="724">
        <f t="shared" si="19"/>
        <v>2.4127007278070036E-4</v>
      </c>
      <c r="H394" s="725">
        <f t="shared" si="20"/>
        <v>3.1986500533937738E-5</v>
      </c>
    </row>
    <row r="395" spans="1:8">
      <c r="A395" s="3" t="s">
        <v>2682</v>
      </c>
      <c r="B395" s="3" t="s">
        <v>2232</v>
      </c>
      <c r="C395" s="721">
        <v>23000.12</v>
      </c>
      <c r="D395" s="722">
        <v>1.5700000000000002E-2</v>
      </c>
      <c r="E395" s="723">
        <v>0.15</v>
      </c>
      <c r="F395" s="724">
        <f t="shared" si="18"/>
        <v>0.16687749999999998</v>
      </c>
      <c r="G395" s="724">
        <f t="shared" si="19"/>
        <v>6.9909843347323625E-4</v>
      </c>
      <c r="H395" s="725">
        <f t="shared" si="20"/>
        <v>1.1666379883192997E-4</v>
      </c>
    </row>
    <row r="396" spans="1:8">
      <c r="A396" s="3" t="s">
        <v>2683</v>
      </c>
      <c r="B396" s="3" t="s">
        <v>2019</v>
      </c>
      <c r="C396" s="721">
        <v>6850.78</v>
      </c>
      <c r="D396" s="722">
        <v>2.8999999999999998E-2</v>
      </c>
      <c r="E396" s="723">
        <v>0.12</v>
      </c>
      <c r="F396" s="724">
        <f t="shared" si="18"/>
        <v>0.15073999999999999</v>
      </c>
      <c r="G396" s="724">
        <f t="shared" si="19"/>
        <v>2.0823237296456614E-4</v>
      </c>
      <c r="H396" s="725">
        <f t="shared" si="20"/>
        <v>3.1388947900678697E-5</v>
      </c>
    </row>
    <row r="397" spans="1:8">
      <c r="A397" s="3" t="s">
        <v>2684</v>
      </c>
      <c r="B397" s="3" t="s">
        <v>2269</v>
      </c>
      <c r="C397" s="721">
        <v>30776.9</v>
      </c>
      <c r="D397" s="722">
        <v>8.3999999999999995E-3</v>
      </c>
      <c r="E397" s="723">
        <v>0.12</v>
      </c>
      <c r="F397" s="724">
        <f t="shared" si="18"/>
        <v>0.12890399999999999</v>
      </c>
      <c r="G397" s="724">
        <f t="shared" si="19"/>
        <v>9.3547697043156494E-4</v>
      </c>
      <c r="H397" s="725">
        <f t="shared" si="20"/>
        <v>1.2058672339651043E-4</v>
      </c>
    </row>
    <row r="398" spans="1:8">
      <c r="A398" s="3" t="s">
        <v>2685</v>
      </c>
      <c r="B398" s="3" t="s">
        <v>2021</v>
      </c>
      <c r="C398" s="721">
        <v>29878.27</v>
      </c>
      <c r="D398" s="722">
        <v>1.8200000000000001E-2</v>
      </c>
      <c r="E398" s="723">
        <v>0.105</v>
      </c>
      <c r="F398" s="724">
        <f t="shared" si="18"/>
        <v>0.1241555</v>
      </c>
      <c r="G398" s="724">
        <f t="shared" si="19"/>
        <v>9.0816272923316876E-4</v>
      </c>
      <c r="H398" s="725">
        <f t="shared" si="20"/>
        <v>1.1275339772930869E-4</v>
      </c>
    </row>
    <row r="399" spans="1:8">
      <c r="A399" s="3" t="s">
        <v>2687</v>
      </c>
      <c r="B399" s="3" t="s">
        <v>2688</v>
      </c>
      <c r="C399" s="721">
        <v>18413.53</v>
      </c>
      <c r="D399" s="722">
        <v>1.3899999999999999E-2</v>
      </c>
      <c r="E399" s="723">
        <v>0.105</v>
      </c>
      <c r="F399" s="724">
        <f t="shared" si="18"/>
        <v>0.11962974999999999</v>
      </c>
      <c r="G399" s="724">
        <f t="shared" si="19"/>
        <v>5.5968707892447688E-4</v>
      </c>
      <c r="H399" s="725">
        <f t="shared" si="20"/>
        <v>6.6955225329965433E-5</v>
      </c>
    </row>
    <row r="400" spans="1:8">
      <c r="A400" s="3" t="s">
        <v>2689</v>
      </c>
      <c r="B400" s="3" t="s">
        <v>2023</v>
      </c>
      <c r="C400" s="721">
        <v>45691.45</v>
      </c>
      <c r="D400" s="722">
        <v>6.3E-3</v>
      </c>
      <c r="E400" s="723">
        <v>3.5000000000000003E-2</v>
      </c>
      <c r="F400" s="724">
        <f t="shared" si="18"/>
        <v>4.1410250000000003E-2</v>
      </c>
      <c r="G400" s="724">
        <f t="shared" si="19"/>
        <v>1.3888110635127424E-3</v>
      </c>
      <c r="H400" s="725">
        <f t="shared" si="20"/>
        <v>5.7511013342828543E-5</v>
      </c>
    </row>
    <row r="401" spans="1:8">
      <c r="A401" s="3" t="s">
        <v>2690</v>
      </c>
      <c r="B401" s="3" t="s">
        <v>2025</v>
      </c>
      <c r="C401" s="721">
        <v>39697.75</v>
      </c>
      <c r="D401" s="722">
        <v>1.15E-2</v>
      </c>
      <c r="E401" s="723">
        <v>0.125</v>
      </c>
      <c r="F401" s="724">
        <f t="shared" si="18"/>
        <v>0.13721875</v>
      </c>
      <c r="G401" s="724">
        <f t="shared" si="19"/>
        <v>1.2066300018179106E-3</v>
      </c>
      <c r="H401" s="725">
        <f t="shared" si="20"/>
        <v>1.6557226056195142E-4</v>
      </c>
    </row>
    <row r="402" spans="1:8">
      <c r="A402" s="3" t="s">
        <v>2691</v>
      </c>
      <c r="B402" s="3" t="s">
        <v>2027</v>
      </c>
      <c r="C402" s="721">
        <v>41547.68</v>
      </c>
      <c r="D402" s="722">
        <v>1.5100000000000001E-2</v>
      </c>
      <c r="E402" s="723">
        <v>0.125</v>
      </c>
      <c r="F402" s="724">
        <f t="shared" si="18"/>
        <v>0.14104375</v>
      </c>
      <c r="G402" s="724">
        <f t="shared" si="19"/>
        <v>1.2628594112746936E-3</v>
      </c>
      <c r="H402" s="725">
        <f t="shared" si="20"/>
        <v>1.7811842708897506E-4</v>
      </c>
    </row>
    <row r="403" spans="1:8">
      <c r="A403" s="3" t="s">
        <v>3009</v>
      </c>
      <c r="B403" s="3" t="s">
        <v>3010</v>
      </c>
      <c r="C403" s="721">
        <v>146653.29999999999</v>
      </c>
      <c r="D403" s="722">
        <v>2.2099999999999998E-2</v>
      </c>
      <c r="E403" s="723">
        <v>0.08</v>
      </c>
      <c r="F403" s="724">
        <f t="shared" si="18"/>
        <v>0.10298399999999999</v>
      </c>
      <c r="G403" s="724">
        <f t="shared" si="19"/>
        <v>4.457589451432451E-3</v>
      </c>
      <c r="H403" s="725">
        <f t="shared" si="20"/>
        <v>4.5906039206631947E-4</v>
      </c>
    </row>
    <row r="404" spans="1:8">
      <c r="A404" s="3" t="s">
        <v>2692</v>
      </c>
      <c r="B404" s="3" t="s">
        <v>2291</v>
      </c>
      <c r="C404" s="721">
        <v>30303.34</v>
      </c>
      <c r="D404" s="722">
        <v>1.15E-2</v>
      </c>
      <c r="E404" s="723">
        <v>0.35499999999999998</v>
      </c>
      <c r="F404" s="724">
        <f t="shared" si="18"/>
        <v>0.36854124999999999</v>
      </c>
      <c r="G404" s="724">
        <f t="shared" si="19"/>
        <v>9.2108291274162299E-4</v>
      </c>
      <c r="H404" s="725">
        <f t="shared" si="20"/>
        <v>3.3945704801543867E-4</v>
      </c>
    </row>
    <row r="405" spans="1:8">
      <c r="A405" s="3" t="s">
        <v>4328</v>
      </c>
      <c r="B405" s="3" t="s">
        <v>4329</v>
      </c>
      <c r="C405" s="721">
        <v>7251.71</v>
      </c>
      <c r="D405" s="722">
        <v>1.9400000000000001E-2</v>
      </c>
      <c r="E405" s="723">
        <v>0.16500000000000001</v>
      </c>
      <c r="F405" s="724">
        <f t="shared" si="18"/>
        <v>0.18600050000000001</v>
      </c>
      <c r="G405" s="724">
        <f t="shared" si="19"/>
        <v>2.204188109019519E-4</v>
      </c>
      <c r="H405" s="725">
        <f t="shared" si="20"/>
        <v>4.0998009037168504E-5</v>
      </c>
    </row>
    <row r="406" spans="1:8">
      <c r="A406" s="3" t="s">
        <v>2693</v>
      </c>
      <c r="B406" s="3" t="s">
        <v>2029</v>
      </c>
      <c r="C406" s="721">
        <v>113263.3</v>
      </c>
      <c r="D406" s="722">
        <v>2.1499999999999998E-2</v>
      </c>
      <c r="E406" s="723">
        <v>0.16</v>
      </c>
      <c r="F406" s="724">
        <f t="shared" si="18"/>
        <v>0.18321999999999999</v>
      </c>
      <c r="G406" s="724">
        <f t="shared" si="19"/>
        <v>3.4426861946811236E-3</v>
      </c>
      <c r="H406" s="725">
        <f t="shared" si="20"/>
        <v>6.3076896458947544E-4</v>
      </c>
    </row>
    <row r="407" spans="1:8">
      <c r="A407" s="3" t="s">
        <v>2694</v>
      </c>
      <c r="B407" s="3" t="s">
        <v>2031</v>
      </c>
      <c r="C407" s="721">
        <v>152432.9</v>
      </c>
      <c r="D407" s="722">
        <v>1.11E-2</v>
      </c>
      <c r="E407" s="723">
        <v>0.09</v>
      </c>
      <c r="F407" s="724">
        <f t="shared" si="18"/>
        <v>0.1015995</v>
      </c>
      <c r="G407" s="724">
        <f t="shared" si="19"/>
        <v>4.6332628525321811E-3</v>
      </c>
      <c r="H407" s="725">
        <f t="shared" si="20"/>
        <v>4.707371891858433E-4</v>
      </c>
    </row>
    <row r="408" spans="1:8">
      <c r="A408" s="3" t="s">
        <v>4331</v>
      </c>
      <c r="B408" s="3" t="s">
        <v>4332</v>
      </c>
      <c r="C408" s="721">
        <v>18062.7</v>
      </c>
      <c r="D408" s="722">
        <v>0</v>
      </c>
      <c r="E408" s="723">
        <v>0.22</v>
      </c>
      <c r="F408" s="724">
        <f t="shared" si="18"/>
        <v>0.22</v>
      </c>
      <c r="G408" s="724">
        <f t="shared" si="19"/>
        <v>5.4902345180360033E-4</v>
      </c>
      <c r="H408" s="725">
        <f t="shared" si="20"/>
        <v>1.2078515939679207E-4</v>
      </c>
    </row>
    <row r="409" spans="1:8">
      <c r="A409" s="3" t="s">
        <v>2695</v>
      </c>
      <c r="B409" s="3" t="s">
        <v>2033</v>
      </c>
      <c r="C409" s="721">
        <v>7273.2</v>
      </c>
      <c r="D409" s="722">
        <v>1.5900000000000001E-2</v>
      </c>
      <c r="E409" s="723">
        <v>0.1</v>
      </c>
      <c r="F409" s="724">
        <f t="shared" si="18"/>
        <v>0.11669500000000001</v>
      </c>
      <c r="G409" s="724">
        <f t="shared" si="19"/>
        <v>2.2107200859550045E-4</v>
      </c>
      <c r="H409" s="725">
        <f t="shared" si="20"/>
        <v>2.5797998043051927E-5</v>
      </c>
    </row>
    <row r="410" spans="1:8">
      <c r="A410" s="3" t="s">
        <v>2696</v>
      </c>
      <c r="B410" s="3" t="s">
        <v>186</v>
      </c>
      <c r="C410" s="721">
        <v>62767.02</v>
      </c>
      <c r="D410" s="722">
        <v>1.0700000000000001E-2</v>
      </c>
      <c r="E410" s="723">
        <v>0.115</v>
      </c>
      <c r="F410" s="724">
        <f t="shared" si="18"/>
        <v>0.12631525000000002</v>
      </c>
      <c r="G410" s="724">
        <f t="shared" si="19"/>
        <v>1.9078302789630353E-3</v>
      </c>
      <c r="H410" s="725">
        <f t="shared" si="20"/>
        <v>2.4098805864478557E-4</v>
      </c>
    </row>
    <row r="411" spans="1:8">
      <c r="A411" s="3" t="s">
        <v>2697</v>
      </c>
      <c r="B411" s="3" t="s">
        <v>2314</v>
      </c>
      <c r="C411" s="721">
        <v>12846.25</v>
      </c>
      <c r="D411" s="722">
        <v>0</v>
      </c>
      <c r="E411" s="723">
        <v>8.5000000000000006E-2</v>
      </c>
      <c r="F411" s="724">
        <f t="shared" si="18"/>
        <v>8.5000000000000006E-2</v>
      </c>
      <c r="G411" s="724">
        <f t="shared" si="19"/>
        <v>3.9046723456249624E-4</v>
      </c>
      <c r="H411" s="725">
        <f t="shared" si="20"/>
        <v>3.3189714937812182E-5</v>
      </c>
    </row>
    <row r="412" spans="1:8">
      <c r="A412" s="3" t="s">
        <v>3033</v>
      </c>
      <c r="B412" s="3" t="s">
        <v>2036</v>
      </c>
      <c r="C412" s="721">
        <v>16840.669999999998</v>
      </c>
      <c r="D412" s="722">
        <v>2.58E-2</v>
      </c>
      <c r="E412" s="723">
        <v>0.04</v>
      </c>
      <c r="F412" s="724">
        <f t="shared" si="18"/>
        <v>6.6316E-2</v>
      </c>
      <c r="G412" s="724">
        <f t="shared" si="19"/>
        <v>5.1187933000522272E-4</v>
      </c>
      <c r="H412" s="725">
        <f t="shared" si="20"/>
        <v>3.3945789648626348E-5</v>
      </c>
    </row>
    <row r="413" spans="1:8">
      <c r="A413" s="3" t="s">
        <v>4552</v>
      </c>
      <c r="B413" s="3" t="s">
        <v>2038</v>
      </c>
      <c r="C413" s="721">
        <v>75593.259999999995</v>
      </c>
      <c r="D413" s="722">
        <v>1.3300000000000001E-2</v>
      </c>
      <c r="E413" s="723">
        <v>0.23499999999999999</v>
      </c>
      <c r="F413" s="724">
        <f t="shared" si="18"/>
        <v>0.24986274999999999</v>
      </c>
      <c r="G413" s="724">
        <f t="shared" si="19"/>
        <v>2.297689301061692E-3</v>
      </c>
      <c r="H413" s="725">
        <f t="shared" si="20"/>
        <v>5.7410696740885225E-4</v>
      </c>
    </row>
    <row r="414" spans="1:8">
      <c r="A414" s="3" t="s">
        <v>2698</v>
      </c>
      <c r="B414" s="3" t="s">
        <v>2040</v>
      </c>
      <c r="C414" s="721">
        <v>12185.02</v>
      </c>
      <c r="D414" s="722">
        <v>2.8300000000000002E-2</v>
      </c>
      <c r="E414" s="723">
        <v>5.5E-2</v>
      </c>
      <c r="F414" s="724">
        <f t="shared" si="18"/>
        <v>8.4078250000000007E-2</v>
      </c>
      <c r="G414" s="724">
        <f t="shared" si="19"/>
        <v>3.7036886737286818E-4</v>
      </c>
      <c r="H414" s="725">
        <f t="shared" si="20"/>
        <v>3.1139966223192853E-5</v>
      </c>
    </row>
    <row r="415" spans="1:8">
      <c r="A415" s="3" t="s">
        <v>2699</v>
      </c>
      <c r="B415" s="3" t="s">
        <v>2234</v>
      </c>
      <c r="C415" s="721">
        <v>50524.98</v>
      </c>
      <c r="D415" s="722">
        <v>0</v>
      </c>
      <c r="E415" s="723">
        <v>0.13500000000000001</v>
      </c>
      <c r="F415" s="724">
        <f t="shared" si="18"/>
        <v>0.13500000000000001</v>
      </c>
      <c r="G415" s="724">
        <f t="shared" si="19"/>
        <v>1.5357282644293418E-3</v>
      </c>
      <c r="H415" s="725">
        <f t="shared" si="20"/>
        <v>2.0732331569796116E-4</v>
      </c>
    </row>
    <row r="416" spans="1:8">
      <c r="A416" s="3" t="s">
        <v>2700</v>
      </c>
      <c r="B416" s="3" t="s">
        <v>204</v>
      </c>
      <c r="C416" s="721">
        <v>77001.84</v>
      </c>
      <c r="D416" s="722">
        <v>3.85E-2</v>
      </c>
      <c r="E416" s="723">
        <v>6.5000000000000002E-2</v>
      </c>
      <c r="F416" s="724">
        <f t="shared" si="18"/>
        <v>0.10475125</v>
      </c>
      <c r="G416" s="724">
        <f t="shared" si="19"/>
        <v>2.3405036894832191E-3</v>
      </c>
      <c r="H416" s="725">
        <f t="shared" si="20"/>
        <v>2.4517068710297907E-4</v>
      </c>
    </row>
    <row r="417" spans="1:8">
      <c r="A417" s="3" t="s">
        <v>2701</v>
      </c>
      <c r="B417" s="3" t="s">
        <v>2043</v>
      </c>
      <c r="C417" s="721">
        <v>38296.93</v>
      </c>
      <c r="D417" s="722">
        <v>6.6100000000000006E-2</v>
      </c>
      <c r="E417" s="723">
        <v>0.03</v>
      </c>
      <c r="F417" s="724">
        <f t="shared" si="18"/>
        <v>9.7091499999999997E-2</v>
      </c>
      <c r="G417" s="724">
        <f t="shared" si="19"/>
        <v>1.1640514818981025E-3</v>
      </c>
      <c r="H417" s="725">
        <f t="shared" si="20"/>
        <v>1.1301950445470962E-4</v>
      </c>
    </row>
    <row r="418" spans="1:8">
      <c r="A418" s="3" t="s">
        <v>2702</v>
      </c>
      <c r="B418" s="3" t="s">
        <v>2045</v>
      </c>
      <c r="C418" s="721">
        <v>109941.2</v>
      </c>
      <c r="D418" s="722">
        <v>1.01E-2</v>
      </c>
      <c r="E418" s="723">
        <v>6.5000000000000002E-2</v>
      </c>
      <c r="F418" s="724">
        <f t="shared" si="18"/>
        <v>7.5428250000000002E-2</v>
      </c>
      <c r="G418" s="724">
        <f t="shared" si="19"/>
        <v>3.3417095516965895E-3</v>
      </c>
      <c r="H418" s="725">
        <f t="shared" si="20"/>
        <v>2.5205930349275828E-4</v>
      </c>
    </row>
    <row r="419" spans="1:8">
      <c r="A419" s="3" t="s">
        <v>2703</v>
      </c>
      <c r="B419" s="3" t="s">
        <v>216</v>
      </c>
      <c r="C419" s="721">
        <v>49216.36</v>
      </c>
      <c r="D419" s="722">
        <v>3.0299999999999997E-2</v>
      </c>
      <c r="E419" s="723">
        <v>7.0000000000000007E-2</v>
      </c>
      <c r="F419" s="724">
        <f t="shared" si="18"/>
        <v>0.10136049999999999</v>
      </c>
      <c r="G419" s="724">
        <f t="shared" si="19"/>
        <v>1.4959522027387182E-3</v>
      </c>
      <c r="H419" s="725">
        <f t="shared" si="20"/>
        <v>1.5163046324569783E-4</v>
      </c>
    </row>
    <row r="420" spans="1:8">
      <c r="A420" s="3" t="s">
        <v>2973</v>
      </c>
      <c r="B420" s="3" t="s">
        <v>2974</v>
      </c>
      <c r="C420" s="721">
        <v>18124.05</v>
      </c>
      <c r="D420" s="722">
        <v>1.04E-2</v>
      </c>
      <c r="E420" s="723">
        <v>0.1</v>
      </c>
      <c r="F420" s="724">
        <f t="shared" si="18"/>
        <v>0.11092</v>
      </c>
      <c r="G420" s="724">
        <f t="shared" si="19"/>
        <v>5.5088821115675075E-4</v>
      </c>
      <c r="H420" s="725">
        <f t="shared" si="20"/>
        <v>6.1104520381506796E-5</v>
      </c>
    </row>
    <row r="421" spans="1:8">
      <c r="A421" s="3" t="s">
        <v>4554</v>
      </c>
      <c r="B421" s="3" t="s">
        <v>4555</v>
      </c>
      <c r="C421" s="721">
        <v>18507.439999999999</v>
      </c>
      <c r="D421" s="722">
        <v>1.32E-2</v>
      </c>
      <c r="E421" s="723">
        <v>3.5000000000000003E-2</v>
      </c>
      <c r="F421" s="724">
        <f t="shared" si="18"/>
        <v>4.8431000000000002E-2</v>
      </c>
      <c r="G421" s="724">
        <f t="shared" si="19"/>
        <v>5.6254151333123088E-4</v>
      </c>
      <c r="H421" s="725">
        <f t="shared" si="20"/>
        <v>2.7244448032144844E-5</v>
      </c>
    </row>
    <row r="422" spans="1:8">
      <c r="A422" s="3" t="s">
        <v>2704</v>
      </c>
      <c r="B422" s="3" t="s">
        <v>2048</v>
      </c>
      <c r="C422" s="721">
        <v>28962.76</v>
      </c>
      <c r="D422" s="722">
        <v>3.2799999999999996E-2</v>
      </c>
      <c r="E422" s="723">
        <v>8.5000000000000006E-2</v>
      </c>
      <c r="F422" s="724">
        <f t="shared" si="18"/>
        <v>0.11919399999999999</v>
      </c>
      <c r="G422" s="724">
        <f t="shared" si="19"/>
        <v>8.8033541325268326E-4</v>
      </c>
      <c r="H422" s="725">
        <f t="shared" si="20"/>
        <v>1.0493069924724032E-4</v>
      </c>
    </row>
    <row r="423" spans="1:8">
      <c r="A423" s="3" t="s">
        <v>4008</v>
      </c>
      <c r="B423" s="3" t="s">
        <v>2050</v>
      </c>
      <c r="C423" s="721">
        <v>10371.24</v>
      </c>
      <c r="D423" s="722">
        <v>5.57E-2</v>
      </c>
      <c r="E423" s="723">
        <v>0.1</v>
      </c>
      <c r="F423" s="724">
        <f t="shared" si="18"/>
        <v>0.15848500000000001</v>
      </c>
      <c r="G423" s="724">
        <f t="shared" si="19"/>
        <v>3.1523825254715915E-4</v>
      </c>
      <c r="H423" s="725">
        <f t="shared" si="20"/>
        <v>4.9960534454936521E-5</v>
      </c>
    </row>
    <row r="424" spans="1:8">
      <c r="A424" s="3" t="s">
        <v>2705</v>
      </c>
      <c r="B424" s="3" t="s">
        <v>2052</v>
      </c>
      <c r="C424" s="721">
        <v>44307.23</v>
      </c>
      <c r="D424" s="722">
        <v>1.37E-2</v>
      </c>
      <c r="E424" s="723">
        <v>0.05</v>
      </c>
      <c r="F424" s="724">
        <f t="shared" si="18"/>
        <v>6.4042500000000002E-2</v>
      </c>
      <c r="G424" s="724">
        <f t="shared" si="19"/>
        <v>1.3467371076558896E-3</v>
      </c>
      <c r="H424" s="725">
        <f t="shared" si="20"/>
        <v>8.6248411217052317E-5</v>
      </c>
    </row>
    <row r="425" spans="1:8">
      <c r="A425" s="3" t="s">
        <v>2706</v>
      </c>
      <c r="B425" s="3" t="s">
        <v>2054</v>
      </c>
      <c r="C425" s="721">
        <v>10839.34</v>
      </c>
      <c r="D425" s="722">
        <v>4.3700000000000003E-2</v>
      </c>
      <c r="E425" s="723">
        <v>0.06</v>
      </c>
      <c r="F425" s="724">
        <f t="shared" si="18"/>
        <v>0.10501099999999999</v>
      </c>
      <c r="G425" s="724">
        <f t="shared" si="19"/>
        <v>3.2946635121398448E-4</v>
      </c>
      <c r="H425" s="725">
        <f t="shared" si="20"/>
        <v>3.4597591007331725E-5</v>
      </c>
    </row>
    <row r="426" spans="1:8">
      <c r="A426" s="3" t="s">
        <v>2707</v>
      </c>
      <c r="B426" s="3" t="s">
        <v>2056</v>
      </c>
      <c r="C426" s="721">
        <v>14718.79</v>
      </c>
      <c r="D426" s="722">
        <v>2.7000000000000003E-2</v>
      </c>
      <c r="E426" s="723">
        <v>0.09</v>
      </c>
      <c r="F426" s="724">
        <f t="shared" si="18"/>
        <v>0.118215</v>
      </c>
      <c r="G426" s="724">
        <f t="shared" si="19"/>
        <v>4.4738388458936458E-4</v>
      </c>
      <c r="H426" s="725">
        <f t="shared" si="20"/>
        <v>5.2887485916731735E-5</v>
      </c>
    </row>
    <row r="427" spans="1:8">
      <c r="A427" s="3" t="s">
        <v>2708</v>
      </c>
      <c r="B427" s="3" t="s">
        <v>2058</v>
      </c>
      <c r="C427" s="721">
        <v>15272.33</v>
      </c>
      <c r="D427" s="722">
        <v>2.76E-2</v>
      </c>
      <c r="E427" s="723">
        <v>0.06</v>
      </c>
      <c r="F427" s="724">
        <f t="shared" si="18"/>
        <v>8.8428000000000007E-2</v>
      </c>
      <c r="G427" s="724">
        <f t="shared" si="19"/>
        <v>4.6420896840913481E-4</v>
      </c>
      <c r="H427" s="725">
        <f t="shared" si="20"/>
        <v>4.1049070658482977E-5</v>
      </c>
    </row>
    <row r="428" spans="1:8">
      <c r="A428" s="3" t="s">
        <v>2709</v>
      </c>
      <c r="B428" s="3" t="s">
        <v>2060</v>
      </c>
      <c r="C428" s="721">
        <v>91398.74</v>
      </c>
      <c r="D428" s="722">
        <v>1.24E-2</v>
      </c>
      <c r="E428" s="723">
        <v>8.5000000000000006E-2</v>
      </c>
      <c r="F428" s="724">
        <f t="shared" si="18"/>
        <v>9.7927E-2</v>
      </c>
      <c r="G428" s="724">
        <f t="shared" si="19"/>
        <v>2.7781035905650761E-3</v>
      </c>
      <c r="H428" s="725">
        <f t="shared" si="20"/>
        <v>2.7205135031326623E-4</v>
      </c>
    </row>
    <row r="429" spans="1:8">
      <c r="A429" s="3" t="s">
        <v>2710</v>
      </c>
      <c r="B429" s="3" t="s">
        <v>2062</v>
      </c>
      <c r="C429" s="721">
        <v>39091.46</v>
      </c>
      <c r="D429" s="722">
        <v>2.5399999999999999E-2</v>
      </c>
      <c r="E429" s="723">
        <v>0.215</v>
      </c>
      <c r="F429" s="724">
        <f t="shared" si="18"/>
        <v>0.2431305</v>
      </c>
      <c r="G429" s="724">
        <f t="shared" si="19"/>
        <v>1.1882015593041113E-3</v>
      </c>
      <c r="H429" s="725">
        <f t="shared" si="20"/>
        <v>2.8888803921438825E-4</v>
      </c>
    </row>
    <row r="430" spans="1:8">
      <c r="A430" s="3" t="s">
        <v>2711</v>
      </c>
      <c r="B430" s="3" t="s">
        <v>2064</v>
      </c>
      <c r="C430" s="721">
        <v>129340.3</v>
      </c>
      <c r="D430" s="722">
        <v>6.1200000000000004E-2</v>
      </c>
      <c r="E430" s="723">
        <v>0.01</v>
      </c>
      <c r="F430" s="724">
        <f t="shared" si="18"/>
        <v>7.1506E-2</v>
      </c>
      <c r="G430" s="724">
        <f t="shared" si="19"/>
        <v>3.9313534501106261E-3</v>
      </c>
      <c r="H430" s="725">
        <f t="shared" si="20"/>
        <v>2.8111535980361043E-4</v>
      </c>
    </row>
    <row r="431" spans="1:8">
      <c r="A431" s="3" t="s">
        <v>3011</v>
      </c>
      <c r="B431" s="3" t="s">
        <v>2066</v>
      </c>
      <c r="C431" s="721">
        <v>11663.71</v>
      </c>
      <c r="D431" s="722">
        <v>3.1099999999999999E-2</v>
      </c>
      <c r="E431" s="723">
        <v>0.495</v>
      </c>
      <c r="F431" s="724">
        <f t="shared" si="18"/>
        <v>0.53379725</v>
      </c>
      <c r="G431" s="724">
        <f t="shared" si="19"/>
        <v>3.5452342811629326E-4</v>
      </c>
      <c r="H431" s="725">
        <f t="shared" si="20"/>
        <v>1.8924363098905004E-4</v>
      </c>
    </row>
    <row r="432" spans="1:8">
      <c r="A432" s="3" t="s">
        <v>2712</v>
      </c>
      <c r="B432" s="3" t="s">
        <v>2068</v>
      </c>
      <c r="C432" s="721">
        <v>34127.300000000003</v>
      </c>
      <c r="D432" s="722">
        <v>0</v>
      </c>
      <c r="E432" s="723">
        <v>0.23499999999999999</v>
      </c>
      <c r="F432" s="724">
        <f t="shared" si="18"/>
        <v>0.23499999999999999</v>
      </c>
      <c r="G432" s="724">
        <f t="shared" si="19"/>
        <v>1.037313803957161E-3</v>
      </c>
      <c r="H432" s="725">
        <f t="shared" si="20"/>
        <v>2.4376874392993282E-4</v>
      </c>
    </row>
    <row r="433" spans="1:8">
      <c r="A433" s="3" t="s">
        <v>3035</v>
      </c>
      <c r="B433" s="3" t="s">
        <v>3036</v>
      </c>
      <c r="C433" s="721">
        <v>18731.259999999998</v>
      </c>
      <c r="D433" s="722">
        <v>0</v>
      </c>
      <c r="E433" s="723">
        <v>0.115</v>
      </c>
      <c r="F433" s="724">
        <f t="shared" si="18"/>
        <v>0.115</v>
      </c>
      <c r="G433" s="724">
        <f t="shared" si="19"/>
        <v>5.693446174619911E-4</v>
      </c>
      <c r="H433" s="725">
        <f t="shared" si="20"/>
        <v>6.5474631008128985E-5</v>
      </c>
    </row>
    <row r="434" spans="1:8">
      <c r="A434" s="3" t="s">
        <v>4048</v>
      </c>
      <c r="B434" s="3" t="s">
        <v>4049</v>
      </c>
      <c r="C434" s="721">
        <v>13051.7</v>
      </c>
      <c r="D434" s="722">
        <v>4.0000000000000001E-3</v>
      </c>
      <c r="E434" s="723">
        <v>0.14499999999999999</v>
      </c>
      <c r="F434" s="724">
        <f t="shared" si="18"/>
        <v>0.14928999999999998</v>
      </c>
      <c r="G434" s="724">
        <f t="shared" si="19"/>
        <v>3.9671197472720309E-4</v>
      </c>
      <c r="H434" s="725">
        <f t="shared" si="20"/>
        <v>5.9225130707024139E-5</v>
      </c>
    </row>
    <row r="435" spans="1:8">
      <c r="A435" s="3" t="s">
        <v>2713</v>
      </c>
      <c r="B435" s="3" t="s">
        <v>2070</v>
      </c>
      <c r="C435" s="721">
        <v>37006.89</v>
      </c>
      <c r="D435" s="722">
        <v>1.9400000000000001E-2</v>
      </c>
      <c r="E435" s="723">
        <v>9.5000000000000001E-2</v>
      </c>
      <c r="F435" s="724">
        <f t="shared" si="18"/>
        <v>0.11532150000000001</v>
      </c>
      <c r="G435" s="724">
        <f t="shared" si="19"/>
        <v>1.1248401672128829E-3</v>
      </c>
      <c r="H435" s="725">
        <f t="shared" si="20"/>
        <v>1.2971825534324047E-4</v>
      </c>
    </row>
    <row r="436" spans="1:8">
      <c r="A436" s="3" t="s">
        <v>3920</v>
      </c>
      <c r="B436" s="3" t="s">
        <v>3921</v>
      </c>
      <c r="C436" s="721">
        <v>13981.43</v>
      </c>
      <c r="D436" s="722">
        <v>4.8999999999999998E-3</v>
      </c>
      <c r="E436" s="723">
        <v>0.115</v>
      </c>
      <c r="F436" s="724">
        <f t="shared" si="18"/>
        <v>0.12018175</v>
      </c>
      <c r="G436" s="724">
        <f t="shared" si="19"/>
        <v>4.2497151365800308E-4</v>
      </c>
      <c r="H436" s="725">
        <f t="shared" si="20"/>
        <v>5.1073820211567716E-5</v>
      </c>
    </row>
    <row r="437" spans="1:8">
      <c r="A437" s="3" t="s">
        <v>2976</v>
      </c>
      <c r="B437" s="3" t="s">
        <v>2977</v>
      </c>
      <c r="C437" s="721">
        <v>55392.480000000003</v>
      </c>
      <c r="D437" s="722">
        <v>5.0799999999999998E-2</v>
      </c>
      <c r="E437" s="723">
        <v>5.5E-2</v>
      </c>
      <c r="F437" s="724">
        <f t="shared" si="18"/>
        <v>0.107197</v>
      </c>
      <c r="G437" s="724">
        <f t="shared" si="19"/>
        <v>1.6836779979494704E-3</v>
      </c>
      <c r="H437" s="725">
        <f t="shared" si="20"/>
        <v>1.8048523034618939E-4</v>
      </c>
    </row>
    <row r="438" spans="1:8">
      <c r="A438" s="3" t="s">
        <v>2715</v>
      </c>
      <c r="B438" s="3" t="s">
        <v>2716</v>
      </c>
      <c r="C438" s="721">
        <v>11875.46</v>
      </c>
      <c r="D438" s="722">
        <v>5.5000000000000005E-3</v>
      </c>
      <c r="E438" s="723">
        <v>0.1</v>
      </c>
      <c r="F438" s="724">
        <f t="shared" si="18"/>
        <v>0.10577500000000001</v>
      </c>
      <c r="G438" s="724">
        <f t="shared" si="19"/>
        <v>3.6095965946151924E-4</v>
      </c>
      <c r="H438" s="725">
        <f t="shared" si="20"/>
        <v>3.8180507979542203E-5</v>
      </c>
    </row>
    <row r="439" spans="1:8">
      <c r="A439" s="3" t="s">
        <v>2717</v>
      </c>
      <c r="B439" s="3" t="s">
        <v>1307</v>
      </c>
      <c r="C439" s="721">
        <v>65500.4</v>
      </c>
      <c r="D439" s="722">
        <v>3.04E-2</v>
      </c>
      <c r="E439" s="723">
        <v>0.115</v>
      </c>
      <c r="F439" s="724">
        <f t="shared" si="18"/>
        <v>0.147148</v>
      </c>
      <c r="G439" s="724">
        <f t="shared" si="19"/>
        <v>1.99091252705944E-3</v>
      </c>
      <c r="H439" s="725">
        <f t="shared" si="20"/>
        <v>2.9295879653174248E-4</v>
      </c>
    </row>
    <row r="440" spans="1:8">
      <c r="A440" s="3" t="s">
        <v>2718</v>
      </c>
      <c r="B440" s="3" t="s">
        <v>1306</v>
      </c>
      <c r="C440" s="721">
        <v>91159.77</v>
      </c>
      <c r="D440" s="722">
        <v>1.4999999999999999E-2</v>
      </c>
      <c r="E440" s="723">
        <v>0.17</v>
      </c>
      <c r="F440" s="724">
        <f t="shared" si="18"/>
        <v>0.18627500000000002</v>
      </c>
      <c r="G440" s="724">
        <f t="shared" si="19"/>
        <v>2.7708399957383058E-3</v>
      </c>
      <c r="H440" s="725">
        <f t="shared" si="20"/>
        <v>5.1613822020615298E-4</v>
      </c>
    </row>
    <row r="441" spans="1:8">
      <c r="A441" s="3" t="s">
        <v>2719</v>
      </c>
      <c r="B441" s="3" t="s">
        <v>2074</v>
      </c>
      <c r="C441" s="721">
        <v>211742.7</v>
      </c>
      <c r="D441" s="722">
        <v>2.2000000000000001E-3</v>
      </c>
      <c r="E441" s="723">
        <v>0.105</v>
      </c>
      <c r="F441" s="724">
        <f t="shared" si="18"/>
        <v>0.10731549999999999</v>
      </c>
      <c r="G441" s="724">
        <f t="shared" si="19"/>
        <v>6.4360094586199297E-3</v>
      </c>
      <c r="H441" s="725">
        <f t="shared" si="20"/>
        <v>6.9068357305652702E-4</v>
      </c>
    </row>
    <row r="442" spans="1:8">
      <c r="A442" s="3" t="s">
        <v>2925</v>
      </c>
      <c r="B442" s="3" t="s">
        <v>2926</v>
      </c>
      <c r="C442" s="721">
        <v>176852.2</v>
      </c>
      <c r="D442" s="722">
        <v>0</v>
      </c>
      <c r="E442" s="723">
        <v>0.16500000000000001</v>
      </c>
      <c r="F442" s="724">
        <f t="shared" si="18"/>
        <v>0.16500000000000001</v>
      </c>
      <c r="G442" s="724">
        <f t="shared" si="19"/>
        <v>5.3754978659370243E-3</v>
      </c>
      <c r="H442" s="725">
        <f t="shared" si="20"/>
        <v>8.8695714787960902E-4</v>
      </c>
    </row>
    <row r="443" spans="1:8">
      <c r="A443" s="3" t="s">
        <v>2720</v>
      </c>
      <c r="B443" s="3" t="s">
        <v>2300</v>
      </c>
      <c r="C443" s="721">
        <v>8951.85</v>
      </c>
      <c r="D443" s="722">
        <v>3.2300000000000002E-2</v>
      </c>
      <c r="E443" s="723">
        <v>0.17</v>
      </c>
      <c r="F443" s="724">
        <f t="shared" si="18"/>
        <v>0.20504550000000002</v>
      </c>
      <c r="G443" s="724">
        <f t="shared" si="19"/>
        <v>2.7209528957620181E-4</v>
      </c>
      <c r="H443" s="725">
        <f t="shared" si="20"/>
        <v>5.5791914698797094E-5</v>
      </c>
    </row>
    <row r="444" spans="1:8">
      <c r="A444" s="3" t="s">
        <v>4334</v>
      </c>
      <c r="B444" s="3" t="s">
        <v>4335</v>
      </c>
      <c r="C444" s="721">
        <v>16308.68</v>
      </c>
      <c r="D444" s="722">
        <v>2.5000000000000001E-2</v>
      </c>
      <c r="E444" s="723" t="s">
        <v>4148</v>
      </c>
      <c r="F444" s="724" t="str">
        <f t="shared" si="18"/>
        <v>N/A</v>
      </c>
      <c r="G444" s="724" t="str">
        <f t="shared" si="19"/>
        <v>N/A</v>
      </c>
      <c r="H444" s="725" t="str">
        <f t="shared" si="20"/>
        <v>N/A</v>
      </c>
    </row>
    <row r="445" spans="1:8">
      <c r="A445" s="3" t="s">
        <v>3951</v>
      </c>
      <c r="B445" s="3" t="s">
        <v>3952</v>
      </c>
      <c r="C445" s="721">
        <v>12283.14</v>
      </c>
      <c r="D445" s="722">
        <v>0</v>
      </c>
      <c r="E445" s="723">
        <v>0.1</v>
      </c>
      <c r="F445" s="724">
        <f t="shared" si="18"/>
        <v>0.1</v>
      </c>
      <c r="G445" s="724">
        <f t="shared" si="19"/>
        <v>3.7335126652088973E-4</v>
      </c>
      <c r="H445" s="725">
        <f t="shared" si="20"/>
        <v>3.7335126652088977E-5</v>
      </c>
    </row>
    <row r="446" spans="1:8">
      <c r="A446" s="3" t="s">
        <v>2721</v>
      </c>
      <c r="B446" s="3" t="s">
        <v>2076</v>
      </c>
      <c r="C446" s="721">
        <v>25314.16</v>
      </c>
      <c r="D446" s="722">
        <v>4.3499999999999997E-2</v>
      </c>
      <c r="E446" s="723">
        <v>4.4999999999999998E-2</v>
      </c>
      <c r="F446" s="724">
        <f t="shared" si="18"/>
        <v>8.9478749999999996E-2</v>
      </c>
      <c r="G446" s="724">
        <f t="shared" si="19"/>
        <v>7.6943466384918238E-4</v>
      </c>
      <c r="H446" s="725">
        <f t="shared" si="20"/>
        <v>6.8848051927895024E-5</v>
      </c>
    </row>
    <row r="447" spans="1:8">
      <c r="A447" s="3" t="s">
        <v>2722</v>
      </c>
      <c r="B447" s="3" t="s">
        <v>2078</v>
      </c>
      <c r="C447" s="721">
        <v>44381.11</v>
      </c>
      <c r="D447" s="722">
        <v>1.9599999999999999E-2</v>
      </c>
      <c r="E447" s="723">
        <v>6.5000000000000002E-2</v>
      </c>
      <c r="F447" s="724">
        <f t="shared" si="18"/>
        <v>8.5237000000000007E-2</v>
      </c>
      <c r="G447" s="724">
        <f t="shared" si="19"/>
        <v>1.3489827216902946E-3</v>
      </c>
      <c r="H447" s="725">
        <f t="shared" si="20"/>
        <v>1.1498324024871565E-4</v>
      </c>
    </row>
    <row r="448" spans="1:8">
      <c r="A448" s="3" t="s">
        <v>2723</v>
      </c>
      <c r="B448" s="3" t="s">
        <v>2080</v>
      </c>
      <c r="C448" s="721">
        <v>23693.27</v>
      </c>
      <c r="D448" s="722">
        <v>1.8700000000000001E-2</v>
      </c>
      <c r="E448" s="723">
        <v>0.13</v>
      </c>
      <c r="F448" s="724">
        <f t="shared" si="18"/>
        <v>0.14991550000000001</v>
      </c>
      <c r="G448" s="724">
        <f t="shared" si="19"/>
        <v>7.2016702264416114E-4</v>
      </c>
      <c r="H448" s="725">
        <f t="shared" si="20"/>
        <v>1.0796419928321074E-4</v>
      </c>
    </row>
    <row r="449" spans="1:8">
      <c r="A449" s="3" t="s">
        <v>3954</v>
      </c>
      <c r="B449" s="3" t="s">
        <v>3955</v>
      </c>
      <c r="C449" s="721">
        <v>434446.1</v>
      </c>
      <c r="D449" s="722">
        <v>0</v>
      </c>
      <c r="E449" s="723">
        <v>0.59499999999999997</v>
      </c>
      <c r="F449" s="724">
        <f t="shared" si="18"/>
        <v>0.59499999999999997</v>
      </c>
      <c r="G449" s="724">
        <f t="shared" si="19"/>
        <v>1.3205174057290003E-2</v>
      </c>
      <c r="H449" s="725">
        <f t="shared" si="20"/>
        <v>7.857078564087551E-3</v>
      </c>
    </row>
    <row r="450" spans="1:8">
      <c r="A450" s="3" t="s">
        <v>2724</v>
      </c>
      <c r="B450" s="3" t="s">
        <v>2082</v>
      </c>
      <c r="C450" s="721">
        <v>21873.599999999999</v>
      </c>
      <c r="D450" s="722">
        <v>3.1600000000000003E-2</v>
      </c>
      <c r="E450" s="723">
        <v>4.4999999999999998E-2</v>
      </c>
      <c r="F450" s="724">
        <f t="shared" si="18"/>
        <v>7.7310999999999991E-2</v>
      </c>
      <c r="G450" s="724">
        <f t="shared" si="19"/>
        <v>6.6485737876237946E-4</v>
      </c>
      <c r="H450" s="725">
        <f t="shared" si="20"/>
        <v>5.1400788809498313E-5</v>
      </c>
    </row>
    <row r="451" spans="1:8">
      <c r="A451" s="3" t="s">
        <v>3013</v>
      </c>
      <c r="B451" s="3" t="s">
        <v>3014</v>
      </c>
      <c r="C451" s="721">
        <v>39373.279999999999</v>
      </c>
      <c r="D451" s="722">
        <v>1.5700000000000002E-2</v>
      </c>
      <c r="E451" s="723" t="s">
        <v>4148</v>
      </c>
      <c r="F451" s="724" t="str">
        <f t="shared" si="18"/>
        <v>N/A</v>
      </c>
      <c r="G451" s="724" t="str">
        <f t="shared" si="19"/>
        <v>N/A</v>
      </c>
      <c r="H451" s="725" t="str">
        <f t="shared" si="20"/>
        <v>N/A</v>
      </c>
    </row>
    <row r="452" spans="1:8">
      <c r="A452" s="3" t="s">
        <v>2725</v>
      </c>
      <c r="B452" s="3" t="s">
        <v>2316</v>
      </c>
      <c r="C452" s="721">
        <v>16729.900000000001</v>
      </c>
      <c r="D452" s="722">
        <v>0</v>
      </c>
      <c r="E452" s="723">
        <v>0.08</v>
      </c>
      <c r="F452" s="724">
        <f t="shared" ref="F452:F503" si="21">IFERROR(D452*(1+0.5*E452)+E452,"N/A")</f>
        <v>0.08</v>
      </c>
      <c r="G452" s="724">
        <f t="shared" ref="G452:G503" si="22">IF(F452="N/A","N/A",C452/$C$504)</f>
        <v>5.0851242872488906E-4</v>
      </c>
      <c r="H452" s="725">
        <f t="shared" si="20"/>
        <v>4.0680994297991127E-5</v>
      </c>
    </row>
    <row r="453" spans="1:8">
      <c r="A453" s="3" t="s">
        <v>2726</v>
      </c>
      <c r="B453" s="3" t="s">
        <v>2084</v>
      </c>
      <c r="C453" s="721">
        <v>153544.29999999999</v>
      </c>
      <c r="D453" s="722">
        <v>2.9399999999999999E-2</v>
      </c>
      <c r="E453" s="723">
        <v>7.4999999999999997E-2</v>
      </c>
      <c r="F453" s="724">
        <f t="shared" si="21"/>
        <v>0.1055025</v>
      </c>
      <c r="G453" s="724">
        <f t="shared" si="22"/>
        <v>4.6670443284097919E-3</v>
      </c>
      <c r="H453" s="725">
        <f t="shared" ref="H453:H503" si="23">IF(ISNUMBER(G453),F453*G453,"N/A")</f>
        <v>4.923848442580541E-4</v>
      </c>
    </row>
    <row r="454" spans="1:8">
      <c r="A454" s="3" t="s">
        <v>2727</v>
      </c>
      <c r="B454" s="3" t="s">
        <v>2086</v>
      </c>
      <c r="C454" s="721">
        <v>14862.57</v>
      </c>
      <c r="D454" s="722">
        <v>1.1000000000000001E-3</v>
      </c>
      <c r="E454" s="723">
        <v>0.12</v>
      </c>
      <c r="F454" s="724">
        <f t="shared" si="21"/>
        <v>0.121166</v>
      </c>
      <c r="G454" s="724">
        <f t="shared" si="22"/>
        <v>4.5175413886476752E-4</v>
      </c>
      <c r="H454" s="725">
        <f t="shared" si="23"/>
        <v>5.4737241989688421E-5</v>
      </c>
    </row>
    <row r="455" spans="1:8">
      <c r="A455" s="3" t="s">
        <v>3038</v>
      </c>
      <c r="B455" s="3" t="s">
        <v>3039</v>
      </c>
      <c r="C455" s="721">
        <v>13719.77</v>
      </c>
      <c r="D455" s="722">
        <v>0</v>
      </c>
      <c r="E455" s="723">
        <v>0.12</v>
      </c>
      <c r="F455" s="724">
        <f t="shared" si="21"/>
        <v>0.12</v>
      </c>
      <c r="G455" s="724">
        <f t="shared" si="22"/>
        <v>4.1701824662710899E-4</v>
      </c>
      <c r="H455" s="725">
        <f t="shared" si="23"/>
        <v>5.0042189595253078E-5</v>
      </c>
    </row>
    <row r="456" spans="1:8">
      <c r="A456" s="3" t="s">
        <v>2927</v>
      </c>
      <c r="B456" s="3" t="s">
        <v>2087</v>
      </c>
      <c r="C456" s="721">
        <v>12750.15</v>
      </c>
      <c r="D456" s="722">
        <v>0</v>
      </c>
      <c r="E456" s="723" t="s">
        <v>4148</v>
      </c>
      <c r="F456" s="724" t="str">
        <f t="shared" si="21"/>
        <v>N/A</v>
      </c>
      <c r="G456" s="724" t="str">
        <f t="shared" si="22"/>
        <v>N/A</v>
      </c>
      <c r="H456" s="725" t="str">
        <f t="shared" si="23"/>
        <v>N/A</v>
      </c>
    </row>
    <row r="457" spans="1:8">
      <c r="A457" s="3" t="s">
        <v>2729</v>
      </c>
      <c r="B457" s="3" t="s">
        <v>2089</v>
      </c>
      <c r="C457" s="721">
        <v>12175.6</v>
      </c>
      <c r="D457" s="722">
        <v>4.3400000000000001E-2</v>
      </c>
      <c r="E457" s="723">
        <v>0.105</v>
      </c>
      <c r="F457" s="724">
        <f t="shared" si="21"/>
        <v>0.15067849999999999</v>
      </c>
      <c r="G457" s="724">
        <f t="shared" si="22"/>
        <v>3.7008254246485389E-4</v>
      </c>
      <c r="H457" s="725">
        <f t="shared" si="23"/>
        <v>5.5763482374790483E-5</v>
      </c>
    </row>
    <row r="458" spans="1:8">
      <c r="A458" s="3" t="s">
        <v>2730</v>
      </c>
      <c r="B458" s="3" t="s">
        <v>2091</v>
      </c>
      <c r="C458" s="721">
        <v>10140.219999999999</v>
      </c>
      <c r="D458" s="722">
        <v>5.6000000000000008E-3</v>
      </c>
      <c r="E458" s="723">
        <v>0.06</v>
      </c>
      <c r="F458" s="724">
        <f t="shared" si="21"/>
        <v>6.5767999999999993E-2</v>
      </c>
      <c r="G458" s="724">
        <f t="shared" si="22"/>
        <v>3.0821630135294855E-4</v>
      </c>
      <c r="H458" s="725">
        <f t="shared" si="23"/>
        <v>2.0270769707380719E-5</v>
      </c>
    </row>
    <row r="459" spans="1:8">
      <c r="A459" s="3" t="s">
        <v>2731</v>
      </c>
      <c r="B459" s="3" t="s">
        <v>2093</v>
      </c>
      <c r="C459" s="721">
        <v>23079.9</v>
      </c>
      <c r="D459" s="722">
        <v>0</v>
      </c>
      <c r="E459" s="723">
        <v>0.155</v>
      </c>
      <c r="F459" s="724">
        <f t="shared" si="21"/>
        <v>0.155</v>
      </c>
      <c r="G459" s="724">
        <f t="shared" si="22"/>
        <v>7.0152338051796882E-4</v>
      </c>
      <c r="H459" s="725">
        <f t="shared" si="23"/>
        <v>1.0873612398028517E-4</v>
      </c>
    </row>
    <row r="460" spans="1:8">
      <c r="A460" s="3" t="s">
        <v>2732</v>
      </c>
      <c r="B460" s="3" t="s">
        <v>2095</v>
      </c>
      <c r="C460" s="721">
        <v>493249.9</v>
      </c>
      <c r="D460" s="722">
        <v>1.2500000000000001E-2</v>
      </c>
      <c r="E460" s="723">
        <v>0.12</v>
      </c>
      <c r="F460" s="724">
        <f t="shared" si="21"/>
        <v>0.13325000000000001</v>
      </c>
      <c r="G460" s="724">
        <f t="shared" si="22"/>
        <v>1.4992540578085264E-2</v>
      </c>
      <c r="H460" s="725">
        <f t="shared" si="23"/>
        <v>1.9977560320298617E-3</v>
      </c>
    </row>
    <row r="461" spans="1:8">
      <c r="A461" s="3" t="s">
        <v>2733</v>
      </c>
      <c r="B461" s="3" t="s">
        <v>2097</v>
      </c>
      <c r="C461" s="721">
        <v>128342.8</v>
      </c>
      <c r="D461" s="722">
        <v>2.5000000000000001E-2</v>
      </c>
      <c r="E461" s="723">
        <v>9.5000000000000001E-2</v>
      </c>
      <c r="F461" s="724">
        <f t="shared" si="21"/>
        <v>0.1211875</v>
      </c>
      <c r="G461" s="724">
        <f t="shared" si="22"/>
        <v>3.9010340131950994E-3</v>
      </c>
      <c r="H461" s="725">
        <f t="shared" si="23"/>
        <v>4.7275655947408112E-4</v>
      </c>
    </row>
    <row r="462" spans="1:8">
      <c r="A462" s="3" t="s">
        <v>2734</v>
      </c>
      <c r="B462" s="3" t="s">
        <v>2099</v>
      </c>
      <c r="C462" s="721">
        <v>152792.9</v>
      </c>
      <c r="D462" s="722">
        <v>3.44E-2</v>
      </c>
      <c r="E462" s="723">
        <v>8.5000000000000006E-2</v>
      </c>
      <c r="F462" s="724">
        <f t="shared" si="21"/>
        <v>0.120862</v>
      </c>
      <c r="G462" s="724">
        <f t="shared" si="22"/>
        <v>4.6442052057047017E-3</v>
      </c>
      <c r="H462" s="725">
        <f t="shared" si="23"/>
        <v>5.6130792957188164E-4</v>
      </c>
    </row>
    <row r="463" spans="1:8">
      <c r="A463" s="3" t="s">
        <v>2735</v>
      </c>
      <c r="B463" s="3" t="s">
        <v>2101</v>
      </c>
      <c r="C463" s="721">
        <v>24939.1</v>
      </c>
      <c r="D463" s="722">
        <v>0</v>
      </c>
      <c r="E463" s="723">
        <v>0.18</v>
      </c>
      <c r="F463" s="724">
        <f t="shared" si="21"/>
        <v>0.18</v>
      </c>
      <c r="G463" s="724">
        <f t="shared" si="22"/>
        <v>7.5803455556894424E-4</v>
      </c>
      <c r="H463" s="725">
        <f t="shared" si="23"/>
        <v>1.3644622000240995E-4</v>
      </c>
    </row>
    <row r="464" spans="1:8">
      <c r="A464" s="3" t="s">
        <v>2736</v>
      </c>
      <c r="B464" s="3" t="s">
        <v>2103</v>
      </c>
      <c r="C464" s="721">
        <v>63458.69</v>
      </c>
      <c r="D464" s="722">
        <v>4.5400000000000003E-2</v>
      </c>
      <c r="E464" s="723">
        <v>0.06</v>
      </c>
      <c r="F464" s="724">
        <f t="shared" si="21"/>
        <v>0.106762</v>
      </c>
      <c r="G464" s="724">
        <f t="shared" si="22"/>
        <v>1.9288538829042511E-3</v>
      </c>
      <c r="H464" s="725">
        <f t="shared" si="23"/>
        <v>2.0592829824662366E-4</v>
      </c>
    </row>
    <row r="465" spans="1:8">
      <c r="A465" s="3" t="s">
        <v>2737</v>
      </c>
      <c r="B465" s="3" t="s">
        <v>2105</v>
      </c>
      <c r="C465" s="721">
        <v>391284.5</v>
      </c>
      <c r="D465" s="722">
        <v>8.6999999999999994E-3</v>
      </c>
      <c r="E465" s="723">
        <v>0.13500000000000001</v>
      </c>
      <c r="F465" s="724">
        <f t="shared" si="21"/>
        <v>0.14428725000000001</v>
      </c>
      <c r="G465" s="724">
        <f t="shared" si="22"/>
        <v>1.1893258860925878E-2</v>
      </c>
      <c r="H465" s="725">
        <f t="shared" si="23"/>
        <v>1.7160456145811273E-3</v>
      </c>
    </row>
    <row r="466" spans="1:8">
      <c r="A466" s="3" t="s">
        <v>2738</v>
      </c>
      <c r="B466" s="3" t="s">
        <v>2107</v>
      </c>
      <c r="C466" s="721">
        <v>9892.9699999999993</v>
      </c>
      <c r="D466" s="722">
        <v>8.0100000000000005E-2</v>
      </c>
      <c r="E466" s="723">
        <v>9.5000000000000001E-2</v>
      </c>
      <c r="F466" s="724">
        <f t="shared" si="21"/>
        <v>0.17890475</v>
      </c>
      <c r="G466" s="724">
        <f t="shared" si="22"/>
        <v>3.0070103240321011E-4</v>
      </c>
      <c r="H466" s="725">
        <f t="shared" si="23"/>
        <v>5.3796843026838202E-5</v>
      </c>
    </row>
    <row r="467" spans="1:8">
      <c r="A467" s="3" t="s">
        <v>4337</v>
      </c>
      <c r="B467" s="3" t="s">
        <v>4338</v>
      </c>
      <c r="C467" s="721">
        <v>20616.72</v>
      </c>
      <c r="D467" s="722">
        <v>4.7599999999999996E-2</v>
      </c>
      <c r="E467" s="723">
        <v>8.5000000000000006E-2</v>
      </c>
      <c r="F467" s="724">
        <f t="shared" si="21"/>
        <v>0.13462299999999999</v>
      </c>
      <c r="G467" s="724">
        <f t="shared" si="22"/>
        <v>6.2665397638605102E-4</v>
      </c>
      <c r="H467" s="725">
        <f t="shared" si="23"/>
        <v>8.4362038263019343E-5</v>
      </c>
    </row>
    <row r="468" spans="1:8">
      <c r="A468" s="3" t="s">
        <v>2739</v>
      </c>
      <c r="B468" s="3" t="s">
        <v>2109</v>
      </c>
      <c r="C468" s="721">
        <v>47295.96</v>
      </c>
      <c r="D468" s="722">
        <v>3.2000000000000001E-2</v>
      </c>
      <c r="E468" s="723">
        <v>0.31</v>
      </c>
      <c r="F468" s="724">
        <f t="shared" si="21"/>
        <v>0.34695999999999999</v>
      </c>
      <c r="G468" s="724">
        <f t="shared" si="22"/>
        <v>1.4375808276484141E-3</v>
      </c>
      <c r="H468" s="725">
        <f t="shared" si="23"/>
        <v>4.9878304396089377E-4</v>
      </c>
    </row>
    <row r="469" spans="1:8">
      <c r="A469" s="3" t="s">
        <v>2740</v>
      </c>
      <c r="B469" s="3" t="s">
        <v>2111</v>
      </c>
      <c r="C469" s="721">
        <v>23385.08</v>
      </c>
      <c r="D469" s="722">
        <v>9.1000000000000004E-3</v>
      </c>
      <c r="E469" s="723">
        <v>8.5000000000000006E-2</v>
      </c>
      <c r="F469" s="724">
        <f t="shared" si="21"/>
        <v>9.4486750000000008E-2</v>
      </c>
      <c r="G469" s="724">
        <f t="shared" si="22"/>
        <v>7.1079945646571876E-4</v>
      </c>
      <c r="H469" s="725">
        <f t="shared" si="23"/>
        <v>6.7161130543212256E-5</v>
      </c>
    </row>
    <row r="470" spans="1:8">
      <c r="A470" s="3" t="s">
        <v>2741</v>
      </c>
      <c r="B470" s="3" t="s">
        <v>2113</v>
      </c>
      <c r="C470" s="721">
        <v>4043.5</v>
      </c>
      <c r="D470" s="722">
        <v>0.10060000000000001</v>
      </c>
      <c r="E470" s="723">
        <v>-0.20499999999999999</v>
      </c>
      <c r="F470" s="724">
        <f t="shared" si="21"/>
        <v>-0.11471149999999998</v>
      </c>
      <c r="G470" s="724">
        <f t="shared" si="22"/>
        <v>1.2290390292524694E-4</v>
      </c>
      <c r="H470" s="725">
        <f t="shared" si="23"/>
        <v>-1.4098491060409462E-5</v>
      </c>
    </row>
    <row r="471" spans="1:8">
      <c r="A471" s="3" t="s">
        <v>2742</v>
      </c>
      <c r="B471" s="3" t="s">
        <v>1397</v>
      </c>
      <c r="C471" s="721">
        <v>27623.01</v>
      </c>
      <c r="D471" s="722">
        <v>6.9999999999999993E-3</v>
      </c>
      <c r="E471" s="723">
        <v>9.5000000000000001E-2</v>
      </c>
      <c r="F471" s="724">
        <f t="shared" si="21"/>
        <v>0.10233250000000001</v>
      </c>
      <c r="G471" s="724">
        <f t="shared" si="22"/>
        <v>8.3961314196689138E-4</v>
      </c>
      <c r="H471" s="725">
        <f t="shared" si="23"/>
        <v>8.5919711850326923E-5</v>
      </c>
    </row>
    <row r="472" spans="1:8">
      <c r="A472" s="3" t="s">
        <v>2743</v>
      </c>
      <c r="B472" s="3" t="s">
        <v>2116</v>
      </c>
      <c r="C472" s="721">
        <v>21771.3</v>
      </c>
      <c r="D472" s="722">
        <v>0</v>
      </c>
      <c r="E472" s="723">
        <v>0.11</v>
      </c>
      <c r="F472" s="724">
        <f t="shared" si="21"/>
        <v>0.11</v>
      </c>
      <c r="G472" s="724">
        <f t="shared" si="22"/>
        <v>6.617479267358548E-4</v>
      </c>
      <c r="H472" s="725">
        <f t="shared" si="23"/>
        <v>7.2792271940944024E-5</v>
      </c>
    </row>
    <row r="473" spans="1:8">
      <c r="A473" s="3" t="s">
        <v>2744</v>
      </c>
      <c r="B473" s="3" t="s">
        <v>2118</v>
      </c>
      <c r="C473" s="721">
        <v>74568.490000000005</v>
      </c>
      <c r="D473" s="722">
        <v>0</v>
      </c>
      <c r="E473" s="723">
        <v>0.13500000000000001</v>
      </c>
      <c r="F473" s="724">
        <f t="shared" si="21"/>
        <v>0.13500000000000001</v>
      </c>
      <c r="G473" s="724">
        <f t="shared" si="22"/>
        <v>2.2665409808933471E-3</v>
      </c>
      <c r="H473" s="725">
        <f t="shared" si="23"/>
        <v>3.0598303242060186E-4</v>
      </c>
    </row>
    <row r="474" spans="1:8">
      <c r="A474" s="3" t="s">
        <v>2745</v>
      </c>
      <c r="B474" s="3" t="s">
        <v>2120</v>
      </c>
      <c r="C474" s="721">
        <v>17909.990000000002</v>
      </c>
      <c r="D474" s="722">
        <v>4.2800000000000005E-2</v>
      </c>
      <c r="E474" s="723">
        <v>0.105</v>
      </c>
      <c r="F474" s="724">
        <f t="shared" si="21"/>
        <v>0.15004699999999999</v>
      </c>
      <c r="G474" s="724">
        <f t="shared" si="22"/>
        <v>5.4438176637866792E-4</v>
      </c>
      <c r="H474" s="725">
        <f t="shared" si="23"/>
        <v>8.1682850899819973E-5</v>
      </c>
    </row>
    <row r="475" spans="1:8">
      <c r="A475" s="3" t="s">
        <v>3957</v>
      </c>
      <c r="B475" s="3" t="s">
        <v>3958</v>
      </c>
      <c r="C475" s="721">
        <v>13157.29</v>
      </c>
      <c r="D475" s="722">
        <v>4.4199999999999996E-2</v>
      </c>
      <c r="E475" s="723" t="s">
        <v>4148</v>
      </c>
      <c r="F475" s="724" t="str">
        <f t="shared" si="21"/>
        <v>N/A</v>
      </c>
      <c r="G475" s="724" t="str">
        <f t="shared" si="22"/>
        <v>N/A</v>
      </c>
      <c r="H475" s="725" t="str">
        <f t="shared" si="23"/>
        <v>N/A</v>
      </c>
    </row>
    <row r="476" spans="1:8">
      <c r="A476" s="3" t="s">
        <v>2746</v>
      </c>
      <c r="B476" s="3" t="s">
        <v>2122</v>
      </c>
      <c r="C476" s="721">
        <v>158669.1</v>
      </c>
      <c r="D476" s="722">
        <v>6.9099999999999995E-2</v>
      </c>
      <c r="E476" s="723">
        <v>2.5000000000000001E-2</v>
      </c>
      <c r="F476" s="724">
        <f t="shared" si="21"/>
        <v>9.4963749999999986E-2</v>
      </c>
      <c r="G476" s="724">
        <f t="shared" si="22"/>
        <v>4.8228148049057253E-3</v>
      </c>
      <c r="H476" s="725">
        <f t="shared" si="23"/>
        <v>4.5799257942936598E-4</v>
      </c>
    </row>
    <row r="477" spans="1:8">
      <c r="A477" s="3" t="s">
        <v>2978</v>
      </c>
      <c r="B477" s="3" t="s">
        <v>2748</v>
      </c>
      <c r="C477" s="721">
        <v>18464.669999999998</v>
      </c>
      <c r="D477" s="722">
        <v>5.8999999999999999E-3</v>
      </c>
      <c r="E477" s="723">
        <v>9.5000000000000001E-2</v>
      </c>
      <c r="F477" s="724">
        <f t="shared" si="21"/>
        <v>0.10118025</v>
      </c>
      <c r="G477" s="724">
        <f t="shared" si="22"/>
        <v>5.6124150098348438E-4</v>
      </c>
      <c r="H477" s="725">
        <f t="shared" si="23"/>
        <v>5.6786555379884193E-5</v>
      </c>
    </row>
    <row r="478" spans="1:8">
      <c r="A478" s="3" t="s">
        <v>2749</v>
      </c>
      <c r="B478" s="3" t="s">
        <v>2124</v>
      </c>
      <c r="C478" s="721">
        <v>20645.2</v>
      </c>
      <c r="D478" s="722">
        <v>0</v>
      </c>
      <c r="E478" s="723">
        <v>0.19</v>
      </c>
      <c r="F478" s="724">
        <f t="shared" si="21"/>
        <v>0.19</v>
      </c>
      <c r="G478" s="724">
        <f t="shared" si="22"/>
        <v>6.2751963810369932E-4</v>
      </c>
      <c r="H478" s="725">
        <f t="shared" si="23"/>
        <v>1.1922873123970287E-4</v>
      </c>
    </row>
    <row r="479" spans="1:8">
      <c r="A479" s="3" t="s">
        <v>2750</v>
      </c>
      <c r="B479" s="3" t="s">
        <v>2126</v>
      </c>
      <c r="C479" s="721">
        <v>33360.28</v>
      </c>
      <c r="D479" s="722">
        <v>4.9699999999999994E-2</v>
      </c>
      <c r="E479" s="723">
        <v>0.05</v>
      </c>
      <c r="F479" s="724">
        <f t="shared" si="21"/>
        <v>0.10094249999999999</v>
      </c>
      <c r="G479" s="724">
        <f t="shared" si="22"/>
        <v>1.0139999047060855E-3</v>
      </c>
      <c r="H479" s="725">
        <f t="shared" si="23"/>
        <v>1.0235568538079402E-4</v>
      </c>
    </row>
    <row r="480" spans="1:8">
      <c r="A480" s="3" t="s">
        <v>4340</v>
      </c>
      <c r="B480" s="3" t="s">
        <v>4341</v>
      </c>
      <c r="C480" s="721">
        <v>21949.119999999999</v>
      </c>
      <c r="D480" s="722">
        <v>0</v>
      </c>
      <c r="E480" s="723" t="s">
        <v>4148</v>
      </c>
      <c r="F480" s="724" t="str">
        <f t="shared" si="21"/>
        <v>N/A</v>
      </c>
      <c r="G480" s="724" t="str">
        <f t="shared" si="22"/>
        <v>N/A</v>
      </c>
      <c r="H480" s="725" t="str">
        <f t="shared" si="23"/>
        <v>N/A</v>
      </c>
    </row>
    <row r="481" spans="1:8">
      <c r="A481" s="3" t="s">
        <v>2751</v>
      </c>
      <c r="B481" s="3" t="s">
        <v>2128</v>
      </c>
      <c r="C481" s="721">
        <v>9978.84</v>
      </c>
      <c r="D481" s="722">
        <v>0</v>
      </c>
      <c r="E481" s="723">
        <v>6.5000000000000002E-2</v>
      </c>
      <c r="F481" s="724">
        <f t="shared" si="21"/>
        <v>6.5000000000000002E-2</v>
      </c>
      <c r="G481" s="724">
        <f t="shared" si="22"/>
        <v>3.0331108758911121E-4</v>
      </c>
      <c r="H481" s="725">
        <f t="shared" si="23"/>
        <v>1.9715220693292231E-5</v>
      </c>
    </row>
    <row r="482" spans="1:8">
      <c r="A482" s="3" t="s">
        <v>2752</v>
      </c>
      <c r="B482" s="3" t="s">
        <v>217</v>
      </c>
      <c r="C482" s="721">
        <v>29934.78</v>
      </c>
      <c r="D482" s="722">
        <v>3.2899999999999999E-2</v>
      </c>
      <c r="E482" s="723">
        <v>0.06</v>
      </c>
      <c r="F482" s="724">
        <f t="shared" si="21"/>
        <v>9.3886999999999998E-2</v>
      </c>
      <c r="G482" s="724">
        <f t="shared" si="22"/>
        <v>9.0988037472699982E-4</v>
      </c>
      <c r="H482" s="725">
        <f t="shared" si="23"/>
        <v>8.5425938741993837E-5</v>
      </c>
    </row>
    <row r="483" spans="1:8">
      <c r="A483" s="3" t="s">
        <v>2753</v>
      </c>
      <c r="B483" s="3" t="s">
        <v>2318</v>
      </c>
      <c r="C483" s="721">
        <v>28609.94</v>
      </c>
      <c r="D483" s="722">
        <v>4.0599999999999997E-2</v>
      </c>
      <c r="E483" s="723">
        <v>2.5000000000000001E-2</v>
      </c>
      <c r="F483" s="724">
        <f t="shared" si="21"/>
        <v>6.61075E-2</v>
      </c>
      <c r="G483" s="724">
        <f t="shared" si="22"/>
        <v>8.6961129923510312E-4</v>
      </c>
      <c r="H483" s="725">
        <f t="shared" si="23"/>
        <v>5.7487828964184582E-5</v>
      </c>
    </row>
    <row r="484" spans="1:8">
      <c r="A484" s="3" t="s">
        <v>2754</v>
      </c>
      <c r="B484" s="3" t="s">
        <v>2131</v>
      </c>
      <c r="C484" s="721">
        <v>156068.5</v>
      </c>
      <c r="D484" s="722">
        <v>3.04E-2</v>
      </c>
      <c r="E484" s="723">
        <v>0.12</v>
      </c>
      <c r="F484" s="724">
        <f t="shared" si="21"/>
        <v>0.152224</v>
      </c>
      <c r="G484" s="724">
        <f t="shared" si="22"/>
        <v>4.7437684614044526E-3</v>
      </c>
      <c r="H484" s="725">
        <f t="shared" si="23"/>
        <v>7.2211541026883134E-4</v>
      </c>
    </row>
    <row r="485" spans="1:8">
      <c r="A485" s="3" t="s">
        <v>2755</v>
      </c>
      <c r="B485" s="3" t="s">
        <v>2133</v>
      </c>
      <c r="C485" s="721">
        <v>7625.34</v>
      </c>
      <c r="D485" s="722">
        <v>4.9599999999999998E-2</v>
      </c>
      <c r="E485" s="723">
        <v>0.05</v>
      </c>
      <c r="F485" s="724">
        <f t="shared" si="21"/>
        <v>0.10084</v>
      </c>
      <c r="G485" s="724">
        <f t="shared" si="22"/>
        <v>2.3177545372375481E-4</v>
      </c>
      <c r="H485" s="725">
        <f t="shared" si="23"/>
        <v>2.3372236753503435E-5</v>
      </c>
    </row>
    <row r="486" spans="1:8">
      <c r="A486" s="3" t="s">
        <v>2757</v>
      </c>
      <c r="B486" s="3" t="s">
        <v>2135</v>
      </c>
      <c r="C486" s="721">
        <v>65386.7</v>
      </c>
      <c r="D486" s="722">
        <v>1.6299999999999999E-2</v>
      </c>
      <c r="E486" s="723">
        <v>0.08</v>
      </c>
      <c r="F486" s="724">
        <f t="shared" si="21"/>
        <v>9.6951999999999997E-2</v>
      </c>
      <c r="G486" s="724">
        <f t="shared" si="22"/>
        <v>1.9874565671824519E-3</v>
      </c>
      <c r="H486" s="725">
        <f t="shared" si="23"/>
        <v>1.9268788910147306E-4</v>
      </c>
    </row>
    <row r="487" spans="1:8">
      <c r="A487" s="3" t="s">
        <v>2758</v>
      </c>
      <c r="B487" s="3" t="s">
        <v>2137</v>
      </c>
      <c r="C487" s="721">
        <v>40157.46</v>
      </c>
      <c r="D487" s="722">
        <v>5.16E-2</v>
      </c>
      <c r="E487" s="723">
        <v>0.12</v>
      </c>
      <c r="F487" s="724">
        <f t="shared" si="21"/>
        <v>0.17469599999999999</v>
      </c>
      <c r="G487" s="724">
        <f t="shared" si="22"/>
        <v>1.2206030828649653E-3</v>
      </c>
      <c r="H487" s="725">
        <f t="shared" si="23"/>
        <v>2.1323447616417796E-4</v>
      </c>
    </row>
    <row r="488" spans="1:8">
      <c r="A488" s="3" t="s">
        <v>2759</v>
      </c>
      <c r="B488" s="3" t="s">
        <v>2139</v>
      </c>
      <c r="C488" s="721">
        <v>392131.2</v>
      </c>
      <c r="D488" s="722">
        <v>1.54E-2</v>
      </c>
      <c r="E488" s="723">
        <v>7.4999999999999997E-2</v>
      </c>
      <c r="F488" s="724">
        <f t="shared" si="21"/>
        <v>9.0977500000000003E-2</v>
      </c>
      <c r="G488" s="724">
        <f t="shared" si="22"/>
        <v>1.1918994667679138E-2</v>
      </c>
      <c r="H488" s="725">
        <f t="shared" si="23"/>
        <v>1.0843603373787789E-3</v>
      </c>
    </row>
    <row r="489" spans="1:8">
      <c r="A489" s="3" t="s">
        <v>3040</v>
      </c>
      <c r="B489" s="3" t="s">
        <v>2980</v>
      </c>
      <c r="C489" s="721">
        <v>19634.79</v>
      </c>
      <c r="D489" s="722">
        <v>5.4000000000000003E-3</v>
      </c>
      <c r="E489" s="723">
        <v>0.17</v>
      </c>
      <c r="F489" s="724">
        <f t="shared" si="21"/>
        <v>0.17585900000000002</v>
      </c>
      <c r="G489" s="724">
        <f t="shared" si="22"/>
        <v>5.9680779624523542E-4</v>
      </c>
      <c r="H489" s="725">
        <f t="shared" si="23"/>
        <v>1.0495402223989086E-4</v>
      </c>
    </row>
    <row r="490" spans="1:8">
      <c r="A490" s="3" t="s">
        <v>2760</v>
      </c>
      <c r="B490" s="3" t="s">
        <v>2141</v>
      </c>
      <c r="C490" s="721">
        <v>8967.6</v>
      </c>
      <c r="D490" s="722">
        <v>3.1200000000000002E-2</v>
      </c>
      <c r="E490" s="723">
        <v>0.15</v>
      </c>
      <c r="F490" s="724">
        <f t="shared" si="21"/>
        <v>0.18353999999999998</v>
      </c>
      <c r="G490" s="724">
        <f t="shared" si="22"/>
        <v>2.7257401752749956E-4</v>
      </c>
      <c r="H490" s="725">
        <f t="shared" si="23"/>
        <v>5.0028235176997264E-5</v>
      </c>
    </row>
    <row r="491" spans="1:8">
      <c r="A491" s="3" t="s">
        <v>3042</v>
      </c>
      <c r="B491" s="3" t="s">
        <v>3019</v>
      </c>
      <c r="C491" s="721">
        <v>17366.32</v>
      </c>
      <c r="D491" s="722">
        <v>3.2000000000000002E-3</v>
      </c>
      <c r="E491" s="723">
        <v>9.5000000000000001E-2</v>
      </c>
      <c r="F491" s="724">
        <f t="shared" si="21"/>
        <v>9.8351999999999995E-2</v>
      </c>
      <c r="G491" s="724">
        <f t="shared" si="22"/>
        <v>5.2785668540837757E-4</v>
      </c>
      <c r="H491" s="725">
        <f t="shared" si="23"/>
        <v>5.1915760723284746E-5</v>
      </c>
    </row>
    <row r="492" spans="1:8">
      <c r="A492" s="3" t="s">
        <v>2756</v>
      </c>
      <c r="B492" s="3" t="s">
        <v>4343</v>
      </c>
      <c r="C492" s="721">
        <v>26470.06</v>
      </c>
      <c r="D492" s="722">
        <v>1.4800000000000001E-2</v>
      </c>
      <c r="E492" s="723">
        <v>8.5000000000000006E-2</v>
      </c>
      <c r="F492" s="724">
        <f t="shared" si="21"/>
        <v>0.100429</v>
      </c>
      <c r="G492" s="724">
        <f t="shared" si="22"/>
        <v>8.0456873616061887E-4</v>
      </c>
      <c r="H492" s="725">
        <f t="shared" si="23"/>
        <v>8.0802033603874799E-5</v>
      </c>
    </row>
    <row r="493" spans="1:8">
      <c r="A493" s="3" t="s">
        <v>2761</v>
      </c>
      <c r="B493" s="3" t="s">
        <v>2144</v>
      </c>
      <c r="C493" s="721">
        <v>22945.09</v>
      </c>
      <c r="D493" s="722">
        <v>2.3099999999999999E-2</v>
      </c>
      <c r="E493" s="723">
        <v>5.5E-2</v>
      </c>
      <c r="F493" s="724">
        <f t="shared" si="21"/>
        <v>7.8735250000000007E-2</v>
      </c>
      <c r="G493" s="724">
        <f t="shared" si="22"/>
        <v>6.9742577320911446E-4</v>
      </c>
      <c r="H493" s="725">
        <f t="shared" si="23"/>
        <v>5.4911992610062934E-5</v>
      </c>
    </row>
    <row r="494" spans="1:8">
      <c r="A494" s="3" t="s">
        <v>2762</v>
      </c>
      <c r="B494" s="3" t="s">
        <v>2146</v>
      </c>
      <c r="C494" s="721">
        <v>9364.61</v>
      </c>
      <c r="D494" s="722">
        <v>0</v>
      </c>
      <c r="E494" s="723" t="s">
        <v>4148</v>
      </c>
      <c r="F494" s="724" t="str">
        <f t="shared" si="21"/>
        <v>N/A</v>
      </c>
      <c r="G494" s="724" t="str">
        <f t="shared" si="22"/>
        <v>N/A</v>
      </c>
      <c r="H494" s="725" t="str">
        <f t="shared" si="23"/>
        <v>N/A</v>
      </c>
    </row>
    <row r="495" spans="1:8">
      <c r="A495" s="3" t="s">
        <v>2763</v>
      </c>
      <c r="B495" s="3" t="s">
        <v>218</v>
      </c>
      <c r="C495" s="721">
        <v>38514.699999999997</v>
      </c>
      <c r="D495" s="722">
        <v>2.9100000000000001E-2</v>
      </c>
      <c r="E495" s="723">
        <v>0.06</v>
      </c>
      <c r="F495" s="724">
        <f t="shared" si="21"/>
        <v>8.9972999999999997E-2</v>
      </c>
      <c r="G495" s="724">
        <f t="shared" si="22"/>
        <v>1.1706706937047132E-3</v>
      </c>
      <c r="H495" s="725">
        <f t="shared" si="23"/>
        <v>1.0532875432469416E-4</v>
      </c>
    </row>
    <row r="496" spans="1:8">
      <c r="A496" s="3" t="s">
        <v>2764</v>
      </c>
      <c r="B496" s="3" t="s">
        <v>2148</v>
      </c>
      <c r="C496" s="721">
        <v>444991.1</v>
      </c>
      <c r="D496" s="722">
        <v>3.3700000000000001E-2</v>
      </c>
      <c r="E496" s="723">
        <v>0.315</v>
      </c>
      <c r="F496" s="724">
        <f t="shared" si="21"/>
        <v>0.35400775000000001</v>
      </c>
      <c r="G496" s="724">
        <f t="shared" si="22"/>
        <v>1.3525693818968431E-2</v>
      </c>
      <c r="H496" s="725">
        <f t="shared" si="23"/>
        <v>4.7882004360419216E-3</v>
      </c>
    </row>
    <row r="497" spans="1:8">
      <c r="A497" s="3" t="s">
        <v>2765</v>
      </c>
      <c r="B497" s="3" t="s">
        <v>2150</v>
      </c>
      <c r="C497" s="721">
        <v>6732.82</v>
      </c>
      <c r="D497" s="722">
        <v>1.6E-2</v>
      </c>
      <c r="E497" s="723">
        <v>0.09</v>
      </c>
      <c r="F497" s="724">
        <f t="shared" si="21"/>
        <v>0.10672</v>
      </c>
      <c r="G497" s="724">
        <f t="shared" si="22"/>
        <v>2.0464692857503675E-4</v>
      </c>
      <c r="H497" s="725">
        <f t="shared" si="23"/>
        <v>2.1839920217527919E-5</v>
      </c>
    </row>
    <row r="498" spans="1:8">
      <c r="A498" s="3" t="s">
        <v>2766</v>
      </c>
      <c r="B498" s="3" t="s">
        <v>2152</v>
      </c>
      <c r="C498" s="721">
        <v>20029.23</v>
      </c>
      <c r="D498" s="722">
        <v>1.0800000000000001E-2</v>
      </c>
      <c r="E498" s="723">
        <v>0.09</v>
      </c>
      <c r="F498" s="724">
        <f t="shared" si="21"/>
        <v>0.101286</v>
      </c>
      <c r="G498" s="724">
        <f t="shared" si="22"/>
        <v>6.0879696787126099E-4</v>
      </c>
      <c r="H498" s="725">
        <f t="shared" si="23"/>
        <v>6.1662609687808547E-5</v>
      </c>
    </row>
    <row r="499" spans="1:8">
      <c r="A499" s="3" t="s">
        <v>2767</v>
      </c>
      <c r="B499" s="3" t="s">
        <v>2154</v>
      </c>
      <c r="C499" s="721">
        <v>36573.519999999997</v>
      </c>
      <c r="D499" s="722">
        <v>1.77E-2</v>
      </c>
      <c r="E499" s="723">
        <v>0.105</v>
      </c>
      <c r="F499" s="724">
        <f t="shared" si="21"/>
        <v>0.12362925</v>
      </c>
      <c r="G499" s="724">
        <f t="shared" si="22"/>
        <v>1.1116677016729509E-3</v>
      </c>
      <c r="H499" s="725">
        <f t="shared" si="23"/>
        <v>1.3743464420705066E-4</v>
      </c>
    </row>
    <row r="500" spans="1:8">
      <c r="A500" s="3" t="s">
        <v>2768</v>
      </c>
      <c r="B500" s="3" t="s">
        <v>2156</v>
      </c>
      <c r="C500" s="721">
        <v>26661.38</v>
      </c>
      <c r="D500" s="722">
        <v>7.9000000000000008E-3</v>
      </c>
      <c r="E500" s="723">
        <v>5.5E-2</v>
      </c>
      <c r="F500" s="724">
        <f t="shared" si="21"/>
        <v>6.311725E-2</v>
      </c>
      <c r="G500" s="724">
        <f t="shared" si="22"/>
        <v>8.1038398896330418E-4</v>
      </c>
      <c r="H500" s="725">
        <f t="shared" si="23"/>
        <v>5.1149208827394112E-5</v>
      </c>
    </row>
    <row r="501" spans="1:8">
      <c r="A501" s="3" t="s">
        <v>2982</v>
      </c>
      <c r="B501" s="3" t="s">
        <v>2983</v>
      </c>
      <c r="C501" s="721">
        <v>12997.53</v>
      </c>
      <c r="D501" s="722">
        <v>0</v>
      </c>
      <c r="E501" s="723">
        <v>0.115</v>
      </c>
      <c r="F501" s="724">
        <f t="shared" si="21"/>
        <v>0.115</v>
      </c>
      <c r="G501" s="724">
        <f t="shared" si="22"/>
        <v>3.9506545452899344E-4</v>
      </c>
      <c r="H501" s="725">
        <f t="shared" si="23"/>
        <v>4.5432527270834248E-5</v>
      </c>
    </row>
    <row r="502" spans="1:8">
      <c r="A502" s="3" t="s">
        <v>2769</v>
      </c>
      <c r="B502" s="3" t="s">
        <v>2158</v>
      </c>
      <c r="C502" s="721">
        <v>7117</v>
      </c>
      <c r="D502" s="722">
        <v>3.5099999999999999E-2</v>
      </c>
      <c r="E502" s="723">
        <v>6.5000000000000002E-2</v>
      </c>
      <c r="F502" s="724">
        <f t="shared" si="21"/>
        <v>0.10124074999999999</v>
      </c>
      <c r="G502" s="724">
        <f t="shared" si="22"/>
        <v>2.1632424313564548E-4</v>
      </c>
      <c r="H502" s="725">
        <f t="shared" si="23"/>
        <v>2.19008286182351E-5</v>
      </c>
    </row>
    <row r="503" spans="1:8">
      <c r="A503" s="3" t="s">
        <v>2770</v>
      </c>
      <c r="B503" s="3" t="s">
        <v>2160</v>
      </c>
      <c r="C503" s="721">
        <v>67596.78</v>
      </c>
      <c r="D503" s="722">
        <v>1.04E-2</v>
      </c>
      <c r="E503" s="723">
        <v>0.11</v>
      </c>
      <c r="F503" s="724">
        <f t="shared" si="21"/>
        <v>0.120972</v>
      </c>
      <c r="G503" s="724">
        <f t="shared" si="22"/>
        <v>2.0546328891255777E-3</v>
      </c>
      <c r="H503" s="725">
        <f t="shared" si="23"/>
        <v>2.4855304986329935E-4</v>
      </c>
    </row>
    <row r="504" spans="1:8">
      <c r="A504" s="122"/>
      <c r="B504" s="122"/>
      <c r="C504" s="726">
        <f>SUMIF(F4:F503, "&lt;&gt;n/a", C4:C503)</f>
        <v>32899687.510000005</v>
      </c>
      <c r="D504" s="727"/>
      <c r="E504" s="727"/>
      <c r="F504" s="727"/>
      <c r="G504" s="727"/>
      <c r="H504" s="728">
        <f>SUM(H4:H503)</f>
        <v>0.15671050750081153</v>
      </c>
    </row>
    <row r="505" spans="1:8">
      <c r="A505" s="122"/>
      <c r="B505" s="122"/>
    </row>
    <row r="506" spans="1:8">
      <c r="A506" s="122"/>
      <c r="B506" s="122"/>
    </row>
    <row r="507" spans="1:8">
      <c r="A507" s="122"/>
      <c r="B507" s="122"/>
    </row>
  </sheetData>
  <conditionalFormatting sqref="A4:A498">
    <cfRule type="duplicateValues" dxfId="0" priority="1"/>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65"/>
  <sheetViews>
    <sheetView topLeftCell="E1" zoomScale="59" zoomScaleNormal="85" workbookViewId="0">
      <selection activeCell="I41" sqref="I41:L45"/>
    </sheetView>
  </sheetViews>
  <sheetFormatPr defaultColWidth="9" defaultRowHeight="15"/>
  <cols>
    <col min="1" max="1" width="18.28515625" style="562" customWidth="1"/>
    <col min="2" max="2" width="33.28515625" style="562" customWidth="1"/>
    <col min="3" max="3" width="12.28515625" style="562" customWidth="1"/>
    <col min="4" max="4" width="21.28515625" style="562" customWidth="1"/>
    <col min="5" max="5" width="20.28515625" style="562" customWidth="1"/>
    <col min="6" max="6" width="33" style="562" bestFit="1" customWidth="1"/>
    <col min="7" max="7" width="14" style="562" customWidth="1"/>
    <col min="8" max="8" width="9.85546875" style="562" customWidth="1"/>
    <col min="9" max="9" width="19.5703125" style="562" customWidth="1"/>
    <col min="10" max="10" width="18.28515625" style="562" customWidth="1"/>
    <col min="11" max="11" width="10" style="562" customWidth="1"/>
    <col min="12" max="12" width="16.28515625" style="562" customWidth="1"/>
    <col min="13" max="13" width="9.28515625" style="562" customWidth="1"/>
    <col min="14" max="14" width="17.5703125" style="562" customWidth="1"/>
    <col min="15" max="15" width="12.28515625" style="562" customWidth="1"/>
    <col min="16" max="16384" width="9" style="562"/>
  </cols>
  <sheetData>
    <row r="1" spans="1:15" s="551" customFormat="1" ht="14.25">
      <c r="A1" s="548" t="s">
        <v>1319</v>
      </c>
      <c r="B1" s="549">
        <f>'MRP WP2'!B1</f>
        <v>44925</v>
      </c>
      <c r="C1" s="550"/>
      <c r="D1" s="550"/>
      <c r="E1" s="550"/>
      <c r="F1" s="550"/>
      <c r="G1" s="550"/>
      <c r="H1" s="550"/>
    </row>
    <row r="2" spans="1:15" s="551" customFormat="1" ht="14.25">
      <c r="A2" s="550"/>
      <c r="B2" s="550" t="s">
        <v>1318</v>
      </c>
      <c r="C2" s="550" t="s">
        <v>173</v>
      </c>
      <c r="D2" s="550" t="s">
        <v>1317</v>
      </c>
      <c r="E2" s="550" t="s">
        <v>1316</v>
      </c>
      <c r="F2" s="550" t="s">
        <v>1315</v>
      </c>
      <c r="G2" s="550" t="s">
        <v>1314</v>
      </c>
      <c r="H2" s="550" t="s">
        <v>1302</v>
      </c>
      <c r="J2" s="552" t="s">
        <v>2281</v>
      </c>
      <c r="K2" s="553" t="s">
        <v>2282</v>
      </c>
      <c r="L2" s="553" t="s">
        <v>2283</v>
      </c>
      <c r="M2" s="554" t="s">
        <v>2284</v>
      </c>
      <c r="N2" s="554" t="s">
        <v>2280</v>
      </c>
      <c r="O2" s="555" t="s">
        <v>2285</v>
      </c>
    </row>
    <row r="3" spans="1:15" s="551" customFormat="1" ht="14.25">
      <c r="A3" s="550" t="s">
        <v>1508</v>
      </c>
      <c r="B3" s="550" t="s">
        <v>2348</v>
      </c>
      <c r="C3" s="550" t="s">
        <v>205</v>
      </c>
      <c r="D3" s="550">
        <f>VLOOKUP($C3,'MRP WP2'!$C$3:$H$502,2,FALSE)</f>
        <v>22974314196.599998</v>
      </c>
      <c r="E3" s="550">
        <f>VLOOKUP($C3,'MRP WP2'!$C$3:$H$502,3,FALSE)</f>
        <v>2.6461988304093569</v>
      </c>
      <c r="F3" s="550">
        <f>VLOOKUP($C3,'MRP WP2'!$C$3:$H$502,4,FALSE)</f>
        <v>7.3550000000000004</v>
      </c>
      <c r="G3" s="550">
        <f>VLOOKUP($C3,'MRP WP2'!$C$3:$H$502,5,FALSE)</f>
        <v>258.37059999999997</v>
      </c>
      <c r="H3" s="550">
        <f>VLOOKUP($C3,'MRP WP2'!$C$3:$H$502,6,FALSE)</f>
        <v>88.92</v>
      </c>
      <c r="J3" s="552">
        <f>D3/1000000</f>
        <v>22974.3141966</v>
      </c>
      <c r="K3" s="553">
        <f>IFERROR(E3/100,"N/A")</f>
        <v>2.6461988304093569E-2</v>
      </c>
      <c r="L3" s="553">
        <f>IFERROR(F3/100,"N/A")</f>
        <v>7.3550000000000004E-2</v>
      </c>
      <c r="M3" s="554">
        <f>IFERROR(K3*(1+0.5*L3)+L3,"N/A")</f>
        <v>0.10098512792397661</v>
      </c>
      <c r="N3" s="556">
        <f t="shared" ref="N3:N32" si="0">IF(L3="N/A","N/A",J3/$J$33)</f>
        <v>2.7522299887774583E-2</v>
      </c>
      <c r="O3" s="555">
        <f>IF(AND(ISNUMBER(J3),ISNUMBER(M3)),M3*N3,"N/A")</f>
        <v>2.7793429749289633E-3</v>
      </c>
    </row>
    <row r="4" spans="1:15" s="551" customFormat="1" ht="14.25">
      <c r="A4" s="550" t="s">
        <v>1509</v>
      </c>
      <c r="B4" s="550" t="s">
        <v>2349</v>
      </c>
      <c r="C4" s="550" t="s">
        <v>198</v>
      </c>
      <c r="D4" s="550">
        <f>VLOOKUP($C4,'MRP WP2'!$C$3:$H$502,2,FALSE)</f>
        <v>48791356226.100006</v>
      </c>
      <c r="E4" s="550">
        <f>VLOOKUP($C4,'MRP WP2'!$C$3:$H$502,3,FALSE)</f>
        <v>3.3301737756714056</v>
      </c>
      <c r="F4" s="550">
        <f>VLOOKUP($C4,'MRP WP2'!$C$3:$H$502,4,FALSE)</f>
        <v>6.13</v>
      </c>
      <c r="G4" s="550">
        <f>VLOOKUP($C4,'MRP WP2'!$C$3:$H$502,5,FALSE)</f>
        <v>513.86369999999999</v>
      </c>
      <c r="H4" s="550">
        <f>VLOOKUP($C4,'MRP WP2'!$C$3:$H$502,6,FALSE)</f>
        <v>94.95</v>
      </c>
      <c r="J4" s="552">
        <f t="shared" ref="J4:J32" si="1">D4/1000000</f>
        <v>48791.356226100004</v>
      </c>
      <c r="K4" s="553">
        <f t="shared" ref="K4:K32" si="2">IFERROR(E4/100,"N/A")</f>
        <v>3.3301737756714057E-2</v>
      </c>
      <c r="L4" s="553">
        <f t="shared" ref="L4:L32" si="3">IFERROR(F4/100,"N/A")</f>
        <v>6.13E-2</v>
      </c>
      <c r="M4" s="554">
        <f t="shared" ref="M4:M32" si="4">IFERROR(K4*(1+0.5*L4)+L4,"N/A")</f>
        <v>9.5622436018957341E-2</v>
      </c>
      <c r="N4" s="556">
        <f t="shared" si="0"/>
        <v>5.8450072828928758E-2</v>
      </c>
      <c r="O4" s="555">
        <f t="shared" ref="O4:O32" si="5">IF(AND(ISNUMBER(J4),ISNUMBER(M4)),M4*N4,"N/A")</f>
        <v>5.5891383493876373E-3</v>
      </c>
    </row>
    <row r="5" spans="1:15" s="551" customFormat="1" ht="14.25">
      <c r="A5" s="550" t="s">
        <v>1510</v>
      </c>
      <c r="B5" s="550" t="s">
        <v>2990</v>
      </c>
      <c r="C5" s="550" t="s">
        <v>1448</v>
      </c>
      <c r="D5" s="550">
        <f>VLOOKUP($C5,'MRP WP2'!$C$3:$H$502,2,FALSE)</f>
        <v>19210235615.280003</v>
      </c>
      <c r="E5" s="550">
        <f>VLOOKUP($C5,'MRP WP2'!$C$3:$H$502,3,FALSE)</f>
        <v>2.2009735744089012</v>
      </c>
      <c r="F5" s="550" t="str">
        <f>VLOOKUP($C5,'MRP WP2'!$C$3:$H$502,4,FALSE)</f>
        <v>#N/A N/A</v>
      </c>
      <c r="G5" s="550">
        <f>VLOOKUP($C5,'MRP WP2'!$C$3:$H$502,5,FALSE)</f>
        <v>667.94979999999998</v>
      </c>
      <c r="H5" s="550">
        <f>VLOOKUP($C5,'MRP WP2'!$C$3:$H$502,6,FALSE)</f>
        <v>28.76</v>
      </c>
      <c r="J5" s="552">
        <f t="shared" si="1"/>
        <v>19210.235615280002</v>
      </c>
      <c r="K5" s="553">
        <f t="shared" si="2"/>
        <v>2.2009735744089012E-2</v>
      </c>
      <c r="L5" s="553" t="str">
        <f t="shared" si="3"/>
        <v>N/A</v>
      </c>
      <c r="M5" s="554" t="str">
        <f t="shared" si="4"/>
        <v>N/A</v>
      </c>
      <c r="N5" s="556" t="str">
        <f t="shared" si="0"/>
        <v>N/A</v>
      </c>
      <c r="O5" s="555" t="str">
        <f t="shared" si="5"/>
        <v>N/A</v>
      </c>
    </row>
    <row r="6" spans="1:15" s="551" customFormat="1" ht="14.25">
      <c r="A6" s="550" t="s">
        <v>2375</v>
      </c>
      <c r="B6" s="550" t="s">
        <v>2376</v>
      </c>
      <c r="C6" s="550" t="s">
        <v>2333</v>
      </c>
      <c r="D6" s="550">
        <f>VLOOKUP($C6,'MRP WP2'!$C$3:$H$502,2,FALSE)</f>
        <v>15803660206.179998</v>
      </c>
      <c r="E6" s="550">
        <f>VLOOKUP($C6,'MRP WP2'!$C$3:$H$502,3,FALSE)</f>
        <v>2.6081913090033018</v>
      </c>
      <c r="F6" s="550" t="str">
        <f>VLOOKUP($C6,'MRP WP2'!$C$3:$H$502,4,FALSE)</f>
        <v>#N/A N/A</v>
      </c>
      <c r="G6" s="550">
        <f>VLOOKUP($C6,'MRP WP2'!$C$3:$H$502,5,FALSE)</f>
        <v>141.01599999999999</v>
      </c>
      <c r="H6" s="550">
        <f>VLOOKUP($C6,'MRP WP2'!$C$3:$H$502,6,FALSE)</f>
        <v>112.07</v>
      </c>
      <c r="J6" s="552">
        <f t="shared" si="1"/>
        <v>15803.660206179999</v>
      </c>
      <c r="K6" s="553">
        <f t="shared" si="2"/>
        <v>2.6081913090033017E-2</v>
      </c>
      <c r="L6" s="553" t="str">
        <f t="shared" si="3"/>
        <v>N/A</v>
      </c>
      <c r="M6" s="554" t="str">
        <f t="shared" si="4"/>
        <v>N/A</v>
      </c>
      <c r="N6" s="556" t="str">
        <f t="shared" si="0"/>
        <v>N/A</v>
      </c>
      <c r="O6" s="555" t="str">
        <f t="shared" si="5"/>
        <v>N/A</v>
      </c>
    </row>
    <row r="7" spans="1:15" s="551" customFormat="1" ht="14.25">
      <c r="A7" s="550" t="s">
        <v>1556</v>
      </c>
      <c r="B7" s="550" t="s">
        <v>2381</v>
      </c>
      <c r="C7" s="550" t="s">
        <v>156</v>
      </c>
      <c r="D7" s="550">
        <f>VLOOKUP($C7,'MRP WP2'!$C$3:$H$502,2,FALSE)</f>
        <v>27714204555.079998</v>
      </c>
      <c r="E7" s="550">
        <f>VLOOKUP($C7,'MRP WP2'!$C$3:$H$502,3,FALSE)</f>
        <v>1.6874425928355858</v>
      </c>
      <c r="F7" s="550">
        <f>VLOOKUP($C7,'MRP WP2'!$C$3:$H$502,4,FALSE)</f>
        <v>7</v>
      </c>
      <c r="G7" s="550">
        <f>VLOOKUP($C7,'MRP WP2'!$C$3:$H$502,5,FALSE)</f>
        <v>181.8279</v>
      </c>
      <c r="H7" s="550">
        <f>VLOOKUP($C7,'MRP WP2'!$C$3:$H$502,6,FALSE)</f>
        <v>152.41999999999999</v>
      </c>
      <c r="J7" s="552">
        <f t="shared" si="1"/>
        <v>27714.204555079999</v>
      </c>
      <c r="K7" s="553">
        <f t="shared" si="2"/>
        <v>1.6874425928355859E-2</v>
      </c>
      <c r="L7" s="553">
        <f t="shared" si="3"/>
        <v>7.0000000000000007E-2</v>
      </c>
      <c r="M7" s="554">
        <f t="shared" si="4"/>
        <v>8.746503083584832E-2</v>
      </c>
      <c r="N7" s="556">
        <f t="shared" si="0"/>
        <v>3.3200496971914913E-2</v>
      </c>
      <c r="O7" s="555">
        <f t="shared" si="5"/>
        <v>2.9038824914140266E-3</v>
      </c>
    </row>
    <row r="8" spans="1:15" s="551" customFormat="1" ht="14.25">
      <c r="A8" s="550" t="s">
        <v>4277</v>
      </c>
      <c r="B8" s="550" t="s">
        <v>4278</v>
      </c>
      <c r="C8" s="550" t="s">
        <v>4240</v>
      </c>
      <c r="D8" s="550">
        <f>VLOOKUP($C8,'MRP WP2'!$C$3:$H$502,2,FALSE)</f>
        <v>28161698008.769997</v>
      </c>
      <c r="E8" s="550">
        <f>VLOOKUP($C8,'MRP WP2'!$C$3:$H$502,3,FALSE)</f>
        <v>0.64377682403433489</v>
      </c>
      <c r="F8" s="550" t="str">
        <f>VLOOKUP($C8,'MRP WP2'!$C$3:$H$502,4,FALSE)</f>
        <v>#N/A N/A</v>
      </c>
      <c r="G8" s="550">
        <f>VLOOKUP($C8,'MRP WP2'!$C$3:$H$502,5,FALSE)</f>
        <v>326.66390000000001</v>
      </c>
      <c r="H8" s="550">
        <f>VLOOKUP($C8,'MRP WP2'!$C$3:$H$502,6,FALSE)</f>
        <v>86.21</v>
      </c>
      <c r="J8" s="552">
        <f t="shared" ref="J8" si="6">D8/1000000</f>
        <v>28161.698008769996</v>
      </c>
      <c r="K8" s="553">
        <f t="shared" ref="K8" si="7">IFERROR(E8/100,"N/A")</f>
        <v>6.4377682403433494E-3</v>
      </c>
      <c r="L8" s="553" t="str">
        <f t="shared" ref="L8" si="8">IFERROR(F8/100,"N/A")</f>
        <v>N/A</v>
      </c>
      <c r="M8" s="554" t="str">
        <f t="shared" ref="M8" si="9">IFERROR(K8*(1+0.5*L8)+L8,"N/A")</f>
        <v>N/A</v>
      </c>
      <c r="N8" s="556" t="str">
        <f t="shared" si="0"/>
        <v>N/A</v>
      </c>
      <c r="O8" s="555" t="str">
        <f t="shared" ref="O8" si="10">IF(AND(ISNUMBER(J8),ISNUMBER(M8)),M8*N8,"N/A")</f>
        <v>N/A</v>
      </c>
    </row>
    <row r="9" spans="1:15" s="551" customFormat="1" ht="14.25">
      <c r="A9" s="550" t="s">
        <v>1632</v>
      </c>
      <c r="B9" s="550" t="s">
        <v>2431</v>
      </c>
      <c r="C9" s="550" t="s">
        <v>207</v>
      </c>
      <c r="D9" s="550">
        <f>VLOOKUP($C9,'MRP WP2'!$C$3:$H$502,2,FALSE)</f>
        <v>18381633954.66</v>
      </c>
      <c r="E9" s="550">
        <f>VLOOKUP($C9,'MRP WP2'!$C$3:$H$502,3,FALSE)</f>
        <v>2.9148902573819679</v>
      </c>
      <c r="F9" s="550">
        <f>VLOOKUP($C9,'MRP WP2'!$C$3:$H$502,4,FALSE)</f>
        <v>8.09</v>
      </c>
      <c r="G9" s="550">
        <f>VLOOKUP($C9,'MRP WP2'!$C$3:$H$502,5,FALSE)</f>
        <v>290.2516</v>
      </c>
      <c r="H9" s="550">
        <f>VLOOKUP($C9,'MRP WP2'!$C$3:$H$502,6,FALSE)</f>
        <v>63.33</v>
      </c>
      <c r="J9" s="552">
        <f t="shared" si="1"/>
        <v>18381.633954659999</v>
      </c>
      <c r="K9" s="553">
        <f t="shared" si="2"/>
        <v>2.914890257381968E-2</v>
      </c>
      <c r="L9" s="553">
        <f t="shared" si="3"/>
        <v>8.09E-2</v>
      </c>
      <c r="M9" s="554">
        <f t="shared" si="4"/>
        <v>0.11122797568293069</v>
      </c>
      <c r="N9" s="556">
        <f t="shared" si="0"/>
        <v>2.2020454573670013E-2</v>
      </c>
      <c r="O9" s="555">
        <f t="shared" si="5"/>
        <v>2.4492905858472481E-3</v>
      </c>
    </row>
    <row r="10" spans="1:15" s="551" customFormat="1" ht="14.25">
      <c r="A10" s="550" t="s">
        <v>1635</v>
      </c>
      <c r="B10" s="550" t="s">
        <v>2433</v>
      </c>
      <c r="C10" s="550" t="s">
        <v>206</v>
      </c>
      <c r="D10" s="550">
        <f>VLOOKUP($C10,'MRP WP2'!$C$3:$H$502,2,FALSE)</f>
        <v>18876677855.940002</v>
      </c>
      <c r="E10" s="550">
        <f>VLOOKUP($C10,'MRP WP2'!$C$3:$H$502,3,FALSE)</f>
        <v>2.2674224741580526</v>
      </c>
      <c r="F10" s="550" t="str">
        <f>VLOOKUP($C10,'MRP WP2'!$C$3:$H$502,4,FALSE)</f>
        <v>#N/A N/A</v>
      </c>
      <c r="G10" s="550">
        <f>VLOOKUP($C10,'MRP WP2'!$C$3:$H$502,5,FALSE)</f>
        <v>629.43239999999992</v>
      </c>
      <c r="H10" s="550">
        <f>VLOOKUP($C10,'MRP WP2'!$C$3:$H$502,6,FALSE)</f>
        <v>29.99</v>
      </c>
      <c r="J10" s="552">
        <f t="shared" si="1"/>
        <v>18876.677855940001</v>
      </c>
      <c r="K10" s="553">
        <f t="shared" si="2"/>
        <v>2.2674224741580526E-2</v>
      </c>
      <c r="L10" s="553" t="str">
        <f t="shared" si="3"/>
        <v>N/A</v>
      </c>
      <c r="M10" s="554" t="str">
        <f t="shared" si="4"/>
        <v>N/A</v>
      </c>
      <c r="N10" s="556" t="str">
        <f t="shared" si="0"/>
        <v>N/A</v>
      </c>
      <c r="O10" s="555" t="str">
        <f t="shared" si="5"/>
        <v>N/A</v>
      </c>
    </row>
    <row r="11" spans="1:15" s="551" customFormat="1" ht="14.25">
      <c r="A11" s="550" t="s">
        <v>1660</v>
      </c>
      <c r="B11" s="550" t="s">
        <v>2447</v>
      </c>
      <c r="C11" s="550" t="s">
        <v>209</v>
      </c>
      <c r="D11" s="550">
        <f>VLOOKUP($C11,'MRP WP2'!$C$3:$H$502,2,FALSE)</f>
        <v>51096435570.599998</v>
      </c>
      <c r="E11" s="550">
        <f>VLOOKUP($C11,'MRP WP2'!$C$3:$H$502,3,FALSE)</f>
        <v>4.3770384866275283</v>
      </c>
      <c r="F11" s="550">
        <f>VLOOKUP($C11,'MRP WP2'!$C$3:$H$502,4,FALSE)</f>
        <v>6.4630000000000001</v>
      </c>
      <c r="G11" s="550">
        <f>VLOOKUP($C11,'MRP WP2'!$C$3:$H$502,5,FALSE)</f>
        <v>833.27519999999993</v>
      </c>
      <c r="H11" s="550">
        <f>VLOOKUP($C11,'MRP WP2'!$C$3:$H$502,6,FALSE)</f>
        <v>61.32</v>
      </c>
      <c r="J11" s="552">
        <f t="shared" si="1"/>
        <v>51096.435570599999</v>
      </c>
      <c r="K11" s="553">
        <f t="shared" si="2"/>
        <v>4.3770384866275283E-2</v>
      </c>
      <c r="L11" s="553">
        <f t="shared" si="3"/>
        <v>6.4630000000000007E-2</v>
      </c>
      <c r="M11" s="554">
        <f t="shared" si="4"/>
        <v>0.10981482485322898</v>
      </c>
      <c r="N11" s="556">
        <f t="shared" si="0"/>
        <v>6.1211464722569366E-2</v>
      </c>
      <c r="O11" s="555">
        <f t="shared" si="5"/>
        <v>6.7219262775185589E-3</v>
      </c>
    </row>
    <row r="12" spans="1:15" s="551" customFormat="1" ht="14.25">
      <c r="A12" s="550" t="s">
        <v>1685</v>
      </c>
      <c r="B12" s="550" t="s">
        <v>2464</v>
      </c>
      <c r="C12" s="550" t="s">
        <v>210</v>
      </c>
      <c r="D12" s="550">
        <f>VLOOKUP($C12,'MRP WP2'!$C$3:$H$502,2,FALSE)</f>
        <v>22770481981.100002</v>
      </c>
      <c r="E12" s="550">
        <f>VLOOKUP($C12,'MRP WP2'!$C$3:$H$502,3,FALSE)</f>
        <v>3.0273121756147368</v>
      </c>
      <c r="F12" s="550">
        <f>VLOOKUP($C12,'MRP WP2'!$C$3:$H$502,4,FALSE)</f>
        <v>6.133</v>
      </c>
      <c r="G12" s="550">
        <f>VLOOKUP($C12,'MRP WP2'!$C$3:$H$502,5,FALSE)</f>
        <v>193.74189999999999</v>
      </c>
      <c r="H12" s="550">
        <f>VLOOKUP($C12,'MRP WP2'!$C$3:$H$502,6,FALSE)</f>
        <v>117.53</v>
      </c>
      <c r="J12" s="552">
        <f t="shared" si="1"/>
        <v>22770.481981100002</v>
      </c>
      <c r="K12" s="553">
        <f t="shared" si="2"/>
        <v>3.0273121756147367E-2</v>
      </c>
      <c r="L12" s="553">
        <f t="shared" si="3"/>
        <v>6.1330000000000003E-2</v>
      </c>
      <c r="M12" s="554">
        <f t="shared" si="4"/>
        <v>9.2531447034799624E-2</v>
      </c>
      <c r="N12" s="556">
        <f t="shared" si="0"/>
        <v>2.7278117131598528E-2</v>
      </c>
      <c r="O12" s="555">
        <f t="shared" si="5"/>
        <v>2.5240836505715696E-3</v>
      </c>
    </row>
    <row r="13" spans="1:15" s="551" customFormat="1" ht="14.25">
      <c r="A13" s="550" t="s">
        <v>1686</v>
      </c>
      <c r="B13" s="550" t="s">
        <v>2465</v>
      </c>
      <c r="C13" s="550" t="s">
        <v>211</v>
      </c>
      <c r="D13" s="550">
        <f>VLOOKUP($C13,'MRP WP2'!$C$3:$H$502,2,FALSE)</f>
        <v>79302300000</v>
      </c>
      <c r="E13" s="550">
        <f>VLOOKUP($C13,'MRP WP2'!$C$3:$H$502,3,FALSE)</f>
        <v>3.863481891445772</v>
      </c>
      <c r="F13" s="550">
        <f>VLOOKUP($C13,'MRP WP2'!$C$3:$H$502,4,FALSE)</f>
        <v>4.92</v>
      </c>
      <c r="G13" s="550">
        <f>VLOOKUP($C13,'MRP WP2'!$C$3:$H$502,5,FALSE)</f>
        <v>770</v>
      </c>
      <c r="H13" s="550">
        <f>VLOOKUP($C13,'MRP WP2'!$C$3:$H$502,6,FALSE)</f>
        <v>102.99</v>
      </c>
      <c r="J13" s="552">
        <f t="shared" si="1"/>
        <v>79302.3</v>
      </c>
      <c r="K13" s="553">
        <f t="shared" si="2"/>
        <v>3.8634818914457719E-2</v>
      </c>
      <c r="L13" s="553">
        <f t="shared" si="3"/>
        <v>4.9200000000000001E-2</v>
      </c>
      <c r="M13" s="554">
        <f t="shared" si="4"/>
        <v>8.8785235459753378E-2</v>
      </c>
      <c r="N13" s="556">
        <f t="shared" si="0"/>
        <v>9.5000950353210961E-2</v>
      </c>
      <c r="O13" s="555">
        <f t="shared" si="5"/>
        <v>8.4346817460101767E-3</v>
      </c>
    </row>
    <row r="14" spans="1:15" s="551" customFormat="1" ht="14.25">
      <c r="A14" s="550" t="s">
        <v>1697</v>
      </c>
      <c r="B14" s="550" t="s">
        <v>2472</v>
      </c>
      <c r="C14" s="550" t="s">
        <v>208</v>
      </c>
      <c r="D14" s="550">
        <f>VLOOKUP($C14,'MRP WP2'!$C$3:$H$502,2,FALSE)</f>
        <v>33821978042.880001</v>
      </c>
      <c r="E14" s="550">
        <f>VLOOKUP($C14,'MRP WP2'!$C$3:$H$502,3,FALSE)</f>
        <v>3.3343825411814079</v>
      </c>
      <c r="F14" s="550">
        <f>VLOOKUP($C14,'MRP WP2'!$C$3:$H$502,4,FALSE)</f>
        <v>3.9</v>
      </c>
      <c r="G14" s="550">
        <f>VLOOKUP($C14,'MRP WP2'!$C$3:$H$502,5,FALSE)</f>
        <v>354.86279999999999</v>
      </c>
      <c r="H14" s="550">
        <f>VLOOKUP($C14,'MRP WP2'!$C$3:$H$502,6,FALSE)</f>
        <v>95.31</v>
      </c>
      <c r="J14" s="552">
        <f t="shared" si="1"/>
        <v>33821.97804288</v>
      </c>
      <c r="K14" s="553">
        <f t="shared" si="2"/>
        <v>3.3343825411814076E-2</v>
      </c>
      <c r="L14" s="553">
        <f t="shared" si="3"/>
        <v>3.9E-2</v>
      </c>
      <c r="M14" s="554">
        <f t="shared" si="4"/>
        <v>7.2994030007344446E-2</v>
      </c>
      <c r="N14" s="556">
        <f t="shared" si="0"/>
        <v>4.0517362761219207E-2</v>
      </c>
      <c r="O14" s="555">
        <f t="shared" si="5"/>
        <v>2.9575255932108952E-3</v>
      </c>
    </row>
    <row r="15" spans="1:15" s="551" customFormat="1" ht="14.25">
      <c r="A15" s="550" t="s">
        <v>1700</v>
      </c>
      <c r="B15" s="550" t="s">
        <v>2474</v>
      </c>
      <c r="C15" s="550" t="s">
        <v>199</v>
      </c>
      <c r="D15" s="550">
        <f>VLOOKUP($C15,'MRP WP2'!$C$3:$H$502,2,FALSE)</f>
        <v>24294866759.880001</v>
      </c>
      <c r="E15" s="550">
        <f>VLOOKUP($C15,'MRP WP2'!$C$3:$H$502,3,FALSE)</f>
        <v>4.4199937126689726</v>
      </c>
      <c r="F15" s="550">
        <f>VLOOKUP($C15,'MRP WP2'!$C$3:$H$502,4,FALSE)</f>
        <v>3.2850000000000001</v>
      </c>
      <c r="G15" s="550">
        <f>VLOOKUP($C15,'MRP WP2'!$C$3:$H$502,5,FALSE)</f>
        <v>381.87469999999996</v>
      </c>
      <c r="H15" s="550">
        <f>VLOOKUP($C15,'MRP WP2'!$C$3:$H$502,6,FALSE)</f>
        <v>63.62</v>
      </c>
      <c r="J15" s="552">
        <f t="shared" si="1"/>
        <v>24294.866759880002</v>
      </c>
      <c r="K15" s="553">
        <f t="shared" si="2"/>
        <v>4.4199937126689723E-2</v>
      </c>
      <c r="L15" s="553">
        <f t="shared" si="3"/>
        <v>3.2850000000000004E-2</v>
      </c>
      <c r="M15" s="554">
        <f t="shared" si="4"/>
        <v>7.7775921093995601E-2</v>
      </c>
      <c r="N15" s="556">
        <f t="shared" si="0"/>
        <v>2.9104268487713914E-2</v>
      </c>
      <c r="O15" s="555">
        <f t="shared" si="5"/>
        <v>2.2636112893988998E-3</v>
      </c>
    </row>
    <row r="16" spans="1:15" s="551" customFormat="1" ht="14.25">
      <c r="A16" s="550" t="s">
        <v>1713</v>
      </c>
      <c r="B16" s="550" t="s">
        <v>2481</v>
      </c>
      <c r="C16" s="550" t="s">
        <v>1359</v>
      </c>
      <c r="D16" s="550">
        <f>VLOOKUP($C16,'MRP WP2'!$C$3:$H$502,2,FALSE)</f>
        <v>29202093757.440002</v>
      </c>
      <c r="E16" s="550">
        <f>VLOOKUP($C16,'MRP WP2'!$C$3:$H$502,3,FALSE)</f>
        <v>3.0450858778625949</v>
      </c>
      <c r="F16" s="550">
        <f>VLOOKUP($C16,'MRP WP2'!$C$3:$H$502,4,FALSE)</f>
        <v>6.0600000000000005</v>
      </c>
      <c r="G16" s="550">
        <f>VLOOKUP($C16,'MRP WP2'!$C$3:$H$502,5,FALSE)</f>
        <v>348.30739999999997</v>
      </c>
      <c r="H16" s="550">
        <f>VLOOKUP($C16,'MRP WP2'!$C$3:$H$502,6,FALSE)</f>
        <v>83.84</v>
      </c>
      <c r="J16" s="552">
        <f t="shared" si="1"/>
        <v>29202.093757440001</v>
      </c>
      <c r="K16" s="553">
        <f t="shared" si="2"/>
        <v>3.0450858778625949E-2</v>
      </c>
      <c r="L16" s="553">
        <f t="shared" si="3"/>
        <v>6.0600000000000008E-2</v>
      </c>
      <c r="M16" s="554">
        <f t="shared" si="4"/>
        <v>9.197351979961832E-2</v>
      </c>
      <c r="N16" s="556">
        <f t="shared" si="0"/>
        <v>3.4982928102468266E-2</v>
      </c>
      <c r="O16" s="555">
        <f t="shared" si="5"/>
        <v>3.2175030304809893E-3</v>
      </c>
    </row>
    <row r="17" spans="1:15" s="551" customFormat="1" ht="14.25">
      <c r="A17" s="550" t="s">
        <v>1718</v>
      </c>
      <c r="B17" s="550" t="s">
        <v>2484</v>
      </c>
      <c r="C17" s="550" t="s">
        <v>212</v>
      </c>
      <c r="D17" s="550">
        <f>VLOOKUP($C17,'MRP WP2'!$C$3:$H$502,2,FALSE)</f>
        <v>22891911750</v>
      </c>
      <c r="E17" s="550">
        <f>VLOOKUP($C17,'MRP WP2'!$C$3:$H$502,3,FALSE)</f>
        <v>3.6364444444444448</v>
      </c>
      <c r="F17" s="550">
        <f>VLOOKUP($C17,'MRP WP2'!$C$3:$H$502,4,FALSE)</f>
        <v>6</v>
      </c>
      <c r="G17" s="550">
        <f>VLOOKUP($C17,'MRP WP2'!$C$3:$H$502,5,FALSE)</f>
        <v>203.4837</v>
      </c>
      <c r="H17" s="550">
        <f>VLOOKUP($C17,'MRP WP2'!$C$3:$H$502,6,FALSE)</f>
        <v>112.5</v>
      </c>
      <c r="J17" s="552">
        <f t="shared" si="1"/>
        <v>22891.911749999999</v>
      </c>
      <c r="K17" s="553">
        <f t="shared" si="2"/>
        <v>3.6364444444444449E-2</v>
      </c>
      <c r="L17" s="553">
        <f t="shared" si="3"/>
        <v>0.06</v>
      </c>
      <c r="M17" s="554">
        <f t="shared" si="4"/>
        <v>9.7455377777777782E-2</v>
      </c>
      <c r="N17" s="556">
        <f t="shared" si="0"/>
        <v>2.7423585087088729E-2</v>
      </c>
      <c r="O17" s="555">
        <f t="shared" si="5"/>
        <v>2.6725758446832651E-3</v>
      </c>
    </row>
    <row r="18" spans="1:15" s="551" customFormat="1" ht="14.25">
      <c r="A18" s="550" t="s">
        <v>2485</v>
      </c>
      <c r="B18" s="550" t="s">
        <v>2486</v>
      </c>
      <c r="C18" s="550" t="s">
        <v>2334</v>
      </c>
      <c r="D18" s="550">
        <f>VLOOKUP($C18,'MRP WP2'!$C$3:$H$502,2,FALSE)</f>
        <v>14441067908.679998</v>
      </c>
      <c r="E18" s="550">
        <f>VLOOKUP($C18,'MRP WP2'!$C$3:$H$502,3,FALSE)</f>
        <v>3.6945812807881779</v>
      </c>
      <c r="F18" s="550">
        <f>VLOOKUP($C18,'MRP WP2'!$C$3:$H$502,4,FALSE)</f>
        <v>5.12</v>
      </c>
      <c r="G18" s="550">
        <f>VLOOKUP($C18,'MRP WP2'!$C$3:$H$502,5,FALSE)</f>
        <v>229.47829999999999</v>
      </c>
      <c r="H18" s="550">
        <f>VLOOKUP($C18,'MRP WP2'!$C$3:$H$502,6,FALSE)</f>
        <v>62.93</v>
      </c>
      <c r="J18" s="552">
        <f t="shared" si="1"/>
        <v>14441.067908679999</v>
      </c>
      <c r="K18" s="553">
        <f t="shared" si="2"/>
        <v>3.6945812807881777E-2</v>
      </c>
      <c r="L18" s="553">
        <f t="shared" si="3"/>
        <v>5.1200000000000002E-2</v>
      </c>
      <c r="M18" s="554">
        <f t="shared" si="4"/>
        <v>8.9091625615763559E-2</v>
      </c>
      <c r="N18" s="556">
        <f t="shared" si="0"/>
        <v>1.7299815710765724E-2</v>
      </c>
      <c r="O18" s="555">
        <f t="shared" si="5"/>
        <v>1.5412687045252445E-3</v>
      </c>
    </row>
    <row r="19" spans="1:15" s="551" customFormat="1" ht="14.25">
      <c r="A19" s="550" t="s">
        <v>2901</v>
      </c>
      <c r="B19" s="550" t="s">
        <v>2488</v>
      </c>
      <c r="C19" s="550" t="s">
        <v>213</v>
      </c>
      <c r="D19" s="550">
        <f>VLOOKUP($C19,'MRP WP2'!$C$3:$H$502,2,FALSE)</f>
        <v>42873656406.899994</v>
      </c>
      <c r="E19" s="550">
        <f>VLOOKUP($C19,'MRP WP2'!$C$3:$H$502,3,FALSE)</f>
        <v>3.2338653712699519</v>
      </c>
      <c r="F19" s="550" t="str">
        <f>VLOOKUP($C19,'MRP WP2'!$C$3:$H$502,4,FALSE)</f>
        <v>#N/A N/A</v>
      </c>
      <c r="G19" s="550">
        <f>VLOOKUP($C19,'MRP WP2'!$C$3:$H$502,5,FALSE)</f>
        <v>991.75699999999995</v>
      </c>
      <c r="H19" s="550">
        <f>VLOOKUP($C19,'MRP WP2'!$C$3:$H$502,6,FALSE)</f>
        <v>43.23</v>
      </c>
      <c r="J19" s="552">
        <f t="shared" si="1"/>
        <v>42873.656406899994</v>
      </c>
      <c r="K19" s="553">
        <f t="shared" si="2"/>
        <v>3.2338653712699519E-2</v>
      </c>
      <c r="L19" s="553" t="str">
        <f t="shared" si="3"/>
        <v>N/A</v>
      </c>
      <c r="M19" s="554" t="str">
        <f t="shared" si="4"/>
        <v>N/A</v>
      </c>
      <c r="N19" s="556" t="str">
        <f t="shared" si="0"/>
        <v>N/A</v>
      </c>
      <c r="O19" s="555" t="str">
        <f t="shared" si="5"/>
        <v>N/A</v>
      </c>
    </row>
    <row r="20" spans="1:15" s="551" customFormat="1" ht="14.25">
      <c r="A20" s="550" t="s">
        <v>1735</v>
      </c>
      <c r="B20" s="550" t="s">
        <v>2498</v>
      </c>
      <c r="C20" s="550" t="s">
        <v>200</v>
      </c>
      <c r="D20" s="550">
        <f>VLOOKUP($C20,'MRP WP2'!$C$3:$H$502,2,FALSE)</f>
        <v>23979328998.299999</v>
      </c>
      <c r="E20" s="550">
        <f>VLOOKUP($C20,'MRP WP2'!$C$3:$H$502,3,FALSE)</f>
        <v>3.7315212207916071</v>
      </c>
      <c r="F20" s="550">
        <f>VLOOKUP($C20,'MRP WP2'!$C$3:$H$502,4,FALSE)</f>
        <v>6</v>
      </c>
      <c r="G20" s="550">
        <f>VLOOKUP($C20,'MRP WP2'!$C$3:$H$502,5,FALSE)</f>
        <v>571.75319999999999</v>
      </c>
      <c r="H20" s="550">
        <f>VLOOKUP($C20,'MRP WP2'!$C$3:$H$502,6,FALSE)</f>
        <v>41.94</v>
      </c>
      <c r="J20" s="552">
        <f t="shared" si="1"/>
        <v>23979.3289983</v>
      </c>
      <c r="K20" s="553">
        <f t="shared" si="2"/>
        <v>3.7315212207916074E-2</v>
      </c>
      <c r="L20" s="553">
        <f t="shared" si="3"/>
        <v>0.06</v>
      </c>
      <c r="M20" s="554">
        <f t="shared" si="4"/>
        <v>9.8434668574153561E-2</v>
      </c>
      <c r="N20" s="556">
        <f t="shared" si="0"/>
        <v>2.872626700197611E-2</v>
      </c>
      <c r="O20" s="555">
        <f t="shared" si="5"/>
        <v>2.8276605717121621E-3</v>
      </c>
    </row>
    <row r="21" spans="1:15" s="551" customFormat="1" ht="14.25">
      <c r="A21" s="550" t="s">
        <v>2587</v>
      </c>
      <c r="B21" s="550" t="s">
        <v>2588</v>
      </c>
      <c r="C21" s="550" t="s">
        <v>1355</v>
      </c>
      <c r="D21" s="550">
        <f>VLOOKUP($C21,'MRP WP2'!$C$3:$H$502,2,FALSE)</f>
        <v>13858915234.300001</v>
      </c>
      <c r="E21" s="550">
        <f>VLOOKUP($C21,'MRP WP2'!$C$3:$H$502,3,FALSE)</f>
        <v>3.0972649882267707</v>
      </c>
      <c r="F21" s="550">
        <f>VLOOKUP($C21,'MRP WP2'!$C$3:$H$502,4,FALSE)</f>
        <v>6.3</v>
      </c>
      <c r="G21" s="550">
        <f>VLOOKUP($C21,'MRP WP2'!$C$3:$H$502,5,FALSE)</f>
        <v>251.02179999999998</v>
      </c>
      <c r="H21" s="550">
        <f>VLOOKUP($C21,'MRP WP2'!$C$3:$H$502,6,FALSE)</f>
        <v>55.21</v>
      </c>
      <c r="J21" s="552">
        <f t="shared" si="1"/>
        <v>13858.915234300001</v>
      </c>
      <c r="K21" s="553">
        <f t="shared" si="2"/>
        <v>3.0972649882267708E-2</v>
      </c>
      <c r="L21" s="553">
        <f t="shared" si="3"/>
        <v>6.3E-2</v>
      </c>
      <c r="M21" s="554">
        <f t="shared" si="4"/>
        <v>9.4948288353559146E-2</v>
      </c>
      <c r="N21" s="556">
        <f t="shared" si="0"/>
        <v>1.6602420334884276E-2</v>
      </c>
      <c r="O21" s="555">
        <f t="shared" si="5"/>
        <v>1.5763713933235862E-3</v>
      </c>
    </row>
    <row r="22" spans="1:15" s="551" customFormat="1" ht="14.25">
      <c r="A22" s="550" t="s">
        <v>1929</v>
      </c>
      <c r="B22" s="550" t="s">
        <v>2628</v>
      </c>
      <c r="C22" s="550" t="s">
        <v>201</v>
      </c>
      <c r="D22" s="550">
        <f>VLOOKUP($C22,'MRP WP2'!$C$3:$H$502,2,FALSE)</f>
        <v>166126881307.19998</v>
      </c>
      <c r="E22" s="550">
        <f>VLOOKUP($C22,'MRP WP2'!$C$3:$H$502,3,FALSE)</f>
        <v>2.0275119617224884</v>
      </c>
      <c r="F22" s="550">
        <f>VLOOKUP($C22,'MRP WP2'!$C$3:$H$502,4,FALSE)</f>
        <v>8</v>
      </c>
      <c r="G22" s="550">
        <f>VLOOKUP($C22,'MRP WP2'!$C$3:$H$502,5,FALSE)</f>
        <v>1987.164</v>
      </c>
      <c r="H22" s="550">
        <f>VLOOKUP($C22,'MRP WP2'!$C$3:$H$502,6,FALSE)</f>
        <v>83.6</v>
      </c>
      <c r="J22" s="552">
        <f t="shared" si="1"/>
        <v>166126.88130719998</v>
      </c>
      <c r="K22" s="553">
        <f t="shared" si="2"/>
        <v>2.0275119617224883E-2</v>
      </c>
      <c r="L22" s="553">
        <f t="shared" si="3"/>
        <v>0.08</v>
      </c>
      <c r="M22" s="554">
        <f t="shared" si="4"/>
        <v>0.10108612440191388</v>
      </c>
      <c r="N22" s="556">
        <f t="shared" si="0"/>
        <v>0.19901328969524307</v>
      </c>
      <c r="O22" s="555">
        <f t="shared" si="5"/>
        <v>2.0117482159767466E-2</v>
      </c>
    </row>
    <row r="23" spans="1:15" s="551" customFormat="1" ht="14.25">
      <c r="A23" s="550" t="s">
        <v>1934</v>
      </c>
      <c r="B23" s="550" t="s">
        <v>2630</v>
      </c>
      <c r="C23" s="550" t="s">
        <v>214</v>
      </c>
      <c r="D23" s="550">
        <f>VLOOKUP($C23,'MRP WP2'!$C$3:$H$502,2,FALSE)</f>
        <v>11136203657.640001</v>
      </c>
      <c r="E23" s="550">
        <f>VLOOKUP($C23,'MRP WP2'!$C$3:$H$502,3,FALSE)</f>
        <v>3.450036469730124</v>
      </c>
      <c r="F23" s="550">
        <f>VLOOKUP($C23,'MRP WP2'!$C$3:$H$502,4,FALSE)</f>
        <v>7.65</v>
      </c>
      <c r="G23" s="550">
        <f>VLOOKUP($C23,'MRP WP2'!$C$3:$H$502,5,FALSE)</f>
        <v>406.1343</v>
      </c>
      <c r="H23" s="550">
        <f>VLOOKUP($C23,'MRP WP2'!$C$3:$H$502,6,FALSE)</f>
        <v>27.42</v>
      </c>
      <c r="J23" s="552">
        <f t="shared" si="1"/>
        <v>11136.203657640001</v>
      </c>
      <c r="K23" s="553">
        <f t="shared" si="2"/>
        <v>3.4500364697301243E-2</v>
      </c>
      <c r="L23" s="553">
        <f t="shared" si="3"/>
        <v>7.6499999999999999E-2</v>
      </c>
      <c r="M23" s="554">
        <f t="shared" si="4"/>
        <v>0.112320003646973</v>
      </c>
      <c r="N23" s="556">
        <f t="shared" si="0"/>
        <v>1.3340721905956119E-2</v>
      </c>
      <c r="O23" s="555">
        <f t="shared" si="5"/>
        <v>1.498429933130244E-3</v>
      </c>
    </row>
    <row r="24" spans="1:15" s="551" customFormat="1" ht="14.25">
      <c r="A24" s="550" t="s">
        <v>1939</v>
      </c>
      <c r="B24" s="550" t="s">
        <v>2633</v>
      </c>
      <c r="C24" s="550" t="s">
        <v>1449</v>
      </c>
      <c r="D24" s="550">
        <f>VLOOKUP($C24,'MRP WP2'!$C$3:$H$502,2,FALSE)</f>
        <v>6790032538.7799997</v>
      </c>
      <c r="E24" s="550">
        <f>VLOOKUP($C24,'MRP WP2'!$C$3:$H$502,3,FALSE)</f>
        <v>4.3997485857950975</v>
      </c>
      <c r="F24" s="550">
        <f>VLOOKUP($C24,'MRP WP2'!$C$3:$H$502,4,FALSE)</f>
        <v>-3.45</v>
      </c>
      <c r="G24" s="550">
        <f>VLOOKUP($C24,'MRP WP2'!$C$3:$H$502,5,FALSE)</f>
        <v>213.3888</v>
      </c>
      <c r="H24" s="550">
        <f>VLOOKUP($C24,'MRP WP2'!$C$3:$H$502,6,FALSE)</f>
        <v>31.82</v>
      </c>
      <c r="J24" s="552">
        <f t="shared" si="1"/>
        <v>6790.0325387799994</v>
      </c>
      <c r="K24" s="553">
        <f t="shared" si="2"/>
        <v>4.3997485857950977E-2</v>
      </c>
      <c r="L24" s="553">
        <f t="shared" si="3"/>
        <v>-3.4500000000000003E-2</v>
      </c>
      <c r="M24" s="554">
        <f t="shared" si="4"/>
        <v>8.738529226901319E-3</v>
      </c>
      <c r="N24" s="556">
        <f t="shared" si="0"/>
        <v>8.1341845584973656E-3</v>
      </c>
      <c r="O24" s="555">
        <f t="shared" si="5"/>
        <v>7.1080809501438636E-5</v>
      </c>
    </row>
    <row r="25" spans="1:15" s="551" customFormat="1" ht="14.25">
      <c r="A25" s="550" t="s">
        <v>4324</v>
      </c>
      <c r="B25" s="550" t="s">
        <v>4396</v>
      </c>
      <c r="C25" s="550" t="s">
        <v>4326</v>
      </c>
      <c r="D25" s="550">
        <f>VLOOKUP($C25,'MRP WP2'!$C$3:$H$502,2,FALSE)</f>
        <v>32320003382.100002</v>
      </c>
      <c r="E25" s="550">
        <f>VLOOKUP($C25,'MRP WP2'!$C$3:$H$502,3,FALSE)</f>
        <v>0</v>
      </c>
      <c r="F25" s="550">
        <f>VLOOKUP($C25,'MRP WP2'!$C$3:$H$502,4,FALSE)</f>
        <v>6.2549999999999999</v>
      </c>
      <c r="G25" s="550">
        <f>VLOOKUP($C25,'MRP WP2'!$C$3:$H$502,5,FALSE)</f>
        <v>1987.6999999999998</v>
      </c>
      <c r="H25" s="550">
        <f>VLOOKUP($C25,'MRP WP2'!$C$3:$H$502,6,FALSE)</f>
        <v>16.260000000000002</v>
      </c>
      <c r="J25" s="552">
        <f t="shared" ref="J25" si="11">D25/1000000</f>
        <v>32320.003382100003</v>
      </c>
      <c r="K25" s="553">
        <f t="shared" ref="K25" si="12">IFERROR(E25/100,"N/A")</f>
        <v>0</v>
      </c>
      <c r="L25" s="553">
        <f t="shared" ref="L25" si="13">IFERROR(F25/100,"N/A")</f>
        <v>6.2549999999999994E-2</v>
      </c>
      <c r="M25" s="554">
        <f t="shared" ref="M25" si="14">IFERROR(K25*(1+0.5*L25)+L25,"N/A")</f>
        <v>6.2549999999999994E-2</v>
      </c>
      <c r="N25" s="556">
        <f t="shared" ref="N25" si="15">IF(L25="N/A","N/A",J25/$J$33)</f>
        <v>3.8718057820750378E-2</v>
      </c>
      <c r="O25" s="555">
        <f t="shared" ref="O25" si="16">IF(AND(ISNUMBER(J25),ISNUMBER(M25)),M25*N25,"N/A")</f>
        <v>2.4218145166879359E-3</v>
      </c>
    </row>
    <row r="26" spans="1:15" s="551" customFormat="1" ht="14.25">
      <c r="A26" s="550" t="s">
        <v>1967</v>
      </c>
      <c r="B26" s="550" t="s">
        <v>2650</v>
      </c>
      <c r="C26" s="550" t="s">
        <v>215</v>
      </c>
      <c r="D26" s="550">
        <f>VLOOKUP($C26,'MRP WP2'!$C$3:$H$502,2,FALSE)</f>
        <v>30570650814.880001</v>
      </c>
      <c r="E26" s="550">
        <f>VLOOKUP($C26,'MRP WP2'!$C$3:$H$502,3,FALSE)</f>
        <v>3.520483107556716</v>
      </c>
      <c r="F26" s="550">
        <f>VLOOKUP($C26,'MRP WP2'!$C$3:$H$502,4,FALSE)</f>
        <v>4.6500000000000004</v>
      </c>
      <c r="G26" s="550">
        <f>VLOOKUP($C26,'MRP WP2'!$C$3:$H$502,5,FALSE)</f>
        <v>498.94969999999995</v>
      </c>
      <c r="H26" s="550">
        <f>VLOOKUP($C26,'MRP WP2'!$C$3:$H$502,6,FALSE)</f>
        <v>61.27</v>
      </c>
      <c r="J26" s="552">
        <f t="shared" si="1"/>
        <v>30570.650814880002</v>
      </c>
      <c r="K26" s="553">
        <f t="shared" si="2"/>
        <v>3.5204831075567163E-2</v>
      </c>
      <c r="L26" s="553">
        <f t="shared" si="3"/>
        <v>4.6500000000000007E-2</v>
      </c>
      <c r="M26" s="554">
        <f t="shared" si="4"/>
        <v>8.25233433980741E-2</v>
      </c>
      <c r="N26" s="556">
        <f t="shared" si="0"/>
        <v>3.662240414628281E-2</v>
      </c>
      <c r="O26" s="555">
        <f t="shared" si="5"/>
        <v>3.0222032334267491E-3</v>
      </c>
    </row>
    <row r="27" spans="1:15" s="551" customFormat="1" ht="14.25">
      <c r="A27" s="550" t="s">
        <v>1990</v>
      </c>
      <c r="B27" s="550" t="s">
        <v>2664</v>
      </c>
      <c r="C27" s="550" t="s">
        <v>202</v>
      </c>
      <c r="D27" s="550">
        <f>VLOOKUP($C27,'MRP WP2'!$C$3:$H$502,2,FALSE)</f>
        <v>8603181036.1200008</v>
      </c>
      <c r="E27" s="550">
        <f>VLOOKUP($C27,'MRP WP2'!$C$3:$H$502,3,FALSE)</f>
        <v>4.4871120462914247</v>
      </c>
      <c r="F27" s="550">
        <f>VLOOKUP($C27,'MRP WP2'!$C$3:$H$502,4,FALSE)</f>
        <v>-2.1</v>
      </c>
      <c r="G27" s="550">
        <f>VLOOKUP($C27,'MRP WP2'!$C$3:$H$502,5,FALSE)</f>
        <v>113.14019999999999</v>
      </c>
      <c r="H27" s="550">
        <f>VLOOKUP($C27,'MRP WP2'!$C$3:$H$502,6,FALSE)</f>
        <v>76.040000000000006</v>
      </c>
      <c r="J27" s="552">
        <f t="shared" si="1"/>
        <v>8603.1810361200005</v>
      </c>
      <c r="K27" s="553">
        <f t="shared" si="2"/>
        <v>4.4871120462914249E-2</v>
      </c>
      <c r="L27" s="553">
        <f t="shared" si="3"/>
        <v>-2.1000000000000001E-2</v>
      </c>
      <c r="M27" s="554">
        <f t="shared" si="4"/>
        <v>2.3399973698053651E-2</v>
      </c>
      <c r="N27" s="556">
        <f t="shared" si="0"/>
        <v>1.0306263178900514E-2</v>
      </c>
      <c r="O27" s="555">
        <f t="shared" si="5"/>
        <v>2.4116628731149083E-4</v>
      </c>
    </row>
    <row r="28" spans="1:15" s="551" customFormat="1" ht="14.25">
      <c r="A28" s="550" t="s">
        <v>1993</v>
      </c>
      <c r="B28" s="550" t="s">
        <v>2666</v>
      </c>
      <c r="C28" s="550" t="s">
        <v>203</v>
      </c>
      <c r="D28" s="550">
        <f>VLOOKUP($C28,'MRP WP2'!$C$3:$H$502,2,FALSE)</f>
        <v>21515220258.479996</v>
      </c>
      <c r="E28" s="550">
        <f>VLOOKUP($C28,'MRP WP2'!$C$3:$H$502,3,FALSE)</f>
        <v>3.0595482546201236</v>
      </c>
      <c r="F28" s="550" t="str">
        <f>VLOOKUP($C28,'MRP WP2'!$C$3:$H$502,4,FALSE)</f>
        <v>#N/A N/A</v>
      </c>
      <c r="G28" s="550">
        <f>VLOOKUP($C28,'MRP WP2'!$C$3:$H$502,5,FALSE)</f>
        <v>736.31830000000002</v>
      </c>
      <c r="H28" s="550">
        <f>VLOOKUP($C28,'MRP WP2'!$C$3:$H$502,6,FALSE)</f>
        <v>29.22</v>
      </c>
      <c r="J28" s="552">
        <f t="shared" si="1"/>
        <v>21515.220258479996</v>
      </c>
      <c r="K28" s="553">
        <f t="shared" si="2"/>
        <v>3.0595482546201237E-2</v>
      </c>
      <c r="L28" s="553" t="str">
        <f t="shared" si="3"/>
        <v>N/A</v>
      </c>
      <c r="M28" s="554" t="str">
        <f t="shared" si="4"/>
        <v>N/A</v>
      </c>
      <c r="N28" s="556" t="str">
        <f t="shared" si="0"/>
        <v>N/A</v>
      </c>
      <c r="O28" s="555" t="str">
        <f t="shared" si="5"/>
        <v>N/A</v>
      </c>
    </row>
    <row r="29" spans="1:15" s="551" customFormat="1" ht="14.25">
      <c r="A29" s="550" t="s">
        <v>2041</v>
      </c>
      <c r="B29" s="550" t="s">
        <v>2700</v>
      </c>
      <c r="C29" s="550" t="s">
        <v>204</v>
      </c>
      <c r="D29" s="550">
        <f>VLOOKUP($C29,'MRP WP2'!$C$3:$H$502,2,FALSE)</f>
        <v>77742126647.479996</v>
      </c>
      <c r="E29" s="550">
        <f>VLOOKUP($C29,'MRP WP2'!$C$3:$H$502,3,FALSE)</f>
        <v>3.7837837837837838</v>
      </c>
      <c r="F29" s="550">
        <f>VLOOKUP($C29,'MRP WP2'!$C$3:$H$502,4,FALSE)</f>
        <v>5.0330000000000004</v>
      </c>
      <c r="G29" s="550">
        <f>VLOOKUP($C29,'MRP WP2'!$C$3:$H$502,5,FALSE)</f>
        <v>1088.673</v>
      </c>
      <c r="H29" s="550">
        <f>VLOOKUP($C29,'MRP WP2'!$C$3:$H$502,6,FALSE)</f>
        <v>71.41</v>
      </c>
      <c r="J29" s="552">
        <f t="shared" si="1"/>
        <v>77742.126647479992</v>
      </c>
      <c r="K29" s="553">
        <f t="shared" si="2"/>
        <v>3.783783783783784E-2</v>
      </c>
      <c r="L29" s="553">
        <f t="shared" si="3"/>
        <v>5.0330000000000007E-2</v>
      </c>
      <c r="M29" s="554">
        <f t="shared" si="4"/>
        <v>8.9120027027027038E-2</v>
      </c>
      <c r="N29" s="556">
        <f t="shared" si="0"/>
        <v>9.3131925732170259E-2</v>
      </c>
      <c r="O29" s="555">
        <f t="shared" si="5"/>
        <v>8.2999197383300891E-3</v>
      </c>
    </row>
    <row r="30" spans="1:15" s="551" customFormat="1" ht="14.25">
      <c r="A30" s="550" t="s">
        <v>2046</v>
      </c>
      <c r="B30" s="550" t="s">
        <v>2703</v>
      </c>
      <c r="C30" s="550" t="s">
        <v>216</v>
      </c>
      <c r="D30" s="550">
        <f>VLOOKUP($C30,'MRP WP2'!$C$3:$H$502,2,FALSE)</f>
        <v>48577077918.019997</v>
      </c>
      <c r="E30" s="550">
        <f>VLOOKUP($C30,'MRP WP2'!$C$3:$H$502,3,FALSE)</f>
        <v>2.9772227255079593</v>
      </c>
      <c r="F30" s="550" t="str">
        <f>VLOOKUP($C30,'MRP WP2'!$C$3:$H$502,4,FALSE)</f>
        <v>#N/A N/A</v>
      </c>
      <c r="G30" s="550">
        <f>VLOOKUP($C30,'MRP WP2'!$C$3:$H$502,5,FALSE)</f>
        <v>314.33339999999998</v>
      </c>
      <c r="H30" s="550">
        <f>VLOOKUP($C30,'MRP WP2'!$C$3:$H$502,6,FALSE)</f>
        <v>154.54</v>
      </c>
      <c r="J30" s="552">
        <f t="shared" si="1"/>
        <v>48577.077918019997</v>
      </c>
      <c r="K30" s="553">
        <f t="shared" si="2"/>
        <v>2.9772227255079595E-2</v>
      </c>
      <c r="L30" s="553" t="str">
        <f t="shared" si="3"/>
        <v>N/A</v>
      </c>
      <c r="M30" s="554" t="str">
        <f t="shared" si="4"/>
        <v>N/A</v>
      </c>
      <c r="N30" s="556" t="str">
        <f t="shared" si="0"/>
        <v>N/A</v>
      </c>
      <c r="O30" s="555" t="str">
        <f t="shared" si="5"/>
        <v>N/A</v>
      </c>
    </row>
    <row r="31" spans="1:15" s="551" customFormat="1" ht="14.25">
      <c r="A31" s="550" t="s">
        <v>2129</v>
      </c>
      <c r="B31" s="550" t="s">
        <v>2752</v>
      </c>
      <c r="C31" s="550" t="s">
        <v>217</v>
      </c>
      <c r="D31" s="550">
        <f>VLOOKUP($C31,'MRP WP2'!$C$3:$H$502,2,FALSE)</f>
        <v>29575141626.560001</v>
      </c>
      <c r="E31" s="550">
        <f>VLOOKUP($C31,'MRP WP2'!$C$3:$H$502,3,FALSE)</f>
        <v>3.1015358361774745</v>
      </c>
      <c r="F31" s="550">
        <f>VLOOKUP($C31,'MRP WP2'!$C$3:$H$502,4,FALSE)</f>
        <v>6.7700000000000005</v>
      </c>
      <c r="G31" s="550">
        <f>VLOOKUP($C31,'MRP WP2'!$C$3:$H$502,5,FALSE)</f>
        <v>315.43450000000001</v>
      </c>
      <c r="H31" s="550">
        <f>VLOOKUP($C31,'MRP WP2'!$C$3:$H$502,6,FALSE)</f>
        <v>93.76</v>
      </c>
      <c r="J31" s="552">
        <f t="shared" si="1"/>
        <v>29575.141626560002</v>
      </c>
      <c r="K31" s="553">
        <f t="shared" si="2"/>
        <v>3.1015358361774745E-2</v>
      </c>
      <c r="L31" s="553">
        <f t="shared" si="3"/>
        <v>6.770000000000001E-2</v>
      </c>
      <c r="M31" s="554">
        <f t="shared" si="4"/>
        <v>9.9765228242320828E-2</v>
      </c>
      <c r="N31" s="556">
        <f t="shared" si="0"/>
        <v>3.5429824372735841E-2</v>
      </c>
      <c r="O31" s="555">
        <f t="shared" si="5"/>
        <v>3.5346645151313324E-3</v>
      </c>
    </row>
    <row r="32" spans="1:15" s="551" customFormat="1" ht="14.25">
      <c r="A32" s="550" t="s">
        <v>2308</v>
      </c>
      <c r="B32" s="550" t="s">
        <v>2763</v>
      </c>
      <c r="C32" s="550" t="s">
        <v>218</v>
      </c>
      <c r="D32" s="550">
        <f>VLOOKUP($C32,'MRP WP2'!$C$3:$H$502,2,FALSE)</f>
        <v>38367592054.560005</v>
      </c>
      <c r="E32" s="550">
        <f>VLOOKUP($C32,'MRP WP2'!$C$3:$H$502,3,FALSE)</f>
        <v>2.7742119526458424</v>
      </c>
      <c r="F32" s="550">
        <f>VLOOKUP($C32,'MRP WP2'!$C$3:$H$502,4,FALSE)</f>
        <v>6.4649999999999999</v>
      </c>
      <c r="G32" s="550">
        <f>VLOOKUP($C32,'MRP WP2'!$C$3:$H$502,5,FALSE)</f>
        <v>547.24849999999992</v>
      </c>
      <c r="H32" s="550">
        <f>VLOOKUP($C32,'MRP WP2'!$C$3:$H$502,6,FALSE)</f>
        <v>70.11</v>
      </c>
      <c r="J32" s="552">
        <f t="shared" si="1"/>
        <v>38367.592054560002</v>
      </c>
      <c r="K32" s="553">
        <f t="shared" si="2"/>
        <v>2.7742119526458425E-2</v>
      </c>
      <c r="L32" s="553">
        <f t="shared" si="3"/>
        <v>6.4649999999999999E-2</v>
      </c>
      <c r="M32" s="554">
        <f t="shared" si="4"/>
        <v>9.3288883540151191E-2</v>
      </c>
      <c r="N32" s="556">
        <f t="shared" si="0"/>
        <v>4.5962824633680309E-2</v>
      </c>
      <c r="O32" s="555">
        <f t="shared" si="5"/>
        <v>4.2878205944277947E-3</v>
      </c>
    </row>
    <row r="33" spans="1:15" s="551" customFormat="1" ht="14.25">
      <c r="A33" s="557" t="s">
        <v>1418</v>
      </c>
      <c r="B33" s="557" t="s">
        <v>1418</v>
      </c>
      <c r="C33" s="557"/>
      <c r="D33" s="550"/>
      <c r="E33" s="550"/>
      <c r="F33" s="550"/>
      <c r="G33" s="550"/>
      <c r="H33" s="550"/>
      <c r="J33" s="558">
        <f>SUMIF(M3:M32,"&lt;&gt;n/a",J3:J32)</f>
        <v>834752.70200093999</v>
      </c>
      <c r="N33" s="559"/>
      <c r="O33" s="560">
        <f>SUM(O3:O32)</f>
        <v>9.1953444290727784E-2</v>
      </c>
    </row>
    <row r="34" spans="1:15">
      <c r="A34" s="561"/>
      <c r="B34" s="561"/>
      <c r="C34" s="561"/>
      <c r="D34" s="561"/>
      <c r="E34" s="561"/>
      <c r="F34" s="561"/>
      <c r="G34" s="561"/>
      <c r="H34" s="561"/>
    </row>
    <row r="35" spans="1:15">
      <c r="A35" s="561"/>
      <c r="B35" s="561"/>
      <c r="C35" s="561"/>
      <c r="D35" s="561"/>
      <c r="E35" s="561"/>
      <c r="F35" s="561"/>
      <c r="G35" s="561"/>
      <c r="H35" s="561"/>
      <c r="I35" s="561"/>
      <c r="J35" s="561"/>
      <c r="K35" s="561"/>
      <c r="L35" s="561"/>
      <c r="M35" s="561"/>
      <c r="N35" s="561"/>
      <c r="O35" s="561"/>
    </row>
    <row r="36" spans="1:15">
      <c r="A36" s="561"/>
      <c r="B36" s="561"/>
      <c r="C36" s="561"/>
      <c r="D36" s="561"/>
      <c r="E36" s="561"/>
      <c r="F36" s="561"/>
      <c r="G36" s="561"/>
      <c r="H36" s="561"/>
      <c r="J36" s="561"/>
      <c r="K36" s="561"/>
      <c r="L36" s="561"/>
      <c r="M36" s="561"/>
      <c r="N36" s="561"/>
      <c r="O36" s="561"/>
    </row>
    <row r="37" spans="1:15">
      <c r="A37" s="561"/>
      <c r="B37" s="561"/>
      <c r="C37" s="561"/>
      <c r="D37" s="561"/>
      <c r="E37" s="561"/>
      <c r="F37" s="561"/>
      <c r="G37" s="561"/>
      <c r="H37" s="561"/>
      <c r="J37" s="561"/>
      <c r="K37" s="561"/>
      <c r="L37" s="561"/>
      <c r="M37" s="561"/>
      <c r="N37" s="561"/>
      <c r="O37" s="561"/>
    </row>
    <row r="38" spans="1:15">
      <c r="A38" s="561"/>
      <c r="B38" s="561"/>
      <c r="C38" s="561"/>
      <c r="D38" s="561"/>
      <c r="E38" s="561"/>
      <c r="F38" s="561"/>
      <c r="G38" s="561"/>
      <c r="H38" s="561"/>
      <c r="J38" s="561"/>
      <c r="K38" s="561"/>
      <c r="L38" s="561"/>
      <c r="M38" s="561"/>
      <c r="N38" s="561"/>
      <c r="O38" s="561"/>
    </row>
    <row r="39" spans="1:15">
      <c r="A39" s="561"/>
      <c r="B39" s="561"/>
      <c r="C39" s="561"/>
      <c r="D39" s="561"/>
      <c r="E39" s="561"/>
      <c r="F39" s="561"/>
      <c r="G39" s="561"/>
      <c r="H39" s="561"/>
      <c r="J39" s="561"/>
      <c r="K39" s="561"/>
      <c r="L39" s="561"/>
      <c r="M39" s="561"/>
      <c r="N39" s="561"/>
      <c r="O39" s="561"/>
    </row>
    <row r="40" spans="1:15">
      <c r="A40" s="561"/>
      <c r="B40" s="561"/>
      <c r="C40" s="561"/>
      <c r="D40" s="561"/>
      <c r="E40" s="561"/>
      <c r="F40" s="561"/>
      <c r="G40" s="561"/>
      <c r="H40" s="561"/>
      <c r="J40" s="561"/>
      <c r="K40" s="561"/>
      <c r="L40" s="561"/>
      <c r="M40" s="561"/>
      <c r="N40" s="561"/>
      <c r="O40" s="561"/>
    </row>
    <row r="41" spans="1:15">
      <c r="A41" s="561"/>
      <c r="B41" s="561"/>
      <c r="C41" s="561"/>
      <c r="D41" s="561"/>
      <c r="E41" s="561"/>
      <c r="F41" s="561"/>
      <c r="G41" s="561"/>
      <c r="H41" s="561"/>
      <c r="J41" s="561"/>
      <c r="K41" s="561"/>
      <c r="L41" s="561"/>
      <c r="M41" s="561"/>
      <c r="N41" s="561"/>
      <c r="O41" s="561"/>
    </row>
    <row r="42" spans="1:15">
      <c r="A42" s="561"/>
      <c r="B42" s="561"/>
      <c r="C42" s="561"/>
      <c r="D42" s="561"/>
      <c r="E42" s="561"/>
      <c r="F42" s="561"/>
      <c r="G42" s="561"/>
      <c r="H42" s="561"/>
      <c r="J42" s="561"/>
      <c r="K42" s="561"/>
      <c r="L42" s="561"/>
      <c r="M42" s="561"/>
      <c r="N42" s="561"/>
      <c r="O42" s="561"/>
    </row>
    <row r="43" spans="1:15">
      <c r="A43" s="561"/>
      <c r="B43" s="561"/>
      <c r="C43" s="561"/>
      <c r="D43" s="561"/>
      <c r="E43" s="561"/>
      <c r="F43" s="561"/>
      <c r="G43" s="561"/>
      <c r="H43" s="561"/>
      <c r="J43" s="561"/>
      <c r="K43" s="561"/>
      <c r="L43" s="561"/>
      <c r="M43" s="561"/>
      <c r="N43" s="561"/>
      <c r="O43" s="561"/>
    </row>
    <row r="44" spans="1:15">
      <c r="A44" s="561"/>
      <c r="B44" s="561"/>
      <c r="C44" s="561"/>
      <c r="D44" s="561"/>
      <c r="E44" s="561"/>
      <c r="F44" s="561"/>
      <c r="G44" s="561"/>
      <c r="H44" s="561"/>
      <c r="J44" s="561"/>
      <c r="K44" s="561"/>
      <c r="L44" s="561"/>
      <c r="M44" s="561"/>
      <c r="N44" s="561"/>
      <c r="O44" s="561"/>
    </row>
    <row r="45" spans="1:15">
      <c r="A45" s="561"/>
      <c r="B45" s="561"/>
      <c r="C45" s="561"/>
      <c r="D45" s="561"/>
      <c r="E45" s="561"/>
      <c r="F45" s="561"/>
      <c r="G45" s="561"/>
      <c r="H45" s="561"/>
      <c r="J45" s="561"/>
      <c r="K45" s="561"/>
      <c r="L45" s="561"/>
      <c r="M45" s="561"/>
      <c r="N45" s="561"/>
      <c r="O45" s="561"/>
    </row>
    <row r="46" spans="1:15">
      <c r="B46" s="561"/>
      <c r="C46" s="561"/>
      <c r="D46" s="561"/>
      <c r="E46" s="561"/>
      <c r="F46" s="561"/>
      <c r="G46" s="561"/>
      <c r="H46" s="561"/>
      <c r="J46" s="561"/>
      <c r="K46" s="561"/>
      <c r="L46" s="561"/>
      <c r="M46" s="561"/>
      <c r="N46" s="561"/>
      <c r="O46" s="561"/>
    </row>
    <row r="47" spans="1:15">
      <c r="B47" s="561"/>
      <c r="C47" s="561"/>
      <c r="D47" s="561"/>
      <c r="E47" s="561"/>
      <c r="F47" s="561"/>
      <c r="G47" s="561"/>
      <c r="H47" s="561"/>
      <c r="J47" s="561"/>
      <c r="K47" s="561"/>
      <c r="L47" s="561"/>
      <c r="M47" s="561"/>
      <c r="N47" s="561"/>
      <c r="O47" s="561"/>
    </row>
    <row r="48" spans="1:15">
      <c r="B48" s="561"/>
      <c r="C48" s="561"/>
      <c r="D48" s="561"/>
      <c r="E48" s="561"/>
      <c r="F48" s="561"/>
      <c r="G48" s="561"/>
      <c r="H48" s="561"/>
      <c r="J48" s="561"/>
      <c r="K48" s="561"/>
      <c r="L48" s="561"/>
      <c r="M48" s="561"/>
      <c r="N48" s="561"/>
      <c r="O48" s="561"/>
    </row>
    <row r="49" spans="1:15">
      <c r="B49" s="561"/>
      <c r="C49" s="561"/>
      <c r="D49" s="561"/>
      <c r="E49" s="561"/>
      <c r="F49" s="561"/>
      <c r="G49" s="561"/>
      <c r="H49" s="561"/>
      <c r="J49" s="561"/>
      <c r="K49" s="561"/>
      <c r="L49" s="561"/>
      <c r="M49" s="561"/>
      <c r="N49" s="561"/>
      <c r="O49" s="561"/>
    </row>
    <row r="50" spans="1:15">
      <c r="B50" s="561"/>
      <c r="C50" s="561"/>
      <c r="D50" s="561"/>
      <c r="E50" s="561"/>
      <c r="F50" s="561"/>
      <c r="G50" s="561"/>
      <c r="H50" s="561"/>
      <c r="J50" s="561"/>
      <c r="K50" s="561"/>
      <c r="L50" s="561"/>
      <c r="M50" s="561"/>
      <c r="N50" s="561"/>
      <c r="O50" s="561"/>
    </row>
    <row r="51" spans="1:15">
      <c r="B51" s="561"/>
      <c r="C51" s="561"/>
      <c r="D51" s="561"/>
      <c r="E51" s="561"/>
      <c r="F51" s="561"/>
      <c r="G51" s="561"/>
      <c r="H51" s="561"/>
      <c r="J51" s="561"/>
      <c r="K51" s="561"/>
      <c r="L51" s="561"/>
      <c r="M51" s="561"/>
      <c r="N51" s="561"/>
      <c r="O51" s="561"/>
    </row>
    <row r="52" spans="1:15">
      <c r="B52" s="561"/>
      <c r="C52" s="561"/>
      <c r="D52" s="561"/>
      <c r="E52" s="561"/>
      <c r="F52" s="561"/>
      <c r="G52" s="561"/>
      <c r="H52" s="561"/>
      <c r="J52" s="561"/>
      <c r="K52" s="561"/>
      <c r="L52" s="561"/>
      <c r="M52" s="561"/>
      <c r="N52" s="561"/>
      <c r="O52" s="561"/>
    </row>
    <row r="53" spans="1:15">
      <c r="B53" s="561"/>
      <c r="C53" s="561"/>
      <c r="D53" s="561"/>
      <c r="E53" s="561"/>
      <c r="F53" s="561"/>
      <c r="G53" s="561"/>
      <c r="H53" s="561"/>
      <c r="J53" s="561"/>
      <c r="K53" s="561"/>
      <c r="L53" s="561"/>
      <c r="M53" s="561"/>
      <c r="N53" s="561"/>
      <c r="O53" s="561"/>
    </row>
    <row r="54" spans="1:15">
      <c r="B54" s="561"/>
      <c r="C54" s="561"/>
      <c r="D54" s="561"/>
      <c r="E54" s="561"/>
      <c r="F54" s="561"/>
      <c r="G54" s="561"/>
      <c r="H54" s="561"/>
      <c r="J54" s="561"/>
      <c r="K54" s="561"/>
      <c r="L54" s="561"/>
      <c r="M54" s="561"/>
      <c r="N54" s="561"/>
      <c r="O54" s="561"/>
    </row>
    <row r="55" spans="1:15">
      <c r="B55" s="561"/>
      <c r="C55" s="561"/>
      <c r="D55" s="561"/>
      <c r="E55" s="561"/>
      <c r="F55" s="561"/>
      <c r="G55" s="561"/>
      <c r="H55" s="561"/>
      <c r="J55" s="561"/>
      <c r="K55" s="561"/>
      <c r="L55" s="561"/>
      <c r="M55" s="561"/>
      <c r="N55" s="561"/>
      <c r="O55" s="561"/>
    </row>
    <row r="56" spans="1:15">
      <c r="B56" s="561"/>
      <c r="C56" s="561"/>
      <c r="D56" s="561"/>
      <c r="E56" s="561"/>
      <c r="F56" s="561"/>
      <c r="G56" s="561"/>
      <c r="H56" s="561"/>
      <c r="J56" s="561"/>
      <c r="K56" s="561"/>
      <c r="L56" s="561"/>
      <c r="M56" s="561"/>
      <c r="N56" s="561"/>
      <c r="O56" s="561"/>
    </row>
    <row r="57" spans="1:15">
      <c r="B57" s="561"/>
      <c r="C57" s="561"/>
      <c r="D57" s="561"/>
      <c r="E57" s="561"/>
      <c r="F57" s="561"/>
      <c r="G57" s="561"/>
      <c r="H57" s="561"/>
      <c r="J57" s="561"/>
      <c r="K57" s="561"/>
      <c r="L57" s="561"/>
      <c r="M57" s="561"/>
      <c r="N57" s="561"/>
      <c r="O57" s="561"/>
    </row>
    <row r="58" spans="1:15">
      <c r="B58" s="561"/>
      <c r="C58" s="561"/>
      <c r="D58" s="561"/>
      <c r="E58" s="561"/>
      <c r="F58" s="561"/>
      <c r="G58" s="561"/>
      <c r="H58" s="561"/>
      <c r="J58" s="561"/>
      <c r="K58" s="561"/>
      <c r="L58" s="561"/>
      <c r="M58" s="561"/>
      <c r="N58" s="561"/>
      <c r="O58" s="561"/>
    </row>
    <row r="59" spans="1:15">
      <c r="B59" s="561"/>
      <c r="C59" s="561"/>
      <c r="D59" s="561"/>
      <c r="E59" s="561"/>
      <c r="F59" s="561"/>
      <c r="G59" s="561"/>
      <c r="H59" s="561"/>
      <c r="J59" s="561"/>
      <c r="K59" s="561"/>
      <c r="L59" s="561"/>
      <c r="M59" s="561"/>
      <c r="N59" s="561"/>
      <c r="O59" s="561"/>
    </row>
    <row r="60" spans="1:15">
      <c r="B60" s="561"/>
      <c r="C60" s="561"/>
      <c r="D60" s="561"/>
      <c r="E60" s="561"/>
      <c r="F60" s="561"/>
      <c r="G60" s="561"/>
      <c r="H60" s="561"/>
      <c r="J60" s="561"/>
      <c r="K60" s="561"/>
      <c r="L60" s="561"/>
      <c r="M60" s="561"/>
      <c r="N60" s="561"/>
      <c r="O60" s="561"/>
    </row>
    <row r="61" spans="1:15">
      <c r="B61" s="561"/>
      <c r="C61" s="561"/>
      <c r="D61" s="561"/>
      <c r="E61" s="561"/>
      <c r="F61" s="561"/>
      <c r="G61" s="561"/>
      <c r="H61" s="561"/>
      <c r="J61" s="561"/>
      <c r="K61" s="561"/>
      <c r="L61" s="561"/>
      <c r="M61" s="561"/>
      <c r="N61" s="561"/>
      <c r="O61" s="561"/>
    </row>
    <row r="62" spans="1:15">
      <c r="B62" s="561"/>
      <c r="C62" s="561"/>
      <c r="D62" s="561"/>
      <c r="E62" s="561"/>
      <c r="F62" s="561"/>
      <c r="G62" s="561"/>
      <c r="H62" s="561"/>
      <c r="J62" s="561"/>
      <c r="K62" s="561"/>
      <c r="L62" s="561"/>
      <c r="M62" s="561"/>
      <c r="N62" s="561"/>
      <c r="O62" s="561"/>
    </row>
    <row r="63" spans="1:15">
      <c r="A63" s="562" t="s">
        <v>1418</v>
      </c>
      <c r="C63" s="561"/>
      <c r="D63" s="561"/>
      <c r="E63" s="561"/>
      <c r="F63" s="561"/>
      <c r="G63" s="561"/>
      <c r="H63" s="561"/>
    </row>
    <row r="64" spans="1:15">
      <c r="D64" s="561"/>
      <c r="E64" s="561"/>
      <c r="F64" s="561"/>
      <c r="G64" s="561"/>
      <c r="H64" s="561"/>
    </row>
    <row r="65" spans="4:8">
      <c r="D65" s="561"/>
      <c r="E65" s="561"/>
      <c r="F65" s="561"/>
      <c r="G65" s="561"/>
      <c r="H65" s="561"/>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37"/>
  <sheetViews>
    <sheetView zoomScale="85" zoomScaleNormal="85" workbookViewId="0">
      <selection activeCell="C34" sqref="C34"/>
    </sheetView>
  </sheetViews>
  <sheetFormatPr defaultColWidth="8.5703125" defaultRowHeight="14.25"/>
  <cols>
    <col min="1" max="1" width="35" style="324" customWidth="1"/>
    <col min="2" max="2" width="9" style="324" customWidth="1"/>
    <col min="3" max="3" width="22.5703125" style="324" customWidth="1"/>
    <col min="4" max="5" width="11.5703125" style="324" customWidth="1"/>
    <col min="6" max="6" width="13" style="324" customWidth="1"/>
    <col min="7" max="7" width="12.5703125" style="324" customWidth="1"/>
    <col min="8" max="8" width="11" style="324" customWidth="1"/>
    <col min="9" max="9" width="8.5703125" style="324"/>
    <col min="10" max="10" width="14" style="324" bestFit="1" customWidth="1"/>
    <col min="11" max="13" width="8.5703125" style="324"/>
    <col min="14" max="14" width="11" style="324" bestFit="1" customWidth="1"/>
    <col min="15" max="16384" width="8.5703125" style="324"/>
  </cols>
  <sheetData>
    <row r="1" spans="1:8">
      <c r="A1" s="324" t="s">
        <v>2236</v>
      </c>
      <c r="C1" s="539">
        <f>'MRP WP3'!C1</f>
        <v>44925</v>
      </c>
    </row>
    <row r="3" spans="1:8" ht="38.25">
      <c r="A3" s="563" t="s">
        <v>155</v>
      </c>
      <c r="B3" s="563" t="s">
        <v>181</v>
      </c>
      <c r="C3" s="563" t="s">
        <v>2237</v>
      </c>
      <c r="D3" s="564" t="s">
        <v>2238</v>
      </c>
      <c r="E3" s="565" t="s">
        <v>2239</v>
      </c>
      <c r="F3" s="564" t="s">
        <v>2203</v>
      </c>
      <c r="G3" s="564" t="s">
        <v>2200</v>
      </c>
      <c r="H3" s="564" t="s">
        <v>2240</v>
      </c>
    </row>
    <row r="4" spans="1:8">
      <c r="A4" s="88" t="s">
        <v>2348</v>
      </c>
      <c r="B4" s="88" t="s">
        <v>205</v>
      </c>
      <c r="C4" s="566">
        <f>VLOOKUP($B4,'MRP WP3'!$B$4:$E$503,2,FALSE)</f>
        <v>22903.1</v>
      </c>
      <c r="D4" s="547">
        <f>VLOOKUP($B4,'MRP WP3'!$B$4:$E$503,3,FALSE)</f>
        <v>2.7999999999999997E-2</v>
      </c>
      <c r="E4" s="547">
        <f>VLOOKUP($B4,'MRP WP3'!$B$4:$E$503,4,FALSE)</f>
        <v>6.5000000000000002E-2</v>
      </c>
      <c r="F4" s="567">
        <f>IFERROR(D4*(1+0.5*E4)+E4,"N/A")</f>
        <v>9.3909999999999993E-2</v>
      </c>
      <c r="G4" s="567">
        <f>IF(F4="N/A","N/A",C4/$C$34)</f>
        <v>2.405422125268708E-2</v>
      </c>
      <c r="H4" s="568">
        <f>IF(ISNUMBER(G4),F4*G4,"N/A")</f>
        <v>2.2589319178398437E-3</v>
      </c>
    </row>
    <row r="5" spans="1:8">
      <c r="A5" s="88" t="s">
        <v>2349</v>
      </c>
      <c r="B5" s="88" t="s">
        <v>198</v>
      </c>
      <c r="C5" s="566">
        <f>VLOOKUP($B5,'MRP WP3'!$B$4:$E$503,2,FALSE)</f>
        <v>48983.02</v>
      </c>
      <c r="D5" s="547">
        <f>VLOOKUP($B5,'MRP WP3'!$B$4:$E$503,3,FALSE)</f>
        <v>3.4799999999999998E-2</v>
      </c>
      <c r="E5" s="547">
        <f>VLOOKUP($B5,'MRP WP3'!$B$4:$E$503,4,FALSE)</f>
        <v>6.5000000000000002E-2</v>
      </c>
      <c r="F5" s="567">
        <f t="shared" ref="F5:F33" si="0">IFERROR(D5*(1+0.5*E5)+E5,"N/A")</f>
        <v>0.10093099999999999</v>
      </c>
      <c r="G5" s="567">
        <f t="shared" ref="G5:G33" si="1">IF(F5="N/A","N/A",C5/$C$34)</f>
        <v>5.1444931066309638E-2</v>
      </c>
      <c r="H5" s="568">
        <f t="shared" ref="H5:H33" si="2">IF(ISNUMBER(G5),F5*G5,"N/A")</f>
        <v>5.1923883374536978E-3</v>
      </c>
    </row>
    <row r="6" spans="1:8">
      <c r="A6" s="88" t="s">
        <v>2990</v>
      </c>
      <c r="B6" s="88" t="s">
        <v>1448</v>
      </c>
      <c r="C6" s="566">
        <f>VLOOKUP($B6,'MRP WP3'!$B$4:$E$503,2,FALSE)</f>
        <v>19196.88</v>
      </c>
      <c r="D6" s="547">
        <f>VLOOKUP($B6,'MRP WP3'!$B$4:$E$503,3,FALSE)</f>
        <v>2.3099999999999999E-2</v>
      </c>
      <c r="E6" s="547" t="str">
        <f>VLOOKUP($B6,'MRP WP3'!$B$4:$E$503,4,FALSE)</f>
        <v>N/A</v>
      </c>
      <c r="F6" s="567" t="str">
        <f t="shared" si="0"/>
        <v>N/A</v>
      </c>
      <c r="G6" s="567" t="str">
        <f t="shared" si="1"/>
        <v>N/A</v>
      </c>
      <c r="H6" s="568" t="str">
        <f t="shared" si="2"/>
        <v>N/A</v>
      </c>
    </row>
    <row r="7" spans="1:8">
      <c r="A7" s="88" t="s">
        <v>2376</v>
      </c>
      <c r="B7" s="88" t="s">
        <v>2333</v>
      </c>
      <c r="C7" s="566">
        <f>VLOOKUP($B7,'MRP WP3'!$B$4:$E$503,2,FALSE)</f>
        <v>16028.48</v>
      </c>
      <c r="D7" s="547">
        <f>VLOOKUP($B7,'MRP WP3'!$B$4:$E$503,3,FALSE)</f>
        <v>2.64E-2</v>
      </c>
      <c r="E7" s="547">
        <f>VLOOKUP($B7,'MRP WP3'!$B$4:$E$503,4,FALSE)</f>
        <v>7.4999999999999997E-2</v>
      </c>
      <c r="F7" s="567">
        <f t="shared" si="0"/>
        <v>0.10238999999999999</v>
      </c>
      <c r="G7" s="567">
        <f t="shared" si="1"/>
        <v>1.6834079415636739E-2</v>
      </c>
      <c r="H7" s="568">
        <f t="shared" si="2"/>
        <v>1.7236413913670455E-3</v>
      </c>
    </row>
    <row r="8" spans="1:8">
      <c r="A8" s="88" t="s">
        <v>2381</v>
      </c>
      <c r="B8" s="88" t="s">
        <v>156</v>
      </c>
      <c r="C8" s="566">
        <f>VLOOKUP($B8,'MRP WP3'!$B$4:$E$503,2,FALSE)</f>
        <v>27734.07</v>
      </c>
      <c r="D8" s="547">
        <f>VLOOKUP($B8,'MRP WP3'!$B$4:$E$503,3,FALSE)</f>
        <v>1.78E-2</v>
      </c>
      <c r="E8" s="547">
        <f>VLOOKUP($B8,'MRP WP3'!$B$4:$E$503,4,FALSE)</f>
        <v>0.03</v>
      </c>
      <c r="F8" s="567">
        <f t="shared" si="0"/>
        <v>4.8066999999999999E-2</v>
      </c>
      <c r="G8" s="567">
        <f t="shared" si="1"/>
        <v>2.9127998219346342E-2</v>
      </c>
      <c r="H8" s="568">
        <f t="shared" si="2"/>
        <v>1.4000954904093206E-3</v>
      </c>
    </row>
    <row r="9" spans="1:8">
      <c r="A9" s="88" t="s">
        <v>4278</v>
      </c>
      <c r="B9" s="569" t="s">
        <v>4240</v>
      </c>
      <c r="C9" s="566">
        <f>VLOOKUP($B9,'MRP WP3'!$B$4:$E$503,2,FALSE)</f>
        <v>29315.55</v>
      </c>
      <c r="D9" s="547">
        <f>VLOOKUP($B9,'MRP WP3'!$B$4:$E$503,3,FALSE)</f>
        <v>6.3E-3</v>
      </c>
      <c r="E9" s="547" t="str">
        <f>VLOOKUP($B9,'MRP WP3'!$B$4:$E$503,4,FALSE)</f>
        <v>N/A</v>
      </c>
      <c r="F9" s="567" t="str">
        <f t="shared" ref="F9" si="3">IFERROR(D9*(1+0.5*E9)+E9,"N/A")</f>
        <v>N/A</v>
      </c>
      <c r="G9" s="567" t="str">
        <f t="shared" ref="G9" si="4">IF(F9="N/A","N/A",C9/$C$34)</f>
        <v>N/A</v>
      </c>
      <c r="H9" s="568" t="str">
        <f t="shared" ref="H9" si="5">IF(ISNUMBER(G9),F9*G9,"N/A")</f>
        <v>N/A</v>
      </c>
    </row>
    <row r="10" spans="1:8">
      <c r="A10" s="88" t="s">
        <v>2431</v>
      </c>
      <c r="B10" s="88" t="s">
        <v>207</v>
      </c>
      <c r="C10" s="566">
        <f>VLOOKUP($B10,'MRP WP3'!$B$4:$E$503,2,FALSE)</f>
        <v>18190.2</v>
      </c>
      <c r="D10" s="547">
        <f>VLOOKUP($B10,'MRP WP3'!$B$4:$E$503,3,FALSE)</f>
        <v>2.9399999999999999E-2</v>
      </c>
      <c r="E10" s="547">
        <f>VLOOKUP($B10,'MRP WP3'!$B$4:$E$503,4,FALSE)</f>
        <v>6.5000000000000002E-2</v>
      </c>
      <c r="F10" s="567">
        <f t="shared" si="0"/>
        <v>9.5355499999999996E-2</v>
      </c>
      <c r="G10" s="567">
        <f t="shared" si="1"/>
        <v>1.9104448543237753E-2</v>
      </c>
      <c r="H10" s="568">
        <f t="shared" si="2"/>
        <v>1.8217142430647076E-3</v>
      </c>
    </row>
    <row r="11" spans="1:8">
      <c r="A11" s="88" t="s">
        <v>2433</v>
      </c>
      <c r="B11" s="88" t="s">
        <v>206</v>
      </c>
      <c r="C11" s="566">
        <f>VLOOKUP($B11,'MRP WP3'!$B$4:$E$503,2,FALSE)</f>
        <v>19219.61</v>
      </c>
      <c r="D11" s="547">
        <f>VLOOKUP($B11,'MRP WP3'!$B$4:$E$503,3,FALSE)</f>
        <v>2.4900000000000002E-2</v>
      </c>
      <c r="E11" s="547">
        <f>VLOOKUP($B11,'MRP WP3'!$B$4:$E$503,4,FALSE)</f>
        <v>6.5000000000000002E-2</v>
      </c>
      <c r="F11" s="567">
        <f t="shared" si="0"/>
        <v>9.0709250000000005E-2</v>
      </c>
      <c r="G11" s="567">
        <f t="shared" si="1"/>
        <v>2.0185597204324182E-2</v>
      </c>
      <c r="H11" s="568">
        <f t="shared" si="2"/>
        <v>1.8310203832063434E-3</v>
      </c>
    </row>
    <row r="12" spans="1:8">
      <c r="A12" s="88" t="s">
        <v>2447</v>
      </c>
      <c r="B12" s="88" t="s">
        <v>209</v>
      </c>
      <c r="C12" s="566">
        <f>VLOOKUP($B12,'MRP WP3'!$B$4:$E$503,2,FALSE)</f>
        <v>50021.65</v>
      </c>
      <c r="D12" s="547">
        <f>VLOOKUP($B12,'MRP WP3'!$B$4:$E$503,3,FALSE)</f>
        <v>4.6500000000000007E-2</v>
      </c>
      <c r="E12" s="547">
        <f>VLOOKUP($B12,'MRP WP3'!$B$4:$E$503,4,FALSE)</f>
        <v>5.5E-2</v>
      </c>
      <c r="F12" s="567">
        <f t="shared" si="0"/>
        <v>0.10277875</v>
      </c>
      <c r="G12" s="567">
        <f t="shared" si="1"/>
        <v>5.2535763129204119E-2</v>
      </c>
      <c r="H12" s="568">
        <f t="shared" si="2"/>
        <v>5.399560064715688E-3</v>
      </c>
    </row>
    <row r="13" spans="1:8">
      <c r="A13" s="88" t="s">
        <v>2464</v>
      </c>
      <c r="B13" s="88" t="s">
        <v>210</v>
      </c>
      <c r="C13" s="566">
        <f>VLOOKUP($B13,'MRP WP3'!$B$4:$E$503,2,FALSE)</f>
        <v>22751.119999999999</v>
      </c>
      <c r="D13" s="547">
        <f>VLOOKUP($B13,'MRP WP3'!$B$4:$E$503,3,FALSE)</f>
        <v>3.2400000000000005E-2</v>
      </c>
      <c r="E13" s="547">
        <f>VLOOKUP($B13,'MRP WP3'!$B$4:$E$503,4,FALSE)</f>
        <v>4.4999999999999998E-2</v>
      </c>
      <c r="F13" s="567">
        <f t="shared" si="0"/>
        <v>7.8129000000000004E-2</v>
      </c>
      <c r="G13" s="567">
        <f t="shared" si="1"/>
        <v>2.3894602661929349E-2</v>
      </c>
      <c r="H13" s="568">
        <f t="shared" si="2"/>
        <v>1.8668614113738781E-3</v>
      </c>
    </row>
    <row r="14" spans="1:8">
      <c r="A14" s="88" t="s">
        <v>2465</v>
      </c>
      <c r="B14" s="88" t="s">
        <v>211</v>
      </c>
      <c r="C14" s="566">
        <f>VLOOKUP($B14,'MRP WP3'!$B$4:$E$503,2,FALSE)</f>
        <v>78478.399999999994</v>
      </c>
      <c r="D14" s="547">
        <f>VLOOKUP($B14,'MRP WP3'!$B$4:$E$503,3,FALSE)</f>
        <v>3.9399999999999998E-2</v>
      </c>
      <c r="E14" s="547">
        <f>VLOOKUP($B14,'MRP WP3'!$B$4:$E$503,4,FALSE)</f>
        <v>0.04</v>
      </c>
      <c r="F14" s="567">
        <f t="shared" si="0"/>
        <v>8.0188000000000009E-2</v>
      </c>
      <c r="G14" s="567">
        <f t="shared" si="1"/>
        <v>8.2422763606537011E-2</v>
      </c>
      <c r="H14" s="568">
        <f t="shared" si="2"/>
        <v>6.6093165680809907E-3</v>
      </c>
    </row>
    <row r="15" spans="1:8">
      <c r="A15" s="88" t="s">
        <v>2472</v>
      </c>
      <c r="B15" s="88" t="s">
        <v>208</v>
      </c>
      <c r="C15" s="566">
        <f>VLOOKUP($B15,'MRP WP3'!$B$4:$E$503,2,FALSE)</f>
        <v>33980.6</v>
      </c>
      <c r="D15" s="547">
        <f>VLOOKUP($B15,'MRP WP3'!$B$4:$E$503,3,FALSE)</f>
        <v>3.3599999999999998E-2</v>
      </c>
      <c r="E15" s="547">
        <f>VLOOKUP($B15,'MRP WP3'!$B$4:$E$503,4,FALSE)</f>
        <v>0.04</v>
      </c>
      <c r="F15" s="567">
        <f t="shared" si="0"/>
        <v>7.4272000000000005E-2</v>
      </c>
      <c r="G15" s="567">
        <f t="shared" si="1"/>
        <v>3.568848193908504E-2</v>
      </c>
      <c r="H15" s="568">
        <f t="shared" si="2"/>
        <v>2.6506549305797241E-3</v>
      </c>
    </row>
    <row r="16" spans="1:8">
      <c r="A16" s="88" t="s">
        <v>2474</v>
      </c>
      <c r="B16" s="88" t="s">
        <v>199</v>
      </c>
      <c r="C16" s="566">
        <f>VLOOKUP($B16,'MRP WP3'!$B$4:$E$503,2,FALSE)</f>
        <v>24905.759999999998</v>
      </c>
      <c r="D16" s="547">
        <f>VLOOKUP($B16,'MRP WP3'!$B$4:$E$503,3,FALSE)</f>
        <v>4.5199999999999997E-2</v>
      </c>
      <c r="E16" s="547">
        <f>VLOOKUP($B16,'MRP WP3'!$B$4:$E$503,4,FALSE)</f>
        <v>0.16</v>
      </c>
      <c r="F16" s="567">
        <f t="shared" si="0"/>
        <v>0.208816</v>
      </c>
      <c r="G16" s="567">
        <f t="shared" si="1"/>
        <v>2.6157535945191865E-2</v>
      </c>
      <c r="H16" s="568">
        <f t="shared" si="2"/>
        <v>5.4621120259311842E-3</v>
      </c>
    </row>
    <row r="17" spans="1:8">
      <c r="A17" s="88" t="s">
        <v>2481</v>
      </c>
      <c r="B17" s="88" t="s">
        <v>1359</v>
      </c>
      <c r="C17" s="566">
        <f>VLOOKUP($B17,'MRP WP3'!$B$4:$E$503,2,FALSE)</f>
        <v>29170.37</v>
      </c>
      <c r="D17" s="547">
        <f>VLOOKUP($B17,'MRP WP3'!$B$4:$E$503,3,FALSE)</f>
        <v>3.1699999999999999E-2</v>
      </c>
      <c r="E17" s="547">
        <f>VLOOKUP($B17,'MRP WP3'!$B$4:$E$503,4,FALSE)</f>
        <v>6.5000000000000002E-2</v>
      </c>
      <c r="F17" s="567">
        <f t="shared" si="0"/>
        <v>9.7730249999999991E-2</v>
      </c>
      <c r="G17" s="567">
        <f t="shared" si="1"/>
        <v>3.0636487375191378E-2</v>
      </c>
      <c r="H17" s="568">
        <f t="shared" si="2"/>
        <v>2.9941115702992968E-3</v>
      </c>
    </row>
    <row r="18" spans="1:8">
      <c r="A18" s="88" t="s">
        <v>2484</v>
      </c>
      <c r="B18" s="88" t="s">
        <v>212</v>
      </c>
      <c r="C18" s="566">
        <f>VLOOKUP($B18,'MRP WP3'!$B$4:$E$503,2,FALSE)</f>
        <v>23217.3</v>
      </c>
      <c r="D18" s="547">
        <f>VLOOKUP($B18,'MRP WP3'!$B$4:$E$503,3,FALSE)</f>
        <v>3.7499999999999999E-2</v>
      </c>
      <c r="E18" s="547">
        <f>VLOOKUP($B18,'MRP WP3'!$B$4:$E$503,4,FALSE)</f>
        <v>0.04</v>
      </c>
      <c r="F18" s="567">
        <f t="shared" si="0"/>
        <v>7.825E-2</v>
      </c>
      <c r="G18" s="567">
        <f t="shared" si="1"/>
        <v>2.4384213101720367E-2</v>
      </c>
      <c r="H18" s="568">
        <f t="shared" si="2"/>
        <v>1.9080646752096186E-3</v>
      </c>
    </row>
    <row r="19" spans="1:8">
      <c r="A19" s="88" t="s">
        <v>2486</v>
      </c>
      <c r="B19" s="88" t="s">
        <v>2334</v>
      </c>
      <c r="C19" s="566">
        <f>VLOOKUP($B19,'MRP WP3'!$B$4:$E$503,2,FALSE)</f>
        <v>14465.11</v>
      </c>
      <c r="D19" s="547">
        <f>VLOOKUP($B19,'MRP WP3'!$B$4:$E$503,3,FALSE)</f>
        <v>3.8900000000000004E-2</v>
      </c>
      <c r="E19" s="547">
        <f>VLOOKUP($B19,'MRP WP3'!$B$4:$E$503,4,FALSE)</f>
        <v>7.4999999999999997E-2</v>
      </c>
      <c r="F19" s="567">
        <f t="shared" si="0"/>
        <v>0.11535875000000001</v>
      </c>
      <c r="G19" s="567">
        <f t="shared" si="1"/>
        <v>1.5192133658083685E-2</v>
      </c>
      <c r="H19" s="568">
        <f t="shared" si="2"/>
        <v>1.7525455486294614E-3</v>
      </c>
    </row>
    <row r="20" spans="1:8">
      <c r="A20" s="88" t="s">
        <v>2488</v>
      </c>
      <c r="B20" s="88" t="s">
        <v>213</v>
      </c>
      <c r="C20" s="566">
        <f>VLOOKUP($B20,'MRP WP3'!$B$4:$E$503,2,FALSE)</f>
        <v>42363.22</v>
      </c>
      <c r="D20" s="547">
        <f>VLOOKUP($B20,'MRP WP3'!$B$4:$E$503,3,FALSE)</f>
        <v>3.2799999999999996E-2</v>
      </c>
      <c r="E20" s="547">
        <f>VLOOKUP($B20,'MRP WP3'!$B$4:$E$503,4,FALSE)</f>
        <v>-0.01</v>
      </c>
      <c r="F20" s="567">
        <f t="shared" si="0"/>
        <v>2.2635999999999996E-2</v>
      </c>
      <c r="G20" s="567">
        <f t="shared" si="1"/>
        <v>4.4492416609815198E-2</v>
      </c>
      <c r="H20" s="568">
        <f t="shared" si="2"/>
        <v>1.0071303423797766E-3</v>
      </c>
    </row>
    <row r="21" spans="1:8">
      <c r="A21" s="88" t="s">
        <v>2498</v>
      </c>
      <c r="B21" s="88" t="s">
        <v>200</v>
      </c>
      <c r="C21" s="566">
        <f>VLOOKUP($B21,'MRP WP3'!$B$4:$E$503,2,FALSE)</f>
        <v>23853.54</v>
      </c>
      <c r="D21" s="547">
        <f>VLOOKUP($B21,'MRP WP3'!$B$4:$E$503,3,FALSE)</f>
        <v>3.7400000000000003E-2</v>
      </c>
      <c r="E21" s="547">
        <f>VLOOKUP($B21,'MRP WP3'!$B$4:$E$503,4,FALSE)</f>
        <v>0.03</v>
      </c>
      <c r="F21" s="567">
        <f t="shared" si="0"/>
        <v>6.7960999999999994E-2</v>
      </c>
      <c r="G21" s="567">
        <f t="shared" si="1"/>
        <v>2.5052430842105278E-2</v>
      </c>
      <c r="H21" s="568">
        <f t="shared" si="2"/>
        <v>1.7025882524603166E-3</v>
      </c>
    </row>
    <row r="22" spans="1:8">
      <c r="A22" s="88" t="s">
        <v>2588</v>
      </c>
      <c r="B22" s="88" t="s">
        <v>1355</v>
      </c>
      <c r="C22" s="566">
        <f>VLOOKUP($B22,'MRP WP3'!$B$4:$E$503,2,FALSE)</f>
        <v>13826.29</v>
      </c>
      <c r="D22" s="547">
        <f>VLOOKUP($B22,'MRP WP3'!$B$4:$E$503,3,FALSE)</f>
        <v>3.2000000000000001E-2</v>
      </c>
      <c r="E22" s="547">
        <f>VLOOKUP($B22,'MRP WP3'!$B$4:$E$503,4,FALSE)</f>
        <v>0.06</v>
      </c>
      <c r="F22" s="567">
        <f t="shared" si="0"/>
        <v>9.2960000000000001E-2</v>
      </c>
      <c r="G22" s="567">
        <f t="shared" si="1"/>
        <v>1.4521206245609323E-2</v>
      </c>
      <c r="H22" s="568">
        <f t="shared" si="2"/>
        <v>1.3498913325918427E-3</v>
      </c>
    </row>
    <row r="23" spans="1:8">
      <c r="A23" s="88" t="s">
        <v>2628</v>
      </c>
      <c r="B23" s="88" t="s">
        <v>201</v>
      </c>
      <c r="C23" s="566">
        <f>VLOOKUP($B23,'MRP WP3'!$B$4:$E$503,2,FALSE)</f>
        <v>168199.5</v>
      </c>
      <c r="D23" s="547">
        <f>VLOOKUP($B23,'MRP WP3'!$B$4:$E$503,3,FALSE)</f>
        <v>2.1600000000000001E-2</v>
      </c>
      <c r="E23" s="547">
        <f>VLOOKUP($B23,'MRP WP3'!$B$4:$E$503,4,FALSE)</f>
        <v>0.105</v>
      </c>
      <c r="F23" s="567">
        <f t="shared" si="0"/>
        <v>0.12773399999999999</v>
      </c>
      <c r="G23" s="567">
        <f t="shared" si="1"/>
        <v>0.17665329093403692</v>
      </c>
      <c r="H23" s="568">
        <f t="shared" si="2"/>
        <v>2.2564631464168271E-2</v>
      </c>
    </row>
    <row r="24" spans="1:8">
      <c r="A24" s="88" t="s">
        <v>2630</v>
      </c>
      <c r="B24" s="88" t="s">
        <v>214</v>
      </c>
      <c r="C24" s="566">
        <f>VLOOKUP($B24,'MRP WP3'!$B$4:$E$503,2,FALSE)</f>
        <v>11186.68</v>
      </c>
      <c r="D24" s="547">
        <f>VLOOKUP($B24,'MRP WP3'!$B$4:$E$503,3,FALSE)</f>
        <v>3.5200000000000002E-2</v>
      </c>
      <c r="E24" s="547">
        <f>VLOOKUP($B24,'MRP WP3'!$B$4:$E$503,4,FALSE)</f>
        <v>0.08</v>
      </c>
      <c r="F24" s="567">
        <f t="shared" si="0"/>
        <v>0.116608</v>
      </c>
      <c r="G24" s="567">
        <f t="shared" si="1"/>
        <v>1.174892812776478E-2</v>
      </c>
      <c r="H24" s="568">
        <f t="shared" si="2"/>
        <v>1.3700190111223954E-3</v>
      </c>
    </row>
    <row r="25" spans="1:8">
      <c r="A25" s="88" t="s">
        <v>2633</v>
      </c>
      <c r="B25" s="88" t="s">
        <v>1449</v>
      </c>
      <c r="C25" s="566">
        <f>VLOOKUP($B25,'MRP WP3'!$B$4:$E$503,2,FALSE)</f>
        <v>7525.49</v>
      </c>
      <c r="D25" s="547">
        <f>VLOOKUP($B25,'MRP WP3'!$B$4:$E$503,3,FALSE)</f>
        <v>4.3200000000000002E-2</v>
      </c>
      <c r="E25" s="547">
        <f>VLOOKUP($B25,'MRP WP3'!$B$4:$E$503,4,FALSE)</f>
        <v>-0.105</v>
      </c>
      <c r="F25" s="567">
        <f t="shared" si="0"/>
        <v>-6.4067999999999986E-2</v>
      </c>
      <c r="G25" s="567">
        <f t="shared" si="1"/>
        <v>7.9037248885471447E-3</v>
      </c>
      <c r="H25" s="568">
        <f t="shared" si="2"/>
        <v>-5.063758461594384E-4</v>
      </c>
    </row>
    <row r="26" spans="1:8">
      <c r="A26" s="88" t="s">
        <v>4396</v>
      </c>
      <c r="B26" s="88" t="s">
        <v>4326</v>
      </c>
      <c r="C26" s="656" t="str">
        <f>VLOOKUP($B26,'MRP WP3'!$B$4:$E$503,2,FALSE)</f>
        <v>N/A</v>
      </c>
      <c r="D26" s="657">
        <f>VLOOKUP($B26,'MRP WP3'!$B$4:$E$503,3,FALSE)</f>
        <v>0</v>
      </c>
      <c r="E26" s="657" t="str">
        <f>VLOOKUP($B26,'MRP WP3'!$B$4:$E$503,4,FALSE)</f>
        <v>N/A</v>
      </c>
      <c r="F26" s="658" t="str">
        <f t="shared" ref="F26" si="6">IFERROR(D26*(1+0.5*E26)+E26,"N/A")</f>
        <v>N/A</v>
      </c>
      <c r="G26" s="658" t="str">
        <f t="shared" ref="G26" si="7">IF(F26="N/A","N/A",C26/$C$34)</f>
        <v>N/A</v>
      </c>
      <c r="H26" s="659" t="str">
        <f t="shared" ref="H26" si="8">IF(ISNUMBER(G26),F26*G26,"N/A")</f>
        <v>N/A</v>
      </c>
    </row>
    <row r="27" spans="1:8">
      <c r="A27" s="88" t="s">
        <v>2650</v>
      </c>
      <c r="B27" s="88" t="s">
        <v>215</v>
      </c>
      <c r="C27" s="566">
        <f>VLOOKUP($B27,'MRP WP3'!$B$4:$E$503,2,FALSE)</f>
        <v>30068.5</v>
      </c>
      <c r="D27" s="547">
        <f>VLOOKUP($B27,'MRP WP3'!$B$4:$E$503,3,FALSE)</f>
        <v>3.7200000000000004E-2</v>
      </c>
      <c r="E27" s="547">
        <f>VLOOKUP($B27,'MRP WP3'!$B$4:$E$503,4,FALSE)</f>
        <v>0.04</v>
      </c>
      <c r="F27" s="567">
        <f t="shared" si="0"/>
        <v>7.7944000000000013E-2</v>
      </c>
      <c r="G27" s="567">
        <f t="shared" si="1"/>
        <v>3.157975783786568E-2</v>
      </c>
      <c r="H27" s="568">
        <f t="shared" si="2"/>
        <v>2.4614526449146029E-3</v>
      </c>
    </row>
    <row r="28" spans="1:8">
      <c r="A28" s="88" t="s">
        <v>2664</v>
      </c>
      <c r="B28" s="88" t="s">
        <v>202</v>
      </c>
      <c r="C28" s="566">
        <f>VLOOKUP($B28,'MRP WP3'!$B$4:$E$503,2,FALSE)</f>
        <v>8757.5</v>
      </c>
      <c r="D28" s="547">
        <f>VLOOKUP($B28,'MRP WP3'!$B$4:$E$503,3,FALSE)</f>
        <v>4.5199999999999997E-2</v>
      </c>
      <c r="E28" s="547">
        <f>VLOOKUP($B28,'MRP WP3'!$B$4:$E$503,4,FALSE)</f>
        <v>5.0000000000000001E-3</v>
      </c>
      <c r="F28" s="567">
        <f t="shared" si="0"/>
        <v>5.031299999999999E-2</v>
      </c>
      <c r="G28" s="567">
        <f t="shared" si="1"/>
        <v>9.1976563268905565E-3</v>
      </c>
      <c r="H28" s="568">
        <f t="shared" si="2"/>
        <v>4.6276168277484449E-4</v>
      </c>
    </row>
    <row r="29" spans="1:8">
      <c r="A29" s="88" t="s">
        <v>2666</v>
      </c>
      <c r="B29" s="88" t="s">
        <v>203</v>
      </c>
      <c r="C29" s="566">
        <f>VLOOKUP($B29,'MRP WP3'!$B$4:$E$503,2,FALSE)</f>
        <v>21647.54</v>
      </c>
      <c r="D29" s="547">
        <f>VLOOKUP($B29,'MRP WP3'!$B$4:$E$503,3,FALSE)</f>
        <v>3.0600000000000002E-2</v>
      </c>
      <c r="E29" s="547">
        <f>VLOOKUP($B29,'MRP WP3'!$B$4:$E$503,4,FALSE)</f>
        <v>0.03</v>
      </c>
      <c r="F29" s="567">
        <f t="shared" si="0"/>
        <v>6.1059000000000002E-2</v>
      </c>
      <c r="G29" s="567">
        <f t="shared" si="1"/>
        <v>2.2735556179573669E-2</v>
      </c>
      <c r="H29" s="568">
        <f t="shared" si="2"/>
        <v>1.3882103247685887E-3</v>
      </c>
    </row>
    <row r="30" spans="1:8">
      <c r="A30" s="88" t="s">
        <v>2700</v>
      </c>
      <c r="B30" s="88" t="s">
        <v>204</v>
      </c>
      <c r="C30" s="566">
        <f>VLOOKUP($B30,'MRP WP3'!$B$4:$E$503,2,FALSE)</f>
        <v>77001.84</v>
      </c>
      <c r="D30" s="547">
        <f>VLOOKUP($B30,'MRP WP3'!$B$4:$E$503,3,FALSE)</f>
        <v>3.85E-2</v>
      </c>
      <c r="E30" s="547">
        <f>VLOOKUP($B30,'MRP WP3'!$B$4:$E$503,4,FALSE)</f>
        <v>6.5000000000000002E-2</v>
      </c>
      <c r="F30" s="567">
        <f t="shared" si="0"/>
        <v>0.10475125</v>
      </c>
      <c r="G30" s="567">
        <f t="shared" si="1"/>
        <v>8.0871990962970527E-2</v>
      </c>
      <c r="H30" s="568">
        <f t="shared" si="2"/>
        <v>8.4714421433598665E-3</v>
      </c>
    </row>
    <row r="31" spans="1:8">
      <c r="A31" s="88" t="s">
        <v>2703</v>
      </c>
      <c r="B31" s="88" t="s">
        <v>216</v>
      </c>
      <c r="C31" s="566">
        <f>VLOOKUP($B31,'MRP WP3'!$B$4:$E$503,2,FALSE)</f>
        <v>49216.36</v>
      </c>
      <c r="D31" s="547">
        <f>VLOOKUP($B31,'MRP WP3'!$B$4:$E$503,3,FALSE)</f>
        <v>3.0299999999999997E-2</v>
      </c>
      <c r="E31" s="547">
        <f>VLOOKUP($B31,'MRP WP3'!$B$4:$E$503,4,FALSE)</f>
        <v>7.0000000000000007E-2</v>
      </c>
      <c r="F31" s="567">
        <f t="shared" si="0"/>
        <v>0.10136049999999999</v>
      </c>
      <c r="G31" s="567">
        <f t="shared" si="1"/>
        <v>5.1689998851330098E-2</v>
      </c>
      <c r="H31" s="568">
        <f t="shared" si="2"/>
        <v>5.2393241285702439E-3</v>
      </c>
    </row>
    <row r="32" spans="1:8">
      <c r="A32" s="88" t="s">
        <v>2752</v>
      </c>
      <c r="B32" s="88" t="s">
        <v>217</v>
      </c>
      <c r="C32" s="566">
        <f>VLOOKUP($B32,'MRP WP3'!$B$4:$E$503,2,FALSE)</f>
        <v>29934.78</v>
      </c>
      <c r="D32" s="547">
        <f>VLOOKUP($B32,'MRP WP3'!$B$4:$E$503,3,FALSE)</f>
        <v>3.2899999999999999E-2</v>
      </c>
      <c r="E32" s="547">
        <f>VLOOKUP($B32,'MRP WP3'!$B$4:$E$503,4,FALSE)</f>
        <v>0.06</v>
      </c>
      <c r="F32" s="567">
        <f t="shared" si="0"/>
        <v>9.3886999999999998E-2</v>
      </c>
      <c r="G32" s="567">
        <f t="shared" si="1"/>
        <v>3.1439317003834073E-2</v>
      </c>
      <c r="H32" s="568">
        <f t="shared" si="2"/>
        <v>2.9517431555389695E-3</v>
      </c>
    </row>
    <row r="33" spans="1:15">
      <c r="A33" s="88" t="s">
        <v>2763</v>
      </c>
      <c r="B33" s="88" t="s">
        <v>218</v>
      </c>
      <c r="C33" s="566">
        <f>VLOOKUP($B33,'MRP WP3'!$B$4:$E$503,2,FALSE)</f>
        <v>38514.699999999997</v>
      </c>
      <c r="D33" s="547">
        <f>VLOOKUP($B33,'MRP WP3'!$B$4:$E$503,3,FALSE)</f>
        <v>2.9100000000000001E-2</v>
      </c>
      <c r="E33" s="547">
        <f>VLOOKUP($B33,'MRP WP3'!$B$4:$E$503,4,FALSE)</f>
        <v>0.06</v>
      </c>
      <c r="F33" s="567">
        <f t="shared" si="0"/>
        <v>8.9972999999999997E-2</v>
      </c>
      <c r="G33" s="567">
        <f t="shared" si="1"/>
        <v>4.0450468071172335E-2</v>
      </c>
      <c r="H33" s="568">
        <f t="shared" si="2"/>
        <v>3.6394499637675882E-3</v>
      </c>
    </row>
    <row r="34" spans="1:15">
      <c r="A34" s="519"/>
      <c r="B34" s="519"/>
      <c r="C34" s="570">
        <f>SUMIF(F4:F33,"&lt;&gt;n/a",C4:C33)</f>
        <v>952144.72999999986</v>
      </c>
      <c r="D34" s="571"/>
      <c r="E34" s="571"/>
      <c r="F34" s="571"/>
      <c r="G34" s="572"/>
      <c r="H34" s="573">
        <f>SUM(H4:H33)</f>
        <v>9.4973287158418643E-2</v>
      </c>
      <c r="O34" s="574"/>
    </row>
    <row r="35" spans="1:15">
      <c r="A35" s="519"/>
      <c r="B35" s="519"/>
    </row>
    <row r="36" spans="1:15">
      <c r="A36" s="519"/>
      <c r="B36" s="519"/>
    </row>
    <row r="37" spans="1:15">
      <c r="A37" s="519"/>
      <c r="B37" s="519"/>
    </row>
  </sheetData>
  <sortState ref="J4:J33">
    <sortCondition ref="J4"/>
  </sortStat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Y1156"/>
  <sheetViews>
    <sheetView topLeftCell="Y29" zoomScale="76" zoomScaleNormal="78" workbookViewId="0">
      <selection activeCell="AS42" sqref="AS42"/>
    </sheetView>
  </sheetViews>
  <sheetFormatPr defaultColWidth="10.28515625" defaultRowHeight="14.25"/>
  <cols>
    <col min="1" max="1" width="15" style="575" bestFit="1" customWidth="1"/>
    <col min="2" max="2" width="17.28515625" style="577" customWidth="1"/>
    <col min="3" max="3" width="14" style="577" customWidth="1"/>
    <col min="4" max="4" width="15" style="577" bestFit="1" customWidth="1"/>
    <col min="5" max="6" width="11.85546875" style="577" customWidth="1"/>
    <col min="7" max="7" width="17.28515625" style="577" bestFit="1" customWidth="1"/>
    <col min="8" max="8" width="11.85546875" style="577" customWidth="1"/>
    <col min="9" max="11" width="12.28515625" style="577" bestFit="1" customWidth="1"/>
    <col min="12" max="12" width="20.28515625" style="575" bestFit="1" customWidth="1"/>
    <col min="13" max="13" width="20" style="575" bestFit="1" customWidth="1"/>
    <col min="14" max="14" width="24.28515625" style="575" bestFit="1" customWidth="1"/>
    <col min="15" max="16" width="24" style="575" customWidth="1"/>
    <col min="17" max="17" width="22.28515625" style="575" bestFit="1" customWidth="1"/>
    <col min="18" max="18" width="18.28515625" style="575" bestFit="1" customWidth="1"/>
    <col min="19" max="19" width="10.28515625" style="575" bestFit="1" customWidth="1"/>
    <col min="20" max="20" width="10.28515625" style="575"/>
    <col min="21" max="22" width="10.28515625" style="575" bestFit="1" customWidth="1"/>
    <col min="23" max="23" width="16" style="575" bestFit="1" customWidth="1"/>
    <col min="24" max="24" width="10.28515625" style="575" bestFit="1" customWidth="1"/>
    <col min="25" max="26" width="15" style="575" bestFit="1" customWidth="1"/>
    <col min="27" max="29" width="10.28515625" style="575" bestFit="1" customWidth="1"/>
    <col min="30" max="30" width="10.28515625" style="575"/>
    <col min="31" max="34" width="10.28515625" style="575" bestFit="1" customWidth="1"/>
    <col min="35" max="36" width="15" style="575" bestFit="1" customWidth="1"/>
    <col min="37" max="39" width="10.28515625" style="575" bestFit="1" customWidth="1"/>
    <col min="40" max="40" width="10.28515625" style="575"/>
    <col min="41" max="44" width="10.28515625" style="575" bestFit="1" customWidth="1"/>
    <col min="45" max="45" width="15" style="575" bestFit="1" customWidth="1"/>
    <col min="46" max="49" width="10.28515625" style="575" bestFit="1" customWidth="1"/>
    <col min="50" max="16384" width="10.28515625" style="575"/>
  </cols>
  <sheetData>
    <row r="1" spans="1:49" ht="15" thickBot="1">
      <c r="A1" s="575" t="s">
        <v>1481</v>
      </c>
      <c r="B1" s="576"/>
      <c r="C1" s="577" t="s">
        <v>1480</v>
      </c>
      <c r="I1" s="1056"/>
      <c r="J1" s="1056"/>
      <c r="U1" s="88" t="s">
        <v>2162</v>
      </c>
      <c r="V1" s="88"/>
      <c r="W1" s="88"/>
      <c r="X1" s="88"/>
      <c r="Y1" s="88"/>
      <c r="Z1" s="88"/>
      <c r="AA1" s="88"/>
      <c r="AB1" s="88"/>
      <c r="AC1" s="88"/>
      <c r="AE1" s="88" t="s">
        <v>2162</v>
      </c>
      <c r="AF1" s="88"/>
      <c r="AG1" s="88"/>
      <c r="AH1" s="88"/>
      <c r="AI1" s="88"/>
      <c r="AJ1" s="88"/>
      <c r="AK1" s="88"/>
      <c r="AL1" s="88"/>
      <c r="AM1" s="88"/>
      <c r="AO1" s="88" t="s">
        <v>2162</v>
      </c>
      <c r="AP1" s="88"/>
      <c r="AQ1" s="88"/>
      <c r="AR1" s="88"/>
      <c r="AS1" s="88"/>
      <c r="AT1" s="88"/>
      <c r="AU1" s="88"/>
      <c r="AV1" s="88"/>
      <c r="AW1" s="88"/>
    </row>
    <row r="2" spans="1:49" ht="15" thickBot="1">
      <c r="A2" s="575" t="s">
        <v>1479</v>
      </c>
      <c r="B2" s="578"/>
      <c r="C2" s="577" t="s">
        <v>1478</v>
      </c>
      <c r="I2" s="1056"/>
      <c r="J2" s="1056"/>
      <c r="U2" s="88"/>
      <c r="V2" s="88"/>
      <c r="W2" s="88"/>
      <c r="X2" s="88"/>
      <c r="Y2" s="88"/>
      <c r="Z2" s="88"/>
      <c r="AA2" s="88"/>
      <c r="AB2" s="88"/>
      <c r="AC2" s="88"/>
      <c r="AE2" s="88"/>
      <c r="AF2" s="88"/>
      <c r="AG2" s="88"/>
      <c r="AH2" s="88"/>
      <c r="AI2" s="88"/>
      <c r="AJ2" s="88"/>
      <c r="AK2" s="88"/>
      <c r="AL2" s="88"/>
      <c r="AM2" s="88"/>
      <c r="AO2" s="88"/>
      <c r="AP2" s="88"/>
      <c r="AQ2" s="88"/>
      <c r="AR2" s="88"/>
      <c r="AS2" s="88"/>
      <c r="AT2" s="88"/>
      <c r="AU2" s="88"/>
      <c r="AV2" s="88"/>
      <c r="AW2" s="88"/>
    </row>
    <row r="3" spans="1:49">
      <c r="I3" s="1056"/>
      <c r="J3" s="1056"/>
      <c r="U3" s="579" t="s">
        <v>2163</v>
      </c>
      <c r="V3" s="579"/>
      <c r="W3" s="88"/>
      <c r="X3" s="88"/>
      <c r="Y3" s="88"/>
      <c r="Z3" s="88"/>
      <c r="AA3" s="88"/>
      <c r="AB3" s="88"/>
      <c r="AC3" s="88"/>
      <c r="AE3" s="579" t="s">
        <v>2163</v>
      </c>
      <c r="AF3" s="579"/>
      <c r="AG3" s="88"/>
      <c r="AH3" s="88"/>
      <c r="AI3" s="88"/>
      <c r="AJ3" s="88"/>
      <c r="AK3" s="88"/>
      <c r="AL3" s="88"/>
      <c r="AM3" s="88"/>
      <c r="AO3" s="579" t="s">
        <v>2163</v>
      </c>
      <c r="AP3" s="579"/>
      <c r="AQ3" s="88"/>
      <c r="AR3" s="88"/>
      <c r="AS3" s="88"/>
      <c r="AT3" s="88"/>
      <c r="AU3" s="88"/>
      <c r="AV3" s="88"/>
      <c r="AW3" s="88"/>
    </row>
    <row r="4" spans="1:49" ht="28.5">
      <c r="B4" s="577" t="s">
        <v>1477</v>
      </c>
      <c r="C4" s="577" t="s">
        <v>1476</v>
      </c>
      <c r="D4" s="577" t="s">
        <v>1475</v>
      </c>
      <c r="E4" s="577" t="s">
        <v>1474</v>
      </c>
      <c r="F4" s="577" t="s">
        <v>1473</v>
      </c>
      <c r="G4" s="580" t="s">
        <v>1472</v>
      </c>
      <c r="H4" s="577" t="s">
        <v>1471</v>
      </c>
      <c r="I4" s="577" t="s">
        <v>1470</v>
      </c>
      <c r="J4" s="577" t="s">
        <v>1469</v>
      </c>
      <c r="K4" s="577" t="s">
        <v>1468</v>
      </c>
      <c r="L4" s="575" t="s">
        <v>2164</v>
      </c>
      <c r="M4" s="575" t="s">
        <v>2165</v>
      </c>
      <c r="N4" s="575" t="s">
        <v>2166</v>
      </c>
      <c r="O4" s="575" t="s">
        <v>2167</v>
      </c>
      <c r="P4" s="575" t="s">
        <v>2168</v>
      </c>
      <c r="Q4" s="575" t="s">
        <v>2169</v>
      </c>
      <c r="R4" s="575" t="s">
        <v>2170</v>
      </c>
      <c r="S4" s="575" t="s">
        <v>2171</v>
      </c>
      <c r="U4" s="88" t="s">
        <v>2172</v>
      </c>
      <c r="V4" s="88">
        <v>0.14137827820019411</v>
      </c>
      <c r="W4" s="88"/>
      <c r="X4" s="88"/>
      <c r="Y4" s="88"/>
      <c r="Z4" s="88"/>
      <c r="AA4" s="88"/>
      <c r="AB4" s="88"/>
      <c r="AC4" s="88"/>
      <c r="AE4" s="88" t="s">
        <v>2172</v>
      </c>
      <c r="AF4" s="88">
        <v>0.17054177502691326</v>
      </c>
      <c r="AG4" s="88"/>
      <c r="AH4" s="88"/>
      <c r="AI4" s="88"/>
      <c r="AJ4" s="88"/>
      <c r="AK4" s="88"/>
      <c r="AL4" s="88"/>
      <c r="AM4" s="88"/>
      <c r="AO4" s="88" t="s">
        <v>2172</v>
      </c>
      <c r="AP4" s="88">
        <v>0.11587490136180022</v>
      </c>
      <c r="AQ4" s="88"/>
      <c r="AR4" s="88"/>
      <c r="AS4" s="88"/>
      <c r="AT4" s="88"/>
      <c r="AU4" s="88"/>
      <c r="AV4" s="88"/>
      <c r="AW4" s="88"/>
    </row>
    <row r="5" spans="1:49">
      <c r="A5" s="581">
        <v>9498</v>
      </c>
      <c r="B5" s="582">
        <v>0</v>
      </c>
      <c r="D5" s="577">
        <v>3.0999999999999999E-3</v>
      </c>
      <c r="U5" s="88" t="s">
        <v>2173</v>
      </c>
      <c r="V5" s="88">
        <v>1.9987817546851482E-2</v>
      </c>
      <c r="W5" s="88"/>
      <c r="X5" s="88"/>
      <c r="Y5" s="88"/>
      <c r="Z5" s="88"/>
      <c r="AA5" s="88"/>
      <c r="AB5" s="88"/>
      <c r="AC5" s="88"/>
      <c r="AE5" s="88" t="s">
        <v>2173</v>
      </c>
      <c r="AF5" s="88">
        <v>2.9084497029330296E-2</v>
      </c>
      <c r="AG5" s="88"/>
      <c r="AH5" s="88"/>
      <c r="AI5" s="88"/>
      <c r="AJ5" s="88"/>
      <c r="AK5" s="88"/>
      <c r="AL5" s="88"/>
      <c r="AM5" s="88"/>
      <c r="AO5" s="88" t="s">
        <v>2173</v>
      </c>
      <c r="AP5" s="88">
        <v>1.3426992765606931E-2</v>
      </c>
      <c r="AQ5" s="88"/>
      <c r="AR5" s="88"/>
      <c r="AS5" s="88"/>
      <c r="AT5" s="88"/>
      <c r="AU5" s="88"/>
      <c r="AV5" s="88"/>
      <c r="AW5" s="88"/>
    </row>
    <row r="6" spans="1:49">
      <c r="A6" s="581">
        <v>9529</v>
      </c>
      <c r="B6" s="582">
        <v>-3.85E-2</v>
      </c>
      <c r="D6" s="577">
        <v>2.8E-3</v>
      </c>
      <c r="I6" s="577">
        <f t="shared" ref="I6:I69" si="0">B6-D6</f>
        <v>-4.1299999999999996E-2</v>
      </c>
      <c r="U6" s="88" t="s">
        <v>2174</v>
      </c>
      <c r="V6" s="88">
        <v>1.9127402988069087E-2</v>
      </c>
      <c r="W6" s="88"/>
      <c r="X6" s="88"/>
      <c r="Y6" s="88"/>
      <c r="Z6" s="88"/>
      <c r="AA6" s="88"/>
      <c r="AB6" s="88"/>
      <c r="AC6" s="88"/>
      <c r="AE6" s="88" t="s">
        <v>2174</v>
      </c>
      <c r="AF6" s="88">
        <v>2.8213720793482163E-2</v>
      </c>
      <c r="AG6" s="88"/>
      <c r="AH6" s="88"/>
      <c r="AI6" s="88"/>
      <c r="AJ6" s="88"/>
      <c r="AK6" s="88"/>
      <c r="AL6" s="88"/>
      <c r="AM6" s="88"/>
      <c r="AO6" s="88" t="s">
        <v>2174</v>
      </c>
      <c r="AP6" s="88">
        <v>1.2542173925037968E-2</v>
      </c>
      <c r="AQ6" s="88"/>
      <c r="AR6" s="88"/>
      <c r="AS6" s="88"/>
      <c r="AT6" s="88"/>
      <c r="AU6" s="88"/>
      <c r="AV6" s="88"/>
      <c r="AW6" s="88"/>
    </row>
    <row r="7" spans="1:49">
      <c r="A7" s="581">
        <v>9557</v>
      </c>
      <c r="B7" s="582">
        <v>-5.7500000000000002E-2</v>
      </c>
      <c r="D7" s="577">
        <v>3.2000000000000002E-3</v>
      </c>
      <c r="I7" s="577">
        <f t="shared" si="0"/>
        <v>-6.0700000000000004E-2</v>
      </c>
      <c r="U7" s="88" t="s">
        <v>2175</v>
      </c>
      <c r="V7" s="88">
        <v>0.21015764843621795</v>
      </c>
      <c r="W7" s="88"/>
      <c r="X7" s="88"/>
      <c r="Y7" s="88"/>
      <c r="Z7" s="88"/>
      <c r="AA7" s="88"/>
      <c r="AB7" s="88"/>
      <c r="AC7" s="88"/>
      <c r="AE7" s="88" t="s">
        <v>2175</v>
      </c>
      <c r="AF7" s="88">
        <v>0.20984436613618665</v>
      </c>
      <c r="AG7" s="88"/>
      <c r="AH7" s="88"/>
      <c r="AI7" s="88"/>
      <c r="AJ7" s="88"/>
      <c r="AK7" s="88"/>
      <c r="AL7" s="88"/>
      <c r="AM7" s="88"/>
      <c r="AO7" s="88" t="s">
        <v>2175</v>
      </c>
      <c r="AP7" s="88">
        <v>0.21818068428572543</v>
      </c>
      <c r="AQ7" s="88"/>
      <c r="AR7" s="88"/>
      <c r="AS7" s="88"/>
      <c r="AT7" s="88"/>
      <c r="AU7" s="88"/>
      <c r="AV7" s="88"/>
      <c r="AW7" s="88"/>
    </row>
    <row r="8" spans="1:49" ht="15" thickBot="1">
      <c r="A8" s="581">
        <v>9588</v>
      </c>
      <c r="B8" s="582">
        <v>2.53E-2</v>
      </c>
      <c r="D8" s="577">
        <v>3.0000000000000001E-3</v>
      </c>
      <c r="I8" s="577">
        <f t="shared" si="0"/>
        <v>2.23E-2</v>
      </c>
      <c r="U8" s="583" t="s">
        <v>2176</v>
      </c>
      <c r="V8" s="583">
        <v>1141</v>
      </c>
      <c r="W8" s="88"/>
      <c r="X8" s="88"/>
      <c r="Y8" s="88"/>
      <c r="Z8" s="88"/>
      <c r="AA8" s="88"/>
      <c r="AB8" s="88"/>
      <c r="AC8" s="88"/>
      <c r="AE8" s="583" t="s">
        <v>2176</v>
      </c>
      <c r="AF8" s="583">
        <v>1117</v>
      </c>
      <c r="AG8" s="88"/>
      <c r="AH8" s="88"/>
      <c r="AI8" s="88"/>
      <c r="AJ8" s="88"/>
      <c r="AK8" s="88"/>
      <c r="AL8" s="88"/>
      <c r="AM8" s="88"/>
      <c r="AO8" s="583" t="s">
        <v>2176</v>
      </c>
      <c r="AP8" s="583">
        <v>1117</v>
      </c>
      <c r="AQ8" s="88"/>
      <c r="AR8" s="88"/>
      <c r="AS8" s="88"/>
      <c r="AT8" s="88"/>
      <c r="AU8" s="88"/>
      <c r="AV8" s="88"/>
      <c r="AW8" s="88"/>
    </row>
    <row r="9" spans="1:49">
      <c r="A9" s="581">
        <v>9618</v>
      </c>
      <c r="B9" s="582">
        <v>1.7899999999999999E-2</v>
      </c>
      <c r="D9" s="577">
        <v>2.8E-3</v>
      </c>
      <c r="I9" s="577">
        <f t="shared" si="0"/>
        <v>1.5099999999999999E-2</v>
      </c>
      <c r="U9" s="88"/>
      <c r="V9" s="88"/>
      <c r="W9" s="88"/>
      <c r="X9" s="88"/>
      <c r="Y9" s="88"/>
      <c r="Z9" s="88"/>
      <c r="AA9" s="88"/>
      <c r="AB9" s="88"/>
      <c r="AC9" s="88"/>
      <c r="AE9" s="88"/>
      <c r="AF9" s="88"/>
      <c r="AG9" s="88"/>
      <c r="AH9" s="88"/>
      <c r="AI9" s="88"/>
      <c r="AJ9" s="88"/>
      <c r="AK9" s="88"/>
      <c r="AL9" s="88"/>
      <c r="AM9" s="88"/>
      <c r="AO9" s="88"/>
      <c r="AP9" s="88"/>
      <c r="AQ9" s="88"/>
      <c r="AR9" s="88"/>
      <c r="AS9" s="88"/>
      <c r="AT9" s="88"/>
      <c r="AU9" s="88"/>
      <c r="AV9" s="88"/>
      <c r="AW9" s="88"/>
    </row>
    <row r="10" spans="1:49" ht="15" thickBot="1">
      <c r="A10" s="581">
        <v>9649</v>
      </c>
      <c r="B10" s="582">
        <v>4.5699999999999998E-2</v>
      </c>
      <c r="D10" s="577">
        <v>3.3E-3</v>
      </c>
      <c r="I10" s="577">
        <f t="shared" si="0"/>
        <v>4.24E-2</v>
      </c>
      <c r="U10" s="88" t="s">
        <v>2177</v>
      </c>
      <c r="V10" s="88"/>
      <c r="W10" s="88"/>
      <c r="X10" s="88"/>
      <c r="Y10" s="88"/>
      <c r="Z10" s="88"/>
      <c r="AA10" s="88"/>
      <c r="AB10" s="88"/>
      <c r="AC10" s="88"/>
      <c r="AE10" s="88" t="s">
        <v>2177</v>
      </c>
      <c r="AF10" s="88"/>
      <c r="AG10" s="88"/>
      <c r="AH10" s="88"/>
      <c r="AI10" s="88"/>
      <c r="AJ10" s="88"/>
      <c r="AK10" s="88"/>
      <c r="AL10" s="88"/>
      <c r="AM10" s="88"/>
      <c r="AO10" s="88" t="s">
        <v>2177</v>
      </c>
      <c r="AP10" s="88"/>
      <c r="AQ10" s="88"/>
      <c r="AR10" s="88"/>
      <c r="AS10" s="88"/>
      <c r="AT10" s="88"/>
      <c r="AU10" s="88"/>
      <c r="AV10" s="88"/>
      <c r="AW10" s="88"/>
    </row>
    <row r="11" spans="1:49">
      <c r="A11" s="581">
        <v>9679</v>
      </c>
      <c r="B11" s="582">
        <v>4.7899999999999998E-2</v>
      </c>
      <c r="D11" s="577">
        <v>3.0999999999999999E-3</v>
      </c>
      <c r="I11" s="577">
        <f t="shared" si="0"/>
        <v>4.48E-2</v>
      </c>
      <c r="U11" s="584"/>
      <c r="V11" s="584" t="s">
        <v>2178</v>
      </c>
      <c r="W11" s="584" t="s">
        <v>2179</v>
      </c>
      <c r="X11" s="584" t="s">
        <v>1916</v>
      </c>
      <c r="Y11" s="584" t="s">
        <v>1728</v>
      </c>
      <c r="Z11" s="584" t="s">
        <v>2180</v>
      </c>
      <c r="AA11" s="88"/>
      <c r="AB11" s="88"/>
      <c r="AC11" s="88"/>
      <c r="AE11" s="584"/>
      <c r="AF11" s="584" t="s">
        <v>2178</v>
      </c>
      <c r="AG11" s="584" t="s">
        <v>2179</v>
      </c>
      <c r="AH11" s="584" t="s">
        <v>1916</v>
      </c>
      <c r="AI11" s="584" t="s">
        <v>1728</v>
      </c>
      <c r="AJ11" s="584" t="s">
        <v>2180</v>
      </c>
      <c r="AK11" s="88"/>
      <c r="AL11" s="88"/>
      <c r="AM11" s="88"/>
      <c r="AO11" s="584"/>
      <c r="AP11" s="584" t="s">
        <v>2178</v>
      </c>
      <c r="AQ11" s="584" t="s">
        <v>2179</v>
      </c>
      <c r="AR11" s="584" t="s">
        <v>1916</v>
      </c>
      <c r="AS11" s="584" t="s">
        <v>1728</v>
      </c>
      <c r="AT11" s="584" t="s">
        <v>2180</v>
      </c>
      <c r="AU11" s="88"/>
      <c r="AV11" s="88"/>
      <c r="AW11" s="88"/>
    </row>
    <row r="12" spans="1:49">
      <c r="A12" s="581">
        <v>9710</v>
      </c>
      <c r="B12" s="582">
        <v>2.4799999999999999E-2</v>
      </c>
      <c r="D12" s="577">
        <v>3.0999999999999999E-3</v>
      </c>
      <c r="I12" s="577">
        <f t="shared" si="0"/>
        <v>2.1700000000000001E-2</v>
      </c>
      <c r="U12" s="88" t="s">
        <v>2181</v>
      </c>
      <c r="V12" s="88">
        <v>1</v>
      </c>
      <c r="W12" s="88">
        <v>1.0260015730773944</v>
      </c>
      <c r="X12" s="88">
        <v>1.0260015730773944</v>
      </c>
      <c r="Y12" s="88">
        <v>23.230450185706971</v>
      </c>
      <c r="Z12" s="88">
        <v>1.6313039750711962E-6</v>
      </c>
      <c r="AA12" s="88"/>
      <c r="AB12" s="88"/>
      <c r="AC12" s="88"/>
      <c r="AE12" s="88" t="s">
        <v>2181</v>
      </c>
      <c r="AF12" s="88">
        <v>1</v>
      </c>
      <c r="AG12" s="88">
        <v>1.4707864397733772</v>
      </c>
      <c r="AH12" s="88">
        <v>1.4707864397733772</v>
      </c>
      <c r="AI12" s="88">
        <v>33.400655451973897</v>
      </c>
      <c r="AJ12" s="88">
        <v>9.7251222674767674E-9</v>
      </c>
      <c r="AK12" s="88"/>
      <c r="AL12" s="88"/>
      <c r="AM12" s="88"/>
      <c r="AO12" s="88" t="s">
        <v>2181</v>
      </c>
      <c r="AP12" s="88">
        <v>1</v>
      </c>
      <c r="AQ12" s="88">
        <v>0.72236549398814986</v>
      </c>
      <c r="AR12" s="88">
        <v>0.72236549398814986</v>
      </c>
      <c r="AS12" s="88">
        <v>15.174849528489935</v>
      </c>
      <c r="AT12" s="88">
        <v>1.0382943838091716E-4</v>
      </c>
      <c r="AU12" s="88"/>
      <c r="AV12" s="88"/>
      <c r="AW12" s="88"/>
    </row>
    <row r="13" spans="1:49">
      <c r="A13" s="581">
        <v>9741</v>
      </c>
      <c r="B13" s="582">
        <v>2.52E-2</v>
      </c>
      <c r="D13" s="577">
        <v>3.0000000000000001E-3</v>
      </c>
      <c r="I13" s="577">
        <f t="shared" si="0"/>
        <v>2.2200000000000001E-2</v>
      </c>
      <c r="U13" s="88" t="s">
        <v>2182</v>
      </c>
      <c r="V13" s="88">
        <v>1139</v>
      </c>
      <c r="W13" s="88">
        <v>50.305344166518474</v>
      </c>
      <c r="X13" s="88">
        <v>4.4166237196240979E-2</v>
      </c>
      <c r="Y13" s="88"/>
      <c r="Z13" s="88"/>
      <c r="AA13" s="88"/>
      <c r="AB13" s="88"/>
      <c r="AC13" s="88"/>
      <c r="AE13" s="88" t="s">
        <v>2182</v>
      </c>
      <c r="AF13" s="88">
        <v>1115</v>
      </c>
      <c r="AG13" s="88">
        <v>49.098643668994221</v>
      </c>
      <c r="AH13" s="88">
        <v>4.4034657999097955E-2</v>
      </c>
      <c r="AI13" s="88"/>
      <c r="AJ13" s="88"/>
      <c r="AK13" s="88"/>
      <c r="AL13" s="88"/>
      <c r="AM13" s="88"/>
      <c r="AO13" s="88" t="s">
        <v>2182</v>
      </c>
      <c r="AP13" s="88">
        <v>1115</v>
      </c>
      <c r="AQ13" s="88">
        <v>53.07713425985694</v>
      </c>
      <c r="AR13" s="88">
        <v>4.7602810995387393E-2</v>
      </c>
      <c r="AS13" s="88"/>
      <c r="AT13" s="88"/>
      <c r="AU13" s="88"/>
      <c r="AV13" s="88"/>
      <c r="AW13" s="88"/>
    </row>
    <row r="14" spans="1:49" ht="15" thickBot="1">
      <c r="A14" s="581">
        <v>9771</v>
      </c>
      <c r="B14" s="582">
        <v>-2.8400000000000002E-2</v>
      </c>
      <c r="D14" s="577">
        <v>3.0000000000000001E-3</v>
      </c>
      <c r="I14" s="577">
        <f t="shared" si="0"/>
        <v>-3.1400000000000004E-2</v>
      </c>
      <c r="U14" s="583" t="s">
        <v>86</v>
      </c>
      <c r="V14" s="583">
        <v>1140</v>
      </c>
      <c r="W14" s="583">
        <v>51.331345739595868</v>
      </c>
      <c r="X14" s="583"/>
      <c r="Y14" s="583"/>
      <c r="Z14" s="583"/>
      <c r="AA14" s="88"/>
      <c r="AB14" s="88"/>
      <c r="AC14" s="88"/>
      <c r="AE14" s="583" t="s">
        <v>86</v>
      </c>
      <c r="AF14" s="583">
        <v>1116</v>
      </c>
      <c r="AG14" s="583">
        <v>50.569430108767598</v>
      </c>
      <c r="AH14" s="583"/>
      <c r="AI14" s="583"/>
      <c r="AJ14" s="583"/>
      <c r="AK14" s="88"/>
      <c r="AL14" s="88"/>
      <c r="AM14" s="88"/>
      <c r="AO14" s="583" t="s">
        <v>86</v>
      </c>
      <c r="AP14" s="583">
        <v>1116</v>
      </c>
      <c r="AQ14" s="583">
        <v>53.79949975384509</v>
      </c>
      <c r="AR14" s="583"/>
      <c r="AS14" s="583"/>
      <c r="AT14" s="583"/>
      <c r="AU14" s="88"/>
      <c r="AV14" s="88"/>
      <c r="AW14" s="88"/>
    </row>
    <row r="15" spans="1:49" ht="15" thickBot="1">
      <c r="A15" s="581">
        <v>9802</v>
      </c>
      <c r="B15" s="582">
        <v>3.4700000000000002E-2</v>
      </c>
      <c r="D15" s="577">
        <v>3.0999999999999999E-3</v>
      </c>
      <c r="I15" s="577">
        <f t="shared" si="0"/>
        <v>3.1600000000000003E-2</v>
      </c>
      <c r="U15" s="88"/>
      <c r="V15" s="88"/>
      <c r="W15" s="88"/>
      <c r="X15" s="88"/>
      <c r="Y15" s="88"/>
      <c r="Z15" s="88"/>
      <c r="AA15" s="88"/>
      <c r="AB15" s="88"/>
      <c r="AC15" s="88"/>
      <c r="AE15" s="88"/>
      <c r="AF15" s="88"/>
      <c r="AG15" s="88"/>
      <c r="AH15" s="88"/>
      <c r="AI15" s="88"/>
      <c r="AJ15" s="88"/>
      <c r="AK15" s="88"/>
      <c r="AL15" s="88"/>
      <c r="AM15" s="88"/>
      <c r="AO15" s="88"/>
      <c r="AP15" s="88"/>
      <c r="AQ15" s="88"/>
      <c r="AR15" s="88"/>
      <c r="AS15" s="88"/>
      <c r="AT15" s="88"/>
      <c r="AU15" s="88"/>
      <c r="AV15" s="88"/>
      <c r="AW15" s="88"/>
    </row>
    <row r="16" spans="1:49">
      <c r="A16" s="581">
        <v>9832</v>
      </c>
      <c r="B16" s="582">
        <v>1.9599999999999999E-2</v>
      </c>
      <c r="D16" s="577">
        <v>3.0000000000000001E-3</v>
      </c>
      <c r="I16" s="577">
        <f t="shared" si="0"/>
        <v>1.66E-2</v>
      </c>
      <c r="L16" s="585">
        <f t="shared" ref="L16:L79" si="1">((1+B5)*(1+B6)*(1+B7)*(1+B8)*(1+B9)*(1+B10)*(1+B11)*(1+B12)*(1+B13)*(1+B14)*(1+B15)*(1+B16))-1</f>
        <v>0.11607444428240954</v>
      </c>
      <c r="M16" s="585">
        <f t="shared" ref="M16:M79" si="2">D16*12</f>
        <v>3.6000000000000004E-2</v>
      </c>
      <c r="O16" s="586">
        <f t="shared" ref="O16:O79" si="3">L16-M16</f>
        <v>8.0074444282409535E-2</v>
      </c>
      <c r="U16" s="584"/>
      <c r="V16" s="584" t="s">
        <v>2183</v>
      </c>
      <c r="W16" s="584" t="s">
        <v>2175</v>
      </c>
      <c r="X16" s="584" t="s">
        <v>2184</v>
      </c>
      <c r="Y16" s="584" t="s">
        <v>2185</v>
      </c>
      <c r="Z16" s="584" t="s">
        <v>2186</v>
      </c>
      <c r="AA16" s="584" t="s">
        <v>2187</v>
      </c>
      <c r="AB16" s="584" t="s">
        <v>2188</v>
      </c>
      <c r="AC16" s="584" t="s">
        <v>2189</v>
      </c>
      <c r="AE16" s="584"/>
      <c r="AF16" s="584" t="s">
        <v>2183</v>
      </c>
      <c r="AG16" s="584" t="s">
        <v>2175</v>
      </c>
      <c r="AH16" s="584" t="s">
        <v>2184</v>
      </c>
      <c r="AI16" s="584" t="s">
        <v>2185</v>
      </c>
      <c r="AJ16" s="584" t="s">
        <v>2186</v>
      </c>
      <c r="AK16" s="584" t="s">
        <v>2187</v>
      </c>
      <c r="AL16" s="584" t="s">
        <v>2188</v>
      </c>
      <c r="AM16" s="584" t="s">
        <v>2189</v>
      </c>
      <c r="AO16" s="584"/>
      <c r="AP16" s="584" t="s">
        <v>2183</v>
      </c>
      <c r="AQ16" s="584" t="s">
        <v>2175</v>
      </c>
      <c r="AR16" s="584" t="s">
        <v>2184</v>
      </c>
      <c r="AS16" s="584" t="s">
        <v>2185</v>
      </c>
      <c r="AT16" s="584" t="s">
        <v>2186</v>
      </c>
      <c r="AU16" s="584" t="s">
        <v>2187</v>
      </c>
      <c r="AV16" s="584" t="s">
        <v>2188</v>
      </c>
      <c r="AW16" s="584" t="s">
        <v>2189</v>
      </c>
    </row>
    <row r="17" spans="1:49">
      <c r="A17" s="581">
        <v>9863</v>
      </c>
      <c r="B17" s="582">
        <v>-1.9300000000000001E-2</v>
      </c>
      <c r="D17" s="577">
        <v>3.0000000000000001E-3</v>
      </c>
      <c r="I17" s="577">
        <f t="shared" si="0"/>
        <v>-2.23E-2</v>
      </c>
      <c r="L17" s="585">
        <f t="shared" si="1"/>
        <v>9.4534207507759094E-2</v>
      </c>
      <c r="M17" s="585">
        <f t="shared" si="2"/>
        <v>3.6000000000000004E-2</v>
      </c>
      <c r="O17" s="586">
        <f t="shared" si="3"/>
        <v>5.853420750775909E-2</v>
      </c>
      <c r="U17" s="88" t="s">
        <v>2190</v>
      </c>
      <c r="V17" s="88">
        <v>0.13005216995553287</v>
      </c>
      <c r="W17" s="88">
        <v>1.2829129177081134E-2</v>
      </c>
      <c r="X17" s="88">
        <v>10.137256251801352</v>
      </c>
      <c r="Y17" s="88">
        <v>3.5122169755247214E-23</v>
      </c>
      <c r="Z17" s="88">
        <v>0.10488079079914295</v>
      </c>
      <c r="AA17" s="88">
        <v>0.15522354911192279</v>
      </c>
      <c r="AB17" s="88">
        <v>0.10488079079914295</v>
      </c>
      <c r="AC17" s="88">
        <v>0.15522354911192279</v>
      </c>
      <c r="AE17" s="88" t="s">
        <v>2190</v>
      </c>
      <c r="AF17" s="88">
        <v>0.13686801073194149</v>
      </c>
      <c r="AG17" s="88">
        <v>1.4305697713513402E-2</v>
      </c>
      <c r="AH17" s="88">
        <v>9.5673775213811254</v>
      </c>
      <c r="AI17" s="88">
        <v>6.7741806780173036E-21</v>
      </c>
      <c r="AJ17" s="88">
        <v>0.10879888916814542</v>
      </c>
      <c r="AK17" s="88">
        <v>0.16493713229573756</v>
      </c>
      <c r="AL17" s="88">
        <v>0.10879888916814542</v>
      </c>
      <c r="AM17" s="88">
        <v>0.16493713229573756</v>
      </c>
      <c r="AO17" s="88" t="s">
        <v>2190</v>
      </c>
      <c r="AP17" s="88">
        <v>9.6548660100842426E-2</v>
      </c>
      <c r="AQ17" s="88">
        <v>1.4830271168172248E-2</v>
      </c>
      <c r="AR17" s="88">
        <v>6.51024239584026</v>
      </c>
      <c r="AS17" s="88">
        <v>1.1320394189100312E-10</v>
      </c>
      <c r="AT17" s="88">
        <v>6.7450276185581262E-2</v>
      </c>
      <c r="AU17" s="88">
        <v>0.12564704401610358</v>
      </c>
      <c r="AV17" s="88">
        <v>6.7450276185581262E-2</v>
      </c>
      <c r="AW17" s="88">
        <v>0.12564704401610358</v>
      </c>
    </row>
    <row r="18" spans="1:49" ht="15" thickBot="1">
      <c r="A18" s="581">
        <v>9894</v>
      </c>
      <c r="B18" s="582">
        <v>5.3699999999999998E-2</v>
      </c>
      <c r="D18" s="577">
        <v>2.7000000000000001E-3</v>
      </c>
      <c r="I18" s="577">
        <f t="shared" si="0"/>
        <v>5.0999999999999997E-2</v>
      </c>
      <c r="L18" s="585">
        <f t="shared" si="1"/>
        <v>0.19949110187303742</v>
      </c>
      <c r="M18" s="585">
        <f t="shared" si="2"/>
        <v>3.2399999999999998E-2</v>
      </c>
      <c r="O18" s="586">
        <f t="shared" si="3"/>
        <v>0.16709110187303744</v>
      </c>
      <c r="U18" s="583" t="s">
        <v>2191</v>
      </c>
      <c r="V18" s="583">
        <v>-1.0993159443314597</v>
      </c>
      <c r="W18" s="583">
        <v>0.22808341869535081</v>
      </c>
      <c r="X18" s="583">
        <v>-4.819797732862849</v>
      </c>
      <c r="Y18" s="583">
        <v>1.6313039750687874E-6</v>
      </c>
      <c r="Z18" s="583">
        <v>-1.5468267716074646</v>
      </c>
      <c r="AA18" s="583">
        <v>-0.65180511705545485</v>
      </c>
      <c r="AB18" s="583">
        <v>-1.5468267716074646</v>
      </c>
      <c r="AC18" s="583">
        <v>-0.65180511705545485</v>
      </c>
      <c r="AE18" s="583" t="s">
        <v>2191</v>
      </c>
      <c r="AF18" s="583">
        <v>-1.2729845005080282</v>
      </c>
      <c r="AG18" s="583">
        <v>0.22026506474595575</v>
      </c>
      <c r="AH18" s="583">
        <v>-5.7793300175687587</v>
      </c>
      <c r="AI18" s="583">
        <v>9.7251222674895308E-9</v>
      </c>
      <c r="AJ18" s="583">
        <v>-1.7051652303420868</v>
      </c>
      <c r="AK18" s="583">
        <v>-0.84080377067396972</v>
      </c>
      <c r="AL18" s="583">
        <v>-1.7051652303420868</v>
      </c>
      <c r="AM18" s="583">
        <v>-0.84080377067396972</v>
      </c>
      <c r="AO18" s="583" t="s">
        <v>2191</v>
      </c>
      <c r="AP18" s="583">
        <v>-0.82546130326479006</v>
      </c>
      <c r="AQ18" s="583">
        <v>0.2119017396405663</v>
      </c>
      <c r="AR18" s="583">
        <v>-3.895490922655759</v>
      </c>
      <c r="AS18" s="583">
        <v>1.0382943838072405E-4</v>
      </c>
      <c r="AT18" s="583">
        <v>-1.2412324043088474</v>
      </c>
      <c r="AU18" s="583">
        <v>-0.40969020222073277</v>
      </c>
      <c r="AV18" s="583">
        <v>-1.2412324043088474</v>
      </c>
      <c r="AW18" s="583">
        <v>-0.40969020222073277</v>
      </c>
    </row>
    <row r="19" spans="1:49">
      <c r="A19" s="581">
        <v>9922</v>
      </c>
      <c r="B19" s="582">
        <v>8.6999999999999994E-3</v>
      </c>
      <c r="D19" s="577">
        <v>2.8999999999999998E-3</v>
      </c>
      <c r="I19" s="577">
        <f t="shared" si="0"/>
        <v>5.7999999999999996E-3</v>
      </c>
      <c r="L19" s="585">
        <f t="shared" si="1"/>
        <v>0.28374182966507422</v>
      </c>
      <c r="M19" s="585">
        <f t="shared" si="2"/>
        <v>3.4799999999999998E-2</v>
      </c>
      <c r="O19" s="586">
        <f t="shared" si="3"/>
        <v>0.24894182966507422</v>
      </c>
      <c r="U19" s="88"/>
      <c r="V19" s="88"/>
      <c r="W19" s="88"/>
      <c r="X19" s="88"/>
      <c r="Y19" s="88"/>
      <c r="Z19" s="88"/>
      <c r="AA19" s="88"/>
      <c r="AB19" s="88"/>
      <c r="AC19" s="88"/>
      <c r="AE19" s="88"/>
      <c r="AF19" s="88"/>
      <c r="AG19" s="88"/>
      <c r="AH19" s="88"/>
      <c r="AI19" s="88"/>
      <c r="AJ19" s="88"/>
      <c r="AK19" s="88"/>
      <c r="AL19" s="88"/>
      <c r="AM19" s="88"/>
      <c r="AO19" s="88"/>
      <c r="AP19" s="88"/>
      <c r="AQ19" s="88"/>
      <c r="AR19" s="88"/>
      <c r="AS19" s="88"/>
      <c r="AT19" s="88"/>
      <c r="AU19" s="88"/>
      <c r="AV19" s="88"/>
      <c r="AW19" s="88"/>
    </row>
    <row r="20" spans="1:49">
      <c r="A20" s="581">
        <v>9953</v>
      </c>
      <c r="B20" s="582">
        <v>2.01E-2</v>
      </c>
      <c r="D20" s="577">
        <v>2.7000000000000001E-3</v>
      </c>
      <c r="I20" s="577">
        <f t="shared" si="0"/>
        <v>1.7399999999999999E-2</v>
      </c>
      <c r="L20" s="585">
        <f t="shared" si="1"/>
        <v>0.27723109376898725</v>
      </c>
      <c r="M20" s="585">
        <f t="shared" si="2"/>
        <v>3.2399999999999998E-2</v>
      </c>
      <c r="O20" s="586">
        <f t="shared" si="3"/>
        <v>0.24483109376898726</v>
      </c>
      <c r="U20" s="88"/>
      <c r="V20" s="88"/>
      <c r="W20" s="88"/>
      <c r="X20" s="88"/>
      <c r="Y20" s="88"/>
      <c r="Z20" s="88"/>
      <c r="AA20" s="88"/>
      <c r="AB20" s="88"/>
      <c r="AC20" s="88"/>
      <c r="AE20" s="88"/>
      <c r="AF20" s="88"/>
      <c r="AG20" s="88"/>
      <c r="AH20" s="88"/>
      <c r="AI20" s="88"/>
      <c r="AJ20" s="88"/>
      <c r="AK20" s="88"/>
      <c r="AL20" s="88"/>
      <c r="AM20" s="88"/>
      <c r="AO20" s="88"/>
      <c r="AP20" s="88"/>
      <c r="AQ20" s="88"/>
      <c r="AR20" s="88"/>
      <c r="AS20" s="88"/>
      <c r="AT20" s="88"/>
      <c r="AU20" s="88"/>
      <c r="AV20" s="88"/>
      <c r="AW20" s="88"/>
    </row>
    <row r="21" spans="1:49">
      <c r="A21" s="581">
        <v>9983</v>
      </c>
      <c r="B21" s="582">
        <v>6.0699999999999997E-2</v>
      </c>
      <c r="D21" s="577">
        <v>2.7999999999999995E-3</v>
      </c>
      <c r="I21" s="577">
        <f t="shared" si="0"/>
        <v>5.79E-2</v>
      </c>
      <c r="L21" s="585">
        <f t="shared" si="1"/>
        <v>0.33093527965494141</v>
      </c>
      <c r="M21" s="585">
        <f t="shared" si="2"/>
        <v>3.3599999999999991E-2</v>
      </c>
      <c r="O21" s="586">
        <f t="shared" si="3"/>
        <v>0.29733527965494144</v>
      </c>
      <c r="U21" s="88"/>
      <c r="V21" s="88"/>
      <c r="W21" s="88"/>
      <c r="X21" s="88"/>
      <c r="Y21" s="88"/>
      <c r="Z21" s="88"/>
      <c r="AA21" s="88"/>
      <c r="AB21" s="88"/>
      <c r="AC21" s="88"/>
      <c r="AE21" s="88"/>
      <c r="AF21" s="88"/>
      <c r="AG21" s="88"/>
      <c r="AH21" s="88"/>
      <c r="AI21" s="88"/>
      <c r="AJ21" s="88"/>
      <c r="AK21" s="88"/>
      <c r="AL21" s="88"/>
      <c r="AM21" s="88"/>
      <c r="AO21" s="88"/>
      <c r="AP21" s="88"/>
      <c r="AQ21" s="88"/>
      <c r="AR21" s="88"/>
      <c r="AS21" s="88"/>
      <c r="AT21" s="88"/>
      <c r="AU21" s="88"/>
      <c r="AV21" s="88"/>
      <c r="AW21" s="88"/>
    </row>
    <row r="22" spans="1:49">
      <c r="A22" s="581">
        <v>10014</v>
      </c>
      <c r="B22" s="582">
        <v>-6.7000000000000002E-3</v>
      </c>
      <c r="D22" s="577">
        <v>2.7000000000000001E-3</v>
      </c>
      <c r="I22" s="577">
        <f t="shared" si="0"/>
        <v>-9.4000000000000004E-3</v>
      </c>
      <c r="L22" s="585">
        <f t="shared" si="1"/>
        <v>0.26424214715621375</v>
      </c>
      <c r="M22" s="585">
        <f t="shared" si="2"/>
        <v>3.2399999999999998E-2</v>
      </c>
      <c r="O22" s="586">
        <f t="shared" si="3"/>
        <v>0.23184214715621376</v>
      </c>
      <c r="U22" s="587"/>
      <c r="V22" s="587"/>
      <c r="W22" s="587"/>
      <c r="X22" s="587"/>
      <c r="Y22" s="587"/>
      <c r="Z22" s="587"/>
      <c r="AA22" s="587"/>
      <c r="AB22" s="587"/>
      <c r="AC22" s="587"/>
      <c r="AE22" s="587"/>
      <c r="AF22" s="587"/>
      <c r="AG22" s="587"/>
      <c r="AH22" s="587"/>
      <c r="AI22" s="587"/>
      <c r="AJ22" s="587"/>
      <c r="AK22" s="587"/>
      <c r="AL22" s="587"/>
      <c r="AM22" s="587"/>
      <c r="AO22" s="587"/>
      <c r="AP22" s="587"/>
      <c r="AQ22" s="587"/>
      <c r="AR22" s="587"/>
      <c r="AS22" s="587"/>
      <c r="AT22" s="587"/>
      <c r="AU22" s="587"/>
      <c r="AV22" s="587"/>
      <c r="AW22" s="587"/>
    </row>
    <row r="23" spans="1:49" ht="15" thickBot="1">
      <c r="A23" s="581">
        <v>10044</v>
      </c>
      <c r="B23" s="582">
        <v>6.7000000000000004E-2</v>
      </c>
      <c r="D23" s="577">
        <v>2.7000000000000001E-3</v>
      </c>
      <c r="I23" s="577">
        <f t="shared" si="0"/>
        <v>6.430000000000001E-2</v>
      </c>
      <c r="L23" s="585">
        <f t="shared" si="1"/>
        <v>0.28728540033942163</v>
      </c>
      <c r="M23" s="585">
        <f t="shared" si="2"/>
        <v>3.2399999999999998E-2</v>
      </c>
      <c r="O23" s="586">
        <f t="shared" si="3"/>
        <v>0.25488540033942164</v>
      </c>
      <c r="U23" s="587"/>
      <c r="V23" s="587"/>
      <c r="W23" s="587"/>
      <c r="X23" s="587"/>
      <c r="Y23" s="587"/>
      <c r="Z23" s="587"/>
      <c r="AA23" s="587"/>
      <c r="AB23" s="587"/>
      <c r="AC23" s="587"/>
      <c r="AE23" s="587"/>
      <c r="AF23" s="587"/>
      <c r="AG23" s="587"/>
      <c r="AH23" s="587"/>
      <c r="AI23" s="587"/>
      <c r="AJ23" s="587"/>
      <c r="AK23" s="587"/>
      <c r="AL23" s="587"/>
      <c r="AM23" s="587"/>
      <c r="AO23" s="587"/>
      <c r="AP23" s="587"/>
      <c r="AQ23" s="587"/>
      <c r="AR23" s="587"/>
      <c r="AS23" s="587"/>
      <c r="AT23" s="587"/>
      <c r="AU23" s="587"/>
      <c r="AV23" s="587"/>
      <c r="AW23" s="587"/>
    </row>
    <row r="24" spans="1:49">
      <c r="A24" s="581">
        <v>10075</v>
      </c>
      <c r="B24" s="582">
        <v>5.1499999999999997E-2</v>
      </c>
      <c r="D24" s="577">
        <v>2.8999999999999998E-3</v>
      </c>
      <c r="I24" s="577">
        <f t="shared" si="0"/>
        <v>4.8599999999999997E-2</v>
      </c>
      <c r="L24" s="585">
        <f t="shared" si="1"/>
        <v>0.32082415930611119</v>
      </c>
      <c r="M24" s="585">
        <f t="shared" si="2"/>
        <v>3.4799999999999998E-2</v>
      </c>
      <c r="O24" s="586">
        <f t="shared" si="3"/>
        <v>0.28602415930611119</v>
      </c>
      <c r="U24" s="588"/>
      <c r="V24" s="588"/>
      <c r="W24" s="588"/>
      <c r="X24" s="587"/>
      <c r="Y24" s="587"/>
      <c r="Z24" s="587"/>
      <c r="AA24" s="587"/>
      <c r="AB24" s="587"/>
      <c r="AC24" s="587"/>
      <c r="AE24" s="588"/>
      <c r="AF24" s="588"/>
      <c r="AG24" s="588"/>
      <c r="AH24" s="587"/>
      <c r="AI24" s="587"/>
      <c r="AJ24" s="587"/>
      <c r="AK24" s="587"/>
      <c r="AL24" s="587"/>
      <c r="AM24" s="587"/>
      <c r="AO24" s="588"/>
      <c r="AP24" s="588"/>
      <c r="AQ24" s="588"/>
      <c r="AR24" s="587"/>
      <c r="AS24" s="587"/>
      <c r="AT24" s="587"/>
      <c r="AU24" s="587"/>
      <c r="AV24" s="587"/>
      <c r="AW24" s="587"/>
    </row>
    <row r="25" spans="1:49">
      <c r="A25" s="581">
        <v>10106</v>
      </c>
      <c r="B25" s="582">
        <v>4.4999999999999998E-2</v>
      </c>
      <c r="D25" s="577">
        <v>2.7000000000000001E-3</v>
      </c>
      <c r="I25" s="577">
        <f t="shared" si="0"/>
        <v>4.2299999999999997E-2</v>
      </c>
      <c r="L25" s="585">
        <f t="shared" si="1"/>
        <v>0.34633363877768808</v>
      </c>
      <c r="M25" s="585">
        <f t="shared" si="2"/>
        <v>3.2399999999999998E-2</v>
      </c>
      <c r="O25" s="586">
        <f t="shared" si="3"/>
        <v>0.3139336387776881</v>
      </c>
      <c r="U25" s="587"/>
      <c r="V25" s="587"/>
      <c r="W25" s="587"/>
      <c r="X25" s="587"/>
      <c r="Y25" s="587"/>
      <c r="Z25" s="587"/>
      <c r="AA25" s="587"/>
      <c r="AB25" s="587"/>
      <c r="AC25" s="587"/>
      <c r="AE25" s="587"/>
      <c r="AF25" s="587"/>
      <c r="AG25" s="587"/>
      <c r="AH25" s="587"/>
      <c r="AI25" s="587"/>
      <c r="AJ25" s="587"/>
      <c r="AK25" s="587"/>
      <c r="AL25" s="587"/>
      <c r="AM25" s="587"/>
      <c r="AO25" s="587"/>
      <c r="AP25" s="587"/>
      <c r="AQ25" s="587"/>
      <c r="AR25" s="587"/>
      <c r="AS25" s="587"/>
      <c r="AT25" s="587"/>
      <c r="AU25" s="587"/>
      <c r="AV25" s="587"/>
      <c r="AW25" s="587"/>
    </row>
    <row r="26" spans="1:49">
      <c r="A26" s="581">
        <v>10136</v>
      </c>
      <c r="B26" s="582">
        <v>-5.0200000000000002E-2</v>
      </c>
      <c r="D26" s="577">
        <v>2.7999999999999995E-3</v>
      </c>
      <c r="I26" s="577">
        <f t="shared" si="0"/>
        <v>-5.2999999999999999E-2</v>
      </c>
      <c r="L26" s="585">
        <f t="shared" si="1"/>
        <v>0.31612565882158083</v>
      </c>
      <c r="M26" s="585">
        <f t="shared" si="2"/>
        <v>3.3599999999999991E-2</v>
      </c>
      <c r="O26" s="586">
        <f t="shared" si="3"/>
        <v>0.28252565882158087</v>
      </c>
      <c r="U26" s="587"/>
      <c r="V26" s="587"/>
      <c r="W26" s="587"/>
      <c r="X26" s="587"/>
      <c r="Y26" s="587"/>
      <c r="Z26" s="587"/>
      <c r="AA26" s="587"/>
      <c r="AB26" s="587"/>
      <c r="AC26" s="587"/>
      <c r="AE26" s="587"/>
      <c r="AF26" s="587"/>
      <c r="AG26" s="587"/>
      <c r="AH26" s="587"/>
      <c r="AI26" s="587"/>
      <c r="AJ26" s="587"/>
      <c r="AK26" s="587"/>
      <c r="AL26" s="587"/>
      <c r="AM26" s="587"/>
      <c r="AO26" s="587"/>
      <c r="AP26" s="587"/>
      <c r="AQ26" s="587"/>
      <c r="AR26" s="587"/>
      <c r="AS26" s="587"/>
      <c r="AT26" s="587"/>
      <c r="AU26" s="587"/>
      <c r="AV26" s="587"/>
      <c r="AW26" s="587"/>
    </row>
    <row r="27" spans="1:49">
      <c r="A27" s="581">
        <v>10167</v>
      </c>
      <c r="B27" s="582">
        <v>7.2099999999999997E-2</v>
      </c>
      <c r="D27" s="577">
        <v>2.7000000000000001E-3</v>
      </c>
      <c r="I27" s="577">
        <f t="shared" si="0"/>
        <v>6.9400000000000003E-2</v>
      </c>
      <c r="L27" s="585">
        <f t="shared" si="1"/>
        <v>0.36369799828222393</v>
      </c>
      <c r="M27" s="585">
        <f t="shared" si="2"/>
        <v>3.2399999999999998E-2</v>
      </c>
      <c r="O27" s="586">
        <f t="shared" si="3"/>
        <v>0.33129799828222395</v>
      </c>
      <c r="U27" s="587"/>
      <c r="V27" s="587"/>
      <c r="W27" s="587"/>
      <c r="X27" s="587"/>
      <c r="Y27" s="587"/>
      <c r="Z27" s="587"/>
      <c r="AA27" s="587"/>
      <c r="AB27" s="587"/>
      <c r="AC27" s="587"/>
      <c r="AE27" s="587"/>
      <c r="AF27" s="587"/>
      <c r="AG27" s="587"/>
      <c r="AH27" s="587"/>
      <c r="AI27" s="587"/>
      <c r="AJ27" s="587"/>
      <c r="AK27" s="587"/>
      <c r="AL27" s="587"/>
      <c r="AM27" s="587"/>
      <c r="AO27" s="587"/>
      <c r="AP27" s="587"/>
      <c r="AQ27" s="587"/>
      <c r="AR27" s="587"/>
      <c r="AS27" s="587"/>
      <c r="AT27" s="587"/>
      <c r="AU27" s="587"/>
      <c r="AV27" s="587"/>
      <c r="AW27" s="587"/>
    </row>
    <row r="28" spans="1:49">
      <c r="A28" s="581">
        <v>10197</v>
      </c>
      <c r="B28" s="582">
        <v>2.7900000000000001E-2</v>
      </c>
      <c r="D28" s="577">
        <v>2.7000000000000001E-3</v>
      </c>
      <c r="I28" s="577">
        <f t="shared" si="0"/>
        <v>2.52E-2</v>
      </c>
      <c r="L28" s="585">
        <f t="shared" si="1"/>
        <v>0.37479910988063758</v>
      </c>
      <c r="M28" s="585">
        <f t="shared" si="2"/>
        <v>3.2399999999999998E-2</v>
      </c>
      <c r="O28" s="586">
        <f t="shared" si="3"/>
        <v>0.3423991098806376</v>
      </c>
      <c r="U28" s="587"/>
      <c r="V28" s="587"/>
      <c r="W28" s="587"/>
      <c r="X28" s="587"/>
      <c r="Y28" s="587"/>
      <c r="Z28" s="587"/>
      <c r="AA28" s="587"/>
      <c r="AB28" s="587"/>
      <c r="AC28" s="587"/>
      <c r="AE28" s="587"/>
      <c r="AF28" s="587"/>
      <c r="AG28" s="587"/>
      <c r="AH28" s="587"/>
      <c r="AI28" s="587"/>
      <c r="AJ28" s="587"/>
      <c r="AK28" s="587"/>
      <c r="AL28" s="587"/>
      <c r="AM28" s="587"/>
      <c r="AO28" s="587"/>
      <c r="AP28" s="587"/>
      <c r="AQ28" s="587"/>
      <c r="AR28" s="587"/>
      <c r="AS28" s="587"/>
      <c r="AT28" s="587"/>
      <c r="AU28" s="587"/>
      <c r="AV28" s="587"/>
      <c r="AW28" s="587"/>
    </row>
    <row r="29" spans="1:49">
      <c r="A29" s="581">
        <v>10228</v>
      </c>
      <c r="B29" s="582">
        <v>-4.0000000000000001E-3</v>
      </c>
      <c r="C29" s="577">
        <v>3.7499999999999999E-2</v>
      </c>
      <c r="D29" s="577">
        <v>2.7000000000000001E-3</v>
      </c>
      <c r="E29" s="577">
        <v>3.7166666666666663E-3</v>
      </c>
      <c r="F29" s="577">
        <v>3.8416666666666673E-3</v>
      </c>
      <c r="G29" s="577">
        <v>3.7791666666666668E-3</v>
      </c>
      <c r="H29" s="577">
        <v>4.0416666666666665E-3</v>
      </c>
      <c r="I29" s="577">
        <f t="shared" si="0"/>
        <v>-6.7000000000000002E-3</v>
      </c>
      <c r="J29" s="577">
        <f t="shared" ref="J29:J92" si="4">B29-G29</f>
        <v>-7.7791666666666669E-3</v>
      </c>
      <c r="K29" s="577">
        <f t="shared" ref="K29:K92" si="5">$C29-H29</f>
        <v>3.3458333333333333E-2</v>
      </c>
      <c r="L29" s="585">
        <f t="shared" si="1"/>
        <v>0.39624748999807768</v>
      </c>
      <c r="M29" s="585">
        <f t="shared" si="2"/>
        <v>3.2399999999999998E-2</v>
      </c>
      <c r="O29" s="586">
        <f t="shared" si="3"/>
        <v>0.3638474899980777</v>
      </c>
      <c r="U29" s="587"/>
      <c r="V29" s="587"/>
      <c r="W29" s="587"/>
      <c r="X29" s="587"/>
      <c r="Y29" s="587"/>
      <c r="Z29" s="587"/>
      <c r="AA29" s="587"/>
      <c r="AB29" s="587"/>
      <c r="AC29" s="587"/>
      <c r="AE29" s="587"/>
      <c r="AF29" s="587"/>
      <c r="AG29" s="587"/>
      <c r="AH29" s="587"/>
      <c r="AI29" s="587"/>
      <c r="AJ29" s="587"/>
      <c r="AK29" s="587"/>
      <c r="AL29" s="587"/>
      <c r="AM29" s="587"/>
      <c r="AO29" s="587"/>
      <c r="AP29" s="587"/>
      <c r="AQ29" s="587"/>
      <c r="AR29" s="587"/>
      <c r="AS29" s="587"/>
      <c r="AT29" s="587"/>
      <c r="AU29" s="587"/>
      <c r="AV29" s="587"/>
      <c r="AW29" s="587"/>
    </row>
    <row r="30" spans="1:49">
      <c r="A30" s="581">
        <v>10259</v>
      </c>
      <c r="B30" s="582">
        <v>-1.2500000000000001E-2</v>
      </c>
      <c r="C30" s="577">
        <v>-8.0000000000000002E-3</v>
      </c>
      <c r="D30" s="577">
        <v>2.5000000000000001E-3</v>
      </c>
      <c r="E30" s="577">
        <v>3.7166666666666663E-3</v>
      </c>
      <c r="F30" s="577">
        <v>3.8416666666666673E-3</v>
      </c>
      <c r="G30" s="577">
        <v>3.7791666666666668E-3</v>
      </c>
      <c r="H30" s="577">
        <v>4.0416666666666665E-3</v>
      </c>
      <c r="I30" s="577">
        <f t="shared" si="0"/>
        <v>-1.5000000000000001E-2</v>
      </c>
      <c r="J30" s="577">
        <f t="shared" si="4"/>
        <v>-1.6279166666666667E-2</v>
      </c>
      <c r="K30" s="577">
        <f t="shared" si="5"/>
        <v>-1.2041666666666666E-2</v>
      </c>
      <c r="L30" s="585">
        <f t="shared" si="1"/>
        <v>0.30852652213447995</v>
      </c>
      <c r="M30" s="585">
        <f t="shared" si="2"/>
        <v>0.03</v>
      </c>
      <c r="O30" s="586">
        <f t="shared" si="3"/>
        <v>0.27852652213447993</v>
      </c>
      <c r="U30" s="587"/>
      <c r="V30" s="587"/>
      <c r="W30" s="587"/>
      <c r="X30" s="587"/>
      <c r="Y30" s="587"/>
      <c r="Z30" s="587"/>
      <c r="AA30" s="587"/>
      <c r="AB30" s="587"/>
      <c r="AC30" s="587"/>
      <c r="AE30" s="587"/>
      <c r="AF30" s="587"/>
      <c r="AG30" s="587"/>
      <c r="AH30" s="587"/>
      <c r="AI30" s="587"/>
      <c r="AJ30" s="587"/>
      <c r="AK30" s="587"/>
      <c r="AL30" s="587"/>
      <c r="AM30" s="587"/>
      <c r="AO30" s="587"/>
      <c r="AP30" s="587"/>
      <c r="AQ30" s="587"/>
      <c r="AR30" s="587"/>
      <c r="AS30" s="587"/>
      <c r="AT30" s="587"/>
      <c r="AU30" s="587"/>
      <c r="AV30" s="587"/>
      <c r="AW30" s="587"/>
    </row>
    <row r="31" spans="1:49">
      <c r="A31" s="581">
        <v>10288</v>
      </c>
      <c r="B31" s="582">
        <v>0.1101</v>
      </c>
      <c r="C31" s="577">
        <v>7.2299999999999989E-2</v>
      </c>
      <c r="D31" s="577">
        <v>2.7000000000000001E-3</v>
      </c>
      <c r="E31" s="577">
        <v>3.7166666666666663E-3</v>
      </c>
      <c r="F31" s="577">
        <v>3.8250000000000003E-3</v>
      </c>
      <c r="G31" s="577">
        <v>3.7708333333333331E-3</v>
      </c>
      <c r="H31" s="577">
        <v>4.0166666666666666E-3</v>
      </c>
      <c r="I31" s="577">
        <f t="shared" si="0"/>
        <v>0.10740000000000001</v>
      </c>
      <c r="J31" s="577">
        <f t="shared" si="4"/>
        <v>0.10632916666666667</v>
      </c>
      <c r="K31" s="577">
        <f t="shared" si="5"/>
        <v>6.8283333333333321E-2</v>
      </c>
      <c r="L31" s="585">
        <f t="shared" si="1"/>
        <v>0.44006671182857837</v>
      </c>
      <c r="M31" s="585">
        <f t="shared" si="2"/>
        <v>3.2399999999999998E-2</v>
      </c>
      <c r="O31" s="586">
        <f t="shared" si="3"/>
        <v>0.40766671182857839</v>
      </c>
      <c r="U31" s="587"/>
      <c r="V31" s="587"/>
      <c r="W31" s="587"/>
      <c r="X31" s="587"/>
      <c r="Y31" s="587"/>
      <c r="Z31" s="587"/>
      <c r="AA31" s="587"/>
      <c r="AB31" s="587"/>
      <c r="AC31" s="587"/>
      <c r="AE31" s="587"/>
      <c r="AF31" s="587"/>
      <c r="AG31" s="587"/>
      <c r="AH31" s="587"/>
      <c r="AI31" s="587"/>
      <c r="AJ31" s="587"/>
      <c r="AK31" s="587"/>
      <c r="AL31" s="587"/>
      <c r="AM31" s="587"/>
      <c r="AO31" s="587"/>
      <c r="AP31" s="587"/>
      <c r="AQ31" s="587"/>
      <c r="AR31" s="587"/>
      <c r="AS31" s="587"/>
      <c r="AT31" s="587"/>
      <c r="AU31" s="587"/>
      <c r="AV31" s="587"/>
      <c r="AW31" s="587"/>
    </row>
    <row r="32" spans="1:49">
      <c r="A32" s="581">
        <v>10319</v>
      </c>
      <c r="B32" s="582">
        <v>3.4500000000000003E-2</v>
      </c>
      <c r="C32" s="577">
        <v>9.8600000000000007E-2</v>
      </c>
      <c r="D32" s="577">
        <v>2.5999999999999999E-3</v>
      </c>
      <c r="E32" s="577">
        <v>3.7166666666666663E-3</v>
      </c>
      <c r="F32" s="577">
        <v>3.8333333333333331E-3</v>
      </c>
      <c r="G32" s="577">
        <v>3.7749999999999993E-3</v>
      </c>
      <c r="H32" s="577">
        <v>4.0166666666666666E-3</v>
      </c>
      <c r="I32" s="577">
        <f t="shared" si="0"/>
        <v>3.1900000000000005E-2</v>
      </c>
      <c r="J32" s="577">
        <f t="shared" si="4"/>
        <v>3.0725000000000002E-2</v>
      </c>
      <c r="K32" s="577">
        <f t="shared" si="5"/>
        <v>9.4583333333333339E-2</v>
      </c>
      <c r="L32" s="585">
        <f t="shared" si="1"/>
        <v>0.46039507243080435</v>
      </c>
      <c r="M32" s="585">
        <f t="shared" si="2"/>
        <v>3.1199999999999999E-2</v>
      </c>
      <c r="O32" s="586">
        <f t="shared" si="3"/>
        <v>0.42919507243080435</v>
      </c>
      <c r="U32" s="587"/>
      <c r="V32" s="587"/>
      <c r="W32" s="587"/>
      <c r="X32" s="587"/>
      <c r="Y32" s="587"/>
      <c r="Z32" s="587"/>
      <c r="AA32" s="587"/>
      <c r="AB32" s="587"/>
      <c r="AC32" s="587"/>
      <c r="AE32" s="587"/>
      <c r="AF32" s="587"/>
      <c r="AG32" s="587"/>
      <c r="AH32" s="587"/>
      <c r="AI32" s="587"/>
      <c r="AJ32" s="587"/>
      <c r="AK32" s="587"/>
      <c r="AL32" s="587"/>
      <c r="AM32" s="587"/>
      <c r="AO32" s="587"/>
      <c r="AP32" s="587"/>
      <c r="AQ32" s="587"/>
      <c r="AR32" s="587"/>
      <c r="AS32" s="587"/>
      <c r="AT32" s="587"/>
      <c r="AU32" s="587"/>
      <c r="AV32" s="587"/>
      <c r="AW32" s="587"/>
    </row>
    <row r="33" spans="1:51">
      <c r="A33" s="581">
        <v>10349</v>
      </c>
      <c r="B33" s="582">
        <v>1.9699999999999999E-2</v>
      </c>
      <c r="C33" s="577">
        <v>2.0799999999999999E-2</v>
      </c>
      <c r="D33" s="577">
        <v>2.7000000000000001E-3</v>
      </c>
      <c r="E33" s="577">
        <v>3.741666666666667E-3</v>
      </c>
      <c r="F33" s="577">
        <v>3.8666666666666667E-3</v>
      </c>
      <c r="G33" s="577">
        <v>3.8041666666666666E-3</v>
      </c>
      <c r="H33" s="577">
        <v>4.0583333333333331E-3</v>
      </c>
      <c r="I33" s="577">
        <f t="shared" si="0"/>
        <v>1.6999999999999998E-2</v>
      </c>
      <c r="J33" s="577">
        <f t="shared" si="4"/>
        <v>1.5895833333333331E-2</v>
      </c>
      <c r="K33" s="577">
        <f t="shared" si="5"/>
        <v>1.6741666666666665E-2</v>
      </c>
      <c r="L33" s="585">
        <f t="shared" si="1"/>
        <v>0.4039453713186496</v>
      </c>
      <c r="M33" s="585">
        <f t="shared" si="2"/>
        <v>3.2399999999999998E-2</v>
      </c>
      <c r="O33" s="586">
        <f t="shared" si="3"/>
        <v>0.37154537131864962</v>
      </c>
      <c r="U33" s="587"/>
      <c r="V33" s="587"/>
      <c r="W33" s="587"/>
      <c r="X33" s="587"/>
      <c r="Y33" s="587"/>
      <c r="Z33" s="587"/>
      <c r="AA33" s="587"/>
      <c r="AB33" s="587"/>
      <c r="AC33" s="587"/>
      <c r="AE33" s="587"/>
      <c r="AF33" s="587"/>
      <c r="AG33" s="587"/>
      <c r="AH33" s="587"/>
      <c r="AI33" s="587"/>
      <c r="AJ33" s="587"/>
      <c r="AK33" s="587"/>
      <c r="AL33" s="587"/>
      <c r="AM33" s="587"/>
      <c r="AO33" s="587"/>
      <c r="AP33" s="587"/>
      <c r="AQ33" s="587"/>
      <c r="AR33" s="587"/>
      <c r="AS33" s="587"/>
      <c r="AT33" s="587"/>
      <c r="AU33" s="587"/>
      <c r="AV33" s="587"/>
      <c r="AW33" s="587"/>
    </row>
    <row r="34" spans="1:51">
      <c r="A34" s="581">
        <v>10380</v>
      </c>
      <c r="B34" s="582">
        <v>-3.85E-2</v>
      </c>
      <c r="C34" s="577">
        <v>-4.0099999999999997E-2</v>
      </c>
      <c r="D34" s="577">
        <v>2.7000000000000001E-3</v>
      </c>
      <c r="E34" s="577">
        <v>3.8083333333333337E-3</v>
      </c>
      <c r="F34" s="577">
        <v>3.9583333333333328E-3</v>
      </c>
      <c r="G34" s="577">
        <v>3.8833333333333333E-3</v>
      </c>
      <c r="H34" s="577">
        <v>4.1583333333333333E-3</v>
      </c>
      <c r="I34" s="577">
        <f t="shared" si="0"/>
        <v>-4.1200000000000001E-2</v>
      </c>
      <c r="J34" s="577">
        <f t="shared" si="4"/>
        <v>-4.2383333333333335E-2</v>
      </c>
      <c r="K34" s="577">
        <f t="shared" si="5"/>
        <v>-4.425833333333333E-2</v>
      </c>
      <c r="L34" s="585">
        <f t="shared" si="1"/>
        <v>0.35899876625680216</v>
      </c>
      <c r="M34" s="585">
        <f t="shared" si="2"/>
        <v>3.2399999999999998E-2</v>
      </c>
      <c r="O34" s="586">
        <f t="shared" si="3"/>
        <v>0.32659876625680218</v>
      </c>
      <c r="U34" s="587"/>
      <c r="V34" s="587"/>
      <c r="W34" s="587"/>
      <c r="X34" s="587"/>
      <c r="Y34" s="587"/>
      <c r="Z34" s="587"/>
      <c r="AA34" s="587"/>
      <c r="AB34" s="587"/>
      <c r="AC34" s="587"/>
      <c r="AE34" s="587"/>
      <c r="AF34" s="587"/>
      <c r="AG34" s="587"/>
      <c r="AH34" s="587"/>
      <c r="AI34" s="587"/>
      <c r="AJ34" s="587"/>
      <c r="AK34" s="587"/>
      <c r="AL34" s="587"/>
      <c r="AM34" s="587"/>
      <c r="AO34" s="587"/>
      <c r="AP34" s="587"/>
      <c r="AQ34" s="587"/>
      <c r="AR34" s="587"/>
      <c r="AS34" s="587"/>
      <c r="AT34" s="587"/>
      <c r="AU34" s="587"/>
      <c r="AV34" s="587"/>
      <c r="AW34" s="587"/>
    </row>
    <row r="35" spans="1:51">
      <c r="A35" s="581">
        <v>10410</v>
      </c>
      <c r="B35" s="582">
        <v>1.41E-2</v>
      </c>
      <c r="C35" s="577">
        <v>-7.6000000000000009E-3</v>
      </c>
      <c r="D35" s="577">
        <v>2.7000000000000001E-3</v>
      </c>
      <c r="E35" s="577">
        <v>3.8416666666666673E-3</v>
      </c>
      <c r="F35" s="577">
        <v>3.9916666666666668E-3</v>
      </c>
      <c r="G35" s="577">
        <v>3.9166666666666673E-3</v>
      </c>
      <c r="H35" s="577">
        <v>4.1999999999999997E-3</v>
      </c>
      <c r="I35" s="577">
        <f t="shared" si="0"/>
        <v>1.14E-2</v>
      </c>
      <c r="J35" s="577">
        <f t="shared" si="4"/>
        <v>1.0183333333333332E-2</v>
      </c>
      <c r="K35" s="577">
        <f t="shared" si="5"/>
        <v>-1.1800000000000001E-2</v>
      </c>
      <c r="L35" s="585">
        <f t="shared" si="1"/>
        <v>0.29162197643957199</v>
      </c>
      <c r="M35" s="585">
        <f t="shared" si="2"/>
        <v>3.2399999999999998E-2</v>
      </c>
      <c r="O35" s="586">
        <f t="shared" si="3"/>
        <v>0.25922197643957201</v>
      </c>
      <c r="U35" s="587"/>
      <c r="V35" s="587"/>
      <c r="W35" s="587"/>
      <c r="X35" s="587"/>
      <c r="Y35" s="587"/>
      <c r="Z35" s="587"/>
      <c r="AA35" s="587"/>
      <c r="AB35" s="587"/>
      <c r="AC35" s="587"/>
      <c r="AE35" s="587"/>
      <c r="AF35" s="587"/>
      <c r="AG35" s="587"/>
      <c r="AH35" s="587"/>
      <c r="AI35" s="587"/>
      <c r="AJ35" s="587"/>
      <c r="AK35" s="587"/>
      <c r="AL35" s="587"/>
      <c r="AM35" s="587"/>
      <c r="AO35" s="587"/>
      <c r="AP35" s="587"/>
      <c r="AQ35" s="587"/>
      <c r="AR35" s="587"/>
      <c r="AS35" s="587"/>
      <c r="AT35" s="587"/>
      <c r="AU35" s="587"/>
      <c r="AV35" s="587"/>
      <c r="AW35" s="587"/>
    </row>
    <row r="36" spans="1:51">
      <c r="A36" s="581">
        <v>10441</v>
      </c>
      <c r="B36" s="582">
        <v>8.0299999999999996E-2</v>
      </c>
      <c r="C36" s="577">
        <v>6.8199999999999997E-2</v>
      </c>
      <c r="D36" s="577">
        <v>2.8999999999999998E-3</v>
      </c>
      <c r="E36" s="577">
        <v>3.8666666666666667E-3</v>
      </c>
      <c r="F36" s="577">
        <v>4.0166666666666666E-3</v>
      </c>
      <c r="G36" s="577">
        <v>3.9416666666666662E-3</v>
      </c>
      <c r="H36" s="577">
        <v>4.2333333333333337E-3</v>
      </c>
      <c r="I36" s="577">
        <f t="shared" si="0"/>
        <v>7.7399999999999997E-2</v>
      </c>
      <c r="J36" s="577">
        <f t="shared" si="4"/>
        <v>7.6358333333333334E-2</v>
      </c>
      <c r="K36" s="577">
        <f t="shared" si="5"/>
        <v>6.3966666666666658E-2</v>
      </c>
      <c r="L36" s="585">
        <f t="shared" si="1"/>
        <v>0.32699878378285274</v>
      </c>
      <c r="M36" s="585">
        <f t="shared" si="2"/>
        <v>3.4799999999999998E-2</v>
      </c>
      <c r="O36" s="586">
        <f t="shared" si="3"/>
        <v>0.29219878378285274</v>
      </c>
      <c r="U36" s="587"/>
      <c r="V36" s="587"/>
      <c r="W36" s="587"/>
      <c r="X36" s="587"/>
      <c r="Y36" s="587"/>
      <c r="Z36" s="587"/>
      <c r="AA36" s="587"/>
      <c r="AB36" s="587"/>
      <c r="AC36" s="587"/>
      <c r="AE36" s="587"/>
      <c r="AF36" s="587"/>
      <c r="AG36" s="587"/>
      <c r="AH36" s="587"/>
      <c r="AI36" s="587"/>
      <c r="AJ36" s="587"/>
      <c r="AK36" s="587"/>
      <c r="AL36" s="587"/>
      <c r="AM36" s="587"/>
      <c r="AO36" s="587"/>
      <c r="AP36" s="587"/>
      <c r="AQ36" s="587"/>
      <c r="AR36" s="587"/>
      <c r="AS36" s="587"/>
      <c r="AT36" s="587"/>
      <c r="AU36" s="587"/>
      <c r="AV36" s="587"/>
      <c r="AW36" s="587"/>
    </row>
    <row r="37" spans="1:51">
      <c r="A37" s="581">
        <v>10472</v>
      </c>
      <c r="B37" s="582">
        <v>2.5899999999999999E-2</v>
      </c>
      <c r="C37" s="577">
        <v>2.87E-2</v>
      </c>
      <c r="D37" s="577">
        <v>2.7000000000000001E-3</v>
      </c>
      <c r="E37" s="577">
        <v>3.8416666666666673E-3</v>
      </c>
      <c r="F37" s="577">
        <v>3.9916666666666668E-3</v>
      </c>
      <c r="G37" s="577">
        <v>3.9166666666666673E-3</v>
      </c>
      <c r="H37" s="577">
        <v>4.208333333333333E-3</v>
      </c>
      <c r="I37" s="577">
        <f t="shared" si="0"/>
        <v>2.3199999999999998E-2</v>
      </c>
      <c r="J37" s="577">
        <f t="shared" si="4"/>
        <v>2.1983333333333334E-2</v>
      </c>
      <c r="K37" s="577">
        <f t="shared" si="5"/>
        <v>2.4491666666666669E-2</v>
      </c>
      <c r="L37" s="585">
        <f t="shared" si="1"/>
        <v>0.30274454763907088</v>
      </c>
      <c r="M37" s="585">
        <f t="shared" si="2"/>
        <v>3.2399999999999998E-2</v>
      </c>
      <c r="O37" s="586">
        <f t="shared" si="3"/>
        <v>0.2703445476390709</v>
      </c>
      <c r="U37" s="587"/>
      <c r="V37" s="587"/>
      <c r="W37" s="587"/>
      <c r="X37" s="587"/>
      <c r="Y37" s="587"/>
      <c r="Z37" s="587"/>
      <c r="AA37" s="587"/>
      <c r="AB37" s="587"/>
      <c r="AC37" s="587"/>
      <c r="AE37" s="587"/>
      <c r="AF37" s="587"/>
      <c r="AG37" s="587"/>
      <c r="AH37" s="587"/>
      <c r="AI37" s="587"/>
      <c r="AJ37" s="587"/>
      <c r="AK37" s="587"/>
      <c r="AL37" s="587"/>
      <c r="AM37" s="587"/>
      <c r="AO37" s="587"/>
      <c r="AP37" s="587"/>
      <c r="AQ37" s="587"/>
      <c r="AR37" s="587"/>
      <c r="AS37" s="587"/>
      <c r="AT37" s="587"/>
      <c r="AU37" s="587"/>
      <c r="AV37" s="587"/>
      <c r="AW37" s="587"/>
    </row>
    <row r="38" spans="1:51">
      <c r="A38" s="581">
        <v>10502</v>
      </c>
      <c r="B38" s="582">
        <v>1.6799999999999999E-2</v>
      </c>
      <c r="C38" s="577">
        <v>-9.1999999999999998E-3</v>
      </c>
      <c r="D38" s="577">
        <v>3.0000000000000001E-3</v>
      </c>
      <c r="E38" s="577">
        <v>3.8416666666666673E-3</v>
      </c>
      <c r="F38" s="577">
        <v>3.9833333333333335E-3</v>
      </c>
      <c r="G38" s="577">
        <v>3.9125000000000002E-3</v>
      </c>
      <c r="H38" s="577">
        <v>4.1583333333333333E-3</v>
      </c>
      <c r="I38" s="577">
        <f t="shared" si="0"/>
        <v>1.38E-2</v>
      </c>
      <c r="J38" s="577">
        <f t="shared" si="4"/>
        <v>1.28875E-2</v>
      </c>
      <c r="K38" s="577">
        <f t="shared" si="5"/>
        <v>-1.3358333333333333E-2</v>
      </c>
      <c r="L38" s="585">
        <f t="shared" si="1"/>
        <v>0.3946416677610094</v>
      </c>
      <c r="M38" s="585">
        <f t="shared" si="2"/>
        <v>3.6000000000000004E-2</v>
      </c>
      <c r="O38" s="586">
        <f t="shared" si="3"/>
        <v>0.35864166776100936</v>
      </c>
      <c r="U38" s="587"/>
      <c r="V38" s="587"/>
      <c r="W38" s="587"/>
      <c r="X38" s="587"/>
      <c r="Y38" s="587"/>
      <c r="Z38" s="587"/>
      <c r="AA38" s="587"/>
      <c r="AB38" s="587"/>
      <c r="AC38" s="587"/>
      <c r="AE38" s="587"/>
      <c r="AF38" s="587"/>
      <c r="AG38" s="587"/>
      <c r="AH38" s="587"/>
      <c r="AI38" s="587"/>
      <c r="AJ38" s="587"/>
      <c r="AK38" s="587"/>
      <c r="AL38" s="587"/>
      <c r="AM38" s="587"/>
      <c r="AO38" s="587"/>
      <c r="AP38" s="587"/>
      <c r="AQ38" s="587"/>
      <c r="AR38" s="587"/>
      <c r="AS38" s="587"/>
      <c r="AT38" s="587"/>
      <c r="AU38" s="587"/>
      <c r="AV38" s="587"/>
      <c r="AW38" s="587"/>
    </row>
    <row r="39" spans="1:51">
      <c r="A39" s="581">
        <v>10533</v>
      </c>
      <c r="B39" s="582">
        <v>0.12920000000000001</v>
      </c>
      <c r="C39" s="577">
        <v>0.2147</v>
      </c>
      <c r="D39" s="577">
        <v>2.7000000000000001E-3</v>
      </c>
      <c r="E39" s="577">
        <v>3.8166666666666666E-3</v>
      </c>
      <c r="F39" s="577">
        <v>3.933333333333333E-3</v>
      </c>
      <c r="G39" s="577">
        <v>3.8749999999999995E-3</v>
      </c>
      <c r="H39" s="577">
        <v>4.15E-3</v>
      </c>
      <c r="I39" s="577">
        <f t="shared" si="0"/>
        <v>0.1265</v>
      </c>
      <c r="J39" s="577">
        <f t="shared" si="4"/>
        <v>0.12532500000000002</v>
      </c>
      <c r="K39" s="577">
        <f t="shared" si="5"/>
        <v>0.21055000000000001</v>
      </c>
      <c r="L39" s="585">
        <f t="shared" si="1"/>
        <v>0.46892022314684367</v>
      </c>
      <c r="M39" s="585">
        <f t="shared" si="2"/>
        <v>3.2399999999999998E-2</v>
      </c>
      <c r="O39" s="586">
        <f t="shared" si="3"/>
        <v>0.43652022314684369</v>
      </c>
      <c r="U39" s="587"/>
      <c r="V39" s="587"/>
      <c r="W39" s="587"/>
      <c r="X39" s="587"/>
      <c r="Y39" s="587"/>
      <c r="Z39" s="587"/>
      <c r="AA39" s="587"/>
      <c r="AB39" s="587"/>
      <c r="AC39" s="587"/>
      <c r="AE39" s="587"/>
      <c r="AF39" s="587"/>
      <c r="AG39" s="587"/>
      <c r="AH39" s="587"/>
      <c r="AI39" s="587"/>
      <c r="AJ39" s="587"/>
      <c r="AK39" s="587"/>
      <c r="AL39" s="587"/>
      <c r="AM39" s="587"/>
      <c r="AO39" s="587"/>
      <c r="AP39" s="587"/>
      <c r="AQ39" s="587"/>
      <c r="AR39" s="587"/>
      <c r="AS39" s="587"/>
      <c r="AT39" s="587"/>
      <c r="AU39" s="587"/>
      <c r="AV39" s="587"/>
      <c r="AW39" s="587"/>
    </row>
    <row r="40" spans="1:51">
      <c r="A40" s="581">
        <v>10563</v>
      </c>
      <c r="B40" s="582">
        <v>4.8999999999999998E-3</v>
      </c>
      <c r="C40" s="577">
        <v>0.01</v>
      </c>
      <c r="D40" s="577">
        <v>2.8999999999999998E-3</v>
      </c>
      <c r="E40" s="577">
        <v>3.8416666666666673E-3</v>
      </c>
      <c r="F40" s="577">
        <v>3.9749999999999994E-3</v>
      </c>
      <c r="G40" s="577">
        <v>3.908333333333334E-3</v>
      </c>
      <c r="H40" s="577">
        <v>4.208333333333333E-3</v>
      </c>
      <c r="I40" s="577">
        <f t="shared" si="0"/>
        <v>2E-3</v>
      </c>
      <c r="J40" s="577">
        <f t="shared" si="4"/>
        <v>9.9166666666666587E-4</v>
      </c>
      <c r="K40" s="577">
        <f t="shared" si="5"/>
        <v>5.7916666666666672E-3</v>
      </c>
      <c r="L40" s="585">
        <f t="shared" si="1"/>
        <v>0.43605207922975375</v>
      </c>
      <c r="M40" s="585">
        <f t="shared" si="2"/>
        <v>3.4799999999999998E-2</v>
      </c>
      <c r="N40" s="585">
        <f t="shared" ref="N40:N103" si="6">G40*12</f>
        <v>4.6900000000000011E-2</v>
      </c>
      <c r="O40" s="586">
        <f t="shared" si="3"/>
        <v>0.40125207922975376</v>
      </c>
      <c r="P40" s="585">
        <f t="shared" ref="P40:P103" si="7">L40-N40</f>
        <v>0.38915207922975376</v>
      </c>
      <c r="Q40" s="585">
        <f t="shared" ref="Q40:Q103" si="8">((1+C29)*(1+C30)*(1+C31)*(1+C32)*(1+C33)*(1+C34)*(1+C35)*(1+C36)*(1+C37)*(1+C38)*(1+C39)*(1+C40))-1</f>
        <v>0.57480506712921131</v>
      </c>
      <c r="R40" s="585">
        <f t="shared" ref="R40:R103" si="9">H40*12</f>
        <v>5.0499999999999996E-2</v>
      </c>
      <c r="S40" s="586">
        <f t="shared" ref="S40:S103" si="10">Q40-R40</f>
        <v>0.52430506712921132</v>
      </c>
      <c r="U40" s="587"/>
      <c r="V40" s="587"/>
      <c r="W40" s="587"/>
      <c r="X40" s="587"/>
      <c r="Y40" s="587"/>
      <c r="Z40" s="587"/>
      <c r="AA40" s="587"/>
      <c r="AB40" s="587"/>
      <c r="AC40" s="587"/>
      <c r="AE40" s="587"/>
      <c r="AF40" s="587"/>
      <c r="AG40" s="587"/>
      <c r="AH40" s="587"/>
      <c r="AI40" s="587"/>
      <c r="AJ40" s="587"/>
      <c r="AK40" s="587"/>
      <c r="AL40" s="587"/>
      <c r="AM40" s="587"/>
      <c r="AO40" s="587"/>
      <c r="AP40" s="587"/>
      <c r="AQ40" s="587"/>
      <c r="AR40" s="587"/>
      <c r="AS40" s="587"/>
      <c r="AT40" s="587"/>
      <c r="AU40" s="587"/>
      <c r="AV40" s="587"/>
      <c r="AW40" s="587"/>
    </row>
    <row r="41" spans="1:51">
      <c r="A41" s="581">
        <v>10594</v>
      </c>
      <c r="B41" s="582">
        <v>5.8299999999999998E-2</v>
      </c>
      <c r="C41" s="577">
        <v>0.13250000000000001</v>
      </c>
      <c r="D41" s="577">
        <v>2.8999999999999998E-3</v>
      </c>
      <c r="E41" s="577">
        <v>3.8500000000000001E-3</v>
      </c>
      <c r="F41" s="577">
        <v>3.9916666666666668E-3</v>
      </c>
      <c r="G41" s="577">
        <v>3.9208333333333335E-3</v>
      </c>
      <c r="H41" s="577">
        <v>4.208333333333333E-3</v>
      </c>
      <c r="I41" s="577">
        <f t="shared" si="0"/>
        <v>5.5399999999999998E-2</v>
      </c>
      <c r="J41" s="577">
        <f t="shared" si="4"/>
        <v>5.4379166666666666E-2</v>
      </c>
      <c r="K41" s="577">
        <f t="shared" si="5"/>
        <v>0.12829166666666666</v>
      </c>
      <c r="L41" s="585">
        <f t="shared" si="1"/>
        <v>0.5258774251494458</v>
      </c>
      <c r="M41" s="585">
        <f t="shared" si="2"/>
        <v>3.4799999999999998E-2</v>
      </c>
      <c r="N41" s="585">
        <f t="shared" si="6"/>
        <v>4.7050000000000002E-2</v>
      </c>
      <c r="O41" s="586">
        <f t="shared" si="3"/>
        <v>0.4910774251494458</v>
      </c>
      <c r="P41" s="585">
        <f t="shared" si="7"/>
        <v>0.47882742514944582</v>
      </c>
      <c r="Q41" s="585">
        <f t="shared" si="8"/>
        <v>0.71900408532417592</v>
      </c>
      <c r="R41" s="585">
        <f t="shared" si="9"/>
        <v>5.0499999999999996E-2</v>
      </c>
      <c r="S41" s="586">
        <f t="shared" si="10"/>
        <v>0.66850408532417593</v>
      </c>
      <c r="U41" s="587"/>
      <c r="V41" s="587"/>
      <c r="W41" s="587"/>
      <c r="X41" s="587"/>
      <c r="Y41" s="587" t="s">
        <v>2192</v>
      </c>
      <c r="Z41" s="587"/>
      <c r="AA41" s="587" t="s">
        <v>1482</v>
      </c>
      <c r="AB41" s="587"/>
      <c r="AC41" s="587"/>
      <c r="AE41" s="587"/>
      <c r="AF41" s="587"/>
      <c r="AG41" s="587"/>
      <c r="AH41" s="587"/>
      <c r="AI41" s="587" t="s">
        <v>2193</v>
      </c>
      <c r="AJ41" s="587"/>
      <c r="AK41" s="587" t="s">
        <v>1482</v>
      </c>
      <c r="AL41" s="587"/>
      <c r="AM41" s="587"/>
      <c r="AO41" s="587"/>
      <c r="AP41" s="587"/>
      <c r="AQ41" s="587"/>
      <c r="AR41" s="587"/>
      <c r="AS41" s="587" t="s">
        <v>2194</v>
      </c>
      <c r="AT41" s="587"/>
      <c r="AU41" s="587" t="s">
        <v>1482</v>
      </c>
      <c r="AV41" s="587"/>
      <c r="AW41" s="587"/>
    </row>
    <row r="42" spans="1:51">
      <c r="A42" s="581">
        <v>10625</v>
      </c>
      <c r="B42" s="582">
        <v>-1.9E-3</v>
      </c>
      <c r="C42" s="577">
        <v>-2.3199999999999998E-2</v>
      </c>
      <c r="D42" s="577">
        <v>2.7000000000000001E-3</v>
      </c>
      <c r="E42" s="577">
        <v>3.8833333333333337E-3</v>
      </c>
      <c r="F42" s="577">
        <v>4.0500000000000006E-3</v>
      </c>
      <c r="G42" s="577">
        <v>3.966666666666667E-3</v>
      </c>
      <c r="H42" s="577">
        <v>4.2500000000000003E-3</v>
      </c>
      <c r="I42" s="577">
        <f t="shared" si="0"/>
        <v>-4.5999999999999999E-3</v>
      </c>
      <c r="J42" s="577">
        <f t="shared" si="4"/>
        <v>-5.8666666666666667E-3</v>
      </c>
      <c r="K42" s="577">
        <f t="shared" si="5"/>
        <v>-2.7449999999999999E-2</v>
      </c>
      <c r="L42" s="585">
        <f t="shared" si="1"/>
        <v>0.54225646383965787</v>
      </c>
      <c r="M42" s="585">
        <f t="shared" si="2"/>
        <v>3.2399999999999998E-2</v>
      </c>
      <c r="N42" s="585">
        <f t="shared" si="6"/>
        <v>4.7600000000000003E-2</v>
      </c>
      <c r="O42" s="586">
        <f t="shared" si="3"/>
        <v>0.50985646383965788</v>
      </c>
      <c r="P42" s="585">
        <f t="shared" si="7"/>
        <v>0.49465646383965789</v>
      </c>
      <c r="Q42" s="585">
        <f t="shared" si="8"/>
        <v>0.69266450659743395</v>
      </c>
      <c r="R42" s="585">
        <f t="shared" si="9"/>
        <v>5.1000000000000004E-2</v>
      </c>
      <c r="S42" s="586">
        <f t="shared" si="10"/>
        <v>0.6416645065974339</v>
      </c>
      <c r="U42" s="587"/>
      <c r="V42" s="587"/>
      <c r="W42" s="587"/>
      <c r="X42" s="587"/>
      <c r="Y42" s="589">
        <f>'MRP WP1'!F37/100</f>
        <v>3.9100000000000003E-2</v>
      </c>
      <c r="Z42" s="589"/>
      <c r="AA42" s="589">
        <f>Y42*V18+V17</f>
        <v>8.7068916532172788E-2</v>
      </c>
      <c r="AB42" s="587"/>
      <c r="AC42" s="587"/>
      <c r="AE42" s="587"/>
      <c r="AF42" s="587"/>
      <c r="AG42" s="587"/>
      <c r="AH42" s="587"/>
      <c r="AI42" s="589">
        <f>'MRP WP1'!M37/100</f>
        <v>5.0499999999999996E-2</v>
      </c>
      <c r="AJ42" s="589"/>
      <c r="AK42" s="589">
        <f>AI42*AF18+AF17</f>
        <v>7.2582293456286071E-2</v>
      </c>
      <c r="AL42" s="587"/>
      <c r="AM42" s="587"/>
      <c r="AO42" s="587"/>
      <c r="AP42" s="587"/>
      <c r="AQ42" s="587"/>
      <c r="AR42" s="587"/>
      <c r="AS42" s="589">
        <f>'4.3 Risk Premium Summary'!G18/100</f>
        <v>5.8799999999999998E-2</v>
      </c>
      <c r="AT42" s="589"/>
      <c r="AU42" s="589">
        <f>AS42*AP18+AP17</f>
        <v>4.8011535468872775E-2</v>
      </c>
      <c r="AV42" s="587"/>
      <c r="AW42" s="587"/>
    </row>
    <row r="43" spans="1:51">
      <c r="A43" s="581">
        <v>10653</v>
      </c>
      <c r="B43" s="582">
        <v>-1.1999999999999999E-3</v>
      </c>
      <c r="C43" s="577">
        <v>-1.1000000000000001E-2</v>
      </c>
      <c r="D43" s="577">
        <v>2.7999999999999995E-3</v>
      </c>
      <c r="E43" s="577">
        <v>3.9166666666666664E-3</v>
      </c>
      <c r="F43" s="577">
        <v>4.0999999999999995E-3</v>
      </c>
      <c r="G43" s="577">
        <v>4.0083333333333334E-3</v>
      </c>
      <c r="H43" s="577">
        <v>4.2833333333333326E-3</v>
      </c>
      <c r="I43" s="577">
        <f t="shared" si="0"/>
        <v>-3.9999999999999992E-3</v>
      </c>
      <c r="J43" s="577">
        <f t="shared" si="4"/>
        <v>-5.208333333333333E-3</v>
      </c>
      <c r="K43" s="577">
        <f t="shared" si="5"/>
        <v>-1.5283333333333333E-2</v>
      </c>
      <c r="L43" s="585">
        <f t="shared" si="1"/>
        <v>0.38762792188365869</v>
      </c>
      <c r="M43" s="585">
        <f t="shared" si="2"/>
        <v>3.3599999999999991E-2</v>
      </c>
      <c r="N43" s="585">
        <f t="shared" si="6"/>
        <v>4.8100000000000004E-2</v>
      </c>
      <c r="O43" s="586">
        <f t="shared" si="3"/>
        <v>0.35402792188365872</v>
      </c>
      <c r="P43" s="585">
        <f t="shared" si="7"/>
        <v>0.33952792188365866</v>
      </c>
      <c r="Q43" s="585">
        <f t="shared" si="8"/>
        <v>0.56117243031321684</v>
      </c>
      <c r="R43" s="585">
        <f t="shared" si="9"/>
        <v>5.1399999999999987E-2</v>
      </c>
      <c r="S43" s="586">
        <f t="shared" si="10"/>
        <v>0.50977243031321684</v>
      </c>
      <c r="U43" s="587"/>
      <c r="V43" s="587"/>
      <c r="W43" s="587"/>
      <c r="X43" s="587"/>
      <c r="Y43" s="587"/>
      <c r="Z43" s="587"/>
      <c r="AA43" s="587"/>
      <c r="AB43" s="587"/>
      <c r="AC43" s="587"/>
      <c r="AE43" s="587"/>
      <c r="AF43" s="587"/>
      <c r="AG43" s="587"/>
      <c r="AH43" s="587"/>
      <c r="AI43" s="587"/>
      <c r="AJ43" s="587"/>
      <c r="AK43" s="587"/>
      <c r="AL43" s="587"/>
      <c r="AM43" s="587"/>
      <c r="AO43" s="587"/>
      <c r="AP43" s="587"/>
      <c r="AQ43" s="587"/>
      <c r="AR43" s="587"/>
      <c r="AS43" s="587"/>
      <c r="AT43" s="587"/>
      <c r="AU43" s="587"/>
      <c r="AV43" s="587"/>
      <c r="AW43" s="587"/>
    </row>
    <row r="44" spans="1:51">
      <c r="A44" s="634">
        <v>10684</v>
      </c>
      <c r="B44" s="635">
        <v>1.7600000000000001E-2</v>
      </c>
      <c r="C44" s="636">
        <v>3.4700000000000002E-2</v>
      </c>
      <c r="D44" s="636">
        <v>3.3999999999999998E-3</v>
      </c>
      <c r="E44" s="636">
        <v>3.908333333333334E-3</v>
      </c>
      <c r="F44" s="636">
        <v>4.0916666666666671E-3</v>
      </c>
      <c r="G44" s="636">
        <v>4.0000000000000001E-3</v>
      </c>
      <c r="H44" s="636">
        <v>4.2833333333333326E-3</v>
      </c>
      <c r="I44" s="636">
        <f t="shared" si="0"/>
        <v>1.4200000000000001E-2</v>
      </c>
      <c r="J44" s="636">
        <f t="shared" si="4"/>
        <v>1.3600000000000001E-2</v>
      </c>
      <c r="K44" s="636">
        <f t="shared" ref="K44:K46" si="11">$D44-H44</f>
        <v>-8.8333333333333276E-4</v>
      </c>
      <c r="L44" s="637">
        <f t="shared" si="1"/>
        <v>0.36495908488043649</v>
      </c>
      <c r="M44" s="637">
        <f t="shared" si="2"/>
        <v>4.0799999999999996E-2</v>
      </c>
      <c r="N44" s="637">
        <f t="shared" si="6"/>
        <v>4.8000000000000001E-2</v>
      </c>
      <c r="O44" s="638">
        <f t="shared" si="3"/>
        <v>0.32415908488043649</v>
      </c>
      <c r="P44" s="637">
        <f t="shared" si="7"/>
        <v>0.3169590848804365</v>
      </c>
      <c r="Q44" s="585">
        <f t="shared" si="8"/>
        <v>0.47036693395693163</v>
      </c>
      <c r="R44" s="637">
        <f t="shared" si="9"/>
        <v>5.1399999999999987E-2</v>
      </c>
      <c r="S44" s="638">
        <f t="shared" si="10"/>
        <v>0.41896693395693163</v>
      </c>
      <c r="U44" s="587"/>
      <c r="V44" s="587"/>
      <c r="W44" s="587"/>
      <c r="X44" s="587"/>
      <c r="Y44" s="587"/>
      <c r="Z44" s="587"/>
      <c r="AA44" s="587"/>
      <c r="AB44" s="587"/>
      <c r="AC44" s="587"/>
      <c r="AE44" s="587"/>
      <c r="AF44" s="587"/>
      <c r="AG44" s="587"/>
      <c r="AH44" s="587"/>
      <c r="AI44" s="587"/>
      <c r="AJ44" s="587"/>
      <c r="AK44" s="587"/>
      <c r="AL44" s="587"/>
      <c r="AM44" s="587"/>
      <c r="AO44" s="587"/>
      <c r="AP44" s="587"/>
      <c r="AQ44" s="587"/>
      <c r="AR44" s="587"/>
      <c r="AS44" s="587"/>
      <c r="AT44" s="587"/>
      <c r="AU44" s="587"/>
      <c r="AV44" s="587"/>
      <c r="AW44" s="587"/>
    </row>
    <row r="45" spans="1:51">
      <c r="A45" s="634">
        <v>10714</v>
      </c>
      <c r="B45" s="635">
        <v>-3.6200000000000003E-2</v>
      </c>
      <c r="C45" s="636">
        <v>4.7E-2</v>
      </c>
      <c r="D45" s="636">
        <v>3.0000000000000001E-3</v>
      </c>
      <c r="E45" s="636">
        <v>3.9166666666666664E-3</v>
      </c>
      <c r="F45" s="636">
        <v>4.0916666666666671E-3</v>
      </c>
      <c r="G45" s="636">
        <v>4.0041666666666663E-3</v>
      </c>
      <c r="H45" s="636">
        <v>4.2833333333333326E-3</v>
      </c>
      <c r="I45" s="636">
        <f t="shared" si="0"/>
        <v>-3.9200000000000006E-2</v>
      </c>
      <c r="J45" s="636">
        <f t="shared" si="4"/>
        <v>-4.0204166666666666E-2</v>
      </c>
      <c r="K45" s="636">
        <f t="shared" si="11"/>
        <v>-1.2833333333333325E-3</v>
      </c>
      <c r="L45" s="637">
        <f t="shared" si="1"/>
        <v>0.29013196627220239</v>
      </c>
      <c r="M45" s="637">
        <f t="shared" si="2"/>
        <v>3.6000000000000004E-2</v>
      </c>
      <c r="N45" s="637">
        <f t="shared" si="6"/>
        <v>4.8049999999999995E-2</v>
      </c>
      <c r="O45" s="638">
        <f t="shared" si="3"/>
        <v>0.25413196627220236</v>
      </c>
      <c r="P45" s="637">
        <f t="shared" si="7"/>
        <v>0.24208196627220241</v>
      </c>
      <c r="Q45" s="585">
        <f t="shared" si="8"/>
        <v>0.50810558371170389</v>
      </c>
      <c r="R45" s="637">
        <f t="shared" si="9"/>
        <v>5.1399999999999987E-2</v>
      </c>
      <c r="S45" s="638">
        <f t="shared" si="10"/>
        <v>0.45670558371170389</v>
      </c>
      <c r="U45" s="587"/>
      <c r="V45" s="587"/>
      <c r="W45" s="587"/>
      <c r="X45" s="587"/>
      <c r="Y45" s="587"/>
      <c r="Z45" s="587"/>
      <c r="AA45" s="587"/>
      <c r="AB45" s="587"/>
      <c r="AC45" s="587"/>
      <c r="AE45" s="587"/>
      <c r="AF45" s="587"/>
      <c r="AG45" s="587"/>
      <c r="AH45" s="587"/>
      <c r="AI45" s="587"/>
      <c r="AJ45" s="587"/>
      <c r="AK45" s="587"/>
      <c r="AL45" s="587"/>
      <c r="AM45" s="587"/>
      <c r="AO45" s="587"/>
      <c r="AP45" s="587"/>
      <c r="AQ45" s="587"/>
      <c r="AR45" s="587"/>
      <c r="AS45" s="587"/>
      <c r="AT45" s="587"/>
      <c r="AU45" s="587"/>
      <c r="AV45" s="587"/>
      <c r="AW45" s="587"/>
    </row>
    <row r="46" spans="1:51">
      <c r="A46" s="634">
        <v>10745</v>
      </c>
      <c r="B46" s="635">
        <v>0.114</v>
      </c>
      <c r="C46" s="636">
        <v>0.21780000000000002</v>
      </c>
      <c r="D46" s="636">
        <v>2.8999999999999998E-3</v>
      </c>
      <c r="E46" s="636">
        <v>3.9749999999999994E-3</v>
      </c>
      <c r="F46" s="636">
        <v>4.15E-3</v>
      </c>
      <c r="G46" s="636">
        <v>4.0625000000000001E-3</v>
      </c>
      <c r="H46" s="636">
        <v>4.3583333333333339E-3</v>
      </c>
      <c r="I46" s="636">
        <f t="shared" si="0"/>
        <v>0.1111</v>
      </c>
      <c r="J46" s="636">
        <f t="shared" si="4"/>
        <v>0.10993750000000001</v>
      </c>
      <c r="K46" s="636">
        <f t="shared" si="11"/>
        <v>-1.4583333333333341E-3</v>
      </c>
      <c r="L46" s="637">
        <f t="shared" si="1"/>
        <v>0.49475508104756472</v>
      </c>
      <c r="M46" s="637">
        <f t="shared" si="2"/>
        <v>3.4799999999999998E-2</v>
      </c>
      <c r="N46" s="637">
        <f t="shared" si="6"/>
        <v>4.8750000000000002E-2</v>
      </c>
      <c r="O46" s="638">
        <f t="shared" si="3"/>
        <v>0.45995508104756472</v>
      </c>
      <c r="P46" s="637">
        <f t="shared" si="7"/>
        <v>0.4460050810475647</v>
      </c>
      <c r="Q46" s="585">
        <f t="shared" si="8"/>
        <v>0.91329407213679858</v>
      </c>
      <c r="R46" s="637">
        <f t="shared" si="9"/>
        <v>5.2300000000000006E-2</v>
      </c>
      <c r="S46" s="638">
        <f t="shared" si="10"/>
        <v>0.86099407213679857</v>
      </c>
      <c r="U46" s="587"/>
      <c r="V46" s="587"/>
      <c r="W46" s="587"/>
      <c r="X46" s="587"/>
      <c r="Y46" s="587"/>
      <c r="Z46" s="587"/>
      <c r="AA46" s="587"/>
      <c r="AB46" s="587"/>
      <c r="AC46" s="587"/>
      <c r="AE46" s="587"/>
      <c r="AF46" s="587"/>
      <c r="AG46" s="587"/>
      <c r="AH46" s="587"/>
      <c r="AI46" s="587"/>
      <c r="AJ46" s="587"/>
      <c r="AK46" s="587"/>
      <c r="AL46" s="587"/>
      <c r="AM46" s="587"/>
      <c r="AO46" s="587"/>
      <c r="AP46" s="587"/>
      <c r="AQ46" s="587"/>
      <c r="AR46" s="587"/>
      <c r="AS46" s="587"/>
      <c r="AT46" s="587"/>
      <c r="AU46" s="587"/>
      <c r="AV46" s="587"/>
      <c r="AW46" s="587"/>
    </row>
    <row r="47" spans="1:51">
      <c r="A47" s="581">
        <v>10775</v>
      </c>
      <c r="B47" s="582">
        <v>4.7100000000000003E-2</v>
      </c>
      <c r="C47" s="577">
        <v>9.0499999999999983E-2</v>
      </c>
      <c r="D47" s="577">
        <v>3.2000000000000002E-3</v>
      </c>
      <c r="E47" s="577">
        <v>3.9749999999999994E-3</v>
      </c>
      <c r="F47" s="577">
        <v>4.1416666666666659E-3</v>
      </c>
      <c r="G47" s="577">
        <v>4.0583333333333331E-3</v>
      </c>
      <c r="H47" s="577">
        <v>4.3666666666666671E-3</v>
      </c>
      <c r="I47" s="577">
        <f t="shared" si="0"/>
        <v>4.3900000000000002E-2</v>
      </c>
      <c r="J47" s="577">
        <f t="shared" si="4"/>
        <v>4.3041666666666673E-2</v>
      </c>
      <c r="K47" s="577">
        <f t="shared" si="5"/>
        <v>8.6133333333333312E-2</v>
      </c>
      <c r="L47" s="637">
        <f t="shared" si="1"/>
        <v>0.54339615951573328</v>
      </c>
      <c r="M47" s="585">
        <f t="shared" si="2"/>
        <v>3.8400000000000004E-2</v>
      </c>
      <c r="N47" s="585">
        <f t="shared" si="6"/>
        <v>4.8699999999999993E-2</v>
      </c>
      <c r="O47" s="586">
        <f>L47-M47</f>
        <v>0.50499615951573329</v>
      </c>
      <c r="P47" s="585">
        <f t="shared" si="7"/>
        <v>0.49469615951573331</v>
      </c>
      <c r="Q47" s="585">
        <f t="shared" si="8"/>
        <v>1.102425620380068</v>
      </c>
      <c r="R47" s="585">
        <f t="shared" si="9"/>
        <v>5.2400000000000002E-2</v>
      </c>
      <c r="S47" s="586">
        <f t="shared" si="10"/>
        <v>1.050025620380068</v>
      </c>
      <c r="U47" s="436"/>
      <c r="V47" s="436"/>
      <c r="W47" s="436"/>
      <c r="X47" s="436"/>
      <c r="Y47" s="590"/>
      <c r="Z47" s="590"/>
      <c r="AA47" s="590"/>
      <c r="AB47" s="590"/>
      <c r="AC47" s="590"/>
      <c r="AE47" s="590"/>
      <c r="AF47" s="590"/>
      <c r="AG47" s="590"/>
      <c r="AH47" s="590"/>
      <c r="AI47" s="590"/>
      <c r="AJ47" s="590"/>
      <c r="AK47" s="590"/>
      <c r="AL47" s="590"/>
      <c r="AM47" s="590"/>
      <c r="AO47" s="587"/>
      <c r="AP47" s="587"/>
      <c r="AQ47" s="590"/>
      <c r="AR47" s="590"/>
      <c r="AS47" s="590"/>
      <c r="AT47" s="590"/>
      <c r="AU47" s="590"/>
      <c r="AV47" s="590"/>
      <c r="AW47" s="590"/>
      <c r="AX47" s="590"/>
      <c r="AY47" s="590"/>
    </row>
    <row r="48" spans="1:51">
      <c r="A48" s="581">
        <v>10806</v>
      </c>
      <c r="B48" s="582">
        <v>0.1028</v>
      </c>
      <c r="C48" s="577">
        <v>0.1033</v>
      </c>
      <c r="D48" s="577">
        <v>3.0000000000000001E-3</v>
      </c>
      <c r="E48" s="577">
        <v>3.9916666666666668E-3</v>
      </c>
      <c r="F48" s="577">
        <v>4.1583333333333333E-3</v>
      </c>
      <c r="G48" s="577">
        <v>4.0749999999999996E-3</v>
      </c>
      <c r="H48" s="577">
        <v>4.4166666666666668E-3</v>
      </c>
      <c r="I48" s="577">
        <f t="shared" si="0"/>
        <v>9.98E-2</v>
      </c>
      <c r="J48" s="577">
        <f t="shared" si="4"/>
        <v>9.8725000000000007E-2</v>
      </c>
      <c r="K48" s="577">
        <f t="shared" si="5"/>
        <v>9.8883333333333337E-2</v>
      </c>
      <c r="L48" s="637">
        <f t="shared" si="1"/>
        <v>0.5755413169619088</v>
      </c>
      <c r="M48" s="585">
        <f t="shared" si="2"/>
        <v>3.6000000000000004E-2</v>
      </c>
      <c r="N48" s="585">
        <f t="shared" si="6"/>
        <v>4.8899999999999999E-2</v>
      </c>
      <c r="O48" s="586">
        <f t="shared" si="3"/>
        <v>0.53954131696190877</v>
      </c>
      <c r="P48" s="585">
        <f t="shared" si="7"/>
        <v>0.52664131696190886</v>
      </c>
      <c r="Q48" s="585">
        <f t="shared" si="8"/>
        <v>1.171509255724891</v>
      </c>
      <c r="R48" s="585">
        <f t="shared" si="9"/>
        <v>5.3000000000000005E-2</v>
      </c>
      <c r="S48" s="586">
        <f t="shared" si="10"/>
        <v>1.118509255724891</v>
      </c>
      <c r="U48" s="591"/>
      <c r="V48" s="591"/>
      <c r="W48" s="436"/>
      <c r="X48" s="436"/>
      <c r="Y48" s="436"/>
      <c r="Z48" s="436"/>
      <c r="AA48" s="436"/>
      <c r="AB48" s="436"/>
      <c r="AC48" s="436"/>
      <c r="AE48" s="591"/>
      <c r="AF48" s="591"/>
      <c r="AG48" s="436"/>
      <c r="AH48" s="436"/>
      <c r="AI48" s="436"/>
      <c r="AJ48" s="436"/>
      <c r="AK48" s="436"/>
      <c r="AL48" s="436"/>
      <c r="AM48" s="436"/>
      <c r="AO48" s="587"/>
      <c r="AP48" s="587"/>
      <c r="AQ48" s="436"/>
      <c r="AR48" s="436"/>
      <c r="AS48" s="436"/>
      <c r="AT48" s="436"/>
      <c r="AU48" s="436"/>
      <c r="AV48" s="436"/>
      <c r="AW48" s="436"/>
      <c r="AX48" s="436"/>
      <c r="AY48" s="436"/>
    </row>
    <row r="49" spans="1:51">
      <c r="A49" s="581">
        <v>10837</v>
      </c>
      <c r="B49" s="582">
        <v>-4.7600000000000003E-2</v>
      </c>
      <c r="C49" s="577">
        <v>3.9999999999999996E-4</v>
      </c>
      <c r="D49" s="577">
        <v>3.2000000000000002E-3</v>
      </c>
      <c r="E49" s="577">
        <v>4.0000000000000001E-3</v>
      </c>
      <c r="F49" s="577">
        <v>4.1749999999999999E-3</v>
      </c>
      <c r="G49" s="577">
        <v>4.0874999999999991E-3</v>
      </c>
      <c r="H49" s="577">
        <v>4.4833333333333331E-3</v>
      </c>
      <c r="I49" s="577">
        <f t="shared" si="0"/>
        <v>-5.0800000000000005E-2</v>
      </c>
      <c r="J49" s="577">
        <f t="shared" si="4"/>
        <v>-5.1687500000000004E-2</v>
      </c>
      <c r="K49" s="577">
        <f t="shared" si="5"/>
        <v>-4.0833333333333329E-3</v>
      </c>
      <c r="L49" s="637">
        <f t="shared" si="1"/>
        <v>0.46266258921388248</v>
      </c>
      <c r="M49" s="585">
        <f t="shared" si="2"/>
        <v>3.8400000000000004E-2</v>
      </c>
      <c r="N49" s="585">
        <f t="shared" si="6"/>
        <v>4.9049999999999989E-2</v>
      </c>
      <c r="O49" s="586">
        <f t="shared" si="3"/>
        <v>0.42426258921388249</v>
      </c>
      <c r="P49" s="585">
        <f t="shared" si="7"/>
        <v>0.4136125892138825</v>
      </c>
      <c r="Q49" s="585">
        <f t="shared" si="8"/>
        <v>1.1117700587413051</v>
      </c>
      <c r="R49" s="585">
        <f t="shared" si="9"/>
        <v>5.3800000000000001E-2</v>
      </c>
      <c r="S49" s="586">
        <f t="shared" si="10"/>
        <v>1.057970058741305</v>
      </c>
      <c r="U49" s="436"/>
      <c r="V49" s="436"/>
      <c r="W49" s="436"/>
      <c r="X49" s="436"/>
      <c r="Y49" s="436"/>
      <c r="Z49" s="436"/>
      <c r="AA49" s="436"/>
      <c r="AB49" s="436"/>
      <c r="AC49" s="436"/>
      <c r="AE49" s="436"/>
      <c r="AF49" s="436"/>
      <c r="AG49" s="436"/>
      <c r="AH49" s="436"/>
      <c r="AI49" s="436"/>
      <c r="AJ49" s="436"/>
      <c r="AK49" s="436"/>
      <c r="AL49" s="436"/>
      <c r="AM49" s="436"/>
      <c r="AO49" s="587"/>
      <c r="AP49" s="587"/>
      <c r="AQ49" s="591"/>
      <c r="AR49" s="591"/>
      <c r="AS49" s="436"/>
      <c r="AT49" s="436"/>
      <c r="AU49" s="436"/>
      <c r="AV49" s="436"/>
      <c r="AW49" s="436"/>
      <c r="AX49" s="436"/>
      <c r="AY49" s="436"/>
    </row>
    <row r="50" spans="1:51">
      <c r="A50" s="581">
        <v>10867</v>
      </c>
      <c r="B50" s="582">
        <v>-0.1973</v>
      </c>
      <c r="C50" s="577">
        <v>-0.30220000000000002</v>
      </c>
      <c r="D50" s="577">
        <v>3.0999999999999999E-3</v>
      </c>
      <c r="E50" s="577">
        <v>3.9749999999999994E-3</v>
      </c>
      <c r="F50" s="577">
        <v>4.1749999999999999E-3</v>
      </c>
      <c r="G50" s="577">
        <v>4.0749999999999996E-3</v>
      </c>
      <c r="H50" s="577">
        <v>4.45E-3</v>
      </c>
      <c r="I50" s="577">
        <f t="shared" si="0"/>
        <v>-0.20039999999999999</v>
      </c>
      <c r="J50" s="577">
        <f t="shared" si="4"/>
        <v>-0.201375</v>
      </c>
      <c r="K50" s="577">
        <f t="shared" si="5"/>
        <v>-0.30665000000000003</v>
      </c>
      <c r="L50" s="637">
        <f t="shared" si="1"/>
        <v>0.15468062584774178</v>
      </c>
      <c r="M50" s="585">
        <f t="shared" si="2"/>
        <v>3.7199999999999997E-2</v>
      </c>
      <c r="N50" s="585">
        <f t="shared" si="6"/>
        <v>4.8899999999999999E-2</v>
      </c>
      <c r="O50" s="586">
        <f t="shared" si="3"/>
        <v>0.11748062584774178</v>
      </c>
      <c r="P50" s="585">
        <f t="shared" si="7"/>
        <v>0.10578062584774178</v>
      </c>
      <c r="Q50" s="585">
        <f t="shared" si="8"/>
        <v>0.48727608698999036</v>
      </c>
      <c r="R50" s="585">
        <f t="shared" si="9"/>
        <v>5.3400000000000003E-2</v>
      </c>
      <c r="S50" s="586">
        <f t="shared" si="10"/>
        <v>0.43387608698999036</v>
      </c>
      <c r="U50" s="436"/>
      <c r="V50" s="436"/>
      <c r="W50" s="436"/>
      <c r="X50" s="436"/>
      <c r="Y50" s="436"/>
      <c r="Z50" s="436"/>
      <c r="AA50" s="436"/>
      <c r="AB50" s="436"/>
      <c r="AC50" s="436"/>
      <c r="AE50" s="436"/>
      <c r="AF50" s="436"/>
      <c r="AG50" s="436"/>
      <c r="AH50" s="436"/>
      <c r="AI50" s="436"/>
      <c r="AJ50" s="436"/>
      <c r="AK50" s="436"/>
      <c r="AL50" s="436"/>
      <c r="AM50" s="436"/>
      <c r="AO50" s="587"/>
      <c r="AP50" s="587"/>
      <c r="AQ50" s="436"/>
      <c r="AR50" s="436"/>
      <c r="AS50" s="436"/>
      <c r="AT50" s="436"/>
      <c r="AU50" s="436"/>
      <c r="AV50" s="436"/>
      <c r="AW50" s="436"/>
      <c r="AX50" s="436"/>
      <c r="AY50" s="436"/>
    </row>
    <row r="51" spans="1:51">
      <c r="A51" s="581">
        <v>10898</v>
      </c>
      <c r="B51" s="582">
        <v>-0.1246</v>
      </c>
      <c r="C51" s="577">
        <v>-0.1424</v>
      </c>
      <c r="D51" s="577">
        <v>2.5999999999999999E-3</v>
      </c>
      <c r="E51" s="577">
        <v>3.966666666666667E-3</v>
      </c>
      <c r="F51" s="577">
        <v>4.1166666666666669E-3</v>
      </c>
      <c r="G51" s="577">
        <v>4.0416666666666665E-3</v>
      </c>
      <c r="H51" s="577">
        <v>4.4083333333333335E-3</v>
      </c>
      <c r="I51" s="577">
        <f t="shared" si="0"/>
        <v>-0.12720000000000001</v>
      </c>
      <c r="J51" s="577">
        <f t="shared" si="4"/>
        <v>-0.12864166666666668</v>
      </c>
      <c r="K51" s="577">
        <f t="shared" si="5"/>
        <v>-0.14680833333333332</v>
      </c>
      <c r="L51" s="637">
        <f t="shared" si="1"/>
        <v>-0.10484642236351993</v>
      </c>
      <c r="M51" s="585">
        <f t="shared" si="2"/>
        <v>3.1199999999999999E-2</v>
      </c>
      <c r="N51" s="585">
        <f t="shared" si="6"/>
        <v>4.8500000000000001E-2</v>
      </c>
      <c r="O51" s="586">
        <f t="shared" si="3"/>
        <v>-0.13604642236351994</v>
      </c>
      <c r="P51" s="585">
        <f t="shared" si="7"/>
        <v>-0.15334642236351992</v>
      </c>
      <c r="Q51" s="585">
        <f t="shared" si="8"/>
        <v>5.0043609288396906E-2</v>
      </c>
      <c r="R51" s="585">
        <f t="shared" si="9"/>
        <v>5.2900000000000003E-2</v>
      </c>
      <c r="S51" s="586">
        <f t="shared" si="10"/>
        <v>-2.8563907116030962E-3</v>
      </c>
      <c r="U51" s="436"/>
      <c r="V51" s="436"/>
      <c r="W51" s="436"/>
      <c r="X51" s="436"/>
      <c r="Y51" s="436"/>
      <c r="Z51" s="436"/>
      <c r="AA51" s="436"/>
      <c r="AB51" s="436"/>
      <c r="AC51" s="436"/>
      <c r="AE51" s="436"/>
      <c r="AF51" s="436"/>
      <c r="AG51" s="436"/>
      <c r="AH51" s="436"/>
      <c r="AI51" s="436"/>
      <c r="AJ51" s="436"/>
      <c r="AK51" s="436"/>
      <c r="AL51" s="436"/>
      <c r="AM51" s="436"/>
      <c r="AO51" s="587"/>
      <c r="AP51" s="587"/>
      <c r="AQ51" s="436"/>
      <c r="AR51" s="436"/>
      <c r="AS51" s="436"/>
      <c r="AT51" s="436"/>
      <c r="AU51" s="436"/>
      <c r="AV51" s="436"/>
      <c r="AW51" s="436"/>
      <c r="AX51" s="436"/>
      <c r="AY51" s="436"/>
    </row>
    <row r="52" spans="1:51">
      <c r="A52" s="581">
        <v>10928</v>
      </c>
      <c r="B52" s="582">
        <v>2.8199999999999999E-2</v>
      </c>
      <c r="C52" s="577">
        <v>6.7999999999999991E-2</v>
      </c>
      <c r="D52" s="577">
        <v>3.0999999999999999E-3</v>
      </c>
      <c r="E52" s="577">
        <v>3.8916666666666665E-3</v>
      </c>
      <c r="F52" s="577">
        <v>4.0333333333333332E-3</v>
      </c>
      <c r="G52" s="577">
        <v>3.9624999999999999E-3</v>
      </c>
      <c r="H52" s="577">
        <v>4.3583333333333339E-3</v>
      </c>
      <c r="I52" s="577">
        <f t="shared" si="0"/>
        <v>2.5100000000000001E-2</v>
      </c>
      <c r="J52" s="577">
        <f t="shared" si="4"/>
        <v>2.4237499999999999E-2</v>
      </c>
      <c r="K52" s="577">
        <f t="shared" si="5"/>
        <v>6.3641666666666652E-2</v>
      </c>
      <c r="L52" s="637">
        <f t="shared" si="1"/>
        <v>-8.4091045351946891E-2</v>
      </c>
      <c r="M52" s="585">
        <f t="shared" si="2"/>
        <v>3.7199999999999997E-2</v>
      </c>
      <c r="N52" s="585">
        <f t="shared" si="6"/>
        <v>4.7549999999999995E-2</v>
      </c>
      <c r="O52" s="586">
        <f t="shared" si="3"/>
        <v>-0.12129104535194689</v>
      </c>
      <c r="P52" s="585">
        <f t="shared" si="7"/>
        <v>-0.13164104535194687</v>
      </c>
      <c r="Q52" s="585">
        <f t="shared" si="8"/>
        <v>0.11034314328713646</v>
      </c>
      <c r="R52" s="585">
        <f t="shared" si="9"/>
        <v>5.2300000000000006E-2</v>
      </c>
      <c r="S52" s="586">
        <f t="shared" si="10"/>
        <v>5.8043143287136452E-2</v>
      </c>
      <c r="U52" s="436"/>
      <c r="V52" s="436"/>
      <c r="W52" s="436"/>
      <c r="X52" s="436"/>
      <c r="Y52" s="436"/>
      <c r="Z52" s="436"/>
      <c r="AA52" s="436"/>
      <c r="AB52" s="436"/>
      <c r="AC52" s="436"/>
      <c r="AE52" s="436"/>
      <c r="AF52" s="436"/>
      <c r="AG52" s="436"/>
      <c r="AH52" s="436"/>
      <c r="AI52" s="436"/>
      <c r="AJ52" s="436"/>
      <c r="AK52" s="436"/>
      <c r="AL52" s="436"/>
      <c r="AM52" s="436"/>
      <c r="AO52" s="587"/>
      <c r="AP52" s="587"/>
      <c r="AQ52" s="436"/>
      <c r="AR52" s="436"/>
      <c r="AS52" s="436"/>
      <c r="AT52" s="436"/>
      <c r="AU52" s="436"/>
      <c r="AV52" s="436"/>
      <c r="AW52" s="436"/>
      <c r="AX52" s="436"/>
      <c r="AY52" s="436"/>
    </row>
    <row r="53" spans="1:51">
      <c r="A53" s="581">
        <v>10959</v>
      </c>
      <c r="B53" s="582">
        <v>6.3899999999999998E-2</v>
      </c>
      <c r="C53" s="577">
        <v>7.3999999999999996E-2</v>
      </c>
      <c r="D53" s="577">
        <v>2.8999999999999998E-3</v>
      </c>
      <c r="E53" s="577">
        <v>3.8833333333333337E-3</v>
      </c>
      <c r="F53" s="577">
        <v>4.0500000000000006E-3</v>
      </c>
      <c r="G53" s="577">
        <v>3.966666666666667E-3</v>
      </c>
      <c r="H53" s="577">
        <v>4.3833333333333328E-3</v>
      </c>
      <c r="I53" s="577">
        <f t="shared" si="0"/>
        <v>6.0999999999999999E-2</v>
      </c>
      <c r="J53" s="577">
        <f t="shared" si="4"/>
        <v>5.9933333333333332E-2</v>
      </c>
      <c r="K53" s="577">
        <f t="shared" si="5"/>
        <v>6.961666666666666E-2</v>
      </c>
      <c r="L53" s="637">
        <f t="shared" si="1"/>
        <v>-7.9244508315162165E-2</v>
      </c>
      <c r="M53" s="585">
        <f t="shared" si="2"/>
        <v>3.4799999999999998E-2</v>
      </c>
      <c r="N53" s="585">
        <f t="shared" si="6"/>
        <v>4.7600000000000003E-2</v>
      </c>
      <c r="O53" s="586">
        <f t="shared" si="3"/>
        <v>-0.11404450831516216</v>
      </c>
      <c r="P53" s="585">
        <f t="shared" si="7"/>
        <v>-0.12684450831516217</v>
      </c>
      <c r="Q53" s="585">
        <f t="shared" si="8"/>
        <v>5.2987669660384151E-2</v>
      </c>
      <c r="R53" s="585">
        <f t="shared" si="9"/>
        <v>5.2599999999999994E-2</v>
      </c>
      <c r="S53" s="586">
        <f t="shared" si="10"/>
        <v>3.8766966038415729E-4</v>
      </c>
      <c r="U53" s="436"/>
      <c r="V53" s="436"/>
      <c r="W53" s="436"/>
      <c r="X53" s="436"/>
      <c r="Y53" s="436"/>
      <c r="Z53" s="436"/>
      <c r="AA53" s="436"/>
      <c r="AB53" s="436"/>
      <c r="AC53" s="436"/>
      <c r="AE53" s="436"/>
      <c r="AF53" s="436"/>
      <c r="AG53" s="436"/>
      <c r="AH53" s="436"/>
      <c r="AI53" s="436"/>
      <c r="AJ53" s="436"/>
      <c r="AK53" s="436"/>
      <c r="AL53" s="436"/>
      <c r="AM53" s="436"/>
      <c r="AO53" s="587"/>
      <c r="AP53" s="587"/>
      <c r="AQ53" s="436"/>
      <c r="AR53" s="436"/>
      <c r="AS53" s="436"/>
      <c r="AT53" s="436"/>
      <c r="AU53" s="436"/>
      <c r="AV53" s="436"/>
      <c r="AW53" s="436"/>
      <c r="AX53" s="436"/>
      <c r="AY53" s="436"/>
    </row>
    <row r="54" spans="1:51">
      <c r="A54" s="581">
        <v>10990</v>
      </c>
      <c r="B54" s="582">
        <v>2.5899999999999999E-2</v>
      </c>
      <c r="C54" s="577">
        <v>8.8499999999999995E-2</v>
      </c>
      <c r="D54" s="577">
        <v>2.5999999999999999E-3</v>
      </c>
      <c r="E54" s="577">
        <v>3.908333333333334E-3</v>
      </c>
      <c r="F54" s="577">
        <v>4.0749999999999996E-3</v>
      </c>
      <c r="G54" s="577">
        <v>3.9916666666666668E-3</v>
      </c>
      <c r="H54" s="577">
        <v>4.4083333333333335E-3</v>
      </c>
      <c r="I54" s="577">
        <f t="shared" si="0"/>
        <v>2.3300000000000001E-2</v>
      </c>
      <c r="J54" s="577">
        <f t="shared" si="4"/>
        <v>2.1908333333333332E-2</v>
      </c>
      <c r="K54" s="577">
        <f t="shared" si="5"/>
        <v>8.4091666666666662E-2</v>
      </c>
      <c r="L54" s="637">
        <f t="shared" si="1"/>
        <v>-5.3598778760169385E-2</v>
      </c>
      <c r="M54" s="585">
        <f t="shared" si="2"/>
        <v>3.1199999999999999E-2</v>
      </c>
      <c r="N54" s="585">
        <f t="shared" si="6"/>
        <v>4.7899999999999998E-2</v>
      </c>
      <c r="O54" s="586">
        <f t="shared" si="3"/>
        <v>-8.4798778760169391E-2</v>
      </c>
      <c r="P54" s="585">
        <f t="shared" si="7"/>
        <v>-0.10149877876016938</v>
      </c>
      <c r="Q54" s="585">
        <f t="shared" si="8"/>
        <v>0.17339995743788683</v>
      </c>
      <c r="R54" s="585">
        <f t="shared" si="9"/>
        <v>5.2900000000000003E-2</v>
      </c>
      <c r="S54" s="586">
        <f t="shared" si="10"/>
        <v>0.12049995743788683</v>
      </c>
      <c r="U54" s="436"/>
      <c r="V54" s="436"/>
      <c r="W54" s="436"/>
      <c r="X54" s="436"/>
      <c r="Y54" s="436"/>
      <c r="Z54" s="436"/>
      <c r="AA54" s="436"/>
      <c r="AB54" s="436"/>
      <c r="AC54" s="436"/>
      <c r="AE54" s="436"/>
      <c r="AF54" s="436"/>
      <c r="AG54" s="436"/>
      <c r="AH54" s="436"/>
      <c r="AI54" s="436"/>
      <c r="AJ54" s="436"/>
      <c r="AK54" s="436"/>
      <c r="AL54" s="436"/>
      <c r="AM54" s="436"/>
      <c r="AO54" s="587"/>
      <c r="AP54" s="587"/>
      <c r="AQ54" s="436"/>
      <c r="AR54" s="436"/>
      <c r="AS54" s="436"/>
      <c r="AT54" s="436"/>
      <c r="AU54" s="436"/>
      <c r="AV54" s="436"/>
      <c r="AW54" s="436"/>
      <c r="AX54" s="436"/>
      <c r="AY54" s="436"/>
    </row>
    <row r="55" spans="1:51">
      <c r="A55" s="581">
        <v>11018</v>
      </c>
      <c r="B55" s="582">
        <v>8.1199999999999994E-2</v>
      </c>
      <c r="C55" s="577">
        <v>8.9099999999999999E-2</v>
      </c>
      <c r="D55" s="577">
        <v>2.8999999999999998E-3</v>
      </c>
      <c r="E55" s="577">
        <v>3.8500000000000001E-3</v>
      </c>
      <c r="F55" s="577">
        <v>4.0000000000000001E-3</v>
      </c>
      <c r="G55" s="577">
        <v>3.9249999999999997E-3</v>
      </c>
      <c r="H55" s="577">
        <v>4.3166666666666666E-3</v>
      </c>
      <c r="I55" s="577">
        <f t="shared" si="0"/>
        <v>7.8299999999999995E-2</v>
      </c>
      <c r="J55" s="577">
        <f t="shared" si="4"/>
        <v>7.7274999999999996E-2</v>
      </c>
      <c r="K55" s="577">
        <f t="shared" si="5"/>
        <v>8.4783333333333336E-2</v>
      </c>
      <c r="L55" s="637">
        <f t="shared" si="1"/>
        <v>2.4478374453849705E-2</v>
      </c>
      <c r="M55" s="585">
        <f t="shared" si="2"/>
        <v>3.4799999999999998E-2</v>
      </c>
      <c r="N55" s="585">
        <f t="shared" si="6"/>
        <v>4.7099999999999996E-2</v>
      </c>
      <c r="O55" s="586">
        <f t="shared" si="3"/>
        <v>-1.0321625546150293E-2</v>
      </c>
      <c r="P55" s="585">
        <f t="shared" si="7"/>
        <v>-2.2621625546150291E-2</v>
      </c>
      <c r="Q55" s="585">
        <f t="shared" si="8"/>
        <v>0.29216369428271283</v>
      </c>
      <c r="R55" s="585">
        <f t="shared" si="9"/>
        <v>5.1799999999999999E-2</v>
      </c>
      <c r="S55" s="586">
        <f t="shared" si="10"/>
        <v>0.24036369428271281</v>
      </c>
      <c r="U55" s="436"/>
      <c r="V55" s="436"/>
      <c r="W55" s="436"/>
      <c r="X55" s="436"/>
      <c r="Y55" s="436"/>
      <c r="Z55" s="436"/>
      <c r="AA55" s="436"/>
      <c r="AB55" s="436"/>
      <c r="AC55" s="436"/>
      <c r="AE55" s="436"/>
      <c r="AF55" s="436"/>
      <c r="AG55" s="436"/>
      <c r="AH55" s="436"/>
      <c r="AI55" s="436"/>
      <c r="AJ55" s="436"/>
      <c r="AK55" s="436"/>
      <c r="AL55" s="436"/>
      <c r="AM55" s="436"/>
      <c r="AO55" s="587"/>
      <c r="AP55" s="587"/>
      <c r="AQ55" s="436"/>
      <c r="AR55" s="436"/>
      <c r="AS55" s="436"/>
      <c r="AT55" s="436"/>
      <c r="AU55" s="436"/>
      <c r="AV55" s="436"/>
      <c r="AW55" s="436"/>
      <c r="AX55" s="436"/>
      <c r="AY55" s="436"/>
    </row>
    <row r="56" spans="1:51">
      <c r="A56" s="581">
        <v>11049</v>
      </c>
      <c r="B56" s="582">
        <v>-8.0000000000000002E-3</v>
      </c>
      <c r="C56" s="577">
        <v>3.4099999999999998E-2</v>
      </c>
      <c r="D56" s="577">
        <v>2.7000000000000001E-3</v>
      </c>
      <c r="E56" s="577">
        <v>3.8333333333333331E-3</v>
      </c>
      <c r="F56" s="577">
        <v>3.9833333333333335E-3</v>
      </c>
      <c r="G56" s="577">
        <v>3.908333333333334E-3</v>
      </c>
      <c r="H56" s="577">
        <v>4.2916666666666667E-3</v>
      </c>
      <c r="I56" s="577">
        <f t="shared" si="0"/>
        <v>-1.0700000000000001E-2</v>
      </c>
      <c r="J56" s="577">
        <f t="shared" si="4"/>
        <v>-1.1908333333333333E-2</v>
      </c>
      <c r="K56" s="577">
        <f t="shared" si="5"/>
        <v>2.9808333333333333E-2</v>
      </c>
      <c r="L56" s="637">
        <f t="shared" si="1"/>
        <v>-1.2946664129139807E-3</v>
      </c>
      <c r="M56" s="585">
        <f t="shared" si="2"/>
        <v>3.2399999999999998E-2</v>
      </c>
      <c r="N56" s="585">
        <f t="shared" si="6"/>
        <v>4.6900000000000011E-2</v>
      </c>
      <c r="O56" s="586">
        <f t="shared" si="3"/>
        <v>-3.3694666412913979E-2</v>
      </c>
      <c r="P56" s="585">
        <f t="shared" si="7"/>
        <v>-4.8194666412913992E-2</v>
      </c>
      <c r="Q56" s="585">
        <f t="shared" si="8"/>
        <v>0.29141439669252267</v>
      </c>
      <c r="R56" s="585">
        <f t="shared" si="9"/>
        <v>5.1500000000000004E-2</v>
      </c>
      <c r="S56" s="586">
        <f t="shared" si="10"/>
        <v>0.23991439669252268</v>
      </c>
      <c r="U56" s="592"/>
      <c r="V56" s="592"/>
      <c r="W56" s="592"/>
      <c r="X56" s="592"/>
      <c r="Y56" s="592"/>
      <c r="Z56" s="592"/>
      <c r="AA56" s="436"/>
      <c r="AB56" s="436"/>
      <c r="AC56" s="436"/>
      <c r="AE56" s="592"/>
      <c r="AF56" s="592"/>
      <c r="AG56" s="592"/>
      <c r="AH56" s="592"/>
      <c r="AI56" s="592"/>
      <c r="AJ56" s="592"/>
      <c r="AK56" s="436"/>
      <c r="AL56" s="436"/>
      <c r="AM56" s="436"/>
      <c r="AO56" s="587"/>
      <c r="AP56" s="587"/>
      <c r="AQ56" s="436"/>
      <c r="AR56" s="436"/>
      <c r="AS56" s="436"/>
      <c r="AT56" s="436"/>
      <c r="AU56" s="436"/>
      <c r="AV56" s="436"/>
      <c r="AW56" s="436"/>
      <c r="AX56" s="436"/>
      <c r="AY56" s="436"/>
    </row>
    <row r="57" spans="1:51">
      <c r="A57" s="581">
        <v>11079</v>
      </c>
      <c r="B57" s="582">
        <v>-9.5999999999999992E-3</v>
      </c>
      <c r="C57" s="577">
        <v>-2.3600000000000003E-2</v>
      </c>
      <c r="D57" s="577">
        <v>2.7000000000000001E-3</v>
      </c>
      <c r="E57" s="577">
        <v>3.8333333333333331E-3</v>
      </c>
      <c r="F57" s="577">
        <v>3.9749999999999994E-3</v>
      </c>
      <c r="G57" s="577">
        <v>3.9041666666666665E-3</v>
      </c>
      <c r="H57" s="577">
        <v>4.1999999999999997E-3</v>
      </c>
      <c r="I57" s="577">
        <f t="shared" si="0"/>
        <v>-1.2299999999999998E-2</v>
      </c>
      <c r="J57" s="577">
        <f t="shared" si="4"/>
        <v>-1.3504166666666666E-2</v>
      </c>
      <c r="K57" s="577">
        <f t="shared" si="5"/>
        <v>-2.7800000000000002E-2</v>
      </c>
      <c r="L57" s="637">
        <f t="shared" si="1"/>
        <v>2.6268688923687389E-2</v>
      </c>
      <c r="M57" s="585">
        <f t="shared" si="2"/>
        <v>3.2399999999999998E-2</v>
      </c>
      <c r="N57" s="585">
        <f t="shared" si="6"/>
        <v>4.6849999999999996E-2</v>
      </c>
      <c r="O57" s="586">
        <f t="shared" si="3"/>
        <v>-6.1313110763126094E-3</v>
      </c>
      <c r="P57" s="585">
        <f t="shared" si="7"/>
        <v>-2.0581311076312607E-2</v>
      </c>
      <c r="Q57" s="585">
        <f t="shared" si="8"/>
        <v>0.20433334950389614</v>
      </c>
      <c r="R57" s="585">
        <f t="shared" si="9"/>
        <v>5.04E-2</v>
      </c>
      <c r="S57" s="586">
        <f t="shared" si="10"/>
        <v>0.15393334950389614</v>
      </c>
      <c r="U57" s="436"/>
      <c r="V57" s="436"/>
      <c r="W57" s="436"/>
      <c r="X57" s="436"/>
      <c r="Y57" s="436"/>
      <c r="Z57" s="436"/>
      <c r="AA57" s="436"/>
      <c r="AB57" s="436"/>
      <c r="AC57" s="436"/>
      <c r="AE57" s="436"/>
      <c r="AF57" s="436"/>
      <c r="AG57" s="436"/>
      <c r="AH57" s="436"/>
      <c r="AI57" s="436"/>
      <c r="AJ57" s="436"/>
      <c r="AK57" s="436"/>
      <c r="AL57" s="436"/>
      <c r="AM57" s="436"/>
      <c r="AO57" s="587"/>
      <c r="AP57" s="587"/>
      <c r="AQ57" s="592"/>
      <c r="AR57" s="592"/>
      <c r="AS57" s="592"/>
      <c r="AT57" s="592"/>
      <c r="AU57" s="592"/>
      <c r="AV57" s="592"/>
      <c r="AW57" s="436"/>
      <c r="AX57" s="436"/>
      <c r="AY57" s="436"/>
    </row>
    <row r="58" spans="1:51">
      <c r="A58" s="581">
        <v>11110</v>
      </c>
      <c r="B58" s="582">
        <v>-0.16250000000000001</v>
      </c>
      <c r="C58" s="577">
        <v>-0.19030000000000002</v>
      </c>
      <c r="D58" s="577">
        <v>2.8999999999999998E-3</v>
      </c>
      <c r="E58" s="577">
        <v>3.8083333333333337E-3</v>
      </c>
      <c r="F58" s="577">
        <v>3.966666666666667E-3</v>
      </c>
      <c r="G58" s="577">
        <v>3.8875000000000003E-3</v>
      </c>
      <c r="H58" s="577">
        <v>4.1749999999999999E-3</v>
      </c>
      <c r="I58" s="577">
        <f t="shared" si="0"/>
        <v>-0.16539999999999999</v>
      </c>
      <c r="J58" s="577">
        <f t="shared" si="4"/>
        <v>-0.16638749999999999</v>
      </c>
      <c r="K58" s="577">
        <f t="shared" si="5"/>
        <v>-0.19447500000000004</v>
      </c>
      <c r="L58" s="637">
        <f t="shared" si="1"/>
        <v>-0.22845599014938212</v>
      </c>
      <c r="M58" s="585">
        <f t="shared" si="2"/>
        <v>3.4799999999999998E-2</v>
      </c>
      <c r="N58" s="585">
        <f t="shared" si="6"/>
        <v>4.6650000000000004E-2</v>
      </c>
      <c r="O58" s="586">
        <f t="shared" si="3"/>
        <v>-0.26325599014938211</v>
      </c>
      <c r="P58" s="585">
        <f t="shared" si="7"/>
        <v>-0.27510599014938214</v>
      </c>
      <c r="Q58" s="585">
        <f t="shared" si="8"/>
        <v>-0.19925380760937395</v>
      </c>
      <c r="R58" s="585">
        <f t="shared" si="9"/>
        <v>5.0099999999999999E-2</v>
      </c>
      <c r="S58" s="586">
        <f t="shared" si="10"/>
        <v>-0.24935380760937395</v>
      </c>
      <c r="U58" s="436"/>
      <c r="V58" s="436"/>
      <c r="W58" s="436"/>
      <c r="X58" s="436"/>
      <c r="Y58" s="436"/>
      <c r="Z58" s="436"/>
      <c r="AA58" s="436"/>
      <c r="AB58" s="436"/>
      <c r="AC58" s="436"/>
      <c r="AE58" s="436"/>
      <c r="AF58" s="436"/>
      <c r="AG58" s="436"/>
      <c r="AH58" s="436"/>
      <c r="AI58" s="436"/>
      <c r="AJ58" s="436"/>
      <c r="AK58" s="436"/>
      <c r="AL58" s="436"/>
      <c r="AM58" s="436"/>
      <c r="AO58" s="587"/>
      <c r="AP58" s="587"/>
      <c r="AQ58" s="436"/>
      <c r="AR58" s="436"/>
      <c r="AS58" s="436"/>
      <c r="AT58" s="436"/>
      <c r="AU58" s="436"/>
      <c r="AV58" s="436"/>
      <c r="AW58" s="436"/>
      <c r="AX58" s="436"/>
      <c r="AY58" s="436"/>
    </row>
    <row r="59" spans="1:51">
      <c r="A59" s="581">
        <v>11140</v>
      </c>
      <c r="B59" s="582">
        <v>3.8600000000000002E-2</v>
      </c>
      <c r="C59" s="577">
        <v>1.7599999999999998E-2</v>
      </c>
      <c r="D59" s="577">
        <v>2.7999999999999995E-3</v>
      </c>
      <c r="E59" s="577">
        <v>3.7666666666666664E-3</v>
      </c>
      <c r="F59" s="577">
        <v>3.9500000000000004E-3</v>
      </c>
      <c r="G59" s="577">
        <v>3.8583333333333334E-3</v>
      </c>
      <c r="H59" s="577">
        <v>4.1583333333333333E-3</v>
      </c>
      <c r="I59" s="577">
        <f t="shared" si="0"/>
        <v>3.5800000000000005E-2</v>
      </c>
      <c r="J59" s="577">
        <f t="shared" si="4"/>
        <v>3.4741666666666671E-2</v>
      </c>
      <c r="K59" s="577">
        <f t="shared" si="5"/>
        <v>1.3441666666666664E-2</v>
      </c>
      <c r="L59" s="637">
        <f t="shared" si="1"/>
        <v>-0.23471912078039192</v>
      </c>
      <c r="M59" s="585">
        <f t="shared" si="2"/>
        <v>3.3599999999999991E-2</v>
      </c>
      <c r="N59" s="585">
        <f t="shared" si="6"/>
        <v>4.6300000000000001E-2</v>
      </c>
      <c r="O59" s="586">
        <f t="shared" si="3"/>
        <v>-0.26831912078039188</v>
      </c>
      <c r="P59" s="585">
        <f t="shared" si="7"/>
        <v>-0.28101912078039193</v>
      </c>
      <c r="Q59" s="585">
        <f t="shared" si="8"/>
        <v>-0.25278374564263972</v>
      </c>
      <c r="R59" s="585">
        <f t="shared" si="9"/>
        <v>4.99E-2</v>
      </c>
      <c r="S59" s="586">
        <f t="shared" si="10"/>
        <v>-0.30268374564263972</v>
      </c>
      <c r="U59" s="436"/>
      <c r="V59" s="436"/>
      <c r="W59" s="436"/>
      <c r="X59" s="436"/>
      <c r="Y59" s="436"/>
      <c r="Z59" s="436"/>
      <c r="AA59" s="436"/>
      <c r="AB59" s="436"/>
      <c r="AC59" s="436"/>
      <c r="AE59" s="436"/>
      <c r="AF59" s="436"/>
      <c r="AG59" s="436"/>
      <c r="AH59" s="436"/>
      <c r="AI59" s="436"/>
      <c r="AJ59" s="436"/>
      <c r="AK59" s="436"/>
      <c r="AL59" s="436"/>
      <c r="AM59" s="436"/>
      <c r="AO59" s="587"/>
      <c r="AP59" s="587"/>
      <c r="AQ59" s="436"/>
      <c r="AR59" s="436"/>
      <c r="AS59" s="436"/>
      <c r="AT59" s="436"/>
      <c r="AU59" s="436"/>
      <c r="AV59" s="436"/>
      <c r="AW59" s="436"/>
      <c r="AX59" s="436"/>
      <c r="AY59" s="436"/>
    </row>
    <row r="60" spans="1:51">
      <c r="A60" s="581">
        <v>11171</v>
      </c>
      <c r="B60" s="582">
        <v>1.41E-2</v>
      </c>
      <c r="C60" s="577">
        <v>7.6000000000000009E-3</v>
      </c>
      <c r="D60" s="577">
        <v>2.5999999999999999E-3</v>
      </c>
      <c r="E60" s="577">
        <v>3.725E-3</v>
      </c>
      <c r="F60" s="577">
        <v>3.8999999999999994E-3</v>
      </c>
      <c r="G60" s="577">
        <v>3.8124999999999999E-3</v>
      </c>
      <c r="H60" s="577">
        <v>4.1250000000000002E-3</v>
      </c>
      <c r="I60" s="577">
        <f t="shared" si="0"/>
        <v>1.15E-2</v>
      </c>
      <c r="J60" s="577">
        <f t="shared" si="4"/>
        <v>1.02875E-2</v>
      </c>
      <c r="K60" s="577">
        <f t="shared" si="5"/>
        <v>3.4750000000000007E-3</v>
      </c>
      <c r="L60" s="637">
        <f t="shared" si="1"/>
        <v>-0.29627190821853056</v>
      </c>
      <c r="M60" s="585">
        <f t="shared" si="2"/>
        <v>3.1199999999999999E-2</v>
      </c>
      <c r="N60" s="585">
        <f t="shared" si="6"/>
        <v>4.5749999999999999E-2</v>
      </c>
      <c r="O60" s="586">
        <f t="shared" si="3"/>
        <v>-0.32747190821853056</v>
      </c>
      <c r="P60" s="585">
        <f t="shared" si="7"/>
        <v>-0.34202190821853057</v>
      </c>
      <c r="Q60" s="585">
        <f t="shared" si="8"/>
        <v>-0.31759711964970894</v>
      </c>
      <c r="R60" s="585">
        <f t="shared" si="9"/>
        <v>4.9500000000000002E-2</v>
      </c>
      <c r="S60" s="586">
        <f t="shared" si="10"/>
        <v>-0.36709711964970893</v>
      </c>
      <c r="U60" s="436"/>
      <c r="V60" s="436"/>
      <c r="W60" s="436"/>
      <c r="X60" s="436"/>
      <c r="Y60" s="436"/>
      <c r="Z60" s="436"/>
      <c r="AA60" s="436"/>
      <c r="AB60" s="436"/>
      <c r="AC60" s="436"/>
      <c r="AE60" s="436"/>
      <c r="AF60" s="436"/>
      <c r="AG60" s="436"/>
      <c r="AH60" s="436"/>
      <c r="AI60" s="436"/>
      <c r="AJ60" s="436"/>
      <c r="AK60" s="436"/>
      <c r="AL60" s="436"/>
      <c r="AM60" s="436"/>
      <c r="AO60" s="587"/>
      <c r="AP60" s="587"/>
      <c r="AQ60" s="436"/>
      <c r="AR60" s="436"/>
      <c r="AS60" s="436"/>
      <c r="AT60" s="436"/>
      <c r="AU60" s="436"/>
      <c r="AV60" s="436"/>
      <c r="AW60" s="436"/>
      <c r="AX60" s="436"/>
      <c r="AY60" s="436"/>
    </row>
    <row r="61" spans="1:51">
      <c r="A61" s="581">
        <v>11202</v>
      </c>
      <c r="B61" s="582">
        <v>-0.12820000000000001</v>
      </c>
      <c r="C61" s="577">
        <v>-0.1108</v>
      </c>
      <c r="D61" s="577">
        <v>2.8999999999999998E-3</v>
      </c>
      <c r="E61" s="577">
        <v>3.6833333333333336E-3</v>
      </c>
      <c r="F61" s="577">
        <v>3.875E-3</v>
      </c>
      <c r="G61" s="577">
        <v>3.7791666666666668E-3</v>
      </c>
      <c r="H61" s="577">
        <v>4.0500000000000006E-3</v>
      </c>
      <c r="I61" s="577">
        <f t="shared" si="0"/>
        <v>-0.13109999999999999</v>
      </c>
      <c r="J61" s="577">
        <f t="shared" si="4"/>
        <v>-0.13197916666666668</v>
      </c>
      <c r="K61" s="577">
        <f t="shared" si="5"/>
        <v>-0.11484999999999999</v>
      </c>
      <c r="L61" s="637">
        <f t="shared" si="1"/>
        <v>-0.35582722551965029</v>
      </c>
      <c r="M61" s="585">
        <f t="shared" si="2"/>
        <v>3.4799999999999998E-2</v>
      </c>
      <c r="N61" s="585">
        <f t="shared" si="6"/>
        <v>4.5350000000000001E-2</v>
      </c>
      <c r="O61" s="586">
        <f t="shared" si="3"/>
        <v>-0.39062722551965029</v>
      </c>
      <c r="P61" s="585">
        <f t="shared" si="7"/>
        <v>-0.40117722551965029</v>
      </c>
      <c r="Q61" s="585">
        <f t="shared" si="8"/>
        <v>-0.39344997880100063</v>
      </c>
      <c r="R61" s="585">
        <f t="shared" si="9"/>
        <v>4.8600000000000004E-2</v>
      </c>
      <c r="S61" s="586">
        <f t="shared" si="10"/>
        <v>-0.44204997880100061</v>
      </c>
      <c r="U61" s="592"/>
      <c r="V61" s="592"/>
      <c r="W61" s="592"/>
      <c r="X61" s="592"/>
      <c r="Y61" s="592"/>
      <c r="Z61" s="592"/>
      <c r="AA61" s="592"/>
      <c r="AB61" s="592"/>
      <c r="AC61" s="592"/>
      <c r="AE61" s="592"/>
      <c r="AF61" s="592"/>
      <c r="AG61" s="592"/>
      <c r="AH61" s="592"/>
      <c r="AI61" s="592"/>
      <c r="AJ61" s="592"/>
      <c r="AK61" s="592"/>
      <c r="AL61" s="592"/>
      <c r="AM61" s="592"/>
      <c r="AO61" s="587"/>
      <c r="AP61" s="587"/>
      <c r="AQ61" s="436"/>
      <c r="AR61" s="436"/>
      <c r="AS61" s="436"/>
      <c r="AT61" s="436"/>
      <c r="AU61" s="436"/>
      <c r="AV61" s="436"/>
      <c r="AW61" s="436"/>
      <c r="AX61" s="436"/>
      <c r="AY61" s="436"/>
    </row>
    <row r="62" spans="1:51">
      <c r="A62" s="581">
        <v>11232</v>
      </c>
      <c r="B62" s="582">
        <v>-8.5500000000000007E-2</v>
      </c>
      <c r="C62" s="577">
        <v>-8.1799999999999998E-2</v>
      </c>
      <c r="D62" s="577">
        <v>2.7000000000000001E-3</v>
      </c>
      <c r="E62" s="577">
        <v>3.6833333333333336E-3</v>
      </c>
      <c r="F62" s="577">
        <v>3.8916666666666665E-3</v>
      </c>
      <c r="G62" s="577">
        <v>3.7875000000000005E-3</v>
      </c>
      <c r="H62" s="577">
        <v>4.0666666666666663E-3</v>
      </c>
      <c r="I62" s="577">
        <f t="shared" si="0"/>
        <v>-8.8200000000000001E-2</v>
      </c>
      <c r="J62" s="577">
        <f t="shared" si="4"/>
        <v>-8.9287500000000006E-2</v>
      </c>
      <c r="K62" s="577">
        <f t="shared" si="5"/>
        <v>-8.5866666666666661E-2</v>
      </c>
      <c r="L62" s="637">
        <f t="shared" si="1"/>
        <v>-0.26610688643044766</v>
      </c>
      <c r="M62" s="585">
        <f t="shared" si="2"/>
        <v>3.2399999999999998E-2</v>
      </c>
      <c r="N62" s="585">
        <f t="shared" si="6"/>
        <v>4.5450000000000004E-2</v>
      </c>
      <c r="O62" s="586">
        <f t="shared" si="3"/>
        <v>-0.29850688643044765</v>
      </c>
      <c r="P62" s="585">
        <f t="shared" si="7"/>
        <v>-0.31155688643044765</v>
      </c>
      <c r="Q62" s="585">
        <f t="shared" si="8"/>
        <v>-0.20187126760544427</v>
      </c>
      <c r="R62" s="585">
        <f t="shared" si="9"/>
        <v>4.8799999999999996E-2</v>
      </c>
      <c r="S62" s="586">
        <f t="shared" si="10"/>
        <v>-0.25067126760544428</v>
      </c>
      <c r="U62" s="436"/>
      <c r="V62" s="436"/>
      <c r="W62" s="436"/>
      <c r="X62" s="436"/>
      <c r="Y62" s="436"/>
      <c r="Z62" s="436"/>
      <c r="AA62" s="436"/>
      <c r="AB62" s="436"/>
      <c r="AC62" s="436"/>
      <c r="AE62" s="436"/>
      <c r="AF62" s="436"/>
      <c r="AG62" s="436"/>
      <c r="AH62" s="436"/>
      <c r="AI62" s="436"/>
      <c r="AJ62" s="436"/>
      <c r="AK62" s="436"/>
      <c r="AL62" s="436"/>
      <c r="AM62" s="436"/>
      <c r="AO62" s="587"/>
      <c r="AP62" s="587"/>
      <c r="AQ62" s="592"/>
      <c r="AR62" s="592"/>
      <c r="AS62" s="592"/>
      <c r="AT62" s="592"/>
      <c r="AU62" s="592"/>
      <c r="AV62" s="592"/>
      <c r="AW62" s="592"/>
      <c r="AX62" s="592"/>
      <c r="AY62" s="592"/>
    </row>
    <row r="63" spans="1:51">
      <c r="A63" s="581">
        <v>11263</v>
      </c>
      <c r="B63" s="582">
        <v>-8.8999999999999999E-3</v>
      </c>
      <c r="C63" s="577">
        <v>-7.3000000000000009E-2</v>
      </c>
      <c r="D63" s="577">
        <v>2.5999999999999999E-3</v>
      </c>
      <c r="E63" s="577">
        <v>3.725E-3</v>
      </c>
      <c r="F63" s="577">
        <v>3.9583333333333328E-3</v>
      </c>
      <c r="G63" s="577">
        <v>3.8416666666666664E-3</v>
      </c>
      <c r="H63" s="577">
        <v>4.1333333333333335E-3</v>
      </c>
      <c r="I63" s="577">
        <f t="shared" si="0"/>
        <v>-1.15E-2</v>
      </c>
      <c r="J63" s="577">
        <f t="shared" si="4"/>
        <v>-1.2741666666666667E-2</v>
      </c>
      <c r="K63" s="577">
        <f t="shared" si="5"/>
        <v>-7.7133333333333345E-2</v>
      </c>
      <c r="L63" s="637">
        <f t="shared" si="1"/>
        <v>-0.16910959006307591</v>
      </c>
      <c r="M63" s="585">
        <f t="shared" si="2"/>
        <v>3.1199999999999999E-2</v>
      </c>
      <c r="N63" s="585">
        <f t="shared" si="6"/>
        <v>4.6099999999999995E-2</v>
      </c>
      <c r="O63" s="586">
        <f t="shared" si="3"/>
        <v>-0.20030959006307592</v>
      </c>
      <c r="P63" s="585">
        <f t="shared" si="7"/>
        <v>-0.21520959006307591</v>
      </c>
      <c r="Q63" s="585">
        <f t="shared" si="8"/>
        <v>-0.13728389117332884</v>
      </c>
      <c r="R63" s="585">
        <f t="shared" si="9"/>
        <v>4.9600000000000005E-2</v>
      </c>
      <c r="S63" s="586">
        <f t="shared" si="10"/>
        <v>-0.18688389117332885</v>
      </c>
      <c r="U63" s="436"/>
      <c r="V63" s="436"/>
      <c r="W63" s="436"/>
      <c r="X63" s="436"/>
      <c r="Y63" s="436"/>
      <c r="Z63" s="436"/>
      <c r="AA63" s="436"/>
      <c r="AB63" s="436"/>
      <c r="AC63" s="436"/>
      <c r="AE63" s="436"/>
      <c r="AF63" s="436"/>
      <c r="AG63" s="436"/>
      <c r="AH63" s="436"/>
      <c r="AI63" s="436"/>
      <c r="AJ63" s="436"/>
      <c r="AK63" s="436"/>
      <c r="AL63" s="436"/>
      <c r="AM63" s="436"/>
      <c r="AO63" s="587"/>
      <c r="AP63" s="587"/>
      <c r="AQ63" s="436"/>
      <c r="AR63" s="436"/>
      <c r="AS63" s="436"/>
      <c r="AT63" s="436"/>
      <c r="AU63" s="436"/>
      <c r="AV63" s="436"/>
      <c r="AW63" s="436"/>
      <c r="AX63" s="436"/>
      <c r="AY63" s="436"/>
    </row>
    <row r="64" spans="1:51">
      <c r="A64" s="581">
        <v>11293</v>
      </c>
      <c r="B64" s="582">
        <v>-7.0599999999999996E-2</v>
      </c>
      <c r="C64" s="577">
        <v>-3.39E-2</v>
      </c>
      <c r="D64" s="577">
        <v>2.7999999999999995E-3</v>
      </c>
      <c r="E64" s="577">
        <v>3.7666666666666664E-3</v>
      </c>
      <c r="F64" s="577">
        <v>4.0416666666666665E-3</v>
      </c>
      <c r="G64" s="577">
        <v>3.9041666666666665E-3</v>
      </c>
      <c r="H64" s="577">
        <v>4.2583333333333336E-3</v>
      </c>
      <c r="I64" s="577">
        <f t="shared" si="0"/>
        <v>-7.3399999999999993E-2</v>
      </c>
      <c r="J64" s="577">
        <f t="shared" si="4"/>
        <v>-7.4504166666666663E-2</v>
      </c>
      <c r="K64" s="577">
        <f t="shared" si="5"/>
        <v>-3.8158333333333336E-2</v>
      </c>
      <c r="L64" s="637">
        <f t="shared" si="1"/>
        <v>-0.24895006127662178</v>
      </c>
      <c r="M64" s="585">
        <f t="shared" si="2"/>
        <v>3.3599999999999991E-2</v>
      </c>
      <c r="N64" s="585">
        <f t="shared" si="6"/>
        <v>4.6849999999999996E-2</v>
      </c>
      <c r="O64" s="586">
        <f t="shared" si="3"/>
        <v>-0.28255006127662174</v>
      </c>
      <c r="P64" s="585">
        <f t="shared" si="7"/>
        <v>-0.29580006127662178</v>
      </c>
      <c r="Q64" s="585">
        <f t="shared" si="8"/>
        <v>-0.2195973476241132</v>
      </c>
      <c r="R64" s="585">
        <f t="shared" si="9"/>
        <v>5.1100000000000007E-2</v>
      </c>
      <c r="S64" s="586">
        <f t="shared" si="10"/>
        <v>-0.27069734762411324</v>
      </c>
      <c r="U64" s="436"/>
      <c r="V64" s="436"/>
      <c r="W64" s="436"/>
      <c r="X64" s="436"/>
      <c r="Y64" s="436"/>
      <c r="Z64" s="436"/>
      <c r="AA64" s="436"/>
      <c r="AB64" s="436"/>
      <c r="AC64" s="436"/>
      <c r="AE64" s="436"/>
      <c r="AF64" s="436"/>
      <c r="AG64" s="436"/>
      <c r="AH64" s="436"/>
      <c r="AI64" s="436"/>
      <c r="AJ64" s="436"/>
      <c r="AK64" s="436"/>
      <c r="AL64" s="436"/>
      <c r="AM64" s="436"/>
      <c r="AO64" s="587"/>
      <c r="AP64" s="587"/>
      <c r="AQ64" s="436"/>
      <c r="AR64" s="436"/>
      <c r="AS64" s="436"/>
      <c r="AT64" s="436"/>
      <c r="AU64" s="436"/>
      <c r="AV64" s="436"/>
      <c r="AW64" s="436"/>
      <c r="AX64" s="436"/>
      <c r="AY64" s="436"/>
    </row>
    <row r="65" spans="1:51">
      <c r="A65" s="581">
        <v>11324</v>
      </c>
      <c r="B65" s="582">
        <v>5.0200000000000002E-2</v>
      </c>
      <c r="C65" s="577">
        <v>5.4000000000000006E-2</v>
      </c>
      <c r="D65" s="577">
        <v>2.7999999999999995E-3</v>
      </c>
      <c r="E65" s="577">
        <v>3.6833333333333336E-3</v>
      </c>
      <c r="F65" s="577">
        <v>3.9166666666666664E-3</v>
      </c>
      <c r="G65" s="577">
        <v>3.8E-3</v>
      </c>
      <c r="H65" s="577">
        <v>4.1749999999999999E-3</v>
      </c>
      <c r="I65" s="577">
        <f t="shared" si="0"/>
        <v>4.7400000000000005E-2</v>
      </c>
      <c r="J65" s="577">
        <f t="shared" si="4"/>
        <v>4.6400000000000004E-2</v>
      </c>
      <c r="K65" s="577">
        <f t="shared" si="5"/>
        <v>4.9825000000000008E-2</v>
      </c>
      <c r="L65" s="637">
        <f t="shared" si="1"/>
        <v>-0.25862144407623688</v>
      </c>
      <c r="M65" s="585">
        <f t="shared" si="2"/>
        <v>3.3599999999999991E-2</v>
      </c>
      <c r="N65" s="585">
        <f t="shared" si="6"/>
        <v>4.5600000000000002E-2</v>
      </c>
      <c r="O65" s="586">
        <f t="shared" si="3"/>
        <v>-0.29222144407623685</v>
      </c>
      <c r="P65" s="585">
        <f t="shared" si="7"/>
        <v>-0.30422144407623686</v>
      </c>
      <c r="Q65" s="585">
        <f t="shared" si="8"/>
        <v>-0.23412998547096386</v>
      </c>
      <c r="R65" s="585">
        <f t="shared" si="9"/>
        <v>5.0099999999999999E-2</v>
      </c>
      <c r="S65" s="586">
        <f t="shared" si="10"/>
        <v>-0.28422998547096384</v>
      </c>
      <c r="U65" s="436"/>
      <c r="V65" s="436"/>
      <c r="W65" s="436"/>
      <c r="X65" s="436"/>
      <c r="Y65" s="436"/>
      <c r="Z65" s="436"/>
      <c r="AA65" s="436"/>
      <c r="AB65" s="436"/>
      <c r="AC65" s="436"/>
      <c r="AE65" s="436"/>
      <c r="AF65" s="436"/>
      <c r="AG65" s="436"/>
      <c r="AH65" s="436"/>
      <c r="AI65" s="436"/>
      <c r="AJ65" s="436"/>
      <c r="AK65" s="436"/>
      <c r="AL65" s="436"/>
      <c r="AM65" s="436"/>
      <c r="AO65" s="587"/>
      <c r="AP65" s="587"/>
      <c r="AQ65" s="436"/>
      <c r="AR65" s="436"/>
      <c r="AS65" s="436"/>
      <c r="AT65" s="436"/>
      <c r="AU65" s="436"/>
      <c r="AV65" s="436"/>
      <c r="AW65" s="436"/>
      <c r="AX65" s="436"/>
      <c r="AY65" s="436"/>
    </row>
    <row r="66" spans="1:51">
      <c r="A66" s="581">
        <v>11355</v>
      </c>
      <c r="B66" s="582">
        <v>0.1193</v>
      </c>
      <c r="C66" s="577">
        <v>0.15240000000000001</v>
      </c>
      <c r="D66" s="577">
        <v>2.5999999999999999E-3</v>
      </c>
      <c r="E66" s="577">
        <v>3.6916666666666664E-3</v>
      </c>
      <c r="F66" s="577">
        <v>3.9166666666666664E-3</v>
      </c>
      <c r="G66" s="577">
        <v>3.8041666666666662E-3</v>
      </c>
      <c r="H66" s="577">
        <v>4.1749999999999999E-3</v>
      </c>
      <c r="I66" s="577">
        <f t="shared" si="0"/>
        <v>0.1167</v>
      </c>
      <c r="J66" s="577">
        <f t="shared" si="4"/>
        <v>0.11549583333333334</v>
      </c>
      <c r="K66" s="577">
        <f t="shared" si="5"/>
        <v>0.148225</v>
      </c>
      <c r="L66" s="637">
        <f t="shared" si="1"/>
        <v>-0.19112484877135394</v>
      </c>
      <c r="M66" s="585">
        <f t="shared" si="2"/>
        <v>3.1199999999999999E-2</v>
      </c>
      <c r="N66" s="585">
        <f t="shared" si="6"/>
        <v>4.5649999999999996E-2</v>
      </c>
      <c r="O66" s="586">
        <f t="shared" si="3"/>
        <v>-0.22232484877135394</v>
      </c>
      <c r="P66" s="585">
        <f t="shared" si="7"/>
        <v>-0.23677484877135394</v>
      </c>
      <c r="Q66" s="585">
        <f t="shared" si="8"/>
        <v>-0.18916986243154688</v>
      </c>
      <c r="R66" s="585">
        <f t="shared" si="9"/>
        <v>5.0099999999999999E-2</v>
      </c>
      <c r="S66" s="586">
        <f t="shared" si="10"/>
        <v>-0.23926986243154688</v>
      </c>
      <c r="U66" s="436"/>
      <c r="V66" s="436"/>
      <c r="W66" s="436"/>
      <c r="X66" s="436"/>
      <c r="Y66" s="436"/>
      <c r="Z66" s="436"/>
      <c r="AA66" s="436"/>
      <c r="AB66" s="436"/>
      <c r="AC66" s="436"/>
      <c r="AE66" s="436"/>
      <c r="AF66" s="436"/>
      <c r="AG66" s="436"/>
      <c r="AH66" s="436"/>
      <c r="AI66" s="436"/>
      <c r="AJ66" s="436"/>
      <c r="AK66" s="436"/>
      <c r="AL66" s="436"/>
      <c r="AM66" s="436"/>
      <c r="AO66" s="587"/>
      <c r="AP66" s="587"/>
      <c r="AQ66" s="436"/>
      <c r="AR66" s="436"/>
      <c r="AS66" s="436"/>
      <c r="AT66" s="436"/>
      <c r="AU66" s="436"/>
      <c r="AV66" s="436"/>
      <c r="AW66" s="436"/>
      <c r="AX66" s="436"/>
      <c r="AY66" s="436"/>
    </row>
    <row r="67" spans="1:51">
      <c r="A67" s="581">
        <v>11383</v>
      </c>
      <c r="B67" s="582">
        <v>-6.7500000000000004E-2</v>
      </c>
      <c r="C67" s="577">
        <v>-2.3900000000000001E-2</v>
      </c>
      <c r="D67" s="577">
        <v>2.8999999999999998E-3</v>
      </c>
      <c r="E67" s="577">
        <v>3.6583333333333329E-3</v>
      </c>
      <c r="F67" s="577">
        <v>3.8916666666666665E-3</v>
      </c>
      <c r="G67" s="577">
        <v>3.7749999999999993E-3</v>
      </c>
      <c r="H67" s="577">
        <v>4.15E-3</v>
      </c>
      <c r="I67" s="577">
        <f t="shared" si="0"/>
        <v>-7.0400000000000004E-2</v>
      </c>
      <c r="J67" s="577">
        <f t="shared" si="4"/>
        <v>-7.1275000000000005E-2</v>
      </c>
      <c r="K67" s="577">
        <f t="shared" si="5"/>
        <v>-2.8050000000000002E-2</v>
      </c>
      <c r="L67" s="637">
        <f t="shared" si="1"/>
        <v>-0.30237136651802388</v>
      </c>
      <c r="M67" s="585">
        <f t="shared" si="2"/>
        <v>3.4799999999999998E-2</v>
      </c>
      <c r="N67" s="585">
        <f t="shared" si="6"/>
        <v>4.5299999999999993E-2</v>
      </c>
      <c r="O67" s="586">
        <f t="shared" si="3"/>
        <v>-0.33717136651802387</v>
      </c>
      <c r="P67" s="585">
        <f t="shared" si="7"/>
        <v>-0.34767136651802388</v>
      </c>
      <c r="Q67" s="585">
        <f t="shared" si="8"/>
        <v>-0.27329786311581405</v>
      </c>
      <c r="R67" s="585">
        <f t="shared" si="9"/>
        <v>4.9799999999999997E-2</v>
      </c>
      <c r="S67" s="586">
        <f t="shared" si="10"/>
        <v>-0.32309786311581407</v>
      </c>
      <c r="U67" s="587"/>
      <c r="V67" s="587"/>
      <c r="W67" s="587"/>
      <c r="X67" s="587"/>
      <c r="Y67" s="587"/>
      <c r="Z67" s="587"/>
      <c r="AA67" s="587"/>
      <c r="AB67" s="587"/>
      <c r="AC67" s="587"/>
      <c r="AE67" s="587"/>
      <c r="AF67" s="587"/>
      <c r="AG67" s="587"/>
      <c r="AH67" s="587"/>
      <c r="AI67" s="587"/>
      <c r="AJ67" s="587"/>
      <c r="AK67" s="587"/>
      <c r="AL67" s="587"/>
      <c r="AM67" s="587"/>
      <c r="AO67" s="587"/>
      <c r="AP67" s="587"/>
      <c r="AQ67" s="436"/>
      <c r="AR67" s="436"/>
      <c r="AS67" s="436"/>
      <c r="AT67" s="436"/>
      <c r="AU67" s="436"/>
      <c r="AV67" s="436"/>
      <c r="AW67" s="436"/>
      <c r="AX67" s="436"/>
      <c r="AY67" s="436"/>
    </row>
    <row r="68" spans="1:51">
      <c r="A68" s="581">
        <v>11414</v>
      </c>
      <c r="B68" s="582">
        <v>-9.35E-2</v>
      </c>
      <c r="C68" s="577">
        <v>-0.10540000000000001</v>
      </c>
      <c r="D68" s="577">
        <v>2.7000000000000001E-3</v>
      </c>
      <c r="E68" s="577">
        <v>3.666666666666667E-3</v>
      </c>
      <c r="F68" s="577">
        <v>3.966666666666667E-3</v>
      </c>
      <c r="G68" s="577">
        <v>3.816666666666667E-3</v>
      </c>
      <c r="H68" s="577">
        <v>4.0500000000000006E-3</v>
      </c>
      <c r="I68" s="577">
        <f t="shared" si="0"/>
        <v>-9.6199999999999994E-2</v>
      </c>
      <c r="J68" s="577">
        <f t="shared" si="4"/>
        <v>-9.7316666666666662E-2</v>
      </c>
      <c r="K68" s="577">
        <f t="shared" si="5"/>
        <v>-0.10945000000000001</v>
      </c>
      <c r="L68" s="637">
        <f t="shared" si="1"/>
        <v>-0.36249964087559328</v>
      </c>
      <c r="M68" s="585">
        <f t="shared" si="2"/>
        <v>3.2399999999999998E-2</v>
      </c>
      <c r="N68" s="585">
        <f t="shared" si="6"/>
        <v>4.5800000000000007E-2</v>
      </c>
      <c r="O68" s="586">
        <f t="shared" si="3"/>
        <v>-0.39489964087559326</v>
      </c>
      <c r="P68" s="585">
        <f t="shared" si="7"/>
        <v>-0.40829964087559328</v>
      </c>
      <c r="Q68" s="585">
        <f t="shared" si="8"/>
        <v>-0.37132991813500349</v>
      </c>
      <c r="R68" s="585">
        <f t="shared" si="9"/>
        <v>4.8600000000000004E-2</v>
      </c>
      <c r="S68" s="586">
        <f t="shared" si="10"/>
        <v>-0.41992991813500347</v>
      </c>
      <c r="U68" s="587"/>
      <c r="V68" s="587"/>
      <c r="W68" s="587"/>
      <c r="X68" s="587"/>
      <c r="Y68" s="587"/>
      <c r="Z68" s="587"/>
      <c r="AA68" s="587"/>
      <c r="AB68" s="587"/>
      <c r="AC68" s="587"/>
      <c r="AE68" s="587"/>
      <c r="AF68" s="587"/>
      <c r="AG68" s="587"/>
      <c r="AH68" s="587"/>
      <c r="AI68" s="587"/>
      <c r="AJ68" s="587"/>
      <c r="AK68" s="587"/>
      <c r="AL68" s="587"/>
      <c r="AM68" s="587"/>
      <c r="AO68" s="587"/>
      <c r="AP68" s="587"/>
      <c r="AQ68" s="587"/>
      <c r="AR68" s="587"/>
      <c r="AS68" s="587"/>
      <c r="AT68" s="587"/>
      <c r="AU68" s="587"/>
      <c r="AV68" s="587"/>
      <c r="AW68" s="587"/>
    </row>
    <row r="69" spans="1:51">
      <c r="A69" s="581">
        <v>11444</v>
      </c>
      <c r="B69" s="582">
        <v>-0.12790000000000001</v>
      </c>
      <c r="C69" s="577">
        <v>-0.10289999999999999</v>
      </c>
      <c r="D69" s="577">
        <v>2.5999999999999999E-3</v>
      </c>
      <c r="E69" s="577">
        <v>3.6416666666666667E-3</v>
      </c>
      <c r="F69" s="577">
        <v>3.966666666666667E-3</v>
      </c>
      <c r="G69" s="577">
        <v>3.8041666666666666E-3</v>
      </c>
      <c r="H69" s="577">
        <v>4.0333333333333332E-3</v>
      </c>
      <c r="I69" s="577">
        <f t="shared" si="0"/>
        <v>-0.1305</v>
      </c>
      <c r="J69" s="577">
        <f t="shared" si="4"/>
        <v>-0.13170416666666668</v>
      </c>
      <c r="K69" s="577">
        <f t="shared" si="5"/>
        <v>-0.10693333333333332</v>
      </c>
      <c r="L69" s="637">
        <f t="shared" si="1"/>
        <v>-0.43864694750363986</v>
      </c>
      <c r="M69" s="585">
        <f t="shared" si="2"/>
        <v>3.1199999999999999E-2</v>
      </c>
      <c r="N69" s="585">
        <f t="shared" si="6"/>
        <v>4.5649999999999996E-2</v>
      </c>
      <c r="O69" s="586">
        <f t="shared" si="3"/>
        <v>-0.46984694750363987</v>
      </c>
      <c r="P69" s="585">
        <f t="shared" si="7"/>
        <v>-0.48429694750363983</v>
      </c>
      <c r="Q69" s="585">
        <f t="shared" si="8"/>
        <v>-0.42238843666418657</v>
      </c>
      <c r="R69" s="585">
        <f t="shared" si="9"/>
        <v>4.8399999999999999E-2</v>
      </c>
      <c r="S69" s="586">
        <f t="shared" si="10"/>
        <v>-0.47078843666418657</v>
      </c>
      <c r="U69" s="587"/>
      <c r="V69" s="587"/>
      <c r="W69" s="587"/>
      <c r="X69" s="587"/>
      <c r="Y69" s="587"/>
      <c r="Z69" s="587"/>
      <c r="AA69" s="587"/>
      <c r="AB69" s="587"/>
      <c r="AC69" s="587"/>
      <c r="AE69" s="587"/>
      <c r="AF69" s="587"/>
      <c r="AG69" s="587"/>
      <c r="AH69" s="587"/>
      <c r="AI69" s="587"/>
      <c r="AJ69" s="587"/>
      <c r="AK69" s="587"/>
      <c r="AL69" s="587"/>
      <c r="AM69" s="587"/>
      <c r="AO69" s="587"/>
      <c r="AP69" s="587"/>
      <c r="AQ69" s="587"/>
      <c r="AR69" s="587"/>
      <c r="AS69" s="587"/>
      <c r="AT69" s="587"/>
      <c r="AU69" s="587"/>
      <c r="AV69" s="587"/>
      <c r="AW69" s="587"/>
    </row>
    <row r="70" spans="1:51">
      <c r="A70" s="581">
        <v>11475</v>
      </c>
      <c r="B70" s="582">
        <v>0.1421</v>
      </c>
      <c r="C70" s="577">
        <v>0.13730000000000001</v>
      </c>
      <c r="D70" s="577">
        <v>2.7999999999999995E-3</v>
      </c>
      <c r="E70" s="577">
        <v>3.6333333333333335E-3</v>
      </c>
      <c r="F70" s="577">
        <v>4.0083333333333334E-3</v>
      </c>
      <c r="G70" s="577">
        <v>3.8208333333333332E-3</v>
      </c>
      <c r="H70" s="577">
        <v>4.0583333333333331E-3</v>
      </c>
      <c r="I70" s="577">
        <f t="shared" ref="I70:I133" si="12">B70-D70</f>
        <v>0.13930000000000001</v>
      </c>
      <c r="J70" s="577">
        <f t="shared" si="4"/>
        <v>0.13827916666666668</v>
      </c>
      <c r="K70" s="577">
        <f t="shared" si="5"/>
        <v>0.13324166666666667</v>
      </c>
      <c r="L70" s="637">
        <f t="shared" si="1"/>
        <v>-0.23448200447033651</v>
      </c>
      <c r="M70" s="585">
        <f t="shared" si="2"/>
        <v>3.3599999999999991E-2</v>
      </c>
      <c r="N70" s="585">
        <f t="shared" si="6"/>
        <v>4.5850000000000002E-2</v>
      </c>
      <c r="O70" s="586">
        <f t="shared" si="3"/>
        <v>-0.26808200447033648</v>
      </c>
      <c r="P70" s="585">
        <f t="shared" si="7"/>
        <v>-0.28033200447033652</v>
      </c>
      <c r="Q70" s="585">
        <f t="shared" si="8"/>
        <v>-0.18869009388437619</v>
      </c>
      <c r="R70" s="585">
        <f t="shared" si="9"/>
        <v>4.8699999999999993E-2</v>
      </c>
      <c r="S70" s="586">
        <f t="shared" si="10"/>
        <v>-0.23739009388437618</v>
      </c>
      <c r="U70" s="587"/>
      <c r="V70" s="587"/>
      <c r="W70" s="587"/>
      <c r="X70" s="587"/>
      <c r="Y70" s="587"/>
      <c r="Z70" s="587"/>
      <c r="AA70" s="587"/>
      <c r="AB70" s="587"/>
      <c r="AC70" s="587"/>
      <c r="AE70" s="587"/>
      <c r="AF70" s="587"/>
      <c r="AG70" s="587"/>
      <c r="AH70" s="587"/>
      <c r="AI70" s="587"/>
      <c r="AJ70" s="587"/>
      <c r="AK70" s="587"/>
      <c r="AL70" s="587"/>
      <c r="AM70" s="587"/>
      <c r="AO70" s="587"/>
      <c r="AP70" s="587"/>
      <c r="AQ70" s="587"/>
      <c r="AR70" s="587"/>
      <c r="AS70" s="587"/>
      <c r="AT70" s="587"/>
      <c r="AU70" s="587"/>
      <c r="AV70" s="587"/>
      <c r="AW70" s="587"/>
    </row>
    <row r="71" spans="1:51">
      <c r="A71" s="581">
        <v>11505</v>
      </c>
      <c r="B71" s="582">
        <v>-7.22E-2</v>
      </c>
      <c r="C71" s="577">
        <v>-6.2199999999999991E-2</v>
      </c>
      <c r="D71" s="577">
        <v>2.7000000000000001E-3</v>
      </c>
      <c r="E71" s="577">
        <v>3.6333333333333335E-3</v>
      </c>
      <c r="F71" s="577">
        <v>4.0083333333333334E-3</v>
      </c>
      <c r="G71" s="577">
        <v>3.8208333333333332E-3</v>
      </c>
      <c r="H71" s="577">
        <v>4.0249999999999999E-3</v>
      </c>
      <c r="I71" s="577">
        <f t="shared" si="12"/>
        <v>-7.4899999999999994E-2</v>
      </c>
      <c r="J71" s="577">
        <f t="shared" si="4"/>
        <v>-7.6020833333333329E-2</v>
      </c>
      <c r="K71" s="577">
        <f t="shared" si="5"/>
        <v>-6.6224999999999992E-2</v>
      </c>
      <c r="L71" s="637">
        <f t="shared" si="1"/>
        <v>-0.31614905040205898</v>
      </c>
      <c r="M71" s="585">
        <f t="shared" si="2"/>
        <v>3.2399999999999998E-2</v>
      </c>
      <c r="N71" s="585">
        <f t="shared" si="6"/>
        <v>4.5850000000000002E-2</v>
      </c>
      <c r="O71" s="586">
        <f t="shared" si="3"/>
        <v>-0.34854905040205897</v>
      </c>
      <c r="P71" s="585">
        <f t="shared" si="7"/>
        <v>-0.36199905040205899</v>
      </c>
      <c r="Q71" s="585">
        <f t="shared" si="8"/>
        <v>-0.25231286364462269</v>
      </c>
      <c r="R71" s="585">
        <f t="shared" si="9"/>
        <v>4.8299999999999996E-2</v>
      </c>
      <c r="S71" s="586">
        <f t="shared" si="10"/>
        <v>-0.3006128636446227</v>
      </c>
      <c r="U71" s="587"/>
      <c r="V71" s="587"/>
      <c r="W71" s="587"/>
      <c r="X71" s="587"/>
      <c r="Y71" s="587"/>
      <c r="Z71" s="587"/>
      <c r="AA71" s="587"/>
      <c r="AB71" s="587"/>
      <c r="AC71" s="587"/>
      <c r="AE71" s="587"/>
      <c r="AF71" s="587"/>
      <c r="AG71" s="587"/>
      <c r="AH71" s="587"/>
      <c r="AI71" s="587"/>
      <c r="AJ71" s="587"/>
      <c r="AK71" s="587"/>
      <c r="AL71" s="587"/>
      <c r="AM71" s="587"/>
      <c r="AO71" s="587"/>
      <c r="AP71" s="587"/>
      <c r="AQ71" s="587"/>
      <c r="AR71" s="587"/>
      <c r="AS71" s="587"/>
      <c r="AT71" s="587"/>
      <c r="AU71" s="587"/>
      <c r="AV71" s="587"/>
      <c r="AW71" s="587"/>
    </row>
    <row r="72" spans="1:51">
      <c r="A72" s="581">
        <v>11536</v>
      </c>
      <c r="B72" s="582">
        <v>1.8200000000000001E-2</v>
      </c>
      <c r="C72" s="577">
        <v>2.5599999999999998E-2</v>
      </c>
      <c r="D72" s="577">
        <v>2.7000000000000001E-3</v>
      </c>
      <c r="E72" s="577">
        <v>3.666666666666667E-3</v>
      </c>
      <c r="F72" s="577">
        <v>4.0416666666666665E-3</v>
      </c>
      <c r="G72" s="577">
        <v>3.8541666666666663E-3</v>
      </c>
      <c r="H72" s="577">
        <v>4.0083333333333334E-3</v>
      </c>
      <c r="I72" s="577">
        <f t="shared" si="12"/>
        <v>1.55E-2</v>
      </c>
      <c r="J72" s="577">
        <f t="shared" si="4"/>
        <v>1.4345833333333335E-2</v>
      </c>
      <c r="K72" s="577">
        <f t="shared" si="5"/>
        <v>2.1591666666666665E-2</v>
      </c>
      <c r="L72" s="637">
        <f t="shared" si="1"/>
        <v>-0.31338424526119368</v>
      </c>
      <c r="M72" s="585">
        <f t="shared" si="2"/>
        <v>3.2399999999999998E-2</v>
      </c>
      <c r="N72" s="585">
        <f t="shared" si="6"/>
        <v>4.6249999999999999E-2</v>
      </c>
      <c r="O72" s="586">
        <f t="shared" si="3"/>
        <v>-0.34578424526119367</v>
      </c>
      <c r="P72" s="585">
        <f t="shared" si="7"/>
        <v>-0.3596342452611937</v>
      </c>
      <c r="Q72" s="585">
        <f t="shared" si="8"/>
        <v>-0.23895600729845656</v>
      </c>
      <c r="R72" s="585">
        <f t="shared" si="9"/>
        <v>4.8100000000000004E-2</v>
      </c>
      <c r="S72" s="586">
        <f t="shared" si="10"/>
        <v>-0.28705600729845659</v>
      </c>
      <c r="U72" s="587"/>
      <c r="V72" s="587"/>
      <c r="W72" s="587"/>
      <c r="X72" s="587"/>
      <c r="Y72" s="587"/>
      <c r="Z72" s="587"/>
      <c r="AA72" s="587"/>
      <c r="AB72" s="587"/>
      <c r="AC72" s="587"/>
      <c r="AE72" s="587"/>
      <c r="AF72" s="587"/>
      <c r="AG72" s="587"/>
      <c r="AH72" s="587"/>
      <c r="AI72" s="587"/>
      <c r="AJ72" s="587"/>
      <c r="AK72" s="587"/>
      <c r="AL72" s="587"/>
      <c r="AM72" s="587"/>
      <c r="AO72" s="587"/>
      <c r="AP72" s="587"/>
      <c r="AQ72" s="587"/>
      <c r="AR72" s="587"/>
      <c r="AS72" s="587"/>
      <c r="AT72" s="587"/>
      <c r="AU72" s="587"/>
      <c r="AV72" s="587"/>
      <c r="AW72" s="587"/>
    </row>
    <row r="73" spans="1:51">
      <c r="A73" s="581">
        <v>11567</v>
      </c>
      <c r="B73" s="582">
        <v>-0.29730000000000001</v>
      </c>
      <c r="C73" s="577">
        <v>-0.31490000000000001</v>
      </c>
      <c r="D73" s="577">
        <v>2.7000000000000001E-3</v>
      </c>
      <c r="E73" s="577">
        <v>3.7916666666666667E-3</v>
      </c>
      <c r="F73" s="577">
        <v>4.2333333333333337E-3</v>
      </c>
      <c r="G73" s="577">
        <v>4.0124999999999996E-3</v>
      </c>
      <c r="H73" s="577">
        <v>4.208333333333333E-3</v>
      </c>
      <c r="I73" s="577">
        <f t="shared" si="12"/>
        <v>-0.3</v>
      </c>
      <c r="J73" s="577">
        <f t="shared" si="4"/>
        <v>-0.30131249999999998</v>
      </c>
      <c r="K73" s="577">
        <f t="shared" si="5"/>
        <v>-0.31910833333333333</v>
      </c>
      <c r="L73" s="637">
        <f t="shared" si="1"/>
        <v>-0.44656470422693362</v>
      </c>
      <c r="M73" s="585">
        <f t="shared" si="2"/>
        <v>3.2399999999999998E-2</v>
      </c>
      <c r="N73" s="585">
        <f t="shared" si="6"/>
        <v>4.8149999999999998E-2</v>
      </c>
      <c r="O73" s="586">
        <f t="shared" si="3"/>
        <v>-0.4789647042269336</v>
      </c>
      <c r="P73" s="585">
        <f t="shared" si="7"/>
        <v>-0.49471470422693364</v>
      </c>
      <c r="Q73" s="585">
        <f t="shared" si="8"/>
        <v>-0.41364008164661792</v>
      </c>
      <c r="R73" s="585">
        <f t="shared" si="9"/>
        <v>5.0499999999999996E-2</v>
      </c>
      <c r="S73" s="586">
        <f t="shared" si="10"/>
        <v>-0.46414008164661791</v>
      </c>
      <c r="U73" s="587"/>
      <c r="V73" s="587"/>
      <c r="W73" s="587"/>
      <c r="X73" s="587"/>
      <c r="Y73" s="587"/>
      <c r="Z73" s="587"/>
      <c r="AA73" s="587"/>
      <c r="AB73" s="587"/>
      <c r="AC73" s="587"/>
      <c r="AE73" s="587"/>
      <c r="AF73" s="587"/>
      <c r="AG73" s="587"/>
      <c r="AH73" s="587"/>
      <c r="AI73" s="587"/>
      <c r="AJ73" s="587"/>
      <c r="AK73" s="587"/>
      <c r="AL73" s="587"/>
      <c r="AM73" s="587"/>
      <c r="AO73" s="587"/>
      <c r="AP73" s="587"/>
      <c r="AQ73" s="587"/>
      <c r="AR73" s="587"/>
      <c r="AS73" s="587"/>
      <c r="AT73" s="587"/>
      <c r="AU73" s="587"/>
      <c r="AV73" s="587"/>
      <c r="AW73" s="587"/>
    </row>
    <row r="74" spans="1:51">
      <c r="A74" s="581">
        <v>11597</v>
      </c>
      <c r="B74" s="582">
        <v>8.9599999999999999E-2</v>
      </c>
      <c r="C74" s="577">
        <v>9.9000000000000005E-2</v>
      </c>
      <c r="D74" s="577">
        <v>2.8999999999999998E-3</v>
      </c>
      <c r="E74" s="577">
        <v>4.1583333333333333E-3</v>
      </c>
      <c r="F74" s="577">
        <v>4.6416666666666663E-3</v>
      </c>
      <c r="G74" s="577">
        <v>4.4000000000000003E-3</v>
      </c>
      <c r="H74" s="577">
        <v>4.6166666666666665E-3</v>
      </c>
      <c r="I74" s="577">
        <f t="shared" si="12"/>
        <v>8.6699999999999999E-2</v>
      </c>
      <c r="J74" s="577">
        <f t="shared" si="4"/>
        <v>8.5199999999999998E-2</v>
      </c>
      <c r="K74" s="577">
        <f t="shared" si="5"/>
        <v>9.4383333333333333E-2</v>
      </c>
      <c r="L74" s="637">
        <f t="shared" si="1"/>
        <v>-0.34059803359832364</v>
      </c>
      <c r="M74" s="585">
        <f t="shared" si="2"/>
        <v>3.4799999999999998E-2</v>
      </c>
      <c r="N74" s="585">
        <f t="shared" si="6"/>
        <v>5.28E-2</v>
      </c>
      <c r="O74" s="586">
        <f t="shared" si="3"/>
        <v>-0.37539803359832363</v>
      </c>
      <c r="P74" s="585">
        <f t="shared" si="7"/>
        <v>-0.39339803359832365</v>
      </c>
      <c r="Q74" s="585">
        <f t="shared" si="8"/>
        <v>-0.29818171392902748</v>
      </c>
      <c r="R74" s="585">
        <f t="shared" si="9"/>
        <v>5.5399999999999998E-2</v>
      </c>
      <c r="S74" s="586">
        <f t="shared" si="10"/>
        <v>-0.35358171392902749</v>
      </c>
      <c r="U74" s="587"/>
      <c r="V74" s="587"/>
      <c r="W74" s="587"/>
      <c r="X74" s="587"/>
      <c r="Y74" s="587"/>
      <c r="Z74" s="587"/>
      <c r="AA74" s="587"/>
      <c r="AB74" s="587"/>
      <c r="AC74" s="587"/>
      <c r="AE74" s="587"/>
      <c r="AF74" s="587"/>
      <c r="AG74" s="587"/>
      <c r="AH74" s="587"/>
      <c r="AI74" s="587"/>
      <c r="AJ74" s="587"/>
      <c r="AK74" s="587"/>
      <c r="AL74" s="587"/>
      <c r="AM74" s="587"/>
      <c r="AO74" s="587"/>
      <c r="AP74" s="587"/>
      <c r="AQ74" s="587"/>
      <c r="AR74" s="587"/>
      <c r="AS74" s="587"/>
      <c r="AT74" s="587"/>
      <c r="AU74" s="587"/>
      <c r="AV74" s="587"/>
      <c r="AW74" s="587"/>
    </row>
    <row r="75" spans="1:51">
      <c r="A75" s="581">
        <v>11628</v>
      </c>
      <c r="B75" s="582">
        <v>-7.9799999999999996E-2</v>
      </c>
      <c r="C75" s="577">
        <v>-6.1400000000000003E-2</v>
      </c>
      <c r="D75" s="577">
        <v>3.0999999999999999E-3</v>
      </c>
      <c r="E75" s="577">
        <v>4.1166666666666669E-3</v>
      </c>
      <c r="F75" s="577">
        <v>4.6750000000000003E-3</v>
      </c>
      <c r="G75" s="577">
        <v>4.3958333333333332E-3</v>
      </c>
      <c r="H75" s="577">
        <v>4.5916666666666666E-3</v>
      </c>
      <c r="I75" s="577">
        <f t="shared" si="12"/>
        <v>-8.2900000000000001E-2</v>
      </c>
      <c r="J75" s="577">
        <f t="shared" si="4"/>
        <v>-8.4195833333333331E-2</v>
      </c>
      <c r="K75" s="577">
        <f t="shared" si="5"/>
        <v>-6.5991666666666671E-2</v>
      </c>
      <c r="L75" s="637">
        <f t="shared" si="1"/>
        <v>-0.38776945869960389</v>
      </c>
      <c r="M75" s="585">
        <f t="shared" si="2"/>
        <v>3.7199999999999997E-2</v>
      </c>
      <c r="N75" s="585">
        <f t="shared" si="6"/>
        <v>5.2749999999999998E-2</v>
      </c>
      <c r="O75" s="586">
        <f t="shared" si="3"/>
        <v>-0.4249694586996039</v>
      </c>
      <c r="P75" s="585">
        <f t="shared" si="7"/>
        <v>-0.44051945869960391</v>
      </c>
      <c r="Q75" s="585">
        <f t="shared" si="8"/>
        <v>-0.28939952178401851</v>
      </c>
      <c r="R75" s="585">
        <f t="shared" si="9"/>
        <v>5.5099999999999996E-2</v>
      </c>
      <c r="S75" s="586">
        <f t="shared" si="10"/>
        <v>-0.34449952178401849</v>
      </c>
      <c r="U75" s="587"/>
      <c r="V75" s="587"/>
      <c r="W75" s="587"/>
      <c r="X75" s="587"/>
      <c r="Y75" s="587"/>
      <c r="Z75" s="587"/>
      <c r="AA75" s="587"/>
      <c r="AB75" s="587"/>
      <c r="AC75" s="587"/>
      <c r="AE75" s="587"/>
      <c r="AF75" s="587"/>
      <c r="AG75" s="587"/>
      <c r="AH75" s="587"/>
      <c r="AI75" s="587"/>
      <c r="AJ75" s="587"/>
      <c r="AK75" s="587"/>
      <c r="AL75" s="587"/>
      <c r="AM75" s="587"/>
      <c r="AO75" s="587"/>
      <c r="AP75" s="587"/>
      <c r="AQ75" s="587"/>
      <c r="AR75" s="587"/>
      <c r="AS75" s="587"/>
      <c r="AT75" s="587"/>
      <c r="AU75" s="587"/>
      <c r="AV75" s="587"/>
      <c r="AW75" s="587"/>
    </row>
    <row r="76" spans="1:51">
      <c r="A76" s="581">
        <v>11658</v>
      </c>
      <c r="B76" s="582">
        <v>-0.14000000000000001</v>
      </c>
      <c r="C76" s="577">
        <v>-0.1283</v>
      </c>
      <c r="D76" s="577">
        <v>3.2000000000000002E-3</v>
      </c>
      <c r="E76" s="577">
        <v>4.4333333333333334E-3</v>
      </c>
      <c r="F76" s="577">
        <v>5.2166666666666663E-3</v>
      </c>
      <c r="G76" s="577">
        <v>4.8249999999999994E-3</v>
      </c>
      <c r="H76" s="577">
        <v>5.1999999999999998E-3</v>
      </c>
      <c r="I76" s="577">
        <f t="shared" si="12"/>
        <v>-0.14320000000000002</v>
      </c>
      <c r="J76" s="577">
        <f t="shared" si="4"/>
        <v>-0.14482500000000001</v>
      </c>
      <c r="K76" s="577">
        <f t="shared" si="5"/>
        <v>-0.13350000000000001</v>
      </c>
      <c r="L76" s="637">
        <f t="shared" si="1"/>
        <v>-0.43348583438956245</v>
      </c>
      <c r="M76" s="585">
        <f t="shared" si="2"/>
        <v>3.8400000000000004E-2</v>
      </c>
      <c r="N76" s="585">
        <f t="shared" si="6"/>
        <v>5.7899999999999993E-2</v>
      </c>
      <c r="O76" s="586">
        <f t="shared" si="3"/>
        <v>-0.47188583438956244</v>
      </c>
      <c r="P76" s="585">
        <f t="shared" si="7"/>
        <v>-0.49138583438956246</v>
      </c>
      <c r="Q76" s="585">
        <f t="shared" si="8"/>
        <v>-0.35883403699319849</v>
      </c>
      <c r="R76" s="585">
        <f t="shared" si="9"/>
        <v>6.2399999999999997E-2</v>
      </c>
      <c r="S76" s="586">
        <f t="shared" si="10"/>
        <v>-0.4212340369931985</v>
      </c>
      <c r="U76" s="587"/>
      <c r="V76" s="587"/>
      <c r="W76" s="587"/>
      <c r="X76" s="587"/>
      <c r="Y76" s="587"/>
      <c r="Z76" s="587"/>
      <c r="AA76" s="587"/>
      <c r="AB76" s="587"/>
      <c r="AC76" s="587"/>
      <c r="AE76" s="587"/>
      <c r="AF76" s="587"/>
      <c r="AG76" s="587"/>
      <c r="AH76" s="587"/>
      <c r="AI76" s="587"/>
      <c r="AJ76" s="587"/>
      <c r="AK76" s="587"/>
      <c r="AL76" s="587"/>
      <c r="AM76" s="587"/>
      <c r="AO76" s="587"/>
      <c r="AP76" s="587"/>
      <c r="AQ76" s="587"/>
      <c r="AR76" s="587"/>
      <c r="AS76" s="587"/>
      <c r="AT76" s="587"/>
      <c r="AU76" s="587"/>
      <c r="AV76" s="587"/>
      <c r="AW76" s="587"/>
    </row>
    <row r="77" spans="1:51">
      <c r="A77" s="581">
        <v>11689</v>
      </c>
      <c r="B77" s="582">
        <v>-2.7099999999999999E-2</v>
      </c>
      <c r="C77" s="577">
        <v>-1.9999999999999997E-2</v>
      </c>
      <c r="D77" s="577">
        <v>3.2000000000000002E-3</v>
      </c>
      <c r="E77" s="577">
        <v>4.3333333333333331E-3</v>
      </c>
      <c r="F77" s="577">
        <v>5.0666666666666672E-3</v>
      </c>
      <c r="G77" s="577">
        <v>4.7000000000000002E-3</v>
      </c>
      <c r="H77" s="577">
        <v>5.1416666666666668E-3</v>
      </c>
      <c r="I77" s="577">
        <f t="shared" si="12"/>
        <v>-3.0300000000000001E-2</v>
      </c>
      <c r="J77" s="577">
        <f t="shared" si="4"/>
        <v>-3.1800000000000002E-2</v>
      </c>
      <c r="K77" s="577">
        <f t="shared" si="5"/>
        <v>-2.5141666666666663E-2</v>
      </c>
      <c r="L77" s="637">
        <f t="shared" si="1"/>
        <v>-0.47518412519292075</v>
      </c>
      <c r="M77" s="585">
        <f t="shared" si="2"/>
        <v>3.8400000000000004E-2</v>
      </c>
      <c r="N77" s="585">
        <f t="shared" si="6"/>
        <v>5.6400000000000006E-2</v>
      </c>
      <c r="O77" s="586">
        <f t="shared" si="3"/>
        <v>-0.51358412519292074</v>
      </c>
      <c r="P77" s="585">
        <f t="shared" si="7"/>
        <v>-0.53158412519292075</v>
      </c>
      <c r="Q77" s="585">
        <f t="shared" si="8"/>
        <v>-0.40384948411132304</v>
      </c>
      <c r="R77" s="585">
        <f t="shared" si="9"/>
        <v>6.1700000000000005E-2</v>
      </c>
      <c r="S77" s="586">
        <f t="shared" si="10"/>
        <v>-0.46554948411132302</v>
      </c>
      <c r="U77" s="587"/>
      <c r="V77" s="587"/>
      <c r="W77" s="587"/>
      <c r="X77" s="587"/>
      <c r="Y77" s="587"/>
      <c r="Z77" s="587"/>
      <c r="AA77" s="587"/>
      <c r="AB77" s="587"/>
      <c r="AC77" s="587"/>
      <c r="AE77" s="587"/>
      <c r="AF77" s="587"/>
      <c r="AG77" s="587"/>
      <c r="AH77" s="587"/>
      <c r="AI77" s="587"/>
      <c r="AJ77" s="587"/>
      <c r="AK77" s="587"/>
      <c r="AL77" s="587"/>
      <c r="AM77" s="587"/>
      <c r="AO77" s="587"/>
      <c r="AP77" s="587"/>
      <c r="AQ77" s="587"/>
      <c r="AR77" s="587"/>
      <c r="AS77" s="587"/>
      <c r="AT77" s="587"/>
      <c r="AU77" s="587"/>
      <c r="AV77" s="587"/>
      <c r="AW77" s="587"/>
    </row>
    <row r="78" spans="1:51">
      <c r="A78" s="581">
        <v>11720</v>
      </c>
      <c r="B78" s="582">
        <v>5.7000000000000002E-2</v>
      </c>
      <c r="C78" s="577">
        <v>7.9899999999999999E-2</v>
      </c>
      <c r="D78" s="577">
        <v>3.2000000000000002E-3</v>
      </c>
      <c r="E78" s="577">
        <v>4.3583333333333339E-3</v>
      </c>
      <c r="F78" s="577">
        <v>5.1083333333333336E-3</v>
      </c>
      <c r="G78" s="577">
        <v>4.7333333333333342E-3</v>
      </c>
      <c r="H78" s="577">
        <v>5.3416666666666664E-3</v>
      </c>
      <c r="I78" s="577">
        <f t="shared" si="12"/>
        <v>5.3800000000000001E-2</v>
      </c>
      <c r="J78" s="577">
        <f t="shared" si="4"/>
        <v>5.226666666666667E-2</v>
      </c>
      <c r="K78" s="577">
        <f t="shared" si="5"/>
        <v>7.4558333333333338E-2</v>
      </c>
      <c r="L78" s="637">
        <f t="shared" si="1"/>
        <v>-0.50439526519156352</v>
      </c>
      <c r="M78" s="585">
        <f t="shared" si="2"/>
        <v>3.8400000000000004E-2</v>
      </c>
      <c r="N78" s="585">
        <f t="shared" si="6"/>
        <v>5.680000000000001E-2</v>
      </c>
      <c r="O78" s="586">
        <f t="shared" si="3"/>
        <v>-0.54279526519156351</v>
      </c>
      <c r="P78" s="585">
        <f t="shared" si="7"/>
        <v>-0.56119526519156349</v>
      </c>
      <c r="Q78" s="585">
        <f t="shared" si="8"/>
        <v>-0.44135461462323655</v>
      </c>
      <c r="R78" s="585">
        <f t="shared" si="9"/>
        <v>6.409999999999999E-2</v>
      </c>
      <c r="S78" s="586">
        <f t="shared" si="10"/>
        <v>-0.5054546146232366</v>
      </c>
      <c r="U78" s="587"/>
      <c r="V78" s="587"/>
      <c r="W78" s="587"/>
      <c r="X78" s="587"/>
      <c r="Y78" s="587"/>
      <c r="Z78" s="587"/>
      <c r="AA78" s="587"/>
      <c r="AB78" s="587"/>
      <c r="AC78" s="587"/>
      <c r="AE78" s="587"/>
      <c r="AF78" s="587"/>
      <c r="AG78" s="587"/>
      <c r="AH78" s="587"/>
      <c r="AI78" s="587"/>
      <c r="AJ78" s="587"/>
      <c r="AK78" s="587"/>
      <c r="AL78" s="587"/>
      <c r="AM78" s="587"/>
      <c r="AO78" s="587"/>
      <c r="AP78" s="587"/>
      <c r="AQ78" s="587"/>
      <c r="AR78" s="587"/>
      <c r="AS78" s="587"/>
      <c r="AT78" s="587"/>
      <c r="AU78" s="587"/>
      <c r="AV78" s="587"/>
      <c r="AW78" s="587"/>
    </row>
    <row r="79" spans="1:51">
      <c r="A79" s="581">
        <v>11749</v>
      </c>
      <c r="B79" s="582">
        <v>-0.1158</v>
      </c>
      <c r="C79" s="577">
        <v>-0.10580000000000001</v>
      </c>
      <c r="D79" s="577">
        <v>3.0999999999999999E-3</v>
      </c>
      <c r="E79" s="577">
        <v>4.15E-3</v>
      </c>
      <c r="F79" s="577">
        <v>4.875E-3</v>
      </c>
      <c r="G79" s="577">
        <v>4.5125E-3</v>
      </c>
      <c r="H79" s="577">
        <v>5.0499999999999998E-3</v>
      </c>
      <c r="I79" s="577">
        <f t="shared" si="12"/>
        <v>-0.11890000000000001</v>
      </c>
      <c r="J79" s="577">
        <f t="shared" si="4"/>
        <v>-0.1203125</v>
      </c>
      <c r="K79" s="577">
        <f t="shared" si="5"/>
        <v>-0.11085</v>
      </c>
      <c r="L79" s="637">
        <f t="shared" si="1"/>
        <v>-0.53006573027601145</v>
      </c>
      <c r="M79" s="585">
        <f t="shared" si="2"/>
        <v>3.7199999999999997E-2</v>
      </c>
      <c r="N79" s="585">
        <f t="shared" si="6"/>
        <v>5.4150000000000004E-2</v>
      </c>
      <c r="O79" s="586">
        <f t="shared" si="3"/>
        <v>-0.56726573027601146</v>
      </c>
      <c r="P79" s="585">
        <f t="shared" si="7"/>
        <v>-0.58421573027601148</v>
      </c>
      <c r="Q79" s="585">
        <f t="shared" si="8"/>
        <v>-0.48822794426400784</v>
      </c>
      <c r="R79" s="585">
        <f t="shared" si="9"/>
        <v>6.0600000000000001E-2</v>
      </c>
      <c r="S79" s="586">
        <f t="shared" si="10"/>
        <v>-0.54882794426400783</v>
      </c>
      <c r="U79" s="587"/>
      <c r="V79" s="587"/>
      <c r="W79" s="587"/>
      <c r="X79" s="587"/>
      <c r="Y79" s="587"/>
      <c r="Z79" s="587"/>
      <c r="AA79" s="587"/>
      <c r="AB79" s="587"/>
      <c r="AC79" s="587"/>
      <c r="AE79" s="587"/>
      <c r="AF79" s="587"/>
      <c r="AG79" s="587"/>
      <c r="AH79" s="587"/>
      <c r="AI79" s="587"/>
      <c r="AJ79" s="587"/>
      <c r="AK79" s="587"/>
      <c r="AL79" s="587"/>
      <c r="AM79" s="587"/>
      <c r="AO79" s="587"/>
      <c r="AP79" s="587"/>
      <c r="AQ79" s="587"/>
      <c r="AR79" s="587"/>
      <c r="AS79" s="587"/>
      <c r="AT79" s="587"/>
      <c r="AU79" s="587"/>
      <c r="AV79" s="587"/>
      <c r="AW79" s="587"/>
    </row>
    <row r="80" spans="1:51">
      <c r="A80" s="581">
        <v>11780</v>
      </c>
      <c r="B80" s="582">
        <v>-0.19969999999999999</v>
      </c>
      <c r="C80" s="577">
        <v>-0.1535</v>
      </c>
      <c r="D80" s="577">
        <v>3.0000000000000001E-3</v>
      </c>
      <c r="E80" s="577">
        <v>4.3083333333333333E-3</v>
      </c>
      <c r="F80" s="577">
        <v>5.0916666666666662E-3</v>
      </c>
      <c r="G80" s="577">
        <v>4.6999999999999993E-3</v>
      </c>
      <c r="H80" s="577">
        <v>5.6916666666666669E-3</v>
      </c>
      <c r="I80" s="577">
        <f t="shared" si="12"/>
        <v>-0.20269999999999999</v>
      </c>
      <c r="J80" s="577">
        <f t="shared" si="4"/>
        <v>-0.2044</v>
      </c>
      <c r="K80" s="577">
        <f t="shared" si="5"/>
        <v>-0.15919166666666668</v>
      </c>
      <c r="L80" s="637">
        <f t="shared" ref="L80:L83" si="13">((1+B69)*(1+B70)*(1+B71)*(1+B72)*(1+B73)*(1+B74)*(1+B75)*(1+B76)*(1+B77)*(1+B78)*(1+B79)*(1+B80))-1</f>
        <v>-0.58512035735233514</v>
      </c>
      <c r="M80" s="585">
        <f t="shared" ref="M80:M143" si="14">D80*12</f>
        <v>3.6000000000000004E-2</v>
      </c>
      <c r="N80" s="585">
        <f t="shared" si="6"/>
        <v>5.6399999999999992E-2</v>
      </c>
      <c r="O80" s="586">
        <f t="shared" ref="O80:O143" si="15">L80-M80</f>
        <v>-0.62112035735233517</v>
      </c>
      <c r="P80" s="585">
        <f t="shared" si="7"/>
        <v>-0.64152035735233515</v>
      </c>
      <c r="Q80" s="585">
        <f t="shared" si="8"/>
        <v>-0.51574441629720846</v>
      </c>
      <c r="R80" s="585">
        <f t="shared" si="9"/>
        <v>6.83E-2</v>
      </c>
      <c r="S80" s="586">
        <f t="shared" si="10"/>
        <v>-0.58404441629720849</v>
      </c>
      <c r="U80" s="587"/>
      <c r="V80" s="587"/>
      <c r="W80" s="587"/>
      <c r="X80" s="587"/>
      <c r="Y80" s="587"/>
      <c r="Z80" s="587"/>
      <c r="AA80" s="587"/>
      <c r="AB80" s="587"/>
      <c r="AC80" s="587"/>
      <c r="AE80" s="587"/>
      <c r="AF80" s="587"/>
      <c r="AG80" s="587"/>
      <c r="AH80" s="587"/>
      <c r="AI80" s="587"/>
      <c r="AJ80" s="587"/>
      <c r="AK80" s="587"/>
      <c r="AL80" s="587"/>
      <c r="AM80" s="587"/>
      <c r="AO80" s="587"/>
      <c r="AP80" s="587"/>
      <c r="AQ80" s="587"/>
      <c r="AR80" s="587"/>
      <c r="AS80" s="587"/>
      <c r="AT80" s="587"/>
      <c r="AU80" s="587"/>
      <c r="AV80" s="587"/>
      <c r="AW80" s="587"/>
    </row>
    <row r="81" spans="1:49">
      <c r="A81" s="581">
        <v>11810</v>
      </c>
      <c r="B81" s="582">
        <v>-0.21959999999999999</v>
      </c>
      <c r="C81" s="577">
        <v>-0.28059999999999996</v>
      </c>
      <c r="D81" s="577">
        <v>2.7999999999999995E-3</v>
      </c>
      <c r="E81" s="577">
        <v>4.4666666666666674E-3</v>
      </c>
      <c r="F81" s="577">
        <v>5.3166666666666666E-3</v>
      </c>
      <c r="G81" s="577">
        <v>4.8916666666666666E-3</v>
      </c>
      <c r="H81" s="577">
        <v>6.1333333333333344E-3</v>
      </c>
      <c r="I81" s="577">
        <f t="shared" si="12"/>
        <v>-0.22239999999999999</v>
      </c>
      <c r="J81" s="577">
        <f t="shared" si="4"/>
        <v>-0.22449166666666664</v>
      </c>
      <c r="K81" s="577">
        <f t="shared" si="5"/>
        <v>-0.28673333333333328</v>
      </c>
      <c r="L81" s="637">
        <f t="shared" si="13"/>
        <v>-0.62874432619855791</v>
      </c>
      <c r="M81" s="585">
        <f t="shared" si="14"/>
        <v>3.3599999999999991E-2</v>
      </c>
      <c r="N81" s="585">
        <f t="shared" si="6"/>
        <v>5.8700000000000002E-2</v>
      </c>
      <c r="O81" s="586">
        <f t="shared" si="15"/>
        <v>-0.66234432619855788</v>
      </c>
      <c r="P81" s="585">
        <f t="shared" si="7"/>
        <v>-0.68744432619855789</v>
      </c>
      <c r="Q81" s="585">
        <f t="shared" si="8"/>
        <v>-0.61166707511337837</v>
      </c>
      <c r="R81" s="585">
        <f t="shared" si="9"/>
        <v>7.3600000000000013E-2</v>
      </c>
      <c r="S81" s="586">
        <f t="shared" si="10"/>
        <v>-0.68526707511337837</v>
      </c>
      <c r="U81" s="587"/>
      <c r="V81" s="587"/>
      <c r="W81" s="587"/>
      <c r="X81" s="587"/>
      <c r="Y81" s="587"/>
      <c r="Z81" s="587"/>
      <c r="AA81" s="587"/>
      <c r="AB81" s="587"/>
      <c r="AC81" s="587"/>
      <c r="AE81" s="587"/>
      <c r="AF81" s="587"/>
      <c r="AG81" s="587"/>
      <c r="AH81" s="587"/>
      <c r="AI81" s="587"/>
      <c r="AJ81" s="587"/>
      <c r="AK81" s="587"/>
      <c r="AL81" s="587"/>
      <c r="AM81" s="587"/>
      <c r="AO81" s="587"/>
      <c r="AP81" s="587"/>
      <c r="AQ81" s="587"/>
      <c r="AR81" s="587"/>
      <c r="AS81" s="587"/>
      <c r="AT81" s="587"/>
      <c r="AU81" s="587"/>
      <c r="AV81" s="587"/>
      <c r="AW81" s="587"/>
    </row>
    <row r="82" spans="1:49">
      <c r="A82" s="581">
        <v>11841</v>
      </c>
      <c r="B82" s="582">
        <v>-2.2000000000000001E-3</v>
      </c>
      <c r="C82" s="577">
        <v>8.9999999999999993E-3</v>
      </c>
      <c r="D82" s="577">
        <v>2.7999999999999995E-3</v>
      </c>
      <c r="E82" s="577">
        <v>4.5083333333333338E-3</v>
      </c>
      <c r="F82" s="577">
        <v>5.4999999999999997E-3</v>
      </c>
      <c r="G82" s="577">
        <v>5.0041666666666663E-3</v>
      </c>
      <c r="H82" s="577">
        <v>6.3083333333333333E-3</v>
      </c>
      <c r="I82" s="577">
        <f t="shared" si="12"/>
        <v>-4.9999999999999992E-3</v>
      </c>
      <c r="J82" s="577">
        <f t="shared" si="4"/>
        <v>-7.204166666666666E-3</v>
      </c>
      <c r="K82" s="577">
        <f t="shared" si="5"/>
        <v>2.691666666666666E-3</v>
      </c>
      <c r="L82" s="637">
        <f t="shared" si="13"/>
        <v>-0.67565107143062886</v>
      </c>
      <c r="M82" s="585">
        <f t="shared" si="14"/>
        <v>3.3599999999999991E-2</v>
      </c>
      <c r="N82" s="585">
        <f t="shared" si="6"/>
        <v>6.0049999999999992E-2</v>
      </c>
      <c r="O82" s="586">
        <f t="shared" si="15"/>
        <v>-0.70925107143062882</v>
      </c>
      <c r="P82" s="585">
        <f t="shared" si="7"/>
        <v>-0.73570107143062891</v>
      </c>
      <c r="Q82" s="585">
        <f t="shared" si="8"/>
        <v>-0.65547531767290845</v>
      </c>
      <c r="R82" s="585">
        <f t="shared" si="9"/>
        <v>7.5700000000000003E-2</v>
      </c>
      <c r="S82" s="586">
        <f t="shared" si="10"/>
        <v>-0.73117531767290844</v>
      </c>
      <c r="U82" s="587"/>
      <c r="V82" s="587"/>
      <c r="W82" s="587"/>
      <c r="X82" s="587"/>
      <c r="Y82" s="587"/>
      <c r="Z82" s="587"/>
      <c r="AA82" s="587"/>
      <c r="AB82" s="587"/>
      <c r="AC82" s="587"/>
      <c r="AE82" s="587"/>
      <c r="AF82" s="587"/>
      <c r="AG82" s="587"/>
      <c r="AH82" s="587"/>
      <c r="AI82" s="587"/>
      <c r="AJ82" s="587"/>
      <c r="AK82" s="587"/>
      <c r="AL82" s="587"/>
      <c r="AM82" s="587"/>
      <c r="AO82" s="587"/>
      <c r="AP82" s="587"/>
      <c r="AQ82" s="587"/>
      <c r="AR82" s="587"/>
      <c r="AS82" s="587"/>
      <c r="AT82" s="587"/>
      <c r="AU82" s="587"/>
      <c r="AV82" s="587"/>
      <c r="AW82" s="587"/>
    </row>
    <row r="83" spans="1:49">
      <c r="A83" s="581">
        <v>11871</v>
      </c>
      <c r="B83" s="582">
        <v>0.38150000000000001</v>
      </c>
      <c r="C83" s="577">
        <v>0.33179999999999998</v>
      </c>
      <c r="D83" s="577">
        <v>2.7999999999999995E-3</v>
      </c>
      <c r="E83" s="577">
        <v>4.3833333333333328E-3</v>
      </c>
      <c r="F83" s="577">
        <v>5.4250000000000001E-3</v>
      </c>
      <c r="G83" s="577">
        <v>4.904166666666666E-3</v>
      </c>
      <c r="H83" s="577">
        <v>6.0666666666666673E-3</v>
      </c>
      <c r="I83" s="577">
        <f t="shared" si="12"/>
        <v>0.37869999999999998</v>
      </c>
      <c r="J83" s="577">
        <f t="shared" si="4"/>
        <v>0.37659583333333335</v>
      </c>
      <c r="K83" s="577">
        <f t="shared" si="5"/>
        <v>0.32573333333333332</v>
      </c>
      <c r="L83" s="637">
        <f t="shared" si="13"/>
        <v>-0.5170424177424161</v>
      </c>
      <c r="M83" s="585">
        <f t="shared" si="14"/>
        <v>3.3599999999999991E-2</v>
      </c>
      <c r="N83" s="585">
        <f t="shared" si="6"/>
        <v>5.8849999999999993E-2</v>
      </c>
      <c r="O83" s="586">
        <f t="shared" si="15"/>
        <v>-0.55064241774241607</v>
      </c>
      <c r="P83" s="585">
        <f t="shared" si="7"/>
        <v>-0.57589241774241606</v>
      </c>
      <c r="Q83" s="585">
        <f t="shared" si="8"/>
        <v>-0.51072939654167149</v>
      </c>
      <c r="R83" s="585">
        <f t="shared" si="9"/>
        <v>7.2800000000000004E-2</v>
      </c>
      <c r="S83" s="586">
        <f t="shared" si="10"/>
        <v>-0.58352939654167146</v>
      </c>
      <c r="U83" s="587"/>
      <c r="V83" s="587"/>
      <c r="W83" s="587"/>
      <c r="X83" s="587"/>
      <c r="Y83" s="587"/>
      <c r="Z83" s="587"/>
      <c r="AA83" s="587"/>
      <c r="AB83" s="587"/>
      <c r="AC83" s="587"/>
      <c r="AE83" s="587"/>
      <c r="AF83" s="587"/>
      <c r="AG83" s="587"/>
      <c r="AH83" s="587"/>
      <c r="AI83" s="587"/>
      <c r="AJ83" s="587"/>
      <c r="AK83" s="587"/>
      <c r="AL83" s="587"/>
      <c r="AM83" s="587"/>
      <c r="AO83" s="587"/>
      <c r="AP83" s="587"/>
      <c r="AQ83" s="587"/>
      <c r="AR83" s="587"/>
      <c r="AS83" s="587"/>
      <c r="AT83" s="587"/>
      <c r="AU83" s="587"/>
      <c r="AV83" s="587"/>
      <c r="AW83" s="587"/>
    </row>
    <row r="84" spans="1:49">
      <c r="A84" s="581">
        <v>11902</v>
      </c>
      <c r="B84" s="582">
        <v>0.38690000000000002</v>
      </c>
      <c r="C84" s="577">
        <v>0.40300000000000002</v>
      </c>
      <c r="D84" s="577">
        <v>2.7999999999999995E-3</v>
      </c>
      <c r="E84" s="577">
        <v>4.0916666666666671E-3</v>
      </c>
      <c r="F84" s="577">
        <v>4.8583333333333334E-3</v>
      </c>
      <c r="G84" s="577">
        <v>4.4749999999999998E-3</v>
      </c>
      <c r="H84" s="577">
        <v>5.2916666666666667E-3</v>
      </c>
      <c r="I84" s="577">
        <f t="shared" si="12"/>
        <v>0.3841</v>
      </c>
      <c r="J84" s="577">
        <f t="shared" si="4"/>
        <v>0.38242500000000001</v>
      </c>
      <c r="K84" s="577">
        <f t="shared" si="5"/>
        <v>0.39770833333333333</v>
      </c>
      <c r="L84" s="585">
        <f t="shared" ref="L84:L143" si="16">((1+B73)*(1+B74)*(1+B75)*(1+B76)*(1+B77)*(1+B78)*(1+B79)*(1+B80)*(1+B81)*(1+B82)*(1+B83)*(1+B84))-1</f>
        <v>-0.34215883830972005</v>
      </c>
      <c r="M84" s="585">
        <f t="shared" si="14"/>
        <v>3.3599999999999991E-2</v>
      </c>
      <c r="N84" s="585">
        <f t="shared" si="6"/>
        <v>5.3699999999999998E-2</v>
      </c>
      <c r="O84" s="586">
        <f t="shared" si="15"/>
        <v>-0.37575883830972001</v>
      </c>
      <c r="P84" s="585">
        <f t="shared" si="7"/>
        <v>-0.39585883830972002</v>
      </c>
      <c r="Q84" s="585">
        <f t="shared" si="8"/>
        <v>-0.330687737273757</v>
      </c>
      <c r="R84" s="585">
        <f t="shared" si="9"/>
        <v>6.3500000000000001E-2</v>
      </c>
      <c r="S84" s="586">
        <f t="shared" si="10"/>
        <v>-0.394187737273757</v>
      </c>
      <c r="U84" s="587"/>
      <c r="V84" s="587"/>
      <c r="W84" s="587"/>
      <c r="X84" s="587"/>
      <c r="Y84" s="587"/>
      <c r="Z84" s="587"/>
      <c r="AA84" s="587"/>
      <c r="AB84" s="587"/>
      <c r="AC84" s="587"/>
      <c r="AE84" s="587"/>
      <c r="AF84" s="587"/>
      <c r="AG84" s="587"/>
      <c r="AH84" s="587"/>
      <c r="AI84" s="587"/>
      <c r="AJ84" s="587"/>
      <c r="AK84" s="587"/>
      <c r="AL84" s="587"/>
      <c r="AM84" s="587"/>
      <c r="AO84" s="587"/>
      <c r="AP84" s="587"/>
      <c r="AQ84" s="587"/>
      <c r="AR84" s="587"/>
      <c r="AS84" s="587"/>
      <c r="AT84" s="587"/>
      <c r="AU84" s="587"/>
      <c r="AV84" s="587"/>
      <c r="AW84" s="587"/>
    </row>
    <row r="85" spans="1:49">
      <c r="A85" s="581">
        <v>11933</v>
      </c>
      <c r="B85" s="582">
        <v>-3.4599999999999999E-2</v>
      </c>
      <c r="C85" s="577">
        <v>-2.7000000000000003E-2</v>
      </c>
      <c r="D85" s="577">
        <v>2.5999999999999999E-3</v>
      </c>
      <c r="E85" s="577">
        <v>3.9166666666666664E-3</v>
      </c>
      <c r="F85" s="577">
        <v>4.6166666666666665E-3</v>
      </c>
      <c r="G85" s="577">
        <v>4.266666666666666E-3</v>
      </c>
      <c r="H85" s="577">
        <v>4.9249999999999997E-3</v>
      </c>
      <c r="I85" s="577">
        <f t="shared" si="12"/>
        <v>-3.7199999999999997E-2</v>
      </c>
      <c r="J85" s="577">
        <f t="shared" si="4"/>
        <v>-3.8866666666666667E-2</v>
      </c>
      <c r="K85" s="577">
        <f t="shared" si="5"/>
        <v>-3.1925000000000002E-2</v>
      </c>
      <c r="L85" s="585">
        <f t="shared" si="16"/>
        <v>-9.6229034444576089E-2</v>
      </c>
      <c r="M85" s="585">
        <f t="shared" si="14"/>
        <v>3.1199999999999999E-2</v>
      </c>
      <c r="N85" s="585">
        <f t="shared" si="6"/>
        <v>5.1199999999999996E-2</v>
      </c>
      <c r="O85" s="586">
        <f t="shared" si="15"/>
        <v>-0.12742903444457609</v>
      </c>
      <c r="P85" s="585">
        <f t="shared" si="7"/>
        <v>-0.14742903444457608</v>
      </c>
      <c r="Q85" s="585">
        <f t="shared" si="8"/>
        <v>-4.9422227948278441E-2</v>
      </c>
      <c r="R85" s="585">
        <f t="shared" si="9"/>
        <v>5.91E-2</v>
      </c>
      <c r="S85" s="586">
        <f t="shared" si="10"/>
        <v>-0.10852222794827844</v>
      </c>
      <c r="U85" s="587"/>
      <c r="V85" s="587"/>
      <c r="W85" s="587"/>
      <c r="X85" s="587"/>
      <c r="Y85" s="587"/>
      <c r="Z85" s="587"/>
      <c r="AA85" s="587"/>
      <c r="AB85" s="587"/>
      <c r="AC85" s="587"/>
      <c r="AE85" s="587"/>
      <c r="AF85" s="587"/>
      <c r="AG85" s="587"/>
      <c r="AH85" s="587"/>
      <c r="AI85" s="587"/>
      <c r="AJ85" s="587"/>
      <c r="AK85" s="587"/>
      <c r="AL85" s="587"/>
      <c r="AM85" s="587"/>
      <c r="AO85" s="587"/>
      <c r="AP85" s="587"/>
      <c r="AQ85" s="587"/>
      <c r="AR85" s="587"/>
      <c r="AS85" s="587"/>
      <c r="AT85" s="587"/>
      <c r="AU85" s="587"/>
      <c r="AV85" s="587"/>
      <c r="AW85" s="587"/>
    </row>
    <row r="86" spans="1:49">
      <c r="A86" s="581">
        <v>11963</v>
      </c>
      <c r="B86" s="582">
        <v>-0.13489999999999999</v>
      </c>
      <c r="C86" s="577">
        <v>-0.1047</v>
      </c>
      <c r="D86" s="577">
        <v>2.7000000000000001E-3</v>
      </c>
      <c r="E86" s="577">
        <v>3.8666666666666667E-3</v>
      </c>
      <c r="F86" s="577">
        <v>4.5916666666666666E-3</v>
      </c>
      <c r="G86" s="577">
        <v>4.2291666666666667E-3</v>
      </c>
      <c r="H86" s="577">
        <v>4.8416666666666669E-3</v>
      </c>
      <c r="I86" s="577">
        <f t="shared" si="12"/>
        <v>-0.1376</v>
      </c>
      <c r="J86" s="577">
        <f t="shared" si="4"/>
        <v>-0.13912916666666666</v>
      </c>
      <c r="K86" s="577">
        <f t="shared" si="5"/>
        <v>-0.10954166666666666</v>
      </c>
      <c r="L86" s="585">
        <f t="shared" si="16"/>
        <v>-0.28244102211637556</v>
      </c>
      <c r="M86" s="585">
        <f t="shared" si="14"/>
        <v>3.2399999999999998E-2</v>
      </c>
      <c r="N86" s="585">
        <f t="shared" si="6"/>
        <v>5.0750000000000003E-2</v>
      </c>
      <c r="O86" s="586">
        <f t="shared" si="15"/>
        <v>-0.31484102211637555</v>
      </c>
      <c r="P86" s="585">
        <f t="shared" si="7"/>
        <v>-0.33319102211637558</v>
      </c>
      <c r="Q86" s="585">
        <f t="shared" si="8"/>
        <v>-0.22561212072983938</v>
      </c>
      <c r="R86" s="585">
        <f t="shared" si="9"/>
        <v>5.8099999999999999E-2</v>
      </c>
      <c r="S86" s="586">
        <f t="shared" si="10"/>
        <v>-0.28371212072983937</v>
      </c>
      <c r="U86" s="587"/>
      <c r="V86" s="587"/>
      <c r="W86" s="587"/>
      <c r="X86" s="587"/>
      <c r="Y86" s="587"/>
      <c r="Z86" s="587"/>
      <c r="AA86" s="587"/>
      <c r="AB86" s="587"/>
      <c r="AC86" s="587"/>
      <c r="AE86" s="587"/>
      <c r="AF86" s="587"/>
      <c r="AG86" s="587"/>
      <c r="AH86" s="587"/>
      <c r="AI86" s="587"/>
      <c r="AJ86" s="587"/>
      <c r="AK86" s="587"/>
      <c r="AL86" s="587"/>
      <c r="AM86" s="587"/>
      <c r="AO86" s="587"/>
      <c r="AP86" s="587"/>
      <c r="AQ86" s="587"/>
      <c r="AR86" s="587"/>
      <c r="AS86" s="587"/>
      <c r="AT86" s="587"/>
      <c r="AU86" s="587"/>
      <c r="AV86" s="587"/>
      <c r="AW86" s="587"/>
    </row>
    <row r="87" spans="1:49">
      <c r="A87" s="581">
        <v>11994</v>
      </c>
      <c r="B87" s="582">
        <v>-4.1700000000000001E-2</v>
      </c>
      <c r="C87" s="577">
        <v>-3.5400000000000001E-2</v>
      </c>
      <c r="D87" s="577">
        <v>2.5999999999999999E-3</v>
      </c>
      <c r="E87" s="577">
        <v>3.858333333333333E-3</v>
      </c>
      <c r="F87" s="577">
        <v>4.6416666666666663E-3</v>
      </c>
      <c r="G87" s="577">
        <v>4.2500000000000003E-3</v>
      </c>
      <c r="H87" s="577">
        <v>4.8999999999999998E-3</v>
      </c>
      <c r="I87" s="577">
        <f t="shared" si="12"/>
        <v>-4.4299999999999999E-2</v>
      </c>
      <c r="J87" s="577">
        <f t="shared" si="4"/>
        <v>-4.5950000000000005E-2</v>
      </c>
      <c r="K87" s="577">
        <f t="shared" si="5"/>
        <v>-4.0300000000000002E-2</v>
      </c>
      <c r="L87" s="585">
        <f t="shared" si="16"/>
        <v>-0.25273117962847502</v>
      </c>
      <c r="M87" s="585">
        <f t="shared" si="14"/>
        <v>3.1199999999999999E-2</v>
      </c>
      <c r="N87" s="585">
        <f t="shared" si="6"/>
        <v>5.1000000000000004E-2</v>
      </c>
      <c r="O87" s="586">
        <f t="shared" si="15"/>
        <v>-0.28393117962847503</v>
      </c>
      <c r="P87" s="585">
        <f t="shared" si="7"/>
        <v>-0.30373117962847501</v>
      </c>
      <c r="Q87" s="585">
        <f t="shared" si="8"/>
        <v>-0.20416093293842219</v>
      </c>
      <c r="R87" s="585">
        <f t="shared" si="9"/>
        <v>5.8799999999999998E-2</v>
      </c>
      <c r="S87" s="586">
        <f t="shared" si="10"/>
        <v>-0.26296093293842221</v>
      </c>
      <c r="U87" s="587"/>
      <c r="V87" s="587"/>
      <c r="W87" s="587"/>
      <c r="X87" s="587"/>
      <c r="Y87" s="587"/>
      <c r="Z87" s="587"/>
      <c r="AA87" s="587"/>
      <c r="AB87" s="587"/>
      <c r="AC87" s="587"/>
      <c r="AE87" s="587"/>
      <c r="AF87" s="587"/>
      <c r="AG87" s="587"/>
      <c r="AH87" s="587"/>
      <c r="AI87" s="587"/>
      <c r="AJ87" s="587"/>
      <c r="AK87" s="587"/>
      <c r="AL87" s="587"/>
      <c r="AM87" s="587"/>
      <c r="AO87" s="587"/>
      <c r="AP87" s="587"/>
      <c r="AQ87" s="587"/>
      <c r="AR87" s="587"/>
      <c r="AS87" s="587"/>
      <c r="AT87" s="587"/>
      <c r="AU87" s="587"/>
      <c r="AV87" s="587"/>
      <c r="AW87" s="587"/>
    </row>
    <row r="88" spans="1:49">
      <c r="A88" s="581">
        <v>12024</v>
      </c>
      <c r="B88" s="593">
        <v>5.6500000000000002E-2</v>
      </c>
      <c r="C88" s="577">
        <v>8.929999999999999E-2</v>
      </c>
      <c r="D88" s="577">
        <v>2.7000000000000001E-3</v>
      </c>
      <c r="E88" s="577">
        <v>3.8250000000000003E-3</v>
      </c>
      <c r="F88" s="577">
        <v>4.6666666666666662E-3</v>
      </c>
      <c r="G88" s="577">
        <v>4.2458333333333332E-3</v>
      </c>
      <c r="H88" s="577">
        <v>4.8750000000000009E-3</v>
      </c>
      <c r="I88" s="577">
        <f t="shared" si="12"/>
        <v>5.3800000000000001E-2</v>
      </c>
      <c r="J88" s="577">
        <f t="shared" si="4"/>
        <v>5.2254166666666671E-2</v>
      </c>
      <c r="K88" s="577">
        <f t="shared" si="5"/>
        <v>8.4424999999999986E-2</v>
      </c>
      <c r="L88" s="585">
        <f t="shared" si="16"/>
        <v>-8.1988943345911225E-2</v>
      </c>
      <c r="M88" s="585">
        <f t="shared" si="14"/>
        <v>3.2399999999999998E-2</v>
      </c>
      <c r="N88" s="585">
        <f t="shared" si="6"/>
        <v>5.0949999999999995E-2</v>
      </c>
      <c r="O88" s="586">
        <f t="shared" si="15"/>
        <v>-0.11438894334591122</v>
      </c>
      <c r="P88" s="585">
        <f t="shared" si="7"/>
        <v>-0.13293894334591122</v>
      </c>
      <c r="Q88" s="585">
        <f t="shared" si="8"/>
        <v>-5.4978825855496183E-3</v>
      </c>
      <c r="R88" s="585">
        <f t="shared" si="9"/>
        <v>5.850000000000001E-2</v>
      </c>
      <c r="S88" s="586">
        <f t="shared" si="10"/>
        <v>-6.3997882585549629E-2</v>
      </c>
      <c r="U88" s="587"/>
      <c r="V88" s="587"/>
      <c r="W88" s="587"/>
      <c r="X88" s="587"/>
      <c r="Y88" s="587"/>
      <c r="Z88" s="587"/>
      <c r="AA88" s="587"/>
      <c r="AB88" s="587"/>
      <c r="AC88" s="587"/>
      <c r="AE88" s="587"/>
      <c r="AF88" s="587"/>
      <c r="AG88" s="587"/>
      <c r="AH88" s="587"/>
      <c r="AI88" s="587"/>
      <c r="AJ88" s="587"/>
      <c r="AK88" s="587"/>
      <c r="AL88" s="587"/>
      <c r="AM88" s="587"/>
      <c r="AO88" s="587"/>
      <c r="AP88" s="587"/>
      <c r="AQ88" s="587"/>
      <c r="AR88" s="587"/>
      <c r="AS88" s="587"/>
      <c r="AT88" s="587"/>
      <c r="AU88" s="587"/>
      <c r="AV88" s="587"/>
      <c r="AW88" s="587"/>
    </row>
    <row r="89" spans="1:49">
      <c r="A89" s="581">
        <v>12055</v>
      </c>
      <c r="B89" s="594">
        <v>8.6999999999999994E-3</v>
      </c>
      <c r="C89" s="577">
        <v>-3.1099999999999996E-2</v>
      </c>
      <c r="D89" s="595">
        <v>2.7000000000000001E-3</v>
      </c>
      <c r="E89" s="595">
        <v>3.7000000000000006E-3</v>
      </c>
      <c r="F89" s="577">
        <v>4.4166666666666668E-3</v>
      </c>
      <c r="G89" s="577">
        <v>4.0583333333333339E-3</v>
      </c>
      <c r="H89" s="595">
        <v>4.4916666666666664E-3</v>
      </c>
      <c r="I89" s="577">
        <f t="shared" si="12"/>
        <v>5.9999999999999993E-3</v>
      </c>
      <c r="J89" s="577">
        <f t="shared" si="4"/>
        <v>4.6416666666666655E-3</v>
      </c>
      <c r="K89" s="577">
        <f t="shared" si="5"/>
        <v>-3.559166666666666E-2</v>
      </c>
      <c r="L89" s="585">
        <f t="shared" si="16"/>
        <v>-4.8208703004441134E-2</v>
      </c>
      <c r="M89" s="585">
        <f t="shared" si="14"/>
        <v>3.2399999999999998E-2</v>
      </c>
      <c r="N89" s="585">
        <f t="shared" si="6"/>
        <v>4.8700000000000007E-2</v>
      </c>
      <c r="O89" s="586">
        <f t="shared" si="15"/>
        <v>-8.0608703004441132E-2</v>
      </c>
      <c r="P89" s="585">
        <f t="shared" si="7"/>
        <v>-9.6908703004441141E-2</v>
      </c>
      <c r="Q89" s="585">
        <f t="shared" si="8"/>
        <v>-1.6762141262386954E-2</v>
      </c>
      <c r="R89" s="585">
        <f t="shared" si="9"/>
        <v>5.3899999999999997E-2</v>
      </c>
      <c r="S89" s="586">
        <f t="shared" si="10"/>
        <v>-7.0662141262386957E-2</v>
      </c>
      <c r="U89" s="587"/>
      <c r="V89" s="587"/>
      <c r="W89" s="587"/>
      <c r="X89" s="587"/>
      <c r="Y89" s="587"/>
      <c r="Z89" s="587"/>
      <c r="AA89" s="587"/>
      <c r="AB89" s="587"/>
      <c r="AC89" s="587"/>
      <c r="AE89" s="587"/>
      <c r="AF89" s="587"/>
      <c r="AG89" s="587"/>
      <c r="AH89" s="587"/>
      <c r="AI89" s="587"/>
      <c r="AJ89" s="587"/>
      <c r="AK89" s="587"/>
      <c r="AL89" s="587"/>
      <c r="AM89" s="587"/>
      <c r="AO89" s="587"/>
      <c r="AP89" s="587"/>
      <c r="AQ89" s="587"/>
      <c r="AR89" s="587"/>
      <c r="AS89" s="587"/>
      <c r="AT89" s="587"/>
      <c r="AU89" s="587"/>
      <c r="AV89" s="587"/>
      <c r="AW89" s="587"/>
    </row>
    <row r="90" spans="1:49">
      <c r="A90" s="581">
        <v>12086</v>
      </c>
      <c r="B90" s="594">
        <v>-0.1772</v>
      </c>
      <c r="C90" s="577">
        <v>-0.19839999999999999</v>
      </c>
      <c r="D90" s="596">
        <v>2.3E-3</v>
      </c>
      <c r="E90" s="596">
        <v>3.7333333333333333E-3</v>
      </c>
      <c r="F90" s="577">
        <v>4.4583333333333332E-3</v>
      </c>
      <c r="G90" s="577">
        <v>4.0958333333333333E-3</v>
      </c>
      <c r="H90" s="596">
        <v>4.8083333333333337E-3</v>
      </c>
      <c r="I90" s="577">
        <f t="shared" si="12"/>
        <v>-0.17949999999999999</v>
      </c>
      <c r="J90" s="577">
        <f t="shared" si="4"/>
        <v>-0.18129583333333332</v>
      </c>
      <c r="K90" s="577">
        <f t="shared" si="5"/>
        <v>-0.20320833333333332</v>
      </c>
      <c r="L90" s="585">
        <f t="shared" si="16"/>
        <v>-0.25909755991679684</v>
      </c>
      <c r="M90" s="585">
        <f t="shared" si="14"/>
        <v>2.76E-2</v>
      </c>
      <c r="N90" s="585">
        <f t="shared" si="6"/>
        <v>4.9149999999999999E-2</v>
      </c>
      <c r="O90" s="586">
        <f t="shared" si="15"/>
        <v>-0.28669755991679685</v>
      </c>
      <c r="P90" s="585">
        <f t="shared" si="7"/>
        <v>-0.30824755991679686</v>
      </c>
      <c r="Q90" s="585">
        <f t="shared" si="8"/>
        <v>-0.27015143294372557</v>
      </c>
      <c r="R90" s="585">
        <f t="shared" si="9"/>
        <v>5.7700000000000001E-2</v>
      </c>
      <c r="S90" s="586">
        <f t="shared" si="10"/>
        <v>-0.32785143294372554</v>
      </c>
      <c r="U90" s="587"/>
      <c r="V90" s="587"/>
      <c r="W90" s="587"/>
      <c r="X90" s="587"/>
      <c r="Y90" s="587"/>
      <c r="Z90" s="587"/>
      <c r="AA90" s="587"/>
      <c r="AB90" s="587"/>
      <c r="AC90" s="587"/>
      <c r="AE90" s="587"/>
      <c r="AF90" s="587"/>
      <c r="AG90" s="587"/>
      <c r="AH90" s="587"/>
      <c r="AI90" s="587"/>
      <c r="AJ90" s="587"/>
      <c r="AK90" s="587"/>
      <c r="AL90" s="587"/>
      <c r="AM90" s="587"/>
      <c r="AO90" s="587"/>
      <c r="AP90" s="587"/>
      <c r="AQ90" s="587"/>
      <c r="AR90" s="587"/>
      <c r="AS90" s="587"/>
      <c r="AT90" s="587"/>
      <c r="AU90" s="587"/>
      <c r="AV90" s="587"/>
      <c r="AW90" s="587"/>
    </row>
    <row r="91" spans="1:49">
      <c r="A91" s="581">
        <v>12114</v>
      </c>
      <c r="B91" s="594">
        <v>3.5299999999999998E-2</v>
      </c>
      <c r="C91" s="577">
        <v>-0.10800000000000001</v>
      </c>
      <c r="D91" s="596">
        <v>2.7000000000000001E-3</v>
      </c>
      <c r="E91" s="596">
        <v>3.8999999999999994E-3</v>
      </c>
      <c r="F91" s="577">
        <v>4.6750000000000003E-3</v>
      </c>
      <c r="G91" s="577">
        <v>4.2874999999999996E-3</v>
      </c>
      <c r="H91" s="596">
        <v>5.2833333333333335E-3</v>
      </c>
      <c r="I91" s="577">
        <f t="shared" si="12"/>
        <v>3.2599999999999997E-2</v>
      </c>
      <c r="J91" s="577">
        <f t="shared" si="4"/>
        <v>3.1012499999999998E-2</v>
      </c>
      <c r="K91" s="577">
        <f t="shared" si="5"/>
        <v>-0.11328333333333335</v>
      </c>
      <c r="L91" s="585">
        <f t="shared" si="16"/>
        <v>-0.13248552791434054</v>
      </c>
      <c r="M91" s="585">
        <f t="shared" si="14"/>
        <v>3.2399999999999998E-2</v>
      </c>
      <c r="N91" s="585">
        <f t="shared" si="6"/>
        <v>5.1449999999999996E-2</v>
      </c>
      <c r="O91" s="586">
        <f t="shared" si="15"/>
        <v>-0.16488552791434052</v>
      </c>
      <c r="P91" s="585">
        <f t="shared" si="7"/>
        <v>-0.18393552791434054</v>
      </c>
      <c r="Q91" s="585">
        <f t="shared" si="8"/>
        <v>-0.27194707916104133</v>
      </c>
      <c r="R91" s="585">
        <f t="shared" si="9"/>
        <v>6.3399999999999998E-2</v>
      </c>
      <c r="S91" s="586">
        <f t="shared" si="10"/>
        <v>-0.33534707916104134</v>
      </c>
      <c r="U91" s="587"/>
      <c r="V91" s="587"/>
      <c r="W91" s="587"/>
      <c r="X91" s="587"/>
      <c r="Y91" s="587"/>
      <c r="Z91" s="587"/>
      <c r="AA91" s="587"/>
      <c r="AB91" s="587"/>
      <c r="AC91" s="587"/>
      <c r="AE91" s="587"/>
      <c r="AF91" s="587"/>
      <c r="AG91" s="587"/>
      <c r="AH91" s="587"/>
      <c r="AI91" s="587"/>
      <c r="AJ91" s="587"/>
      <c r="AK91" s="587"/>
      <c r="AL91" s="587"/>
      <c r="AM91" s="587"/>
      <c r="AO91" s="587"/>
      <c r="AP91" s="587"/>
      <c r="AQ91" s="587"/>
      <c r="AR91" s="587"/>
      <c r="AS91" s="587"/>
      <c r="AT91" s="587"/>
      <c r="AU91" s="587"/>
      <c r="AV91" s="587"/>
      <c r="AW91" s="587"/>
    </row>
    <row r="92" spans="1:49">
      <c r="A92" s="581">
        <v>12145</v>
      </c>
      <c r="B92" s="594">
        <v>0.42559999999999998</v>
      </c>
      <c r="C92" s="577">
        <v>0.26349999999999996</v>
      </c>
      <c r="D92" s="596">
        <v>2.5000000000000001E-3</v>
      </c>
      <c r="E92" s="596">
        <v>3.9833333333333335E-3</v>
      </c>
      <c r="F92" s="577">
        <v>4.841666666666666E-3</v>
      </c>
      <c r="G92" s="577">
        <v>4.4125000000000006E-3</v>
      </c>
      <c r="H92" s="596">
        <v>5.7416666666666675E-3</v>
      </c>
      <c r="I92" s="577">
        <f t="shared" si="12"/>
        <v>0.42309999999999998</v>
      </c>
      <c r="J92" s="577">
        <f t="shared" si="4"/>
        <v>0.42118749999999999</v>
      </c>
      <c r="K92" s="577">
        <f t="shared" si="5"/>
        <v>0.25775833333333331</v>
      </c>
      <c r="L92" s="585">
        <f t="shared" si="16"/>
        <v>0.54533129002288661</v>
      </c>
      <c r="M92" s="585">
        <f t="shared" si="14"/>
        <v>0.03</v>
      </c>
      <c r="N92" s="585">
        <f t="shared" si="6"/>
        <v>5.2950000000000011E-2</v>
      </c>
      <c r="O92" s="586">
        <f t="shared" si="15"/>
        <v>0.51533129002288658</v>
      </c>
      <c r="P92" s="585">
        <f t="shared" si="7"/>
        <v>0.49238129002288661</v>
      </c>
      <c r="Q92" s="585">
        <f t="shared" si="8"/>
        <v>8.6703916692290717E-2</v>
      </c>
      <c r="R92" s="585">
        <f t="shared" si="9"/>
        <v>6.8900000000000017E-2</v>
      </c>
      <c r="S92" s="586">
        <f t="shared" si="10"/>
        <v>1.78039166922907E-2</v>
      </c>
      <c r="U92" s="587"/>
      <c r="V92" s="587"/>
      <c r="W92" s="587"/>
      <c r="X92" s="587"/>
      <c r="Y92" s="587"/>
      <c r="Z92" s="587"/>
      <c r="AA92" s="587"/>
      <c r="AB92" s="587"/>
      <c r="AC92" s="587"/>
      <c r="AE92" s="587"/>
      <c r="AF92" s="587"/>
      <c r="AG92" s="587"/>
      <c r="AH92" s="587"/>
      <c r="AI92" s="587"/>
      <c r="AJ92" s="587"/>
      <c r="AK92" s="587"/>
      <c r="AL92" s="587"/>
      <c r="AM92" s="587"/>
      <c r="AO92" s="587"/>
      <c r="AP92" s="587"/>
      <c r="AQ92" s="587"/>
      <c r="AR92" s="587"/>
      <c r="AS92" s="587"/>
      <c r="AT92" s="587"/>
      <c r="AU92" s="587"/>
      <c r="AV92" s="587"/>
      <c r="AW92" s="587"/>
    </row>
    <row r="93" spans="1:49">
      <c r="A93" s="581">
        <v>12175</v>
      </c>
      <c r="B93" s="594">
        <v>0.16830000000000001</v>
      </c>
      <c r="C93" s="577">
        <v>0.17319999999999999</v>
      </c>
      <c r="D93" s="596">
        <v>2.7999999999999995E-3</v>
      </c>
      <c r="E93" s="596">
        <v>3.858333333333333E-3</v>
      </c>
      <c r="F93" s="577">
        <v>4.5000000000000005E-3</v>
      </c>
      <c r="G93" s="577">
        <v>4.179166666666667E-3</v>
      </c>
      <c r="H93" s="596">
        <v>5.416666666666666E-3</v>
      </c>
      <c r="I93" s="577">
        <f t="shared" si="12"/>
        <v>0.16550000000000001</v>
      </c>
      <c r="J93" s="577">
        <f t="shared" ref="J93:J156" si="17">B93-G93</f>
        <v>0.16412083333333333</v>
      </c>
      <c r="K93" s="577">
        <f t="shared" ref="K93:K156" si="18">$C93-H93</f>
        <v>0.16778333333333334</v>
      </c>
      <c r="L93" s="585">
        <f t="shared" si="16"/>
        <v>1.3134425245178605</v>
      </c>
      <c r="M93" s="585">
        <f t="shared" si="14"/>
        <v>3.3599999999999991E-2</v>
      </c>
      <c r="N93" s="585">
        <f t="shared" si="6"/>
        <v>5.015E-2</v>
      </c>
      <c r="O93" s="586">
        <f t="shared" si="15"/>
        <v>1.2798425245178604</v>
      </c>
      <c r="P93" s="585">
        <f t="shared" si="7"/>
        <v>1.2632925245178606</v>
      </c>
      <c r="Q93" s="585">
        <f t="shared" si="8"/>
        <v>0.77220049355490117</v>
      </c>
      <c r="R93" s="585">
        <f t="shared" si="9"/>
        <v>6.4999999999999988E-2</v>
      </c>
      <c r="S93" s="586">
        <f t="shared" si="10"/>
        <v>0.70720049355490122</v>
      </c>
      <c r="U93" s="587"/>
      <c r="V93" s="587"/>
      <c r="W93" s="587"/>
      <c r="X93" s="587"/>
      <c r="Y93" s="587"/>
      <c r="Z93" s="587"/>
      <c r="AA93" s="587"/>
      <c r="AB93" s="587"/>
      <c r="AC93" s="587"/>
      <c r="AE93" s="587"/>
      <c r="AF93" s="587"/>
      <c r="AG93" s="587"/>
      <c r="AH93" s="587"/>
      <c r="AI93" s="587"/>
      <c r="AJ93" s="587"/>
      <c r="AK93" s="587"/>
      <c r="AL93" s="587"/>
      <c r="AM93" s="587"/>
      <c r="AO93" s="587"/>
      <c r="AP93" s="587"/>
      <c r="AQ93" s="587"/>
      <c r="AR93" s="587"/>
      <c r="AS93" s="587"/>
      <c r="AT93" s="587"/>
      <c r="AU93" s="587"/>
      <c r="AV93" s="587"/>
      <c r="AW93" s="587"/>
    </row>
    <row r="94" spans="1:49">
      <c r="A94" s="581">
        <v>12206</v>
      </c>
      <c r="B94" s="594">
        <v>0.1338</v>
      </c>
      <c r="C94" s="577">
        <v>0.14259999999999998</v>
      </c>
      <c r="D94" s="596">
        <v>2.5000000000000001E-3</v>
      </c>
      <c r="E94" s="596">
        <v>3.7166666666666663E-3</v>
      </c>
      <c r="F94" s="577">
        <v>4.2416666666666662E-3</v>
      </c>
      <c r="G94" s="577">
        <v>3.9791666666666664E-3</v>
      </c>
      <c r="H94" s="596">
        <v>5.0916666666666662E-3</v>
      </c>
      <c r="I94" s="577">
        <f t="shared" si="12"/>
        <v>0.1313</v>
      </c>
      <c r="J94" s="577">
        <f t="shared" si="17"/>
        <v>0.12982083333333333</v>
      </c>
      <c r="K94" s="577">
        <f t="shared" si="18"/>
        <v>0.13750833333333332</v>
      </c>
      <c r="L94" s="585">
        <f t="shared" si="16"/>
        <v>1.6287644160135799</v>
      </c>
      <c r="M94" s="585">
        <f t="shared" si="14"/>
        <v>0.03</v>
      </c>
      <c r="N94" s="585">
        <f t="shared" si="6"/>
        <v>4.7750000000000001E-2</v>
      </c>
      <c r="O94" s="586">
        <f t="shared" si="15"/>
        <v>1.5987644160135799</v>
      </c>
      <c r="P94" s="585">
        <f t="shared" si="7"/>
        <v>1.5810144160135799</v>
      </c>
      <c r="Q94" s="585">
        <f t="shared" si="8"/>
        <v>1.0068545926024082</v>
      </c>
      <c r="R94" s="585">
        <f t="shared" si="9"/>
        <v>6.1099999999999995E-2</v>
      </c>
      <c r="S94" s="586">
        <f t="shared" si="10"/>
        <v>0.94575459260240813</v>
      </c>
      <c r="U94" s="587"/>
      <c r="V94" s="587"/>
      <c r="W94" s="587"/>
      <c r="X94" s="587"/>
      <c r="Y94" s="587"/>
      <c r="Z94" s="587"/>
      <c r="AA94" s="587"/>
      <c r="AB94" s="587"/>
      <c r="AC94" s="587"/>
      <c r="AE94" s="587"/>
      <c r="AF94" s="587"/>
      <c r="AG94" s="587"/>
      <c r="AH94" s="587"/>
      <c r="AI94" s="587"/>
      <c r="AJ94" s="587"/>
      <c r="AK94" s="587"/>
      <c r="AL94" s="587"/>
      <c r="AM94" s="587"/>
      <c r="AO94" s="587"/>
      <c r="AP94" s="587"/>
      <c r="AQ94" s="587"/>
      <c r="AR94" s="587"/>
      <c r="AS94" s="587"/>
      <c r="AT94" s="587"/>
      <c r="AU94" s="587"/>
      <c r="AV94" s="587"/>
      <c r="AW94" s="587"/>
    </row>
    <row r="95" spans="1:49">
      <c r="A95" s="581">
        <v>12236</v>
      </c>
      <c r="B95" s="594">
        <v>-8.6199999999999999E-2</v>
      </c>
      <c r="C95" s="577">
        <v>-0.12039999999999999</v>
      </c>
      <c r="D95" s="596">
        <v>2.5999999999999999E-3</v>
      </c>
      <c r="E95" s="596">
        <v>3.6333333333333335E-3</v>
      </c>
      <c r="F95" s="577">
        <v>4.0249999999999999E-3</v>
      </c>
      <c r="G95" s="577">
        <v>3.8291666666666669E-3</v>
      </c>
      <c r="H95" s="596">
        <v>4.9249999999999997E-3</v>
      </c>
      <c r="I95" s="577">
        <f t="shared" si="12"/>
        <v>-8.8800000000000004E-2</v>
      </c>
      <c r="J95" s="577">
        <f t="shared" si="17"/>
        <v>-9.002916666666666E-2</v>
      </c>
      <c r="K95" s="577">
        <f t="shared" si="18"/>
        <v>-0.12532499999999999</v>
      </c>
      <c r="L95" s="585">
        <f t="shared" si="16"/>
        <v>0.73880920981050235</v>
      </c>
      <c r="M95" s="585">
        <f t="shared" si="14"/>
        <v>3.1199999999999999E-2</v>
      </c>
      <c r="N95" s="585">
        <f t="shared" si="6"/>
        <v>4.5950000000000005E-2</v>
      </c>
      <c r="O95" s="586">
        <f t="shared" si="15"/>
        <v>0.70760920981050235</v>
      </c>
      <c r="P95" s="585">
        <f t="shared" si="7"/>
        <v>0.69285920981050231</v>
      </c>
      <c r="Q95" s="585">
        <f t="shared" si="8"/>
        <v>0.32544623791340954</v>
      </c>
      <c r="R95" s="585">
        <f t="shared" si="9"/>
        <v>5.91E-2</v>
      </c>
      <c r="S95" s="586">
        <f t="shared" si="10"/>
        <v>0.26634623791340956</v>
      </c>
      <c r="U95" s="587"/>
      <c r="V95" s="587"/>
      <c r="W95" s="587"/>
      <c r="X95" s="587"/>
      <c r="Y95" s="587"/>
      <c r="Z95" s="587"/>
      <c r="AA95" s="587"/>
      <c r="AB95" s="587"/>
      <c r="AC95" s="587"/>
      <c r="AE95" s="587"/>
      <c r="AF95" s="587"/>
      <c r="AG95" s="587"/>
      <c r="AH95" s="587"/>
      <c r="AI95" s="587"/>
      <c r="AJ95" s="587"/>
      <c r="AK95" s="587"/>
      <c r="AL95" s="587"/>
      <c r="AM95" s="587"/>
      <c r="AO95" s="587"/>
      <c r="AP95" s="587"/>
      <c r="AQ95" s="587"/>
      <c r="AR95" s="587"/>
      <c r="AS95" s="587"/>
      <c r="AT95" s="587"/>
      <c r="AU95" s="587"/>
      <c r="AV95" s="587"/>
      <c r="AW95" s="587"/>
    </row>
    <row r="96" spans="1:49">
      <c r="A96" s="581">
        <v>12267</v>
      </c>
      <c r="B96" s="594">
        <v>0.1206</v>
      </c>
      <c r="C96" s="577">
        <v>-5.5999999999999991E-3</v>
      </c>
      <c r="D96" s="596">
        <v>2.5999999999999999E-3</v>
      </c>
      <c r="E96" s="596">
        <v>3.5833333333333333E-3</v>
      </c>
      <c r="F96" s="577">
        <v>3.9749999999999994E-3</v>
      </c>
      <c r="G96" s="577">
        <v>3.7791666666666668E-3</v>
      </c>
      <c r="H96" s="596">
        <v>4.9833333333333335E-3</v>
      </c>
      <c r="I96" s="577">
        <f t="shared" si="12"/>
        <v>0.11799999999999999</v>
      </c>
      <c r="J96" s="577">
        <f t="shared" si="17"/>
        <v>0.11682083333333333</v>
      </c>
      <c r="K96" s="577">
        <f t="shared" si="18"/>
        <v>-1.0583333333333333E-2</v>
      </c>
      <c r="L96" s="585">
        <f t="shared" si="16"/>
        <v>0.40493878470953137</v>
      </c>
      <c r="M96" s="585">
        <f t="shared" si="14"/>
        <v>3.1199999999999999E-2</v>
      </c>
      <c r="N96" s="585">
        <f t="shared" si="6"/>
        <v>4.5350000000000001E-2</v>
      </c>
      <c r="O96" s="586">
        <f t="shared" si="15"/>
        <v>0.37373878470953137</v>
      </c>
      <c r="P96" s="585">
        <f t="shared" si="7"/>
        <v>0.35958878470953137</v>
      </c>
      <c r="Q96" s="585">
        <f t="shared" si="8"/>
        <v>-6.0567541709840134E-2</v>
      </c>
      <c r="R96" s="585">
        <f t="shared" si="9"/>
        <v>5.9800000000000006E-2</v>
      </c>
      <c r="S96" s="586">
        <f t="shared" si="10"/>
        <v>-0.12036754170984014</v>
      </c>
      <c r="U96" s="587"/>
      <c r="V96" s="587"/>
      <c r="W96" s="587"/>
      <c r="X96" s="587"/>
      <c r="Y96" s="587"/>
      <c r="Z96" s="587"/>
      <c r="AA96" s="587"/>
      <c r="AB96" s="587"/>
      <c r="AC96" s="587"/>
      <c r="AE96" s="587"/>
      <c r="AF96" s="587"/>
      <c r="AG96" s="587"/>
      <c r="AH96" s="587"/>
      <c r="AI96" s="587"/>
      <c r="AJ96" s="587"/>
      <c r="AK96" s="587"/>
      <c r="AL96" s="587"/>
      <c r="AM96" s="587"/>
      <c r="AO96" s="587"/>
      <c r="AP96" s="587"/>
      <c r="AQ96" s="587"/>
      <c r="AR96" s="587"/>
      <c r="AS96" s="587"/>
      <c r="AT96" s="587"/>
      <c r="AU96" s="587"/>
      <c r="AV96" s="587"/>
      <c r="AW96" s="587"/>
    </row>
    <row r="97" spans="1:49">
      <c r="A97" s="581">
        <v>12298</v>
      </c>
      <c r="B97" s="594">
        <v>-0.1118</v>
      </c>
      <c r="C97" s="577">
        <v>-0.1759</v>
      </c>
      <c r="D97" s="596">
        <v>2.5000000000000001E-3</v>
      </c>
      <c r="E97" s="596">
        <v>3.6333333333333335E-3</v>
      </c>
      <c r="F97" s="577">
        <v>4.1333333333333335E-3</v>
      </c>
      <c r="G97" s="577">
        <v>3.8833333333333333E-3</v>
      </c>
      <c r="H97" s="596">
        <v>5.3E-3</v>
      </c>
      <c r="I97" s="577">
        <f t="shared" si="12"/>
        <v>-0.1143</v>
      </c>
      <c r="J97" s="577">
        <f t="shared" si="17"/>
        <v>-0.11568333333333333</v>
      </c>
      <c r="K97" s="577">
        <f t="shared" si="18"/>
        <v>-0.1812</v>
      </c>
      <c r="L97" s="585">
        <f t="shared" si="16"/>
        <v>0.29259025127305338</v>
      </c>
      <c r="M97" s="585">
        <f t="shared" si="14"/>
        <v>0.03</v>
      </c>
      <c r="N97" s="585">
        <f t="shared" si="6"/>
        <v>4.6600000000000003E-2</v>
      </c>
      <c r="O97" s="586">
        <f t="shared" si="15"/>
        <v>0.26259025127305335</v>
      </c>
      <c r="P97" s="585">
        <f t="shared" si="7"/>
        <v>0.24599025127305338</v>
      </c>
      <c r="Q97" s="585">
        <f t="shared" si="8"/>
        <v>-0.20433063835876586</v>
      </c>
      <c r="R97" s="585">
        <f t="shared" si="9"/>
        <v>6.3600000000000004E-2</v>
      </c>
      <c r="S97" s="586">
        <f t="shared" si="10"/>
        <v>-0.26793063835876585</v>
      </c>
      <c r="U97" s="587"/>
      <c r="V97" s="587"/>
      <c r="W97" s="587"/>
      <c r="X97" s="587"/>
      <c r="Y97" s="587"/>
      <c r="Z97" s="587"/>
      <c r="AA97" s="587"/>
      <c r="AB97" s="587"/>
      <c r="AC97" s="587"/>
      <c r="AE97" s="587"/>
      <c r="AF97" s="587"/>
      <c r="AG97" s="587"/>
      <c r="AH97" s="587"/>
      <c r="AI97" s="587"/>
      <c r="AJ97" s="587"/>
      <c r="AK97" s="587"/>
      <c r="AL97" s="587"/>
      <c r="AM97" s="587"/>
      <c r="AO97" s="587"/>
      <c r="AP97" s="587"/>
      <c r="AQ97" s="587"/>
      <c r="AR97" s="587"/>
      <c r="AS97" s="587"/>
      <c r="AT97" s="587"/>
      <c r="AU97" s="587"/>
      <c r="AV97" s="587"/>
      <c r="AW97" s="587"/>
    </row>
    <row r="98" spans="1:49">
      <c r="A98" s="581">
        <v>12328</v>
      </c>
      <c r="B98" s="594">
        <v>-8.5500000000000007E-2</v>
      </c>
      <c r="C98" s="577">
        <v>-7.1200000000000013E-2</v>
      </c>
      <c r="D98" s="596">
        <v>2.5999999999999999E-3</v>
      </c>
      <c r="E98" s="596">
        <v>3.6166666666666665E-3</v>
      </c>
      <c r="F98" s="577">
        <v>4.1416666666666659E-3</v>
      </c>
      <c r="G98" s="577">
        <v>3.8791666666666662E-3</v>
      </c>
      <c r="H98" s="596">
        <v>5.3E-3</v>
      </c>
      <c r="I98" s="577">
        <f t="shared" si="12"/>
        <v>-8.8100000000000012E-2</v>
      </c>
      <c r="J98" s="577">
        <f t="shared" si="17"/>
        <v>-8.9379166666666676E-2</v>
      </c>
      <c r="K98" s="577">
        <f t="shared" si="18"/>
        <v>-7.6500000000000012E-2</v>
      </c>
      <c r="L98" s="585">
        <f t="shared" si="16"/>
        <v>0.36640132330274788</v>
      </c>
      <c r="M98" s="585">
        <f t="shared" si="14"/>
        <v>3.1199999999999999E-2</v>
      </c>
      <c r="N98" s="585">
        <f t="shared" si="6"/>
        <v>4.6549999999999994E-2</v>
      </c>
      <c r="O98" s="586">
        <f t="shared" si="15"/>
        <v>0.33520132330274788</v>
      </c>
      <c r="P98" s="585">
        <f t="shared" si="7"/>
        <v>0.3198513233027479</v>
      </c>
      <c r="Q98" s="585">
        <f t="shared" si="8"/>
        <v>-0.17455858026094262</v>
      </c>
      <c r="R98" s="585">
        <f t="shared" si="9"/>
        <v>6.3600000000000004E-2</v>
      </c>
      <c r="S98" s="586">
        <f t="shared" si="10"/>
        <v>-0.23815858026094261</v>
      </c>
      <c r="U98" s="587"/>
      <c r="V98" s="587"/>
      <c r="W98" s="587"/>
      <c r="X98" s="587"/>
      <c r="Y98" s="587"/>
      <c r="Z98" s="587"/>
      <c r="AA98" s="587"/>
      <c r="AB98" s="587"/>
      <c r="AC98" s="587"/>
      <c r="AE98" s="587"/>
      <c r="AF98" s="587"/>
      <c r="AG98" s="587"/>
      <c r="AH98" s="587"/>
      <c r="AI98" s="587"/>
      <c r="AJ98" s="587"/>
      <c r="AK98" s="587"/>
      <c r="AL98" s="587"/>
      <c r="AM98" s="587"/>
      <c r="AO98" s="587"/>
      <c r="AP98" s="587"/>
      <c r="AQ98" s="587"/>
      <c r="AR98" s="587"/>
      <c r="AS98" s="587"/>
      <c r="AT98" s="587"/>
      <c r="AU98" s="587"/>
      <c r="AV98" s="587"/>
      <c r="AW98" s="587"/>
    </row>
    <row r="99" spans="1:49">
      <c r="A99" s="581">
        <v>12359</v>
      </c>
      <c r="B99" s="594">
        <v>0.11269999999999999</v>
      </c>
      <c r="C99" s="577">
        <v>-1.7999999999999999E-2</v>
      </c>
      <c r="D99" s="596">
        <v>2.5000000000000001E-3</v>
      </c>
      <c r="E99" s="596">
        <v>3.7833333333333334E-3</v>
      </c>
      <c r="F99" s="577">
        <v>4.4583333333333332E-3</v>
      </c>
      <c r="G99" s="577">
        <v>4.120833333333334E-3</v>
      </c>
      <c r="H99" s="596">
        <v>5.8833333333333342E-3</v>
      </c>
      <c r="I99" s="577">
        <f t="shared" si="12"/>
        <v>0.11019999999999999</v>
      </c>
      <c r="J99" s="577">
        <f t="shared" si="17"/>
        <v>0.10857916666666666</v>
      </c>
      <c r="K99" s="577">
        <f t="shared" si="18"/>
        <v>-2.3883333333333333E-2</v>
      </c>
      <c r="L99" s="585">
        <f t="shared" si="16"/>
        <v>0.58655405659915205</v>
      </c>
      <c r="M99" s="585">
        <f t="shared" si="14"/>
        <v>0.03</v>
      </c>
      <c r="N99" s="585">
        <f t="shared" si="6"/>
        <v>4.9450000000000008E-2</v>
      </c>
      <c r="O99" s="586">
        <f t="shared" si="15"/>
        <v>0.55655405659915202</v>
      </c>
      <c r="P99" s="585">
        <f t="shared" si="7"/>
        <v>0.53710405659915206</v>
      </c>
      <c r="Q99" s="585">
        <f t="shared" si="8"/>
        <v>-0.15966880138528483</v>
      </c>
      <c r="R99" s="585">
        <f t="shared" si="9"/>
        <v>7.060000000000001E-2</v>
      </c>
      <c r="S99" s="586">
        <f t="shared" si="10"/>
        <v>-0.23026880138528483</v>
      </c>
      <c r="U99" s="587"/>
      <c r="V99" s="587"/>
      <c r="W99" s="587"/>
      <c r="X99" s="587"/>
      <c r="Y99" s="587"/>
      <c r="Z99" s="587"/>
      <c r="AA99" s="587"/>
      <c r="AB99" s="587"/>
      <c r="AC99" s="587"/>
      <c r="AE99" s="587"/>
      <c r="AF99" s="587"/>
      <c r="AG99" s="587"/>
      <c r="AH99" s="587"/>
      <c r="AI99" s="587"/>
      <c r="AJ99" s="587"/>
      <c r="AK99" s="587"/>
      <c r="AL99" s="587"/>
      <c r="AM99" s="587"/>
      <c r="AO99" s="587"/>
      <c r="AP99" s="587"/>
      <c r="AQ99" s="587"/>
      <c r="AR99" s="587"/>
      <c r="AS99" s="587"/>
      <c r="AT99" s="587"/>
      <c r="AU99" s="587"/>
      <c r="AV99" s="587"/>
      <c r="AW99" s="587"/>
    </row>
    <row r="100" spans="1:49">
      <c r="A100" s="581">
        <v>12389</v>
      </c>
      <c r="B100" s="594">
        <v>2.53E-2</v>
      </c>
      <c r="C100" s="577">
        <v>1.26E-2</v>
      </c>
      <c r="D100" s="596">
        <v>2.7999999999999995E-3</v>
      </c>
      <c r="E100" s="596">
        <v>3.7499999999999999E-3</v>
      </c>
      <c r="F100" s="577">
        <v>4.3916666666666661E-3</v>
      </c>
      <c r="G100" s="577">
        <v>4.0708333333333334E-3</v>
      </c>
      <c r="H100" s="596">
        <v>6.0166666666666667E-3</v>
      </c>
      <c r="I100" s="577">
        <f t="shared" si="12"/>
        <v>2.2499999999999999E-2</v>
      </c>
      <c r="J100" s="577">
        <f t="shared" si="17"/>
        <v>2.1229166666666667E-2</v>
      </c>
      <c r="K100" s="577">
        <f t="shared" si="18"/>
        <v>6.5833333333333334E-3</v>
      </c>
      <c r="L100" s="585">
        <f t="shared" si="16"/>
        <v>0.53970078015249512</v>
      </c>
      <c r="M100" s="585">
        <f t="shared" si="14"/>
        <v>3.3599999999999991E-2</v>
      </c>
      <c r="N100" s="585">
        <f t="shared" si="6"/>
        <v>4.8850000000000005E-2</v>
      </c>
      <c r="O100" s="586">
        <f t="shared" si="15"/>
        <v>0.50610078015249516</v>
      </c>
      <c r="P100" s="585">
        <f t="shared" si="7"/>
        <v>0.49085078015249511</v>
      </c>
      <c r="Q100" s="585">
        <f t="shared" si="8"/>
        <v>-0.21883836251054711</v>
      </c>
      <c r="R100" s="585">
        <f t="shared" si="9"/>
        <v>7.22E-2</v>
      </c>
      <c r="S100" s="586">
        <f t="shared" si="10"/>
        <v>-0.2910383625105471</v>
      </c>
      <c r="U100" s="587"/>
      <c r="V100" s="587"/>
      <c r="W100" s="587"/>
      <c r="X100" s="587"/>
      <c r="Y100" s="587"/>
      <c r="Z100" s="587"/>
      <c r="AA100" s="587"/>
      <c r="AB100" s="587"/>
      <c r="AC100" s="587"/>
      <c r="AE100" s="587"/>
      <c r="AF100" s="587"/>
      <c r="AG100" s="587"/>
      <c r="AH100" s="587"/>
      <c r="AI100" s="587"/>
      <c r="AJ100" s="587"/>
      <c r="AK100" s="587"/>
      <c r="AL100" s="587"/>
      <c r="AM100" s="587"/>
      <c r="AO100" s="587"/>
      <c r="AP100" s="587"/>
      <c r="AQ100" s="587"/>
      <c r="AR100" s="587"/>
      <c r="AS100" s="587"/>
      <c r="AT100" s="587"/>
      <c r="AU100" s="587"/>
      <c r="AV100" s="587"/>
      <c r="AW100" s="587"/>
    </row>
    <row r="101" spans="1:49">
      <c r="A101" s="581">
        <v>12420</v>
      </c>
      <c r="B101" s="594">
        <v>0.1069</v>
      </c>
      <c r="C101" s="577">
        <v>0.17460000000000001</v>
      </c>
      <c r="D101" s="577">
        <v>2.8999999999999998E-3</v>
      </c>
      <c r="E101" s="577">
        <v>3.6249999999999998E-3</v>
      </c>
      <c r="F101" s="577">
        <v>4.1666666666666666E-3</v>
      </c>
      <c r="G101" s="577">
        <v>3.8958333333333332E-3</v>
      </c>
      <c r="H101" s="577">
        <v>5.4666666666666674E-3</v>
      </c>
      <c r="I101" s="577">
        <f t="shared" si="12"/>
        <v>0.104</v>
      </c>
      <c r="J101" s="577">
        <f t="shared" si="17"/>
        <v>0.10300416666666666</v>
      </c>
      <c r="K101" s="577">
        <f t="shared" si="18"/>
        <v>0.16913333333333333</v>
      </c>
      <c r="L101" s="585">
        <f t="shared" si="16"/>
        <v>0.68959531431624588</v>
      </c>
      <c r="M101" s="585">
        <f t="shared" si="14"/>
        <v>3.4799999999999998E-2</v>
      </c>
      <c r="N101" s="585">
        <f t="shared" si="6"/>
        <v>4.675E-2</v>
      </c>
      <c r="O101" s="586">
        <f t="shared" si="15"/>
        <v>0.65479531431624594</v>
      </c>
      <c r="P101" s="585">
        <f t="shared" si="7"/>
        <v>0.64284531431624592</v>
      </c>
      <c r="Q101" s="585">
        <f t="shared" si="8"/>
        <v>-5.2995707095560562E-2</v>
      </c>
      <c r="R101" s="585">
        <f t="shared" si="9"/>
        <v>6.5600000000000006E-2</v>
      </c>
      <c r="S101" s="586">
        <f t="shared" si="10"/>
        <v>-0.11859570709556057</v>
      </c>
      <c r="U101" s="587"/>
      <c r="V101" s="587"/>
      <c r="W101" s="587"/>
      <c r="X101" s="587"/>
      <c r="Y101" s="587"/>
      <c r="Z101" s="587"/>
      <c r="AA101" s="587"/>
      <c r="AB101" s="587"/>
      <c r="AC101" s="587"/>
      <c r="AE101" s="587"/>
      <c r="AF101" s="587"/>
      <c r="AG101" s="587"/>
      <c r="AH101" s="587"/>
      <c r="AI101" s="587"/>
      <c r="AJ101" s="587"/>
      <c r="AK101" s="587"/>
      <c r="AL101" s="587"/>
      <c r="AM101" s="587"/>
      <c r="AO101" s="587"/>
      <c r="AP101" s="587"/>
      <c r="AQ101" s="587"/>
      <c r="AR101" s="587"/>
      <c r="AS101" s="587"/>
      <c r="AT101" s="587"/>
      <c r="AU101" s="587"/>
      <c r="AV101" s="587"/>
      <c r="AW101" s="587"/>
    </row>
    <row r="102" spans="1:49">
      <c r="A102" s="581">
        <v>12451</v>
      </c>
      <c r="B102" s="594">
        <v>-3.2199999999999999E-2</v>
      </c>
      <c r="C102" s="577">
        <v>-2.4199999999999999E-2</v>
      </c>
      <c r="D102" s="577">
        <v>2.3999999999999998E-3</v>
      </c>
      <c r="E102" s="577">
        <v>3.5000000000000005E-3</v>
      </c>
      <c r="F102" s="577">
        <v>3.9166666666666664E-3</v>
      </c>
      <c r="G102" s="577">
        <v>3.7083333333333334E-3</v>
      </c>
      <c r="H102" s="577">
        <v>4.816666666666667E-3</v>
      </c>
      <c r="I102" s="577">
        <f t="shared" si="12"/>
        <v>-3.4599999999999999E-2</v>
      </c>
      <c r="J102" s="577">
        <f t="shared" si="17"/>
        <v>-3.5908333333333334E-2</v>
      </c>
      <c r="K102" s="577">
        <f t="shared" si="18"/>
        <v>-2.9016666666666666E-2</v>
      </c>
      <c r="L102" s="585">
        <f t="shared" si="16"/>
        <v>0.98734849926502455</v>
      </c>
      <c r="M102" s="585">
        <f t="shared" si="14"/>
        <v>2.8799999999999999E-2</v>
      </c>
      <c r="N102" s="585">
        <f t="shared" si="6"/>
        <v>4.4499999999999998E-2</v>
      </c>
      <c r="O102" s="586">
        <f t="shared" si="15"/>
        <v>0.9585484992650245</v>
      </c>
      <c r="P102" s="585">
        <f t="shared" si="7"/>
        <v>0.94284849926502456</v>
      </c>
      <c r="Q102" s="585">
        <f t="shared" si="8"/>
        <v>0.15280288050917146</v>
      </c>
      <c r="R102" s="585">
        <f t="shared" si="9"/>
        <v>5.7800000000000004E-2</v>
      </c>
      <c r="S102" s="586">
        <f t="shared" si="10"/>
        <v>9.5002880509171453E-2</v>
      </c>
      <c r="U102" s="587"/>
      <c r="V102" s="587"/>
      <c r="W102" s="587"/>
      <c r="X102" s="587"/>
      <c r="Y102" s="587"/>
      <c r="Z102" s="587"/>
      <c r="AA102" s="587"/>
      <c r="AB102" s="587"/>
      <c r="AC102" s="587"/>
      <c r="AE102" s="587"/>
      <c r="AF102" s="587"/>
      <c r="AG102" s="587"/>
      <c r="AH102" s="587"/>
      <c r="AI102" s="587"/>
      <c r="AJ102" s="587"/>
      <c r="AK102" s="587"/>
      <c r="AL102" s="587"/>
      <c r="AM102" s="587"/>
      <c r="AO102" s="587"/>
      <c r="AP102" s="587"/>
      <c r="AQ102" s="587"/>
      <c r="AR102" s="587"/>
      <c r="AS102" s="587"/>
      <c r="AT102" s="587"/>
      <c r="AU102" s="587"/>
      <c r="AV102" s="587"/>
      <c r="AW102" s="587"/>
    </row>
    <row r="103" spans="1:49">
      <c r="A103" s="581">
        <v>12479</v>
      </c>
      <c r="B103" s="594">
        <v>0</v>
      </c>
      <c r="C103" s="577">
        <v>-1.1099999999999999E-2</v>
      </c>
      <c r="D103" s="577">
        <v>2.7000000000000001E-3</v>
      </c>
      <c r="E103" s="577">
        <v>3.4416666666666667E-3</v>
      </c>
      <c r="F103" s="577">
        <v>3.7916666666666667E-3</v>
      </c>
      <c r="G103" s="577">
        <v>3.6166666666666669E-3</v>
      </c>
      <c r="H103" s="577">
        <v>4.7166666666666668E-3</v>
      </c>
      <c r="I103" s="577">
        <f t="shared" si="12"/>
        <v>-2.7000000000000001E-3</v>
      </c>
      <c r="J103" s="577">
        <f t="shared" si="17"/>
        <v>-3.6166666666666669E-3</v>
      </c>
      <c r="K103" s="577">
        <f t="shared" si="18"/>
        <v>-1.5816666666666666E-2</v>
      </c>
      <c r="L103" s="585">
        <f t="shared" si="16"/>
        <v>0.91958707549987984</v>
      </c>
      <c r="M103" s="585">
        <f t="shared" si="14"/>
        <v>3.2399999999999998E-2</v>
      </c>
      <c r="N103" s="585">
        <f t="shared" si="6"/>
        <v>4.3400000000000001E-2</v>
      </c>
      <c r="O103" s="586">
        <f t="shared" si="15"/>
        <v>0.88718707549987985</v>
      </c>
      <c r="P103" s="585">
        <f t="shared" si="7"/>
        <v>0.87618707549987984</v>
      </c>
      <c r="Q103" s="585">
        <f t="shared" si="8"/>
        <v>0.278034493873901</v>
      </c>
      <c r="R103" s="585">
        <f t="shared" si="9"/>
        <v>5.6599999999999998E-2</v>
      </c>
      <c r="S103" s="586">
        <f t="shared" si="10"/>
        <v>0.22143449387390102</v>
      </c>
      <c r="U103" s="587"/>
      <c r="V103" s="587"/>
      <c r="W103" s="587"/>
      <c r="X103" s="587"/>
      <c r="Y103" s="587"/>
      <c r="Z103" s="587"/>
      <c r="AA103" s="587"/>
      <c r="AB103" s="587"/>
      <c r="AC103" s="587"/>
      <c r="AE103" s="587"/>
      <c r="AF103" s="587"/>
      <c r="AG103" s="587"/>
      <c r="AH103" s="587"/>
      <c r="AI103" s="587"/>
      <c r="AJ103" s="587"/>
      <c r="AK103" s="587"/>
      <c r="AL103" s="587"/>
      <c r="AM103" s="587"/>
      <c r="AO103" s="587"/>
      <c r="AP103" s="587"/>
      <c r="AQ103" s="587"/>
      <c r="AR103" s="587"/>
      <c r="AS103" s="587"/>
      <c r="AT103" s="587"/>
      <c r="AU103" s="587"/>
      <c r="AV103" s="587"/>
      <c r="AW103" s="587"/>
    </row>
    <row r="104" spans="1:49">
      <c r="A104" s="581">
        <v>12510</v>
      </c>
      <c r="B104" s="594">
        <v>-2.5100000000000001E-2</v>
      </c>
      <c r="C104" s="577">
        <v>-3.5099999999999999E-2</v>
      </c>
      <c r="D104" s="577">
        <v>2.5000000000000001E-3</v>
      </c>
      <c r="E104" s="577">
        <v>3.3916666666666665E-3</v>
      </c>
      <c r="F104" s="577">
        <v>3.6916666666666664E-3</v>
      </c>
      <c r="G104" s="577">
        <v>3.5416666666666665E-3</v>
      </c>
      <c r="H104" s="577">
        <v>4.5333333333333337E-3</v>
      </c>
      <c r="I104" s="577">
        <f t="shared" si="12"/>
        <v>-2.76E-2</v>
      </c>
      <c r="J104" s="577">
        <f t="shared" si="17"/>
        <v>-2.8641666666666666E-2</v>
      </c>
      <c r="K104" s="577">
        <f t="shared" si="18"/>
        <v>-3.9633333333333333E-2</v>
      </c>
      <c r="L104" s="585">
        <f t="shared" si="16"/>
        <v>0.31271425358083071</v>
      </c>
      <c r="M104" s="585">
        <f t="shared" si="14"/>
        <v>0.03</v>
      </c>
      <c r="N104" s="585">
        <f t="shared" ref="N104:N167" si="19">G104*12</f>
        <v>4.2499999999999996E-2</v>
      </c>
      <c r="O104" s="586">
        <f t="shared" si="15"/>
        <v>0.28271425358083069</v>
      </c>
      <c r="P104" s="585">
        <f t="shared" ref="P104:P167" si="20">L104-N104</f>
        <v>0.27021425358083073</v>
      </c>
      <c r="Q104" s="585">
        <f t="shared" ref="Q104:Q167" si="21">((1+C93)*(1+C94)*(1+C95)*(1+C96)*(1+C97)*(1+C98)*(1+C99)*(1+C100)*(1+C101)*(1+C102)*(1+C103)*(1+C104))-1</f>
        <v>-2.4000409070892847E-2</v>
      </c>
      <c r="R104" s="585">
        <f t="shared" ref="R104:R167" si="22">H104*12</f>
        <v>5.4400000000000004E-2</v>
      </c>
      <c r="S104" s="586">
        <f t="shared" ref="S104:S167" si="23">Q104-R104</f>
        <v>-7.8400409070892851E-2</v>
      </c>
      <c r="U104" s="587"/>
      <c r="V104" s="587"/>
      <c r="W104" s="587"/>
      <c r="X104" s="587"/>
      <c r="Y104" s="587"/>
      <c r="Z104" s="587"/>
      <c r="AA104" s="587"/>
      <c r="AB104" s="587"/>
      <c r="AC104" s="587"/>
      <c r="AE104" s="587"/>
      <c r="AF104" s="587"/>
      <c r="AG104" s="587"/>
      <c r="AH104" s="587"/>
      <c r="AI104" s="587"/>
      <c r="AJ104" s="587"/>
      <c r="AK104" s="587"/>
      <c r="AL104" s="587"/>
      <c r="AM104" s="587"/>
      <c r="AO104" s="587"/>
      <c r="AP104" s="587"/>
      <c r="AQ104" s="587"/>
      <c r="AR104" s="587"/>
      <c r="AS104" s="587"/>
      <c r="AT104" s="587"/>
      <c r="AU104" s="587"/>
      <c r="AV104" s="587"/>
      <c r="AW104" s="587"/>
    </row>
    <row r="105" spans="1:49">
      <c r="A105" s="581">
        <v>12540</v>
      </c>
      <c r="B105" s="594">
        <v>-7.3599999999999999E-2</v>
      </c>
      <c r="C105" s="577">
        <v>-7.6499999999999999E-2</v>
      </c>
      <c r="D105" s="577">
        <v>2.5000000000000001E-3</v>
      </c>
      <c r="E105" s="577">
        <v>3.3416666666666668E-3</v>
      </c>
      <c r="F105" s="577">
        <v>3.6416666666666667E-3</v>
      </c>
      <c r="G105" s="577">
        <v>3.4916666666666668E-3</v>
      </c>
      <c r="H105" s="577">
        <v>4.4916666666666664E-3</v>
      </c>
      <c r="I105" s="577">
        <f t="shared" si="12"/>
        <v>-7.6100000000000001E-2</v>
      </c>
      <c r="J105" s="577">
        <f t="shared" si="17"/>
        <v>-7.7091666666666669E-2</v>
      </c>
      <c r="K105" s="577">
        <f t="shared" si="18"/>
        <v>-8.099166666666667E-2</v>
      </c>
      <c r="L105" s="585">
        <f t="shared" si="16"/>
        <v>4.0912851594009814E-2</v>
      </c>
      <c r="M105" s="585">
        <f t="shared" si="14"/>
        <v>0.03</v>
      </c>
      <c r="N105" s="585">
        <f t="shared" si="19"/>
        <v>4.19E-2</v>
      </c>
      <c r="O105" s="586">
        <f t="shared" si="15"/>
        <v>1.0912851594009815E-2</v>
      </c>
      <c r="P105" s="585">
        <f t="shared" si="20"/>
        <v>-9.8714840599018611E-4</v>
      </c>
      <c r="Q105" s="585">
        <f t="shared" si="21"/>
        <v>-0.23172892752895469</v>
      </c>
      <c r="R105" s="585">
        <f t="shared" si="22"/>
        <v>5.3899999999999997E-2</v>
      </c>
      <c r="S105" s="586">
        <f t="shared" si="23"/>
        <v>-0.28562892752895469</v>
      </c>
      <c r="U105" s="587"/>
      <c r="V105" s="587"/>
      <c r="W105" s="587"/>
      <c r="X105" s="587"/>
      <c r="Y105" s="587"/>
      <c r="Z105" s="587"/>
      <c r="AA105" s="587"/>
      <c r="AB105" s="587"/>
      <c r="AC105" s="587"/>
      <c r="AE105" s="587"/>
      <c r="AF105" s="587"/>
      <c r="AG105" s="587"/>
      <c r="AH105" s="587"/>
      <c r="AI105" s="587"/>
      <c r="AJ105" s="587"/>
      <c r="AK105" s="587"/>
      <c r="AL105" s="587"/>
      <c r="AM105" s="587"/>
      <c r="AO105" s="587"/>
      <c r="AP105" s="587"/>
      <c r="AQ105" s="587"/>
      <c r="AR105" s="587"/>
      <c r="AS105" s="587"/>
      <c r="AT105" s="587"/>
      <c r="AU105" s="587"/>
      <c r="AV105" s="587"/>
      <c r="AW105" s="587"/>
    </row>
    <row r="106" spans="1:49">
      <c r="A106" s="581">
        <v>12571</v>
      </c>
      <c r="B106" s="594">
        <v>2.29E-2</v>
      </c>
      <c r="C106" s="577">
        <v>4.7800000000000002E-2</v>
      </c>
      <c r="D106" s="577">
        <v>2.3999999999999998E-3</v>
      </c>
      <c r="E106" s="577">
        <v>3.2750000000000001E-3</v>
      </c>
      <c r="F106" s="577">
        <v>3.5833333333333333E-3</v>
      </c>
      <c r="G106" s="577">
        <v>3.4291666666666663E-3</v>
      </c>
      <c r="H106" s="577">
        <v>4.5000000000000005E-3</v>
      </c>
      <c r="I106" s="577">
        <f t="shared" si="12"/>
        <v>2.0500000000000001E-2</v>
      </c>
      <c r="J106" s="577">
        <f t="shared" si="17"/>
        <v>1.9470833333333333E-2</v>
      </c>
      <c r="K106" s="577">
        <f t="shared" si="18"/>
        <v>4.3300000000000005E-2</v>
      </c>
      <c r="L106" s="585">
        <f t="shared" si="16"/>
        <v>-6.0901608841495092E-2</v>
      </c>
      <c r="M106" s="585">
        <f t="shared" si="14"/>
        <v>2.8799999999999999E-2</v>
      </c>
      <c r="N106" s="585">
        <f t="shared" si="19"/>
        <v>4.1149999999999992E-2</v>
      </c>
      <c r="O106" s="586">
        <f t="shared" si="15"/>
        <v>-8.9701608841495084E-2</v>
      </c>
      <c r="P106" s="585">
        <f t="shared" si="20"/>
        <v>-0.10205160884149508</v>
      </c>
      <c r="Q106" s="585">
        <f t="shared" si="21"/>
        <v>-0.29547135503661714</v>
      </c>
      <c r="R106" s="585">
        <f t="shared" si="22"/>
        <v>5.4000000000000006E-2</v>
      </c>
      <c r="S106" s="586">
        <f t="shared" si="23"/>
        <v>-0.34947135503661714</v>
      </c>
      <c r="U106" s="587"/>
      <c r="V106" s="587"/>
      <c r="W106" s="587"/>
      <c r="X106" s="587"/>
      <c r="Y106" s="587"/>
      <c r="Z106" s="587"/>
      <c r="AA106" s="587"/>
      <c r="AB106" s="587"/>
      <c r="AC106" s="587"/>
      <c r="AE106" s="587"/>
      <c r="AF106" s="587"/>
      <c r="AG106" s="587"/>
      <c r="AH106" s="587"/>
      <c r="AI106" s="587"/>
      <c r="AJ106" s="587"/>
      <c r="AK106" s="587"/>
      <c r="AL106" s="587"/>
      <c r="AM106" s="587"/>
      <c r="AO106" s="587"/>
      <c r="AP106" s="587"/>
      <c r="AQ106" s="587"/>
      <c r="AR106" s="587"/>
      <c r="AS106" s="587"/>
      <c r="AT106" s="587"/>
      <c r="AU106" s="587"/>
      <c r="AV106" s="587"/>
      <c r="AW106" s="587"/>
    </row>
    <row r="107" spans="1:49">
      <c r="A107" s="581">
        <v>12601</v>
      </c>
      <c r="B107" s="594">
        <v>-0.1132</v>
      </c>
      <c r="C107" s="577">
        <v>-0.1603</v>
      </c>
      <c r="D107" s="577">
        <v>2.3999999999999998E-3</v>
      </c>
      <c r="E107" s="577">
        <v>3.2416666666666666E-3</v>
      </c>
      <c r="F107" s="577">
        <v>3.5666666666666668E-3</v>
      </c>
      <c r="G107" s="577">
        <v>3.4041666666666669E-3</v>
      </c>
      <c r="H107" s="577">
        <v>4.4083333333333335E-3</v>
      </c>
      <c r="I107" s="577">
        <f t="shared" si="12"/>
        <v>-0.11559999999999999</v>
      </c>
      <c r="J107" s="577">
        <f t="shared" si="17"/>
        <v>-0.11660416666666666</v>
      </c>
      <c r="K107" s="577">
        <f t="shared" si="18"/>
        <v>-0.16470833333333335</v>
      </c>
      <c r="L107" s="585">
        <f t="shared" si="16"/>
        <v>-8.8649099059573078E-2</v>
      </c>
      <c r="M107" s="585">
        <f t="shared" si="14"/>
        <v>2.8799999999999999E-2</v>
      </c>
      <c r="N107" s="585">
        <f t="shared" si="19"/>
        <v>4.0850000000000004E-2</v>
      </c>
      <c r="O107" s="586">
        <f t="shared" si="15"/>
        <v>-0.11744909905957307</v>
      </c>
      <c r="P107" s="585">
        <f t="shared" si="20"/>
        <v>-0.12949909905957308</v>
      </c>
      <c r="Q107" s="585">
        <f t="shared" si="21"/>
        <v>-0.32742985086885779</v>
      </c>
      <c r="R107" s="585">
        <f t="shared" si="22"/>
        <v>5.2900000000000003E-2</v>
      </c>
      <c r="S107" s="586">
        <f t="shared" si="23"/>
        <v>-0.38032985086885779</v>
      </c>
      <c r="U107" s="587"/>
      <c r="V107" s="587"/>
      <c r="W107" s="587"/>
      <c r="X107" s="587"/>
      <c r="Y107" s="587"/>
      <c r="Z107" s="587"/>
      <c r="AA107" s="587"/>
      <c r="AB107" s="587"/>
      <c r="AC107" s="587"/>
      <c r="AE107" s="587"/>
      <c r="AF107" s="587"/>
      <c r="AG107" s="587"/>
      <c r="AH107" s="587"/>
      <c r="AI107" s="587"/>
      <c r="AJ107" s="587"/>
      <c r="AK107" s="587"/>
      <c r="AL107" s="587"/>
      <c r="AM107" s="587"/>
      <c r="AO107" s="587"/>
      <c r="AP107" s="587"/>
      <c r="AQ107" s="587"/>
      <c r="AR107" s="587"/>
      <c r="AS107" s="587"/>
      <c r="AT107" s="587"/>
      <c r="AU107" s="587"/>
      <c r="AV107" s="587"/>
      <c r="AW107" s="587"/>
    </row>
    <row r="108" spans="1:49">
      <c r="A108" s="581">
        <v>12632</v>
      </c>
      <c r="B108" s="594">
        <v>6.1100000000000002E-2</v>
      </c>
      <c r="C108" s="577">
        <v>2.69E-2</v>
      </c>
      <c r="D108" s="577">
        <v>2.3999999999999998E-3</v>
      </c>
      <c r="E108" s="577">
        <v>3.2750000000000001E-3</v>
      </c>
      <c r="F108" s="577">
        <v>3.6166666666666665E-3</v>
      </c>
      <c r="G108" s="577">
        <v>3.4458333333333337E-3</v>
      </c>
      <c r="H108" s="577">
        <v>4.5249999999999995E-3</v>
      </c>
      <c r="I108" s="577">
        <f t="shared" si="12"/>
        <v>5.8700000000000002E-2</v>
      </c>
      <c r="J108" s="577">
        <f t="shared" si="17"/>
        <v>5.7654166666666666E-2</v>
      </c>
      <c r="K108" s="577">
        <f t="shared" si="18"/>
        <v>2.2374999999999999E-2</v>
      </c>
      <c r="L108" s="585">
        <f t="shared" si="16"/>
        <v>-0.1370386926754531</v>
      </c>
      <c r="M108" s="585">
        <f t="shared" si="14"/>
        <v>2.8799999999999999E-2</v>
      </c>
      <c r="N108" s="585">
        <f t="shared" si="19"/>
        <v>4.1350000000000005E-2</v>
      </c>
      <c r="O108" s="586">
        <f t="shared" si="15"/>
        <v>-0.16583869267545309</v>
      </c>
      <c r="P108" s="585">
        <f t="shared" si="20"/>
        <v>-0.1783886926754531</v>
      </c>
      <c r="Q108" s="585">
        <f t="shared" si="21"/>
        <v>-0.30544822391113235</v>
      </c>
      <c r="R108" s="585">
        <f t="shared" si="22"/>
        <v>5.4299999999999994E-2</v>
      </c>
      <c r="S108" s="586">
        <f t="shared" si="23"/>
        <v>-0.35974822391113237</v>
      </c>
      <c r="U108" s="587"/>
      <c r="V108" s="587"/>
      <c r="W108" s="587"/>
      <c r="X108" s="587"/>
      <c r="Y108" s="587"/>
      <c r="Z108" s="587"/>
      <c r="AA108" s="587"/>
      <c r="AB108" s="587"/>
      <c r="AC108" s="587"/>
      <c r="AE108" s="587"/>
      <c r="AF108" s="587"/>
      <c r="AG108" s="587"/>
      <c r="AH108" s="587"/>
      <c r="AI108" s="587"/>
      <c r="AJ108" s="587"/>
      <c r="AK108" s="587"/>
      <c r="AL108" s="587"/>
      <c r="AM108" s="587"/>
      <c r="AO108" s="587"/>
      <c r="AP108" s="587"/>
      <c r="AQ108" s="587"/>
      <c r="AR108" s="587"/>
      <c r="AS108" s="587"/>
      <c r="AT108" s="587"/>
      <c r="AU108" s="587"/>
      <c r="AV108" s="587"/>
      <c r="AW108" s="587"/>
    </row>
    <row r="109" spans="1:49">
      <c r="A109" s="581">
        <v>12663</v>
      </c>
      <c r="B109" s="594">
        <v>-3.3E-3</v>
      </c>
      <c r="C109" s="577">
        <v>9.4999999999999998E-3</v>
      </c>
      <c r="D109" s="577">
        <v>2.3E-3</v>
      </c>
      <c r="E109" s="577">
        <v>3.3E-3</v>
      </c>
      <c r="F109" s="577">
        <v>3.6833333333333336E-3</v>
      </c>
      <c r="G109" s="577">
        <v>3.4916666666666668E-3</v>
      </c>
      <c r="H109" s="577">
        <v>4.6333333333333339E-3</v>
      </c>
      <c r="I109" s="577">
        <f t="shared" si="12"/>
        <v>-5.5999999999999999E-3</v>
      </c>
      <c r="J109" s="577">
        <f t="shared" si="17"/>
        <v>-6.7916666666666663E-3</v>
      </c>
      <c r="K109" s="577">
        <f t="shared" si="18"/>
        <v>4.8666666666666658E-3</v>
      </c>
      <c r="L109" s="585">
        <f t="shared" si="16"/>
        <v>-3.1621779992822008E-2</v>
      </c>
      <c r="M109" s="585">
        <f t="shared" si="14"/>
        <v>2.76E-2</v>
      </c>
      <c r="N109" s="585">
        <f t="shared" si="19"/>
        <v>4.19E-2</v>
      </c>
      <c r="O109" s="586">
        <f t="shared" si="15"/>
        <v>-5.9221779992822007E-2</v>
      </c>
      <c r="P109" s="585">
        <f t="shared" si="20"/>
        <v>-7.3521779992822001E-2</v>
      </c>
      <c r="Q109" s="585">
        <f t="shared" si="21"/>
        <v>-0.14919303729922118</v>
      </c>
      <c r="R109" s="585">
        <f t="shared" si="22"/>
        <v>5.5600000000000011E-2</v>
      </c>
      <c r="S109" s="586">
        <f t="shared" si="23"/>
        <v>-0.20479303729922119</v>
      </c>
      <c r="U109" s="587"/>
      <c r="V109" s="587"/>
      <c r="W109" s="587"/>
      <c r="X109" s="587"/>
      <c r="Y109" s="587"/>
      <c r="Z109" s="587"/>
      <c r="AA109" s="587"/>
      <c r="AB109" s="587"/>
      <c r="AC109" s="587"/>
      <c r="AE109" s="587"/>
      <c r="AF109" s="587"/>
      <c r="AG109" s="587"/>
      <c r="AH109" s="587"/>
      <c r="AI109" s="587"/>
      <c r="AJ109" s="587"/>
      <c r="AK109" s="587"/>
      <c r="AL109" s="587"/>
      <c r="AM109" s="587"/>
      <c r="AO109" s="587"/>
      <c r="AP109" s="587"/>
      <c r="AQ109" s="587"/>
      <c r="AR109" s="587"/>
      <c r="AS109" s="587"/>
      <c r="AT109" s="587"/>
      <c r="AU109" s="587"/>
      <c r="AV109" s="587"/>
      <c r="AW109" s="587"/>
    </row>
    <row r="110" spans="1:49">
      <c r="A110" s="581">
        <v>12693</v>
      </c>
      <c r="B110" s="594">
        <v>-2.86E-2</v>
      </c>
      <c r="C110" s="577">
        <v>-6.6599999999999993E-2</v>
      </c>
      <c r="D110" s="577">
        <v>2.7000000000000001E-3</v>
      </c>
      <c r="E110" s="577">
        <v>3.2500000000000003E-3</v>
      </c>
      <c r="F110" s="577">
        <v>3.6333333333333335E-3</v>
      </c>
      <c r="G110" s="577">
        <v>3.4416666666666667E-3</v>
      </c>
      <c r="H110" s="577">
        <v>4.5000000000000005E-3</v>
      </c>
      <c r="I110" s="577">
        <f t="shared" si="12"/>
        <v>-3.1300000000000001E-2</v>
      </c>
      <c r="J110" s="577">
        <f t="shared" si="17"/>
        <v>-3.204166666666667E-2</v>
      </c>
      <c r="K110" s="577">
        <f t="shared" si="18"/>
        <v>-7.1099999999999997E-2</v>
      </c>
      <c r="L110" s="585">
        <f t="shared" si="16"/>
        <v>2.8630511662080638E-2</v>
      </c>
      <c r="M110" s="585">
        <f t="shared" si="14"/>
        <v>3.2399999999999998E-2</v>
      </c>
      <c r="N110" s="585">
        <f t="shared" si="19"/>
        <v>4.1300000000000003E-2</v>
      </c>
      <c r="O110" s="586">
        <f t="shared" si="15"/>
        <v>-3.7694883379193606E-3</v>
      </c>
      <c r="P110" s="585">
        <f t="shared" si="20"/>
        <v>-1.2669488337919366E-2</v>
      </c>
      <c r="Q110" s="585">
        <f t="shared" si="21"/>
        <v>-0.1449793077251218</v>
      </c>
      <c r="R110" s="585">
        <f t="shared" si="22"/>
        <v>5.4000000000000006E-2</v>
      </c>
      <c r="S110" s="586">
        <f t="shared" si="23"/>
        <v>-0.19897930772512179</v>
      </c>
      <c r="U110" s="587"/>
      <c r="V110" s="587"/>
      <c r="W110" s="587"/>
      <c r="X110" s="587"/>
      <c r="Y110" s="587"/>
      <c r="Z110" s="587"/>
      <c r="AA110" s="587"/>
      <c r="AB110" s="587"/>
      <c r="AC110" s="587"/>
      <c r="AE110" s="587"/>
      <c r="AF110" s="587"/>
      <c r="AG110" s="587"/>
      <c r="AH110" s="587"/>
      <c r="AI110" s="587"/>
      <c r="AJ110" s="587"/>
      <c r="AK110" s="587"/>
      <c r="AL110" s="587"/>
      <c r="AM110" s="587"/>
      <c r="AO110" s="587"/>
      <c r="AP110" s="587"/>
      <c r="AQ110" s="587"/>
      <c r="AR110" s="587"/>
      <c r="AS110" s="587"/>
      <c r="AT110" s="587"/>
      <c r="AU110" s="587"/>
      <c r="AV110" s="587"/>
      <c r="AW110" s="587"/>
    </row>
    <row r="111" spans="1:49">
      <c r="A111" s="581">
        <v>12724</v>
      </c>
      <c r="B111" s="594">
        <v>9.4200000000000006E-2</v>
      </c>
      <c r="C111" s="577">
        <v>-4.8000000000000004E-3</v>
      </c>
      <c r="D111" s="577">
        <v>2.5000000000000001E-3</v>
      </c>
      <c r="E111" s="577">
        <v>3.2166666666666667E-3</v>
      </c>
      <c r="F111" s="577">
        <v>3.5666666666666668E-3</v>
      </c>
      <c r="G111" s="577">
        <v>3.3916666666666665E-3</v>
      </c>
      <c r="H111" s="577">
        <v>4.4833333333333331E-3</v>
      </c>
      <c r="I111" s="577">
        <f t="shared" si="12"/>
        <v>9.1700000000000004E-2</v>
      </c>
      <c r="J111" s="577">
        <f t="shared" si="17"/>
        <v>9.0808333333333338E-2</v>
      </c>
      <c r="K111" s="577">
        <f t="shared" si="18"/>
        <v>-9.2833333333333344E-3</v>
      </c>
      <c r="L111" s="585">
        <f t="shared" si="16"/>
        <v>1.1528269848700035E-2</v>
      </c>
      <c r="M111" s="585">
        <f t="shared" si="14"/>
        <v>0.03</v>
      </c>
      <c r="N111" s="585">
        <f t="shared" si="19"/>
        <v>4.07E-2</v>
      </c>
      <c r="O111" s="586">
        <f t="shared" si="15"/>
        <v>-1.8471730151299964E-2</v>
      </c>
      <c r="P111" s="585">
        <f t="shared" si="20"/>
        <v>-2.9171730151299965E-2</v>
      </c>
      <c r="Q111" s="585">
        <f t="shared" si="21"/>
        <v>-0.13348615789006235</v>
      </c>
      <c r="R111" s="585">
        <f t="shared" si="22"/>
        <v>5.3800000000000001E-2</v>
      </c>
      <c r="S111" s="586">
        <f t="shared" si="23"/>
        <v>-0.18728615789006237</v>
      </c>
      <c r="U111" s="587"/>
      <c r="V111" s="587"/>
      <c r="W111" s="587"/>
      <c r="X111" s="587"/>
      <c r="Y111" s="587"/>
      <c r="Z111" s="587"/>
      <c r="AA111" s="587"/>
      <c r="AB111" s="587"/>
      <c r="AC111" s="587"/>
      <c r="AE111" s="587"/>
      <c r="AF111" s="587"/>
      <c r="AG111" s="587"/>
      <c r="AH111" s="587"/>
      <c r="AI111" s="587"/>
      <c r="AJ111" s="587"/>
      <c r="AK111" s="587"/>
      <c r="AL111" s="587"/>
      <c r="AM111" s="587"/>
      <c r="AO111" s="587"/>
      <c r="AP111" s="587"/>
      <c r="AQ111" s="587"/>
      <c r="AR111" s="587"/>
      <c r="AS111" s="587"/>
      <c r="AT111" s="587"/>
      <c r="AU111" s="587"/>
      <c r="AV111" s="587"/>
      <c r="AW111" s="587"/>
    </row>
    <row r="112" spans="1:49">
      <c r="A112" s="581">
        <v>12754</v>
      </c>
      <c r="B112" s="594">
        <v>-1E-3</v>
      </c>
      <c r="C112" s="577">
        <v>-7.010000000000001E-2</v>
      </c>
      <c r="D112" s="577">
        <v>2.5000000000000001E-3</v>
      </c>
      <c r="E112" s="577">
        <v>3.1749999999999999E-3</v>
      </c>
      <c r="F112" s="577">
        <v>3.5583333333333326E-3</v>
      </c>
      <c r="G112" s="577">
        <v>3.3666666666666667E-3</v>
      </c>
      <c r="H112" s="577">
        <v>4.4666666666666674E-3</v>
      </c>
      <c r="I112" s="577">
        <f t="shared" si="12"/>
        <v>-3.5000000000000001E-3</v>
      </c>
      <c r="J112" s="577">
        <f t="shared" si="17"/>
        <v>-4.3666666666666663E-3</v>
      </c>
      <c r="K112" s="577">
        <f t="shared" si="18"/>
        <v>-7.456666666666667E-2</v>
      </c>
      <c r="L112" s="585">
        <f t="shared" si="16"/>
        <v>-1.4418471102261021E-2</v>
      </c>
      <c r="M112" s="585">
        <f t="shared" si="14"/>
        <v>0.03</v>
      </c>
      <c r="N112" s="585">
        <f t="shared" si="19"/>
        <v>4.0399999999999998E-2</v>
      </c>
      <c r="O112" s="586">
        <f t="shared" si="15"/>
        <v>-4.441847110226102E-2</v>
      </c>
      <c r="P112" s="585">
        <f t="shared" si="20"/>
        <v>-5.481847110226102E-2</v>
      </c>
      <c r="Q112" s="585">
        <f t="shared" si="21"/>
        <v>-0.20425516316607606</v>
      </c>
      <c r="R112" s="585">
        <f t="shared" si="22"/>
        <v>5.3600000000000009E-2</v>
      </c>
      <c r="S112" s="586">
        <f t="shared" si="23"/>
        <v>-0.25785516316607604</v>
      </c>
      <c r="U112" s="587"/>
      <c r="V112" s="587"/>
      <c r="W112" s="587"/>
      <c r="X112" s="587"/>
      <c r="Y112" s="587"/>
      <c r="Z112" s="587"/>
      <c r="AA112" s="587"/>
      <c r="AB112" s="587"/>
      <c r="AC112" s="587"/>
      <c r="AE112" s="587"/>
      <c r="AF112" s="587"/>
      <c r="AG112" s="587"/>
      <c r="AH112" s="587"/>
      <c r="AI112" s="587"/>
      <c r="AJ112" s="587"/>
      <c r="AK112" s="587"/>
      <c r="AL112" s="587"/>
      <c r="AM112" s="587"/>
      <c r="AO112" s="587"/>
      <c r="AP112" s="587"/>
      <c r="AQ112" s="587"/>
      <c r="AR112" s="587"/>
      <c r="AS112" s="587"/>
      <c r="AT112" s="587"/>
      <c r="AU112" s="587"/>
      <c r="AV112" s="587"/>
      <c r="AW112" s="587"/>
    </row>
    <row r="113" spans="1:49">
      <c r="A113" s="581">
        <v>12785</v>
      </c>
      <c r="B113" s="594">
        <v>-4.1099999999999998E-2</v>
      </c>
      <c r="C113" s="577">
        <v>-2.3099999999999999E-2</v>
      </c>
      <c r="D113" s="577">
        <v>2.5000000000000001E-3</v>
      </c>
      <c r="E113" s="577">
        <v>3.1416666666666663E-3</v>
      </c>
      <c r="F113" s="577">
        <v>3.5083333333333334E-3</v>
      </c>
      <c r="G113" s="577">
        <v>3.3250000000000003E-3</v>
      </c>
      <c r="H113" s="577">
        <v>4.3166666666666666E-3</v>
      </c>
      <c r="I113" s="577">
        <f t="shared" si="12"/>
        <v>-4.36E-2</v>
      </c>
      <c r="J113" s="577">
        <f t="shared" si="17"/>
        <v>-4.4424999999999999E-2</v>
      </c>
      <c r="K113" s="577">
        <f t="shared" si="18"/>
        <v>-2.7416666666666666E-2</v>
      </c>
      <c r="L113" s="585">
        <f t="shared" si="16"/>
        <v>-0.14619737278883216</v>
      </c>
      <c r="M113" s="585">
        <f t="shared" si="14"/>
        <v>0.03</v>
      </c>
      <c r="N113" s="585">
        <f t="shared" si="19"/>
        <v>3.9900000000000005E-2</v>
      </c>
      <c r="O113" s="586">
        <f t="shared" si="15"/>
        <v>-0.17619737278883216</v>
      </c>
      <c r="P113" s="585">
        <f t="shared" si="20"/>
        <v>-0.18609737278883215</v>
      </c>
      <c r="Q113" s="585">
        <f t="shared" si="21"/>
        <v>-0.33818905916647357</v>
      </c>
      <c r="R113" s="585">
        <f t="shared" si="22"/>
        <v>5.1799999999999999E-2</v>
      </c>
      <c r="S113" s="586">
        <f t="shared" si="23"/>
        <v>-0.38998905916647358</v>
      </c>
      <c r="U113" s="587"/>
      <c r="V113" s="587"/>
      <c r="W113" s="587"/>
      <c r="X113" s="587"/>
      <c r="Y113" s="587"/>
      <c r="Z113" s="587"/>
      <c r="AA113" s="587"/>
      <c r="AB113" s="587"/>
      <c r="AC113" s="587"/>
      <c r="AE113" s="587"/>
      <c r="AF113" s="587"/>
      <c r="AG113" s="587"/>
      <c r="AH113" s="587"/>
      <c r="AI113" s="587"/>
      <c r="AJ113" s="587"/>
      <c r="AK113" s="587"/>
      <c r="AL113" s="587"/>
      <c r="AM113" s="587"/>
      <c r="AO113" s="587"/>
      <c r="AP113" s="587"/>
      <c r="AQ113" s="587"/>
      <c r="AR113" s="587"/>
      <c r="AS113" s="587"/>
      <c r="AT113" s="587"/>
      <c r="AU113" s="587"/>
      <c r="AV113" s="587"/>
      <c r="AW113" s="587"/>
    </row>
    <row r="114" spans="1:49">
      <c r="A114" s="581">
        <v>12816</v>
      </c>
      <c r="B114" s="594">
        <v>-3.4099999999999998E-2</v>
      </c>
      <c r="C114" s="577">
        <v>-0.11360000000000001</v>
      </c>
      <c r="D114" s="577">
        <v>2.0999999999999999E-3</v>
      </c>
      <c r="E114" s="577">
        <v>3.075E-3</v>
      </c>
      <c r="F114" s="577">
        <v>3.4416666666666667E-3</v>
      </c>
      <c r="G114" s="577">
        <v>3.2583333333333331E-3</v>
      </c>
      <c r="H114" s="577">
        <v>4.1333333333333335E-3</v>
      </c>
      <c r="I114" s="577">
        <f t="shared" si="12"/>
        <v>-3.6199999999999996E-2</v>
      </c>
      <c r="J114" s="577">
        <f t="shared" si="17"/>
        <v>-3.7358333333333334E-2</v>
      </c>
      <c r="K114" s="577">
        <f t="shared" si="18"/>
        <v>-0.11773333333333334</v>
      </c>
      <c r="L114" s="585">
        <f t="shared" si="16"/>
        <v>-0.14787357137500834</v>
      </c>
      <c r="M114" s="585">
        <f t="shared" si="14"/>
        <v>2.52E-2</v>
      </c>
      <c r="N114" s="585">
        <f t="shared" si="19"/>
        <v>3.9099999999999996E-2</v>
      </c>
      <c r="O114" s="586">
        <f t="shared" si="15"/>
        <v>-0.17307357137500834</v>
      </c>
      <c r="P114" s="585">
        <f t="shared" si="20"/>
        <v>-0.18697357137500834</v>
      </c>
      <c r="Q114" s="585">
        <f t="shared" si="21"/>
        <v>-0.39882228125144725</v>
      </c>
      <c r="R114" s="585">
        <f t="shared" si="22"/>
        <v>4.9600000000000005E-2</v>
      </c>
      <c r="S114" s="586">
        <f t="shared" si="23"/>
        <v>-0.44842228125144723</v>
      </c>
      <c r="U114" s="587"/>
      <c r="V114" s="587"/>
      <c r="W114" s="587"/>
      <c r="X114" s="587"/>
      <c r="Y114" s="587"/>
      <c r="Z114" s="587"/>
      <c r="AA114" s="587"/>
      <c r="AB114" s="587"/>
      <c r="AC114" s="587"/>
      <c r="AE114" s="587"/>
      <c r="AF114" s="587"/>
      <c r="AG114" s="587"/>
      <c r="AH114" s="587"/>
      <c r="AI114" s="587"/>
      <c r="AJ114" s="587"/>
      <c r="AK114" s="587"/>
      <c r="AL114" s="587"/>
      <c r="AM114" s="587"/>
      <c r="AO114" s="587"/>
      <c r="AP114" s="587"/>
      <c r="AQ114" s="587"/>
      <c r="AR114" s="587"/>
      <c r="AS114" s="587"/>
      <c r="AT114" s="587"/>
      <c r="AU114" s="587"/>
      <c r="AV114" s="587"/>
      <c r="AW114" s="587"/>
    </row>
    <row r="115" spans="1:49">
      <c r="A115" s="581">
        <v>12844</v>
      </c>
      <c r="B115" s="594">
        <v>-2.86E-2</v>
      </c>
      <c r="C115" s="577">
        <v>0.1043</v>
      </c>
      <c r="D115" s="577">
        <v>2.2000000000000001E-3</v>
      </c>
      <c r="E115" s="577">
        <v>3.0583333333333335E-3</v>
      </c>
      <c r="F115" s="577">
        <v>3.4250000000000001E-3</v>
      </c>
      <c r="G115" s="577">
        <v>3.241666666666667E-3</v>
      </c>
      <c r="H115" s="577">
        <v>4.0666666666666663E-3</v>
      </c>
      <c r="I115" s="577">
        <f t="shared" si="12"/>
        <v>-3.0800000000000001E-2</v>
      </c>
      <c r="J115" s="577">
        <f t="shared" si="17"/>
        <v>-3.1841666666666671E-2</v>
      </c>
      <c r="K115" s="577">
        <f t="shared" si="18"/>
        <v>0.10023333333333334</v>
      </c>
      <c r="L115" s="585">
        <f t="shared" si="16"/>
        <v>-0.17224438723368307</v>
      </c>
      <c r="M115" s="585">
        <f t="shared" si="14"/>
        <v>2.64E-2</v>
      </c>
      <c r="N115" s="585">
        <f t="shared" si="19"/>
        <v>3.8900000000000004E-2</v>
      </c>
      <c r="O115" s="586">
        <f t="shared" si="15"/>
        <v>-0.19864438723368308</v>
      </c>
      <c r="P115" s="585">
        <f t="shared" si="20"/>
        <v>-0.21114438723368306</v>
      </c>
      <c r="Q115" s="585">
        <f t="shared" si="21"/>
        <v>-0.32866765616945426</v>
      </c>
      <c r="R115" s="585">
        <f t="shared" si="22"/>
        <v>4.8799999999999996E-2</v>
      </c>
      <c r="S115" s="586">
        <f t="shared" si="23"/>
        <v>-0.37746765616945427</v>
      </c>
      <c r="U115" s="587"/>
      <c r="V115" s="587"/>
      <c r="W115" s="587"/>
      <c r="X115" s="587"/>
      <c r="Y115" s="587"/>
      <c r="Z115" s="587"/>
      <c r="AA115" s="587"/>
      <c r="AB115" s="587"/>
      <c r="AC115" s="587"/>
      <c r="AE115" s="587"/>
      <c r="AF115" s="587"/>
      <c r="AG115" s="587"/>
      <c r="AH115" s="587"/>
      <c r="AI115" s="587"/>
      <c r="AJ115" s="587"/>
      <c r="AK115" s="587"/>
      <c r="AL115" s="587"/>
      <c r="AM115" s="587"/>
      <c r="AO115" s="587"/>
      <c r="AP115" s="587"/>
      <c r="AQ115" s="587"/>
      <c r="AR115" s="587"/>
      <c r="AS115" s="587"/>
      <c r="AT115" s="587"/>
      <c r="AU115" s="587"/>
      <c r="AV115" s="587"/>
      <c r="AW115" s="587"/>
    </row>
    <row r="116" spans="1:49">
      <c r="A116" s="581">
        <v>12875</v>
      </c>
      <c r="B116" s="594">
        <v>9.8000000000000004E-2</v>
      </c>
      <c r="C116" s="577">
        <v>0.11779999999999999</v>
      </c>
      <c r="D116" s="577">
        <v>2.3E-3</v>
      </c>
      <c r="E116" s="577">
        <v>3.0499999999999998E-3</v>
      </c>
      <c r="F116" s="577">
        <v>3.4000000000000002E-3</v>
      </c>
      <c r="G116" s="577">
        <v>3.225E-3</v>
      </c>
      <c r="H116" s="577">
        <v>3.9916666666666668E-3</v>
      </c>
      <c r="I116" s="577">
        <f t="shared" si="12"/>
        <v>9.5700000000000007E-2</v>
      </c>
      <c r="J116" s="577">
        <f t="shared" si="17"/>
        <v>9.4774999999999998E-2</v>
      </c>
      <c r="K116" s="577">
        <f t="shared" si="18"/>
        <v>0.11380833333333332</v>
      </c>
      <c r="L116" s="585">
        <f t="shared" si="16"/>
        <v>-6.7724214978545416E-2</v>
      </c>
      <c r="M116" s="585">
        <f t="shared" si="14"/>
        <v>2.76E-2</v>
      </c>
      <c r="N116" s="585">
        <f t="shared" si="19"/>
        <v>3.8699999999999998E-2</v>
      </c>
      <c r="O116" s="586">
        <f t="shared" si="15"/>
        <v>-9.5324214978545416E-2</v>
      </c>
      <c r="P116" s="585">
        <f t="shared" si="20"/>
        <v>-0.10642421497854541</v>
      </c>
      <c r="Q116" s="585">
        <f t="shared" si="21"/>
        <v>-0.22228697903017502</v>
      </c>
      <c r="R116" s="585">
        <f t="shared" si="22"/>
        <v>4.7899999999999998E-2</v>
      </c>
      <c r="S116" s="586">
        <f t="shared" si="23"/>
        <v>-0.27018697903017502</v>
      </c>
      <c r="U116" s="587"/>
      <c r="V116" s="587"/>
      <c r="W116" s="587"/>
      <c r="X116" s="587"/>
      <c r="Y116" s="587"/>
      <c r="Z116" s="587"/>
      <c r="AA116" s="587"/>
      <c r="AB116" s="587"/>
      <c r="AC116" s="587"/>
      <c r="AE116" s="587"/>
      <c r="AF116" s="587"/>
      <c r="AG116" s="587"/>
      <c r="AH116" s="587"/>
      <c r="AI116" s="587"/>
      <c r="AJ116" s="587"/>
      <c r="AK116" s="587"/>
      <c r="AL116" s="587"/>
      <c r="AM116" s="587"/>
      <c r="AO116" s="587"/>
      <c r="AP116" s="587"/>
      <c r="AQ116" s="587"/>
      <c r="AR116" s="587"/>
      <c r="AS116" s="587"/>
      <c r="AT116" s="587"/>
      <c r="AU116" s="587"/>
      <c r="AV116" s="587"/>
      <c r="AW116" s="587"/>
    </row>
    <row r="117" spans="1:49">
      <c r="A117" s="581">
        <v>12905</v>
      </c>
      <c r="B117" s="594">
        <v>4.0899999999999999E-2</v>
      </c>
      <c r="C117" s="577">
        <v>0.1106</v>
      </c>
      <c r="D117" s="577">
        <v>2.3E-3</v>
      </c>
      <c r="E117" s="577">
        <v>3.0416666666666665E-3</v>
      </c>
      <c r="F117" s="577">
        <v>3.3583333333333338E-3</v>
      </c>
      <c r="G117" s="577">
        <v>3.2000000000000002E-3</v>
      </c>
      <c r="H117" s="577">
        <v>3.8416666666666673E-3</v>
      </c>
      <c r="I117" s="577">
        <f t="shared" si="12"/>
        <v>3.8599999999999995E-2</v>
      </c>
      <c r="J117" s="577">
        <f t="shared" si="17"/>
        <v>3.7699999999999997E-2</v>
      </c>
      <c r="K117" s="577">
        <f t="shared" si="18"/>
        <v>0.10675833333333333</v>
      </c>
      <c r="L117" s="585">
        <f t="shared" si="16"/>
        <v>4.7502012768601221E-2</v>
      </c>
      <c r="M117" s="585">
        <f t="shared" si="14"/>
        <v>2.76E-2</v>
      </c>
      <c r="N117" s="585">
        <f t="shared" si="19"/>
        <v>3.8400000000000004E-2</v>
      </c>
      <c r="O117" s="586">
        <f t="shared" si="15"/>
        <v>1.9902012768601221E-2</v>
      </c>
      <c r="P117" s="585">
        <f t="shared" si="20"/>
        <v>9.102012768601217E-3</v>
      </c>
      <c r="Q117" s="585">
        <f t="shared" si="21"/>
        <v>-6.4723247331794576E-2</v>
      </c>
      <c r="R117" s="585">
        <f t="shared" si="22"/>
        <v>4.6100000000000009E-2</v>
      </c>
      <c r="S117" s="586">
        <f t="shared" si="23"/>
        <v>-0.11082324733179458</v>
      </c>
      <c r="U117" s="587"/>
      <c r="V117" s="587"/>
      <c r="W117" s="587"/>
      <c r="X117" s="587"/>
      <c r="Y117" s="587"/>
      <c r="Z117" s="587"/>
      <c r="AA117" s="587"/>
      <c r="AB117" s="587"/>
      <c r="AC117" s="587"/>
      <c r="AE117" s="587"/>
      <c r="AF117" s="587"/>
      <c r="AG117" s="587"/>
      <c r="AH117" s="587"/>
      <c r="AI117" s="587"/>
      <c r="AJ117" s="587"/>
      <c r="AK117" s="587"/>
      <c r="AL117" s="587"/>
      <c r="AM117" s="587"/>
      <c r="AO117" s="587"/>
      <c r="AP117" s="587"/>
      <c r="AQ117" s="587"/>
      <c r="AR117" s="587"/>
      <c r="AS117" s="587"/>
      <c r="AT117" s="587"/>
      <c r="AU117" s="587"/>
      <c r="AV117" s="587"/>
      <c r="AW117" s="587"/>
    </row>
    <row r="118" spans="1:49">
      <c r="A118" s="581">
        <v>12936</v>
      </c>
      <c r="B118" s="594">
        <v>6.9900000000000004E-2</v>
      </c>
      <c r="C118" s="577">
        <v>0.1036</v>
      </c>
      <c r="D118" s="577">
        <v>2.2000000000000001E-3</v>
      </c>
      <c r="E118" s="577">
        <v>3.0083333333333333E-3</v>
      </c>
      <c r="F118" s="577">
        <v>3.3250000000000003E-3</v>
      </c>
      <c r="G118" s="577">
        <v>3.1666666666666666E-3</v>
      </c>
      <c r="H118" s="577">
        <v>3.7750000000000001E-3</v>
      </c>
      <c r="I118" s="577">
        <f t="shared" si="12"/>
        <v>6.770000000000001E-2</v>
      </c>
      <c r="J118" s="577">
        <f t="shared" si="17"/>
        <v>6.6733333333333339E-2</v>
      </c>
      <c r="K118" s="577">
        <f t="shared" si="18"/>
        <v>9.9824999999999997E-2</v>
      </c>
      <c r="L118" s="585">
        <f t="shared" si="16"/>
        <v>9.563242101977365E-2</v>
      </c>
      <c r="M118" s="585">
        <f t="shared" si="14"/>
        <v>2.64E-2</v>
      </c>
      <c r="N118" s="585">
        <f t="shared" si="19"/>
        <v>3.7999999999999999E-2</v>
      </c>
      <c r="O118" s="586">
        <f t="shared" si="15"/>
        <v>6.9232421019773643E-2</v>
      </c>
      <c r="P118" s="585">
        <f t="shared" si="20"/>
        <v>5.7632421019773651E-2</v>
      </c>
      <c r="Q118" s="585">
        <f t="shared" si="21"/>
        <v>-1.4915609615736458E-2</v>
      </c>
      <c r="R118" s="585">
        <f t="shared" si="22"/>
        <v>4.53E-2</v>
      </c>
      <c r="S118" s="586">
        <f t="shared" si="23"/>
        <v>-6.0215609615736458E-2</v>
      </c>
      <c r="U118" s="587"/>
      <c r="V118" s="587"/>
      <c r="W118" s="587"/>
      <c r="X118" s="587"/>
      <c r="Y118" s="587"/>
      <c r="Z118" s="587"/>
      <c r="AA118" s="587"/>
      <c r="AB118" s="587"/>
      <c r="AC118" s="587"/>
      <c r="AE118" s="587"/>
      <c r="AF118" s="587"/>
      <c r="AG118" s="587"/>
      <c r="AH118" s="587"/>
      <c r="AI118" s="587"/>
      <c r="AJ118" s="587"/>
      <c r="AK118" s="587"/>
      <c r="AL118" s="587"/>
      <c r="AM118" s="587"/>
      <c r="AO118" s="587"/>
      <c r="AP118" s="587"/>
      <c r="AQ118" s="587"/>
      <c r="AR118" s="587"/>
      <c r="AS118" s="587"/>
      <c r="AT118" s="587"/>
      <c r="AU118" s="587"/>
      <c r="AV118" s="587"/>
      <c r="AW118" s="587"/>
    </row>
    <row r="119" spans="1:49">
      <c r="A119" s="581">
        <v>12966</v>
      </c>
      <c r="B119" s="594">
        <v>8.5000000000000006E-2</v>
      </c>
      <c r="C119" s="577">
        <v>8.6999999999999994E-2</v>
      </c>
      <c r="D119" s="577">
        <v>2.3999999999999998E-3</v>
      </c>
      <c r="E119" s="577">
        <v>2.9666666666666669E-3</v>
      </c>
      <c r="F119" s="577">
        <v>3.2416666666666666E-3</v>
      </c>
      <c r="G119" s="577">
        <v>3.1041666666666665E-3</v>
      </c>
      <c r="H119" s="577">
        <v>3.6833333333333336E-3</v>
      </c>
      <c r="I119" s="577">
        <f t="shared" si="12"/>
        <v>8.2600000000000007E-2</v>
      </c>
      <c r="J119" s="577">
        <f t="shared" si="17"/>
        <v>8.1895833333333334E-2</v>
      </c>
      <c r="K119" s="577">
        <f t="shared" si="18"/>
        <v>8.3316666666666664E-2</v>
      </c>
      <c r="L119" s="585">
        <f t="shared" si="16"/>
        <v>0.34050651421566802</v>
      </c>
      <c r="M119" s="585">
        <f t="shared" si="14"/>
        <v>2.8799999999999999E-2</v>
      </c>
      <c r="N119" s="585">
        <f t="shared" si="19"/>
        <v>3.7249999999999998E-2</v>
      </c>
      <c r="O119" s="586">
        <f t="shared" si="15"/>
        <v>0.31170651421566803</v>
      </c>
      <c r="P119" s="585">
        <f t="shared" si="20"/>
        <v>0.30325651421566802</v>
      </c>
      <c r="Q119" s="585">
        <f t="shared" si="21"/>
        <v>0.27520153905882383</v>
      </c>
      <c r="R119" s="585">
        <f t="shared" si="22"/>
        <v>4.4200000000000003E-2</v>
      </c>
      <c r="S119" s="586">
        <f t="shared" si="23"/>
        <v>0.23100153905882381</v>
      </c>
      <c r="U119" s="587"/>
      <c r="V119" s="587"/>
      <c r="W119" s="587"/>
      <c r="X119" s="587"/>
      <c r="Y119" s="587"/>
      <c r="Z119" s="587"/>
      <c r="AA119" s="587"/>
      <c r="AB119" s="587"/>
      <c r="AC119" s="587"/>
      <c r="AE119" s="587"/>
      <c r="AF119" s="587"/>
      <c r="AG119" s="587"/>
      <c r="AH119" s="587"/>
      <c r="AI119" s="587"/>
      <c r="AJ119" s="587"/>
      <c r="AK119" s="587"/>
      <c r="AL119" s="587"/>
      <c r="AM119" s="587"/>
      <c r="AO119" s="587"/>
      <c r="AP119" s="587"/>
      <c r="AQ119" s="587"/>
      <c r="AR119" s="587"/>
      <c r="AS119" s="587"/>
      <c r="AT119" s="587"/>
      <c r="AU119" s="587"/>
      <c r="AV119" s="587"/>
      <c r="AW119" s="587"/>
    </row>
    <row r="120" spans="1:49">
      <c r="A120" s="581">
        <v>12997</v>
      </c>
      <c r="B120" s="594">
        <v>2.8000000000000001E-2</v>
      </c>
      <c r="C120" s="577">
        <v>5.6299999999999996E-2</v>
      </c>
      <c r="D120" s="577">
        <v>2.3E-3</v>
      </c>
      <c r="E120" s="577">
        <v>3.0000000000000001E-3</v>
      </c>
      <c r="F120" s="577">
        <v>3.225E-3</v>
      </c>
      <c r="G120" s="577">
        <v>3.1125000000000002E-3</v>
      </c>
      <c r="H120" s="577">
        <v>3.7000000000000006E-3</v>
      </c>
      <c r="I120" s="577">
        <f t="shared" si="12"/>
        <v>2.5700000000000001E-2</v>
      </c>
      <c r="J120" s="577">
        <f t="shared" si="17"/>
        <v>2.48875E-2</v>
      </c>
      <c r="K120" s="577">
        <f t="shared" si="18"/>
        <v>5.2599999999999994E-2</v>
      </c>
      <c r="L120" s="585">
        <f t="shared" si="16"/>
        <v>0.29869069514061519</v>
      </c>
      <c r="M120" s="585">
        <f t="shared" si="14"/>
        <v>2.76E-2</v>
      </c>
      <c r="N120" s="585">
        <f t="shared" si="19"/>
        <v>3.7350000000000001E-2</v>
      </c>
      <c r="O120" s="586">
        <f t="shared" si="15"/>
        <v>0.27109069514061518</v>
      </c>
      <c r="P120" s="585">
        <f t="shared" si="20"/>
        <v>0.2613406951406152</v>
      </c>
      <c r="Q120" s="585">
        <f t="shared" si="21"/>
        <v>0.31171037657789036</v>
      </c>
      <c r="R120" s="585">
        <f t="shared" si="22"/>
        <v>4.4400000000000009E-2</v>
      </c>
      <c r="S120" s="586">
        <f t="shared" si="23"/>
        <v>0.26731037657789036</v>
      </c>
      <c r="U120" s="587"/>
      <c r="V120" s="587"/>
      <c r="W120" s="587"/>
      <c r="X120" s="587"/>
      <c r="Y120" s="587"/>
      <c r="Z120" s="587"/>
      <c r="AA120" s="587"/>
      <c r="AB120" s="587"/>
      <c r="AC120" s="587"/>
      <c r="AE120" s="587"/>
      <c r="AF120" s="587"/>
      <c r="AG120" s="587"/>
      <c r="AH120" s="587"/>
      <c r="AI120" s="587"/>
      <c r="AJ120" s="587"/>
      <c r="AK120" s="587"/>
      <c r="AL120" s="587"/>
      <c r="AM120" s="587"/>
      <c r="AO120" s="587"/>
      <c r="AP120" s="587"/>
      <c r="AQ120" s="587"/>
      <c r="AR120" s="587"/>
      <c r="AS120" s="587"/>
      <c r="AT120" s="587"/>
      <c r="AU120" s="587"/>
      <c r="AV120" s="587"/>
      <c r="AW120" s="587"/>
    </row>
    <row r="121" spans="1:49">
      <c r="A121" s="581">
        <v>13028</v>
      </c>
      <c r="B121" s="594">
        <v>2.5600000000000001E-2</v>
      </c>
      <c r="C121" s="577">
        <v>-1.2199999999999999E-2</v>
      </c>
      <c r="D121" s="577">
        <v>2.3E-3</v>
      </c>
      <c r="E121" s="577">
        <v>2.9916666666666663E-3</v>
      </c>
      <c r="F121" s="577">
        <v>3.2083333333333334E-3</v>
      </c>
      <c r="G121" s="577">
        <v>3.0999999999999999E-3</v>
      </c>
      <c r="H121" s="577">
        <v>3.6916666666666664E-3</v>
      </c>
      <c r="I121" s="577">
        <f t="shared" si="12"/>
        <v>2.3300000000000001E-2</v>
      </c>
      <c r="J121" s="577">
        <f t="shared" si="17"/>
        <v>2.2500000000000003E-2</v>
      </c>
      <c r="K121" s="577">
        <f t="shared" si="18"/>
        <v>-1.5891666666666665E-2</v>
      </c>
      <c r="L121" s="585">
        <f t="shared" si="16"/>
        <v>0.3363471224402681</v>
      </c>
      <c r="M121" s="585">
        <f t="shared" si="14"/>
        <v>2.76E-2</v>
      </c>
      <c r="N121" s="585">
        <f t="shared" si="19"/>
        <v>3.7199999999999997E-2</v>
      </c>
      <c r="O121" s="586">
        <f t="shared" si="15"/>
        <v>0.30874712244026808</v>
      </c>
      <c r="P121" s="585">
        <f t="shared" si="20"/>
        <v>0.29914712244026809</v>
      </c>
      <c r="Q121" s="585">
        <f t="shared" si="21"/>
        <v>0.28351412578864821</v>
      </c>
      <c r="R121" s="585">
        <f t="shared" si="22"/>
        <v>4.4299999999999999E-2</v>
      </c>
      <c r="S121" s="586">
        <f t="shared" si="23"/>
        <v>0.2392141257886482</v>
      </c>
      <c r="U121" s="587"/>
      <c r="V121" s="587"/>
      <c r="W121" s="587"/>
      <c r="X121" s="587"/>
      <c r="Y121" s="587"/>
      <c r="Z121" s="587"/>
      <c r="AA121" s="587"/>
      <c r="AB121" s="587"/>
      <c r="AC121" s="587"/>
      <c r="AE121" s="587"/>
      <c r="AF121" s="587"/>
      <c r="AG121" s="587"/>
      <c r="AH121" s="587"/>
      <c r="AI121" s="587"/>
      <c r="AJ121" s="587"/>
      <c r="AK121" s="587"/>
      <c r="AL121" s="587"/>
      <c r="AM121" s="587"/>
      <c r="AO121" s="587"/>
      <c r="AP121" s="587"/>
      <c r="AQ121" s="587"/>
      <c r="AR121" s="587"/>
      <c r="AS121" s="587"/>
      <c r="AT121" s="587"/>
      <c r="AU121" s="587"/>
      <c r="AV121" s="587"/>
      <c r="AW121" s="587"/>
    </row>
    <row r="122" spans="1:49">
      <c r="A122" s="581">
        <v>13058</v>
      </c>
      <c r="B122" s="594">
        <v>7.7700000000000005E-2</v>
      </c>
      <c r="C122" s="577">
        <v>0.12240000000000001</v>
      </c>
      <c r="D122" s="577">
        <v>2.3E-3</v>
      </c>
      <c r="E122" s="577">
        <v>2.9333333333333334E-3</v>
      </c>
      <c r="F122" s="577">
        <v>3.1833333333333332E-3</v>
      </c>
      <c r="G122" s="577">
        <v>3.058333333333333E-3</v>
      </c>
      <c r="H122" s="577">
        <v>3.666666666666667E-3</v>
      </c>
      <c r="I122" s="577">
        <f t="shared" si="12"/>
        <v>7.5400000000000009E-2</v>
      </c>
      <c r="J122" s="577">
        <f t="shared" si="17"/>
        <v>7.4641666666666676E-2</v>
      </c>
      <c r="K122" s="577">
        <f t="shared" si="18"/>
        <v>0.11873333333333334</v>
      </c>
      <c r="L122" s="585">
        <f t="shared" si="16"/>
        <v>0.48258317258994943</v>
      </c>
      <c r="M122" s="585">
        <f t="shared" si="14"/>
        <v>2.76E-2</v>
      </c>
      <c r="N122" s="585">
        <f t="shared" si="19"/>
        <v>3.6699999999999997E-2</v>
      </c>
      <c r="O122" s="586">
        <f t="shared" si="15"/>
        <v>0.45498317258994941</v>
      </c>
      <c r="P122" s="585">
        <f t="shared" si="20"/>
        <v>0.44588317258994942</v>
      </c>
      <c r="Q122" s="585">
        <f t="shared" si="21"/>
        <v>0.54340717247180015</v>
      </c>
      <c r="R122" s="585">
        <f t="shared" si="22"/>
        <v>4.4000000000000004E-2</v>
      </c>
      <c r="S122" s="586">
        <f t="shared" si="23"/>
        <v>0.49940717247180016</v>
      </c>
      <c r="U122" s="587"/>
      <c r="V122" s="587"/>
      <c r="W122" s="587"/>
      <c r="X122" s="587"/>
      <c r="Y122" s="587"/>
      <c r="Z122" s="587"/>
      <c r="AA122" s="587"/>
      <c r="AB122" s="587"/>
      <c r="AC122" s="587"/>
      <c r="AE122" s="587"/>
      <c r="AF122" s="587"/>
      <c r="AG122" s="587"/>
      <c r="AH122" s="587"/>
      <c r="AI122" s="587"/>
      <c r="AJ122" s="587"/>
      <c r="AK122" s="587"/>
      <c r="AL122" s="587"/>
      <c r="AM122" s="587"/>
      <c r="AO122" s="587"/>
      <c r="AP122" s="587"/>
      <c r="AQ122" s="587"/>
      <c r="AR122" s="587"/>
      <c r="AS122" s="587"/>
      <c r="AT122" s="587"/>
      <c r="AU122" s="587"/>
      <c r="AV122" s="587"/>
      <c r="AW122" s="587"/>
    </row>
    <row r="123" spans="1:49">
      <c r="A123" s="581">
        <v>13089</v>
      </c>
      <c r="B123" s="594">
        <v>4.7399999999999998E-2</v>
      </c>
      <c r="C123" s="577">
        <v>1.0800000000000001E-2</v>
      </c>
      <c r="D123" s="577">
        <v>2.3999999999999998E-3</v>
      </c>
      <c r="E123" s="577">
        <v>2.891666666666667E-3</v>
      </c>
      <c r="F123" s="577">
        <v>3.1083333333333336E-3</v>
      </c>
      <c r="G123" s="577">
        <v>3.0000000000000005E-3</v>
      </c>
      <c r="H123" s="577">
        <v>3.6249999999999998E-3</v>
      </c>
      <c r="I123" s="577">
        <f t="shared" si="12"/>
        <v>4.4999999999999998E-2</v>
      </c>
      <c r="J123" s="577">
        <f t="shared" si="17"/>
        <v>4.4399999999999995E-2</v>
      </c>
      <c r="K123" s="577">
        <f t="shared" si="18"/>
        <v>7.1750000000000008E-3</v>
      </c>
      <c r="L123" s="585">
        <f t="shared" si="16"/>
        <v>0.41917164592461442</v>
      </c>
      <c r="M123" s="585">
        <f t="shared" si="14"/>
        <v>2.8799999999999999E-2</v>
      </c>
      <c r="N123" s="585">
        <f t="shared" si="19"/>
        <v>3.6000000000000004E-2</v>
      </c>
      <c r="O123" s="586">
        <f t="shared" si="15"/>
        <v>0.39037164592461443</v>
      </c>
      <c r="P123" s="585">
        <f t="shared" si="20"/>
        <v>0.38317164592461439</v>
      </c>
      <c r="Q123" s="585">
        <f t="shared" si="21"/>
        <v>0.56760045210459809</v>
      </c>
      <c r="R123" s="585">
        <f t="shared" si="22"/>
        <v>4.3499999999999997E-2</v>
      </c>
      <c r="S123" s="586">
        <f t="shared" si="23"/>
        <v>0.5241004521045981</v>
      </c>
      <c r="U123" s="587"/>
      <c r="V123" s="587"/>
      <c r="W123" s="587"/>
      <c r="X123" s="587"/>
      <c r="Y123" s="587"/>
      <c r="Z123" s="587"/>
      <c r="AA123" s="587"/>
      <c r="AB123" s="587"/>
      <c r="AC123" s="587"/>
      <c r="AE123" s="587"/>
      <c r="AF123" s="587"/>
      <c r="AG123" s="587"/>
      <c r="AH123" s="587"/>
      <c r="AI123" s="587"/>
      <c r="AJ123" s="587"/>
      <c r="AK123" s="587"/>
      <c r="AL123" s="587"/>
      <c r="AM123" s="587"/>
      <c r="AO123" s="587"/>
      <c r="AP123" s="587"/>
      <c r="AQ123" s="587"/>
      <c r="AR123" s="587"/>
      <c r="AS123" s="587"/>
      <c r="AT123" s="587"/>
      <c r="AU123" s="587"/>
      <c r="AV123" s="587"/>
      <c r="AW123" s="587"/>
    </row>
    <row r="124" spans="1:49">
      <c r="A124" s="581">
        <v>13119</v>
      </c>
      <c r="B124" s="594">
        <v>3.9399999999999998E-2</v>
      </c>
      <c r="C124" s="577">
        <v>4.7900000000000012E-2</v>
      </c>
      <c r="D124" s="577">
        <v>2.3999999999999998E-3</v>
      </c>
      <c r="E124" s="577">
        <v>2.8666666666666667E-3</v>
      </c>
      <c r="F124" s="577">
        <v>3.0416666666666665E-3</v>
      </c>
      <c r="G124" s="577">
        <v>2.9541666666666666E-3</v>
      </c>
      <c r="H124" s="577">
        <v>3.5750000000000001E-3</v>
      </c>
      <c r="I124" s="577">
        <f t="shared" si="12"/>
        <v>3.6999999999999998E-2</v>
      </c>
      <c r="J124" s="577">
        <f t="shared" si="17"/>
        <v>3.644583333333333E-2</v>
      </c>
      <c r="K124" s="577">
        <f t="shared" si="18"/>
        <v>4.432500000000001E-2</v>
      </c>
      <c r="L124" s="585">
        <f t="shared" si="16"/>
        <v>0.47656357234639102</v>
      </c>
      <c r="M124" s="585">
        <f t="shared" si="14"/>
        <v>2.8799999999999999E-2</v>
      </c>
      <c r="N124" s="585">
        <f t="shared" si="19"/>
        <v>3.5449999999999995E-2</v>
      </c>
      <c r="O124" s="586">
        <f t="shared" si="15"/>
        <v>0.44776357234639103</v>
      </c>
      <c r="P124" s="585">
        <f t="shared" si="20"/>
        <v>0.44111357234639104</v>
      </c>
      <c r="Q124" s="585">
        <f t="shared" si="21"/>
        <v>0.76652168379439511</v>
      </c>
      <c r="R124" s="585">
        <f t="shared" si="22"/>
        <v>4.2900000000000001E-2</v>
      </c>
      <c r="S124" s="586">
        <f t="shared" si="23"/>
        <v>0.72362168379439507</v>
      </c>
      <c r="U124" s="587"/>
      <c r="V124" s="587"/>
      <c r="W124" s="587"/>
      <c r="X124" s="587"/>
      <c r="Y124" s="587"/>
      <c r="Z124" s="587"/>
      <c r="AA124" s="587"/>
      <c r="AB124" s="587"/>
      <c r="AC124" s="587"/>
      <c r="AE124" s="587"/>
      <c r="AF124" s="587"/>
      <c r="AG124" s="587"/>
      <c r="AH124" s="587"/>
      <c r="AI124" s="587"/>
      <c r="AJ124" s="587"/>
      <c r="AK124" s="587"/>
      <c r="AL124" s="587"/>
      <c r="AM124" s="587"/>
      <c r="AO124" s="587"/>
      <c r="AP124" s="587"/>
      <c r="AQ124" s="587"/>
      <c r="AR124" s="587"/>
      <c r="AS124" s="587"/>
      <c r="AT124" s="587"/>
      <c r="AU124" s="587"/>
      <c r="AV124" s="587"/>
      <c r="AW124" s="587"/>
    </row>
    <row r="125" spans="1:49">
      <c r="A125" s="581">
        <v>13150</v>
      </c>
      <c r="B125" s="594">
        <v>6.7000000000000004E-2</v>
      </c>
      <c r="C125" s="577">
        <v>0.11030000000000001</v>
      </c>
      <c r="D125" s="577">
        <v>2.3999999999999998E-3</v>
      </c>
      <c r="E125" s="577">
        <v>2.8083333333333333E-3</v>
      </c>
      <c r="F125" s="577">
        <v>2.9749999999999998E-3</v>
      </c>
      <c r="G125" s="577">
        <v>2.891666666666667E-3</v>
      </c>
      <c r="H125" s="577">
        <v>3.5083333333333334E-3</v>
      </c>
      <c r="I125" s="577">
        <f t="shared" si="12"/>
        <v>6.4600000000000005E-2</v>
      </c>
      <c r="J125" s="577">
        <f t="shared" si="17"/>
        <v>6.4108333333333337E-2</v>
      </c>
      <c r="K125" s="577">
        <f t="shared" si="18"/>
        <v>0.10679166666666667</v>
      </c>
      <c r="L125" s="585">
        <f t="shared" si="16"/>
        <v>0.64302151600125068</v>
      </c>
      <c r="M125" s="585">
        <f t="shared" si="14"/>
        <v>2.8799999999999999E-2</v>
      </c>
      <c r="N125" s="585">
        <f t="shared" si="19"/>
        <v>3.4700000000000002E-2</v>
      </c>
      <c r="O125" s="586">
        <f t="shared" si="15"/>
        <v>0.61422151600125063</v>
      </c>
      <c r="P125" s="585">
        <f t="shared" si="20"/>
        <v>0.60832151600125073</v>
      </c>
      <c r="Q125" s="585">
        <f t="shared" si="21"/>
        <v>1.0077480044189957</v>
      </c>
      <c r="R125" s="585">
        <f t="shared" si="22"/>
        <v>4.2099999999999999E-2</v>
      </c>
      <c r="S125" s="586">
        <f t="shared" si="23"/>
        <v>0.96564800441899568</v>
      </c>
      <c r="U125" s="587"/>
      <c r="V125" s="587"/>
      <c r="W125" s="587"/>
      <c r="X125" s="587"/>
      <c r="Y125" s="587"/>
      <c r="Z125" s="587"/>
      <c r="AA125" s="587"/>
      <c r="AB125" s="587"/>
      <c r="AC125" s="587"/>
      <c r="AE125" s="587"/>
      <c r="AF125" s="587"/>
      <c r="AG125" s="587"/>
      <c r="AH125" s="587"/>
      <c r="AI125" s="587"/>
      <c r="AJ125" s="587"/>
      <c r="AK125" s="587"/>
      <c r="AL125" s="587"/>
      <c r="AM125" s="587"/>
      <c r="AO125" s="587"/>
      <c r="AP125" s="587"/>
      <c r="AQ125" s="587"/>
      <c r="AR125" s="587"/>
      <c r="AS125" s="587"/>
      <c r="AT125" s="587"/>
      <c r="AU125" s="587"/>
      <c r="AV125" s="587"/>
      <c r="AW125" s="587"/>
    </row>
    <row r="126" spans="1:49">
      <c r="A126" s="581">
        <v>13181</v>
      </c>
      <c r="B126" s="594">
        <v>2.24E-2</v>
      </c>
      <c r="C126" s="577">
        <v>-3.4200000000000001E-2</v>
      </c>
      <c r="D126" s="577">
        <v>2.3E-3</v>
      </c>
      <c r="E126" s="577">
        <v>2.7666666666666668E-3</v>
      </c>
      <c r="F126" s="577">
        <v>2.9583333333333332E-3</v>
      </c>
      <c r="G126" s="577">
        <v>2.8625E-3</v>
      </c>
      <c r="H126" s="577">
        <v>3.4749999999999998E-3</v>
      </c>
      <c r="I126" s="577">
        <f t="shared" si="12"/>
        <v>2.01E-2</v>
      </c>
      <c r="J126" s="577">
        <f t="shared" si="17"/>
        <v>1.9537499999999999E-2</v>
      </c>
      <c r="K126" s="577">
        <f t="shared" si="18"/>
        <v>-3.7675E-2</v>
      </c>
      <c r="L126" s="585">
        <f t="shared" si="16"/>
        <v>0.73912951440074348</v>
      </c>
      <c r="M126" s="585">
        <f t="shared" si="14"/>
        <v>2.76E-2</v>
      </c>
      <c r="N126" s="585">
        <f t="shared" si="19"/>
        <v>3.4349999999999999E-2</v>
      </c>
      <c r="O126" s="586">
        <f t="shared" si="15"/>
        <v>0.71152951440074352</v>
      </c>
      <c r="P126" s="585">
        <f t="shared" si="20"/>
        <v>0.70477951440074349</v>
      </c>
      <c r="Q126" s="585">
        <f t="shared" si="21"/>
        <v>1.1875936627570698</v>
      </c>
      <c r="R126" s="585">
        <f t="shared" si="22"/>
        <v>4.1700000000000001E-2</v>
      </c>
      <c r="S126" s="586">
        <f t="shared" si="23"/>
        <v>1.1458936627570697</v>
      </c>
      <c r="U126" s="587"/>
      <c r="V126" s="587"/>
      <c r="W126" s="587"/>
      <c r="X126" s="587"/>
      <c r="Y126" s="587"/>
      <c r="Z126" s="587"/>
      <c r="AA126" s="587"/>
      <c r="AB126" s="587"/>
      <c r="AC126" s="587"/>
      <c r="AE126" s="587"/>
      <c r="AF126" s="587"/>
      <c r="AG126" s="587"/>
      <c r="AH126" s="587"/>
      <c r="AI126" s="587"/>
      <c r="AJ126" s="587"/>
      <c r="AK126" s="587"/>
      <c r="AL126" s="587"/>
      <c r="AM126" s="587"/>
      <c r="AO126" s="587"/>
      <c r="AP126" s="587"/>
      <c r="AQ126" s="587"/>
      <c r="AR126" s="587"/>
      <c r="AS126" s="587"/>
      <c r="AT126" s="587"/>
      <c r="AU126" s="587"/>
      <c r="AV126" s="587"/>
      <c r="AW126" s="587"/>
    </row>
    <row r="127" spans="1:49">
      <c r="A127" s="581">
        <v>13210</v>
      </c>
      <c r="B127" s="594">
        <v>2.6800000000000001E-2</v>
      </c>
      <c r="C127" s="577">
        <v>3.3E-3</v>
      </c>
      <c r="D127" s="577">
        <v>2.3999999999999998E-3</v>
      </c>
      <c r="E127" s="577">
        <v>2.7416666666666666E-3</v>
      </c>
      <c r="F127" s="577">
        <v>2.9583333333333332E-3</v>
      </c>
      <c r="G127" s="577">
        <v>2.8500000000000001E-3</v>
      </c>
      <c r="H127" s="577">
        <v>3.4749999999999998E-3</v>
      </c>
      <c r="I127" s="577">
        <f t="shared" si="12"/>
        <v>2.4400000000000002E-2</v>
      </c>
      <c r="J127" s="577">
        <f t="shared" si="17"/>
        <v>2.3949999999999999E-2</v>
      </c>
      <c r="K127" s="577">
        <f t="shared" si="18"/>
        <v>-1.7499999999999981E-4</v>
      </c>
      <c r="L127" s="585">
        <f t="shared" si="16"/>
        <v>0.83831396477937314</v>
      </c>
      <c r="M127" s="585">
        <f t="shared" si="14"/>
        <v>2.8799999999999999E-2</v>
      </c>
      <c r="N127" s="585">
        <f t="shared" si="19"/>
        <v>3.4200000000000001E-2</v>
      </c>
      <c r="O127" s="586">
        <f t="shared" si="15"/>
        <v>0.8095139647793731</v>
      </c>
      <c r="P127" s="585">
        <f t="shared" si="20"/>
        <v>0.80411396477937314</v>
      </c>
      <c r="Q127" s="585">
        <f t="shared" si="21"/>
        <v>0.98751491609541597</v>
      </c>
      <c r="R127" s="585">
        <f t="shared" si="22"/>
        <v>4.1700000000000001E-2</v>
      </c>
      <c r="S127" s="586">
        <f t="shared" si="23"/>
        <v>0.94581491609541601</v>
      </c>
      <c r="U127" s="587"/>
      <c r="V127" s="587"/>
      <c r="W127" s="587"/>
      <c r="X127" s="587"/>
      <c r="Y127" s="587"/>
      <c r="Z127" s="587"/>
      <c r="AA127" s="587"/>
      <c r="AB127" s="587"/>
      <c r="AC127" s="587"/>
      <c r="AE127" s="587"/>
      <c r="AF127" s="587"/>
      <c r="AG127" s="587"/>
      <c r="AH127" s="587"/>
      <c r="AI127" s="587"/>
      <c r="AJ127" s="587"/>
      <c r="AK127" s="587"/>
      <c r="AL127" s="587"/>
      <c r="AM127" s="587"/>
      <c r="AO127" s="587"/>
      <c r="AP127" s="587"/>
      <c r="AQ127" s="587"/>
      <c r="AR127" s="587"/>
      <c r="AS127" s="587"/>
      <c r="AT127" s="587"/>
      <c r="AU127" s="587"/>
      <c r="AV127" s="587"/>
      <c r="AW127" s="587"/>
    </row>
    <row r="128" spans="1:49">
      <c r="A128" s="581">
        <v>13241</v>
      </c>
      <c r="B128" s="594">
        <v>-7.51E-2</v>
      </c>
      <c r="C128" s="577">
        <v>-8.14E-2</v>
      </c>
      <c r="D128" s="577">
        <v>2.2000000000000001E-3</v>
      </c>
      <c r="E128" s="577">
        <v>2.7416666666666666E-3</v>
      </c>
      <c r="F128" s="577">
        <v>2.9749999999999998E-3</v>
      </c>
      <c r="G128" s="577">
        <v>2.8583333333333334E-3</v>
      </c>
      <c r="H128" s="577">
        <v>3.4749999999999998E-3</v>
      </c>
      <c r="I128" s="577">
        <f t="shared" si="12"/>
        <v>-7.7299999999999994E-2</v>
      </c>
      <c r="J128" s="577">
        <f t="shared" si="17"/>
        <v>-7.7958333333333338E-2</v>
      </c>
      <c r="K128" s="577">
        <f t="shared" si="18"/>
        <v>-8.4875000000000006E-2</v>
      </c>
      <c r="L128" s="585">
        <f t="shared" si="16"/>
        <v>0.54850326596033061</v>
      </c>
      <c r="M128" s="585">
        <f t="shared" si="14"/>
        <v>2.64E-2</v>
      </c>
      <c r="N128" s="585">
        <f t="shared" si="19"/>
        <v>3.4299999999999997E-2</v>
      </c>
      <c r="O128" s="586">
        <f t="shared" si="15"/>
        <v>0.52210326596033063</v>
      </c>
      <c r="P128" s="585">
        <f t="shared" si="20"/>
        <v>0.51420326596033061</v>
      </c>
      <c r="Q128" s="585">
        <f t="shared" si="21"/>
        <v>0.63332546244878252</v>
      </c>
      <c r="R128" s="585">
        <f t="shared" si="22"/>
        <v>4.1700000000000001E-2</v>
      </c>
      <c r="S128" s="586">
        <f t="shared" si="23"/>
        <v>0.59162546244878256</v>
      </c>
      <c r="U128" s="587"/>
      <c r="V128" s="587"/>
      <c r="W128" s="587"/>
      <c r="X128" s="587"/>
      <c r="Y128" s="587"/>
      <c r="Z128" s="587"/>
      <c r="AA128" s="587"/>
      <c r="AB128" s="587"/>
      <c r="AC128" s="587"/>
      <c r="AE128" s="587"/>
      <c r="AF128" s="587"/>
      <c r="AG128" s="587"/>
      <c r="AH128" s="587"/>
      <c r="AI128" s="587"/>
      <c r="AJ128" s="587"/>
      <c r="AK128" s="587"/>
      <c r="AL128" s="587"/>
      <c r="AM128" s="587"/>
      <c r="AO128" s="587"/>
      <c r="AP128" s="587"/>
      <c r="AQ128" s="587"/>
      <c r="AR128" s="587"/>
      <c r="AS128" s="587"/>
      <c r="AT128" s="587"/>
      <c r="AU128" s="587"/>
      <c r="AV128" s="587"/>
      <c r="AW128" s="587"/>
    </row>
    <row r="129" spans="1:49">
      <c r="A129" s="581">
        <v>13271</v>
      </c>
      <c r="B129" s="594">
        <v>5.45E-2</v>
      </c>
      <c r="C129" s="577">
        <v>7.6100000000000001E-2</v>
      </c>
      <c r="D129" s="577">
        <v>2.2000000000000001E-3</v>
      </c>
      <c r="E129" s="577">
        <v>2.725E-3</v>
      </c>
      <c r="F129" s="577">
        <v>2.9416666666666662E-3</v>
      </c>
      <c r="G129" s="577">
        <v>2.8333333333333331E-3</v>
      </c>
      <c r="H129" s="577">
        <v>3.4499999999999999E-3</v>
      </c>
      <c r="I129" s="577">
        <f t="shared" si="12"/>
        <v>5.2299999999999999E-2</v>
      </c>
      <c r="J129" s="577">
        <f t="shared" si="17"/>
        <v>5.1666666666666666E-2</v>
      </c>
      <c r="K129" s="577">
        <f t="shared" si="18"/>
        <v>7.2650000000000006E-2</v>
      </c>
      <c r="L129" s="585">
        <f t="shared" si="16"/>
        <v>0.56873541546274198</v>
      </c>
      <c r="M129" s="585">
        <f t="shared" si="14"/>
        <v>2.64E-2</v>
      </c>
      <c r="N129" s="585">
        <f t="shared" si="19"/>
        <v>3.3999999999999996E-2</v>
      </c>
      <c r="O129" s="586">
        <f t="shared" si="15"/>
        <v>0.542335415462742</v>
      </c>
      <c r="P129" s="585">
        <f t="shared" si="20"/>
        <v>0.53473541546274195</v>
      </c>
      <c r="Q129" s="585">
        <f t="shared" si="21"/>
        <v>0.58258736731598693</v>
      </c>
      <c r="R129" s="585">
        <f t="shared" si="22"/>
        <v>4.1399999999999999E-2</v>
      </c>
      <c r="S129" s="586">
        <f t="shared" si="23"/>
        <v>0.54118736731598693</v>
      </c>
      <c r="U129" s="587"/>
      <c r="V129" s="587"/>
      <c r="W129" s="587"/>
      <c r="X129" s="587"/>
      <c r="Y129" s="587"/>
      <c r="Z129" s="587"/>
      <c r="AA129" s="587"/>
      <c r="AB129" s="587"/>
      <c r="AC129" s="587"/>
      <c r="AE129" s="587"/>
      <c r="AF129" s="587"/>
      <c r="AG129" s="587"/>
      <c r="AH129" s="587"/>
      <c r="AI129" s="587"/>
      <c r="AJ129" s="587"/>
      <c r="AK129" s="587"/>
      <c r="AL129" s="587"/>
      <c r="AM129" s="587"/>
      <c r="AO129" s="587"/>
      <c r="AP129" s="587"/>
      <c r="AQ129" s="587"/>
      <c r="AR129" s="587"/>
      <c r="AS129" s="587"/>
      <c r="AT129" s="587"/>
      <c r="AU129" s="587"/>
      <c r="AV129" s="587"/>
      <c r="AW129" s="587"/>
    </row>
    <row r="130" spans="1:49">
      <c r="A130" s="581">
        <v>13302</v>
      </c>
      <c r="B130" s="594">
        <v>3.3300000000000003E-2</v>
      </c>
      <c r="C130" s="577">
        <v>3.5000000000000003E-2</v>
      </c>
      <c r="D130" s="577">
        <v>2.3999999999999998E-3</v>
      </c>
      <c r="E130" s="577">
        <v>2.7000000000000001E-3</v>
      </c>
      <c r="F130" s="577">
        <v>2.9249999999999996E-3</v>
      </c>
      <c r="G130" s="577">
        <v>2.8124999999999999E-3</v>
      </c>
      <c r="H130" s="577">
        <v>3.4333333333333334E-3</v>
      </c>
      <c r="I130" s="577">
        <f t="shared" si="12"/>
        <v>3.0900000000000004E-2</v>
      </c>
      <c r="J130" s="577">
        <f t="shared" si="17"/>
        <v>3.0487500000000004E-2</v>
      </c>
      <c r="K130" s="577">
        <f t="shared" si="18"/>
        <v>3.1566666666666673E-2</v>
      </c>
      <c r="L130" s="585">
        <f t="shared" si="16"/>
        <v>0.51507085222698512</v>
      </c>
      <c r="M130" s="585">
        <f t="shared" si="14"/>
        <v>2.8799999999999999E-2</v>
      </c>
      <c r="N130" s="585">
        <f t="shared" si="19"/>
        <v>3.3750000000000002E-2</v>
      </c>
      <c r="O130" s="586">
        <f t="shared" si="15"/>
        <v>0.48627085222698513</v>
      </c>
      <c r="P130" s="585">
        <f t="shared" si="20"/>
        <v>0.48132085222698512</v>
      </c>
      <c r="Q130" s="585">
        <f t="shared" si="21"/>
        <v>0.48421341534255746</v>
      </c>
      <c r="R130" s="585">
        <f t="shared" si="22"/>
        <v>4.1200000000000001E-2</v>
      </c>
      <c r="S130" s="586">
        <f t="shared" si="23"/>
        <v>0.44301341534255745</v>
      </c>
      <c r="U130" s="587"/>
      <c r="V130" s="587"/>
      <c r="W130" s="587"/>
      <c r="X130" s="587"/>
      <c r="Y130" s="587"/>
      <c r="Z130" s="587"/>
      <c r="AA130" s="587"/>
      <c r="AB130" s="587"/>
      <c r="AC130" s="587"/>
      <c r="AE130" s="587"/>
      <c r="AF130" s="587"/>
      <c r="AG130" s="587"/>
      <c r="AH130" s="587"/>
      <c r="AI130" s="587"/>
      <c r="AJ130" s="587"/>
      <c r="AK130" s="587"/>
      <c r="AL130" s="587"/>
      <c r="AM130" s="587"/>
      <c r="AO130" s="587"/>
      <c r="AP130" s="587"/>
      <c r="AQ130" s="587"/>
      <c r="AR130" s="587"/>
      <c r="AS130" s="587"/>
      <c r="AT130" s="587"/>
      <c r="AU130" s="587"/>
      <c r="AV130" s="587"/>
      <c r="AW130" s="587"/>
    </row>
    <row r="131" spans="1:49">
      <c r="A131" s="581">
        <v>13332</v>
      </c>
      <c r="B131" s="594">
        <v>7.0099999999999996E-2</v>
      </c>
      <c r="C131" s="577">
        <v>0.1009</v>
      </c>
      <c r="D131" s="577">
        <v>2.3E-3</v>
      </c>
      <c r="E131" s="577">
        <v>2.6916666666666669E-3</v>
      </c>
      <c r="F131" s="577">
        <v>2.8999999999999998E-3</v>
      </c>
      <c r="G131" s="577">
        <v>2.7958333333333329E-3</v>
      </c>
      <c r="H131" s="577">
        <v>3.3916666666666665E-3</v>
      </c>
      <c r="I131" s="577">
        <f t="shared" si="12"/>
        <v>6.7799999999999999E-2</v>
      </c>
      <c r="J131" s="577">
        <f t="shared" si="17"/>
        <v>6.7304166666666665E-2</v>
      </c>
      <c r="K131" s="577">
        <f t="shared" si="18"/>
        <v>9.7508333333333336E-2</v>
      </c>
      <c r="L131" s="585">
        <f t="shared" si="16"/>
        <v>0.49426481010884515</v>
      </c>
      <c r="M131" s="585">
        <f t="shared" si="14"/>
        <v>2.76E-2</v>
      </c>
      <c r="N131" s="585">
        <f t="shared" si="19"/>
        <v>3.3549999999999996E-2</v>
      </c>
      <c r="O131" s="586">
        <f t="shared" si="15"/>
        <v>0.46666481010884514</v>
      </c>
      <c r="P131" s="585">
        <f t="shared" si="20"/>
        <v>0.46071481010884519</v>
      </c>
      <c r="Q131" s="585">
        <f t="shared" si="21"/>
        <v>0.50319277732347878</v>
      </c>
      <c r="R131" s="585">
        <f t="shared" si="22"/>
        <v>4.07E-2</v>
      </c>
      <c r="S131" s="586">
        <f t="shared" si="23"/>
        <v>0.46249277732347877</v>
      </c>
      <c r="U131" s="587"/>
      <c r="V131" s="587"/>
      <c r="W131" s="587"/>
      <c r="X131" s="587"/>
      <c r="Y131" s="587"/>
      <c r="Z131" s="587"/>
      <c r="AA131" s="587"/>
      <c r="AB131" s="587"/>
      <c r="AC131" s="587"/>
      <c r="AE131" s="587"/>
      <c r="AF131" s="587"/>
      <c r="AG131" s="587"/>
      <c r="AH131" s="587"/>
      <c r="AI131" s="587"/>
      <c r="AJ131" s="587"/>
      <c r="AK131" s="587"/>
      <c r="AL131" s="587"/>
      <c r="AM131" s="587"/>
      <c r="AO131" s="587"/>
      <c r="AP131" s="587"/>
      <c r="AQ131" s="587"/>
      <c r="AR131" s="587"/>
      <c r="AS131" s="587"/>
      <c r="AT131" s="587"/>
      <c r="AU131" s="587"/>
      <c r="AV131" s="587"/>
      <c r="AW131" s="587"/>
    </row>
    <row r="132" spans="1:49">
      <c r="A132" s="581">
        <v>13363</v>
      </c>
      <c r="B132" s="594">
        <v>1.5100000000000001E-2</v>
      </c>
      <c r="C132" s="577">
        <v>-1.8E-3</v>
      </c>
      <c r="D132" s="577">
        <v>2.3E-3</v>
      </c>
      <c r="E132" s="577">
        <v>2.6750000000000003E-3</v>
      </c>
      <c r="F132" s="577">
        <v>2.8666666666666667E-3</v>
      </c>
      <c r="G132" s="577">
        <v>2.7708333333333335E-3</v>
      </c>
      <c r="H132" s="577">
        <v>3.3833333333333332E-3</v>
      </c>
      <c r="I132" s="577">
        <f t="shared" si="12"/>
        <v>1.2800000000000001E-2</v>
      </c>
      <c r="J132" s="577">
        <f t="shared" si="17"/>
        <v>1.2329166666666667E-2</v>
      </c>
      <c r="K132" s="577">
        <f t="shared" si="18"/>
        <v>-5.1833333333333332E-3</v>
      </c>
      <c r="L132" s="585">
        <f t="shared" si="16"/>
        <v>0.4755138217329653</v>
      </c>
      <c r="M132" s="585">
        <f t="shared" si="14"/>
        <v>2.76E-2</v>
      </c>
      <c r="N132" s="585">
        <f t="shared" si="19"/>
        <v>3.3250000000000002E-2</v>
      </c>
      <c r="O132" s="586">
        <f t="shared" si="15"/>
        <v>0.44791382173296529</v>
      </c>
      <c r="P132" s="585">
        <f t="shared" si="20"/>
        <v>0.4422638217329653</v>
      </c>
      <c r="Q132" s="585">
        <f t="shared" si="21"/>
        <v>0.42051219381264482</v>
      </c>
      <c r="R132" s="585">
        <f t="shared" si="22"/>
        <v>4.0599999999999997E-2</v>
      </c>
      <c r="S132" s="586">
        <f t="shared" si="23"/>
        <v>0.37991219381264485</v>
      </c>
      <c r="U132" s="587"/>
      <c r="V132" s="587"/>
      <c r="W132" s="587"/>
      <c r="X132" s="587"/>
      <c r="Y132" s="587"/>
      <c r="Z132" s="587"/>
      <c r="AA132" s="587"/>
      <c r="AB132" s="587"/>
      <c r="AC132" s="587"/>
      <c r="AE132" s="587"/>
      <c r="AF132" s="587"/>
      <c r="AG132" s="587"/>
      <c r="AH132" s="587"/>
      <c r="AI132" s="587"/>
      <c r="AJ132" s="587"/>
      <c r="AK132" s="587"/>
      <c r="AL132" s="587"/>
      <c r="AM132" s="587"/>
      <c r="AO132" s="587"/>
      <c r="AP132" s="587"/>
      <c r="AQ132" s="587"/>
      <c r="AR132" s="587"/>
      <c r="AS132" s="587"/>
      <c r="AT132" s="587"/>
      <c r="AU132" s="587"/>
      <c r="AV132" s="587"/>
      <c r="AW132" s="587"/>
    </row>
    <row r="133" spans="1:49">
      <c r="A133" s="581">
        <v>13394</v>
      </c>
      <c r="B133" s="594">
        <v>3.0999999999999999E-3</v>
      </c>
      <c r="C133" s="577">
        <v>-2.2499999999999999E-2</v>
      </c>
      <c r="D133" s="577">
        <v>2.0999999999999999E-3</v>
      </c>
      <c r="E133" s="577">
        <v>2.65E-3</v>
      </c>
      <c r="F133" s="577">
        <v>2.8416666666666668E-3</v>
      </c>
      <c r="G133" s="577">
        <v>2.7458333333333336E-3</v>
      </c>
      <c r="H133" s="577">
        <v>3.3749999999999995E-3</v>
      </c>
      <c r="I133" s="577">
        <f t="shared" si="12"/>
        <v>1E-3</v>
      </c>
      <c r="J133" s="577">
        <f t="shared" si="17"/>
        <v>3.5416666666666626E-4</v>
      </c>
      <c r="K133" s="577">
        <f t="shared" si="18"/>
        <v>-2.5874999999999999E-2</v>
      </c>
      <c r="L133" s="585">
        <f t="shared" si="16"/>
        <v>0.44314344245352744</v>
      </c>
      <c r="M133" s="585">
        <f t="shared" si="14"/>
        <v>2.52E-2</v>
      </c>
      <c r="N133" s="585">
        <f t="shared" si="19"/>
        <v>3.2950000000000007E-2</v>
      </c>
      <c r="O133" s="586">
        <f t="shared" si="15"/>
        <v>0.41794344245352744</v>
      </c>
      <c r="P133" s="585">
        <f t="shared" si="20"/>
        <v>0.4101934424535274</v>
      </c>
      <c r="Q133" s="585">
        <f t="shared" si="21"/>
        <v>0.40570021203873274</v>
      </c>
      <c r="R133" s="585">
        <f t="shared" si="22"/>
        <v>4.0499999999999994E-2</v>
      </c>
      <c r="S133" s="586">
        <f t="shared" si="23"/>
        <v>0.36520021203873276</v>
      </c>
      <c r="U133" s="587"/>
      <c r="V133" s="587"/>
      <c r="W133" s="587"/>
      <c r="X133" s="587"/>
      <c r="Y133" s="587"/>
      <c r="Z133" s="587"/>
      <c r="AA133" s="587"/>
      <c r="AB133" s="587"/>
      <c r="AC133" s="587"/>
      <c r="AE133" s="587"/>
      <c r="AF133" s="587"/>
      <c r="AG133" s="587"/>
      <c r="AH133" s="587"/>
      <c r="AI133" s="587"/>
      <c r="AJ133" s="587"/>
      <c r="AK133" s="587"/>
      <c r="AL133" s="587"/>
      <c r="AM133" s="587"/>
      <c r="AO133" s="587"/>
      <c r="AP133" s="587"/>
      <c r="AQ133" s="587"/>
      <c r="AR133" s="587"/>
      <c r="AS133" s="587"/>
      <c r="AT133" s="587"/>
      <c r="AU133" s="587"/>
      <c r="AV133" s="587"/>
      <c r="AW133" s="587"/>
    </row>
    <row r="134" spans="1:49">
      <c r="A134" s="581">
        <v>13424</v>
      </c>
      <c r="B134" s="594">
        <v>7.7499999999999999E-2</v>
      </c>
      <c r="C134" s="577">
        <v>5.6600000000000004E-2</v>
      </c>
      <c r="D134" s="577">
        <v>2.3E-3</v>
      </c>
      <c r="E134" s="577">
        <v>2.65E-3</v>
      </c>
      <c r="F134" s="577">
        <v>2.8083333333333333E-3</v>
      </c>
      <c r="G134" s="577">
        <v>2.7291666666666671E-3</v>
      </c>
      <c r="H134" s="577">
        <v>3.3666666666666667E-3</v>
      </c>
      <c r="I134" s="577">
        <f t="shared" ref="I134:I197" si="24">B134-D134</f>
        <v>7.5200000000000003E-2</v>
      </c>
      <c r="J134" s="577">
        <f t="shared" si="17"/>
        <v>7.4770833333333328E-2</v>
      </c>
      <c r="K134" s="577">
        <f t="shared" si="18"/>
        <v>5.3233333333333341E-2</v>
      </c>
      <c r="L134" s="585">
        <f t="shared" si="16"/>
        <v>0.44287562331230923</v>
      </c>
      <c r="M134" s="585">
        <f t="shared" si="14"/>
        <v>2.76E-2</v>
      </c>
      <c r="N134" s="585">
        <f t="shared" si="19"/>
        <v>3.2750000000000001E-2</v>
      </c>
      <c r="O134" s="586">
        <f t="shared" si="15"/>
        <v>0.41527562331230922</v>
      </c>
      <c r="P134" s="585">
        <f t="shared" si="20"/>
        <v>0.41012562331230923</v>
      </c>
      <c r="Q134" s="585">
        <f t="shared" si="21"/>
        <v>0.32329191379198585</v>
      </c>
      <c r="R134" s="585">
        <f t="shared" si="22"/>
        <v>4.0399999999999998E-2</v>
      </c>
      <c r="S134" s="586">
        <f t="shared" si="23"/>
        <v>0.28289191379198586</v>
      </c>
      <c r="U134" s="587"/>
      <c r="V134" s="587"/>
      <c r="W134" s="587"/>
      <c r="X134" s="587"/>
      <c r="Y134" s="587"/>
      <c r="Z134" s="587"/>
      <c r="AA134" s="587"/>
      <c r="AB134" s="587"/>
      <c r="AC134" s="587"/>
      <c r="AE134" s="587"/>
      <c r="AF134" s="587"/>
      <c r="AG134" s="587"/>
      <c r="AH134" s="587"/>
      <c r="AI134" s="587"/>
      <c r="AJ134" s="587"/>
      <c r="AK134" s="587"/>
      <c r="AL134" s="587"/>
      <c r="AM134" s="587"/>
      <c r="AO134" s="587"/>
      <c r="AP134" s="587"/>
      <c r="AQ134" s="587"/>
      <c r="AR134" s="587"/>
      <c r="AS134" s="587"/>
      <c r="AT134" s="587"/>
      <c r="AU134" s="587"/>
      <c r="AV134" s="587"/>
      <c r="AW134" s="587"/>
    </row>
    <row r="135" spans="1:49">
      <c r="A135" s="581">
        <v>13455</v>
      </c>
      <c r="B135" s="594">
        <v>1.34E-2</v>
      </c>
      <c r="C135" s="577">
        <v>-1.6900000000000002E-2</v>
      </c>
      <c r="D135" s="577">
        <v>2.2000000000000001E-3</v>
      </c>
      <c r="E135" s="577">
        <v>2.6250000000000002E-3</v>
      </c>
      <c r="F135" s="577">
        <v>2.7583333333333331E-3</v>
      </c>
      <c r="G135" s="577">
        <v>2.6916666666666669E-3</v>
      </c>
      <c r="H135" s="577">
        <v>3.2916666666666667E-3</v>
      </c>
      <c r="I135" s="577">
        <f t="shared" si="24"/>
        <v>1.12E-2</v>
      </c>
      <c r="J135" s="577">
        <f t="shared" si="17"/>
        <v>1.0708333333333334E-2</v>
      </c>
      <c r="K135" s="577">
        <f t="shared" si="18"/>
        <v>-2.019166666666667E-2</v>
      </c>
      <c r="L135" s="585">
        <f t="shared" si="16"/>
        <v>0.39603795748013604</v>
      </c>
      <c r="M135" s="585">
        <f t="shared" si="14"/>
        <v>2.64E-2</v>
      </c>
      <c r="N135" s="585">
        <f t="shared" si="19"/>
        <v>3.2300000000000002E-2</v>
      </c>
      <c r="O135" s="586">
        <f t="shared" si="15"/>
        <v>0.36963795748013606</v>
      </c>
      <c r="P135" s="585">
        <f t="shared" si="20"/>
        <v>0.36373795748013604</v>
      </c>
      <c r="Q135" s="585">
        <f t="shared" si="21"/>
        <v>0.2870283740095978</v>
      </c>
      <c r="R135" s="585">
        <f t="shared" si="22"/>
        <v>3.95E-2</v>
      </c>
      <c r="S135" s="586">
        <f t="shared" si="23"/>
        <v>0.24752837400959779</v>
      </c>
      <c r="U135" s="587"/>
      <c r="V135" s="587"/>
      <c r="W135" s="587"/>
      <c r="X135" s="587"/>
      <c r="Y135" s="587"/>
      <c r="Z135" s="587"/>
      <c r="AA135" s="587"/>
      <c r="AB135" s="587"/>
      <c r="AC135" s="587"/>
      <c r="AE135" s="587"/>
      <c r="AF135" s="587"/>
      <c r="AG135" s="587"/>
      <c r="AH135" s="587"/>
      <c r="AI135" s="587"/>
      <c r="AJ135" s="587"/>
      <c r="AK135" s="587"/>
      <c r="AL135" s="587"/>
      <c r="AM135" s="587"/>
      <c r="AO135" s="587"/>
      <c r="AP135" s="587"/>
      <c r="AQ135" s="587"/>
      <c r="AR135" s="587"/>
      <c r="AS135" s="587"/>
      <c r="AT135" s="587"/>
      <c r="AU135" s="587"/>
      <c r="AV135" s="587"/>
      <c r="AW135" s="587"/>
    </row>
    <row r="136" spans="1:49">
      <c r="A136" s="581">
        <v>13485</v>
      </c>
      <c r="B136" s="594">
        <v>-2.8999999999999998E-3</v>
      </c>
      <c r="C136" s="577">
        <v>-1.7399999999999999E-2</v>
      </c>
      <c r="D136" s="577">
        <v>2.2000000000000001E-3</v>
      </c>
      <c r="E136" s="577">
        <v>2.5833333333333337E-3</v>
      </c>
      <c r="F136" s="577">
        <v>2.7333333333333333E-3</v>
      </c>
      <c r="G136" s="577">
        <v>2.6583333333333337E-3</v>
      </c>
      <c r="H136" s="577">
        <v>3.1916666666666664E-3</v>
      </c>
      <c r="I136" s="577">
        <f t="shared" si="24"/>
        <v>-5.1000000000000004E-3</v>
      </c>
      <c r="J136" s="577">
        <f t="shared" si="17"/>
        <v>-5.5583333333333335E-3</v>
      </c>
      <c r="K136" s="577">
        <f t="shared" si="18"/>
        <v>-2.0591666666666664E-2</v>
      </c>
      <c r="L136" s="585">
        <f t="shared" si="16"/>
        <v>0.3392240209769517</v>
      </c>
      <c r="M136" s="585">
        <f t="shared" si="14"/>
        <v>2.64E-2</v>
      </c>
      <c r="N136" s="585">
        <f t="shared" si="19"/>
        <v>3.1900000000000005E-2</v>
      </c>
      <c r="O136" s="586">
        <f t="shared" si="15"/>
        <v>0.31282402097695172</v>
      </c>
      <c r="P136" s="585">
        <f t="shared" si="20"/>
        <v>0.30732402097695172</v>
      </c>
      <c r="Q136" s="585">
        <f t="shared" si="21"/>
        <v>0.20682706393914541</v>
      </c>
      <c r="R136" s="585">
        <f t="shared" si="22"/>
        <v>3.8300000000000001E-2</v>
      </c>
      <c r="S136" s="586">
        <f t="shared" si="23"/>
        <v>0.16852706393914541</v>
      </c>
      <c r="U136" s="587"/>
      <c r="V136" s="587"/>
      <c r="W136" s="587"/>
      <c r="X136" s="587"/>
      <c r="Y136" s="587"/>
      <c r="Z136" s="587"/>
      <c r="AA136" s="587"/>
      <c r="AB136" s="587"/>
      <c r="AC136" s="587"/>
      <c r="AE136" s="587"/>
      <c r="AF136" s="587"/>
      <c r="AG136" s="587"/>
      <c r="AH136" s="587"/>
      <c r="AI136" s="587"/>
      <c r="AJ136" s="587"/>
      <c r="AK136" s="587"/>
      <c r="AL136" s="587"/>
      <c r="AM136" s="587"/>
      <c r="AO136" s="587"/>
      <c r="AP136" s="587"/>
      <c r="AQ136" s="587"/>
      <c r="AR136" s="587"/>
      <c r="AS136" s="587"/>
      <c r="AT136" s="587"/>
      <c r="AU136" s="587"/>
      <c r="AV136" s="587"/>
      <c r="AW136" s="587"/>
    </row>
    <row r="137" spans="1:49">
      <c r="A137" s="581">
        <v>13516</v>
      </c>
      <c r="B137" s="594">
        <v>3.9E-2</v>
      </c>
      <c r="C137" s="577">
        <v>1.9500000000000003E-2</v>
      </c>
      <c r="D137" s="577">
        <v>2.0999999999999999E-3</v>
      </c>
      <c r="E137" s="577">
        <v>2.5833333333333337E-3</v>
      </c>
      <c r="F137" s="577">
        <v>2.7499999999999998E-3</v>
      </c>
      <c r="G137" s="577">
        <v>2.6666666666666666E-3</v>
      </c>
      <c r="H137" s="577">
        <v>3.1833333333333336E-3</v>
      </c>
      <c r="I137" s="577">
        <f t="shared" si="24"/>
        <v>3.6900000000000002E-2</v>
      </c>
      <c r="J137" s="577">
        <f t="shared" si="17"/>
        <v>3.6333333333333336E-2</v>
      </c>
      <c r="K137" s="577">
        <f t="shared" si="18"/>
        <v>1.631666666666667E-2</v>
      </c>
      <c r="L137" s="585">
        <f t="shared" si="16"/>
        <v>0.30408037281635614</v>
      </c>
      <c r="M137" s="585">
        <f t="shared" si="14"/>
        <v>2.52E-2</v>
      </c>
      <c r="N137" s="585">
        <f t="shared" si="19"/>
        <v>3.2000000000000001E-2</v>
      </c>
      <c r="O137" s="586">
        <f t="shared" si="15"/>
        <v>0.27888037281635614</v>
      </c>
      <c r="P137" s="585">
        <f t="shared" si="20"/>
        <v>0.27208037281635611</v>
      </c>
      <c r="Q137" s="585">
        <f t="shared" si="21"/>
        <v>0.10813310968743495</v>
      </c>
      <c r="R137" s="585">
        <f t="shared" si="22"/>
        <v>3.8200000000000005E-2</v>
      </c>
      <c r="S137" s="586">
        <f t="shared" si="23"/>
        <v>6.9933109687434936E-2</v>
      </c>
      <c r="U137" s="587"/>
      <c r="V137" s="587"/>
      <c r="W137" s="587"/>
      <c r="X137" s="587"/>
      <c r="Y137" s="587"/>
      <c r="Z137" s="587"/>
      <c r="AA137" s="587"/>
      <c r="AB137" s="587"/>
      <c r="AC137" s="587"/>
      <c r="AE137" s="587"/>
      <c r="AF137" s="587"/>
      <c r="AG137" s="587"/>
      <c r="AH137" s="587"/>
      <c r="AI137" s="587"/>
      <c r="AJ137" s="587"/>
      <c r="AK137" s="587"/>
      <c r="AL137" s="587"/>
      <c r="AM137" s="587"/>
      <c r="AO137" s="587"/>
      <c r="AP137" s="587"/>
      <c r="AQ137" s="587"/>
      <c r="AR137" s="587"/>
      <c r="AS137" s="587"/>
      <c r="AT137" s="587"/>
      <c r="AU137" s="587"/>
      <c r="AV137" s="587"/>
      <c r="AW137" s="587"/>
    </row>
    <row r="138" spans="1:49">
      <c r="A138" s="581">
        <v>13547</v>
      </c>
      <c r="B138" s="594">
        <v>1.9099999999999999E-2</v>
      </c>
      <c r="C138" s="577">
        <v>-3.5299999999999998E-2</v>
      </c>
      <c r="D138" s="577">
        <v>2E-3</v>
      </c>
      <c r="E138" s="577">
        <v>2.6833333333333336E-3</v>
      </c>
      <c r="F138" s="577">
        <v>2.8333333333333331E-3</v>
      </c>
      <c r="G138" s="577">
        <v>2.7583333333333336E-3</v>
      </c>
      <c r="H138" s="577">
        <v>3.2416666666666666E-3</v>
      </c>
      <c r="I138" s="577">
        <f t="shared" si="24"/>
        <v>1.7099999999999997E-2</v>
      </c>
      <c r="J138" s="577">
        <f t="shared" si="17"/>
        <v>1.6341666666666664E-2</v>
      </c>
      <c r="K138" s="577">
        <f t="shared" si="18"/>
        <v>-3.8541666666666662E-2</v>
      </c>
      <c r="L138" s="585">
        <f t="shared" si="16"/>
        <v>0.29987119320926081</v>
      </c>
      <c r="M138" s="585">
        <f t="shared" si="14"/>
        <v>2.4E-2</v>
      </c>
      <c r="N138" s="585">
        <f t="shared" si="19"/>
        <v>3.3100000000000004E-2</v>
      </c>
      <c r="O138" s="586">
        <f t="shared" si="15"/>
        <v>0.27587119320926079</v>
      </c>
      <c r="P138" s="585">
        <f t="shared" si="20"/>
        <v>0.26677119320926079</v>
      </c>
      <c r="Q138" s="585">
        <f t="shared" si="21"/>
        <v>0.10687099908414588</v>
      </c>
      <c r="R138" s="585">
        <f t="shared" si="22"/>
        <v>3.8899999999999997E-2</v>
      </c>
      <c r="S138" s="586">
        <f t="shared" si="23"/>
        <v>6.7970999084145889E-2</v>
      </c>
      <c r="U138" s="587"/>
      <c r="V138" s="587"/>
      <c r="W138" s="587"/>
      <c r="X138" s="587"/>
      <c r="Y138" s="587"/>
      <c r="Z138" s="587"/>
      <c r="AA138" s="587"/>
      <c r="AB138" s="587"/>
      <c r="AC138" s="587"/>
      <c r="AE138" s="587"/>
      <c r="AF138" s="587"/>
      <c r="AG138" s="587"/>
      <c r="AH138" s="587"/>
      <c r="AI138" s="587"/>
      <c r="AJ138" s="587"/>
      <c r="AK138" s="587"/>
      <c r="AL138" s="587"/>
      <c r="AM138" s="587"/>
      <c r="AO138" s="587"/>
      <c r="AP138" s="587"/>
      <c r="AQ138" s="587"/>
      <c r="AR138" s="587"/>
      <c r="AS138" s="587"/>
      <c r="AT138" s="587"/>
      <c r="AU138" s="587"/>
      <c r="AV138" s="587"/>
      <c r="AW138" s="587"/>
    </row>
    <row r="139" spans="1:49">
      <c r="A139" s="581">
        <v>13575</v>
      </c>
      <c r="B139" s="594">
        <v>-7.7000000000000002E-3</v>
      </c>
      <c r="C139" s="577">
        <v>-5.7300000000000004E-2</v>
      </c>
      <c r="D139" s="577">
        <v>2.2000000000000001E-3</v>
      </c>
      <c r="E139" s="577">
        <v>2.7666666666666668E-3</v>
      </c>
      <c r="F139" s="577">
        <v>2.9166666666666668E-3</v>
      </c>
      <c r="G139" s="577">
        <v>2.8416666666666668E-3</v>
      </c>
      <c r="H139" s="577">
        <v>3.3333333333333331E-3</v>
      </c>
      <c r="I139" s="577">
        <f t="shared" si="24"/>
        <v>-9.9000000000000008E-3</v>
      </c>
      <c r="J139" s="577">
        <f t="shared" si="17"/>
        <v>-1.0541666666666668E-2</v>
      </c>
      <c r="K139" s="577">
        <f t="shared" si="18"/>
        <v>-6.0633333333333338E-2</v>
      </c>
      <c r="L139" s="585">
        <f t="shared" si="16"/>
        <v>0.25619612877050035</v>
      </c>
      <c r="M139" s="585">
        <f t="shared" si="14"/>
        <v>2.64E-2</v>
      </c>
      <c r="N139" s="585">
        <f t="shared" si="19"/>
        <v>3.4100000000000005E-2</v>
      </c>
      <c r="O139" s="586">
        <f t="shared" si="15"/>
        <v>0.22979612877050035</v>
      </c>
      <c r="P139" s="585">
        <f t="shared" si="20"/>
        <v>0.22209612877050033</v>
      </c>
      <c r="Q139" s="585">
        <f t="shared" si="21"/>
        <v>4.0015240542833119E-2</v>
      </c>
      <c r="R139" s="585">
        <f t="shared" si="22"/>
        <v>3.9999999999999994E-2</v>
      </c>
      <c r="S139" s="586">
        <f t="shared" si="23"/>
        <v>1.524054283312537E-5</v>
      </c>
      <c r="U139" s="587"/>
      <c r="V139" s="587"/>
      <c r="W139" s="587"/>
      <c r="X139" s="587"/>
      <c r="Y139" s="587"/>
      <c r="Z139" s="587"/>
      <c r="AA139" s="587"/>
      <c r="AB139" s="587"/>
      <c r="AC139" s="587"/>
      <c r="AE139" s="587"/>
      <c r="AF139" s="587"/>
      <c r="AG139" s="587"/>
      <c r="AH139" s="587"/>
      <c r="AI139" s="587"/>
      <c r="AJ139" s="587"/>
      <c r="AK139" s="587"/>
      <c r="AL139" s="587"/>
      <c r="AM139" s="587"/>
      <c r="AO139" s="587"/>
      <c r="AP139" s="587"/>
      <c r="AQ139" s="587"/>
      <c r="AR139" s="587"/>
      <c r="AS139" s="587"/>
      <c r="AT139" s="587"/>
      <c r="AU139" s="587"/>
      <c r="AV139" s="587"/>
      <c r="AW139" s="587"/>
    </row>
    <row r="140" spans="1:49">
      <c r="A140" s="581">
        <v>13606</v>
      </c>
      <c r="B140" s="594">
        <v>-8.09E-2</v>
      </c>
      <c r="C140" s="577">
        <v>-7.3599999999999999E-2</v>
      </c>
      <c r="D140" s="577">
        <v>2.3E-3</v>
      </c>
      <c r="E140" s="577">
        <v>2.8499999999999997E-3</v>
      </c>
      <c r="F140" s="577">
        <v>2.9749999999999998E-3</v>
      </c>
      <c r="G140" s="577">
        <v>2.9125000000000002E-3</v>
      </c>
      <c r="H140" s="577">
        <v>3.3916666666666665E-3</v>
      </c>
      <c r="I140" s="577">
        <f t="shared" si="24"/>
        <v>-8.3199999999999996E-2</v>
      </c>
      <c r="J140" s="577">
        <f t="shared" si="17"/>
        <v>-8.3812499999999998E-2</v>
      </c>
      <c r="K140" s="577">
        <f t="shared" si="18"/>
        <v>-7.6991666666666667E-2</v>
      </c>
      <c r="L140" s="585">
        <f t="shared" si="16"/>
        <v>0.24831858790460259</v>
      </c>
      <c r="M140" s="585">
        <f t="shared" si="14"/>
        <v>2.76E-2</v>
      </c>
      <c r="N140" s="585">
        <f t="shared" si="19"/>
        <v>3.4950000000000002E-2</v>
      </c>
      <c r="O140" s="586">
        <f t="shared" si="15"/>
        <v>0.22071858790460258</v>
      </c>
      <c r="P140" s="585">
        <f t="shared" si="20"/>
        <v>0.21336858790460259</v>
      </c>
      <c r="Q140" s="585">
        <f t="shared" si="21"/>
        <v>4.8846199476247021E-2</v>
      </c>
      <c r="R140" s="585">
        <f t="shared" si="22"/>
        <v>4.07E-2</v>
      </c>
      <c r="S140" s="586">
        <f t="shared" si="23"/>
        <v>8.1461994762470208E-3</v>
      </c>
      <c r="U140" s="587"/>
      <c r="V140" s="587"/>
      <c r="W140" s="587"/>
      <c r="X140" s="587"/>
      <c r="Y140" s="587"/>
      <c r="Z140" s="587"/>
      <c r="AA140" s="587"/>
      <c r="AB140" s="587"/>
      <c r="AC140" s="587"/>
      <c r="AE140" s="587"/>
      <c r="AF140" s="587"/>
      <c r="AG140" s="587"/>
      <c r="AH140" s="587"/>
      <c r="AI140" s="587"/>
      <c r="AJ140" s="587"/>
      <c r="AK140" s="587"/>
      <c r="AL140" s="587"/>
      <c r="AM140" s="587"/>
      <c r="AO140" s="587"/>
      <c r="AP140" s="587"/>
      <c r="AQ140" s="587"/>
      <c r="AR140" s="587"/>
      <c r="AS140" s="587"/>
      <c r="AT140" s="587"/>
      <c r="AU140" s="587"/>
      <c r="AV140" s="587"/>
      <c r="AW140" s="587"/>
    </row>
    <row r="141" spans="1:49">
      <c r="A141" s="581">
        <v>13636</v>
      </c>
      <c r="B141" s="594">
        <v>-2.3999999999999998E-3</v>
      </c>
      <c r="C141" s="577">
        <v>-5.16E-2</v>
      </c>
      <c r="D141" s="577">
        <v>2.2000000000000001E-3</v>
      </c>
      <c r="E141" s="577">
        <v>2.7750000000000001E-3</v>
      </c>
      <c r="F141" s="577">
        <v>2.8999999999999998E-3</v>
      </c>
      <c r="G141" s="577">
        <v>2.8375000000000002E-3</v>
      </c>
      <c r="H141" s="577">
        <v>3.3333333333333331E-3</v>
      </c>
      <c r="I141" s="577">
        <f t="shared" si="24"/>
        <v>-4.5999999999999999E-3</v>
      </c>
      <c r="J141" s="577">
        <f t="shared" si="17"/>
        <v>-5.2375E-3</v>
      </c>
      <c r="K141" s="577">
        <f t="shared" si="18"/>
        <v>-5.4933333333333334E-2</v>
      </c>
      <c r="L141" s="585">
        <f t="shared" si="16"/>
        <v>0.18096028761842731</v>
      </c>
      <c r="M141" s="585">
        <f t="shared" si="14"/>
        <v>2.64E-2</v>
      </c>
      <c r="N141" s="585">
        <f t="shared" si="19"/>
        <v>3.4050000000000004E-2</v>
      </c>
      <c r="O141" s="586">
        <f t="shared" si="15"/>
        <v>0.1545602876184273</v>
      </c>
      <c r="P141" s="585">
        <f t="shared" si="20"/>
        <v>0.14691028761842731</v>
      </c>
      <c r="Q141" s="585">
        <f t="shared" si="21"/>
        <v>-7.5619611947520649E-2</v>
      </c>
      <c r="R141" s="585">
        <f t="shared" si="22"/>
        <v>3.9999999999999994E-2</v>
      </c>
      <c r="S141" s="586">
        <f t="shared" si="23"/>
        <v>-0.11561961194752064</v>
      </c>
      <c r="U141" s="587"/>
      <c r="V141" s="587"/>
      <c r="W141" s="587"/>
      <c r="X141" s="587"/>
      <c r="Y141" s="587"/>
      <c r="Z141" s="587"/>
      <c r="AA141" s="587"/>
      <c r="AB141" s="587"/>
      <c r="AC141" s="587"/>
      <c r="AE141" s="587"/>
      <c r="AF141" s="587"/>
      <c r="AG141" s="587"/>
      <c r="AH141" s="587"/>
      <c r="AI141" s="587"/>
      <c r="AJ141" s="587"/>
      <c r="AK141" s="587"/>
      <c r="AL141" s="587"/>
      <c r="AM141" s="587"/>
      <c r="AO141" s="587"/>
      <c r="AP141" s="587"/>
      <c r="AQ141" s="587"/>
      <c r="AR141" s="587"/>
      <c r="AS141" s="587"/>
      <c r="AT141" s="587"/>
      <c r="AU141" s="587"/>
      <c r="AV141" s="587"/>
      <c r="AW141" s="587"/>
    </row>
    <row r="142" spans="1:49">
      <c r="A142" s="581">
        <v>13667</v>
      </c>
      <c r="B142" s="594">
        <v>-5.04E-2</v>
      </c>
      <c r="C142" s="577">
        <v>-4.6699999999999998E-2</v>
      </c>
      <c r="D142" s="577">
        <v>2.5000000000000001E-3</v>
      </c>
      <c r="E142" s="577">
        <v>2.7333333333333333E-3</v>
      </c>
      <c r="F142" s="577">
        <v>2.8583333333333334E-3</v>
      </c>
      <c r="G142" s="577">
        <v>2.7958333333333329E-3</v>
      </c>
      <c r="H142" s="577">
        <v>3.3250000000000003E-3</v>
      </c>
      <c r="I142" s="577">
        <f t="shared" si="24"/>
        <v>-5.2900000000000003E-2</v>
      </c>
      <c r="J142" s="577">
        <f t="shared" si="17"/>
        <v>-5.3195833333333331E-2</v>
      </c>
      <c r="K142" s="577">
        <f t="shared" si="18"/>
        <v>-5.0025E-2</v>
      </c>
      <c r="L142" s="585">
        <f t="shared" si="16"/>
        <v>8.5299418486846523E-2</v>
      </c>
      <c r="M142" s="585">
        <f t="shared" si="14"/>
        <v>0.03</v>
      </c>
      <c r="N142" s="585">
        <f t="shared" si="19"/>
        <v>3.3549999999999996E-2</v>
      </c>
      <c r="O142" s="586">
        <f t="shared" si="15"/>
        <v>5.5299418486846524E-2</v>
      </c>
      <c r="P142" s="585">
        <f t="shared" si="20"/>
        <v>5.1749418486846527E-2</v>
      </c>
      <c r="Q142" s="585">
        <f t="shared" si="21"/>
        <v>-0.14858760972905438</v>
      </c>
      <c r="R142" s="585">
        <f t="shared" si="22"/>
        <v>3.9900000000000005E-2</v>
      </c>
      <c r="S142" s="586">
        <f t="shared" si="23"/>
        <v>-0.18848760972905437</v>
      </c>
      <c r="U142" s="587"/>
      <c r="V142" s="587"/>
      <c r="W142" s="587"/>
      <c r="X142" s="587"/>
      <c r="Y142" s="587"/>
      <c r="Z142" s="587"/>
      <c r="AA142" s="587"/>
      <c r="AB142" s="587"/>
      <c r="AC142" s="587"/>
      <c r="AE142" s="587"/>
      <c r="AF142" s="587"/>
      <c r="AG142" s="587"/>
      <c r="AH142" s="587"/>
      <c r="AI142" s="587"/>
      <c r="AJ142" s="587"/>
      <c r="AK142" s="587"/>
      <c r="AL142" s="587"/>
      <c r="AM142" s="587"/>
      <c r="AO142" s="587"/>
      <c r="AP142" s="587"/>
      <c r="AQ142" s="587"/>
      <c r="AR142" s="587"/>
      <c r="AS142" s="587"/>
      <c r="AT142" s="587"/>
      <c r="AU142" s="587"/>
      <c r="AV142" s="587"/>
      <c r="AW142" s="587"/>
    </row>
    <row r="143" spans="1:49">
      <c r="A143" s="581">
        <v>13697</v>
      </c>
      <c r="B143" s="594">
        <v>0.1045</v>
      </c>
      <c r="C143" s="577">
        <v>0.1671</v>
      </c>
      <c r="D143" s="577">
        <v>2.3999999999999998E-3</v>
      </c>
      <c r="E143" s="577">
        <v>2.708333333333333E-3</v>
      </c>
      <c r="F143" s="577">
        <v>2.8416666666666668E-3</v>
      </c>
      <c r="G143" s="577">
        <v>2.7749999999999997E-3</v>
      </c>
      <c r="H143" s="577">
        <v>3.283333333333333E-3</v>
      </c>
      <c r="I143" s="577">
        <f t="shared" si="24"/>
        <v>0.1021</v>
      </c>
      <c r="J143" s="577">
        <f t="shared" si="17"/>
        <v>0.101725</v>
      </c>
      <c r="K143" s="577">
        <f t="shared" si="18"/>
        <v>0.16381666666666667</v>
      </c>
      <c r="L143" s="585">
        <f t="shared" si="16"/>
        <v>0.12018802702431697</v>
      </c>
      <c r="M143" s="585">
        <f t="shared" si="14"/>
        <v>2.8799999999999999E-2</v>
      </c>
      <c r="N143" s="585">
        <f t="shared" si="19"/>
        <v>3.3299999999999996E-2</v>
      </c>
      <c r="O143" s="586">
        <f t="shared" si="15"/>
        <v>9.1388027024316976E-2</v>
      </c>
      <c r="P143" s="585">
        <f t="shared" si="20"/>
        <v>8.6888027024316972E-2</v>
      </c>
      <c r="Q143" s="585">
        <f t="shared" si="21"/>
        <v>-9.7389953051848166E-2</v>
      </c>
      <c r="R143" s="585">
        <f t="shared" si="22"/>
        <v>3.9399999999999998E-2</v>
      </c>
      <c r="S143" s="586">
        <f t="shared" si="23"/>
        <v>-0.13678995305184816</v>
      </c>
      <c r="U143" s="587"/>
      <c r="V143" s="587"/>
      <c r="W143" s="587"/>
      <c r="X143" s="587"/>
      <c r="Y143" s="587"/>
      <c r="Z143" s="587"/>
      <c r="AA143" s="587"/>
      <c r="AB143" s="587"/>
      <c r="AC143" s="587"/>
      <c r="AE143" s="587"/>
      <c r="AF143" s="587"/>
      <c r="AG143" s="587"/>
      <c r="AH143" s="587"/>
      <c r="AI143" s="587"/>
      <c r="AJ143" s="587"/>
      <c r="AK143" s="587"/>
      <c r="AL143" s="587"/>
      <c r="AM143" s="587"/>
      <c r="AO143" s="587"/>
      <c r="AP143" s="587"/>
      <c r="AQ143" s="587"/>
      <c r="AR143" s="587"/>
      <c r="AS143" s="587"/>
      <c r="AT143" s="587"/>
      <c r="AU143" s="587"/>
      <c r="AV143" s="587"/>
      <c r="AW143" s="587"/>
    </row>
    <row r="144" spans="1:49">
      <c r="A144" s="581">
        <v>13728</v>
      </c>
      <c r="B144" s="594">
        <v>-4.8300000000000003E-2</v>
      </c>
      <c r="C144" s="577">
        <v>-9.0300000000000005E-2</v>
      </c>
      <c r="D144" s="577">
        <v>2.3E-3</v>
      </c>
      <c r="E144" s="577">
        <v>2.7000000000000001E-3</v>
      </c>
      <c r="F144" s="577">
        <v>2.8416666666666668E-3</v>
      </c>
      <c r="G144" s="577">
        <v>2.7708333333333335E-3</v>
      </c>
      <c r="H144" s="577">
        <v>3.2416666666666666E-3</v>
      </c>
      <c r="I144" s="577">
        <f t="shared" si="24"/>
        <v>-5.0600000000000006E-2</v>
      </c>
      <c r="J144" s="577">
        <f t="shared" si="17"/>
        <v>-5.1070833333333336E-2</v>
      </c>
      <c r="K144" s="577">
        <f t="shared" si="18"/>
        <v>-9.3541666666666676E-2</v>
      </c>
      <c r="L144" s="585">
        <f t="shared" ref="L144:L207" si="25">((1+B133)*(1+B134)*(1+B135)*(1+B136)*(1+B137)*(1+B138)*(1+B139)*(1+B140)*(1+B141)*(1+B142)*(1+B143)*(1+B144))-1</f>
        <v>5.0224554545407196E-2</v>
      </c>
      <c r="M144" s="585">
        <f t="shared" ref="M144:M207" si="26">D144*12</f>
        <v>2.76E-2</v>
      </c>
      <c r="N144" s="585">
        <f t="shared" si="19"/>
        <v>3.3250000000000002E-2</v>
      </c>
      <c r="O144" s="586">
        <f t="shared" ref="O144:O207" si="27">L144-M144</f>
        <v>2.2624554545407197E-2</v>
      </c>
      <c r="P144" s="585">
        <f t="shared" si="20"/>
        <v>1.6974554545407194E-2</v>
      </c>
      <c r="Q144" s="585">
        <f t="shared" si="21"/>
        <v>-0.17741498726834937</v>
      </c>
      <c r="R144" s="585">
        <f t="shared" si="22"/>
        <v>3.8899999999999997E-2</v>
      </c>
      <c r="S144" s="586">
        <f t="shared" si="23"/>
        <v>-0.21631498726834936</v>
      </c>
      <c r="U144" s="587"/>
      <c r="V144" s="587"/>
      <c r="W144" s="587"/>
      <c r="X144" s="587"/>
      <c r="Y144" s="587"/>
      <c r="Z144" s="587"/>
      <c r="AA144" s="587"/>
      <c r="AB144" s="587"/>
      <c r="AC144" s="587"/>
      <c r="AE144" s="587"/>
      <c r="AF144" s="587"/>
      <c r="AG144" s="587"/>
      <c r="AH144" s="587"/>
      <c r="AI144" s="587"/>
      <c r="AJ144" s="587"/>
      <c r="AK144" s="587"/>
      <c r="AL144" s="587"/>
      <c r="AM144" s="587"/>
      <c r="AO144" s="587"/>
      <c r="AP144" s="587"/>
      <c r="AQ144" s="587"/>
      <c r="AR144" s="587"/>
      <c r="AS144" s="587"/>
      <c r="AT144" s="587"/>
      <c r="AU144" s="587"/>
      <c r="AV144" s="587"/>
      <c r="AW144" s="587"/>
    </row>
    <row r="145" spans="1:49">
      <c r="A145" s="581">
        <v>13759</v>
      </c>
      <c r="B145" s="594">
        <v>-0.14030000000000001</v>
      </c>
      <c r="C145" s="577">
        <v>-0.1174</v>
      </c>
      <c r="D145" s="577">
        <v>2.3E-3</v>
      </c>
      <c r="E145" s="577">
        <v>2.7333333333333333E-3</v>
      </c>
      <c r="F145" s="577">
        <v>2.8833333333333332E-3</v>
      </c>
      <c r="G145" s="577">
        <v>2.8083333333333333E-3</v>
      </c>
      <c r="H145" s="577">
        <v>3.3E-3</v>
      </c>
      <c r="I145" s="577">
        <f t="shared" si="24"/>
        <v>-0.1426</v>
      </c>
      <c r="J145" s="577">
        <f t="shared" si="17"/>
        <v>-0.14310833333333334</v>
      </c>
      <c r="K145" s="577">
        <f t="shared" si="18"/>
        <v>-0.1207</v>
      </c>
      <c r="L145" s="585">
        <f t="shared" si="25"/>
        <v>-9.9912222567354769E-2</v>
      </c>
      <c r="M145" s="585">
        <f t="shared" si="26"/>
        <v>2.76E-2</v>
      </c>
      <c r="N145" s="585">
        <f t="shared" si="19"/>
        <v>3.3700000000000001E-2</v>
      </c>
      <c r="O145" s="586">
        <f t="shared" si="27"/>
        <v>-0.12751222256735478</v>
      </c>
      <c r="P145" s="585">
        <f t="shared" si="20"/>
        <v>-0.13361222256735478</v>
      </c>
      <c r="Q145" s="585">
        <f t="shared" si="21"/>
        <v>-0.25727515883687468</v>
      </c>
      <c r="R145" s="585">
        <f t="shared" si="22"/>
        <v>3.9599999999999996E-2</v>
      </c>
      <c r="S145" s="586">
        <f t="shared" si="23"/>
        <v>-0.29687515883687465</v>
      </c>
      <c r="U145" s="587"/>
      <c r="V145" s="587"/>
      <c r="W145" s="587"/>
      <c r="X145" s="587"/>
      <c r="Y145" s="587"/>
      <c r="Z145" s="587"/>
      <c r="AA145" s="587"/>
      <c r="AB145" s="587"/>
      <c r="AC145" s="587"/>
      <c r="AE145" s="587"/>
      <c r="AF145" s="587"/>
      <c r="AG145" s="587"/>
      <c r="AH145" s="587"/>
      <c r="AI145" s="587"/>
      <c r="AJ145" s="587"/>
      <c r="AK145" s="587"/>
      <c r="AL145" s="587"/>
      <c r="AM145" s="587"/>
      <c r="AO145" s="587"/>
      <c r="AP145" s="587"/>
      <c r="AQ145" s="587"/>
      <c r="AR145" s="587"/>
      <c r="AS145" s="587"/>
      <c r="AT145" s="587"/>
      <c r="AU145" s="587"/>
      <c r="AV145" s="587"/>
      <c r="AW145" s="587"/>
    </row>
    <row r="146" spans="1:49">
      <c r="A146" s="581">
        <v>13789</v>
      </c>
      <c r="B146" s="594">
        <v>-9.8100000000000007E-2</v>
      </c>
      <c r="C146" s="577">
        <v>-5.16E-2</v>
      </c>
      <c r="D146" s="577">
        <v>2.3E-3</v>
      </c>
      <c r="E146" s="577">
        <v>2.725E-3</v>
      </c>
      <c r="F146" s="577">
        <v>2.9416666666666662E-3</v>
      </c>
      <c r="G146" s="577">
        <v>2.8333333333333331E-3</v>
      </c>
      <c r="H146" s="577">
        <v>3.4083333333333331E-3</v>
      </c>
      <c r="I146" s="577">
        <f t="shared" si="24"/>
        <v>-0.1004</v>
      </c>
      <c r="J146" s="577">
        <f t="shared" si="17"/>
        <v>-0.10093333333333333</v>
      </c>
      <c r="K146" s="577">
        <f t="shared" si="18"/>
        <v>-5.5008333333333333E-2</v>
      </c>
      <c r="L146" s="585">
        <f t="shared" si="25"/>
        <v>-0.24659938146960281</v>
      </c>
      <c r="M146" s="585">
        <f t="shared" si="26"/>
        <v>2.76E-2</v>
      </c>
      <c r="N146" s="585">
        <f t="shared" si="19"/>
        <v>3.3999999999999996E-2</v>
      </c>
      <c r="O146" s="586">
        <f t="shared" si="27"/>
        <v>-0.27419938146960282</v>
      </c>
      <c r="P146" s="585">
        <f t="shared" si="20"/>
        <v>-0.28059938146960278</v>
      </c>
      <c r="Q146" s="585">
        <f t="shared" si="21"/>
        <v>-0.33333310679622552</v>
      </c>
      <c r="R146" s="585">
        <f t="shared" si="22"/>
        <v>4.0899999999999999E-2</v>
      </c>
      <c r="S146" s="586">
        <f t="shared" si="23"/>
        <v>-0.37423310679622551</v>
      </c>
      <c r="U146" s="587"/>
      <c r="V146" s="587"/>
      <c r="W146" s="587"/>
      <c r="X146" s="587"/>
      <c r="Y146" s="587"/>
      <c r="Z146" s="587"/>
      <c r="AA146" s="587"/>
      <c r="AB146" s="587"/>
      <c r="AC146" s="587"/>
      <c r="AE146" s="587"/>
      <c r="AF146" s="587"/>
      <c r="AG146" s="587"/>
      <c r="AH146" s="587"/>
      <c r="AI146" s="587"/>
      <c r="AJ146" s="587"/>
      <c r="AK146" s="587"/>
      <c r="AL146" s="587"/>
      <c r="AM146" s="587"/>
      <c r="AO146" s="587"/>
      <c r="AP146" s="587"/>
      <c r="AQ146" s="587"/>
      <c r="AR146" s="587"/>
      <c r="AS146" s="587"/>
      <c r="AT146" s="587"/>
      <c r="AU146" s="587"/>
      <c r="AV146" s="587"/>
      <c r="AW146" s="587"/>
    </row>
    <row r="147" spans="1:49">
      <c r="A147" s="581">
        <v>13820</v>
      </c>
      <c r="B147" s="594">
        <v>-8.6599999999999996E-2</v>
      </c>
      <c r="C147" s="577">
        <v>8.0000000000000002E-3</v>
      </c>
      <c r="D147" s="577">
        <v>2.3999999999999998E-3</v>
      </c>
      <c r="E147" s="577">
        <v>2.7000000000000001E-3</v>
      </c>
      <c r="F147" s="577">
        <v>2.9499999999999999E-3</v>
      </c>
      <c r="G147" s="577">
        <v>2.8249999999999998E-3</v>
      </c>
      <c r="H147" s="577">
        <v>3.4000000000000002E-3</v>
      </c>
      <c r="I147" s="577">
        <f t="shared" si="24"/>
        <v>-8.8999999999999996E-2</v>
      </c>
      <c r="J147" s="577">
        <f t="shared" si="17"/>
        <v>-8.9424999999999991E-2</v>
      </c>
      <c r="K147" s="577">
        <f t="shared" si="18"/>
        <v>4.5999999999999999E-3</v>
      </c>
      <c r="L147" s="585">
        <f t="shared" si="25"/>
        <v>-0.32094323567627325</v>
      </c>
      <c r="M147" s="585">
        <f t="shared" si="26"/>
        <v>2.8799999999999999E-2</v>
      </c>
      <c r="N147" s="585">
        <f t="shared" si="19"/>
        <v>3.39E-2</v>
      </c>
      <c r="O147" s="586">
        <f t="shared" si="27"/>
        <v>-0.34974323567627325</v>
      </c>
      <c r="P147" s="585">
        <f t="shared" si="20"/>
        <v>-0.35484323567627324</v>
      </c>
      <c r="Q147" s="585">
        <f t="shared" si="21"/>
        <v>-0.31644773843006335</v>
      </c>
      <c r="R147" s="585">
        <f t="shared" si="22"/>
        <v>4.0800000000000003E-2</v>
      </c>
      <c r="S147" s="586">
        <f t="shared" si="23"/>
        <v>-0.35724773843006336</v>
      </c>
      <c r="U147" s="587"/>
      <c r="V147" s="587"/>
      <c r="W147" s="587"/>
      <c r="X147" s="587"/>
      <c r="Y147" s="587"/>
      <c r="Z147" s="587"/>
      <c r="AA147" s="587"/>
      <c r="AB147" s="587"/>
      <c r="AC147" s="587"/>
      <c r="AE147" s="587"/>
      <c r="AF147" s="587"/>
      <c r="AG147" s="587"/>
      <c r="AH147" s="587"/>
      <c r="AI147" s="587"/>
      <c r="AJ147" s="587"/>
      <c r="AK147" s="587"/>
      <c r="AL147" s="587"/>
      <c r="AM147" s="587"/>
      <c r="AO147" s="587"/>
      <c r="AP147" s="587"/>
      <c r="AQ147" s="587"/>
      <c r="AR147" s="587"/>
      <c r="AS147" s="587"/>
      <c r="AT147" s="587"/>
      <c r="AU147" s="587"/>
      <c r="AV147" s="587"/>
      <c r="AW147" s="587"/>
    </row>
    <row r="148" spans="1:49">
      <c r="A148" s="581">
        <v>13850</v>
      </c>
      <c r="B148" s="594">
        <v>-4.5900000000000003E-2</v>
      </c>
      <c r="C148" s="577">
        <v>-9.5100000000000004E-2</v>
      </c>
      <c r="D148" s="577">
        <v>2.3E-3</v>
      </c>
      <c r="E148" s="577">
        <v>2.6750000000000003E-3</v>
      </c>
      <c r="F148" s="577">
        <v>2.9166666666666668E-3</v>
      </c>
      <c r="G148" s="577">
        <v>2.7958333333333333E-3</v>
      </c>
      <c r="H148" s="577">
        <v>3.3583333333333338E-3</v>
      </c>
      <c r="I148" s="577">
        <f t="shared" si="24"/>
        <v>-4.8200000000000007E-2</v>
      </c>
      <c r="J148" s="577">
        <f t="shared" si="17"/>
        <v>-4.8695833333333334E-2</v>
      </c>
      <c r="K148" s="577">
        <f t="shared" si="18"/>
        <v>-9.8458333333333342E-2</v>
      </c>
      <c r="L148" s="585">
        <f t="shared" si="25"/>
        <v>-0.35022760120221885</v>
      </c>
      <c r="M148" s="585">
        <f t="shared" si="26"/>
        <v>2.76E-2</v>
      </c>
      <c r="N148" s="585">
        <f t="shared" si="19"/>
        <v>3.3549999999999996E-2</v>
      </c>
      <c r="O148" s="586">
        <f t="shared" si="27"/>
        <v>-0.37782760120221887</v>
      </c>
      <c r="P148" s="585">
        <f t="shared" si="20"/>
        <v>-0.38377760120221882</v>
      </c>
      <c r="Q148" s="585">
        <f t="shared" si="21"/>
        <v>-0.37050026308300876</v>
      </c>
      <c r="R148" s="585">
        <f t="shared" si="22"/>
        <v>4.0300000000000002E-2</v>
      </c>
      <c r="S148" s="586">
        <f t="shared" si="23"/>
        <v>-0.41080026308300877</v>
      </c>
      <c r="U148" s="587"/>
      <c r="V148" s="587"/>
      <c r="W148" s="587"/>
      <c r="X148" s="587"/>
      <c r="Y148" s="587"/>
      <c r="Z148" s="587"/>
      <c r="AA148" s="587"/>
      <c r="AB148" s="587"/>
      <c r="AC148" s="587"/>
      <c r="AE148" s="587"/>
      <c r="AF148" s="587"/>
      <c r="AG148" s="587"/>
      <c r="AH148" s="587"/>
      <c r="AI148" s="587"/>
      <c r="AJ148" s="587"/>
      <c r="AK148" s="587"/>
      <c r="AL148" s="587"/>
      <c r="AM148" s="587"/>
      <c r="AO148" s="587"/>
      <c r="AP148" s="587"/>
      <c r="AQ148" s="587"/>
      <c r="AR148" s="587"/>
      <c r="AS148" s="587"/>
      <c r="AT148" s="587"/>
      <c r="AU148" s="587"/>
      <c r="AV148" s="587"/>
      <c r="AW148" s="587"/>
    </row>
    <row r="149" spans="1:49">
      <c r="A149" s="581">
        <v>13881</v>
      </c>
      <c r="B149" s="594">
        <v>1.52E-2</v>
      </c>
      <c r="C149" s="577">
        <v>-3.6799999999999999E-2</v>
      </c>
      <c r="D149" s="577">
        <v>2.3E-3</v>
      </c>
      <c r="E149" s="577">
        <v>2.6416666666666667E-3</v>
      </c>
      <c r="F149" s="577">
        <v>2.9166666666666668E-3</v>
      </c>
      <c r="G149" s="577">
        <v>2.7791666666666672E-3</v>
      </c>
      <c r="H149" s="577">
        <v>3.3416666666666668E-3</v>
      </c>
      <c r="I149" s="577">
        <f t="shared" si="24"/>
        <v>1.29E-2</v>
      </c>
      <c r="J149" s="577">
        <f t="shared" si="17"/>
        <v>1.2420833333333332E-2</v>
      </c>
      <c r="K149" s="577">
        <f t="shared" si="18"/>
        <v>-4.0141666666666666E-2</v>
      </c>
      <c r="L149" s="585">
        <f t="shared" si="25"/>
        <v>-0.36511170427381356</v>
      </c>
      <c r="M149" s="585">
        <f t="shared" si="26"/>
        <v>2.76E-2</v>
      </c>
      <c r="N149" s="585">
        <f t="shared" si="19"/>
        <v>3.3350000000000005E-2</v>
      </c>
      <c r="O149" s="586">
        <f t="shared" si="27"/>
        <v>-0.39271170427381358</v>
      </c>
      <c r="P149" s="585">
        <f t="shared" si="20"/>
        <v>-0.39846170427381356</v>
      </c>
      <c r="Q149" s="585">
        <f t="shared" si="21"/>
        <v>-0.40526322059985675</v>
      </c>
      <c r="R149" s="585">
        <f t="shared" si="22"/>
        <v>4.0100000000000004E-2</v>
      </c>
      <c r="S149" s="586">
        <f t="shared" si="23"/>
        <v>-0.44536322059985678</v>
      </c>
      <c r="U149" s="587"/>
      <c r="V149" s="587"/>
      <c r="W149" s="587"/>
      <c r="X149" s="587"/>
      <c r="Y149" s="587"/>
      <c r="Z149" s="587"/>
      <c r="AA149" s="587"/>
      <c r="AB149" s="587"/>
      <c r="AC149" s="587"/>
      <c r="AE149" s="587"/>
      <c r="AF149" s="587"/>
      <c r="AG149" s="587"/>
      <c r="AH149" s="587"/>
      <c r="AI149" s="587"/>
      <c r="AJ149" s="587"/>
      <c r="AK149" s="587"/>
      <c r="AL149" s="587"/>
      <c r="AM149" s="587"/>
      <c r="AO149" s="587"/>
      <c r="AP149" s="587"/>
      <c r="AQ149" s="587"/>
      <c r="AR149" s="587"/>
      <c r="AS149" s="587"/>
      <c r="AT149" s="587"/>
      <c r="AU149" s="587"/>
      <c r="AV149" s="587"/>
      <c r="AW149" s="587"/>
    </row>
    <row r="150" spans="1:49">
      <c r="A150" s="581">
        <v>13912</v>
      </c>
      <c r="B150" s="594">
        <v>6.7400000000000002E-2</v>
      </c>
      <c r="C150" s="577">
        <v>3.4099999999999998E-2</v>
      </c>
      <c r="D150" s="577">
        <v>2.0999999999999999E-3</v>
      </c>
      <c r="E150" s="577">
        <v>2.6666666666666666E-3</v>
      </c>
      <c r="F150" s="577">
        <v>2.9249999999999996E-3</v>
      </c>
      <c r="G150" s="577">
        <v>2.7958333333333329E-3</v>
      </c>
      <c r="H150" s="577">
        <v>3.3583333333333338E-3</v>
      </c>
      <c r="I150" s="577">
        <f t="shared" si="24"/>
        <v>6.5299999999999997E-2</v>
      </c>
      <c r="J150" s="577">
        <f t="shared" si="17"/>
        <v>6.4604166666666671E-2</v>
      </c>
      <c r="K150" s="577">
        <f t="shared" si="18"/>
        <v>3.0741666666666664E-2</v>
      </c>
      <c r="L150" s="585">
        <f t="shared" si="25"/>
        <v>-0.33502132581873079</v>
      </c>
      <c r="M150" s="585">
        <f t="shared" si="26"/>
        <v>2.52E-2</v>
      </c>
      <c r="N150" s="585">
        <f t="shared" si="19"/>
        <v>3.3549999999999996E-2</v>
      </c>
      <c r="O150" s="586">
        <f t="shared" si="27"/>
        <v>-0.36022132581873079</v>
      </c>
      <c r="P150" s="585">
        <f t="shared" si="20"/>
        <v>-0.36857132581873076</v>
      </c>
      <c r="Q150" s="585">
        <f t="shared" si="21"/>
        <v>-0.36247817603639676</v>
      </c>
      <c r="R150" s="585">
        <f t="shared" si="22"/>
        <v>4.0300000000000002E-2</v>
      </c>
      <c r="S150" s="586">
        <f t="shared" si="23"/>
        <v>-0.40277817603639676</v>
      </c>
      <c r="U150" s="587"/>
      <c r="V150" s="587"/>
      <c r="W150" s="587"/>
      <c r="X150" s="587"/>
      <c r="Y150" s="587"/>
      <c r="Z150" s="587"/>
      <c r="AA150" s="587"/>
      <c r="AB150" s="587"/>
      <c r="AC150" s="587"/>
      <c r="AE150" s="587"/>
      <c r="AF150" s="587"/>
      <c r="AG150" s="587"/>
      <c r="AH150" s="587"/>
      <c r="AI150" s="587"/>
      <c r="AJ150" s="587"/>
      <c r="AK150" s="587"/>
      <c r="AL150" s="587"/>
      <c r="AM150" s="587"/>
      <c r="AO150" s="587"/>
      <c r="AP150" s="587"/>
      <c r="AQ150" s="587"/>
      <c r="AR150" s="587"/>
      <c r="AS150" s="587"/>
      <c r="AT150" s="587"/>
      <c r="AU150" s="587"/>
      <c r="AV150" s="587"/>
      <c r="AW150" s="587"/>
    </row>
    <row r="151" spans="1:49">
      <c r="A151" s="581">
        <v>13940</v>
      </c>
      <c r="B151" s="594">
        <v>-0.2487</v>
      </c>
      <c r="C151" s="577">
        <v>-0.19839999999999999</v>
      </c>
      <c r="D151" s="577">
        <v>2.3E-3</v>
      </c>
      <c r="E151" s="577">
        <v>2.6833333333333336E-3</v>
      </c>
      <c r="F151" s="577">
        <v>2.9666666666666669E-3</v>
      </c>
      <c r="G151" s="577">
        <v>2.8250000000000003E-3</v>
      </c>
      <c r="H151" s="577">
        <v>3.3250000000000003E-3</v>
      </c>
      <c r="I151" s="577">
        <f t="shared" si="24"/>
        <v>-0.251</v>
      </c>
      <c r="J151" s="577">
        <f t="shared" si="17"/>
        <v>-0.251525</v>
      </c>
      <c r="K151" s="577">
        <f t="shared" si="18"/>
        <v>-0.20172499999999999</v>
      </c>
      <c r="L151" s="585">
        <f t="shared" si="25"/>
        <v>-0.49652476276087132</v>
      </c>
      <c r="M151" s="585">
        <f t="shared" si="26"/>
        <v>2.76E-2</v>
      </c>
      <c r="N151" s="585">
        <f t="shared" si="19"/>
        <v>3.39E-2</v>
      </c>
      <c r="O151" s="586">
        <f t="shared" si="27"/>
        <v>-0.52412476276087128</v>
      </c>
      <c r="P151" s="585">
        <f t="shared" si="20"/>
        <v>-0.53042476276087136</v>
      </c>
      <c r="Q151" s="585">
        <f t="shared" si="21"/>
        <v>-0.45790018660313525</v>
      </c>
      <c r="R151" s="585">
        <f t="shared" si="22"/>
        <v>3.9900000000000005E-2</v>
      </c>
      <c r="S151" s="586">
        <f t="shared" si="23"/>
        <v>-0.49780018660313524</v>
      </c>
      <c r="U151" s="587"/>
      <c r="V151" s="587"/>
      <c r="W151" s="587"/>
      <c r="X151" s="587"/>
      <c r="Y151" s="587"/>
      <c r="Z151" s="587"/>
      <c r="AA151" s="587"/>
      <c r="AB151" s="587"/>
      <c r="AC151" s="587"/>
      <c r="AE151" s="587"/>
      <c r="AF151" s="587"/>
      <c r="AG151" s="587"/>
      <c r="AH151" s="587"/>
      <c r="AI151" s="587"/>
      <c r="AJ151" s="587"/>
      <c r="AK151" s="587"/>
      <c r="AL151" s="587"/>
      <c r="AM151" s="587"/>
      <c r="AO151" s="587"/>
      <c r="AP151" s="587"/>
      <c r="AQ151" s="587"/>
      <c r="AR151" s="587"/>
      <c r="AS151" s="587"/>
      <c r="AT151" s="587"/>
      <c r="AU151" s="587"/>
      <c r="AV151" s="587"/>
      <c r="AW151" s="587"/>
    </row>
    <row r="152" spans="1:49">
      <c r="A152" s="581">
        <v>13971</v>
      </c>
      <c r="B152" s="594">
        <v>0.1447</v>
      </c>
      <c r="C152" s="577">
        <v>0.15379999999999999</v>
      </c>
      <c r="D152" s="577">
        <v>2.2000000000000001E-3</v>
      </c>
      <c r="E152" s="577">
        <v>2.7499999999999998E-3</v>
      </c>
      <c r="F152" s="577">
        <v>3.1083333333333336E-3</v>
      </c>
      <c r="G152" s="577">
        <v>2.9291666666666667E-3</v>
      </c>
      <c r="H152" s="577">
        <v>3.4000000000000002E-3</v>
      </c>
      <c r="I152" s="577">
        <f t="shared" si="24"/>
        <v>0.14249999999999999</v>
      </c>
      <c r="J152" s="577">
        <f t="shared" si="17"/>
        <v>0.14177083333333332</v>
      </c>
      <c r="K152" s="577">
        <f t="shared" si="18"/>
        <v>0.15039999999999998</v>
      </c>
      <c r="L152" s="585">
        <f t="shared" si="25"/>
        <v>-0.37294298327969677</v>
      </c>
      <c r="M152" s="585">
        <f t="shared" si="26"/>
        <v>2.64E-2</v>
      </c>
      <c r="N152" s="585">
        <f t="shared" si="19"/>
        <v>3.5150000000000001E-2</v>
      </c>
      <c r="O152" s="586">
        <f t="shared" si="27"/>
        <v>-0.39934298327969675</v>
      </c>
      <c r="P152" s="585">
        <f t="shared" si="20"/>
        <v>-0.40809298327969679</v>
      </c>
      <c r="Q152" s="585">
        <f t="shared" si="21"/>
        <v>-0.32483293966180649</v>
      </c>
      <c r="R152" s="585">
        <f t="shared" si="22"/>
        <v>4.0800000000000003E-2</v>
      </c>
      <c r="S152" s="586">
        <f t="shared" si="23"/>
        <v>-0.36563293966180649</v>
      </c>
      <c r="U152" s="587"/>
      <c r="V152" s="587"/>
      <c r="W152" s="587"/>
      <c r="X152" s="587"/>
      <c r="Y152" s="587"/>
      <c r="Z152" s="587"/>
      <c r="AA152" s="587"/>
      <c r="AB152" s="587"/>
      <c r="AC152" s="587"/>
      <c r="AE152" s="587"/>
      <c r="AF152" s="587"/>
      <c r="AG152" s="587"/>
      <c r="AH152" s="587"/>
      <c r="AI152" s="587"/>
      <c r="AJ152" s="587"/>
      <c r="AK152" s="587"/>
      <c r="AL152" s="587"/>
      <c r="AM152" s="587"/>
      <c r="AO152" s="587"/>
      <c r="AP152" s="587"/>
      <c r="AQ152" s="587"/>
      <c r="AR152" s="587"/>
      <c r="AS152" s="587"/>
      <c r="AT152" s="587"/>
      <c r="AU152" s="587"/>
      <c r="AV152" s="587"/>
      <c r="AW152" s="587"/>
    </row>
    <row r="153" spans="1:49">
      <c r="A153" s="581">
        <v>14001</v>
      </c>
      <c r="B153" s="594">
        <v>-3.3000000000000002E-2</v>
      </c>
      <c r="C153" s="577">
        <v>1.8100000000000002E-2</v>
      </c>
      <c r="D153" s="577">
        <v>2.2000000000000001E-3</v>
      </c>
      <c r="E153" s="577">
        <v>2.6833333333333336E-3</v>
      </c>
      <c r="F153" s="577">
        <v>2.9666666666666669E-3</v>
      </c>
      <c r="G153" s="577">
        <v>2.8250000000000003E-3</v>
      </c>
      <c r="H153" s="577">
        <v>3.2916666666666667E-3</v>
      </c>
      <c r="I153" s="577">
        <f t="shared" si="24"/>
        <v>-3.5200000000000002E-2</v>
      </c>
      <c r="J153" s="577">
        <f t="shared" si="17"/>
        <v>-3.5825000000000003E-2</v>
      </c>
      <c r="K153" s="577">
        <f t="shared" si="18"/>
        <v>1.4808333333333335E-2</v>
      </c>
      <c r="L153" s="585">
        <f t="shared" si="25"/>
        <v>-0.39217708984709976</v>
      </c>
      <c r="M153" s="585">
        <f t="shared" si="26"/>
        <v>2.64E-2</v>
      </c>
      <c r="N153" s="585">
        <f t="shared" si="19"/>
        <v>3.39E-2</v>
      </c>
      <c r="O153" s="586">
        <f t="shared" si="27"/>
        <v>-0.41857708984709974</v>
      </c>
      <c r="P153" s="585">
        <f t="shared" si="20"/>
        <v>-0.42607708984709974</v>
      </c>
      <c r="Q153" s="585">
        <f t="shared" si="21"/>
        <v>-0.27521342879553501</v>
      </c>
      <c r="R153" s="585">
        <f t="shared" si="22"/>
        <v>3.95E-2</v>
      </c>
      <c r="S153" s="586">
        <f t="shared" si="23"/>
        <v>-0.31471342879553499</v>
      </c>
      <c r="U153" s="587"/>
      <c r="V153" s="587"/>
      <c r="W153" s="587"/>
      <c r="X153" s="587"/>
      <c r="Y153" s="587"/>
      <c r="Z153" s="587"/>
      <c r="AA153" s="587"/>
      <c r="AB153" s="587"/>
      <c r="AC153" s="587"/>
      <c r="AE153" s="587"/>
      <c r="AF153" s="587"/>
      <c r="AG153" s="587"/>
      <c r="AH153" s="587"/>
      <c r="AI153" s="587"/>
      <c r="AJ153" s="587"/>
      <c r="AK153" s="587"/>
      <c r="AL153" s="587"/>
      <c r="AM153" s="587"/>
      <c r="AO153" s="587"/>
      <c r="AP153" s="587"/>
      <c r="AQ153" s="587"/>
      <c r="AR153" s="587"/>
      <c r="AS153" s="587"/>
      <c r="AT153" s="587"/>
      <c r="AU153" s="587"/>
      <c r="AV153" s="587"/>
      <c r="AW153" s="587"/>
    </row>
    <row r="154" spans="1:49">
      <c r="A154" s="581">
        <v>14032</v>
      </c>
      <c r="B154" s="594">
        <v>0.25030000000000002</v>
      </c>
      <c r="C154" s="577">
        <v>0.16219999999999998</v>
      </c>
      <c r="D154" s="577">
        <v>2.0999999999999999E-3</v>
      </c>
      <c r="E154" s="577">
        <v>2.7166666666666667E-3</v>
      </c>
      <c r="F154" s="577">
        <v>3.0666666666666672E-3</v>
      </c>
      <c r="G154" s="577">
        <v>2.891666666666667E-3</v>
      </c>
      <c r="H154" s="577">
        <v>3.2916666666666667E-3</v>
      </c>
      <c r="I154" s="577">
        <f t="shared" si="24"/>
        <v>0.24820000000000003</v>
      </c>
      <c r="J154" s="577">
        <f t="shared" si="17"/>
        <v>0.24740833333333337</v>
      </c>
      <c r="K154" s="577">
        <f t="shared" si="18"/>
        <v>0.15890833333333332</v>
      </c>
      <c r="L154" s="585">
        <f t="shared" si="25"/>
        <v>-0.19970410218600354</v>
      </c>
      <c r="M154" s="585">
        <f t="shared" si="26"/>
        <v>2.52E-2</v>
      </c>
      <c r="N154" s="585">
        <f t="shared" si="19"/>
        <v>3.4700000000000002E-2</v>
      </c>
      <c r="O154" s="586">
        <f t="shared" si="27"/>
        <v>-0.22490410218600354</v>
      </c>
      <c r="P154" s="585">
        <f t="shared" si="20"/>
        <v>-0.23440410218600355</v>
      </c>
      <c r="Q154" s="585">
        <f t="shared" si="21"/>
        <v>-0.11638838450243405</v>
      </c>
      <c r="R154" s="585">
        <f t="shared" si="22"/>
        <v>3.95E-2</v>
      </c>
      <c r="S154" s="586">
        <f t="shared" si="23"/>
        <v>-0.15588838450243406</v>
      </c>
      <c r="U154" s="587"/>
      <c r="V154" s="587"/>
      <c r="W154" s="587"/>
      <c r="X154" s="587"/>
      <c r="Y154" s="587"/>
      <c r="Z154" s="587"/>
      <c r="AA154" s="587"/>
      <c r="AB154" s="587"/>
      <c r="AC154" s="587"/>
      <c r="AE154" s="587"/>
      <c r="AF154" s="587"/>
      <c r="AG154" s="587"/>
      <c r="AH154" s="587"/>
      <c r="AI154" s="587"/>
      <c r="AJ154" s="587"/>
      <c r="AK154" s="587"/>
      <c r="AL154" s="587"/>
      <c r="AM154" s="587"/>
      <c r="AO154" s="587"/>
      <c r="AP154" s="587"/>
      <c r="AQ154" s="587"/>
      <c r="AR154" s="587"/>
      <c r="AS154" s="587"/>
      <c r="AT154" s="587"/>
      <c r="AU154" s="587"/>
      <c r="AV154" s="587"/>
      <c r="AW154" s="587"/>
    </row>
    <row r="155" spans="1:49">
      <c r="A155" s="581">
        <v>14062</v>
      </c>
      <c r="B155" s="594">
        <v>7.4399999999999994E-2</v>
      </c>
      <c r="C155" s="577">
        <v>1.4800000000000001E-2</v>
      </c>
      <c r="D155" s="577">
        <v>2.0999999999999999E-3</v>
      </c>
      <c r="E155" s="577">
        <v>2.6833333333333336E-3</v>
      </c>
      <c r="F155" s="577">
        <v>3.0166666666666671E-3</v>
      </c>
      <c r="G155" s="577">
        <v>2.8500000000000001E-3</v>
      </c>
      <c r="H155" s="577">
        <v>3.2166666666666667E-3</v>
      </c>
      <c r="I155" s="577">
        <f t="shared" si="24"/>
        <v>7.2299999999999989E-2</v>
      </c>
      <c r="J155" s="577">
        <f t="shared" si="17"/>
        <v>7.1549999999999989E-2</v>
      </c>
      <c r="K155" s="577">
        <f t="shared" si="18"/>
        <v>1.1583333333333334E-2</v>
      </c>
      <c r="L155" s="585">
        <f t="shared" si="25"/>
        <v>-0.22151388627310309</v>
      </c>
      <c r="M155" s="585">
        <f t="shared" si="26"/>
        <v>2.52E-2</v>
      </c>
      <c r="N155" s="585">
        <f t="shared" si="19"/>
        <v>3.4200000000000001E-2</v>
      </c>
      <c r="O155" s="586">
        <f t="shared" si="27"/>
        <v>-0.24671388627310309</v>
      </c>
      <c r="P155" s="585">
        <f t="shared" si="20"/>
        <v>-0.2557138862731031</v>
      </c>
      <c r="Q155" s="585">
        <f t="shared" si="21"/>
        <v>-0.23169474131871337</v>
      </c>
      <c r="R155" s="585">
        <f t="shared" si="22"/>
        <v>3.8600000000000002E-2</v>
      </c>
      <c r="S155" s="586">
        <f t="shared" si="23"/>
        <v>-0.27029474131871339</v>
      </c>
      <c r="U155" s="587"/>
      <c r="V155" s="587"/>
      <c r="W155" s="587"/>
      <c r="X155" s="587"/>
      <c r="Y155" s="587"/>
      <c r="Z155" s="587"/>
      <c r="AA155" s="587"/>
      <c r="AB155" s="587"/>
      <c r="AC155" s="587"/>
      <c r="AE155" s="587"/>
      <c r="AF155" s="587"/>
      <c r="AG155" s="587"/>
      <c r="AH155" s="587"/>
      <c r="AI155" s="587"/>
      <c r="AJ155" s="587"/>
      <c r="AK155" s="587"/>
      <c r="AL155" s="587"/>
      <c r="AM155" s="587"/>
      <c r="AO155" s="587"/>
      <c r="AP155" s="587"/>
      <c r="AQ155" s="587"/>
      <c r="AR155" s="587"/>
      <c r="AS155" s="587"/>
      <c r="AT155" s="587"/>
      <c r="AU155" s="587"/>
      <c r="AV155" s="587"/>
      <c r="AW155" s="587"/>
    </row>
    <row r="156" spans="1:49">
      <c r="A156" s="581">
        <v>14093</v>
      </c>
      <c r="B156" s="594">
        <v>-2.2599999999999999E-2</v>
      </c>
      <c r="C156" s="577">
        <v>-5.57E-2</v>
      </c>
      <c r="D156" s="577">
        <v>2.2000000000000001E-3</v>
      </c>
      <c r="E156" s="577">
        <v>2.65E-3</v>
      </c>
      <c r="F156" s="577">
        <v>2.9749999999999998E-3</v>
      </c>
      <c r="G156" s="577">
        <v>2.8124999999999999E-3</v>
      </c>
      <c r="H156" s="577">
        <v>3.2000000000000002E-3</v>
      </c>
      <c r="I156" s="577">
        <f t="shared" si="24"/>
        <v>-2.4799999999999999E-2</v>
      </c>
      <c r="J156" s="577">
        <f t="shared" si="17"/>
        <v>-2.5412499999999998E-2</v>
      </c>
      <c r="K156" s="577">
        <f t="shared" si="18"/>
        <v>-5.8900000000000001E-2</v>
      </c>
      <c r="L156" s="585">
        <f t="shared" si="25"/>
        <v>-0.20049140742180394</v>
      </c>
      <c r="M156" s="585">
        <f t="shared" si="26"/>
        <v>2.64E-2</v>
      </c>
      <c r="N156" s="585">
        <f t="shared" si="19"/>
        <v>3.3750000000000002E-2</v>
      </c>
      <c r="O156" s="586">
        <f t="shared" si="27"/>
        <v>-0.22689140742180394</v>
      </c>
      <c r="P156" s="585">
        <f t="shared" si="20"/>
        <v>-0.23424140742180394</v>
      </c>
      <c r="Q156" s="585">
        <f t="shared" si="21"/>
        <v>-0.20247262199325156</v>
      </c>
      <c r="R156" s="585">
        <f t="shared" si="22"/>
        <v>3.8400000000000004E-2</v>
      </c>
      <c r="S156" s="586">
        <f t="shared" si="23"/>
        <v>-0.24087262199325155</v>
      </c>
      <c r="U156" s="587"/>
      <c r="V156" s="587"/>
      <c r="W156" s="587"/>
      <c r="X156" s="587"/>
      <c r="Y156" s="587"/>
      <c r="Z156" s="587"/>
      <c r="AA156" s="587"/>
      <c r="AB156" s="587"/>
      <c r="AC156" s="587"/>
      <c r="AE156" s="587"/>
      <c r="AF156" s="587"/>
      <c r="AG156" s="587"/>
      <c r="AH156" s="587"/>
      <c r="AI156" s="587"/>
      <c r="AJ156" s="587"/>
      <c r="AK156" s="587"/>
      <c r="AL156" s="587"/>
      <c r="AM156" s="587"/>
      <c r="AO156" s="587"/>
      <c r="AP156" s="587"/>
      <c r="AQ156" s="587"/>
      <c r="AR156" s="587"/>
      <c r="AS156" s="587"/>
      <c r="AT156" s="587"/>
      <c r="AU156" s="587"/>
      <c r="AV156" s="587"/>
      <c r="AW156" s="587"/>
    </row>
    <row r="157" spans="1:49">
      <c r="A157" s="581">
        <v>14124</v>
      </c>
      <c r="B157" s="594">
        <v>1.66E-2</v>
      </c>
      <c r="C157" s="577">
        <v>1.9099999999999999E-2</v>
      </c>
      <c r="D157" s="577">
        <v>2.0999999999999999E-3</v>
      </c>
      <c r="E157" s="577">
        <v>2.6750000000000003E-3</v>
      </c>
      <c r="F157" s="577">
        <v>3.0000000000000001E-3</v>
      </c>
      <c r="G157" s="577">
        <v>2.8375000000000002E-3</v>
      </c>
      <c r="H157" s="577">
        <v>3.2333333333333329E-3</v>
      </c>
      <c r="I157" s="577">
        <f t="shared" si="24"/>
        <v>1.4500000000000001E-2</v>
      </c>
      <c r="J157" s="577">
        <f t="shared" ref="J157:J220" si="28">B157-G157</f>
        <v>1.37625E-2</v>
      </c>
      <c r="K157" s="577">
        <f t="shared" ref="K157:K220" si="29">$C157-H157</f>
        <v>1.5866666666666668E-2</v>
      </c>
      <c r="L157" s="585">
        <f t="shared" si="25"/>
        <v>-5.45766718448365E-2</v>
      </c>
      <c r="M157" s="585">
        <f t="shared" si="26"/>
        <v>2.52E-2</v>
      </c>
      <c r="N157" s="585">
        <f t="shared" si="19"/>
        <v>3.4050000000000004E-2</v>
      </c>
      <c r="O157" s="586">
        <f t="shared" si="27"/>
        <v>-7.97766718448365E-2</v>
      </c>
      <c r="P157" s="585">
        <f t="shared" si="20"/>
        <v>-8.8626671844836497E-2</v>
      </c>
      <c r="Q157" s="585">
        <f t="shared" si="21"/>
        <v>-7.9129672641426341E-2</v>
      </c>
      <c r="R157" s="585">
        <f t="shared" si="22"/>
        <v>3.8799999999999994E-2</v>
      </c>
      <c r="S157" s="586">
        <f t="shared" si="23"/>
        <v>-0.11792967264142634</v>
      </c>
      <c r="U157" s="587"/>
      <c r="V157" s="587"/>
      <c r="W157" s="587"/>
      <c r="X157" s="587"/>
      <c r="Y157" s="587"/>
      <c r="Z157" s="587"/>
      <c r="AA157" s="587"/>
      <c r="AB157" s="587"/>
      <c r="AC157" s="587"/>
      <c r="AE157" s="587"/>
      <c r="AF157" s="587"/>
      <c r="AG157" s="587"/>
      <c r="AH157" s="587"/>
      <c r="AI157" s="587"/>
      <c r="AJ157" s="587"/>
      <c r="AK157" s="587"/>
      <c r="AL157" s="587"/>
      <c r="AM157" s="587"/>
      <c r="AO157" s="587"/>
      <c r="AP157" s="587"/>
      <c r="AQ157" s="587"/>
      <c r="AR157" s="587"/>
      <c r="AS157" s="587"/>
      <c r="AT157" s="587"/>
      <c r="AU157" s="587"/>
      <c r="AV157" s="587"/>
      <c r="AW157" s="587"/>
    </row>
    <row r="158" spans="1:49">
      <c r="A158" s="581">
        <v>14154</v>
      </c>
      <c r="B158" s="594">
        <v>7.7600000000000002E-2</v>
      </c>
      <c r="C158" s="577">
        <v>0.18009999999999998</v>
      </c>
      <c r="D158" s="577">
        <v>2.2000000000000001E-3</v>
      </c>
      <c r="E158" s="577">
        <v>2.6250000000000002E-3</v>
      </c>
      <c r="F158" s="577">
        <v>2.9416666666666662E-3</v>
      </c>
      <c r="G158" s="577">
        <v>2.7833333333333334E-3</v>
      </c>
      <c r="H158" s="577">
        <v>3.1583333333333337E-3</v>
      </c>
      <c r="I158" s="577">
        <f t="shared" si="24"/>
        <v>7.5400000000000009E-2</v>
      </c>
      <c r="J158" s="577">
        <f t="shared" si="28"/>
        <v>7.481666666666667E-2</v>
      </c>
      <c r="K158" s="577">
        <f t="shared" si="29"/>
        <v>0.17694166666666664</v>
      </c>
      <c r="L158" s="585">
        <f t="shared" si="25"/>
        <v>0.12960214926267244</v>
      </c>
      <c r="M158" s="585">
        <f t="shared" si="26"/>
        <v>2.64E-2</v>
      </c>
      <c r="N158" s="585">
        <f t="shared" si="19"/>
        <v>3.3399999999999999E-2</v>
      </c>
      <c r="O158" s="586">
        <f t="shared" si="27"/>
        <v>0.10320214926267243</v>
      </c>
      <c r="P158" s="585">
        <f t="shared" si="20"/>
        <v>9.620214926267244E-2</v>
      </c>
      <c r="Q158" s="585">
        <f t="shared" si="21"/>
        <v>0.14584465765062471</v>
      </c>
      <c r="R158" s="585">
        <f t="shared" si="22"/>
        <v>3.7900000000000003E-2</v>
      </c>
      <c r="S158" s="586">
        <f t="shared" si="23"/>
        <v>0.10794465765062471</v>
      </c>
      <c r="U158" s="587"/>
      <c r="V158" s="587"/>
      <c r="W158" s="587"/>
      <c r="X158" s="587"/>
      <c r="Y158" s="587"/>
      <c r="Z158" s="587"/>
      <c r="AA158" s="587"/>
      <c r="AB158" s="587"/>
      <c r="AC158" s="587"/>
      <c r="AE158" s="587"/>
      <c r="AF158" s="587"/>
      <c r="AG158" s="587"/>
      <c r="AH158" s="587"/>
      <c r="AI158" s="587"/>
      <c r="AJ158" s="587"/>
      <c r="AK158" s="587"/>
      <c r="AL158" s="587"/>
      <c r="AM158" s="587"/>
      <c r="AO158" s="587"/>
      <c r="AP158" s="587"/>
      <c r="AQ158" s="587"/>
      <c r="AR158" s="587"/>
      <c r="AS158" s="587"/>
      <c r="AT158" s="587"/>
      <c r="AU158" s="587"/>
      <c r="AV158" s="587"/>
      <c r="AW158" s="587"/>
    </row>
    <row r="159" spans="1:49">
      <c r="A159" s="581">
        <v>14185</v>
      </c>
      <c r="B159" s="594">
        <v>-2.7300000000000001E-2</v>
      </c>
      <c r="C159" s="577">
        <v>-6.2000000000000013E-2</v>
      </c>
      <c r="D159" s="577">
        <v>2.0999999999999999E-3</v>
      </c>
      <c r="E159" s="577">
        <v>2.5833333333333337E-3</v>
      </c>
      <c r="F159" s="577">
        <v>2.8833333333333332E-3</v>
      </c>
      <c r="G159" s="577">
        <v>2.7333333333333333E-3</v>
      </c>
      <c r="H159" s="577">
        <v>3.1083333333333336E-3</v>
      </c>
      <c r="I159" s="577">
        <f t="shared" si="24"/>
        <v>-2.9400000000000003E-2</v>
      </c>
      <c r="J159" s="577">
        <f t="shared" si="28"/>
        <v>-3.0033333333333335E-2</v>
      </c>
      <c r="K159" s="577">
        <f t="shared" si="29"/>
        <v>-6.5108333333333351E-2</v>
      </c>
      <c r="L159" s="585">
        <f t="shared" si="25"/>
        <v>0.2029384832360428</v>
      </c>
      <c r="M159" s="585">
        <f t="shared" si="26"/>
        <v>2.52E-2</v>
      </c>
      <c r="N159" s="585">
        <f t="shared" si="19"/>
        <v>3.2799999999999996E-2</v>
      </c>
      <c r="O159" s="586">
        <f t="shared" si="27"/>
        <v>0.1777384832360428</v>
      </c>
      <c r="P159" s="585">
        <f t="shared" si="20"/>
        <v>0.1701384832360428</v>
      </c>
      <c r="Q159" s="585">
        <f t="shared" si="21"/>
        <v>6.6272111980442583E-2</v>
      </c>
      <c r="R159" s="585">
        <f t="shared" si="22"/>
        <v>3.73E-2</v>
      </c>
      <c r="S159" s="586">
        <f t="shared" si="23"/>
        <v>2.8972111980442583E-2</v>
      </c>
      <c r="U159" s="587"/>
      <c r="V159" s="587"/>
      <c r="W159" s="587"/>
      <c r="X159" s="587"/>
      <c r="Y159" s="587"/>
      <c r="Z159" s="587"/>
      <c r="AA159" s="587"/>
      <c r="AB159" s="587"/>
      <c r="AC159" s="587"/>
      <c r="AE159" s="587"/>
      <c r="AF159" s="587"/>
      <c r="AG159" s="587"/>
      <c r="AH159" s="587"/>
      <c r="AI159" s="587"/>
      <c r="AJ159" s="587"/>
      <c r="AK159" s="587"/>
      <c r="AL159" s="587"/>
      <c r="AM159" s="587"/>
      <c r="AO159" s="587"/>
      <c r="AP159" s="587"/>
      <c r="AQ159" s="587"/>
      <c r="AR159" s="587"/>
      <c r="AS159" s="587"/>
      <c r="AT159" s="587"/>
      <c r="AU159" s="587"/>
      <c r="AV159" s="587"/>
      <c r="AW159" s="587"/>
    </row>
    <row r="160" spans="1:49">
      <c r="A160" s="581">
        <v>14215</v>
      </c>
      <c r="B160" s="594">
        <v>4.0099999999999997E-2</v>
      </c>
      <c r="C160" s="577">
        <v>3.9099999999999996E-2</v>
      </c>
      <c r="D160" s="577">
        <v>2.2000000000000001E-3</v>
      </c>
      <c r="E160" s="577">
        <v>2.5666666666666667E-3</v>
      </c>
      <c r="F160" s="577">
        <v>2.8499999999999997E-3</v>
      </c>
      <c r="G160" s="577">
        <v>2.708333333333333E-3</v>
      </c>
      <c r="H160" s="577">
        <v>3.1166666666666669E-3</v>
      </c>
      <c r="I160" s="577">
        <f t="shared" si="24"/>
        <v>3.7899999999999996E-2</v>
      </c>
      <c r="J160" s="577">
        <f t="shared" si="28"/>
        <v>3.7391666666666663E-2</v>
      </c>
      <c r="K160" s="577">
        <f t="shared" si="29"/>
        <v>3.5983333333333326E-2</v>
      </c>
      <c r="L160" s="585">
        <f t="shared" si="25"/>
        <v>0.3113681127909107</v>
      </c>
      <c r="M160" s="585">
        <f t="shared" si="26"/>
        <v>2.64E-2</v>
      </c>
      <c r="N160" s="585">
        <f t="shared" si="19"/>
        <v>3.2499999999999994E-2</v>
      </c>
      <c r="O160" s="586">
        <f t="shared" si="27"/>
        <v>0.28496811279091072</v>
      </c>
      <c r="P160" s="585">
        <f t="shared" si="20"/>
        <v>0.27886811279091073</v>
      </c>
      <c r="Q160" s="585">
        <f t="shared" si="21"/>
        <v>0.22440419003080758</v>
      </c>
      <c r="R160" s="585">
        <f t="shared" si="22"/>
        <v>3.7400000000000003E-2</v>
      </c>
      <c r="S160" s="586">
        <f t="shared" si="23"/>
        <v>0.18700419003080759</v>
      </c>
      <c r="U160" s="587"/>
      <c r="V160" s="587"/>
      <c r="W160" s="587"/>
      <c r="X160" s="587"/>
      <c r="Y160" s="587"/>
      <c r="Z160" s="587"/>
      <c r="AA160" s="587"/>
      <c r="AB160" s="587"/>
      <c r="AC160" s="587"/>
      <c r="AE160" s="587"/>
      <c r="AF160" s="587"/>
      <c r="AG160" s="587"/>
      <c r="AH160" s="587"/>
      <c r="AI160" s="587"/>
      <c r="AJ160" s="587"/>
      <c r="AK160" s="587"/>
      <c r="AL160" s="587"/>
      <c r="AM160" s="587"/>
      <c r="AO160" s="587"/>
      <c r="AP160" s="587"/>
      <c r="AQ160" s="587"/>
      <c r="AR160" s="587"/>
      <c r="AS160" s="587"/>
      <c r="AT160" s="587"/>
      <c r="AU160" s="587"/>
      <c r="AV160" s="587"/>
      <c r="AW160" s="587"/>
    </row>
    <row r="161" spans="1:49">
      <c r="A161" s="581">
        <v>14246</v>
      </c>
      <c r="B161" s="594">
        <v>-6.7400000000000002E-2</v>
      </c>
      <c r="C161" s="577">
        <v>1.6500000000000001E-2</v>
      </c>
      <c r="D161" s="577">
        <v>2.0999999999999999E-3</v>
      </c>
      <c r="E161" s="577">
        <v>2.5083333333333329E-3</v>
      </c>
      <c r="F161" s="577">
        <v>2.7666666666666668E-3</v>
      </c>
      <c r="G161" s="577">
        <v>2.6374999999999997E-3</v>
      </c>
      <c r="H161" s="577">
        <v>3.0666666666666672E-3</v>
      </c>
      <c r="I161" s="577">
        <f t="shared" si="24"/>
        <v>-6.9500000000000006E-2</v>
      </c>
      <c r="J161" s="577">
        <f t="shared" si="28"/>
        <v>-7.0037500000000003E-2</v>
      </c>
      <c r="K161" s="577">
        <f t="shared" si="29"/>
        <v>1.3433333333333334E-2</v>
      </c>
      <c r="L161" s="585">
        <f t="shared" si="25"/>
        <v>0.2046709042442898</v>
      </c>
      <c r="M161" s="585">
        <f t="shared" si="26"/>
        <v>2.52E-2</v>
      </c>
      <c r="N161" s="585">
        <f t="shared" si="19"/>
        <v>3.1649999999999998E-2</v>
      </c>
      <c r="O161" s="586">
        <f t="shared" si="27"/>
        <v>0.1794709042442898</v>
      </c>
      <c r="P161" s="585">
        <f t="shared" si="20"/>
        <v>0.17302090424428979</v>
      </c>
      <c r="Q161" s="585">
        <f t="shared" si="21"/>
        <v>0.29215828401818511</v>
      </c>
      <c r="R161" s="585">
        <f t="shared" si="22"/>
        <v>3.6800000000000006E-2</v>
      </c>
      <c r="S161" s="586">
        <f t="shared" si="23"/>
        <v>0.25535828401818511</v>
      </c>
      <c r="U161" s="587"/>
      <c r="V161" s="587"/>
      <c r="W161" s="587"/>
      <c r="X161" s="587"/>
      <c r="Y161" s="587"/>
      <c r="Z161" s="587"/>
      <c r="AA161" s="587"/>
      <c r="AB161" s="587"/>
      <c r="AC161" s="587"/>
      <c r="AE161" s="587"/>
      <c r="AF161" s="587"/>
      <c r="AG161" s="587"/>
      <c r="AH161" s="587"/>
      <c r="AI161" s="587"/>
      <c r="AJ161" s="587"/>
      <c r="AK161" s="587"/>
      <c r="AL161" s="587"/>
      <c r="AM161" s="587"/>
      <c r="AO161" s="587"/>
      <c r="AP161" s="587"/>
      <c r="AQ161" s="587"/>
      <c r="AR161" s="587"/>
      <c r="AS161" s="587"/>
      <c r="AT161" s="587"/>
      <c r="AU161" s="587"/>
      <c r="AV161" s="587"/>
      <c r="AW161" s="587"/>
    </row>
    <row r="162" spans="1:49">
      <c r="A162" s="581">
        <v>14277</v>
      </c>
      <c r="B162" s="594">
        <v>3.9E-2</v>
      </c>
      <c r="C162" s="577">
        <v>8.0100000000000005E-2</v>
      </c>
      <c r="D162" s="577">
        <v>1.9E-3</v>
      </c>
      <c r="E162" s="577">
        <v>2.5000000000000001E-3</v>
      </c>
      <c r="F162" s="577">
        <v>2.7166666666666667E-3</v>
      </c>
      <c r="G162" s="577">
        <v>2.6083333333333336E-3</v>
      </c>
      <c r="H162" s="577">
        <v>2.9916666666666663E-3</v>
      </c>
      <c r="I162" s="577">
        <f t="shared" si="24"/>
        <v>3.7100000000000001E-2</v>
      </c>
      <c r="J162" s="577">
        <f t="shared" si="28"/>
        <v>3.6391666666666669E-2</v>
      </c>
      <c r="K162" s="577">
        <f t="shared" si="29"/>
        <v>7.7108333333333334E-2</v>
      </c>
      <c r="L162" s="585">
        <f t="shared" si="25"/>
        <v>0.17261857739349606</v>
      </c>
      <c r="M162" s="585">
        <f t="shared" si="26"/>
        <v>2.2800000000000001E-2</v>
      </c>
      <c r="N162" s="585">
        <f t="shared" si="19"/>
        <v>3.1300000000000001E-2</v>
      </c>
      <c r="O162" s="586">
        <f t="shared" si="27"/>
        <v>0.14981857739349608</v>
      </c>
      <c r="P162" s="585">
        <f t="shared" si="20"/>
        <v>0.14131857739349607</v>
      </c>
      <c r="Q162" s="585">
        <f t="shared" si="21"/>
        <v>0.34963752303262896</v>
      </c>
      <c r="R162" s="585">
        <f t="shared" si="22"/>
        <v>3.5899999999999994E-2</v>
      </c>
      <c r="S162" s="586">
        <f t="shared" si="23"/>
        <v>0.31373752303262897</v>
      </c>
      <c r="U162" s="587"/>
      <c r="V162" s="587"/>
      <c r="W162" s="587"/>
      <c r="X162" s="587"/>
      <c r="Y162" s="587"/>
      <c r="Z162" s="587"/>
      <c r="AA162" s="587"/>
      <c r="AB162" s="587"/>
      <c r="AC162" s="587"/>
      <c r="AE162" s="587"/>
      <c r="AF162" s="587"/>
      <c r="AG162" s="587"/>
      <c r="AH162" s="587"/>
      <c r="AI162" s="587"/>
      <c r="AJ162" s="587"/>
      <c r="AK162" s="587"/>
      <c r="AL162" s="587"/>
      <c r="AM162" s="587"/>
      <c r="AO162" s="587"/>
      <c r="AP162" s="587"/>
      <c r="AQ162" s="587"/>
      <c r="AR162" s="587"/>
      <c r="AS162" s="587"/>
      <c r="AT162" s="587"/>
      <c r="AU162" s="587"/>
      <c r="AV162" s="587"/>
      <c r="AW162" s="587"/>
    </row>
    <row r="163" spans="1:49">
      <c r="A163" s="581">
        <v>14305</v>
      </c>
      <c r="B163" s="594">
        <v>-0.13389999999999999</v>
      </c>
      <c r="C163" s="577">
        <v>-0.13780000000000001</v>
      </c>
      <c r="D163" s="577">
        <v>2.0999999999999999E-3</v>
      </c>
      <c r="E163" s="577">
        <v>2.4916666666666668E-3</v>
      </c>
      <c r="F163" s="577">
        <v>2.6833333333333336E-3</v>
      </c>
      <c r="G163" s="577">
        <v>2.5875000000000004E-3</v>
      </c>
      <c r="H163" s="577">
        <v>2.9499999999999999E-3</v>
      </c>
      <c r="I163" s="577">
        <f t="shared" si="24"/>
        <v>-0.13599999999999998</v>
      </c>
      <c r="J163" s="577">
        <f t="shared" si="28"/>
        <v>-0.13648749999999998</v>
      </c>
      <c r="K163" s="577">
        <f t="shared" si="29"/>
        <v>-0.14075000000000001</v>
      </c>
      <c r="L163" s="585">
        <f t="shared" si="25"/>
        <v>0.35179681868828294</v>
      </c>
      <c r="M163" s="585">
        <f t="shared" si="26"/>
        <v>2.52E-2</v>
      </c>
      <c r="N163" s="585">
        <f t="shared" si="19"/>
        <v>3.1050000000000005E-2</v>
      </c>
      <c r="O163" s="586">
        <f t="shared" si="27"/>
        <v>0.32659681868828294</v>
      </c>
      <c r="P163" s="585">
        <f t="shared" si="20"/>
        <v>0.32074681868828292</v>
      </c>
      <c r="Q163" s="585">
        <f t="shared" si="21"/>
        <v>0.45166850344153286</v>
      </c>
      <c r="R163" s="585">
        <f t="shared" si="22"/>
        <v>3.5400000000000001E-2</v>
      </c>
      <c r="S163" s="586">
        <f t="shared" si="23"/>
        <v>0.41626850344153288</v>
      </c>
      <c r="U163" s="587"/>
      <c r="V163" s="587"/>
      <c r="W163" s="587"/>
      <c r="X163" s="587"/>
      <c r="Y163" s="587"/>
      <c r="Z163" s="587"/>
      <c r="AA163" s="587"/>
      <c r="AB163" s="587"/>
      <c r="AC163" s="587"/>
      <c r="AE163" s="587"/>
      <c r="AF163" s="587"/>
      <c r="AG163" s="587"/>
      <c r="AH163" s="587"/>
      <c r="AI163" s="587"/>
      <c r="AJ163" s="587"/>
      <c r="AK163" s="587"/>
      <c r="AL163" s="587"/>
      <c r="AM163" s="587"/>
      <c r="AO163" s="587"/>
      <c r="AP163" s="587"/>
      <c r="AQ163" s="587"/>
      <c r="AR163" s="587"/>
      <c r="AS163" s="587"/>
      <c r="AT163" s="587"/>
      <c r="AU163" s="587"/>
      <c r="AV163" s="587"/>
      <c r="AW163" s="587"/>
    </row>
    <row r="164" spans="1:49">
      <c r="A164" s="581">
        <v>14336</v>
      </c>
      <c r="B164" s="594">
        <v>-2.7000000000000001E-3</v>
      </c>
      <c r="C164" s="577">
        <v>2.8500000000000001E-2</v>
      </c>
      <c r="D164" s="577">
        <v>1.9E-3</v>
      </c>
      <c r="E164" s="577">
        <v>2.5166666666666666E-3</v>
      </c>
      <c r="F164" s="577">
        <v>2.6833333333333336E-3</v>
      </c>
      <c r="G164" s="577">
        <v>2.5999999999999999E-3</v>
      </c>
      <c r="H164" s="577">
        <v>2.9583333333333332E-3</v>
      </c>
      <c r="I164" s="577">
        <f t="shared" si="24"/>
        <v>-4.5999999999999999E-3</v>
      </c>
      <c r="J164" s="577">
        <f t="shared" si="28"/>
        <v>-5.3E-3</v>
      </c>
      <c r="K164" s="577">
        <f t="shared" si="29"/>
        <v>2.5541666666666667E-2</v>
      </c>
      <c r="L164" s="585">
        <f t="shared" si="25"/>
        <v>0.1777295075371923</v>
      </c>
      <c r="M164" s="585">
        <f t="shared" si="26"/>
        <v>2.2800000000000001E-2</v>
      </c>
      <c r="N164" s="585">
        <f t="shared" si="19"/>
        <v>3.1199999999999999E-2</v>
      </c>
      <c r="O164" s="586">
        <f t="shared" si="27"/>
        <v>0.15492950753719231</v>
      </c>
      <c r="P164" s="585">
        <f t="shared" si="20"/>
        <v>0.14652950753719229</v>
      </c>
      <c r="Q164" s="585">
        <f t="shared" si="21"/>
        <v>0.29402067584470148</v>
      </c>
      <c r="R164" s="585">
        <f t="shared" si="22"/>
        <v>3.5499999999999997E-2</v>
      </c>
      <c r="S164" s="586">
        <f t="shared" si="23"/>
        <v>0.25852067584470151</v>
      </c>
      <c r="U164" s="587"/>
      <c r="V164" s="587"/>
      <c r="W164" s="587"/>
      <c r="X164" s="587"/>
      <c r="Y164" s="587"/>
      <c r="Z164" s="587"/>
      <c r="AA164" s="587"/>
      <c r="AB164" s="587"/>
      <c r="AC164" s="587"/>
      <c r="AE164" s="587"/>
      <c r="AF164" s="587"/>
      <c r="AG164" s="587"/>
      <c r="AH164" s="587"/>
      <c r="AI164" s="587"/>
      <c r="AJ164" s="587"/>
      <c r="AK164" s="587"/>
      <c r="AL164" s="587"/>
      <c r="AM164" s="587"/>
      <c r="AO164" s="587"/>
      <c r="AP164" s="587"/>
      <c r="AQ164" s="587"/>
      <c r="AR164" s="587"/>
      <c r="AS164" s="587"/>
      <c r="AT164" s="587"/>
      <c r="AU164" s="587"/>
      <c r="AV164" s="587"/>
      <c r="AW164" s="587"/>
    </row>
    <row r="165" spans="1:49">
      <c r="A165" s="581">
        <v>14366</v>
      </c>
      <c r="B165" s="594">
        <v>7.3300000000000004E-2</v>
      </c>
      <c r="C165" s="577">
        <v>6.6500000000000004E-2</v>
      </c>
      <c r="D165" s="577">
        <v>2E-3</v>
      </c>
      <c r="E165" s="577">
        <v>2.4750000000000002E-3</v>
      </c>
      <c r="F165" s="577">
        <v>2.6333333333333334E-3</v>
      </c>
      <c r="G165" s="577">
        <v>2.5541666666666668E-3</v>
      </c>
      <c r="H165" s="577">
        <v>2.9166666666666668E-3</v>
      </c>
      <c r="I165" s="577">
        <f t="shared" si="24"/>
        <v>7.1300000000000002E-2</v>
      </c>
      <c r="J165" s="577">
        <f t="shared" si="28"/>
        <v>7.0745833333333341E-2</v>
      </c>
      <c r="K165" s="577">
        <f t="shared" si="29"/>
        <v>6.3583333333333339E-2</v>
      </c>
      <c r="L165" s="585">
        <f t="shared" si="25"/>
        <v>0.30719449890348338</v>
      </c>
      <c r="M165" s="585">
        <f t="shared" si="26"/>
        <v>2.4E-2</v>
      </c>
      <c r="N165" s="585">
        <f t="shared" si="19"/>
        <v>3.0650000000000004E-2</v>
      </c>
      <c r="O165" s="586">
        <f t="shared" si="27"/>
        <v>0.28319449890348336</v>
      </c>
      <c r="P165" s="585">
        <f t="shared" si="20"/>
        <v>0.27654449890348337</v>
      </c>
      <c r="Q165" s="585">
        <f t="shared" si="21"/>
        <v>0.35553781631310688</v>
      </c>
      <c r="R165" s="585">
        <f t="shared" si="22"/>
        <v>3.5000000000000003E-2</v>
      </c>
      <c r="S165" s="586">
        <f t="shared" si="23"/>
        <v>0.32053781631310685</v>
      </c>
      <c r="U165" s="587"/>
      <c r="V165" s="587"/>
      <c r="W165" s="587"/>
      <c r="X165" s="587"/>
      <c r="Y165" s="587"/>
      <c r="Z165" s="587"/>
      <c r="AA165" s="587"/>
      <c r="AB165" s="587"/>
      <c r="AC165" s="587"/>
      <c r="AE165" s="587"/>
      <c r="AF165" s="587"/>
      <c r="AG165" s="587"/>
      <c r="AH165" s="587"/>
      <c r="AI165" s="587"/>
      <c r="AJ165" s="587"/>
      <c r="AK165" s="587"/>
      <c r="AL165" s="587"/>
      <c r="AM165" s="587"/>
      <c r="AO165" s="587"/>
      <c r="AP165" s="587"/>
      <c r="AQ165" s="587"/>
      <c r="AR165" s="587"/>
      <c r="AS165" s="587"/>
      <c r="AT165" s="587"/>
      <c r="AU165" s="587"/>
      <c r="AV165" s="587"/>
      <c r="AW165" s="587"/>
    </row>
    <row r="166" spans="1:49">
      <c r="A166" s="581">
        <v>14397</v>
      </c>
      <c r="B166" s="594">
        <v>-6.1199999999999997E-2</v>
      </c>
      <c r="C166" s="577">
        <v>-4.2299999999999997E-2</v>
      </c>
      <c r="D166" s="577">
        <v>1.8E-3</v>
      </c>
      <c r="E166" s="577">
        <v>2.4333333333333334E-3</v>
      </c>
      <c r="F166" s="577">
        <v>2.6083333333333332E-3</v>
      </c>
      <c r="G166" s="577">
        <v>2.5208333333333333E-3</v>
      </c>
      <c r="H166" s="577">
        <v>2.891666666666667E-3</v>
      </c>
      <c r="I166" s="577">
        <f t="shared" si="24"/>
        <v>-6.3E-2</v>
      </c>
      <c r="J166" s="577">
        <f t="shared" si="28"/>
        <v>-6.3720833333333338E-2</v>
      </c>
      <c r="K166" s="577">
        <f t="shared" si="29"/>
        <v>-4.5191666666666665E-2</v>
      </c>
      <c r="L166" s="585">
        <f t="shared" si="25"/>
        <v>-1.8480208293537137E-2</v>
      </c>
      <c r="M166" s="585">
        <f t="shared" si="26"/>
        <v>2.1600000000000001E-2</v>
      </c>
      <c r="N166" s="585">
        <f t="shared" si="19"/>
        <v>3.0249999999999999E-2</v>
      </c>
      <c r="O166" s="586">
        <f t="shared" si="27"/>
        <v>-4.0080208293537138E-2</v>
      </c>
      <c r="P166" s="585">
        <f t="shared" si="20"/>
        <v>-4.8730208293537136E-2</v>
      </c>
      <c r="Q166" s="585">
        <f t="shared" si="21"/>
        <v>0.11701821259943457</v>
      </c>
      <c r="R166" s="585">
        <f t="shared" si="22"/>
        <v>3.4700000000000002E-2</v>
      </c>
      <c r="S166" s="586">
        <f t="shared" si="23"/>
        <v>8.2318212599434559E-2</v>
      </c>
      <c r="U166" s="587"/>
      <c r="V166" s="587"/>
      <c r="W166" s="587"/>
      <c r="X166" s="587"/>
      <c r="Y166" s="587"/>
      <c r="Z166" s="587"/>
      <c r="AA166" s="587"/>
      <c r="AB166" s="587"/>
      <c r="AC166" s="587"/>
      <c r="AE166" s="587"/>
      <c r="AF166" s="587"/>
      <c r="AG166" s="587"/>
      <c r="AH166" s="587"/>
      <c r="AI166" s="587"/>
      <c r="AJ166" s="587"/>
      <c r="AK166" s="587"/>
      <c r="AL166" s="587"/>
      <c r="AM166" s="587"/>
      <c r="AO166" s="587"/>
      <c r="AP166" s="587"/>
      <c r="AQ166" s="587"/>
      <c r="AR166" s="587"/>
      <c r="AS166" s="587"/>
      <c r="AT166" s="587"/>
      <c r="AU166" s="587"/>
      <c r="AV166" s="587"/>
      <c r="AW166" s="587"/>
    </row>
    <row r="167" spans="1:49">
      <c r="A167" s="581">
        <v>14427</v>
      </c>
      <c r="B167" s="594">
        <v>0.1105</v>
      </c>
      <c r="C167" s="577">
        <v>0.1208</v>
      </c>
      <c r="D167" s="577">
        <v>1.9E-3</v>
      </c>
      <c r="E167" s="577">
        <v>2.4083333333333335E-3</v>
      </c>
      <c r="F167" s="577">
        <v>2.5666666666666667E-3</v>
      </c>
      <c r="G167" s="577">
        <v>2.4875000000000001E-3</v>
      </c>
      <c r="H167" s="577">
        <v>2.8583333333333334E-3</v>
      </c>
      <c r="I167" s="577">
        <f t="shared" si="24"/>
        <v>0.1086</v>
      </c>
      <c r="J167" s="577">
        <f t="shared" si="28"/>
        <v>0.1080125</v>
      </c>
      <c r="K167" s="577">
        <f t="shared" si="29"/>
        <v>0.11794166666666667</v>
      </c>
      <c r="L167" s="585">
        <f t="shared" si="25"/>
        <v>1.4499002876048994E-2</v>
      </c>
      <c r="M167" s="585">
        <f t="shared" si="26"/>
        <v>2.2800000000000001E-2</v>
      </c>
      <c r="N167" s="585">
        <f t="shared" si="19"/>
        <v>2.9850000000000002E-2</v>
      </c>
      <c r="O167" s="586">
        <f t="shared" si="27"/>
        <v>-8.3009971239510066E-3</v>
      </c>
      <c r="P167" s="585">
        <f t="shared" si="20"/>
        <v>-1.5350997123951007E-2</v>
      </c>
      <c r="Q167" s="585">
        <f t="shared" si="21"/>
        <v>0.23369532191707343</v>
      </c>
      <c r="R167" s="585">
        <f t="shared" si="22"/>
        <v>3.4299999999999997E-2</v>
      </c>
      <c r="S167" s="586">
        <f t="shared" si="23"/>
        <v>0.19939532191707343</v>
      </c>
      <c r="U167" s="587"/>
      <c r="V167" s="587"/>
      <c r="W167" s="587"/>
      <c r="X167" s="587"/>
      <c r="Y167" s="587"/>
      <c r="Z167" s="587"/>
      <c r="AA167" s="587"/>
      <c r="AB167" s="587"/>
      <c r="AC167" s="587"/>
      <c r="AE167" s="587"/>
      <c r="AF167" s="587"/>
      <c r="AG167" s="587"/>
      <c r="AH167" s="587"/>
      <c r="AI167" s="587"/>
      <c r="AJ167" s="587"/>
      <c r="AK167" s="587"/>
      <c r="AL167" s="587"/>
      <c r="AM167" s="587"/>
      <c r="AO167" s="587"/>
      <c r="AP167" s="587"/>
      <c r="AQ167" s="587"/>
      <c r="AR167" s="587"/>
      <c r="AS167" s="587"/>
      <c r="AT167" s="587"/>
      <c r="AU167" s="587"/>
      <c r="AV167" s="587"/>
      <c r="AW167" s="587"/>
    </row>
    <row r="168" spans="1:49">
      <c r="A168" s="581">
        <v>14458</v>
      </c>
      <c r="B168" s="594">
        <v>-6.4799999999999996E-2</v>
      </c>
      <c r="C168" s="577">
        <v>-6.4699999999999994E-2</v>
      </c>
      <c r="D168" s="577">
        <v>1.8E-3</v>
      </c>
      <c r="E168" s="577">
        <v>2.4416666666666666E-3</v>
      </c>
      <c r="F168" s="577">
        <v>2.5916666666666666E-3</v>
      </c>
      <c r="G168" s="577">
        <v>2.5166666666666666E-3</v>
      </c>
      <c r="H168" s="577">
        <v>2.8416666666666668E-3</v>
      </c>
      <c r="I168" s="577">
        <f t="shared" si="24"/>
        <v>-6.6599999999999993E-2</v>
      </c>
      <c r="J168" s="577">
        <f t="shared" si="28"/>
        <v>-6.7316666666666664E-2</v>
      </c>
      <c r="K168" s="577">
        <f t="shared" si="29"/>
        <v>-6.7541666666666667E-2</v>
      </c>
      <c r="L168" s="585">
        <f t="shared" si="25"/>
        <v>-2.9302775230529265E-2</v>
      </c>
      <c r="M168" s="585">
        <f t="shared" si="26"/>
        <v>2.1600000000000001E-2</v>
      </c>
      <c r="N168" s="585">
        <f t="shared" ref="N168:N231" si="30">G168*12</f>
        <v>3.0199999999999998E-2</v>
      </c>
      <c r="O168" s="586">
        <f t="shared" si="27"/>
        <v>-5.0902775230529267E-2</v>
      </c>
      <c r="P168" s="585">
        <f t="shared" ref="P168:P231" si="31">L168-N168</f>
        <v>-5.9502775230529263E-2</v>
      </c>
      <c r="Q168" s="585">
        <f t="shared" ref="Q168:Q231" si="32">((1+C157)*(1+C158)*(1+C159)*(1+C160)*(1+C161)*(1+C162)*(1+C163)*(1+C164)*(1+C165)*(1+C166)*(1+C167)*(1+C168))-1</f>
        <v>0.22193713289107153</v>
      </c>
      <c r="R168" s="585">
        <f t="shared" ref="R168:R231" si="33">H168*12</f>
        <v>3.4100000000000005E-2</v>
      </c>
      <c r="S168" s="586">
        <f t="shared" ref="S168:S231" si="34">Q168-R168</f>
        <v>0.18783713289107151</v>
      </c>
      <c r="U168" s="587"/>
      <c r="V168" s="587"/>
      <c r="W168" s="587"/>
      <c r="X168" s="587"/>
      <c r="Y168" s="587"/>
      <c r="Z168" s="587"/>
      <c r="AA168" s="587"/>
      <c r="AB168" s="587"/>
      <c r="AC168" s="587"/>
      <c r="AE168" s="587"/>
      <c r="AF168" s="587"/>
      <c r="AG168" s="587"/>
      <c r="AH168" s="587"/>
      <c r="AI168" s="587"/>
      <c r="AJ168" s="587"/>
      <c r="AK168" s="587"/>
      <c r="AL168" s="587"/>
      <c r="AM168" s="587"/>
      <c r="AO168" s="587"/>
      <c r="AP168" s="587"/>
      <c r="AQ168" s="587"/>
      <c r="AR168" s="587"/>
      <c r="AS168" s="587"/>
      <c r="AT168" s="587"/>
      <c r="AU168" s="587"/>
      <c r="AV168" s="587"/>
      <c r="AW168" s="587"/>
    </row>
    <row r="169" spans="1:49">
      <c r="A169" s="581">
        <v>14489</v>
      </c>
      <c r="B169" s="594">
        <v>0.1673</v>
      </c>
      <c r="C169" s="577">
        <v>4.2100000000000005E-2</v>
      </c>
      <c r="D169" s="577">
        <v>1.9E-3</v>
      </c>
      <c r="E169" s="577">
        <v>2.708333333333333E-3</v>
      </c>
      <c r="F169" s="577">
        <v>2.9083333333333335E-3</v>
      </c>
      <c r="G169" s="577">
        <v>2.8083333333333333E-3</v>
      </c>
      <c r="H169" s="577">
        <v>3.0916666666666666E-3</v>
      </c>
      <c r="I169" s="577">
        <f t="shared" si="24"/>
        <v>0.16539999999999999</v>
      </c>
      <c r="J169" s="577">
        <f t="shared" si="28"/>
        <v>0.16449166666666667</v>
      </c>
      <c r="K169" s="577">
        <f t="shared" si="29"/>
        <v>3.9008333333333339E-2</v>
      </c>
      <c r="L169" s="585">
        <f t="shared" si="25"/>
        <v>0.11459263276943088</v>
      </c>
      <c r="M169" s="585">
        <f t="shared" si="26"/>
        <v>2.2800000000000001E-2</v>
      </c>
      <c r="N169" s="585">
        <f t="shared" si="30"/>
        <v>3.3700000000000001E-2</v>
      </c>
      <c r="O169" s="586">
        <f t="shared" si="27"/>
        <v>9.1792632769430879E-2</v>
      </c>
      <c r="P169" s="585">
        <f t="shared" si="31"/>
        <v>8.0892632769430872E-2</v>
      </c>
      <c r="Q169" s="585">
        <f t="shared" si="32"/>
        <v>0.24951495062877593</v>
      </c>
      <c r="R169" s="585">
        <f t="shared" si="33"/>
        <v>3.7100000000000001E-2</v>
      </c>
      <c r="S169" s="586">
        <f t="shared" si="34"/>
        <v>0.21241495062877594</v>
      </c>
      <c r="U169" s="587"/>
      <c r="V169" s="587"/>
      <c r="W169" s="587"/>
      <c r="X169" s="587"/>
      <c r="Y169" s="587"/>
      <c r="Z169" s="587"/>
      <c r="AA169" s="587"/>
      <c r="AB169" s="587"/>
      <c r="AC169" s="587"/>
      <c r="AE169" s="587"/>
      <c r="AF169" s="587"/>
      <c r="AG169" s="587"/>
      <c r="AH169" s="587"/>
      <c r="AI169" s="587"/>
      <c r="AJ169" s="587"/>
      <c r="AK169" s="587"/>
      <c r="AL169" s="587"/>
      <c r="AM169" s="587"/>
      <c r="AO169" s="587"/>
      <c r="AP169" s="587"/>
      <c r="AQ169" s="587"/>
      <c r="AR169" s="587"/>
      <c r="AS169" s="587"/>
      <c r="AT169" s="587"/>
      <c r="AU169" s="587"/>
      <c r="AV169" s="587"/>
      <c r="AW169" s="587"/>
    </row>
    <row r="170" spans="1:49">
      <c r="A170" s="581">
        <v>14519</v>
      </c>
      <c r="B170" s="594">
        <v>-1.23E-2</v>
      </c>
      <c r="C170" s="577">
        <v>1.3000000000000001E-2</v>
      </c>
      <c r="D170" s="577">
        <v>2.3E-3</v>
      </c>
      <c r="E170" s="577">
        <v>2.6250000000000002E-3</v>
      </c>
      <c r="F170" s="577">
        <v>2.7916666666666667E-3</v>
      </c>
      <c r="G170" s="577">
        <v>2.7083333333333339E-3</v>
      </c>
      <c r="H170" s="577">
        <v>2.9833333333333335E-3</v>
      </c>
      <c r="I170" s="577">
        <f t="shared" si="24"/>
        <v>-1.46E-2</v>
      </c>
      <c r="J170" s="577">
        <f t="shared" si="28"/>
        <v>-1.5008333333333334E-2</v>
      </c>
      <c r="K170" s="577">
        <f t="shared" si="29"/>
        <v>1.0016666666666667E-2</v>
      </c>
      <c r="L170" s="585">
        <f t="shared" si="25"/>
        <v>2.1606480499597902E-2</v>
      </c>
      <c r="M170" s="585">
        <f t="shared" si="26"/>
        <v>2.76E-2</v>
      </c>
      <c r="N170" s="585">
        <f t="shared" si="30"/>
        <v>3.2500000000000008E-2</v>
      </c>
      <c r="O170" s="586">
        <f t="shared" si="27"/>
        <v>-5.9935195004020975E-3</v>
      </c>
      <c r="P170" s="585">
        <f t="shared" si="31"/>
        <v>-1.0893519500402106E-2</v>
      </c>
      <c r="Q170" s="585">
        <f t="shared" si="32"/>
        <v>7.2585920673629012E-2</v>
      </c>
      <c r="R170" s="585">
        <f t="shared" si="33"/>
        <v>3.5799999999999998E-2</v>
      </c>
      <c r="S170" s="586">
        <f t="shared" si="34"/>
        <v>3.6785920673629013E-2</v>
      </c>
      <c r="U170" s="587"/>
      <c r="V170" s="587"/>
      <c r="W170" s="587"/>
      <c r="X170" s="587"/>
      <c r="Y170" s="587"/>
      <c r="Z170" s="587"/>
      <c r="AA170" s="587"/>
      <c r="AB170" s="587"/>
      <c r="AC170" s="587"/>
      <c r="AE170" s="587"/>
      <c r="AF170" s="587"/>
      <c r="AG170" s="587"/>
      <c r="AH170" s="587"/>
      <c r="AI170" s="587"/>
      <c r="AJ170" s="587"/>
      <c r="AK170" s="587"/>
      <c r="AL170" s="587"/>
      <c r="AM170" s="587"/>
      <c r="AO170" s="587"/>
      <c r="AP170" s="587"/>
      <c r="AQ170" s="587"/>
      <c r="AR170" s="587"/>
      <c r="AS170" s="587"/>
      <c r="AT170" s="587"/>
      <c r="AU170" s="587"/>
      <c r="AV170" s="587"/>
      <c r="AW170" s="587"/>
    </row>
    <row r="171" spans="1:49">
      <c r="A171" s="581">
        <v>14550</v>
      </c>
      <c r="B171" s="594">
        <v>-3.9800000000000002E-2</v>
      </c>
      <c r="C171" s="577">
        <v>-1.5699999999999999E-2</v>
      </c>
      <c r="D171" s="577">
        <v>2E-3</v>
      </c>
      <c r="E171" s="577">
        <v>2.5000000000000001E-3</v>
      </c>
      <c r="F171" s="577">
        <v>2.6333333333333334E-3</v>
      </c>
      <c r="G171" s="577">
        <v>2.5666666666666672E-3</v>
      </c>
      <c r="H171" s="577">
        <v>2.8416666666666668E-3</v>
      </c>
      <c r="I171" s="577">
        <f t="shared" si="24"/>
        <v>-4.1800000000000004E-2</v>
      </c>
      <c r="J171" s="577">
        <f t="shared" si="28"/>
        <v>-4.2366666666666671E-2</v>
      </c>
      <c r="K171" s="577">
        <f t="shared" si="29"/>
        <v>-1.8541666666666665E-2</v>
      </c>
      <c r="L171" s="585">
        <f t="shared" si="25"/>
        <v>8.4779917505029001E-3</v>
      </c>
      <c r="M171" s="585">
        <f t="shared" si="26"/>
        <v>2.4E-2</v>
      </c>
      <c r="N171" s="585">
        <f t="shared" si="30"/>
        <v>3.0800000000000008E-2</v>
      </c>
      <c r="O171" s="586">
        <f t="shared" si="27"/>
        <v>-1.55220082494971E-2</v>
      </c>
      <c r="P171" s="585">
        <f t="shared" si="31"/>
        <v>-2.2322008249497108E-2</v>
      </c>
      <c r="Q171" s="585">
        <f t="shared" si="32"/>
        <v>0.12552912763225321</v>
      </c>
      <c r="R171" s="585">
        <f t="shared" si="33"/>
        <v>3.4100000000000005E-2</v>
      </c>
      <c r="S171" s="586">
        <f t="shared" si="34"/>
        <v>9.1429127632253207E-2</v>
      </c>
      <c r="U171" s="587"/>
      <c r="V171" s="587"/>
      <c r="W171" s="587"/>
      <c r="X171" s="587"/>
      <c r="Y171" s="587"/>
      <c r="Z171" s="587"/>
      <c r="AA171" s="587"/>
      <c r="AB171" s="587"/>
      <c r="AC171" s="587"/>
      <c r="AE171" s="587"/>
      <c r="AF171" s="587"/>
      <c r="AG171" s="587"/>
      <c r="AH171" s="587"/>
      <c r="AI171" s="587"/>
      <c r="AJ171" s="587"/>
      <c r="AK171" s="587"/>
      <c r="AL171" s="587"/>
      <c r="AM171" s="587"/>
      <c r="AO171" s="587"/>
      <c r="AP171" s="587"/>
      <c r="AQ171" s="587"/>
      <c r="AR171" s="587"/>
      <c r="AS171" s="587"/>
      <c r="AT171" s="587"/>
      <c r="AU171" s="587"/>
      <c r="AV171" s="587"/>
      <c r="AW171" s="587"/>
    </row>
    <row r="172" spans="1:49">
      <c r="A172" s="581">
        <v>14580</v>
      </c>
      <c r="B172" s="594">
        <v>2.7E-2</v>
      </c>
      <c r="C172" s="577">
        <v>2.7199999999999998E-2</v>
      </c>
      <c r="D172" s="577">
        <v>1.9E-3</v>
      </c>
      <c r="E172" s="577">
        <v>2.4499999999999999E-3</v>
      </c>
      <c r="F172" s="577">
        <v>2.6166666666666664E-3</v>
      </c>
      <c r="G172" s="577">
        <v>2.5333333333333332E-3</v>
      </c>
      <c r="H172" s="577">
        <v>2.816666666666667E-3</v>
      </c>
      <c r="I172" s="577">
        <f t="shared" si="24"/>
        <v>2.5100000000000001E-2</v>
      </c>
      <c r="J172" s="577">
        <f t="shared" si="28"/>
        <v>2.4466666666666668E-2</v>
      </c>
      <c r="K172" s="577">
        <f t="shared" si="29"/>
        <v>2.4383333333333333E-2</v>
      </c>
      <c r="L172" s="585">
        <f t="shared" si="25"/>
        <v>-4.2237308645646232E-3</v>
      </c>
      <c r="M172" s="585">
        <f t="shared" si="26"/>
        <v>2.2800000000000001E-2</v>
      </c>
      <c r="N172" s="585">
        <f t="shared" si="30"/>
        <v>3.0399999999999996E-2</v>
      </c>
      <c r="O172" s="586">
        <f t="shared" si="27"/>
        <v>-2.7023730864564624E-2</v>
      </c>
      <c r="P172" s="585">
        <f t="shared" si="31"/>
        <v>-3.462373086456462E-2</v>
      </c>
      <c r="Q172" s="585">
        <f t="shared" si="32"/>
        <v>0.11263932239808527</v>
      </c>
      <c r="R172" s="585">
        <f t="shared" si="33"/>
        <v>3.3800000000000004E-2</v>
      </c>
      <c r="S172" s="586">
        <f t="shared" si="34"/>
        <v>7.8839322398085276E-2</v>
      </c>
      <c r="U172" s="587"/>
      <c r="V172" s="587"/>
      <c r="W172" s="587"/>
      <c r="X172" s="587"/>
      <c r="Y172" s="587"/>
      <c r="Z172" s="587"/>
      <c r="AA172" s="587"/>
      <c r="AB172" s="587"/>
      <c r="AC172" s="587"/>
      <c r="AE172" s="587"/>
      <c r="AF172" s="587"/>
      <c r="AG172" s="587"/>
      <c r="AH172" s="587"/>
      <c r="AI172" s="587"/>
      <c r="AJ172" s="587"/>
      <c r="AK172" s="587"/>
      <c r="AL172" s="587"/>
      <c r="AM172" s="587"/>
      <c r="AO172" s="587"/>
      <c r="AP172" s="587"/>
      <c r="AQ172" s="587"/>
      <c r="AR172" s="587"/>
      <c r="AS172" s="587"/>
      <c r="AT172" s="587"/>
      <c r="AU172" s="587"/>
      <c r="AV172" s="587"/>
      <c r="AW172" s="587"/>
    </row>
    <row r="173" spans="1:49">
      <c r="A173" s="581">
        <v>14611</v>
      </c>
      <c r="B173" s="594">
        <v>-3.3599999999999998E-2</v>
      </c>
      <c r="C173" s="577">
        <v>6.8999999999999999E-3</v>
      </c>
      <c r="D173" s="577">
        <v>2E-3</v>
      </c>
      <c r="E173" s="577">
        <v>2.3999999999999998E-3</v>
      </c>
      <c r="F173" s="577">
        <v>2.5666666666666667E-3</v>
      </c>
      <c r="G173" s="577">
        <v>2.4833333333333331E-3</v>
      </c>
      <c r="H173" s="577">
        <v>2.7833333333333334E-3</v>
      </c>
      <c r="I173" s="577">
        <f t="shared" si="24"/>
        <v>-3.56E-2</v>
      </c>
      <c r="J173" s="577">
        <f t="shared" si="28"/>
        <v>-3.6083333333333328E-2</v>
      </c>
      <c r="K173" s="577">
        <f t="shared" si="29"/>
        <v>4.116666666666666E-3</v>
      </c>
      <c r="L173" s="585">
        <f t="shared" si="25"/>
        <v>3.1865951632516376E-2</v>
      </c>
      <c r="M173" s="585">
        <f t="shared" si="26"/>
        <v>2.4E-2</v>
      </c>
      <c r="N173" s="585">
        <f t="shared" si="30"/>
        <v>2.9799999999999997E-2</v>
      </c>
      <c r="O173" s="586">
        <f t="shared" si="27"/>
        <v>7.8659516325163756E-3</v>
      </c>
      <c r="P173" s="585">
        <f t="shared" si="31"/>
        <v>2.0659516325163794E-3</v>
      </c>
      <c r="Q173" s="585">
        <f t="shared" si="32"/>
        <v>0.10213136618065133</v>
      </c>
      <c r="R173" s="585">
        <f t="shared" si="33"/>
        <v>3.3399999999999999E-2</v>
      </c>
      <c r="S173" s="586">
        <f t="shared" si="34"/>
        <v>6.8731366180651329E-2</v>
      </c>
      <c r="U173" s="587"/>
      <c r="V173" s="587"/>
      <c r="W173" s="587"/>
      <c r="X173" s="587"/>
      <c r="Y173" s="587"/>
      <c r="Z173" s="587"/>
      <c r="AA173" s="587"/>
      <c r="AB173" s="587"/>
      <c r="AC173" s="587"/>
      <c r="AE173" s="587"/>
      <c r="AF173" s="587"/>
      <c r="AG173" s="587"/>
      <c r="AH173" s="587"/>
      <c r="AI173" s="587"/>
      <c r="AJ173" s="587"/>
      <c r="AK173" s="587"/>
      <c r="AL173" s="587"/>
      <c r="AM173" s="587"/>
      <c r="AO173" s="587"/>
      <c r="AP173" s="587"/>
      <c r="AQ173" s="587"/>
      <c r="AR173" s="587"/>
      <c r="AS173" s="587"/>
      <c r="AT173" s="587"/>
      <c r="AU173" s="587"/>
      <c r="AV173" s="587"/>
      <c r="AW173" s="587"/>
    </row>
    <row r="174" spans="1:49">
      <c r="A174" s="581">
        <v>14642</v>
      </c>
      <c r="B174" s="594">
        <v>1.3299999999999999E-2</v>
      </c>
      <c r="C174" s="577">
        <v>-1.0200000000000001E-2</v>
      </c>
      <c r="D174" s="577">
        <v>1.8E-3</v>
      </c>
      <c r="E174" s="577">
        <v>2.3833333333333332E-3</v>
      </c>
      <c r="F174" s="577">
        <v>2.5416666666666665E-3</v>
      </c>
      <c r="G174" s="577">
        <v>2.4624999999999998E-3</v>
      </c>
      <c r="H174" s="577">
        <v>2.7916666666666667E-3</v>
      </c>
      <c r="I174" s="577">
        <f t="shared" si="24"/>
        <v>1.15E-2</v>
      </c>
      <c r="J174" s="577">
        <f t="shared" si="28"/>
        <v>1.08375E-2</v>
      </c>
      <c r="K174" s="577">
        <f t="shared" si="29"/>
        <v>-1.2991666666666667E-2</v>
      </c>
      <c r="L174" s="585">
        <f t="shared" si="25"/>
        <v>6.3424146190846908E-3</v>
      </c>
      <c r="M174" s="585">
        <f t="shared" si="26"/>
        <v>2.1600000000000001E-2</v>
      </c>
      <c r="N174" s="585">
        <f t="shared" si="30"/>
        <v>2.955E-2</v>
      </c>
      <c r="O174" s="586">
        <f t="shared" si="27"/>
        <v>-1.525758538091531E-2</v>
      </c>
      <c r="P174" s="585">
        <f t="shared" si="31"/>
        <v>-2.3207585380915309E-2</v>
      </c>
      <c r="Q174" s="585">
        <f t="shared" si="32"/>
        <v>9.9894697209599315E-3</v>
      </c>
      <c r="R174" s="585">
        <f t="shared" si="33"/>
        <v>3.3500000000000002E-2</v>
      </c>
      <c r="S174" s="586">
        <f t="shared" si="34"/>
        <v>-2.3510530279040071E-2</v>
      </c>
      <c r="U174" s="587"/>
      <c r="V174" s="587"/>
      <c r="W174" s="587"/>
      <c r="X174" s="587"/>
      <c r="Y174" s="587"/>
      <c r="Z174" s="587"/>
      <c r="AA174" s="587"/>
      <c r="AB174" s="587"/>
      <c r="AC174" s="587"/>
      <c r="AE174" s="587"/>
      <c r="AF174" s="587"/>
      <c r="AG174" s="587"/>
      <c r="AH174" s="587"/>
      <c r="AI174" s="587"/>
      <c r="AJ174" s="587"/>
      <c r="AK174" s="587"/>
      <c r="AL174" s="587"/>
      <c r="AM174" s="587"/>
      <c r="AO174" s="587"/>
      <c r="AP174" s="587"/>
      <c r="AQ174" s="587"/>
      <c r="AR174" s="587"/>
      <c r="AS174" s="587"/>
      <c r="AT174" s="587"/>
      <c r="AU174" s="587"/>
      <c r="AV174" s="587"/>
      <c r="AW174" s="587"/>
    </row>
    <row r="175" spans="1:49">
      <c r="A175" s="581">
        <v>14671</v>
      </c>
      <c r="B175" s="594">
        <v>1.24E-2</v>
      </c>
      <c r="C175" s="577">
        <v>9.3999999999999986E-3</v>
      </c>
      <c r="D175" s="577">
        <v>1.9E-3</v>
      </c>
      <c r="E175" s="577">
        <v>2.3666666666666667E-3</v>
      </c>
      <c r="F175" s="577">
        <v>2.5333333333333336E-3</v>
      </c>
      <c r="G175" s="577">
        <v>2.4499999999999999E-3</v>
      </c>
      <c r="H175" s="577">
        <v>2.7833333333333334E-3</v>
      </c>
      <c r="I175" s="577">
        <f t="shared" si="24"/>
        <v>1.0499999999999999E-2</v>
      </c>
      <c r="J175" s="577">
        <f t="shared" si="28"/>
        <v>9.9500000000000005E-3</v>
      </c>
      <c r="K175" s="577">
        <f t="shared" si="29"/>
        <v>6.6166666666666648E-3</v>
      </c>
      <c r="L175" s="585">
        <f t="shared" si="25"/>
        <v>0.17633190227498141</v>
      </c>
      <c r="M175" s="585">
        <f t="shared" si="26"/>
        <v>2.2800000000000001E-2</v>
      </c>
      <c r="N175" s="585">
        <f t="shared" si="30"/>
        <v>2.9399999999999999E-2</v>
      </c>
      <c r="O175" s="586">
        <f t="shared" si="27"/>
        <v>0.15353190227498142</v>
      </c>
      <c r="P175" s="585">
        <f t="shared" si="31"/>
        <v>0.1469319022749814</v>
      </c>
      <c r="Q175" s="585">
        <f t="shared" si="32"/>
        <v>0.18242098206487722</v>
      </c>
      <c r="R175" s="585">
        <f t="shared" si="33"/>
        <v>3.3399999999999999E-2</v>
      </c>
      <c r="S175" s="586">
        <f t="shared" si="34"/>
        <v>0.14902098206487724</v>
      </c>
      <c r="U175" s="587"/>
      <c r="V175" s="587"/>
      <c r="W175" s="587"/>
      <c r="X175" s="587"/>
      <c r="Y175" s="587"/>
      <c r="Z175" s="587"/>
      <c r="AA175" s="587"/>
      <c r="AB175" s="587"/>
      <c r="AC175" s="587"/>
      <c r="AE175" s="587"/>
      <c r="AF175" s="587"/>
      <c r="AG175" s="587"/>
      <c r="AH175" s="587"/>
      <c r="AI175" s="587"/>
      <c r="AJ175" s="587"/>
      <c r="AK175" s="587"/>
      <c r="AL175" s="587"/>
      <c r="AM175" s="587"/>
      <c r="AO175" s="587"/>
      <c r="AP175" s="587"/>
      <c r="AQ175" s="587"/>
      <c r="AR175" s="587"/>
      <c r="AS175" s="587"/>
      <c r="AT175" s="587"/>
      <c r="AU175" s="587"/>
      <c r="AV175" s="587"/>
      <c r="AW175" s="587"/>
    </row>
    <row r="176" spans="1:49">
      <c r="A176" s="581">
        <v>14702</v>
      </c>
      <c r="B176" s="594">
        <v>-2.3999999999999998E-3</v>
      </c>
      <c r="C176" s="577">
        <v>-9.1999999999999998E-3</v>
      </c>
      <c r="D176" s="577">
        <v>1.8E-3</v>
      </c>
      <c r="E176" s="577">
        <v>2.3499999999999997E-3</v>
      </c>
      <c r="F176" s="577">
        <v>2.4916666666666668E-3</v>
      </c>
      <c r="G176" s="577">
        <v>2.420833333333333E-3</v>
      </c>
      <c r="H176" s="577">
        <v>2.708333333333333E-3</v>
      </c>
      <c r="I176" s="577">
        <f t="shared" si="24"/>
        <v>-4.1999999999999997E-3</v>
      </c>
      <c r="J176" s="577">
        <f t="shared" si="28"/>
        <v>-4.8208333333333332E-3</v>
      </c>
      <c r="K176" s="577">
        <f t="shared" si="29"/>
        <v>-1.1908333333333333E-2</v>
      </c>
      <c r="L176" s="585">
        <f t="shared" si="25"/>
        <v>0.17668575725410784</v>
      </c>
      <c r="M176" s="585">
        <f t="shared" si="26"/>
        <v>2.1600000000000001E-2</v>
      </c>
      <c r="N176" s="585">
        <f t="shared" si="30"/>
        <v>2.9049999999999996E-2</v>
      </c>
      <c r="O176" s="586">
        <f t="shared" si="27"/>
        <v>0.15508575725410784</v>
      </c>
      <c r="P176" s="585">
        <f t="shared" si="31"/>
        <v>0.14763575725410785</v>
      </c>
      <c r="Q176" s="585">
        <f t="shared" si="32"/>
        <v>0.13907895870673825</v>
      </c>
      <c r="R176" s="585">
        <f t="shared" si="33"/>
        <v>3.2499999999999994E-2</v>
      </c>
      <c r="S176" s="586">
        <f t="shared" si="34"/>
        <v>0.10657895870673825</v>
      </c>
      <c r="U176" s="587"/>
      <c r="V176" s="587"/>
      <c r="W176" s="587"/>
      <c r="X176" s="587"/>
      <c r="Y176" s="587"/>
      <c r="Z176" s="587"/>
      <c r="AA176" s="587"/>
      <c r="AB176" s="587"/>
      <c r="AC176" s="587"/>
      <c r="AE176" s="587"/>
      <c r="AF176" s="587"/>
      <c r="AG176" s="587"/>
      <c r="AH176" s="587"/>
      <c r="AI176" s="587"/>
      <c r="AJ176" s="587"/>
      <c r="AK176" s="587"/>
      <c r="AL176" s="587"/>
      <c r="AM176" s="587"/>
      <c r="AO176" s="587"/>
      <c r="AP176" s="587"/>
      <c r="AQ176" s="587"/>
      <c r="AR176" s="587"/>
      <c r="AS176" s="587"/>
      <c r="AT176" s="587"/>
      <c r="AU176" s="587"/>
      <c r="AV176" s="587"/>
      <c r="AW176" s="587"/>
    </row>
    <row r="177" spans="1:49">
      <c r="A177" s="581">
        <v>14732</v>
      </c>
      <c r="B177" s="594">
        <v>-0.22889999999999999</v>
      </c>
      <c r="C177" s="577">
        <v>-0.19640000000000002</v>
      </c>
      <c r="D177" s="577">
        <v>1.9E-3</v>
      </c>
      <c r="E177" s="577">
        <v>2.4416666666666666E-3</v>
      </c>
      <c r="F177" s="577">
        <v>2.5666666666666667E-3</v>
      </c>
      <c r="G177" s="577">
        <v>2.5041666666666667E-3</v>
      </c>
      <c r="H177" s="577">
        <v>2.7500000000000003E-3</v>
      </c>
      <c r="I177" s="577">
        <f t="shared" si="24"/>
        <v>-0.23080000000000001</v>
      </c>
      <c r="J177" s="577">
        <f t="shared" si="28"/>
        <v>-0.23140416666666666</v>
      </c>
      <c r="K177" s="577">
        <f t="shared" si="29"/>
        <v>-0.19915000000000002</v>
      </c>
      <c r="L177" s="585">
        <f t="shared" si="25"/>
        <v>-0.15462369568746637</v>
      </c>
      <c r="M177" s="585">
        <f t="shared" si="26"/>
        <v>2.2800000000000001E-2</v>
      </c>
      <c r="N177" s="585">
        <f t="shared" si="30"/>
        <v>3.005E-2</v>
      </c>
      <c r="O177" s="586">
        <f t="shared" si="27"/>
        <v>-0.17742369568746635</v>
      </c>
      <c r="P177" s="585">
        <f t="shared" si="31"/>
        <v>-0.18467369568746636</v>
      </c>
      <c r="Q177" s="585">
        <f t="shared" si="32"/>
        <v>-0.14171228202837804</v>
      </c>
      <c r="R177" s="585">
        <f t="shared" si="33"/>
        <v>3.3000000000000002E-2</v>
      </c>
      <c r="S177" s="586">
        <f t="shared" si="34"/>
        <v>-0.17471228202837805</v>
      </c>
      <c r="U177" s="587"/>
      <c r="V177" s="587"/>
      <c r="W177" s="587"/>
      <c r="X177" s="587"/>
      <c r="Y177" s="587"/>
      <c r="Z177" s="587"/>
      <c r="AA177" s="587"/>
      <c r="AB177" s="587"/>
      <c r="AC177" s="587"/>
      <c r="AE177" s="587"/>
      <c r="AF177" s="587"/>
      <c r="AG177" s="587"/>
      <c r="AH177" s="587"/>
      <c r="AI177" s="587"/>
      <c r="AJ177" s="587"/>
      <c r="AK177" s="587"/>
      <c r="AL177" s="587"/>
      <c r="AM177" s="587"/>
      <c r="AO177" s="587"/>
      <c r="AP177" s="587"/>
      <c r="AQ177" s="587"/>
      <c r="AR177" s="587"/>
      <c r="AS177" s="587"/>
      <c r="AT177" s="587"/>
      <c r="AU177" s="587"/>
      <c r="AV177" s="587"/>
      <c r="AW177" s="587"/>
    </row>
    <row r="178" spans="1:49">
      <c r="A178" s="581">
        <v>14763</v>
      </c>
      <c r="B178" s="594">
        <v>8.09E-2</v>
      </c>
      <c r="C178" s="577">
        <v>0.15060000000000001</v>
      </c>
      <c r="D178" s="577">
        <v>1.9E-3</v>
      </c>
      <c r="E178" s="577">
        <v>2.4666666666666669E-3</v>
      </c>
      <c r="F178" s="577">
        <v>2.5833333333333337E-3</v>
      </c>
      <c r="G178" s="577">
        <v>2.5249999999999999E-3</v>
      </c>
      <c r="H178" s="577">
        <v>2.7833333333333334E-3</v>
      </c>
      <c r="I178" s="577">
        <f t="shared" si="24"/>
        <v>7.9000000000000001E-2</v>
      </c>
      <c r="J178" s="577">
        <f t="shared" si="28"/>
        <v>7.8375E-2</v>
      </c>
      <c r="K178" s="577">
        <f t="shared" si="29"/>
        <v>0.14781666666666668</v>
      </c>
      <c r="L178" s="585">
        <f t="shared" si="25"/>
        <v>-2.6664627895805704E-2</v>
      </c>
      <c r="M178" s="585">
        <f t="shared" si="26"/>
        <v>2.2800000000000001E-2</v>
      </c>
      <c r="N178" s="585">
        <f t="shared" si="30"/>
        <v>3.0300000000000001E-2</v>
      </c>
      <c r="O178" s="586">
        <f t="shared" si="27"/>
        <v>-4.9464627895805705E-2</v>
      </c>
      <c r="P178" s="585">
        <f t="shared" si="31"/>
        <v>-5.6964627895805704E-2</v>
      </c>
      <c r="Q178" s="585">
        <f t="shared" si="32"/>
        <v>3.1164089274457796E-2</v>
      </c>
      <c r="R178" s="585">
        <f t="shared" si="33"/>
        <v>3.3399999999999999E-2</v>
      </c>
      <c r="S178" s="586">
        <f t="shared" si="34"/>
        <v>-2.2359107255422034E-3</v>
      </c>
      <c r="U178" s="587"/>
      <c r="V178" s="587"/>
      <c r="W178" s="587"/>
      <c r="X178" s="587"/>
      <c r="Y178" s="587"/>
      <c r="Z178" s="587"/>
      <c r="AA178" s="587"/>
      <c r="AB178" s="587"/>
      <c r="AC178" s="587"/>
      <c r="AE178" s="587"/>
      <c r="AF178" s="587"/>
      <c r="AG178" s="587"/>
      <c r="AH178" s="587"/>
      <c r="AI178" s="587"/>
      <c r="AJ178" s="587"/>
      <c r="AK178" s="587"/>
      <c r="AL178" s="587"/>
      <c r="AM178" s="587"/>
      <c r="AO178" s="587"/>
      <c r="AP178" s="587"/>
      <c r="AQ178" s="587"/>
      <c r="AR178" s="587"/>
      <c r="AS178" s="587"/>
      <c r="AT178" s="587"/>
      <c r="AU178" s="587"/>
      <c r="AV178" s="587"/>
      <c r="AW178" s="587"/>
    </row>
    <row r="179" spans="1:49">
      <c r="A179" s="581">
        <v>14793</v>
      </c>
      <c r="B179" s="594">
        <v>3.4099999999999998E-2</v>
      </c>
      <c r="C179" s="577">
        <v>6.5000000000000006E-3</v>
      </c>
      <c r="D179" s="577">
        <v>2E-3</v>
      </c>
      <c r="E179" s="577">
        <v>2.3999999999999998E-3</v>
      </c>
      <c r="F179" s="577">
        <v>2.5083333333333329E-3</v>
      </c>
      <c r="G179" s="577">
        <v>2.4541666666666666E-3</v>
      </c>
      <c r="H179" s="577">
        <v>2.6916666666666669E-3</v>
      </c>
      <c r="I179" s="577">
        <f t="shared" si="24"/>
        <v>3.2099999999999997E-2</v>
      </c>
      <c r="J179" s="577">
        <f t="shared" si="28"/>
        <v>3.1645833333333331E-2</v>
      </c>
      <c r="K179" s="577">
        <f t="shared" si="29"/>
        <v>3.8083333333333337E-3</v>
      </c>
      <c r="L179" s="585">
        <f t="shared" si="25"/>
        <v>-9.3627997935211593E-2</v>
      </c>
      <c r="M179" s="585">
        <f t="shared" si="26"/>
        <v>2.4E-2</v>
      </c>
      <c r="N179" s="585">
        <f t="shared" si="30"/>
        <v>2.9449999999999997E-2</v>
      </c>
      <c r="O179" s="586">
        <f t="shared" si="27"/>
        <v>-0.11762799793521159</v>
      </c>
      <c r="P179" s="585">
        <f t="shared" si="31"/>
        <v>-0.1230779979352116</v>
      </c>
      <c r="Q179" s="585">
        <f t="shared" si="32"/>
        <v>-7.3994775290201931E-2</v>
      </c>
      <c r="R179" s="585">
        <f t="shared" si="33"/>
        <v>3.2300000000000002E-2</v>
      </c>
      <c r="S179" s="586">
        <f t="shared" si="34"/>
        <v>-0.10629477529020193</v>
      </c>
      <c r="U179" s="587"/>
      <c r="V179" s="587"/>
      <c r="W179" s="587"/>
      <c r="X179" s="587"/>
      <c r="Y179" s="587"/>
      <c r="Z179" s="587"/>
      <c r="AA179" s="587"/>
      <c r="AB179" s="587"/>
      <c r="AC179" s="587"/>
      <c r="AE179" s="587"/>
      <c r="AF179" s="587"/>
      <c r="AG179" s="587"/>
      <c r="AH179" s="587"/>
      <c r="AI179" s="587"/>
      <c r="AJ179" s="587"/>
      <c r="AK179" s="587"/>
      <c r="AL179" s="587"/>
      <c r="AM179" s="587"/>
      <c r="AO179" s="587"/>
      <c r="AP179" s="587"/>
      <c r="AQ179" s="587"/>
      <c r="AR179" s="587"/>
      <c r="AS179" s="587"/>
      <c r="AT179" s="587"/>
      <c r="AU179" s="587"/>
      <c r="AV179" s="587"/>
      <c r="AW179" s="587"/>
    </row>
    <row r="180" spans="1:49">
      <c r="A180" s="581">
        <v>14824</v>
      </c>
      <c r="B180" s="594">
        <v>3.5000000000000003E-2</v>
      </c>
      <c r="C180" s="577">
        <v>-9.4000000000000004E-3</v>
      </c>
      <c r="D180" s="577">
        <v>1.9E-3</v>
      </c>
      <c r="E180" s="577">
        <v>2.3750000000000004E-3</v>
      </c>
      <c r="F180" s="577">
        <v>2.5249999999999999E-3</v>
      </c>
      <c r="G180" s="577">
        <v>2.4499999999999999E-3</v>
      </c>
      <c r="H180" s="577">
        <v>2.6750000000000003E-3</v>
      </c>
      <c r="I180" s="577">
        <f t="shared" si="24"/>
        <v>3.3100000000000004E-2</v>
      </c>
      <c r="J180" s="577">
        <f t="shared" si="28"/>
        <v>3.2550000000000003E-2</v>
      </c>
      <c r="K180" s="577">
        <f t="shared" si="29"/>
        <v>-1.2075000000000001E-2</v>
      </c>
      <c r="L180" s="585">
        <f t="shared" si="25"/>
        <v>3.0956181961674378E-3</v>
      </c>
      <c r="M180" s="585">
        <f t="shared" si="26"/>
        <v>2.2800000000000001E-2</v>
      </c>
      <c r="N180" s="585">
        <f t="shared" si="30"/>
        <v>2.9399999999999999E-2</v>
      </c>
      <c r="O180" s="586">
        <f t="shared" si="27"/>
        <v>-1.9704381803832563E-2</v>
      </c>
      <c r="P180" s="585">
        <f t="shared" si="31"/>
        <v>-2.6304381803832561E-2</v>
      </c>
      <c r="Q180" s="585">
        <f t="shared" si="32"/>
        <v>-1.9244332730112501E-2</v>
      </c>
      <c r="R180" s="585">
        <f t="shared" si="33"/>
        <v>3.2100000000000004E-2</v>
      </c>
      <c r="S180" s="586">
        <f t="shared" si="34"/>
        <v>-5.1344332730112505E-2</v>
      </c>
      <c r="U180" s="587"/>
      <c r="V180" s="587"/>
      <c r="W180" s="587"/>
      <c r="X180" s="587"/>
      <c r="Y180" s="587"/>
      <c r="Z180" s="587"/>
      <c r="AA180" s="587"/>
      <c r="AB180" s="587"/>
      <c r="AC180" s="587"/>
      <c r="AE180" s="587"/>
      <c r="AF180" s="587"/>
      <c r="AG180" s="587"/>
      <c r="AH180" s="587"/>
      <c r="AI180" s="587"/>
      <c r="AJ180" s="587"/>
      <c r="AK180" s="587"/>
      <c r="AL180" s="587"/>
      <c r="AM180" s="587"/>
      <c r="AO180" s="587"/>
      <c r="AP180" s="587"/>
      <c r="AQ180" s="587"/>
      <c r="AR180" s="587"/>
      <c r="AS180" s="587"/>
      <c r="AT180" s="587"/>
      <c r="AU180" s="587"/>
      <c r="AV180" s="587"/>
      <c r="AW180" s="587"/>
    </row>
    <row r="181" spans="1:49">
      <c r="A181" s="581">
        <v>14855</v>
      </c>
      <c r="B181" s="594">
        <v>1.23E-2</v>
      </c>
      <c r="C181" s="577">
        <v>-2.1099999999999997E-2</v>
      </c>
      <c r="D181" s="577">
        <v>1.8E-3</v>
      </c>
      <c r="E181" s="577">
        <v>2.3499999999999997E-3</v>
      </c>
      <c r="F181" s="577">
        <v>2.5083333333333329E-3</v>
      </c>
      <c r="G181" s="577">
        <v>2.4291666666666663E-3</v>
      </c>
      <c r="H181" s="577">
        <v>2.65E-3</v>
      </c>
      <c r="I181" s="577">
        <f t="shared" si="24"/>
        <v>1.0500000000000001E-2</v>
      </c>
      <c r="J181" s="577">
        <f t="shared" si="28"/>
        <v>9.8708333333333339E-3</v>
      </c>
      <c r="K181" s="577">
        <f t="shared" si="29"/>
        <v>-2.3749999999999997E-2</v>
      </c>
      <c r="L181" s="585">
        <f t="shared" si="25"/>
        <v>-0.13010049318942862</v>
      </c>
      <c r="M181" s="585">
        <f t="shared" si="26"/>
        <v>2.1600000000000001E-2</v>
      </c>
      <c r="N181" s="585">
        <f t="shared" si="30"/>
        <v>2.9149999999999995E-2</v>
      </c>
      <c r="O181" s="586">
        <f t="shared" si="27"/>
        <v>-0.15170049318942863</v>
      </c>
      <c r="P181" s="585">
        <f t="shared" si="31"/>
        <v>-0.15925049318942863</v>
      </c>
      <c r="Q181" s="585">
        <f t="shared" si="32"/>
        <v>-7.8723997034360615E-2</v>
      </c>
      <c r="R181" s="585">
        <f t="shared" si="33"/>
        <v>3.1800000000000002E-2</v>
      </c>
      <c r="S181" s="586">
        <f t="shared" si="34"/>
        <v>-0.11052399703436061</v>
      </c>
      <c r="U181" s="587"/>
      <c r="V181" s="587"/>
      <c r="W181" s="587"/>
      <c r="X181" s="587"/>
      <c r="Y181" s="587"/>
      <c r="Z181" s="587"/>
      <c r="AA181" s="587"/>
      <c r="AB181" s="587"/>
      <c r="AC181" s="587"/>
      <c r="AE181" s="587"/>
      <c r="AF181" s="587"/>
      <c r="AG181" s="587"/>
      <c r="AH181" s="587"/>
      <c r="AI181" s="587"/>
      <c r="AJ181" s="587"/>
      <c r="AK181" s="587"/>
      <c r="AL181" s="587"/>
      <c r="AM181" s="587"/>
      <c r="AO181" s="587"/>
      <c r="AP181" s="587"/>
      <c r="AQ181" s="587"/>
      <c r="AR181" s="587"/>
      <c r="AS181" s="587"/>
      <c r="AT181" s="587"/>
      <c r="AU181" s="587"/>
      <c r="AV181" s="587"/>
      <c r="AW181" s="587"/>
    </row>
    <row r="182" spans="1:49">
      <c r="A182" s="581">
        <v>14885</v>
      </c>
      <c r="B182" s="594">
        <v>4.2200000000000001E-2</v>
      </c>
      <c r="C182" s="577">
        <v>3.1699999999999999E-2</v>
      </c>
      <c r="D182" s="577">
        <v>1.8E-3</v>
      </c>
      <c r="E182" s="577">
        <v>2.3250000000000002E-3</v>
      </c>
      <c r="F182" s="577">
        <v>2.5083333333333329E-3</v>
      </c>
      <c r="G182" s="577">
        <v>2.4166666666666664E-3</v>
      </c>
      <c r="H182" s="577">
        <v>2.6250000000000002E-3</v>
      </c>
      <c r="I182" s="577">
        <f t="shared" si="24"/>
        <v>4.0399999999999998E-2</v>
      </c>
      <c r="J182" s="577">
        <f t="shared" si="28"/>
        <v>3.9783333333333337E-2</v>
      </c>
      <c r="K182" s="577">
        <f t="shared" si="29"/>
        <v>2.9075E-2</v>
      </c>
      <c r="L182" s="585">
        <f t="shared" si="25"/>
        <v>-8.2100571025637836E-2</v>
      </c>
      <c r="M182" s="585">
        <f t="shared" si="26"/>
        <v>2.1600000000000001E-2</v>
      </c>
      <c r="N182" s="585">
        <f t="shared" si="30"/>
        <v>2.8999999999999998E-2</v>
      </c>
      <c r="O182" s="586">
        <f t="shared" si="27"/>
        <v>-0.10370057102563784</v>
      </c>
      <c r="P182" s="585">
        <f t="shared" si="31"/>
        <v>-0.11110057102563783</v>
      </c>
      <c r="Q182" s="585">
        <f t="shared" si="32"/>
        <v>-6.1717223830552226E-2</v>
      </c>
      <c r="R182" s="585">
        <f t="shared" si="33"/>
        <v>3.15E-2</v>
      </c>
      <c r="S182" s="586">
        <f t="shared" si="34"/>
        <v>-9.3217223830552226E-2</v>
      </c>
      <c r="U182" s="587"/>
      <c r="V182" s="587"/>
      <c r="W182" s="587"/>
      <c r="X182" s="587"/>
      <c r="Y182" s="587"/>
      <c r="Z182" s="587"/>
      <c r="AA182" s="587"/>
      <c r="AB182" s="587"/>
      <c r="AC182" s="587"/>
      <c r="AE182" s="587"/>
      <c r="AF182" s="587"/>
      <c r="AG182" s="587"/>
      <c r="AH182" s="587"/>
      <c r="AI182" s="587"/>
      <c r="AJ182" s="587"/>
      <c r="AK182" s="587"/>
      <c r="AL182" s="587"/>
      <c r="AM182" s="587"/>
      <c r="AO182" s="587"/>
      <c r="AP182" s="587"/>
      <c r="AQ182" s="587"/>
      <c r="AR182" s="587"/>
      <c r="AS182" s="587"/>
      <c r="AT182" s="587"/>
      <c r="AU182" s="587"/>
      <c r="AV182" s="587"/>
      <c r="AW182" s="587"/>
    </row>
    <row r="183" spans="1:49">
      <c r="A183" s="581">
        <v>14916</v>
      </c>
      <c r="B183" s="594">
        <v>-3.1600000000000003E-2</v>
      </c>
      <c r="C183" s="577">
        <v>-0.12069999999999999</v>
      </c>
      <c r="D183" s="577">
        <v>1.8E-3</v>
      </c>
      <c r="E183" s="577">
        <v>2.2916666666666667E-3</v>
      </c>
      <c r="F183" s="577">
        <v>2.4666666666666669E-3</v>
      </c>
      <c r="G183" s="577">
        <v>2.3791666666666666E-3</v>
      </c>
      <c r="H183" s="577">
        <v>2.5916666666666666E-3</v>
      </c>
      <c r="I183" s="577">
        <f t="shared" si="24"/>
        <v>-3.3400000000000006E-2</v>
      </c>
      <c r="J183" s="577">
        <f t="shared" si="28"/>
        <v>-3.3979166666666671E-2</v>
      </c>
      <c r="K183" s="577">
        <f t="shared" si="29"/>
        <v>-0.12329166666666666</v>
      </c>
      <c r="L183" s="585">
        <f t="shared" si="25"/>
        <v>-7.4261813144373634E-2</v>
      </c>
      <c r="M183" s="585">
        <f t="shared" si="26"/>
        <v>2.1600000000000001E-2</v>
      </c>
      <c r="N183" s="585">
        <f t="shared" si="30"/>
        <v>2.8549999999999999E-2</v>
      </c>
      <c r="O183" s="586">
        <f t="shared" si="27"/>
        <v>-9.5861813144373642E-2</v>
      </c>
      <c r="P183" s="585">
        <f t="shared" si="31"/>
        <v>-0.10281181314437363</v>
      </c>
      <c r="Q183" s="585">
        <f t="shared" si="32"/>
        <v>-0.16180834594554971</v>
      </c>
      <c r="R183" s="585">
        <f t="shared" si="33"/>
        <v>3.1099999999999999E-2</v>
      </c>
      <c r="S183" s="586">
        <f t="shared" si="34"/>
        <v>-0.1929083459455497</v>
      </c>
      <c r="U183" s="587"/>
      <c r="V183" s="587"/>
      <c r="W183" s="587"/>
      <c r="X183" s="587"/>
      <c r="Y183" s="587"/>
      <c r="Z183" s="587"/>
      <c r="AA183" s="587"/>
      <c r="AB183" s="587"/>
      <c r="AC183" s="587"/>
      <c r="AE183" s="587"/>
      <c r="AF183" s="587"/>
      <c r="AG183" s="587"/>
      <c r="AH183" s="587"/>
      <c r="AI183" s="587"/>
      <c r="AJ183" s="587"/>
      <c r="AK183" s="587"/>
      <c r="AL183" s="587"/>
      <c r="AM183" s="587"/>
      <c r="AO183" s="587"/>
      <c r="AP183" s="587"/>
      <c r="AQ183" s="587"/>
      <c r="AR183" s="587"/>
      <c r="AS183" s="587"/>
      <c r="AT183" s="587"/>
      <c r="AU183" s="587"/>
      <c r="AV183" s="587"/>
      <c r="AW183" s="587"/>
    </row>
    <row r="184" spans="1:49">
      <c r="A184" s="581">
        <v>14946</v>
      </c>
      <c r="B184" s="594">
        <v>8.9999999999999998E-4</v>
      </c>
      <c r="C184" s="577">
        <v>1.54E-2</v>
      </c>
      <c r="D184" s="577">
        <v>1.6999999999999999E-3</v>
      </c>
      <c r="E184" s="577">
        <v>2.2583333333333331E-3</v>
      </c>
      <c r="F184" s="577">
        <v>2.4333333333333334E-3</v>
      </c>
      <c r="G184" s="577">
        <v>2.345833333333333E-3</v>
      </c>
      <c r="H184" s="577">
        <v>2.5833333333333337E-3</v>
      </c>
      <c r="I184" s="577">
        <f t="shared" si="24"/>
        <v>-7.9999999999999993E-4</v>
      </c>
      <c r="J184" s="577">
        <f t="shared" si="28"/>
        <v>-1.445833333333333E-3</v>
      </c>
      <c r="K184" s="577">
        <f t="shared" si="29"/>
        <v>1.2816666666666667E-2</v>
      </c>
      <c r="L184" s="585">
        <f t="shared" si="25"/>
        <v>-9.7788362975855359E-2</v>
      </c>
      <c r="M184" s="585">
        <f t="shared" si="26"/>
        <v>2.0399999999999998E-2</v>
      </c>
      <c r="N184" s="585">
        <f t="shared" si="30"/>
        <v>2.8149999999999994E-2</v>
      </c>
      <c r="O184" s="586">
        <f t="shared" si="27"/>
        <v>-0.11818836297585536</v>
      </c>
      <c r="P184" s="585">
        <f t="shared" si="31"/>
        <v>-0.12593836297585537</v>
      </c>
      <c r="Q184" s="585">
        <f t="shared" si="32"/>
        <v>-0.17143710521136224</v>
      </c>
      <c r="R184" s="585">
        <f t="shared" si="33"/>
        <v>3.1000000000000007E-2</v>
      </c>
      <c r="S184" s="586">
        <f t="shared" si="34"/>
        <v>-0.20243710521136224</v>
      </c>
      <c r="U184" s="587"/>
      <c r="V184" s="587"/>
      <c r="W184" s="587"/>
      <c r="X184" s="587"/>
      <c r="Y184" s="587"/>
      <c r="Z184" s="587"/>
      <c r="AA184" s="587"/>
      <c r="AB184" s="587"/>
      <c r="AC184" s="587"/>
      <c r="AE184" s="587"/>
      <c r="AF184" s="587"/>
      <c r="AG184" s="587"/>
      <c r="AH184" s="587"/>
      <c r="AI184" s="587"/>
      <c r="AJ184" s="587"/>
      <c r="AK184" s="587"/>
      <c r="AL184" s="587"/>
      <c r="AM184" s="587"/>
      <c r="AO184" s="587"/>
      <c r="AP184" s="587"/>
      <c r="AQ184" s="587"/>
      <c r="AR184" s="587"/>
      <c r="AS184" s="587"/>
      <c r="AT184" s="587"/>
      <c r="AU184" s="587"/>
      <c r="AV184" s="587"/>
      <c r="AW184" s="587"/>
    </row>
    <row r="185" spans="1:49">
      <c r="A185" s="581">
        <v>14977</v>
      </c>
      <c r="B185" s="594">
        <v>-4.6300000000000001E-2</v>
      </c>
      <c r="C185" s="577">
        <v>-8.4000000000000012E-3</v>
      </c>
      <c r="D185" s="577">
        <v>1.6000000000000001E-3</v>
      </c>
      <c r="E185" s="577">
        <v>2.2916666666666667E-3</v>
      </c>
      <c r="F185" s="577">
        <v>2.4583333333333336E-3</v>
      </c>
      <c r="G185" s="577">
        <v>2.3749999999999999E-3</v>
      </c>
      <c r="H185" s="577">
        <v>2.6250000000000002E-3</v>
      </c>
      <c r="I185" s="577">
        <f t="shared" si="24"/>
        <v>-4.7899999999999998E-2</v>
      </c>
      <c r="J185" s="577">
        <f t="shared" si="28"/>
        <v>-4.8675000000000003E-2</v>
      </c>
      <c r="K185" s="577">
        <f t="shared" si="29"/>
        <v>-1.1025000000000002E-2</v>
      </c>
      <c r="L185" s="585">
        <f t="shared" si="25"/>
        <v>-0.10964482799055608</v>
      </c>
      <c r="M185" s="585">
        <f t="shared" si="26"/>
        <v>1.9200000000000002E-2</v>
      </c>
      <c r="N185" s="585">
        <f t="shared" si="30"/>
        <v>2.8499999999999998E-2</v>
      </c>
      <c r="O185" s="586">
        <f t="shared" si="27"/>
        <v>-0.12884482799055608</v>
      </c>
      <c r="P185" s="585">
        <f t="shared" si="31"/>
        <v>-0.13814482799055608</v>
      </c>
      <c r="Q185" s="585">
        <f t="shared" si="32"/>
        <v>-0.1840272455334061</v>
      </c>
      <c r="R185" s="585">
        <f t="shared" si="33"/>
        <v>3.15E-2</v>
      </c>
      <c r="S185" s="586">
        <f t="shared" si="34"/>
        <v>-0.2155272455334061</v>
      </c>
      <c r="U185" s="587"/>
      <c r="V185" s="587"/>
      <c r="W185" s="587"/>
      <c r="X185" s="587"/>
      <c r="Y185" s="587"/>
      <c r="Z185" s="587"/>
      <c r="AA185" s="587"/>
      <c r="AB185" s="587"/>
      <c r="AC185" s="587"/>
      <c r="AE185" s="587"/>
      <c r="AF185" s="587"/>
      <c r="AG185" s="587"/>
      <c r="AH185" s="587"/>
      <c r="AI185" s="587"/>
      <c r="AJ185" s="587"/>
      <c r="AK185" s="587"/>
      <c r="AL185" s="587"/>
      <c r="AM185" s="587"/>
      <c r="AO185" s="587"/>
      <c r="AP185" s="587"/>
      <c r="AQ185" s="587"/>
      <c r="AR185" s="587"/>
      <c r="AS185" s="587"/>
      <c r="AT185" s="587"/>
      <c r="AU185" s="587"/>
      <c r="AV185" s="587"/>
      <c r="AW185" s="587"/>
    </row>
    <row r="186" spans="1:49">
      <c r="A186" s="581">
        <v>15008</v>
      </c>
      <c r="B186" s="594">
        <v>-6.0000000000000001E-3</v>
      </c>
      <c r="C186" s="577">
        <v>-2.3299999999999998E-2</v>
      </c>
      <c r="D186" s="577">
        <v>1.6000000000000001E-3</v>
      </c>
      <c r="E186" s="577">
        <v>2.3166666666666665E-3</v>
      </c>
      <c r="F186" s="577">
        <v>2.5000000000000001E-3</v>
      </c>
      <c r="G186" s="577">
        <v>2.4083333333333335E-3</v>
      </c>
      <c r="H186" s="577">
        <v>2.6666666666666666E-3</v>
      </c>
      <c r="I186" s="577">
        <f t="shared" si="24"/>
        <v>-7.6E-3</v>
      </c>
      <c r="J186" s="577">
        <f t="shared" si="28"/>
        <v>-8.4083333333333336E-3</v>
      </c>
      <c r="K186" s="577">
        <f t="shared" si="29"/>
        <v>-2.5966666666666666E-2</v>
      </c>
      <c r="L186" s="585">
        <f t="shared" si="25"/>
        <v>-0.12660313729656847</v>
      </c>
      <c r="M186" s="585">
        <f t="shared" si="26"/>
        <v>1.9200000000000002E-2</v>
      </c>
      <c r="N186" s="585">
        <f t="shared" si="30"/>
        <v>2.8900000000000002E-2</v>
      </c>
      <c r="O186" s="586">
        <f t="shared" si="27"/>
        <v>-0.14580313729656846</v>
      </c>
      <c r="P186" s="585">
        <f t="shared" si="31"/>
        <v>-0.15550313729656848</v>
      </c>
      <c r="Q186" s="585">
        <f t="shared" si="32"/>
        <v>-0.1948266424656272</v>
      </c>
      <c r="R186" s="585">
        <f t="shared" si="33"/>
        <v>3.2000000000000001E-2</v>
      </c>
      <c r="S186" s="586">
        <f t="shared" si="34"/>
        <v>-0.2268266424656272</v>
      </c>
      <c r="U186" s="587"/>
      <c r="V186" s="587"/>
      <c r="W186" s="587"/>
      <c r="X186" s="587"/>
      <c r="Y186" s="587"/>
      <c r="Z186" s="587"/>
      <c r="AA186" s="587"/>
      <c r="AB186" s="587"/>
      <c r="AC186" s="587"/>
      <c r="AE186" s="587"/>
      <c r="AF186" s="587"/>
      <c r="AG186" s="587"/>
      <c r="AH186" s="587"/>
      <c r="AI186" s="587"/>
      <c r="AJ186" s="587"/>
      <c r="AK186" s="587"/>
      <c r="AL186" s="587"/>
      <c r="AM186" s="587"/>
      <c r="AO186" s="587"/>
      <c r="AP186" s="587"/>
      <c r="AQ186" s="587"/>
      <c r="AR186" s="587"/>
      <c r="AS186" s="587"/>
      <c r="AT186" s="587"/>
      <c r="AU186" s="587"/>
      <c r="AV186" s="587"/>
      <c r="AW186" s="587"/>
    </row>
    <row r="187" spans="1:49">
      <c r="A187" s="581">
        <v>15036</v>
      </c>
      <c r="B187" s="594">
        <v>7.1000000000000004E-3</v>
      </c>
      <c r="C187" s="577">
        <v>-2.8000000000000004E-2</v>
      </c>
      <c r="D187" s="577">
        <v>1.8E-3</v>
      </c>
      <c r="E187" s="577">
        <v>2.3333333333333331E-3</v>
      </c>
      <c r="F187" s="577">
        <v>2.5083333333333329E-3</v>
      </c>
      <c r="G187" s="577">
        <v>2.420833333333333E-3</v>
      </c>
      <c r="H187" s="577">
        <v>2.6333333333333334E-3</v>
      </c>
      <c r="I187" s="577">
        <f t="shared" si="24"/>
        <v>5.3000000000000009E-3</v>
      </c>
      <c r="J187" s="577">
        <f t="shared" si="28"/>
        <v>4.6791666666666674E-3</v>
      </c>
      <c r="K187" s="577">
        <f t="shared" si="29"/>
        <v>-3.0633333333333339E-2</v>
      </c>
      <c r="L187" s="585">
        <f t="shared" si="25"/>
        <v>-0.13117544406496828</v>
      </c>
      <c r="M187" s="585">
        <f t="shared" si="26"/>
        <v>2.1600000000000001E-2</v>
      </c>
      <c r="N187" s="585">
        <f t="shared" si="30"/>
        <v>2.9049999999999996E-2</v>
      </c>
      <c r="O187" s="586">
        <f t="shared" si="27"/>
        <v>-0.15277544406496829</v>
      </c>
      <c r="P187" s="585">
        <f t="shared" si="31"/>
        <v>-0.16022544406496828</v>
      </c>
      <c r="Q187" s="585">
        <f t="shared" si="32"/>
        <v>-0.2246596953403901</v>
      </c>
      <c r="R187" s="585">
        <f t="shared" si="33"/>
        <v>3.1600000000000003E-2</v>
      </c>
      <c r="S187" s="586">
        <f t="shared" si="34"/>
        <v>-0.25625969534039011</v>
      </c>
      <c r="U187" s="587"/>
      <c r="V187" s="587"/>
      <c r="W187" s="587"/>
      <c r="X187" s="587"/>
      <c r="Y187" s="587"/>
      <c r="Z187" s="587"/>
      <c r="AA187" s="587"/>
      <c r="AB187" s="587"/>
      <c r="AC187" s="587"/>
      <c r="AE187" s="587"/>
      <c r="AF187" s="587"/>
      <c r="AG187" s="587"/>
      <c r="AH187" s="587"/>
      <c r="AI187" s="587"/>
      <c r="AJ187" s="587"/>
      <c r="AK187" s="587"/>
      <c r="AL187" s="587"/>
      <c r="AM187" s="587"/>
      <c r="AO187" s="587"/>
      <c r="AP187" s="587"/>
      <c r="AQ187" s="587"/>
      <c r="AR187" s="587"/>
      <c r="AS187" s="587"/>
      <c r="AT187" s="587"/>
      <c r="AU187" s="587"/>
      <c r="AV187" s="587"/>
      <c r="AW187" s="587"/>
    </row>
    <row r="188" spans="1:49">
      <c r="A188" s="581">
        <v>15067</v>
      </c>
      <c r="B188" s="594">
        <v>-6.1199999999999997E-2</v>
      </c>
      <c r="C188" s="577">
        <v>-8.4399999999999989E-2</v>
      </c>
      <c r="D188" s="577">
        <v>1.6999999999999999E-3</v>
      </c>
      <c r="E188" s="577">
        <v>2.3499999999999997E-3</v>
      </c>
      <c r="F188" s="577">
        <v>2.5333333333333336E-3</v>
      </c>
      <c r="G188" s="577">
        <v>2.4416666666666666E-3</v>
      </c>
      <c r="H188" s="577">
        <v>2.6166666666666664E-3</v>
      </c>
      <c r="I188" s="577">
        <f t="shared" si="24"/>
        <v>-6.2899999999999998E-2</v>
      </c>
      <c r="J188" s="577">
        <f t="shared" si="28"/>
        <v>-6.3641666666666666E-2</v>
      </c>
      <c r="K188" s="577">
        <f t="shared" si="29"/>
        <v>-8.7016666666666659E-2</v>
      </c>
      <c r="L188" s="585">
        <f t="shared" si="25"/>
        <v>-0.18238523144365693</v>
      </c>
      <c r="M188" s="585">
        <f t="shared" si="26"/>
        <v>2.0399999999999998E-2</v>
      </c>
      <c r="N188" s="585">
        <f t="shared" si="30"/>
        <v>2.93E-2</v>
      </c>
      <c r="O188" s="586">
        <f t="shared" si="27"/>
        <v>-0.20278523144365693</v>
      </c>
      <c r="P188" s="585">
        <f t="shared" si="31"/>
        <v>-0.21168523144365692</v>
      </c>
      <c r="Q188" s="585">
        <f t="shared" si="32"/>
        <v>-0.28350667849582267</v>
      </c>
      <c r="R188" s="585">
        <f t="shared" si="33"/>
        <v>3.1399999999999997E-2</v>
      </c>
      <c r="S188" s="586">
        <f t="shared" si="34"/>
        <v>-0.31490667849582266</v>
      </c>
      <c r="U188" s="587"/>
      <c r="V188" s="587"/>
      <c r="W188" s="587"/>
      <c r="X188" s="587"/>
      <c r="Y188" s="587"/>
      <c r="Z188" s="587"/>
      <c r="AA188" s="587"/>
      <c r="AB188" s="587"/>
      <c r="AC188" s="587"/>
      <c r="AE188" s="587"/>
      <c r="AF188" s="587"/>
      <c r="AG188" s="587"/>
      <c r="AH188" s="587"/>
      <c r="AI188" s="587"/>
      <c r="AJ188" s="587"/>
      <c r="AK188" s="587"/>
      <c r="AL188" s="587"/>
      <c r="AM188" s="587"/>
      <c r="AO188" s="587"/>
      <c r="AP188" s="587"/>
      <c r="AQ188" s="587"/>
      <c r="AR188" s="587"/>
      <c r="AS188" s="587"/>
      <c r="AT188" s="587"/>
      <c r="AU188" s="587"/>
      <c r="AV188" s="587"/>
      <c r="AW188" s="587"/>
    </row>
    <row r="189" spans="1:49">
      <c r="A189" s="581">
        <v>15097</v>
      </c>
      <c r="B189" s="594">
        <v>1.83E-2</v>
      </c>
      <c r="C189" s="577">
        <v>-3.3700000000000001E-2</v>
      </c>
      <c r="D189" s="577">
        <v>1.6999999999999999E-3</v>
      </c>
      <c r="E189" s="577">
        <v>2.3416666666666668E-3</v>
      </c>
      <c r="F189" s="577">
        <v>2.4916666666666668E-3</v>
      </c>
      <c r="G189" s="577">
        <v>2.4166666666666668E-3</v>
      </c>
      <c r="H189" s="577">
        <v>2.5666666666666667E-3</v>
      </c>
      <c r="I189" s="577">
        <f t="shared" si="24"/>
        <v>1.66E-2</v>
      </c>
      <c r="J189" s="577">
        <f t="shared" si="28"/>
        <v>1.5883333333333333E-2</v>
      </c>
      <c r="K189" s="577">
        <f t="shared" si="29"/>
        <v>-3.6266666666666669E-2</v>
      </c>
      <c r="L189" s="585">
        <f t="shared" si="25"/>
        <v>7.9726519025967946E-2</v>
      </c>
      <c r="M189" s="585">
        <f t="shared" si="26"/>
        <v>2.0399999999999998E-2</v>
      </c>
      <c r="N189" s="585">
        <f t="shared" si="30"/>
        <v>2.9000000000000001E-2</v>
      </c>
      <c r="O189" s="586">
        <f t="shared" si="27"/>
        <v>5.9326519025967944E-2</v>
      </c>
      <c r="P189" s="585">
        <f t="shared" si="31"/>
        <v>5.0726519025967948E-2</v>
      </c>
      <c r="Q189" s="585">
        <f t="shared" si="32"/>
        <v>-0.13844263741975271</v>
      </c>
      <c r="R189" s="585">
        <f t="shared" si="33"/>
        <v>3.0800000000000001E-2</v>
      </c>
      <c r="S189" s="586">
        <f t="shared" si="34"/>
        <v>-0.16924263741975271</v>
      </c>
      <c r="U189" s="587"/>
      <c r="V189" s="587"/>
      <c r="W189" s="587"/>
      <c r="X189" s="587"/>
      <c r="Y189" s="587"/>
      <c r="Z189" s="587"/>
      <c r="AA189" s="587"/>
      <c r="AB189" s="587"/>
      <c r="AC189" s="587"/>
      <c r="AE189" s="587"/>
      <c r="AF189" s="587"/>
      <c r="AG189" s="587"/>
      <c r="AH189" s="587"/>
      <c r="AI189" s="587"/>
      <c r="AJ189" s="587"/>
      <c r="AK189" s="587"/>
      <c r="AL189" s="587"/>
      <c r="AM189" s="587"/>
      <c r="AO189" s="587"/>
      <c r="AP189" s="587"/>
      <c r="AQ189" s="587"/>
      <c r="AR189" s="587"/>
      <c r="AS189" s="587"/>
      <c r="AT189" s="587"/>
      <c r="AU189" s="587"/>
      <c r="AV189" s="587"/>
      <c r="AW189" s="587"/>
    </row>
    <row r="190" spans="1:49">
      <c r="A190" s="581">
        <v>15128</v>
      </c>
      <c r="B190" s="594">
        <v>5.7799999999999997E-2</v>
      </c>
      <c r="C190" s="577">
        <v>2.5700000000000004E-2</v>
      </c>
      <c r="D190" s="577">
        <v>1.6000000000000001E-3</v>
      </c>
      <c r="E190" s="577">
        <v>2.3083333333333332E-3</v>
      </c>
      <c r="F190" s="577">
        <v>2.4583333333333336E-3</v>
      </c>
      <c r="G190" s="577">
        <v>2.3833333333333332E-3</v>
      </c>
      <c r="H190" s="577">
        <v>2.5249999999999999E-3</v>
      </c>
      <c r="I190" s="577">
        <f t="shared" si="24"/>
        <v>5.62E-2</v>
      </c>
      <c r="J190" s="577">
        <f t="shared" si="28"/>
        <v>5.5416666666666663E-2</v>
      </c>
      <c r="K190" s="577">
        <f t="shared" si="29"/>
        <v>2.3175000000000005E-2</v>
      </c>
      <c r="L190" s="585">
        <f t="shared" si="25"/>
        <v>5.6651597581339308E-2</v>
      </c>
      <c r="M190" s="585">
        <f t="shared" si="26"/>
        <v>1.9200000000000002E-2</v>
      </c>
      <c r="N190" s="585">
        <f t="shared" si="30"/>
        <v>2.86E-2</v>
      </c>
      <c r="O190" s="586">
        <f t="shared" si="27"/>
        <v>3.7451597581339306E-2</v>
      </c>
      <c r="P190" s="585">
        <f t="shared" si="31"/>
        <v>2.8051597581339308E-2</v>
      </c>
      <c r="Q190" s="585">
        <f t="shared" si="32"/>
        <v>-0.23196646375929109</v>
      </c>
      <c r="R190" s="585">
        <f t="shared" si="33"/>
        <v>3.0300000000000001E-2</v>
      </c>
      <c r="S190" s="586">
        <f t="shared" si="34"/>
        <v>-0.26226646375929108</v>
      </c>
      <c r="U190" s="587"/>
      <c r="V190" s="587"/>
      <c r="W190" s="587"/>
      <c r="X190" s="587"/>
      <c r="Y190" s="587"/>
      <c r="Z190" s="587"/>
      <c r="AA190" s="587"/>
      <c r="AB190" s="587"/>
      <c r="AC190" s="587"/>
      <c r="AE190" s="587"/>
      <c r="AF190" s="587"/>
      <c r="AG190" s="587"/>
      <c r="AH190" s="587"/>
      <c r="AI190" s="587"/>
      <c r="AJ190" s="587"/>
      <c r="AK190" s="587"/>
      <c r="AL190" s="587"/>
      <c r="AM190" s="587"/>
      <c r="AO190" s="587"/>
      <c r="AP190" s="587"/>
      <c r="AQ190" s="587"/>
      <c r="AR190" s="587"/>
      <c r="AS190" s="587"/>
      <c r="AT190" s="587"/>
      <c r="AU190" s="587"/>
      <c r="AV190" s="587"/>
      <c r="AW190" s="587"/>
    </row>
    <row r="191" spans="1:49">
      <c r="A191" s="581">
        <v>15158</v>
      </c>
      <c r="B191" s="594">
        <v>5.79E-2</v>
      </c>
      <c r="C191" s="577">
        <v>5.3800000000000001E-2</v>
      </c>
      <c r="D191" s="577">
        <v>1.6000000000000001E-3</v>
      </c>
      <c r="E191" s="577">
        <v>2.2833333333333334E-3</v>
      </c>
      <c r="F191" s="577">
        <v>2.4166666666666668E-3</v>
      </c>
      <c r="G191" s="577">
        <v>2.3500000000000001E-3</v>
      </c>
      <c r="H191" s="577">
        <v>2.5000000000000001E-3</v>
      </c>
      <c r="I191" s="577">
        <f t="shared" si="24"/>
        <v>5.6300000000000003E-2</v>
      </c>
      <c r="J191" s="577">
        <f t="shared" si="28"/>
        <v>5.5550000000000002E-2</v>
      </c>
      <c r="K191" s="577">
        <f t="shared" si="29"/>
        <v>5.1299999999999998E-2</v>
      </c>
      <c r="L191" s="585">
        <f t="shared" si="25"/>
        <v>8.0970626710471061E-2</v>
      </c>
      <c r="M191" s="585">
        <f t="shared" si="26"/>
        <v>1.9200000000000002E-2</v>
      </c>
      <c r="N191" s="585">
        <f t="shared" si="30"/>
        <v>2.8200000000000003E-2</v>
      </c>
      <c r="O191" s="586">
        <f t="shared" si="27"/>
        <v>6.1770626710471059E-2</v>
      </c>
      <c r="P191" s="585">
        <f t="shared" si="31"/>
        <v>5.2770626710471058E-2</v>
      </c>
      <c r="Q191" s="585">
        <f t="shared" si="32"/>
        <v>-0.19587308446054752</v>
      </c>
      <c r="R191" s="585">
        <f t="shared" si="33"/>
        <v>0.03</v>
      </c>
      <c r="S191" s="586">
        <f t="shared" si="34"/>
        <v>-0.22587308446054752</v>
      </c>
      <c r="U191" s="587"/>
      <c r="V191" s="587"/>
      <c r="W191" s="587"/>
      <c r="X191" s="587"/>
      <c r="Y191" s="587"/>
      <c r="Z191" s="587"/>
      <c r="AA191" s="587"/>
      <c r="AB191" s="587"/>
      <c r="AC191" s="587"/>
      <c r="AE191" s="587"/>
      <c r="AF191" s="587"/>
      <c r="AG191" s="587"/>
      <c r="AH191" s="587"/>
      <c r="AI191" s="587"/>
      <c r="AJ191" s="587"/>
      <c r="AK191" s="587"/>
      <c r="AL191" s="587"/>
      <c r="AM191" s="587"/>
      <c r="AO191" s="587"/>
      <c r="AP191" s="587"/>
      <c r="AQ191" s="587"/>
      <c r="AR191" s="587"/>
      <c r="AS191" s="587"/>
      <c r="AT191" s="587"/>
      <c r="AU191" s="587"/>
      <c r="AV191" s="587"/>
      <c r="AW191" s="587"/>
    </row>
    <row r="192" spans="1:49">
      <c r="A192" s="581">
        <v>15189</v>
      </c>
      <c r="B192" s="594">
        <v>1E-3</v>
      </c>
      <c r="C192" s="577">
        <v>-1.9200000000000002E-2</v>
      </c>
      <c r="D192" s="577">
        <v>1.6000000000000001E-3</v>
      </c>
      <c r="E192" s="577">
        <v>2.2833333333333334E-3</v>
      </c>
      <c r="F192" s="577">
        <v>2.4166666666666668E-3</v>
      </c>
      <c r="G192" s="577">
        <v>2.3500000000000001E-3</v>
      </c>
      <c r="H192" s="577">
        <v>2.4833333333333331E-3</v>
      </c>
      <c r="I192" s="577">
        <f t="shared" si="24"/>
        <v>-6.0000000000000006E-4</v>
      </c>
      <c r="J192" s="577">
        <f t="shared" si="28"/>
        <v>-1.3500000000000001E-3</v>
      </c>
      <c r="K192" s="577">
        <f t="shared" si="29"/>
        <v>-2.1683333333333336E-2</v>
      </c>
      <c r="L192" s="585">
        <f t="shared" si="25"/>
        <v>4.5460480519016189E-2</v>
      </c>
      <c r="M192" s="585">
        <f t="shared" si="26"/>
        <v>1.9200000000000002E-2</v>
      </c>
      <c r="N192" s="585">
        <f t="shared" si="30"/>
        <v>2.8200000000000003E-2</v>
      </c>
      <c r="O192" s="586">
        <f t="shared" si="27"/>
        <v>2.6260480519016187E-2</v>
      </c>
      <c r="P192" s="585">
        <f t="shared" si="31"/>
        <v>1.7260480519016186E-2</v>
      </c>
      <c r="Q192" s="585">
        <f t="shared" si="32"/>
        <v>-0.20382830732778623</v>
      </c>
      <c r="R192" s="585">
        <f t="shared" si="33"/>
        <v>2.9799999999999997E-2</v>
      </c>
      <c r="S192" s="586">
        <f t="shared" si="34"/>
        <v>-0.23362830732778622</v>
      </c>
      <c r="U192" s="587"/>
      <c r="V192" s="587"/>
      <c r="W192" s="587"/>
      <c r="X192" s="587"/>
      <c r="Y192" s="587"/>
      <c r="Z192" s="587"/>
      <c r="AA192" s="587"/>
      <c r="AB192" s="587"/>
      <c r="AC192" s="587"/>
      <c r="AE192" s="587"/>
      <c r="AF192" s="587"/>
      <c r="AG192" s="587"/>
      <c r="AH192" s="587"/>
      <c r="AI192" s="587"/>
      <c r="AJ192" s="587"/>
      <c r="AK192" s="587"/>
      <c r="AL192" s="587"/>
      <c r="AM192" s="587"/>
      <c r="AO192" s="587"/>
      <c r="AP192" s="587"/>
      <c r="AQ192" s="587"/>
      <c r="AR192" s="587"/>
      <c r="AS192" s="587"/>
      <c r="AT192" s="587"/>
      <c r="AU192" s="587"/>
      <c r="AV192" s="587"/>
      <c r="AW192" s="587"/>
    </row>
    <row r="193" spans="1:49">
      <c r="A193" s="581">
        <v>15220</v>
      </c>
      <c r="B193" s="594">
        <v>-6.7999999999999996E-3</v>
      </c>
      <c r="C193" s="577">
        <v>-2.8199999999999992E-2</v>
      </c>
      <c r="D193" s="577">
        <v>1.6000000000000001E-3</v>
      </c>
      <c r="E193" s="577">
        <v>2.2916666666666667E-3</v>
      </c>
      <c r="F193" s="577">
        <v>2.4250000000000001E-3</v>
      </c>
      <c r="G193" s="577">
        <v>2.3583333333333334E-3</v>
      </c>
      <c r="H193" s="577">
        <v>2.5000000000000001E-3</v>
      </c>
      <c r="I193" s="577">
        <f t="shared" si="24"/>
        <v>-8.3999999999999995E-3</v>
      </c>
      <c r="J193" s="577">
        <f t="shared" si="28"/>
        <v>-9.1583333333333326E-3</v>
      </c>
      <c r="K193" s="577">
        <f t="shared" si="29"/>
        <v>-3.0699999999999991E-2</v>
      </c>
      <c r="L193" s="585">
        <f t="shared" si="25"/>
        <v>2.5734811075261321E-2</v>
      </c>
      <c r="M193" s="585">
        <f t="shared" si="26"/>
        <v>1.9200000000000002E-2</v>
      </c>
      <c r="N193" s="585">
        <f t="shared" si="30"/>
        <v>2.8299999999999999E-2</v>
      </c>
      <c r="O193" s="586">
        <f t="shared" si="27"/>
        <v>6.5348110752613195E-3</v>
      </c>
      <c r="P193" s="585">
        <f t="shared" si="31"/>
        <v>-2.5651889247386775E-3</v>
      </c>
      <c r="Q193" s="585">
        <f t="shared" si="32"/>
        <v>-0.20960297176539233</v>
      </c>
      <c r="R193" s="585">
        <f t="shared" si="33"/>
        <v>0.03</v>
      </c>
      <c r="S193" s="586">
        <f t="shared" si="34"/>
        <v>-0.23960297176539233</v>
      </c>
      <c r="U193" s="587"/>
      <c r="V193" s="587"/>
      <c r="W193" s="587"/>
      <c r="X193" s="587"/>
      <c r="Y193" s="587"/>
      <c r="Z193" s="587"/>
      <c r="AA193" s="587"/>
      <c r="AB193" s="587"/>
      <c r="AC193" s="587"/>
      <c r="AE193" s="587"/>
      <c r="AF193" s="587"/>
      <c r="AG193" s="587"/>
      <c r="AH193" s="587"/>
      <c r="AI193" s="587"/>
      <c r="AJ193" s="587"/>
      <c r="AK193" s="587"/>
      <c r="AL193" s="587"/>
      <c r="AM193" s="587"/>
      <c r="AO193" s="587"/>
      <c r="AP193" s="587"/>
      <c r="AQ193" s="587"/>
      <c r="AR193" s="587"/>
      <c r="AS193" s="587"/>
      <c r="AT193" s="587"/>
      <c r="AU193" s="587"/>
      <c r="AV193" s="587"/>
      <c r="AW193" s="587"/>
    </row>
    <row r="194" spans="1:49">
      <c r="A194" s="581">
        <v>15250</v>
      </c>
      <c r="B194" s="594">
        <v>-6.5699999999999995E-2</v>
      </c>
      <c r="C194" s="577">
        <v>-8.48E-2</v>
      </c>
      <c r="D194" s="577">
        <v>1.6000000000000001E-3</v>
      </c>
      <c r="E194" s="577">
        <v>2.2750000000000001E-3</v>
      </c>
      <c r="F194" s="577">
        <v>2.3916666666666665E-3</v>
      </c>
      <c r="G194" s="577">
        <v>2.3333333333333335E-3</v>
      </c>
      <c r="H194" s="577">
        <v>2.5000000000000001E-3</v>
      </c>
      <c r="I194" s="577">
        <f t="shared" si="24"/>
        <v>-6.7299999999999999E-2</v>
      </c>
      <c r="J194" s="577">
        <f t="shared" si="28"/>
        <v>-6.8033333333333335E-2</v>
      </c>
      <c r="K194" s="577">
        <f t="shared" si="29"/>
        <v>-8.7300000000000003E-2</v>
      </c>
      <c r="L194" s="585">
        <f t="shared" si="25"/>
        <v>-8.0460531579719441E-2</v>
      </c>
      <c r="M194" s="585">
        <f t="shared" si="26"/>
        <v>1.9200000000000002E-2</v>
      </c>
      <c r="N194" s="585">
        <f t="shared" si="30"/>
        <v>2.8000000000000004E-2</v>
      </c>
      <c r="O194" s="586">
        <f t="shared" si="27"/>
        <v>-9.9660531579719436E-2</v>
      </c>
      <c r="P194" s="585">
        <f t="shared" si="31"/>
        <v>-0.10846053157971944</v>
      </c>
      <c r="Q194" s="585">
        <f t="shared" si="32"/>
        <v>-0.29885493821817111</v>
      </c>
      <c r="R194" s="585">
        <f t="shared" si="33"/>
        <v>0.03</v>
      </c>
      <c r="S194" s="586">
        <f t="shared" si="34"/>
        <v>-0.32885493821817113</v>
      </c>
      <c r="U194" s="587"/>
      <c r="V194" s="587"/>
      <c r="W194" s="587"/>
      <c r="X194" s="587"/>
      <c r="Y194" s="587"/>
      <c r="Z194" s="587"/>
      <c r="AA194" s="587"/>
      <c r="AB194" s="587"/>
      <c r="AC194" s="587"/>
      <c r="AE194" s="587"/>
      <c r="AF194" s="587"/>
      <c r="AG194" s="587"/>
      <c r="AH194" s="587"/>
      <c r="AI194" s="587"/>
      <c r="AJ194" s="587"/>
      <c r="AK194" s="587"/>
      <c r="AL194" s="587"/>
      <c r="AM194" s="587"/>
      <c r="AO194" s="587"/>
      <c r="AP194" s="587"/>
      <c r="AQ194" s="587"/>
      <c r="AR194" s="587"/>
      <c r="AS194" s="587"/>
      <c r="AT194" s="587"/>
      <c r="AU194" s="587"/>
      <c r="AV194" s="587"/>
      <c r="AW194" s="587"/>
    </row>
    <row r="195" spans="1:49">
      <c r="A195" s="581">
        <v>15281</v>
      </c>
      <c r="B195" s="594">
        <v>-2.8400000000000002E-2</v>
      </c>
      <c r="C195" s="577">
        <v>-6.5199999999999994E-2</v>
      </c>
      <c r="D195" s="577">
        <v>1.3999999999999998E-3</v>
      </c>
      <c r="E195" s="577">
        <v>2.2666666666666668E-3</v>
      </c>
      <c r="F195" s="577">
        <v>2.3833333333333332E-3</v>
      </c>
      <c r="G195" s="577">
        <v>2.3249999999999998E-3</v>
      </c>
      <c r="H195" s="577">
        <v>2.4833333333333331E-3</v>
      </c>
      <c r="I195" s="577">
        <f t="shared" si="24"/>
        <v>-2.98E-2</v>
      </c>
      <c r="J195" s="577">
        <f t="shared" si="28"/>
        <v>-3.0725000000000002E-2</v>
      </c>
      <c r="K195" s="577">
        <f t="shared" si="29"/>
        <v>-6.7683333333333331E-2</v>
      </c>
      <c r="L195" s="585">
        <f t="shared" si="25"/>
        <v>-7.7421987280932858E-2</v>
      </c>
      <c r="M195" s="585">
        <f t="shared" si="26"/>
        <v>1.6799999999999995E-2</v>
      </c>
      <c r="N195" s="585">
        <f t="shared" si="30"/>
        <v>2.7899999999999998E-2</v>
      </c>
      <c r="O195" s="586">
        <f t="shared" si="27"/>
        <v>-9.4221987280932853E-2</v>
      </c>
      <c r="P195" s="585">
        <f t="shared" si="31"/>
        <v>-0.10532198728093285</v>
      </c>
      <c r="Q195" s="585">
        <f t="shared" si="32"/>
        <v>-0.25459979102279806</v>
      </c>
      <c r="R195" s="585">
        <f t="shared" si="33"/>
        <v>2.9799999999999997E-2</v>
      </c>
      <c r="S195" s="586">
        <f t="shared" si="34"/>
        <v>-0.28439979102279805</v>
      </c>
      <c r="U195" s="587"/>
      <c r="V195" s="587"/>
      <c r="W195" s="587"/>
      <c r="X195" s="587"/>
      <c r="Y195" s="587"/>
      <c r="Z195" s="587"/>
      <c r="AA195" s="587"/>
      <c r="AB195" s="587"/>
      <c r="AC195" s="587"/>
      <c r="AE195" s="587"/>
      <c r="AF195" s="587"/>
      <c r="AG195" s="587"/>
      <c r="AH195" s="587"/>
      <c r="AI195" s="587"/>
      <c r="AJ195" s="587"/>
      <c r="AK195" s="587"/>
      <c r="AL195" s="587"/>
      <c r="AM195" s="587"/>
      <c r="AO195" s="587"/>
      <c r="AP195" s="587"/>
      <c r="AQ195" s="587"/>
      <c r="AR195" s="587"/>
      <c r="AS195" s="587"/>
      <c r="AT195" s="587"/>
      <c r="AU195" s="587"/>
      <c r="AV195" s="587"/>
      <c r="AW195" s="587"/>
    </row>
    <row r="196" spans="1:49">
      <c r="A196" s="581">
        <v>15311</v>
      </c>
      <c r="B196" s="594">
        <v>-4.07E-2</v>
      </c>
      <c r="C196" s="577">
        <v>-6.7799999999999999E-2</v>
      </c>
      <c r="D196" s="577">
        <v>1.6000000000000001E-3</v>
      </c>
      <c r="E196" s="577">
        <v>2.3333333333333331E-3</v>
      </c>
      <c r="F196" s="577">
        <v>2.4583333333333336E-3</v>
      </c>
      <c r="G196" s="577">
        <v>2.3958333333333331E-3</v>
      </c>
      <c r="H196" s="577">
        <v>2.5500000000000002E-3</v>
      </c>
      <c r="I196" s="577">
        <f t="shared" si="24"/>
        <v>-4.2299999999999997E-2</v>
      </c>
      <c r="J196" s="577">
        <f t="shared" si="28"/>
        <v>-4.3095833333333333E-2</v>
      </c>
      <c r="K196" s="577">
        <f t="shared" si="29"/>
        <v>-7.0349999999999996E-2</v>
      </c>
      <c r="L196" s="585">
        <f t="shared" si="25"/>
        <v>-0.11576672234848517</v>
      </c>
      <c r="M196" s="585">
        <f t="shared" si="26"/>
        <v>1.9200000000000002E-2</v>
      </c>
      <c r="N196" s="585">
        <f t="shared" si="30"/>
        <v>2.8749999999999998E-2</v>
      </c>
      <c r="O196" s="586">
        <f t="shared" si="27"/>
        <v>-0.13496672234848517</v>
      </c>
      <c r="P196" s="585">
        <f t="shared" si="31"/>
        <v>-0.14451672234848517</v>
      </c>
      <c r="Q196" s="585">
        <f t="shared" si="32"/>
        <v>-0.31567650698390026</v>
      </c>
      <c r="R196" s="585">
        <f t="shared" si="33"/>
        <v>3.0600000000000002E-2</v>
      </c>
      <c r="S196" s="586">
        <f t="shared" si="34"/>
        <v>-0.34627650698390028</v>
      </c>
      <c r="U196" s="587"/>
      <c r="V196" s="587"/>
      <c r="W196" s="587"/>
      <c r="X196" s="587"/>
      <c r="Y196" s="587"/>
      <c r="Z196" s="587"/>
      <c r="AA196" s="587"/>
      <c r="AB196" s="587"/>
      <c r="AC196" s="587"/>
      <c r="AE196" s="587"/>
      <c r="AF196" s="587"/>
      <c r="AG196" s="587"/>
      <c r="AH196" s="587"/>
      <c r="AI196" s="587"/>
      <c r="AJ196" s="587"/>
      <c r="AK196" s="587"/>
      <c r="AL196" s="587"/>
      <c r="AM196" s="587"/>
      <c r="AO196" s="587"/>
      <c r="AP196" s="587"/>
      <c r="AQ196" s="587"/>
      <c r="AR196" s="587"/>
      <c r="AS196" s="587"/>
      <c r="AT196" s="587"/>
      <c r="AU196" s="587"/>
      <c r="AV196" s="587"/>
      <c r="AW196" s="587"/>
    </row>
    <row r="197" spans="1:49">
      <c r="A197" s="581">
        <v>15342</v>
      </c>
      <c r="B197" s="594">
        <v>1.61E-2</v>
      </c>
      <c r="C197" s="577">
        <v>2.52E-2</v>
      </c>
      <c r="D197" s="577">
        <v>2.0999999999999999E-3</v>
      </c>
      <c r="E197" s="577">
        <v>2.3583333333333334E-3</v>
      </c>
      <c r="F197" s="577">
        <v>2.4666666666666669E-3</v>
      </c>
      <c r="G197" s="577">
        <v>2.4125000000000001E-3</v>
      </c>
      <c r="H197" s="577">
        <v>2.575E-3</v>
      </c>
      <c r="I197" s="577">
        <f t="shared" si="24"/>
        <v>1.4E-2</v>
      </c>
      <c r="J197" s="577">
        <f t="shared" si="28"/>
        <v>1.36875E-2</v>
      </c>
      <c r="K197" s="577">
        <f t="shared" si="29"/>
        <v>2.2624999999999999E-2</v>
      </c>
      <c r="L197" s="585">
        <f t="shared" si="25"/>
        <v>-5.7911886943793012E-2</v>
      </c>
      <c r="M197" s="585">
        <f t="shared" si="26"/>
        <v>2.52E-2</v>
      </c>
      <c r="N197" s="585">
        <f t="shared" si="30"/>
        <v>2.8950000000000004E-2</v>
      </c>
      <c r="O197" s="586">
        <f t="shared" si="27"/>
        <v>-8.3111886943793012E-2</v>
      </c>
      <c r="P197" s="585">
        <f t="shared" si="31"/>
        <v>-8.6861886943793015E-2</v>
      </c>
      <c r="Q197" s="585">
        <f t="shared" si="32"/>
        <v>-0.29248845800715473</v>
      </c>
      <c r="R197" s="585">
        <f t="shared" si="33"/>
        <v>3.09E-2</v>
      </c>
      <c r="S197" s="586">
        <f t="shared" si="34"/>
        <v>-0.32338845800715471</v>
      </c>
      <c r="U197" s="587"/>
      <c r="V197" s="587"/>
      <c r="W197" s="587"/>
      <c r="X197" s="587"/>
      <c r="Y197" s="587"/>
      <c r="Z197" s="587"/>
      <c r="AA197" s="587"/>
      <c r="AB197" s="587"/>
      <c r="AC197" s="587"/>
      <c r="AE197" s="587"/>
      <c r="AF197" s="587"/>
      <c r="AG197" s="587"/>
      <c r="AH197" s="587"/>
      <c r="AI197" s="587"/>
      <c r="AJ197" s="587"/>
      <c r="AK197" s="587"/>
      <c r="AL197" s="587"/>
      <c r="AM197" s="587"/>
      <c r="AO197" s="587"/>
      <c r="AP197" s="587"/>
      <c r="AQ197" s="587"/>
      <c r="AR197" s="587"/>
      <c r="AS197" s="587"/>
      <c r="AT197" s="587"/>
      <c r="AU197" s="587"/>
      <c r="AV197" s="587"/>
      <c r="AW197" s="587"/>
    </row>
    <row r="198" spans="1:49">
      <c r="A198" s="581">
        <v>15373</v>
      </c>
      <c r="B198" s="594">
        <v>-1.5900000000000001E-2</v>
      </c>
      <c r="C198" s="577">
        <v>-3.39E-2</v>
      </c>
      <c r="D198" s="577">
        <v>1.9E-3</v>
      </c>
      <c r="E198" s="577">
        <v>2.3750000000000004E-3</v>
      </c>
      <c r="F198" s="577">
        <v>2.4833333333333331E-3</v>
      </c>
      <c r="G198" s="577">
        <v>2.4291666666666667E-3</v>
      </c>
      <c r="H198" s="577">
        <v>2.575E-3</v>
      </c>
      <c r="I198" s="577">
        <f t="shared" ref="I198:I261" si="35">B198-D198</f>
        <v>-1.78E-2</v>
      </c>
      <c r="J198" s="577">
        <f t="shared" si="28"/>
        <v>-1.8329166666666667E-2</v>
      </c>
      <c r="K198" s="577">
        <f t="shared" si="29"/>
        <v>-3.6475E-2</v>
      </c>
      <c r="L198" s="585">
        <f t="shared" si="25"/>
        <v>-6.7294857083890047E-2</v>
      </c>
      <c r="M198" s="585">
        <f t="shared" si="26"/>
        <v>2.2800000000000001E-2</v>
      </c>
      <c r="N198" s="585">
        <f t="shared" si="30"/>
        <v>2.9150000000000002E-2</v>
      </c>
      <c r="O198" s="586">
        <f t="shared" si="27"/>
        <v>-9.0094857083890048E-2</v>
      </c>
      <c r="P198" s="585">
        <f t="shared" si="31"/>
        <v>-9.6444857083890057E-2</v>
      </c>
      <c r="Q198" s="585">
        <f t="shared" si="32"/>
        <v>-0.30016699015123582</v>
      </c>
      <c r="R198" s="585">
        <f t="shared" si="33"/>
        <v>3.09E-2</v>
      </c>
      <c r="S198" s="586">
        <f t="shared" si="34"/>
        <v>-0.33106699015123581</v>
      </c>
      <c r="U198" s="587"/>
      <c r="V198" s="587"/>
      <c r="W198" s="587"/>
      <c r="X198" s="587"/>
      <c r="Y198" s="587"/>
      <c r="Z198" s="587"/>
      <c r="AA198" s="587"/>
      <c r="AB198" s="587"/>
      <c r="AC198" s="587"/>
      <c r="AE198" s="587"/>
      <c r="AF198" s="587"/>
      <c r="AG198" s="587"/>
      <c r="AH198" s="587"/>
      <c r="AI198" s="587"/>
      <c r="AJ198" s="587"/>
      <c r="AK198" s="587"/>
      <c r="AL198" s="587"/>
      <c r="AM198" s="587"/>
      <c r="AO198" s="587"/>
      <c r="AP198" s="587"/>
      <c r="AQ198" s="587"/>
      <c r="AR198" s="587"/>
      <c r="AS198" s="587"/>
      <c r="AT198" s="587"/>
      <c r="AU198" s="587"/>
      <c r="AV198" s="587"/>
      <c r="AW198" s="587"/>
    </row>
    <row r="199" spans="1:49">
      <c r="A199" s="581">
        <v>15401</v>
      </c>
      <c r="B199" s="594">
        <v>-6.5199999999999994E-2</v>
      </c>
      <c r="C199" s="577">
        <v>-0.10459999999999998</v>
      </c>
      <c r="D199" s="577">
        <v>2.0999999999999999E-3</v>
      </c>
      <c r="E199" s="577">
        <v>2.3833333333333332E-3</v>
      </c>
      <c r="F199" s="577">
        <v>2.5000000000000001E-3</v>
      </c>
      <c r="G199" s="577">
        <v>2.4416666666666666E-3</v>
      </c>
      <c r="H199" s="577">
        <v>2.5999999999999999E-3</v>
      </c>
      <c r="I199" s="577">
        <f t="shared" si="35"/>
        <v>-6.7299999999999999E-2</v>
      </c>
      <c r="J199" s="577">
        <f t="shared" si="28"/>
        <v>-6.7641666666666656E-2</v>
      </c>
      <c r="K199" s="577">
        <f t="shared" si="29"/>
        <v>-0.10719999999999999</v>
      </c>
      <c r="L199" s="585">
        <f t="shared" si="25"/>
        <v>-0.13425402879755821</v>
      </c>
      <c r="M199" s="585">
        <f t="shared" si="26"/>
        <v>2.52E-2</v>
      </c>
      <c r="N199" s="585">
        <f t="shared" si="30"/>
        <v>2.93E-2</v>
      </c>
      <c r="O199" s="586">
        <f t="shared" si="27"/>
        <v>-0.15945402879755821</v>
      </c>
      <c r="P199" s="585">
        <f t="shared" si="31"/>
        <v>-0.1635540287975582</v>
      </c>
      <c r="Q199" s="585">
        <f t="shared" si="32"/>
        <v>-0.35531843928129292</v>
      </c>
      <c r="R199" s="585">
        <f t="shared" si="33"/>
        <v>3.1199999999999999E-2</v>
      </c>
      <c r="S199" s="586">
        <f t="shared" si="34"/>
        <v>-0.38651843928129292</v>
      </c>
      <c r="U199" s="587"/>
      <c r="V199" s="587"/>
      <c r="W199" s="587"/>
      <c r="X199" s="587"/>
      <c r="Y199" s="587"/>
      <c r="Z199" s="587"/>
      <c r="AA199" s="587"/>
      <c r="AB199" s="587"/>
      <c r="AC199" s="587"/>
      <c r="AE199" s="587"/>
      <c r="AF199" s="587"/>
      <c r="AG199" s="587"/>
      <c r="AH199" s="587"/>
      <c r="AI199" s="587"/>
      <c r="AJ199" s="587"/>
      <c r="AK199" s="587"/>
      <c r="AL199" s="587"/>
      <c r="AM199" s="587"/>
      <c r="AO199" s="587"/>
      <c r="AP199" s="587"/>
      <c r="AQ199" s="587"/>
      <c r="AR199" s="587"/>
      <c r="AS199" s="587"/>
      <c r="AT199" s="587"/>
      <c r="AU199" s="587"/>
      <c r="AV199" s="587"/>
      <c r="AW199" s="587"/>
    </row>
    <row r="200" spans="1:49">
      <c r="A200" s="581">
        <v>15432</v>
      </c>
      <c r="B200" s="594">
        <v>-0.04</v>
      </c>
      <c r="C200" s="577">
        <v>-4.3200000000000002E-2</v>
      </c>
      <c r="D200" s="577">
        <v>2E-3</v>
      </c>
      <c r="E200" s="577">
        <v>2.3583333333333334E-3</v>
      </c>
      <c r="F200" s="577">
        <v>2.4833333333333331E-3</v>
      </c>
      <c r="G200" s="577">
        <v>2.420833333333333E-3</v>
      </c>
      <c r="H200" s="577">
        <v>2.575E-3</v>
      </c>
      <c r="I200" s="577">
        <f t="shared" si="35"/>
        <v>-4.2000000000000003E-2</v>
      </c>
      <c r="J200" s="577">
        <f t="shared" si="28"/>
        <v>-4.2420833333333331E-2</v>
      </c>
      <c r="K200" s="577">
        <f t="shared" si="29"/>
        <v>-4.5775000000000003E-2</v>
      </c>
      <c r="L200" s="585">
        <f t="shared" si="25"/>
        <v>-0.11470373630768604</v>
      </c>
      <c r="M200" s="585">
        <f t="shared" si="26"/>
        <v>2.4E-2</v>
      </c>
      <c r="N200" s="585">
        <f t="shared" si="30"/>
        <v>2.9049999999999996E-2</v>
      </c>
      <c r="O200" s="586">
        <f t="shared" si="27"/>
        <v>-0.13870373630768604</v>
      </c>
      <c r="P200" s="585">
        <f t="shared" si="31"/>
        <v>-0.14375373630768604</v>
      </c>
      <c r="Q200" s="585">
        <f t="shared" si="32"/>
        <v>-0.32630917726555386</v>
      </c>
      <c r="R200" s="585">
        <f t="shared" si="33"/>
        <v>3.09E-2</v>
      </c>
      <c r="S200" s="586">
        <f t="shared" si="34"/>
        <v>-0.35720917726555385</v>
      </c>
      <c r="U200" s="587"/>
      <c r="V200" s="587"/>
      <c r="W200" s="587"/>
      <c r="X200" s="587"/>
      <c r="Y200" s="587"/>
      <c r="Z200" s="587"/>
      <c r="AA200" s="587"/>
      <c r="AB200" s="587"/>
      <c r="AC200" s="587"/>
      <c r="AE200" s="587"/>
      <c r="AF200" s="587"/>
      <c r="AG200" s="587"/>
      <c r="AH200" s="587"/>
      <c r="AI200" s="587"/>
      <c r="AJ200" s="587"/>
      <c r="AK200" s="587"/>
      <c r="AL200" s="587"/>
      <c r="AM200" s="587"/>
      <c r="AO200" s="587"/>
      <c r="AP200" s="587"/>
      <c r="AQ200" s="587"/>
      <c r="AR200" s="587"/>
      <c r="AS200" s="587"/>
      <c r="AT200" s="587"/>
      <c r="AU200" s="587"/>
      <c r="AV200" s="587"/>
      <c r="AW200" s="587"/>
    </row>
    <row r="201" spans="1:49">
      <c r="A201" s="581">
        <v>15462</v>
      </c>
      <c r="B201" s="594">
        <v>7.9600000000000004E-2</v>
      </c>
      <c r="C201" s="577">
        <v>9.5600000000000004E-2</v>
      </c>
      <c r="D201" s="577">
        <v>1.9E-3</v>
      </c>
      <c r="E201" s="577">
        <v>2.3750000000000004E-3</v>
      </c>
      <c r="F201" s="577">
        <v>2.5000000000000001E-3</v>
      </c>
      <c r="G201" s="577">
        <v>2.4375000000000004E-3</v>
      </c>
      <c r="H201" s="577">
        <v>2.5833333333333337E-3</v>
      </c>
      <c r="I201" s="577">
        <f t="shared" si="35"/>
        <v>7.7700000000000005E-2</v>
      </c>
      <c r="J201" s="577">
        <f t="shared" si="28"/>
        <v>7.7162500000000009E-2</v>
      </c>
      <c r="K201" s="577">
        <f t="shared" si="29"/>
        <v>9.3016666666666664E-2</v>
      </c>
      <c r="L201" s="585">
        <f t="shared" si="25"/>
        <v>-6.1410344414983609E-2</v>
      </c>
      <c r="M201" s="585">
        <f t="shared" si="26"/>
        <v>2.2800000000000001E-2</v>
      </c>
      <c r="N201" s="585">
        <f t="shared" si="30"/>
        <v>2.9250000000000005E-2</v>
      </c>
      <c r="O201" s="586">
        <f t="shared" si="27"/>
        <v>-8.4210344414983609E-2</v>
      </c>
      <c r="P201" s="585">
        <f t="shared" si="31"/>
        <v>-9.0660344414983607E-2</v>
      </c>
      <c r="Q201" s="585">
        <f t="shared" si="32"/>
        <v>-0.23616302867860994</v>
      </c>
      <c r="R201" s="585">
        <f t="shared" si="33"/>
        <v>3.1000000000000007E-2</v>
      </c>
      <c r="S201" s="586">
        <f t="shared" si="34"/>
        <v>-0.26716302867860997</v>
      </c>
      <c r="U201" s="587"/>
      <c r="V201" s="587"/>
      <c r="W201" s="587"/>
      <c r="X201" s="587"/>
      <c r="Y201" s="587"/>
      <c r="Z201" s="587"/>
      <c r="AA201" s="587"/>
      <c r="AB201" s="587"/>
      <c r="AC201" s="587"/>
      <c r="AE201" s="587"/>
      <c r="AF201" s="587"/>
      <c r="AG201" s="587"/>
      <c r="AH201" s="587"/>
      <c r="AI201" s="587"/>
      <c r="AJ201" s="587"/>
      <c r="AK201" s="587"/>
      <c r="AL201" s="587"/>
      <c r="AM201" s="587"/>
      <c r="AO201" s="587"/>
      <c r="AP201" s="587"/>
      <c r="AQ201" s="587"/>
      <c r="AR201" s="587"/>
      <c r="AS201" s="587"/>
      <c r="AT201" s="587"/>
      <c r="AU201" s="587"/>
      <c r="AV201" s="587"/>
      <c r="AW201" s="587"/>
    </row>
    <row r="202" spans="1:49">
      <c r="A202" s="581">
        <v>15493</v>
      </c>
      <c r="B202" s="594">
        <v>2.2100000000000002E-2</v>
      </c>
      <c r="C202" s="577">
        <v>5.7000000000000002E-3</v>
      </c>
      <c r="D202" s="577">
        <v>2.0999999999999999E-3</v>
      </c>
      <c r="E202" s="577">
        <v>2.3750000000000004E-3</v>
      </c>
      <c r="F202" s="577">
        <v>2.5083333333333329E-3</v>
      </c>
      <c r="G202" s="577">
        <v>2.4416666666666666E-3</v>
      </c>
      <c r="H202" s="577">
        <v>2.5999999999999999E-3</v>
      </c>
      <c r="I202" s="577">
        <f t="shared" si="35"/>
        <v>0.02</v>
      </c>
      <c r="J202" s="577">
        <f t="shared" si="28"/>
        <v>1.9658333333333333E-2</v>
      </c>
      <c r="K202" s="577">
        <f t="shared" si="29"/>
        <v>3.1000000000000003E-3</v>
      </c>
      <c r="L202" s="585">
        <f t="shared" si="25"/>
        <v>-9.3087079813343521E-2</v>
      </c>
      <c r="M202" s="585">
        <f t="shared" si="26"/>
        <v>2.52E-2</v>
      </c>
      <c r="N202" s="585">
        <f t="shared" si="30"/>
        <v>2.93E-2</v>
      </c>
      <c r="O202" s="586">
        <f t="shared" si="27"/>
        <v>-0.11828707981334352</v>
      </c>
      <c r="P202" s="585">
        <f t="shared" si="31"/>
        <v>-0.12238707981334351</v>
      </c>
      <c r="Q202" s="585">
        <f t="shared" si="32"/>
        <v>-0.25105699321641628</v>
      </c>
      <c r="R202" s="585">
        <f t="shared" si="33"/>
        <v>3.1199999999999999E-2</v>
      </c>
      <c r="S202" s="586">
        <f t="shared" si="34"/>
        <v>-0.28225699321641629</v>
      </c>
      <c r="U202" s="587"/>
      <c r="V202" s="587"/>
      <c r="W202" s="587"/>
      <c r="X202" s="587"/>
      <c r="Y202" s="587"/>
      <c r="Z202" s="587"/>
      <c r="AA202" s="587"/>
      <c r="AB202" s="587"/>
      <c r="AC202" s="587"/>
      <c r="AE202" s="587"/>
      <c r="AF202" s="587"/>
      <c r="AG202" s="587"/>
      <c r="AH202" s="587"/>
      <c r="AI202" s="587"/>
      <c r="AJ202" s="587"/>
      <c r="AK202" s="587"/>
      <c r="AL202" s="587"/>
      <c r="AM202" s="587"/>
      <c r="AO202" s="587"/>
      <c r="AP202" s="587"/>
      <c r="AQ202" s="587"/>
      <c r="AR202" s="587"/>
      <c r="AS202" s="587"/>
      <c r="AT202" s="587"/>
      <c r="AU202" s="587"/>
      <c r="AV202" s="587"/>
      <c r="AW202" s="587"/>
    </row>
    <row r="203" spans="1:49">
      <c r="A203" s="581">
        <v>15523</v>
      </c>
      <c r="B203" s="594">
        <v>3.3700000000000001E-2</v>
      </c>
      <c r="C203" s="577">
        <v>4.0000000000000001E-3</v>
      </c>
      <c r="D203" s="577">
        <v>2.0999999999999999E-3</v>
      </c>
      <c r="E203" s="577">
        <v>2.3583333333333334E-3</v>
      </c>
      <c r="F203" s="577">
        <v>2.4916666666666668E-3</v>
      </c>
      <c r="G203" s="577">
        <v>2.4250000000000001E-3</v>
      </c>
      <c r="H203" s="577">
        <v>2.5833333333333337E-3</v>
      </c>
      <c r="I203" s="577">
        <f t="shared" si="35"/>
        <v>3.1600000000000003E-2</v>
      </c>
      <c r="J203" s="577">
        <f t="shared" si="28"/>
        <v>3.1274999999999997E-2</v>
      </c>
      <c r="K203" s="577">
        <f t="shared" si="29"/>
        <v>1.4166666666666663E-3</v>
      </c>
      <c r="L203" s="585">
        <f t="shared" si="25"/>
        <v>-0.11383317364878842</v>
      </c>
      <c r="M203" s="585">
        <f t="shared" si="26"/>
        <v>2.52E-2</v>
      </c>
      <c r="N203" s="585">
        <f t="shared" si="30"/>
        <v>2.9100000000000001E-2</v>
      </c>
      <c r="O203" s="586">
        <f t="shared" si="27"/>
        <v>-0.13903317364878842</v>
      </c>
      <c r="P203" s="585">
        <f t="shared" si="31"/>
        <v>-0.14293317364878844</v>
      </c>
      <c r="Q203" s="585">
        <f t="shared" si="32"/>
        <v>-0.28645020040736568</v>
      </c>
      <c r="R203" s="585">
        <f t="shared" si="33"/>
        <v>3.1000000000000007E-2</v>
      </c>
      <c r="S203" s="586">
        <f t="shared" si="34"/>
        <v>-0.31745020040736571</v>
      </c>
      <c r="U203" s="587"/>
      <c r="V203" s="587"/>
      <c r="W203" s="587"/>
      <c r="X203" s="587"/>
      <c r="Y203" s="587"/>
      <c r="Z203" s="587"/>
      <c r="AA203" s="587"/>
      <c r="AB203" s="587"/>
      <c r="AC203" s="587"/>
      <c r="AE203" s="587"/>
      <c r="AF203" s="587"/>
      <c r="AG203" s="587"/>
      <c r="AH203" s="587"/>
      <c r="AI203" s="587"/>
      <c r="AJ203" s="587"/>
      <c r="AK203" s="587"/>
      <c r="AL203" s="587"/>
      <c r="AM203" s="587"/>
      <c r="AO203" s="587"/>
      <c r="AP203" s="587"/>
      <c r="AQ203" s="587"/>
      <c r="AR203" s="587"/>
      <c r="AS203" s="587"/>
      <c r="AT203" s="587"/>
      <c r="AU203" s="587"/>
      <c r="AV203" s="587"/>
      <c r="AW203" s="587"/>
    </row>
    <row r="204" spans="1:49">
      <c r="A204" s="581">
        <v>15554</v>
      </c>
      <c r="B204" s="594">
        <v>1.6400000000000001E-2</v>
      </c>
      <c r="C204" s="577">
        <v>2.5999999999999999E-3</v>
      </c>
      <c r="D204" s="577">
        <v>2.0999999999999999E-3</v>
      </c>
      <c r="E204" s="577">
        <v>2.3416666666666668E-3</v>
      </c>
      <c r="F204" s="577">
        <v>2.4916666666666668E-3</v>
      </c>
      <c r="G204" s="577">
        <v>2.4166666666666668E-3</v>
      </c>
      <c r="H204" s="577">
        <v>2.5833333333333337E-3</v>
      </c>
      <c r="I204" s="577">
        <f t="shared" si="35"/>
        <v>1.4300000000000002E-2</v>
      </c>
      <c r="J204" s="577">
        <f t="shared" si="28"/>
        <v>1.3983333333333334E-2</v>
      </c>
      <c r="K204" s="577">
        <f t="shared" si="29"/>
        <v>1.6666666666666132E-5</v>
      </c>
      <c r="L204" s="585">
        <f t="shared" si="25"/>
        <v>-0.1001998378587694</v>
      </c>
      <c r="M204" s="585">
        <f t="shared" si="26"/>
        <v>2.52E-2</v>
      </c>
      <c r="N204" s="585">
        <f t="shared" si="30"/>
        <v>2.9000000000000001E-2</v>
      </c>
      <c r="O204" s="586">
        <f t="shared" si="27"/>
        <v>-0.1253998378587694</v>
      </c>
      <c r="P204" s="585">
        <f t="shared" si="31"/>
        <v>-0.1291998378587694</v>
      </c>
      <c r="Q204" s="585">
        <f t="shared" si="32"/>
        <v>-0.27059030478020474</v>
      </c>
      <c r="R204" s="585">
        <f t="shared" si="33"/>
        <v>3.1000000000000007E-2</v>
      </c>
      <c r="S204" s="586">
        <f t="shared" si="34"/>
        <v>-0.30159030478020477</v>
      </c>
      <c r="U204" s="587"/>
      <c r="V204" s="587"/>
      <c r="W204" s="587"/>
      <c r="X204" s="587"/>
      <c r="Y204" s="587"/>
      <c r="Z204" s="587"/>
      <c r="AA204" s="587"/>
      <c r="AB204" s="587"/>
      <c r="AC204" s="587"/>
      <c r="AE204" s="587"/>
      <c r="AF204" s="587"/>
      <c r="AG204" s="587"/>
      <c r="AH204" s="587"/>
      <c r="AI204" s="587"/>
      <c r="AJ204" s="587"/>
      <c r="AK204" s="587"/>
      <c r="AL204" s="587"/>
      <c r="AM204" s="587"/>
      <c r="AO204" s="587"/>
      <c r="AP204" s="587"/>
      <c r="AQ204" s="587"/>
      <c r="AR204" s="587"/>
      <c r="AS204" s="587"/>
      <c r="AT204" s="587"/>
      <c r="AU204" s="587"/>
      <c r="AV204" s="587"/>
      <c r="AW204" s="587"/>
    </row>
    <row r="205" spans="1:49">
      <c r="A205" s="581">
        <v>15585</v>
      </c>
      <c r="B205" s="594">
        <v>2.9000000000000001E-2</v>
      </c>
      <c r="C205" s="577">
        <v>4.6600000000000003E-2</v>
      </c>
      <c r="D205" s="577">
        <v>2E-3</v>
      </c>
      <c r="E205" s="577">
        <v>2.3333333333333331E-3</v>
      </c>
      <c r="F205" s="577">
        <v>2.4833333333333331E-3</v>
      </c>
      <c r="G205" s="577">
        <v>2.4083333333333331E-3</v>
      </c>
      <c r="H205" s="577">
        <v>2.5666666666666667E-3</v>
      </c>
      <c r="I205" s="577">
        <f t="shared" si="35"/>
        <v>2.7000000000000003E-2</v>
      </c>
      <c r="J205" s="577">
        <f t="shared" si="28"/>
        <v>2.659166666666667E-2</v>
      </c>
      <c r="K205" s="577">
        <f t="shared" si="29"/>
        <v>4.4033333333333334E-2</v>
      </c>
      <c r="L205" s="585">
        <f t="shared" si="25"/>
        <v>-6.7766444982555463E-2</v>
      </c>
      <c r="M205" s="585">
        <f t="shared" si="26"/>
        <v>2.4E-2</v>
      </c>
      <c r="N205" s="585">
        <f t="shared" si="30"/>
        <v>2.8899999999999995E-2</v>
      </c>
      <c r="O205" s="586">
        <f t="shared" si="27"/>
        <v>-9.1766444982555456E-2</v>
      </c>
      <c r="P205" s="585">
        <f t="shared" si="31"/>
        <v>-9.6666444982555458E-2</v>
      </c>
      <c r="Q205" s="585">
        <f t="shared" si="32"/>
        <v>-0.21444722472006839</v>
      </c>
      <c r="R205" s="585">
        <f t="shared" si="33"/>
        <v>3.0800000000000001E-2</v>
      </c>
      <c r="S205" s="586">
        <f t="shared" si="34"/>
        <v>-0.24524722472006838</v>
      </c>
      <c r="U205" s="587"/>
      <c r="V205" s="587"/>
      <c r="W205" s="587"/>
      <c r="X205" s="587"/>
      <c r="Y205" s="587"/>
      <c r="Z205" s="587"/>
      <c r="AA205" s="587"/>
      <c r="AB205" s="587"/>
      <c r="AC205" s="587"/>
      <c r="AE205" s="587"/>
      <c r="AF205" s="587"/>
      <c r="AG205" s="587"/>
      <c r="AH205" s="587"/>
      <c r="AI205" s="587"/>
      <c r="AJ205" s="587"/>
      <c r="AK205" s="587"/>
      <c r="AL205" s="587"/>
      <c r="AM205" s="587"/>
      <c r="AO205" s="587"/>
      <c r="AP205" s="587"/>
      <c r="AQ205" s="587"/>
      <c r="AR205" s="587"/>
      <c r="AS205" s="587"/>
      <c r="AT205" s="587"/>
      <c r="AU205" s="587"/>
      <c r="AV205" s="587"/>
      <c r="AW205" s="587"/>
    </row>
    <row r="206" spans="1:49">
      <c r="A206" s="581">
        <v>15615</v>
      </c>
      <c r="B206" s="594">
        <v>6.7799999999999999E-2</v>
      </c>
      <c r="C206" s="577">
        <v>0.13620000000000002</v>
      </c>
      <c r="D206" s="577">
        <v>2.0999999999999999E-3</v>
      </c>
      <c r="E206" s="577">
        <v>2.3333333333333331E-3</v>
      </c>
      <c r="F206" s="577">
        <v>2.4583333333333336E-3</v>
      </c>
      <c r="G206" s="577">
        <v>2.3958333333333331E-3</v>
      </c>
      <c r="H206" s="577">
        <v>2.5666666666666667E-3</v>
      </c>
      <c r="I206" s="577">
        <f t="shared" si="35"/>
        <v>6.5699999999999995E-2</v>
      </c>
      <c r="J206" s="577">
        <f t="shared" si="28"/>
        <v>6.5404166666666666E-2</v>
      </c>
      <c r="K206" s="577">
        <f t="shared" si="29"/>
        <v>0.13363333333333335</v>
      </c>
      <c r="L206" s="585">
        <f t="shared" si="25"/>
        <v>6.5438285398295104E-2</v>
      </c>
      <c r="M206" s="585">
        <f t="shared" si="26"/>
        <v>2.52E-2</v>
      </c>
      <c r="N206" s="585">
        <f t="shared" si="30"/>
        <v>2.8749999999999998E-2</v>
      </c>
      <c r="O206" s="586">
        <f t="shared" si="27"/>
        <v>4.0238285398295104E-2</v>
      </c>
      <c r="P206" s="585">
        <f t="shared" si="31"/>
        <v>3.6688285398295106E-2</v>
      </c>
      <c r="Q206" s="585">
        <f t="shared" si="32"/>
        <v>-2.4754082962130219E-2</v>
      </c>
      <c r="R206" s="585">
        <f t="shared" si="33"/>
        <v>3.0800000000000001E-2</v>
      </c>
      <c r="S206" s="586">
        <f t="shared" si="34"/>
        <v>-5.555408296213022E-2</v>
      </c>
      <c r="U206" s="587"/>
      <c r="V206" s="587"/>
      <c r="W206" s="587"/>
      <c r="X206" s="587"/>
      <c r="Y206" s="587"/>
      <c r="Z206" s="587"/>
      <c r="AA206" s="587"/>
      <c r="AB206" s="587"/>
      <c r="AC206" s="587"/>
      <c r="AE206" s="587"/>
      <c r="AF206" s="587"/>
      <c r="AG206" s="587"/>
      <c r="AH206" s="587"/>
      <c r="AI206" s="587"/>
      <c r="AJ206" s="587"/>
      <c r="AK206" s="587"/>
      <c r="AL206" s="587"/>
      <c r="AM206" s="587"/>
      <c r="AO206" s="587"/>
      <c r="AP206" s="587"/>
      <c r="AQ206" s="587"/>
      <c r="AR206" s="587"/>
      <c r="AS206" s="587"/>
      <c r="AT206" s="587"/>
      <c r="AU206" s="587"/>
      <c r="AV206" s="587"/>
      <c r="AW206" s="587"/>
    </row>
    <row r="207" spans="1:49">
      <c r="A207" s="581">
        <v>15646</v>
      </c>
      <c r="B207" s="594">
        <v>-2.0999999999999999E-3</v>
      </c>
      <c r="C207" s="577">
        <v>-1.5000000000000005E-3</v>
      </c>
      <c r="D207" s="577">
        <v>2E-3</v>
      </c>
      <c r="E207" s="577">
        <v>2.3250000000000002E-3</v>
      </c>
      <c r="F207" s="577">
        <v>2.4499999999999999E-3</v>
      </c>
      <c r="G207" s="577">
        <v>2.3875000000000003E-3</v>
      </c>
      <c r="H207" s="577">
        <v>2.5583333333333335E-3</v>
      </c>
      <c r="I207" s="577">
        <f t="shared" si="35"/>
        <v>-4.0999999999999995E-3</v>
      </c>
      <c r="J207" s="577">
        <f t="shared" si="28"/>
        <v>-4.4875000000000002E-3</v>
      </c>
      <c r="K207" s="577">
        <f t="shared" si="29"/>
        <v>-4.0583333333333339E-3</v>
      </c>
      <c r="L207" s="585">
        <f t="shared" si="25"/>
        <v>9.4278370727623129E-2</v>
      </c>
      <c r="M207" s="585">
        <f t="shared" si="26"/>
        <v>2.4E-2</v>
      </c>
      <c r="N207" s="585">
        <f t="shared" si="30"/>
        <v>2.8650000000000002E-2</v>
      </c>
      <c r="O207" s="586">
        <f t="shared" si="27"/>
        <v>7.0278370727623135E-2</v>
      </c>
      <c r="P207" s="585">
        <f t="shared" si="31"/>
        <v>6.562837072762312E-2</v>
      </c>
      <c r="Q207" s="585">
        <f t="shared" si="32"/>
        <v>4.1702019856988848E-2</v>
      </c>
      <c r="R207" s="585">
        <f t="shared" si="33"/>
        <v>3.0700000000000002E-2</v>
      </c>
      <c r="S207" s="586">
        <f t="shared" si="34"/>
        <v>1.1002019856988846E-2</v>
      </c>
      <c r="U207" s="587"/>
      <c r="V207" s="587"/>
      <c r="W207" s="587"/>
      <c r="X207" s="587"/>
      <c r="Y207" s="587"/>
      <c r="Z207" s="587"/>
      <c r="AA207" s="587"/>
      <c r="AB207" s="587"/>
      <c r="AC207" s="587"/>
      <c r="AE207" s="587"/>
      <c r="AF207" s="587"/>
      <c r="AG207" s="587"/>
      <c r="AH207" s="587"/>
      <c r="AI207" s="587"/>
      <c r="AJ207" s="587"/>
      <c r="AK207" s="587"/>
      <c r="AL207" s="587"/>
      <c r="AM207" s="587"/>
      <c r="AO207" s="587"/>
      <c r="AP207" s="587"/>
      <c r="AQ207" s="587"/>
      <c r="AR207" s="587"/>
      <c r="AS207" s="587"/>
      <c r="AT207" s="587"/>
      <c r="AU207" s="587"/>
      <c r="AV207" s="587"/>
      <c r="AW207" s="587"/>
    </row>
    <row r="208" spans="1:49">
      <c r="A208" s="581">
        <v>15676</v>
      </c>
      <c r="B208" s="594">
        <v>5.4899999999999997E-2</v>
      </c>
      <c r="C208" s="577">
        <v>3.2799999999999996E-2</v>
      </c>
      <c r="D208" s="577">
        <v>2.0999999999999999E-3</v>
      </c>
      <c r="E208" s="577">
        <v>2.3416666666666668E-3</v>
      </c>
      <c r="F208" s="577">
        <v>2.4666666666666669E-3</v>
      </c>
      <c r="G208" s="577">
        <v>2.4041666666666669E-3</v>
      </c>
      <c r="H208" s="577">
        <v>2.5500000000000002E-3</v>
      </c>
      <c r="I208" s="577">
        <f t="shared" si="35"/>
        <v>5.28E-2</v>
      </c>
      <c r="J208" s="577">
        <f t="shared" si="28"/>
        <v>5.2495833333333332E-2</v>
      </c>
      <c r="K208" s="577">
        <f t="shared" si="29"/>
        <v>3.0249999999999996E-2</v>
      </c>
      <c r="L208" s="585">
        <f t="shared" ref="L208:L271" si="36">((1+B197)*(1+B198)*(1+B199)*(1+B200)*(1+B201)*(1+B202)*(1+B203)*(1+B204)*(1+B205)*(1+B206)*(1+B207)*(1+B208))-1</f>
        <v>0.20332977512829098</v>
      </c>
      <c r="M208" s="585">
        <f t="shared" ref="M208:M271" si="37">D208*12</f>
        <v>2.52E-2</v>
      </c>
      <c r="N208" s="585">
        <f t="shared" si="30"/>
        <v>2.8850000000000001E-2</v>
      </c>
      <c r="O208" s="586">
        <f t="shared" ref="O208:O271" si="38">L208-M208</f>
        <v>0.17812977512829098</v>
      </c>
      <c r="P208" s="585">
        <f t="shared" si="31"/>
        <v>0.17447977512829099</v>
      </c>
      <c r="Q208" s="585">
        <f t="shared" si="32"/>
        <v>0.15411912262207483</v>
      </c>
      <c r="R208" s="585">
        <f t="shared" si="33"/>
        <v>3.0600000000000002E-2</v>
      </c>
      <c r="S208" s="586">
        <f t="shared" si="34"/>
        <v>0.12351912262207483</v>
      </c>
      <c r="U208" s="587"/>
      <c r="V208" s="587"/>
      <c r="W208" s="587"/>
      <c r="X208" s="587"/>
      <c r="Y208" s="587"/>
      <c r="Z208" s="587"/>
      <c r="AA208" s="587"/>
      <c r="AB208" s="587"/>
      <c r="AC208" s="587"/>
      <c r="AE208" s="587"/>
      <c r="AF208" s="587"/>
      <c r="AG208" s="587"/>
      <c r="AH208" s="587"/>
      <c r="AI208" s="587"/>
      <c r="AJ208" s="587"/>
      <c r="AK208" s="587"/>
      <c r="AL208" s="587"/>
      <c r="AM208" s="587"/>
      <c r="AO208" s="587"/>
      <c r="AP208" s="587"/>
      <c r="AQ208" s="587"/>
      <c r="AR208" s="587"/>
      <c r="AS208" s="587"/>
      <c r="AT208" s="587"/>
      <c r="AU208" s="587"/>
      <c r="AV208" s="587"/>
      <c r="AW208" s="587"/>
    </row>
    <row r="209" spans="1:49">
      <c r="A209" s="581">
        <v>15707</v>
      </c>
      <c r="B209" s="594">
        <v>7.3700000000000002E-2</v>
      </c>
      <c r="C209" s="577">
        <v>0.1217</v>
      </c>
      <c r="D209" s="577">
        <v>2E-3</v>
      </c>
      <c r="E209" s="577">
        <v>2.3250000000000002E-3</v>
      </c>
      <c r="F209" s="577">
        <v>2.4416666666666666E-3</v>
      </c>
      <c r="G209" s="577">
        <v>2.3833333333333332E-3</v>
      </c>
      <c r="H209" s="577">
        <v>2.5416666666666669E-3</v>
      </c>
      <c r="I209" s="577">
        <f t="shared" si="35"/>
        <v>7.17E-2</v>
      </c>
      <c r="J209" s="577">
        <f t="shared" si="28"/>
        <v>7.1316666666666667E-2</v>
      </c>
      <c r="K209" s="577">
        <f t="shared" si="29"/>
        <v>0.11915833333333334</v>
      </c>
      <c r="L209" s="585">
        <f t="shared" si="36"/>
        <v>0.27154333191147195</v>
      </c>
      <c r="M209" s="585">
        <f t="shared" si="37"/>
        <v>2.4E-2</v>
      </c>
      <c r="N209" s="585">
        <f t="shared" si="30"/>
        <v>2.86E-2</v>
      </c>
      <c r="O209" s="586">
        <f t="shared" si="38"/>
        <v>0.24754333191147196</v>
      </c>
      <c r="P209" s="585">
        <f t="shared" si="31"/>
        <v>0.24294333191147194</v>
      </c>
      <c r="Q209" s="585">
        <f t="shared" si="32"/>
        <v>0.26275401857703939</v>
      </c>
      <c r="R209" s="585">
        <f t="shared" si="33"/>
        <v>3.0500000000000003E-2</v>
      </c>
      <c r="S209" s="586">
        <f t="shared" si="34"/>
        <v>0.2322540185770394</v>
      </c>
      <c r="U209" s="587"/>
      <c r="V209" s="587"/>
      <c r="W209" s="587"/>
      <c r="X209" s="587"/>
      <c r="Y209" s="587"/>
      <c r="Z209" s="587"/>
      <c r="AA209" s="587"/>
      <c r="AB209" s="587"/>
      <c r="AC209" s="587"/>
      <c r="AE209" s="587"/>
      <c r="AF209" s="587"/>
      <c r="AG209" s="587"/>
      <c r="AH209" s="587"/>
      <c r="AI209" s="587"/>
      <c r="AJ209" s="587"/>
      <c r="AK209" s="587"/>
      <c r="AL209" s="587"/>
      <c r="AM209" s="587"/>
      <c r="AO209" s="587"/>
      <c r="AP209" s="587"/>
      <c r="AQ209" s="587"/>
      <c r="AR209" s="587"/>
      <c r="AS209" s="587"/>
      <c r="AT209" s="587"/>
      <c r="AU209" s="587"/>
      <c r="AV209" s="587"/>
      <c r="AW209" s="587"/>
    </row>
    <row r="210" spans="1:49">
      <c r="A210" s="581">
        <v>15738</v>
      </c>
      <c r="B210" s="594">
        <v>5.8299999999999998E-2</v>
      </c>
      <c r="C210" s="577">
        <v>7.1900000000000006E-2</v>
      </c>
      <c r="D210" s="577">
        <v>1.9E-3</v>
      </c>
      <c r="E210" s="577">
        <v>2.3083333333333332E-3</v>
      </c>
      <c r="F210" s="577">
        <v>2.4083333333333335E-3</v>
      </c>
      <c r="G210" s="577">
        <v>2.3583333333333334E-3</v>
      </c>
      <c r="H210" s="577">
        <v>2.5166666666666666E-3</v>
      </c>
      <c r="I210" s="577">
        <f t="shared" si="35"/>
        <v>5.6399999999999999E-2</v>
      </c>
      <c r="J210" s="577">
        <f t="shared" si="28"/>
        <v>5.5941666666666667E-2</v>
      </c>
      <c r="K210" s="577">
        <f t="shared" si="29"/>
        <v>6.9383333333333339E-2</v>
      </c>
      <c r="L210" s="585">
        <f t="shared" si="36"/>
        <v>0.36741622615782044</v>
      </c>
      <c r="M210" s="585">
        <f t="shared" si="37"/>
        <v>2.2800000000000001E-2</v>
      </c>
      <c r="N210" s="585">
        <f t="shared" si="30"/>
        <v>2.8299999999999999E-2</v>
      </c>
      <c r="O210" s="586">
        <f t="shared" si="38"/>
        <v>0.34461622615782045</v>
      </c>
      <c r="P210" s="585">
        <f t="shared" si="31"/>
        <v>0.33911622615782044</v>
      </c>
      <c r="Q210" s="585">
        <f t="shared" si="32"/>
        <v>0.40104133372604189</v>
      </c>
      <c r="R210" s="585">
        <f t="shared" si="33"/>
        <v>3.0199999999999998E-2</v>
      </c>
      <c r="S210" s="586">
        <f t="shared" si="34"/>
        <v>0.37084133372604189</v>
      </c>
      <c r="U210" s="587"/>
      <c r="V210" s="587"/>
      <c r="W210" s="587"/>
      <c r="X210" s="587"/>
      <c r="Y210" s="587"/>
      <c r="Z210" s="587"/>
      <c r="AA210" s="587"/>
      <c r="AB210" s="587"/>
      <c r="AC210" s="587"/>
      <c r="AE210" s="587"/>
      <c r="AF210" s="587"/>
      <c r="AG210" s="587"/>
      <c r="AH210" s="587"/>
      <c r="AI210" s="587"/>
      <c r="AJ210" s="587"/>
      <c r="AK210" s="587"/>
      <c r="AL210" s="587"/>
      <c r="AM210" s="587"/>
      <c r="AO210" s="587"/>
      <c r="AP210" s="587"/>
      <c r="AQ210" s="587"/>
      <c r="AR210" s="587"/>
      <c r="AS210" s="587"/>
      <c r="AT210" s="587"/>
      <c r="AU210" s="587"/>
      <c r="AV210" s="587"/>
      <c r="AW210" s="587"/>
    </row>
    <row r="211" spans="1:49">
      <c r="A211" s="581">
        <v>15766</v>
      </c>
      <c r="B211" s="594">
        <v>5.45E-2</v>
      </c>
      <c r="C211" s="577">
        <v>4.1200000000000001E-2</v>
      </c>
      <c r="D211" s="577">
        <v>2.0999999999999999E-3</v>
      </c>
      <c r="E211" s="577">
        <v>2.3E-3</v>
      </c>
      <c r="F211" s="577">
        <v>2.3999999999999998E-3</v>
      </c>
      <c r="G211" s="577">
        <v>2.3499999999999997E-3</v>
      </c>
      <c r="H211" s="577">
        <v>2.5083333333333333E-3</v>
      </c>
      <c r="I211" s="577">
        <f t="shared" si="35"/>
        <v>5.2400000000000002E-2</v>
      </c>
      <c r="J211" s="577">
        <f t="shared" si="28"/>
        <v>5.2150000000000002E-2</v>
      </c>
      <c r="K211" s="577">
        <f t="shared" si="29"/>
        <v>3.8691666666666666E-2</v>
      </c>
      <c r="L211" s="585">
        <f t="shared" si="36"/>
        <v>0.54251220633656549</v>
      </c>
      <c r="M211" s="585">
        <f t="shared" si="37"/>
        <v>2.52E-2</v>
      </c>
      <c r="N211" s="585">
        <f t="shared" si="30"/>
        <v>2.8199999999999996E-2</v>
      </c>
      <c r="O211" s="586">
        <f t="shared" si="38"/>
        <v>0.51731220633656549</v>
      </c>
      <c r="P211" s="585">
        <f t="shared" si="31"/>
        <v>0.51431220633656549</v>
      </c>
      <c r="Q211" s="585">
        <f t="shared" si="32"/>
        <v>0.62917605168143287</v>
      </c>
      <c r="R211" s="585">
        <f t="shared" si="33"/>
        <v>3.0100000000000002E-2</v>
      </c>
      <c r="S211" s="586">
        <f t="shared" si="34"/>
        <v>0.59907605168143285</v>
      </c>
      <c r="U211" s="587"/>
      <c r="V211" s="587"/>
      <c r="W211" s="587"/>
      <c r="X211" s="587"/>
      <c r="Y211" s="587"/>
      <c r="Z211" s="587"/>
      <c r="AA211" s="587"/>
      <c r="AB211" s="587"/>
      <c r="AC211" s="587"/>
      <c r="AE211" s="587"/>
      <c r="AF211" s="587"/>
      <c r="AG211" s="587"/>
      <c r="AH211" s="587"/>
      <c r="AI211" s="587"/>
      <c r="AJ211" s="587"/>
      <c r="AK211" s="587"/>
      <c r="AL211" s="587"/>
      <c r="AM211" s="587"/>
      <c r="AO211" s="587"/>
      <c r="AP211" s="587"/>
      <c r="AQ211" s="587"/>
      <c r="AR211" s="587"/>
      <c r="AS211" s="587"/>
      <c r="AT211" s="587"/>
      <c r="AU211" s="587"/>
      <c r="AV211" s="587"/>
      <c r="AW211" s="587"/>
    </row>
    <row r="212" spans="1:49">
      <c r="A212" s="581">
        <v>15797</v>
      </c>
      <c r="B212" s="594">
        <v>3.5000000000000001E-3</v>
      </c>
      <c r="C212" s="577">
        <v>3.8700000000000005E-2</v>
      </c>
      <c r="D212" s="577">
        <v>2E-3</v>
      </c>
      <c r="E212" s="577">
        <v>2.3E-3</v>
      </c>
      <c r="F212" s="577">
        <v>2.3999999999999998E-3</v>
      </c>
      <c r="G212" s="577">
        <v>2.3499999999999997E-3</v>
      </c>
      <c r="H212" s="577">
        <v>2.5000000000000001E-3</v>
      </c>
      <c r="I212" s="577">
        <f t="shared" si="35"/>
        <v>1.5E-3</v>
      </c>
      <c r="J212" s="577">
        <f t="shared" si="28"/>
        <v>1.1500000000000004E-3</v>
      </c>
      <c r="K212" s="577">
        <f t="shared" si="29"/>
        <v>3.6200000000000003E-2</v>
      </c>
      <c r="L212" s="585">
        <f t="shared" si="36"/>
        <v>0.6124072906861906</v>
      </c>
      <c r="M212" s="585">
        <f t="shared" si="37"/>
        <v>2.4E-2</v>
      </c>
      <c r="N212" s="585">
        <f t="shared" si="30"/>
        <v>2.8199999999999996E-2</v>
      </c>
      <c r="O212" s="586">
        <f t="shared" si="38"/>
        <v>0.58840729068619058</v>
      </c>
      <c r="P212" s="585">
        <f t="shared" si="31"/>
        <v>0.58420729068619059</v>
      </c>
      <c r="Q212" s="585">
        <f t="shared" si="32"/>
        <v>0.76862998001829408</v>
      </c>
      <c r="R212" s="585">
        <f t="shared" si="33"/>
        <v>0.03</v>
      </c>
      <c r="S212" s="586">
        <f t="shared" si="34"/>
        <v>0.73862998001829405</v>
      </c>
      <c r="U212" s="587"/>
      <c r="V212" s="587"/>
      <c r="W212" s="587"/>
      <c r="X212" s="587"/>
      <c r="Y212" s="587"/>
      <c r="Z212" s="587"/>
      <c r="AA212" s="587"/>
      <c r="AB212" s="587"/>
      <c r="AC212" s="587"/>
      <c r="AE212" s="587"/>
      <c r="AF212" s="587"/>
      <c r="AG212" s="587"/>
      <c r="AH212" s="587"/>
      <c r="AI212" s="587"/>
      <c r="AJ212" s="587"/>
      <c r="AK212" s="587"/>
      <c r="AL212" s="587"/>
      <c r="AM212" s="587"/>
      <c r="AO212" s="587"/>
      <c r="AP212" s="587"/>
      <c r="AQ212" s="587"/>
      <c r="AR212" s="587"/>
      <c r="AS212" s="587"/>
      <c r="AT212" s="587"/>
      <c r="AU212" s="587"/>
      <c r="AV212" s="587"/>
      <c r="AW212" s="587"/>
    </row>
    <row r="213" spans="1:49">
      <c r="A213" s="581">
        <v>15827</v>
      </c>
      <c r="B213" s="594">
        <v>5.5199999999999999E-2</v>
      </c>
      <c r="C213" s="577">
        <v>3.4700000000000002E-2</v>
      </c>
      <c r="D213" s="577">
        <v>1.9E-3</v>
      </c>
      <c r="E213" s="577">
        <v>2.2833333333333334E-3</v>
      </c>
      <c r="F213" s="577">
        <v>2.3916666666666665E-3</v>
      </c>
      <c r="G213" s="577">
        <v>2.3375000000000002E-3</v>
      </c>
      <c r="H213" s="577">
        <v>2.5000000000000001E-3</v>
      </c>
      <c r="I213" s="577">
        <f t="shared" si="35"/>
        <v>5.33E-2</v>
      </c>
      <c r="J213" s="577">
        <f t="shared" si="28"/>
        <v>5.28625E-2</v>
      </c>
      <c r="K213" s="577">
        <f t="shared" si="29"/>
        <v>3.2199999999999999E-2</v>
      </c>
      <c r="L213" s="585">
        <f t="shared" si="36"/>
        <v>0.57596533265289795</v>
      </c>
      <c r="M213" s="585">
        <f t="shared" si="37"/>
        <v>2.2800000000000001E-2</v>
      </c>
      <c r="N213" s="585">
        <f t="shared" si="30"/>
        <v>2.8050000000000002E-2</v>
      </c>
      <c r="O213" s="586">
        <f t="shared" si="38"/>
        <v>0.55316533265289791</v>
      </c>
      <c r="P213" s="585">
        <f t="shared" si="31"/>
        <v>0.54791533265289794</v>
      </c>
      <c r="Q213" s="585">
        <f t="shared" si="32"/>
        <v>0.67031894881793463</v>
      </c>
      <c r="R213" s="585">
        <f t="shared" si="33"/>
        <v>0.03</v>
      </c>
      <c r="S213" s="586">
        <f t="shared" si="34"/>
        <v>0.64031894881793461</v>
      </c>
      <c r="U213" s="587"/>
      <c r="V213" s="587"/>
      <c r="W213" s="587"/>
      <c r="X213" s="587"/>
      <c r="Y213" s="587"/>
      <c r="Z213" s="587"/>
      <c r="AA213" s="587"/>
      <c r="AB213" s="587"/>
      <c r="AC213" s="587"/>
      <c r="AE213" s="587"/>
      <c r="AF213" s="587"/>
      <c r="AG213" s="587"/>
      <c r="AH213" s="587"/>
      <c r="AI213" s="587"/>
      <c r="AJ213" s="587"/>
      <c r="AK213" s="587"/>
      <c r="AL213" s="587"/>
      <c r="AM213" s="587"/>
      <c r="AO213" s="587"/>
      <c r="AP213" s="587"/>
      <c r="AQ213" s="587"/>
      <c r="AR213" s="587"/>
      <c r="AS213" s="587"/>
      <c r="AT213" s="587"/>
      <c r="AU213" s="587"/>
      <c r="AV213" s="587"/>
      <c r="AW213" s="587"/>
    </row>
    <row r="214" spans="1:49">
      <c r="A214" s="581">
        <v>15858</v>
      </c>
      <c r="B214" s="594">
        <v>2.23E-2</v>
      </c>
      <c r="C214" s="577">
        <v>5.3800000000000001E-2</v>
      </c>
      <c r="D214" s="577">
        <v>2.0999999999999999E-3</v>
      </c>
      <c r="E214" s="577">
        <v>2.2666666666666668E-3</v>
      </c>
      <c r="F214" s="577">
        <v>2.3750000000000004E-3</v>
      </c>
      <c r="G214" s="577">
        <v>2.3208333333333336E-3</v>
      </c>
      <c r="H214" s="577">
        <v>2.4833333333333331E-3</v>
      </c>
      <c r="I214" s="577">
        <f t="shared" si="35"/>
        <v>2.0199999999999999E-2</v>
      </c>
      <c r="J214" s="577">
        <f t="shared" si="28"/>
        <v>1.9979166666666666E-2</v>
      </c>
      <c r="K214" s="577">
        <f t="shared" si="29"/>
        <v>5.131666666666667E-2</v>
      </c>
      <c r="L214" s="585">
        <f t="shared" si="36"/>
        <v>0.57627371056751509</v>
      </c>
      <c r="M214" s="585">
        <f t="shared" si="37"/>
        <v>2.52E-2</v>
      </c>
      <c r="N214" s="585">
        <f t="shared" si="30"/>
        <v>2.7850000000000003E-2</v>
      </c>
      <c r="O214" s="586">
        <f t="shared" si="38"/>
        <v>0.55107371056751508</v>
      </c>
      <c r="P214" s="585">
        <f t="shared" si="31"/>
        <v>0.54842371056751504</v>
      </c>
      <c r="Q214" s="585">
        <f t="shared" si="32"/>
        <v>0.75020593443804207</v>
      </c>
      <c r="R214" s="585">
        <f t="shared" si="33"/>
        <v>2.9799999999999997E-2</v>
      </c>
      <c r="S214" s="586">
        <f t="shared" si="34"/>
        <v>0.72040593443804202</v>
      </c>
      <c r="U214" s="587"/>
      <c r="V214" s="587"/>
      <c r="W214" s="587"/>
      <c r="X214" s="587"/>
      <c r="Y214" s="587"/>
      <c r="Z214" s="587"/>
      <c r="AA214" s="587"/>
      <c r="AB214" s="587"/>
      <c r="AC214" s="587"/>
      <c r="AE214" s="587"/>
      <c r="AF214" s="587"/>
      <c r="AG214" s="587"/>
      <c r="AH214" s="587"/>
      <c r="AI214" s="587"/>
      <c r="AJ214" s="587"/>
      <c r="AK214" s="587"/>
      <c r="AL214" s="587"/>
      <c r="AM214" s="587"/>
      <c r="AO214" s="587"/>
      <c r="AP214" s="587"/>
      <c r="AQ214" s="587"/>
      <c r="AR214" s="587"/>
      <c r="AS214" s="587"/>
      <c r="AT214" s="587"/>
      <c r="AU214" s="587"/>
      <c r="AV214" s="587"/>
      <c r="AW214" s="587"/>
    </row>
    <row r="215" spans="1:49">
      <c r="A215" s="581">
        <v>15888</v>
      </c>
      <c r="B215" s="594">
        <v>-5.2600000000000001E-2</v>
      </c>
      <c r="C215" s="577">
        <v>3.8E-3</v>
      </c>
      <c r="D215" s="577">
        <v>2.0999999999999999E-3</v>
      </c>
      <c r="E215" s="577">
        <v>2.2416666666666665E-3</v>
      </c>
      <c r="F215" s="577">
        <v>2.3499999999999997E-3</v>
      </c>
      <c r="G215" s="577">
        <v>2.2958333333333329E-3</v>
      </c>
      <c r="H215" s="577">
        <v>2.4666666666666669E-3</v>
      </c>
      <c r="I215" s="577">
        <f t="shared" si="35"/>
        <v>-5.4699999999999999E-2</v>
      </c>
      <c r="J215" s="577">
        <f t="shared" si="28"/>
        <v>-5.4895833333333331E-2</v>
      </c>
      <c r="K215" s="577">
        <f t="shared" si="29"/>
        <v>1.3333333333333331E-3</v>
      </c>
      <c r="L215" s="585">
        <f t="shared" si="36"/>
        <v>0.44467612788203881</v>
      </c>
      <c r="M215" s="585">
        <f t="shared" si="37"/>
        <v>2.52E-2</v>
      </c>
      <c r="N215" s="585">
        <f t="shared" si="30"/>
        <v>2.7549999999999995E-2</v>
      </c>
      <c r="O215" s="586">
        <f t="shared" si="38"/>
        <v>0.41947612788203881</v>
      </c>
      <c r="P215" s="585">
        <f t="shared" si="31"/>
        <v>0.41712612788203879</v>
      </c>
      <c r="Q215" s="585">
        <f t="shared" si="32"/>
        <v>0.74985728783755734</v>
      </c>
      <c r="R215" s="585">
        <f t="shared" si="33"/>
        <v>2.9600000000000001E-2</v>
      </c>
      <c r="S215" s="586">
        <f t="shared" si="34"/>
        <v>0.72025728783755738</v>
      </c>
      <c r="U215" s="587"/>
      <c r="V215" s="587"/>
      <c r="W215" s="587"/>
      <c r="X215" s="587"/>
      <c r="Y215" s="587"/>
      <c r="Z215" s="587"/>
      <c r="AA215" s="587"/>
      <c r="AB215" s="587"/>
      <c r="AC215" s="587"/>
      <c r="AE215" s="587"/>
      <c r="AF215" s="587"/>
      <c r="AG215" s="587"/>
      <c r="AH215" s="587"/>
      <c r="AI215" s="587"/>
      <c r="AJ215" s="587"/>
      <c r="AK215" s="587"/>
      <c r="AL215" s="587"/>
      <c r="AM215" s="587"/>
      <c r="AO215" s="587"/>
      <c r="AP215" s="587"/>
      <c r="AQ215" s="587"/>
      <c r="AR215" s="587"/>
      <c r="AS215" s="587"/>
      <c r="AT215" s="587"/>
      <c r="AU215" s="587"/>
      <c r="AV215" s="587"/>
      <c r="AW215" s="587"/>
    </row>
    <row r="216" spans="1:49">
      <c r="A216" s="581">
        <v>15919</v>
      </c>
      <c r="B216" s="594">
        <v>1.7100000000000001E-2</v>
      </c>
      <c r="C216" s="577">
        <v>1.0500000000000001E-2</v>
      </c>
      <c r="D216" s="577">
        <v>2.0999999999999999E-3</v>
      </c>
      <c r="E216" s="577">
        <v>2.2416666666666665E-3</v>
      </c>
      <c r="F216" s="577">
        <v>2.3416666666666668E-3</v>
      </c>
      <c r="G216" s="577">
        <v>2.2916666666666667E-3</v>
      </c>
      <c r="H216" s="577">
        <v>2.4666666666666669E-3</v>
      </c>
      <c r="I216" s="577">
        <f t="shared" si="35"/>
        <v>1.5000000000000001E-2</v>
      </c>
      <c r="J216" s="577">
        <f t="shared" si="28"/>
        <v>1.4808333333333333E-2</v>
      </c>
      <c r="K216" s="577">
        <f t="shared" si="29"/>
        <v>8.0333333333333333E-3</v>
      </c>
      <c r="L216" s="585">
        <f t="shared" si="36"/>
        <v>0.44567108389297716</v>
      </c>
      <c r="M216" s="585">
        <f t="shared" si="37"/>
        <v>2.52E-2</v>
      </c>
      <c r="N216" s="585">
        <f t="shared" si="30"/>
        <v>2.75E-2</v>
      </c>
      <c r="O216" s="586">
        <f t="shared" si="38"/>
        <v>0.42047108389297716</v>
      </c>
      <c r="P216" s="585">
        <f t="shared" si="31"/>
        <v>0.41817108389297714</v>
      </c>
      <c r="Q216" s="585">
        <f t="shared" si="32"/>
        <v>0.76364531154982207</v>
      </c>
      <c r="R216" s="585">
        <f t="shared" si="33"/>
        <v>2.9600000000000001E-2</v>
      </c>
      <c r="S216" s="586">
        <f t="shared" si="34"/>
        <v>0.73404531154982211</v>
      </c>
      <c r="U216" s="587"/>
      <c r="V216" s="587"/>
      <c r="W216" s="587"/>
      <c r="X216" s="587"/>
      <c r="Y216" s="587"/>
      <c r="Z216" s="587"/>
      <c r="AA216" s="587"/>
      <c r="AB216" s="587"/>
      <c r="AC216" s="587"/>
      <c r="AE216" s="587"/>
      <c r="AF216" s="587"/>
      <c r="AG216" s="587"/>
      <c r="AH216" s="587"/>
      <c r="AI216" s="587"/>
      <c r="AJ216" s="587"/>
      <c r="AK216" s="587"/>
      <c r="AL216" s="587"/>
      <c r="AM216" s="587"/>
      <c r="AO216" s="587"/>
      <c r="AP216" s="587"/>
      <c r="AQ216" s="587"/>
      <c r="AR216" s="587"/>
      <c r="AS216" s="587"/>
      <c r="AT216" s="587"/>
      <c r="AU216" s="587"/>
      <c r="AV216" s="587"/>
      <c r="AW216" s="587"/>
    </row>
    <row r="217" spans="1:49">
      <c r="A217" s="581">
        <v>15950</v>
      </c>
      <c r="B217" s="594">
        <v>2.63E-2</v>
      </c>
      <c r="C217" s="577">
        <v>3.2300000000000002E-2</v>
      </c>
      <c r="D217" s="577">
        <v>2E-3</v>
      </c>
      <c r="E217" s="577">
        <v>2.2416666666666665E-3</v>
      </c>
      <c r="F217" s="577">
        <v>2.3499999999999997E-3</v>
      </c>
      <c r="G217" s="577">
        <v>2.2958333333333329E-3</v>
      </c>
      <c r="H217" s="577">
        <v>2.4666666666666669E-3</v>
      </c>
      <c r="I217" s="577">
        <f t="shared" si="35"/>
        <v>2.4300000000000002E-2</v>
      </c>
      <c r="J217" s="577">
        <f t="shared" si="28"/>
        <v>2.4004166666666667E-2</v>
      </c>
      <c r="K217" s="577">
        <f t="shared" si="29"/>
        <v>2.9833333333333337E-2</v>
      </c>
      <c r="L217" s="585">
        <f t="shared" si="36"/>
        <v>0.44187777784194604</v>
      </c>
      <c r="M217" s="585">
        <f t="shared" si="37"/>
        <v>2.4E-2</v>
      </c>
      <c r="N217" s="585">
        <f t="shared" si="30"/>
        <v>2.7549999999999995E-2</v>
      </c>
      <c r="O217" s="586">
        <f t="shared" si="38"/>
        <v>0.41787777784194602</v>
      </c>
      <c r="P217" s="585">
        <f t="shared" si="31"/>
        <v>0.41432777784194602</v>
      </c>
      <c r="Q217" s="585">
        <f t="shared" si="32"/>
        <v>0.73954811304498524</v>
      </c>
      <c r="R217" s="585">
        <f t="shared" si="33"/>
        <v>2.9600000000000001E-2</v>
      </c>
      <c r="S217" s="586">
        <f t="shared" si="34"/>
        <v>0.70994811304498529</v>
      </c>
      <c r="U217" s="587"/>
      <c r="V217" s="587"/>
      <c r="W217" s="587"/>
      <c r="X217" s="587"/>
      <c r="Y217" s="587"/>
      <c r="Z217" s="587"/>
      <c r="AA217" s="587"/>
      <c r="AB217" s="587"/>
      <c r="AC217" s="587"/>
      <c r="AE217" s="587"/>
      <c r="AF217" s="587"/>
      <c r="AG217" s="587"/>
      <c r="AH217" s="587"/>
      <c r="AI217" s="587"/>
      <c r="AJ217" s="587"/>
      <c r="AK217" s="587"/>
      <c r="AL217" s="587"/>
      <c r="AM217" s="587"/>
      <c r="AO217" s="587"/>
      <c r="AP217" s="587"/>
      <c r="AQ217" s="587"/>
      <c r="AR217" s="587"/>
      <c r="AS217" s="587"/>
      <c r="AT217" s="587"/>
      <c r="AU217" s="587"/>
      <c r="AV217" s="587"/>
      <c r="AW217" s="587"/>
    </row>
    <row r="218" spans="1:49">
      <c r="A218" s="581">
        <v>15980</v>
      </c>
      <c r="B218" s="594">
        <v>-1.0800000000000001E-2</v>
      </c>
      <c r="C218" s="577">
        <v>8.199999999999999E-3</v>
      </c>
      <c r="D218" s="577">
        <v>2E-3</v>
      </c>
      <c r="E218" s="577">
        <v>2.2500000000000003E-3</v>
      </c>
      <c r="F218" s="577">
        <v>2.3583333333333334E-3</v>
      </c>
      <c r="G218" s="577">
        <v>2.3041666666666666E-3</v>
      </c>
      <c r="H218" s="577">
        <v>2.4750000000000002E-3</v>
      </c>
      <c r="I218" s="577">
        <f t="shared" si="35"/>
        <v>-1.2800000000000001E-2</v>
      </c>
      <c r="J218" s="577">
        <f t="shared" si="28"/>
        <v>-1.3104166666666667E-2</v>
      </c>
      <c r="K218" s="577">
        <f t="shared" si="29"/>
        <v>5.7249999999999992E-3</v>
      </c>
      <c r="L218" s="585">
        <f t="shared" si="36"/>
        <v>0.33574217816187768</v>
      </c>
      <c r="M218" s="585">
        <f t="shared" si="37"/>
        <v>2.4E-2</v>
      </c>
      <c r="N218" s="585">
        <f t="shared" si="30"/>
        <v>2.7650000000000001E-2</v>
      </c>
      <c r="O218" s="586">
        <f t="shared" si="38"/>
        <v>0.31174217816187766</v>
      </c>
      <c r="P218" s="585">
        <f t="shared" si="31"/>
        <v>0.30809217816187767</v>
      </c>
      <c r="Q218" s="585">
        <f t="shared" si="32"/>
        <v>0.54357719377922309</v>
      </c>
      <c r="R218" s="585">
        <f t="shared" si="33"/>
        <v>2.9700000000000004E-2</v>
      </c>
      <c r="S218" s="586">
        <f t="shared" si="34"/>
        <v>0.51387719377922303</v>
      </c>
      <c r="U218" s="587"/>
      <c r="V218" s="587"/>
      <c r="W218" s="587"/>
      <c r="X218" s="587"/>
      <c r="Y218" s="587"/>
      <c r="Z218" s="587"/>
      <c r="AA218" s="587"/>
      <c r="AB218" s="587"/>
      <c r="AC218" s="587"/>
      <c r="AE218" s="587"/>
      <c r="AF218" s="587"/>
      <c r="AG218" s="587"/>
      <c r="AH218" s="587"/>
      <c r="AI218" s="587"/>
      <c r="AJ218" s="587"/>
      <c r="AK218" s="587"/>
      <c r="AL218" s="587"/>
      <c r="AM218" s="587"/>
      <c r="AO218" s="587"/>
      <c r="AP218" s="587"/>
      <c r="AQ218" s="587"/>
      <c r="AR218" s="587"/>
      <c r="AS218" s="587"/>
      <c r="AT218" s="587"/>
      <c r="AU218" s="587"/>
      <c r="AV218" s="587"/>
      <c r="AW218" s="587"/>
    </row>
    <row r="219" spans="1:49">
      <c r="A219" s="581">
        <v>16011</v>
      </c>
      <c r="B219" s="594">
        <v>-6.54E-2</v>
      </c>
      <c r="C219" s="577">
        <v>-7.7499999999999999E-2</v>
      </c>
      <c r="D219" s="577">
        <v>2.0999999999999999E-3</v>
      </c>
      <c r="E219" s="577">
        <v>2.2583333333333331E-3</v>
      </c>
      <c r="F219" s="577">
        <v>2.3666666666666667E-3</v>
      </c>
      <c r="G219" s="577">
        <v>2.3125000000000003E-3</v>
      </c>
      <c r="H219" s="577">
        <v>2.4833333333333331E-3</v>
      </c>
      <c r="I219" s="577">
        <f t="shared" si="35"/>
        <v>-6.7500000000000004E-2</v>
      </c>
      <c r="J219" s="577">
        <f t="shared" si="28"/>
        <v>-6.7712499999999995E-2</v>
      </c>
      <c r="K219" s="577">
        <f t="shared" si="29"/>
        <v>-7.9983333333333337E-2</v>
      </c>
      <c r="L219" s="585">
        <f t="shared" si="36"/>
        <v>0.25101176441536333</v>
      </c>
      <c r="M219" s="585">
        <f t="shared" si="37"/>
        <v>2.52E-2</v>
      </c>
      <c r="N219" s="585">
        <f t="shared" si="30"/>
        <v>2.7750000000000004E-2</v>
      </c>
      <c r="O219" s="586">
        <f t="shared" si="38"/>
        <v>0.22581176441536333</v>
      </c>
      <c r="P219" s="585">
        <f t="shared" si="31"/>
        <v>0.22326176441536333</v>
      </c>
      <c r="Q219" s="585">
        <f t="shared" si="32"/>
        <v>0.42608909490368907</v>
      </c>
      <c r="R219" s="585">
        <f t="shared" si="33"/>
        <v>2.9799999999999997E-2</v>
      </c>
      <c r="S219" s="586">
        <f t="shared" si="34"/>
        <v>0.39628909490368908</v>
      </c>
      <c r="U219" s="587"/>
      <c r="V219" s="587"/>
      <c r="W219" s="587"/>
      <c r="X219" s="587"/>
      <c r="Y219" s="587"/>
      <c r="Z219" s="587"/>
      <c r="AA219" s="587"/>
      <c r="AB219" s="587"/>
      <c r="AC219" s="587"/>
      <c r="AE219" s="587"/>
      <c r="AF219" s="587"/>
      <c r="AG219" s="587"/>
      <c r="AH219" s="587"/>
      <c r="AI219" s="587"/>
      <c r="AJ219" s="587"/>
      <c r="AK219" s="587"/>
      <c r="AL219" s="587"/>
      <c r="AM219" s="587"/>
      <c r="AO219" s="587"/>
      <c r="AP219" s="587"/>
      <c r="AQ219" s="587"/>
      <c r="AR219" s="587"/>
      <c r="AS219" s="587"/>
      <c r="AT219" s="587"/>
      <c r="AU219" s="587"/>
      <c r="AV219" s="587"/>
      <c r="AW219" s="587"/>
    </row>
    <row r="220" spans="1:49">
      <c r="A220" s="581">
        <v>16041</v>
      </c>
      <c r="B220" s="594">
        <v>6.1699999999999998E-2</v>
      </c>
      <c r="C220" s="577">
        <v>5.779999999999999E-2</v>
      </c>
      <c r="D220" s="577">
        <v>2.0999999999999999E-3</v>
      </c>
      <c r="E220" s="577">
        <v>2.2833333333333334E-3</v>
      </c>
      <c r="F220" s="577">
        <v>2.3916666666666665E-3</v>
      </c>
      <c r="G220" s="577">
        <v>2.3375000000000002E-3</v>
      </c>
      <c r="H220" s="577">
        <v>2.4916666666666668E-3</v>
      </c>
      <c r="I220" s="577">
        <f t="shared" si="35"/>
        <v>5.96E-2</v>
      </c>
      <c r="J220" s="577">
        <f t="shared" si="28"/>
        <v>5.9362499999999999E-2</v>
      </c>
      <c r="K220" s="577">
        <f t="shared" si="29"/>
        <v>5.530833333333332E-2</v>
      </c>
      <c r="L220" s="585">
        <f t="shared" si="36"/>
        <v>0.25907592215356079</v>
      </c>
      <c r="M220" s="585">
        <f t="shared" si="37"/>
        <v>2.52E-2</v>
      </c>
      <c r="N220" s="585">
        <f t="shared" si="30"/>
        <v>2.8050000000000002E-2</v>
      </c>
      <c r="O220" s="586">
        <f t="shared" si="38"/>
        <v>0.23387592215356079</v>
      </c>
      <c r="P220" s="585">
        <f t="shared" si="31"/>
        <v>0.2310259221535608</v>
      </c>
      <c r="Q220" s="585">
        <f t="shared" si="32"/>
        <v>0.46060906718543992</v>
      </c>
      <c r="R220" s="585">
        <f t="shared" si="33"/>
        <v>2.9900000000000003E-2</v>
      </c>
      <c r="S220" s="586">
        <f t="shared" si="34"/>
        <v>0.43070906718543994</v>
      </c>
      <c r="U220" s="587"/>
      <c r="V220" s="587"/>
      <c r="W220" s="587"/>
      <c r="X220" s="587"/>
      <c r="Y220" s="587"/>
      <c r="Z220" s="587"/>
      <c r="AA220" s="587"/>
      <c r="AB220" s="587"/>
      <c r="AC220" s="587"/>
      <c r="AE220" s="587"/>
      <c r="AF220" s="587"/>
      <c r="AG220" s="587"/>
      <c r="AH220" s="587"/>
      <c r="AI220" s="587"/>
      <c r="AJ220" s="587"/>
      <c r="AK220" s="587"/>
      <c r="AL220" s="587"/>
      <c r="AM220" s="587"/>
      <c r="AO220" s="587"/>
      <c r="AP220" s="587"/>
      <c r="AQ220" s="587"/>
      <c r="AR220" s="587"/>
      <c r="AS220" s="587"/>
      <c r="AT220" s="587"/>
      <c r="AU220" s="587"/>
      <c r="AV220" s="587"/>
      <c r="AW220" s="587"/>
    </row>
    <row r="221" spans="1:49">
      <c r="A221" s="581">
        <v>16072</v>
      </c>
      <c r="B221" s="594">
        <v>1.7100000000000001E-2</v>
      </c>
      <c r="C221" s="577">
        <v>1.0599999999999998E-2</v>
      </c>
      <c r="D221" s="577">
        <v>2.0999999999999999E-3</v>
      </c>
      <c r="E221" s="577">
        <v>2.2666666666666668E-3</v>
      </c>
      <c r="F221" s="577">
        <v>2.3583333333333334E-3</v>
      </c>
      <c r="G221" s="577">
        <v>2.3125000000000003E-3</v>
      </c>
      <c r="H221" s="577">
        <v>2.4916666666666668E-3</v>
      </c>
      <c r="I221" s="577">
        <f t="shared" si="35"/>
        <v>1.5000000000000001E-2</v>
      </c>
      <c r="J221" s="577">
        <f t="shared" ref="J221:J284" si="39">B221-G221</f>
        <v>1.47875E-2</v>
      </c>
      <c r="K221" s="577">
        <f t="shared" ref="K221:K284" si="40">$C221-H221</f>
        <v>8.108333333333332E-3</v>
      </c>
      <c r="L221" s="585">
        <f t="shared" si="36"/>
        <v>0.1927038469054545</v>
      </c>
      <c r="M221" s="585">
        <f t="shared" si="37"/>
        <v>2.52E-2</v>
      </c>
      <c r="N221" s="585">
        <f t="shared" si="30"/>
        <v>2.7750000000000004E-2</v>
      </c>
      <c r="O221" s="586">
        <f t="shared" si="38"/>
        <v>0.1675038469054545</v>
      </c>
      <c r="P221" s="585">
        <f t="shared" si="31"/>
        <v>0.1649538469054545</v>
      </c>
      <c r="Q221" s="585">
        <f t="shared" si="32"/>
        <v>0.31594144895926357</v>
      </c>
      <c r="R221" s="585">
        <f t="shared" si="33"/>
        <v>2.9900000000000003E-2</v>
      </c>
      <c r="S221" s="586">
        <f t="shared" si="34"/>
        <v>0.28604144895926359</v>
      </c>
      <c r="U221" s="587"/>
      <c r="V221" s="587"/>
      <c r="W221" s="587"/>
      <c r="X221" s="587"/>
      <c r="Y221" s="587"/>
      <c r="Z221" s="587"/>
      <c r="AA221" s="587"/>
      <c r="AB221" s="587"/>
      <c r="AC221" s="587"/>
      <c r="AE221" s="587"/>
      <c r="AF221" s="587"/>
      <c r="AG221" s="587"/>
      <c r="AH221" s="587"/>
      <c r="AI221" s="587"/>
      <c r="AJ221" s="587"/>
      <c r="AK221" s="587"/>
      <c r="AL221" s="587"/>
      <c r="AM221" s="587"/>
      <c r="AO221" s="587"/>
      <c r="AP221" s="587"/>
      <c r="AQ221" s="587"/>
      <c r="AR221" s="587"/>
      <c r="AS221" s="587"/>
      <c r="AT221" s="587"/>
      <c r="AU221" s="587"/>
      <c r="AV221" s="587"/>
      <c r="AW221" s="587"/>
    </row>
    <row r="222" spans="1:49">
      <c r="A222" s="581">
        <v>16103</v>
      </c>
      <c r="B222" s="594">
        <v>4.1999999999999997E-3</v>
      </c>
      <c r="C222" s="577">
        <v>1.7899999999999999E-2</v>
      </c>
      <c r="D222" s="577">
        <v>2E-3</v>
      </c>
      <c r="E222" s="577">
        <v>2.2833333333333334E-3</v>
      </c>
      <c r="F222" s="577">
        <v>2.3583333333333334E-3</v>
      </c>
      <c r="G222" s="577">
        <v>2.3208333333333336E-3</v>
      </c>
      <c r="H222" s="577">
        <v>2.4916666666666668E-3</v>
      </c>
      <c r="I222" s="577">
        <f t="shared" si="35"/>
        <v>2.1999999999999997E-3</v>
      </c>
      <c r="J222" s="577">
        <f t="shared" si="39"/>
        <v>1.8791666666666661E-3</v>
      </c>
      <c r="K222" s="577">
        <f t="shared" si="40"/>
        <v>1.5408333333333333E-2</v>
      </c>
      <c r="L222" s="585">
        <f t="shared" si="36"/>
        <v>0.13173315984357692</v>
      </c>
      <c r="M222" s="585">
        <f t="shared" si="37"/>
        <v>2.4E-2</v>
      </c>
      <c r="N222" s="585">
        <f t="shared" si="30"/>
        <v>2.7850000000000003E-2</v>
      </c>
      <c r="O222" s="586">
        <f t="shared" si="38"/>
        <v>0.10773315984357693</v>
      </c>
      <c r="P222" s="585">
        <f t="shared" si="31"/>
        <v>0.10388315984357692</v>
      </c>
      <c r="Q222" s="585">
        <f t="shared" si="32"/>
        <v>0.24964716941471599</v>
      </c>
      <c r="R222" s="585">
        <f t="shared" si="33"/>
        <v>2.9900000000000003E-2</v>
      </c>
      <c r="S222" s="586">
        <f t="shared" si="34"/>
        <v>0.21974716941471598</v>
      </c>
      <c r="U222" s="587"/>
      <c r="V222" s="587"/>
      <c r="W222" s="587"/>
      <c r="X222" s="587"/>
      <c r="Y222" s="587"/>
      <c r="Z222" s="587"/>
      <c r="AA222" s="587"/>
      <c r="AB222" s="587"/>
      <c r="AC222" s="587"/>
      <c r="AE222" s="587"/>
      <c r="AF222" s="587"/>
      <c r="AG222" s="587"/>
      <c r="AH222" s="587"/>
      <c r="AI222" s="587"/>
      <c r="AJ222" s="587"/>
      <c r="AK222" s="587"/>
      <c r="AL222" s="587"/>
      <c r="AM222" s="587"/>
      <c r="AO222" s="587"/>
      <c r="AP222" s="587"/>
      <c r="AQ222" s="587"/>
      <c r="AR222" s="587"/>
      <c r="AS222" s="587"/>
      <c r="AT222" s="587"/>
      <c r="AU222" s="587"/>
      <c r="AV222" s="587"/>
      <c r="AW222" s="587"/>
    </row>
    <row r="223" spans="1:49">
      <c r="A223" s="581">
        <v>16132</v>
      </c>
      <c r="B223" s="594">
        <v>1.95E-2</v>
      </c>
      <c r="C223" s="577">
        <v>1.04E-2</v>
      </c>
      <c r="D223" s="577">
        <v>2.0999999999999999E-3</v>
      </c>
      <c r="E223" s="577">
        <v>2.2833333333333334E-3</v>
      </c>
      <c r="F223" s="577">
        <v>2.3499999999999997E-3</v>
      </c>
      <c r="G223" s="577">
        <v>2.316666666666667E-3</v>
      </c>
      <c r="H223" s="577">
        <v>2.4750000000000002E-3</v>
      </c>
      <c r="I223" s="577">
        <f t="shared" si="35"/>
        <v>1.7399999999999999E-2</v>
      </c>
      <c r="J223" s="577">
        <f t="shared" si="39"/>
        <v>1.7183333333333332E-2</v>
      </c>
      <c r="K223" s="577">
        <f t="shared" si="40"/>
        <v>7.9249999999999998E-3</v>
      </c>
      <c r="L223" s="585">
        <f t="shared" si="36"/>
        <v>9.4169707406853265E-2</v>
      </c>
      <c r="M223" s="585">
        <f t="shared" si="37"/>
        <v>2.52E-2</v>
      </c>
      <c r="N223" s="585">
        <f t="shared" si="30"/>
        <v>2.7800000000000005E-2</v>
      </c>
      <c r="O223" s="586">
        <f t="shared" si="38"/>
        <v>6.8969707406853265E-2</v>
      </c>
      <c r="P223" s="585">
        <f t="shared" si="31"/>
        <v>6.6369707406853259E-2</v>
      </c>
      <c r="Q223" s="585">
        <f t="shared" si="32"/>
        <v>0.2126810410839699</v>
      </c>
      <c r="R223" s="585">
        <f t="shared" si="33"/>
        <v>2.9700000000000004E-2</v>
      </c>
      <c r="S223" s="586">
        <f t="shared" si="34"/>
        <v>0.1829810410839699</v>
      </c>
      <c r="U223" s="587"/>
      <c r="V223" s="587"/>
      <c r="W223" s="587"/>
      <c r="X223" s="587"/>
      <c r="Y223" s="587"/>
      <c r="Z223" s="587"/>
      <c r="AA223" s="587"/>
      <c r="AB223" s="587"/>
      <c r="AC223" s="587"/>
      <c r="AE223" s="587"/>
      <c r="AF223" s="587"/>
      <c r="AG223" s="587"/>
      <c r="AH223" s="587"/>
      <c r="AI223" s="587"/>
      <c r="AJ223" s="587"/>
      <c r="AK223" s="587"/>
      <c r="AL223" s="587"/>
      <c r="AM223" s="587"/>
      <c r="AO223" s="587"/>
      <c r="AP223" s="587"/>
      <c r="AQ223" s="587"/>
      <c r="AR223" s="587"/>
      <c r="AS223" s="587"/>
      <c r="AT223" s="587"/>
      <c r="AU223" s="587"/>
      <c r="AV223" s="587"/>
      <c r="AW223" s="587"/>
    </row>
    <row r="224" spans="1:49">
      <c r="A224" s="581">
        <v>16163</v>
      </c>
      <c r="B224" s="594">
        <v>-0.01</v>
      </c>
      <c r="C224" s="577">
        <v>-9.1000000000000004E-3</v>
      </c>
      <c r="D224" s="577">
        <v>2E-3</v>
      </c>
      <c r="E224" s="577">
        <v>2.2833333333333334E-3</v>
      </c>
      <c r="F224" s="577">
        <v>2.3499999999999997E-3</v>
      </c>
      <c r="G224" s="577">
        <v>2.316666666666667E-3</v>
      </c>
      <c r="H224" s="577">
        <v>2.4916666666666668E-3</v>
      </c>
      <c r="I224" s="577">
        <f t="shared" si="35"/>
        <v>-1.2E-2</v>
      </c>
      <c r="J224" s="577">
        <f t="shared" si="39"/>
        <v>-1.2316666666666667E-2</v>
      </c>
      <c r="K224" s="577">
        <f t="shared" si="40"/>
        <v>-1.1591666666666667E-2</v>
      </c>
      <c r="L224" s="585">
        <f t="shared" si="36"/>
        <v>7.944993555833002E-2</v>
      </c>
      <c r="M224" s="585">
        <f t="shared" si="37"/>
        <v>2.4E-2</v>
      </c>
      <c r="N224" s="585">
        <f t="shared" si="30"/>
        <v>2.7800000000000005E-2</v>
      </c>
      <c r="O224" s="586">
        <f t="shared" si="38"/>
        <v>5.544993555833002E-2</v>
      </c>
      <c r="P224" s="585">
        <f t="shared" si="31"/>
        <v>5.1649935558330015E-2</v>
      </c>
      <c r="Q224" s="585">
        <f t="shared" si="32"/>
        <v>0.15687459671715165</v>
      </c>
      <c r="R224" s="585">
        <f t="shared" si="33"/>
        <v>2.9900000000000003E-2</v>
      </c>
      <c r="S224" s="586">
        <f t="shared" si="34"/>
        <v>0.12697459671715164</v>
      </c>
      <c r="U224" s="587"/>
      <c r="V224" s="587"/>
      <c r="W224" s="587"/>
      <c r="X224" s="587"/>
      <c r="Y224" s="587"/>
      <c r="Z224" s="587"/>
      <c r="AA224" s="587"/>
      <c r="AB224" s="587"/>
      <c r="AC224" s="587"/>
      <c r="AE224" s="587"/>
      <c r="AF224" s="587"/>
      <c r="AG224" s="587"/>
      <c r="AH224" s="587"/>
      <c r="AI224" s="587"/>
      <c r="AJ224" s="587"/>
      <c r="AK224" s="587"/>
      <c r="AL224" s="587"/>
      <c r="AM224" s="587"/>
      <c r="AO224" s="587"/>
      <c r="AP224" s="587"/>
      <c r="AQ224" s="587"/>
      <c r="AR224" s="587"/>
      <c r="AS224" s="587"/>
      <c r="AT224" s="587"/>
      <c r="AU224" s="587"/>
      <c r="AV224" s="587"/>
      <c r="AW224" s="587"/>
    </row>
    <row r="225" spans="1:49">
      <c r="A225" s="581">
        <v>16193</v>
      </c>
      <c r="B225" s="594">
        <v>5.0500000000000003E-2</v>
      </c>
      <c r="C225" s="577">
        <v>3.0099999999999998E-2</v>
      </c>
      <c r="D225" s="577">
        <v>2.2000000000000001E-3</v>
      </c>
      <c r="E225" s="577">
        <v>2.2750000000000001E-3</v>
      </c>
      <c r="F225" s="577">
        <v>2.3416666666666668E-3</v>
      </c>
      <c r="G225" s="577">
        <v>2.3083333333333332E-3</v>
      </c>
      <c r="H225" s="577">
        <v>2.4916666666666668E-3</v>
      </c>
      <c r="I225" s="577">
        <f t="shared" si="35"/>
        <v>4.8300000000000003E-2</v>
      </c>
      <c r="J225" s="577">
        <f t="shared" si="39"/>
        <v>4.8191666666666667E-2</v>
      </c>
      <c r="K225" s="577">
        <f t="shared" si="40"/>
        <v>2.7608333333333332E-2</v>
      </c>
      <c r="L225" s="585">
        <f t="shared" si="36"/>
        <v>7.4641923146347544E-2</v>
      </c>
      <c r="M225" s="585">
        <f t="shared" si="37"/>
        <v>2.64E-2</v>
      </c>
      <c r="N225" s="585">
        <f t="shared" si="30"/>
        <v>2.7699999999999999E-2</v>
      </c>
      <c r="O225" s="586">
        <f t="shared" si="38"/>
        <v>4.8241923146347544E-2</v>
      </c>
      <c r="P225" s="585">
        <f t="shared" si="31"/>
        <v>4.6941923146347542E-2</v>
      </c>
      <c r="Q225" s="585">
        <f t="shared" si="32"/>
        <v>0.15173144107310144</v>
      </c>
      <c r="R225" s="585">
        <f t="shared" si="33"/>
        <v>2.9900000000000003E-2</v>
      </c>
      <c r="S225" s="586">
        <f t="shared" si="34"/>
        <v>0.12183144107310143</v>
      </c>
      <c r="U225" s="587"/>
      <c r="V225" s="587"/>
      <c r="W225" s="587"/>
      <c r="X225" s="587"/>
      <c r="Y225" s="587"/>
      <c r="Z225" s="587"/>
      <c r="AA225" s="587"/>
      <c r="AB225" s="587"/>
      <c r="AC225" s="587"/>
      <c r="AE225" s="587"/>
      <c r="AF225" s="587"/>
      <c r="AG225" s="587"/>
      <c r="AH225" s="587"/>
      <c r="AI225" s="587"/>
      <c r="AJ225" s="587"/>
      <c r="AK225" s="587"/>
      <c r="AL225" s="587"/>
      <c r="AM225" s="587"/>
      <c r="AO225" s="587"/>
      <c r="AP225" s="587"/>
      <c r="AQ225" s="587"/>
      <c r="AR225" s="587"/>
      <c r="AS225" s="587"/>
      <c r="AT225" s="587"/>
      <c r="AU225" s="587"/>
      <c r="AV225" s="587"/>
      <c r="AW225" s="587"/>
    </row>
    <row r="226" spans="1:49">
      <c r="A226" s="581">
        <v>16224</v>
      </c>
      <c r="B226" s="594">
        <v>5.4300000000000001E-2</v>
      </c>
      <c r="C226" s="577">
        <v>5.2600000000000001E-2</v>
      </c>
      <c r="D226" s="577">
        <v>2E-3</v>
      </c>
      <c r="E226" s="577">
        <v>2.2750000000000001E-3</v>
      </c>
      <c r="F226" s="577">
        <v>2.3416666666666668E-3</v>
      </c>
      <c r="G226" s="577">
        <v>2.3083333333333332E-3</v>
      </c>
      <c r="H226" s="577">
        <v>2.4916666666666668E-3</v>
      </c>
      <c r="I226" s="577">
        <f t="shared" si="35"/>
        <v>5.2299999999999999E-2</v>
      </c>
      <c r="J226" s="577">
        <f t="shared" si="39"/>
        <v>5.1991666666666665E-2</v>
      </c>
      <c r="K226" s="577">
        <f t="shared" si="40"/>
        <v>5.0108333333333331E-2</v>
      </c>
      <c r="L226" s="585">
        <f t="shared" si="36"/>
        <v>0.10828032825314926</v>
      </c>
      <c r="M226" s="585">
        <f t="shared" si="37"/>
        <v>2.4E-2</v>
      </c>
      <c r="N226" s="585">
        <f t="shared" si="30"/>
        <v>2.7699999999999999E-2</v>
      </c>
      <c r="O226" s="586">
        <f t="shared" si="38"/>
        <v>8.4280328253149267E-2</v>
      </c>
      <c r="P226" s="585">
        <f t="shared" si="31"/>
        <v>8.0580328253149258E-2</v>
      </c>
      <c r="Q226" s="585">
        <f t="shared" si="32"/>
        <v>0.15041992301532203</v>
      </c>
      <c r="R226" s="585">
        <f t="shared" si="33"/>
        <v>2.9900000000000003E-2</v>
      </c>
      <c r="S226" s="586">
        <f t="shared" si="34"/>
        <v>0.12051992301532202</v>
      </c>
      <c r="U226" s="587"/>
      <c r="V226" s="587"/>
      <c r="W226" s="587"/>
      <c r="X226" s="587"/>
      <c r="Y226" s="587"/>
      <c r="Z226" s="587"/>
      <c r="AA226" s="587"/>
      <c r="AB226" s="587"/>
      <c r="AC226" s="587"/>
      <c r="AE226" s="587"/>
      <c r="AF226" s="587"/>
      <c r="AG226" s="587"/>
      <c r="AH226" s="587"/>
      <c r="AI226" s="587"/>
      <c r="AJ226" s="587"/>
      <c r="AK226" s="587"/>
      <c r="AL226" s="587"/>
      <c r="AM226" s="587"/>
      <c r="AO226" s="587"/>
      <c r="AP226" s="587"/>
      <c r="AQ226" s="587"/>
      <c r="AR226" s="587"/>
      <c r="AS226" s="587"/>
      <c r="AT226" s="587"/>
      <c r="AU226" s="587"/>
      <c r="AV226" s="587"/>
      <c r="AW226" s="587"/>
    </row>
    <row r="227" spans="1:49">
      <c r="A227" s="581">
        <v>16254</v>
      </c>
      <c r="B227" s="594">
        <v>-1.9300000000000001E-2</v>
      </c>
      <c r="C227" s="577">
        <v>2.9000000000000002E-3</v>
      </c>
      <c r="D227" s="577">
        <v>2.0999999999999999E-3</v>
      </c>
      <c r="E227" s="577">
        <v>2.2666666666666668E-3</v>
      </c>
      <c r="F227" s="577">
        <v>2.3333333333333331E-3</v>
      </c>
      <c r="G227" s="577">
        <v>2.3E-3</v>
      </c>
      <c r="H227" s="577">
        <v>2.4666666666666669E-3</v>
      </c>
      <c r="I227" s="577">
        <f t="shared" si="35"/>
        <v>-2.1400000000000002E-2</v>
      </c>
      <c r="J227" s="577">
        <f t="shared" si="39"/>
        <v>-2.1600000000000001E-2</v>
      </c>
      <c r="K227" s="577">
        <f t="shared" si="40"/>
        <v>4.3333333333333331E-4</v>
      </c>
      <c r="L227" s="585">
        <f t="shared" si="36"/>
        <v>0.14723508329941248</v>
      </c>
      <c r="M227" s="585">
        <f t="shared" si="37"/>
        <v>2.52E-2</v>
      </c>
      <c r="N227" s="585">
        <f t="shared" si="30"/>
        <v>2.76E-2</v>
      </c>
      <c r="O227" s="586">
        <f t="shared" si="38"/>
        <v>0.12203508329941248</v>
      </c>
      <c r="P227" s="585">
        <f t="shared" si="31"/>
        <v>0.11963508329941248</v>
      </c>
      <c r="Q227" s="585">
        <f t="shared" si="32"/>
        <v>0.14938846462648581</v>
      </c>
      <c r="R227" s="585">
        <f t="shared" si="33"/>
        <v>2.9600000000000001E-2</v>
      </c>
      <c r="S227" s="586">
        <f t="shared" si="34"/>
        <v>0.1197884646264858</v>
      </c>
      <c r="U227" s="587"/>
      <c r="V227" s="587"/>
      <c r="W227" s="587"/>
      <c r="X227" s="587"/>
      <c r="Y227" s="587"/>
      <c r="Z227" s="587"/>
      <c r="AA227" s="587"/>
      <c r="AB227" s="587"/>
      <c r="AC227" s="587"/>
      <c r="AE227" s="587"/>
      <c r="AF227" s="587"/>
      <c r="AG227" s="587"/>
      <c r="AH227" s="587"/>
      <c r="AI227" s="587"/>
      <c r="AJ227" s="587"/>
      <c r="AK227" s="587"/>
      <c r="AL227" s="587"/>
      <c r="AM227" s="587"/>
      <c r="AO227" s="587"/>
      <c r="AP227" s="587"/>
      <c r="AQ227" s="587"/>
      <c r="AR227" s="587"/>
      <c r="AS227" s="587"/>
      <c r="AT227" s="587"/>
      <c r="AU227" s="587"/>
      <c r="AV227" s="587"/>
      <c r="AW227" s="587"/>
    </row>
    <row r="228" spans="1:49">
      <c r="A228" s="581">
        <v>16285</v>
      </c>
      <c r="B228" s="594">
        <v>1.5699999999999999E-2</v>
      </c>
      <c r="C228" s="577">
        <v>3.5700000000000003E-2</v>
      </c>
      <c r="D228" s="577">
        <v>2.0999999999999999E-3</v>
      </c>
      <c r="E228" s="577">
        <v>2.2583333333333331E-3</v>
      </c>
      <c r="F228" s="577">
        <v>2.3250000000000002E-3</v>
      </c>
      <c r="G228" s="577">
        <v>2.2916666666666667E-3</v>
      </c>
      <c r="H228" s="577">
        <v>2.4499999999999999E-3</v>
      </c>
      <c r="I228" s="577">
        <f t="shared" si="35"/>
        <v>1.3599999999999999E-2</v>
      </c>
      <c r="J228" s="577">
        <f t="shared" si="39"/>
        <v>1.3408333333333331E-2</v>
      </c>
      <c r="K228" s="577">
        <f t="shared" si="40"/>
        <v>3.3250000000000002E-2</v>
      </c>
      <c r="L228" s="585">
        <f t="shared" si="36"/>
        <v>0.14565595723843594</v>
      </c>
      <c r="M228" s="585">
        <f t="shared" si="37"/>
        <v>2.52E-2</v>
      </c>
      <c r="N228" s="585">
        <f t="shared" si="30"/>
        <v>2.75E-2</v>
      </c>
      <c r="O228" s="586">
        <f t="shared" si="38"/>
        <v>0.12045595723843594</v>
      </c>
      <c r="P228" s="585">
        <f t="shared" si="31"/>
        <v>0.11815595723843594</v>
      </c>
      <c r="Q228" s="585">
        <f t="shared" si="32"/>
        <v>0.17805208591157973</v>
      </c>
      <c r="R228" s="585">
        <f t="shared" si="33"/>
        <v>2.9399999999999999E-2</v>
      </c>
      <c r="S228" s="586">
        <f t="shared" si="34"/>
        <v>0.14865208591157972</v>
      </c>
      <c r="U228" s="587"/>
      <c r="V228" s="587"/>
      <c r="W228" s="587"/>
      <c r="X228" s="587"/>
      <c r="Y228" s="587"/>
      <c r="Z228" s="587"/>
      <c r="AA228" s="587"/>
      <c r="AB228" s="587"/>
      <c r="AC228" s="587"/>
      <c r="AE228" s="587"/>
      <c r="AF228" s="587"/>
      <c r="AG228" s="587"/>
      <c r="AH228" s="587"/>
      <c r="AI228" s="587"/>
      <c r="AJ228" s="587"/>
      <c r="AK228" s="587"/>
      <c r="AL228" s="587"/>
      <c r="AM228" s="587"/>
      <c r="AO228" s="587"/>
      <c r="AP228" s="587"/>
      <c r="AQ228" s="587"/>
      <c r="AR228" s="587"/>
      <c r="AS228" s="587"/>
      <c r="AT228" s="587"/>
      <c r="AU228" s="587"/>
      <c r="AV228" s="587"/>
      <c r="AW228" s="587"/>
    </row>
    <row r="229" spans="1:49">
      <c r="A229" s="581">
        <v>16316</v>
      </c>
      <c r="B229" s="594">
        <v>-8.0000000000000004E-4</v>
      </c>
      <c r="C229" s="577">
        <v>-1.5000000000000003E-2</v>
      </c>
      <c r="D229" s="577">
        <v>2E-3</v>
      </c>
      <c r="E229" s="577">
        <v>2.2666666666666668E-3</v>
      </c>
      <c r="F229" s="577">
        <v>2.3250000000000002E-3</v>
      </c>
      <c r="G229" s="577">
        <v>2.2958333333333338E-3</v>
      </c>
      <c r="H229" s="577">
        <v>2.4416666666666666E-3</v>
      </c>
      <c r="I229" s="577">
        <f t="shared" si="35"/>
        <v>-2.8E-3</v>
      </c>
      <c r="J229" s="577">
        <f t="shared" si="39"/>
        <v>-3.0958333333333337E-3</v>
      </c>
      <c r="K229" s="577">
        <f t="shared" si="40"/>
        <v>-1.7441666666666668E-2</v>
      </c>
      <c r="L229" s="585">
        <f t="shared" si="36"/>
        <v>0.11540429939846564</v>
      </c>
      <c r="M229" s="585">
        <f t="shared" si="37"/>
        <v>2.4E-2</v>
      </c>
      <c r="N229" s="585">
        <f t="shared" si="30"/>
        <v>2.7550000000000005E-2</v>
      </c>
      <c r="O229" s="586">
        <f t="shared" si="38"/>
        <v>9.1404299398465644E-2</v>
      </c>
      <c r="P229" s="585">
        <f t="shared" si="31"/>
        <v>8.7854299398465632E-2</v>
      </c>
      <c r="Q229" s="585">
        <f t="shared" si="32"/>
        <v>0.12407372335842859</v>
      </c>
      <c r="R229" s="585">
        <f t="shared" si="33"/>
        <v>2.93E-2</v>
      </c>
      <c r="S229" s="586">
        <f t="shared" si="34"/>
        <v>9.4773723358428597E-2</v>
      </c>
      <c r="U229" s="587"/>
      <c r="V229" s="587"/>
      <c r="W229" s="587"/>
      <c r="X229" s="587"/>
      <c r="Y229" s="587"/>
      <c r="Z229" s="587"/>
      <c r="AA229" s="587"/>
      <c r="AB229" s="587"/>
      <c r="AC229" s="587"/>
      <c r="AE229" s="587"/>
      <c r="AF229" s="587"/>
      <c r="AG229" s="587"/>
      <c r="AH229" s="587"/>
      <c r="AI229" s="587"/>
      <c r="AJ229" s="587"/>
      <c r="AK229" s="587"/>
      <c r="AL229" s="587"/>
      <c r="AM229" s="587"/>
      <c r="AO229" s="587"/>
      <c r="AP229" s="587"/>
      <c r="AQ229" s="587"/>
      <c r="AR229" s="587"/>
      <c r="AS229" s="587"/>
      <c r="AT229" s="587"/>
      <c r="AU229" s="587"/>
      <c r="AV229" s="587"/>
      <c r="AW229" s="587"/>
    </row>
    <row r="230" spans="1:49">
      <c r="A230" s="581">
        <v>16346</v>
      </c>
      <c r="B230" s="594">
        <v>2.3E-3</v>
      </c>
      <c r="C230" s="577">
        <v>1.3899999999999999E-2</v>
      </c>
      <c r="D230" s="577">
        <v>2.0999999999999999E-3</v>
      </c>
      <c r="E230" s="577">
        <v>2.2666666666666668E-3</v>
      </c>
      <c r="F230" s="577">
        <v>2.3416666666666668E-3</v>
      </c>
      <c r="G230" s="577">
        <v>2.3041666666666666E-3</v>
      </c>
      <c r="H230" s="577">
        <v>2.4499999999999999E-3</v>
      </c>
      <c r="I230" s="577">
        <f t="shared" si="35"/>
        <v>2.0000000000000009E-4</v>
      </c>
      <c r="J230" s="577">
        <f t="shared" si="39"/>
        <v>-4.1666666666666415E-6</v>
      </c>
      <c r="K230" s="577">
        <f t="shared" si="40"/>
        <v>1.1449999999999998E-2</v>
      </c>
      <c r="L230" s="585">
        <f t="shared" si="36"/>
        <v>0.13017562604840505</v>
      </c>
      <c r="M230" s="585">
        <f t="shared" si="37"/>
        <v>2.52E-2</v>
      </c>
      <c r="N230" s="585">
        <f t="shared" si="30"/>
        <v>2.7650000000000001E-2</v>
      </c>
      <c r="O230" s="586">
        <f t="shared" si="38"/>
        <v>0.10497562604840505</v>
      </c>
      <c r="P230" s="585">
        <f t="shared" si="31"/>
        <v>0.10252562604840504</v>
      </c>
      <c r="Q230" s="585">
        <f t="shared" si="32"/>
        <v>0.1304288316932265</v>
      </c>
      <c r="R230" s="585">
        <f t="shared" si="33"/>
        <v>2.9399999999999999E-2</v>
      </c>
      <c r="S230" s="586">
        <f t="shared" si="34"/>
        <v>0.1010288316932265</v>
      </c>
      <c r="U230" s="587"/>
      <c r="V230" s="587"/>
      <c r="W230" s="587"/>
      <c r="X230" s="587"/>
      <c r="Y230" s="587"/>
      <c r="Z230" s="587"/>
      <c r="AA230" s="587"/>
      <c r="AB230" s="587"/>
      <c r="AC230" s="587"/>
      <c r="AE230" s="587"/>
      <c r="AF230" s="587"/>
      <c r="AG230" s="587"/>
      <c r="AH230" s="587"/>
      <c r="AI230" s="587"/>
      <c r="AJ230" s="587"/>
      <c r="AK230" s="587"/>
      <c r="AL230" s="587"/>
      <c r="AM230" s="587"/>
      <c r="AO230" s="587"/>
      <c r="AP230" s="587"/>
      <c r="AQ230" s="587"/>
      <c r="AR230" s="587"/>
      <c r="AS230" s="587"/>
      <c r="AT230" s="587"/>
      <c r="AU230" s="587"/>
      <c r="AV230" s="587"/>
      <c r="AW230" s="587"/>
    </row>
    <row r="231" spans="1:49">
      <c r="A231" s="581">
        <v>16377</v>
      </c>
      <c r="B231" s="594">
        <v>1.3299999999999999E-2</v>
      </c>
      <c r="C231" s="577">
        <v>-1.3000000000000001E-2</v>
      </c>
      <c r="D231" s="577">
        <v>2E-3</v>
      </c>
      <c r="E231" s="577">
        <v>2.2666666666666668E-3</v>
      </c>
      <c r="F231" s="577">
        <v>2.3333333333333331E-3</v>
      </c>
      <c r="G231" s="577">
        <v>2.3E-3</v>
      </c>
      <c r="H231" s="577">
        <v>2.4666666666666669E-3</v>
      </c>
      <c r="I231" s="577">
        <f t="shared" si="35"/>
        <v>1.1299999999999999E-2</v>
      </c>
      <c r="J231" s="577">
        <f t="shared" si="39"/>
        <v>1.0999999999999999E-2</v>
      </c>
      <c r="K231" s="577">
        <f t="shared" si="40"/>
        <v>-1.5466666666666668E-2</v>
      </c>
      <c r="L231" s="585">
        <f t="shared" si="36"/>
        <v>0.22534449162727266</v>
      </c>
      <c r="M231" s="585">
        <f t="shared" si="37"/>
        <v>2.4E-2</v>
      </c>
      <c r="N231" s="585">
        <f t="shared" si="30"/>
        <v>2.76E-2</v>
      </c>
      <c r="O231" s="586">
        <f t="shared" si="38"/>
        <v>0.20134449162727266</v>
      </c>
      <c r="P231" s="585">
        <f t="shared" si="31"/>
        <v>0.19774449162727264</v>
      </c>
      <c r="Q231" s="585">
        <f t="shared" si="32"/>
        <v>0.20946694512868791</v>
      </c>
      <c r="R231" s="585">
        <f t="shared" si="33"/>
        <v>2.9600000000000001E-2</v>
      </c>
      <c r="S231" s="586">
        <f t="shared" si="34"/>
        <v>0.17986694512868789</v>
      </c>
      <c r="U231" s="587"/>
      <c r="V231" s="587"/>
      <c r="W231" s="587"/>
      <c r="X231" s="587"/>
      <c r="Y231" s="587"/>
      <c r="Z231" s="587"/>
      <c r="AA231" s="587"/>
      <c r="AB231" s="587"/>
      <c r="AC231" s="587"/>
      <c r="AE231" s="587"/>
      <c r="AF231" s="587"/>
      <c r="AG231" s="587"/>
      <c r="AH231" s="587"/>
      <c r="AI231" s="587"/>
      <c r="AJ231" s="587"/>
      <c r="AK231" s="587"/>
      <c r="AL231" s="587"/>
      <c r="AM231" s="587"/>
      <c r="AO231" s="587"/>
      <c r="AP231" s="587"/>
      <c r="AQ231" s="587"/>
      <c r="AR231" s="587"/>
      <c r="AS231" s="587"/>
      <c r="AT231" s="587"/>
      <c r="AU231" s="587"/>
      <c r="AV231" s="587"/>
      <c r="AW231" s="587"/>
    </row>
    <row r="232" spans="1:49">
      <c r="A232" s="581">
        <v>16407</v>
      </c>
      <c r="B232" s="594">
        <v>3.7400000000000003E-2</v>
      </c>
      <c r="C232" s="577">
        <v>3.2399999999999998E-2</v>
      </c>
      <c r="D232" s="577">
        <v>2E-3</v>
      </c>
      <c r="E232" s="577">
        <v>2.2500000000000003E-3</v>
      </c>
      <c r="F232" s="577">
        <v>2.3E-3</v>
      </c>
      <c r="G232" s="577">
        <v>2.2749999999999997E-3</v>
      </c>
      <c r="H232" s="577">
        <v>2.4750000000000002E-3</v>
      </c>
      <c r="I232" s="577">
        <f t="shared" si="35"/>
        <v>3.5400000000000001E-2</v>
      </c>
      <c r="J232" s="577">
        <f t="shared" si="39"/>
        <v>3.5125000000000003E-2</v>
      </c>
      <c r="K232" s="577">
        <f t="shared" si="40"/>
        <v>2.9924999999999997E-2</v>
      </c>
      <c r="L232" s="585">
        <f t="shared" si="36"/>
        <v>0.1972990257267897</v>
      </c>
      <c r="M232" s="585">
        <f t="shared" si="37"/>
        <v>2.4E-2</v>
      </c>
      <c r="N232" s="585">
        <f t="shared" ref="N232:N295" si="41">G232*12</f>
        <v>2.7299999999999998E-2</v>
      </c>
      <c r="O232" s="586">
        <f t="shared" si="38"/>
        <v>0.17329902572678971</v>
      </c>
      <c r="P232" s="585">
        <f t="shared" ref="P232:P295" si="42">L232-N232</f>
        <v>0.16999902572678971</v>
      </c>
      <c r="Q232" s="585">
        <f t="shared" ref="Q232:Q295" si="43">((1+C221)*(1+C222)*(1+C223)*(1+C224)*(1+C225)*(1+C226)*(1+C227)*(1+C228)*(1+C229)*(1+C230)*(1+C231)*(1+C232))-1</f>
        <v>0.18042510318666793</v>
      </c>
      <c r="R232" s="585">
        <f t="shared" ref="R232:R295" si="44">H232*12</f>
        <v>2.9700000000000004E-2</v>
      </c>
      <c r="S232" s="586">
        <f t="shared" ref="S232:S295" si="45">Q232-R232</f>
        <v>0.15072510318666793</v>
      </c>
      <c r="U232" s="587"/>
      <c r="V232" s="587"/>
      <c r="W232" s="587"/>
      <c r="X232" s="587"/>
      <c r="Y232" s="587"/>
      <c r="Z232" s="587"/>
      <c r="AA232" s="587"/>
      <c r="AB232" s="587"/>
      <c r="AC232" s="587"/>
      <c r="AE232" s="587"/>
      <c r="AF232" s="587"/>
      <c r="AG232" s="587"/>
      <c r="AH232" s="587"/>
      <c r="AI232" s="587"/>
      <c r="AJ232" s="587"/>
      <c r="AK232" s="587"/>
      <c r="AL232" s="587"/>
      <c r="AM232" s="587"/>
      <c r="AO232" s="587"/>
      <c r="AP232" s="587"/>
      <c r="AQ232" s="587"/>
      <c r="AR232" s="587"/>
      <c r="AS232" s="587"/>
      <c r="AT232" s="587"/>
      <c r="AU232" s="587"/>
      <c r="AV232" s="587"/>
      <c r="AW232" s="587"/>
    </row>
    <row r="233" spans="1:49">
      <c r="A233" s="581">
        <v>16438</v>
      </c>
      <c r="B233" s="594">
        <v>1.5800000000000002E-2</v>
      </c>
      <c r="C233" s="577">
        <v>4.9699999999999994E-2</v>
      </c>
      <c r="D233" s="577">
        <v>2.0999999999999999E-3</v>
      </c>
      <c r="E233" s="577">
        <v>2.2416666666666665E-3</v>
      </c>
      <c r="F233" s="577">
        <v>2.3E-3</v>
      </c>
      <c r="G233" s="577">
        <v>2.270833333333333E-3</v>
      </c>
      <c r="H233" s="577">
        <v>2.4916666666666668E-3</v>
      </c>
      <c r="I233" s="577">
        <f t="shared" si="35"/>
        <v>1.3700000000000002E-2</v>
      </c>
      <c r="J233" s="577">
        <f t="shared" si="39"/>
        <v>1.3529166666666669E-2</v>
      </c>
      <c r="K233" s="577">
        <f t="shared" si="40"/>
        <v>4.7208333333333324E-2</v>
      </c>
      <c r="L233" s="585">
        <f t="shared" si="36"/>
        <v>0.19576870546974035</v>
      </c>
      <c r="M233" s="585">
        <f t="shared" si="37"/>
        <v>2.52E-2</v>
      </c>
      <c r="N233" s="585">
        <f t="shared" si="41"/>
        <v>2.7249999999999996E-2</v>
      </c>
      <c r="O233" s="586">
        <f t="shared" si="38"/>
        <v>0.17056870546974034</v>
      </c>
      <c r="P233" s="585">
        <f t="shared" si="42"/>
        <v>0.16851870546974035</v>
      </c>
      <c r="Q233" s="585">
        <f t="shared" si="43"/>
        <v>0.22609561727196237</v>
      </c>
      <c r="R233" s="585">
        <f t="shared" si="44"/>
        <v>2.9900000000000003E-2</v>
      </c>
      <c r="S233" s="586">
        <f t="shared" si="45"/>
        <v>0.19619561727196236</v>
      </c>
      <c r="U233" s="587"/>
      <c r="V233" s="587"/>
      <c r="W233" s="587"/>
      <c r="X233" s="587"/>
      <c r="Y233" s="587"/>
      <c r="Z233" s="587"/>
      <c r="AA233" s="587"/>
      <c r="AB233" s="587"/>
      <c r="AC233" s="587"/>
      <c r="AE233" s="587"/>
      <c r="AF233" s="587"/>
      <c r="AG233" s="587"/>
      <c r="AH233" s="587"/>
      <c r="AI233" s="587"/>
      <c r="AJ233" s="587"/>
      <c r="AK233" s="587"/>
      <c r="AL233" s="587"/>
      <c r="AM233" s="587"/>
      <c r="AO233" s="587"/>
      <c r="AP233" s="587"/>
      <c r="AQ233" s="587"/>
      <c r="AR233" s="587"/>
      <c r="AS233" s="587"/>
      <c r="AT233" s="587"/>
      <c r="AU233" s="587"/>
      <c r="AV233" s="587"/>
      <c r="AW233" s="587"/>
    </row>
    <row r="234" spans="1:49">
      <c r="A234" s="581">
        <v>16469</v>
      </c>
      <c r="B234" s="594">
        <v>6.83E-2</v>
      </c>
      <c r="C234" s="577">
        <v>6.9499999999999992E-2</v>
      </c>
      <c r="D234" s="577">
        <v>1.8E-3</v>
      </c>
      <c r="E234" s="577">
        <v>2.2083333333333334E-3</v>
      </c>
      <c r="F234" s="577">
        <v>2.2750000000000001E-3</v>
      </c>
      <c r="G234" s="577">
        <v>2.241666666666667E-3</v>
      </c>
      <c r="H234" s="577">
        <v>2.4833333333333331E-3</v>
      </c>
      <c r="I234" s="577">
        <f t="shared" si="35"/>
        <v>6.6500000000000004E-2</v>
      </c>
      <c r="J234" s="577">
        <f t="shared" si="39"/>
        <v>6.605833333333333E-2</v>
      </c>
      <c r="K234" s="577">
        <f t="shared" si="40"/>
        <v>6.7016666666666655E-2</v>
      </c>
      <c r="L234" s="585">
        <f t="shared" si="36"/>
        <v>0.27209690106883433</v>
      </c>
      <c r="M234" s="585">
        <f t="shared" si="37"/>
        <v>2.1600000000000001E-2</v>
      </c>
      <c r="N234" s="585">
        <f t="shared" si="41"/>
        <v>2.6900000000000004E-2</v>
      </c>
      <c r="O234" s="586">
        <f t="shared" si="38"/>
        <v>0.25049690106883432</v>
      </c>
      <c r="P234" s="585">
        <f t="shared" si="42"/>
        <v>0.24519690106883432</v>
      </c>
      <c r="Q234" s="585">
        <f t="shared" si="43"/>
        <v>0.28824959492323776</v>
      </c>
      <c r="R234" s="585">
        <f t="shared" si="44"/>
        <v>2.9799999999999997E-2</v>
      </c>
      <c r="S234" s="586">
        <f t="shared" si="45"/>
        <v>0.25844959492323777</v>
      </c>
      <c r="U234" s="587"/>
      <c r="V234" s="587"/>
      <c r="W234" s="587"/>
      <c r="X234" s="587"/>
      <c r="Y234" s="587"/>
      <c r="Z234" s="587"/>
      <c r="AA234" s="587"/>
      <c r="AB234" s="587"/>
      <c r="AC234" s="587"/>
      <c r="AE234" s="587"/>
      <c r="AF234" s="587"/>
      <c r="AG234" s="587"/>
      <c r="AH234" s="587"/>
      <c r="AI234" s="587"/>
      <c r="AJ234" s="587"/>
      <c r="AK234" s="587"/>
      <c r="AL234" s="587"/>
      <c r="AM234" s="587"/>
      <c r="AO234" s="587"/>
      <c r="AP234" s="587"/>
      <c r="AQ234" s="587"/>
      <c r="AR234" s="587"/>
      <c r="AS234" s="587"/>
      <c r="AT234" s="587"/>
      <c r="AU234" s="587"/>
      <c r="AV234" s="587"/>
      <c r="AW234" s="587"/>
    </row>
    <row r="235" spans="1:49">
      <c r="A235" s="581">
        <v>16497</v>
      </c>
      <c r="B235" s="594">
        <v>-4.41E-2</v>
      </c>
      <c r="C235" s="577">
        <v>-3.5699999999999996E-2</v>
      </c>
      <c r="D235" s="577">
        <v>2E-3</v>
      </c>
      <c r="E235" s="577">
        <v>2.1833333333333336E-3</v>
      </c>
      <c r="F235" s="577">
        <v>2.2666666666666668E-3</v>
      </c>
      <c r="G235" s="577">
        <v>2.2250000000000004E-3</v>
      </c>
      <c r="H235" s="577">
        <v>2.4750000000000002E-3</v>
      </c>
      <c r="I235" s="577">
        <f t="shared" si="35"/>
        <v>-4.6100000000000002E-2</v>
      </c>
      <c r="J235" s="577">
        <f t="shared" si="39"/>
        <v>-4.6324999999999998E-2</v>
      </c>
      <c r="K235" s="577">
        <f t="shared" si="40"/>
        <v>-3.8174999999999994E-2</v>
      </c>
      <c r="L235" s="585">
        <f t="shared" si="36"/>
        <v>0.19273901690210793</v>
      </c>
      <c r="M235" s="585">
        <f t="shared" si="37"/>
        <v>2.4E-2</v>
      </c>
      <c r="N235" s="585">
        <f t="shared" si="41"/>
        <v>2.6700000000000005E-2</v>
      </c>
      <c r="O235" s="586">
        <f t="shared" si="38"/>
        <v>0.16873901690210794</v>
      </c>
      <c r="P235" s="585">
        <f t="shared" si="42"/>
        <v>0.16603901690210793</v>
      </c>
      <c r="Q235" s="585">
        <f t="shared" si="43"/>
        <v>0.22947256966001439</v>
      </c>
      <c r="R235" s="585">
        <f t="shared" si="44"/>
        <v>2.9700000000000004E-2</v>
      </c>
      <c r="S235" s="586">
        <f t="shared" si="45"/>
        <v>0.19977256966001439</v>
      </c>
      <c r="U235" s="587"/>
      <c r="V235" s="587"/>
      <c r="W235" s="587"/>
      <c r="X235" s="587"/>
      <c r="Y235" s="587"/>
      <c r="Z235" s="587"/>
      <c r="AA235" s="587"/>
      <c r="AB235" s="587"/>
      <c r="AC235" s="587"/>
      <c r="AE235" s="587"/>
      <c r="AF235" s="587"/>
      <c r="AG235" s="587"/>
      <c r="AH235" s="587"/>
      <c r="AI235" s="587"/>
      <c r="AJ235" s="587"/>
      <c r="AK235" s="587"/>
      <c r="AL235" s="587"/>
      <c r="AM235" s="587"/>
      <c r="AO235" s="587"/>
      <c r="AP235" s="587"/>
      <c r="AQ235" s="587"/>
      <c r="AR235" s="587"/>
      <c r="AS235" s="587"/>
      <c r="AT235" s="587"/>
      <c r="AU235" s="587"/>
      <c r="AV235" s="587"/>
      <c r="AW235" s="587"/>
    </row>
    <row r="236" spans="1:49">
      <c r="A236" s="581">
        <v>16528</v>
      </c>
      <c r="B236" s="594">
        <v>9.0200000000000002E-2</v>
      </c>
      <c r="C236" s="577">
        <v>0.1066</v>
      </c>
      <c r="D236" s="577">
        <v>1.9E-3</v>
      </c>
      <c r="E236" s="577">
        <v>2.1749999999999999E-3</v>
      </c>
      <c r="F236" s="577">
        <v>2.2750000000000001E-3</v>
      </c>
      <c r="G236" s="577">
        <v>2.225E-3</v>
      </c>
      <c r="H236" s="577">
        <v>2.4583333333333336E-3</v>
      </c>
      <c r="I236" s="577">
        <f t="shared" si="35"/>
        <v>8.8300000000000003E-2</v>
      </c>
      <c r="J236" s="577">
        <f t="shared" si="39"/>
        <v>8.7974999999999998E-2</v>
      </c>
      <c r="K236" s="577">
        <f t="shared" si="40"/>
        <v>0.10414166666666666</v>
      </c>
      <c r="L236" s="585">
        <f t="shared" si="36"/>
        <v>0.3134586628552305</v>
      </c>
      <c r="M236" s="585">
        <f t="shared" si="37"/>
        <v>2.2800000000000001E-2</v>
      </c>
      <c r="N236" s="585">
        <f t="shared" si="41"/>
        <v>2.6700000000000002E-2</v>
      </c>
      <c r="O236" s="586">
        <f t="shared" si="38"/>
        <v>0.29065866285523051</v>
      </c>
      <c r="P236" s="585">
        <f t="shared" si="42"/>
        <v>0.2867586628552305</v>
      </c>
      <c r="Q236" s="585">
        <f t="shared" si="43"/>
        <v>0.37302890865452842</v>
      </c>
      <c r="R236" s="585">
        <f t="shared" si="44"/>
        <v>2.9500000000000005E-2</v>
      </c>
      <c r="S236" s="586">
        <f t="shared" si="45"/>
        <v>0.3435289086545284</v>
      </c>
      <c r="U236" s="587"/>
      <c r="V236" s="587"/>
      <c r="W236" s="587"/>
      <c r="X236" s="587"/>
      <c r="Y236" s="587"/>
      <c r="Z236" s="587"/>
      <c r="AA236" s="587"/>
      <c r="AB236" s="587"/>
      <c r="AC236" s="587"/>
      <c r="AE236" s="587"/>
      <c r="AF236" s="587"/>
      <c r="AG236" s="587"/>
      <c r="AH236" s="587"/>
      <c r="AI236" s="587"/>
      <c r="AJ236" s="587"/>
      <c r="AK236" s="587"/>
      <c r="AL236" s="587"/>
      <c r="AM236" s="587"/>
      <c r="AO236" s="587"/>
      <c r="AP236" s="587"/>
      <c r="AQ236" s="587"/>
      <c r="AR236" s="587"/>
      <c r="AS236" s="587"/>
      <c r="AT236" s="587"/>
      <c r="AU236" s="587"/>
      <c r="AV236" s="587"/>
      <c r="AW236" s="587"/>
    </row>
    <row r="237" spans="1:49">
      <c r="A237" s="581">
        <v>16558</v>
      </c>
      <c r="B237" s="594">
        <v>1.95E-2</v>
      </c>
      <c r="C237" s="577">
        <v>1.7100000000000001E-2</v>
      </c>
      <c r="D237" s="577">
        <v>1.9E-3</v>
      </c>
      <c r="E237" s="577">
        <v>2.1833333333333336E-3</v>
      </c>
      <c r="F237" s="577">
        <v>2.2666666666666668E-3</v>
      </c>
      <c r="G237" s="577">
        <v>2.2250000000000004E-3</v>
      </c>
      <c r="H237" s="577">
        <v>2.4333333333333334E-3</v>
      </c>
      <c r="I237" s="577">
        <f t="shared" si="35"/>
        <v>1.7600000000000001E-2</v>
      </c>
      <c r="J237" s="577">
        <f t="shared" si="39"/>
        <v>1.7274999999999999E-2</v>
      </c>
      <c r="K237" s="577">
        <f t="shared" si="40"/>
        <v>1.4666666666666668E-2</v>
      </c>
      <c r="L237" s="585">
        <f t="shared" si="36"/>
        <v>0.2746988165453661</v>
      </c>
      <c r="M237" s="585">
        <f t="shared" si="37"/>
        <v>2.2800000000000001E-2</v>
      </c>
      <c r="N237" s="585">
        <f t="shared" si="41"/>
        <v>2.6700000000000005E-2</v>
      </c>
      <c r="O237" s="586">
        <f t="shared" si="38"/>
        <v>0.25189881654536611</v>
      </c>
      <c r="P237" s="585">
        <f t="shared" si="42"/>
        <v>0.2479988165453661</v>
      </c>
      <c r="Q237" s="585">
        <f t="shared" si="43"/>
        <v>0.35570109988595311</v>
      </c>
      <c r="R237" s="585">
        <f t="shared" si="44"/>
        <v>2.92E-2</v>
      </c>
      <c r="S237" s="586">
        <f t="shared" si="45"/>
        <v>0.32650109988595311</v>
      </c>
      <c r="U237" s="587"/>
      <c r="V237" s="587"/>
      <c r="W237" s="587"/>
      <c r="X237" s="587"/>
      <c r="Y237" s="587"/>
      <c r="Z237" s="587"/>
      <c r="AA237" s="587"/>
      <c r="AB237" s="587"/>
      <c r="AC237" s="587"/>
      <c r="AE237" s="587"/>
      <c r="AF237" s="587"/>
      <c r="AG237" s="587"/>
      <c r="AH237" s="587"/>
      <c r="AI237" s="587"/>
      <c r="AJ237" s="587"/>
      <c r="AK237" s="587"/>
      <c r="AL237" s="587"/>
      <c r="AM237" s="587"/>
      <c r="AO237" s="587"/>
      <c r="AP237" s="587"/>
      <c r="AQ237" s="587"/>
      <c r="AR237" s="587"/>
      <c r="AS237" s="587"/>
      <c r="AT237" s="587"/>
      <c r="AU237" s="587"/>
      <c r="AV237" s="587"/>
      <c r="AW237" s="587"/>
    </row>
    <row r="238" spans="1:49">
      <c r="A238" s="581">
        <v>16589</v>
      </c>
      <c r="B238" s="594">
        <v>-6.9999999999999999E-4</v>
      </c>
      <c r="C238" s="577">
        <v>6.6199999999999995E-2</v>
      </c>
      <c r="D238" s="577">
        <v>1.9E-3</v>
      </c>
      <c r="E238" s="577">
        <v>2.1749999999999999E-3</v>
      </c>
      <c r="F238" s="577">
        <v>2.2416666666666665E-3</v>
      </c>
      <c r="G238" s="577">
        <v>2.2083333333333334E-3</v>
      </c>
      <c r="H238" s="577">
        <v>2.3916666666666665E-3</v>
      </c>
      <c r="I238" s="577">
        <f t="shared" si="35"/>
        <v>-2.5999999999999999E-3</v>
      </c>
      <c r="J238" s="577">
        <f t="shared" si="39"/>
        <v>-2.9083333333333335E-3</v>
      </c>
      <c r="K238" s="577">
        <f t="shared" si="40"/>
        <v>6.3808333333333328E-2</v>
      </c>
      <c r="L238" s="585">
        <f t="shared" si="36"/>
        <v>0.208201202099767</v>
      </c>
      <c r="M238" s="585">
        <f t="shared" si="37"/>
        <v>2.2800000000000001E-2</v>
      </c>
      <c r="N238" s="585">
        <f t="shared" si="41"/>
        <v>2.6500000000000003E-2</v>
      </c>
      <c r="O238" s="586">
        <f t="shared" si="38"/>
        <v>0.18540120209976702</v>
      </c>
      <c r="P238" s="585">
        <f t="shared" si="42"/>
        <v>0.18170120209976701</v>
      </c>
      <c r="Q238" s="585">
        <f t="shared" si="43"/>
        <v>0.37321728358199069</v>
      </c>
      <c r="R238" s="585">
        <f t="shared" si="44"/>
        <v>2.8699999999999996E-2</v>
      </c>
      <c r="S238" s="586">
        <f t="shared" si="45"/>
        <v>0.34451728358199069</v>
      </c>
      <c r="U238" s="587"/>
      <c r="V238" s="587"/>
      <c r="W238" s="587"/>
      <c r="X238" s="587"/>
      <c r="Y238" s="587"/>
      <c r="Z238" s="587"/>
      <c r="AA238" s="587"/>
      <c r="AB238" s="587"/>
      <c r="AC238" s="587"/>
      <c r="AE238" s="587"/>
      <c r="AF238" s="587"/>
      <c r="AG238" s="587"/>
      <c r="AH238" s="587"/>
      <c r="AI238" s="587"/>
      <c r="AJ238" s="587"/>
      <c r="AK238" s="587"/>
      <c r="AL238" s="587"/>
      <c r="AM238" s="587"/>
      <c r="AO238" s="587"/>
      <c r="AP238" s="587"/>
      <c r="AQ238" s="587"/>
      <c r="AR238" s="587"/>
      <c r="AS238" s="587"/>
      <c r="AT238" s="587"/>
      <c r="AU238" s="587"/>
      <c r="AV238" s="587"/>
      <c r="AW238" s="587"/>
    </row>
    <row r="239" spans="1:49">
      <c r="A239" s="581">
        <v>16619</v>
      </c>
      <c r="B239" s="594">
        <v>-1.7999999999999999E-2</v>
      </c>
      <c r="C239" s="577">
        <v>-5.0999999999999986E-3</v>
      </c>
      <c r="D239" s="577">
        <v>1.8E-3</v>
      </c>
      <c r="E239" s="577">
        <v>2.1666666666666666E-3</v>
      </c>
      <c r="F239" s="577">
        <v>2.2333333333333337E-3</v>
      </c>
      <c r="G239" s="577">
        <v>2.2000000000000001E-3</v>
      </c>
      <c r="H239" s="577">
        <v>2.3583333333333334E-3</v>
      </c>
      <c r="I239" s="577">
        <f t="shared" si="35"/>
        <v>-1.9799999999999998E-2</v>
      </c>
      <c r="J239" s="577">
        <f t="shared" si="39"/>
        <v>-2.0199999999999999E-2</v>
      </c>
      <c r="K239" s="577">
        <f t="shared" si="40"/>
        <v>-7.4583333333333324E-3</v>
      </c>
      <c r="L239" s="585">
        <f t="shared" si="36"/>
        <v>0.20980277400017511</v>
      </c>
      <c r="M239" s="585">
        <f t="shared" si="37"/>
        <v>2.1600000000000001E-2</v>
      </c>
      <c r="N239" s="585">
        <f t="shared" si="41"/>
        <v>2.64E-2</v>
      </c>
      <c r="O239" s="586">
        <f t="shared" si="38"/>
        <v>0.1882027740001751</v>
      </c>
      <c r="P239" s="585">
        <f t="shared" si="42"/>
        <v>0.1834027740001751</v>
      </c>
      <c r="Q239" s="585">
        <f t="shared" si="43"/>
        <v>0.36226331183141158</v>
      </c>
      <c r="R239" s="585">
        <f t="shared" si="44"/>
        <v>2.8299999999999999E-2</v>
      </c>
      <c r="S239" s="586">
        <f t="shared" si="45"/>
        <v>0.33396331183141159</v>
      </c>
      <c r="U239" s="587"/>
      <c r="V239" s="587"/>
      <c r="W239" s="587"/>
      <c r="X239" s="587"/>
      <c r="Y239" s="587"/>
      <c r="Z239" s="587"/>
      <c r="AA239" s="587"/>
      <c r="AB239" s="587"/>
      <c r="AC239" s="587"/>
      <c r="AE239" s="587"/>
      <c r="AF239" s="587"/>
      <c r="AG239" s="587"/>
      <c r="AH239" s="587"/>
      <c r="AI239" s="587"/>
      <c r="AJ239" s="587"/>
      <c r="AK239" s="587"/>
      <c r="AL239" s="587"/>
      <c r="AM239" s="587"/>
      <c r="AO239" s="587"/>
      <c r="AP239" s="587"/>
      <c r="AQ239" s="587"/>
      <c r="AR239" s="587"/>
      <c r="AS239" s="587"/>
      <c r="AT239" s="587"/>
      <c r="AU239" s="587"/>
      <c r="AV239" s="587"/>
      <c r="AW239" s="587"/>
    </row>
    <row r="240" spans="1:49">
      <c r="A240" s="581">
        <v>16650</v>
      </c>
      <c r="B240" s="594">
        <v>6.4100000000000004E-2</v>
      </c>
      <c r="C240" s="577">
        <v>3.0999999999999999E-3</v>
      </c>
      <c r="D240" s="577">
        <v>1.9E-3</v>
      </c>
      <c r="E240" s="577">
        <v>2.1749999999999999E-3</v>
      </c>
      <c r="F240" s="577">
        <v>2.2500000000000003E-3</v>
      </c>
      <c r="G240" s="577">
        <v>2.2125000000000001E-3</v>
      </c>
      <c r="H240" s="577">
        <v>2.3333333333333335E-3</v>
      </c>
      <c r="I240" s="577">
        <f t="shared" si="35"/>
        <v>6.2200000000000005E-2</v>
      </c>
      <c r="J240" s="577">
        <f t="shared" si="39"/>
        <v>6.1887500000000005E-2</v>
      </c>
      <c r="K240" s="577">
        <f t="shared" si="40"/>
        <v>7.6666666666666636E-4</v>
      </c>
      <c r="L240" s="585">
        <f t="shared" si="36"/>
        <v>0.26745213332045448</v>
      </c>
      <c r="M240" s="585">
        <f t="shared" si="37"/>
        <v>2.2800000000000001E-2</v>
      </c>
      <c r="N240" s="585">
        <f t="shared" si="41"/>
        <v>2.6550000000000001E-2</v>
      </c>
      <c r="O240" s="586">
        <f t="shared" si="38"/>
        <v>0.24465213332045449</v>
      </c>
      <c r="P240" s="585">
        <f t="shared" si="42"/>
        <v>0.24090213332045449</v>
      </c>
      <c r="Q240" s="585">
        <f t="shared" si="43"/>
        <v>0.31938430829206244</v>
      </c>
      <c r="R240" s="585">
        <f t="shared" si="44"/>
        <v>2.8000000000000004E-2</v>
      </c>
      <c r="S240" s="586">
        <f t="shared" si="45"/>
        <v>0.29138430829206241</v>
      </c>
      <c r="U240" s="587"/>
      <c r="V240" s="587"/>
      <c r="W240" s="587"/>
      <c r="X240" s="587"/>
      <c r="Y240" s="587"/>
      <c r="Z240" s="587"/>
      <c r="AA240" s="587"/>
      <c r="AB240" s="587"/>
      <c r="AC240" s="587"/>
      <c r="AE240" s="587"/>
      <c r="AF240" s="587"/>
      <c r="AG240" s="587"/>
      <c r="AH240" s="587"/>
      <c r="AI240" s="587"/>
      <c r="AJ240" s="587"/>
      <c r="AK240" s="587"/>
      <c r="AL240" s="587"/>
      <c r="AM240" s="587"/>
      <c r="AO240" s="587"/>
      <c r="AP240" s="587"/>
      <c r="AQ240" s="587"/>
      <c r="AR240" s="587"/>
      <c r="AS240" s="587"/>
      <c r="AT240" s="587"/>
      <c r="AU240" s="587"/>
      <c r="AV240" s="587"/>
      <c r="AW240" s="587"/>
    </row>
    <row r="241" spans="1:49">
      <c r="A241" s="581">
        <v>16681</v>
      </c>
      <c r="B241" s="594">
        <v>4.3799999999999999E-2</v>
      </c>
      <c r="C241" s="577">
        <v>7.3900000000000007E-2</v>
      </c>
      <c r="D241" s="577">
        <v>1.8E-3</v>
      </c>
      <c r="E241" s="577">
        <v>2.1833333333333336E-3</v>
      </c>
      <c r="F241" s="577">
        <v>2.2500000000000003E-3</v>
      </c>
      <c r="G241" s="577">
        <v>2.2166666666666667E-3</v>
      </c>
      <c r="H241" s="577">
        <v>2.3250000000000002E-3</v>
      </c>
      <c r="I241" s="577">
        <f t="shared" si="35"/>
        <v>4.1999999999999996E-2</v>
      </c>
      <c r="J241" s="577">
        <f t="shared" si="39"/>
        <v>4.1583333333333333E-2</v>
      </c>
      <c r="K241" s="577">
        <f t="shared" si="40"/>
        <v>7.1575000000000014E-2</v>
      </c>
      <c r="L241" s="585">
        <f t="shared" si="36"/>
        <v>0.32402575736578365</v>
      </c>
      <c r="M241" s="585">
        <f t="shared" si="37"/>
        <v>2.1600000000000001E-2</v>
      </c>
      <c r="N241" s="585">
        <f t="shared" si="41"/>
        <v>2.6599999999999999E-2</v>
      </c>
      <c r="O241" s="586">
        <f t="shared" si="38"/>
        <v>0.30242575736578364</v>
      </c>
      <c r="P241" s="585">
        <f t="shared" si="42"/>
        <v>0.29742575736578364</v>
      </c>
      <c r="Q241" s="585">
        <f t="shared" si="43"/>
        <v>0.4384637651521277</v>
      </c>
      <c r="R241" s="585">
        <f t="shared" si="44"/>
        <v>2.7900000000000001E-2</v>
      </c>
      <c r="S241" s="586">
        <f t="shared" si="45"/>
        <v>0.41056376515212772</v>
      </c>
      <c r="U241" s="587"/>
      <c r="V241" s="587"/>
      <c r="W241" s="587"/>
      <c r="X241" s="587"/>
      <c r="Y241" s="587"/>
      <c r="Z241" s="587"/>
      <c r="AA241" s="587"/>
      <c r="AB241" s="587"/>
      <c r="AC241" s="587"/>
      <c r="AE241" s="587"/>
      <c r="AF241" s="587"/>
      <c r="AG241" s="587"/>
      <c r="AH241" s="587"/>
      <c r="AI241" s="587"/>
      <c r="AJ241" s="587"/>
      <c r="AK241" s="587"/>
      <c r="AL241" s="587"/>
      <c r="AM241" s="587"/>
      <c r="AO241" s="587"/>
      <c r="AP241" s="587"/>
      <c r="AQ241" s="587"/>
      <c r="AR241" s="587"/>
      <c r="AS241" s="587"/>
      <c r="AT241" s="587"/>
      <c r="AU241" s="587"/>
      <c r="AV241" s="587"/>
      <c r="AW241" s="587"/>
    </row>
    <row r="242" spans="1:49">
      <c r="A242" s="581">
        <v>16711</v>
      </c>
      <c r="B242" s="594">
        <v>3.2199999999999999E-2</v>
      </c>
      <c r="C242" s="577">
        <v>6.4100000000000004E-2</v>
      </c>
      <c r="D242" s="577">
        <v>1.9E-3</v>
      </c>
      <c r="E242" s="577">
        <v>2.1833333333333336E-3</v>
      </c>
      <c r="F242" s="577">
        <v>2.2500000000000003E-3</v>
      </c>
      <c r="G242" s="577">
        <v>2.2166666666666667E-3</v>
      </c>
      <c r="H242" s="577">
        <v>2.3250000000000002E-3</v>
      </c>
      <c r="I242" s="577">
        <f t="shared" si="35"/>
        <v>3.0300000000000001E-2</v>
      </c>
      <c r="J242" s="577">
        <f t="shared" si="39"/>
        <v>2.9983333333333334E-2</v>
      </c>
      <c r="K242" s="577">
        <f t="shared" si="40"/>
        <v>6.1775000000000004E-2</v>
      </c>
      <c r="L242" s="585">
        <f t="shared" si="36"/>
        <v>0.36352328320159777</v>
      </c>
      <c r="M242" s="585">
        <f t="shared" si="37"/>
        <v>2.2800000000000001E-2</v>
      </c>
      <c r="N242" s="585">
        <f t="shared" si="41"/>
        <v>2.6599999999999999E-2</v>
      </c>
      <c r="O242" s="586">
        <f t="shared" si="38"/>
        <v>0.34072328320159778</v>
      </c>
      <c r="P242" s="585">
        <f t="shared" si="42"/>
        <v>0.33692328320159776</v>
      </c>
      <c r="Q242" s="585">
        <f t="shared" si="43"/>
        <v>0.50968467550880714</v>
      </c>
      <c r="R242" s="585">
        <f t="shared" si="44"/>
        <v>2.7900000000000001E-2</v>
      </c>
      <c r="S242" s="586">
        <f t="shared" si="45"/>
        <v>0.48178467550880716</v>
      </c>
      <c r="U242" s="587"/>
      <c r="V242" s="587"/>
      <c r="W242" s="587"/>
      <c r="X242" s="587"/>
      <c r="Y242" s="587"/>
      <c r="Z242" s="587"/>
      <c r="AA242" s="587"/>
      <c r="AB242" s="587"/>
      <c r="AC242" s="587"/>
      <c r="AE242" s="587"/>
      <c r="AF242" s="587"/>
      <c r="AG242" s="587"/>
      <c r="AH242" s="587"/>
      <c r="AI242" s="587"/>
      <c r="AJ242" s="587"/>
      <c r="AK242" s="587"/>
      <c r="AL242" s="587"/>
      <c r="AM242" s="587"/>
      <c r="AO242" s="587"/>
      <c r="AP242" s="587"/>
      <c r="AQ242" s="587"/>
      <c r="AR242" s="587"/>
      <c r="AS242" s="587"/>
      <c r="AT242" s="587"/>
      <c r="AU242" s="587"/>
      <c r="AV242" s="587"/>
      <c r="AW242" s="587"/>
    </row>
    <row r="243" spans="1:49">
      <c r="A243" s="581">
        <v>16742</v>
      </c>
      <c r="B243" s="594">
        <v>3.9600000000000003E-2</v>
      </c>
      <c r="C243" s="577">
        <v>4.7100000000000003E-2</v>
      </c>
      <c r="D243" s="577">
        <v>1.8E-3</v>
      </c>
      <c r="E243" s="577">
        <v>2.1833333333333336E-3</v>
      </c>
      <c r="F243" s="577">
        <v>2.2333333333333337E-3</v>
      </c>
      <c r="G243" s="577">
        <v>2.2083333333333334E-3</v>
      </c>
      <c r="H243" s="577">
        <v>2.3083333333333332E-3</v>
      </c>
      <c r="I243" s="577">
        <f t="shared" si="35"/>
        <v>3.78E-2</v>
      </c>
      <c r="J243" s="577">
        <f t="shared" si="39"/>
        <v>3.739166666666667E-2</v>
      </c>
      <c r="K243" s="577">
        <f t="shared" si="40"/>
        <v>4.4791666666666667E-2</v>
      </c>
      <c r="L243" s="585">
        <f t="shared" si="36"/>
        <v>0.39891325887336615</v>
      </c>
      <c r="M243" s="585">
        <f t="shared" si="37"/>
        <v>2.1600000000000001E-2</v>
      </c>
      <c r="N243" s="585">
        <f t="shared" si="41"/>
        <v>2.6500000000000003E-2</v>
      </c>
      <c r="O243" s="586">
        <f t="shared" si="38"/>
        <v>0.37731325887336614</v>
      </c>
      <c r="P243" s="585">
        <f t="shared" si="42"/>
        <v>0.37241325887336613</v>
      </c>
      <c r="Q243" s="585">
        <f t="shared" si="43"/>
        <v>0.60161177682398304</v>
      </c>
      <c r="R243" s="585">
        <f t="shared" si="44"/>
        <v>2.7699999999999999E-2</v>
      </c>
      <c r="S243" s="586">
        <f t="shared" si="45"/>
        <v>0.57391177682398309</v>
      </c>
      <c r="U243" s="587"/>
      <c r="V243" s="587"/>
      <c r="W243" s="587"/>
      <c r="X243" s="587"/>
      <c r="Y243" s="587"/>
      <c r="Z243" s="587"/>
      <c r="AA243" s="587"/>
      <c r="AB243" s="587"/>
      <c r="AC243" s="587"/>
      <c r="AE243" s="587"/>
      <c r="AF243" s="587"/>
      <c r="AG243" s="587"/>
      <c r="AH243" s="587"/>
      <c r="AI243" s="587"/>
      <c r="AJ243" s="587"/>
      <c r="AK243" s="587"/>
      <c r="AL243" s="587"/>
      <c r="AM243" s="587"/>
      <c r="AO243" s="587"/>
      <c r="AP243" s="587"/>
      <c r="AQ243" s="587"/>
      <c r="AR243" s="587"/>
      <c r="AS243" s="587"/>
      <c r="AT243" s="587"/>
      <c r="AU243" s="587"/>
      <c r="AV243" s="587"/>
      <c r="AW243" s="587"/>
    </row>
    <row r="244" spans="1:49">
      <c r="A244" s="581">
        <v>16772</v>
      </c>
      <c r="B244" s="594">
        <v>1.1599999999999999E-2</v>
      </c>
      <c r="C244" s="577">
        <v>-1.1699999999999999E-2</v>
      </c>
      <c r="D244" s="577">
        <v>1.8E-3</v>
      </c>
      <c r="E244" s="577">
        <v>2.1749999999999999E-3</v>
      </c>
      <c r="F244" s="577">
        <v>2.2333333333333337E-3</v>
      </c>
      <c r="G244" s="577">
        <v>2.2041666666666668E-3</v>
      </c>
      <c r="H244" s="577">
        <v>2.2916666666666667E-3</v>
      </c>
      <c r="I244" s="577">
        <f t="shared" si="35"/>
        <v>9.7999999999999997E-3</v>
      </c>
      <c r="J244" s="577">
        <f t="shared" si="39"/>
        <v>9.3958333333333324E-3</v>
      </c>
      <c r="K244" s="577">
        <f t="shared" si="40"/>
        <v>-1.3991666666666666E-2</v>
      </c>
      <c r="L244" s="585">
        <f t="shared" si="36"/>
        <v>0.36412247221543881</v>
      </c>
      <c r="M244" s="585">
        <f t="shared" si="37"/>
        <v>2.1600000000000001E-2</v>
      </c>
      <c r="N244" s="585">
        <f t="shared" si="41"/>
        <v>2.6450000000000001E-2</v>
      </c>
      <c r="O244" s="586">
        <f t="shared" si="38"/>
        <v>0.3425224722154388</v>
      </c>
      <c r="P244" s="585">
        <f t="shared" si="42"/>
        <v>0.33767247221543883</v>
      </c>
      <c r="Q244" s="585">
        <f t="shared" si="43"/>
        <v>0.53319732568301315</v>
      </c>
      <c r="R244" s="585">
        <f t="shared" si="44"/>
        <v>2.75E-2</v>
      </c>
      <c r="S244" s="586">
        <f t="shared" si="45"/>
        <v>0.50569732568301318</v>
      </c>
      <c r="U244" s="587"/>
      <c r="V244" s="587"/>
      <c r="W244" s="587"/>
      <c r="X244" s="587"/>
      <c r="Y244" s="587"/>
      <c r="Z244" s="587"/>
      <c r="AA244" s="587"/>
      <c r="AB244" s="587"/>
      <c r="AC244" s="587"/>
      <c r="AE244" s="587"/>
      <c r="AF244" s="587"/>
      <c r="AG244" s="587"/>
      <c r="AH244" s="587"/>
      <c r="AI244" s="587"/>
      <c r="AJ244" s="587"/>
      <c r="AK244" s="587"/>
      <c r="AL244" s="587"/>
      <c r="AM244" s="587"/>
      <c r="AO244" s="587"/>
      <c r="AP244" s="587"/>
      <c r="AQ244" s="587"/>
      <c r="AR244" s="587"/>
      <c r="AS244" s="587"/>
      <c r="AT244" s="587"/>
      <c r="AU244" s="587"/>
      <c r="AV244" s="587"/>
      <c r="AW244" s="587"/>
    </row>
    <row r="245" spans="1:49">
      <c r="A245" s="581">
        <v>16803</v>
      </c>
      <c r="B245" s="594">
        <v>7.1400000000000005E-2</v>
      </c>
      <c r="C245" s="577">
        <v>0.11989999999999998</v>
      </c>
      <c r="D245" s="577">
        <v>1.6999999999999999E-3</v>
      </c>
      <c r="E245" s="577">
        <v>2.1166666666666669E-3</v>
      </c>
      <c r="F245" s="577">
        <v>2.1833333333333336E-3</v>
      </c>
      <c r="G245" s="577">
        <v>2.1500000000000004E-3</v>
      </c>
      <c r="H245" s="577">
        <v>2.2416666666666665E-3</v>
      </c>
      <c r="I245" s="577">
        <f t="shared" si="35"/>
        <v>6.9700000000000012E-2</v>
      </c>
      <c r="J245" s="577">
        <f t="shared" si="39"/>
        <v>6.9250000000000006E-2</v>
      </c>
      <c r="K245" s="577">
        <f t="shared" si="40"/>
        <v>0.11765833333333331</v>
      </c>
      <c r="L245" s="585">
        <f t="shared" si="36"/>
        <v>0.43878796685530763</v>
      </c>
      <c r="M245" s="585">
        <f t="shared" si="37"/>
        <v>2.0399999999999998E-2</v>
      </c>
      <c r="N245" s="585">
        <f t="shared" si="41"/>
        <v>2.5800000000000003E-2</v>
      </c>
      <c r="O245" s="586">
        <f t="shared" si="38"/>
        <v>0.41838796685530766</v>
      </c>
      <c r="P245" s="585">
        <f t="shared" si="42"/>
        <v>0.41298796685530764</v>
      </c>
      <c r="Q245" s="585">
        <f t="shared" si="43"/>
        <v>0.63573181388244837</v>
      </c>
      <c r="R245" s="585">
        <f t="shared" si="44"/>
        <v>2.69E-2</v>
      </c>
      <c r="S245" s="586">
        <f t="shared" si="45"/>
        <v>0.60883181388244834</v>
      </c>
      <c r="U245" s="587"/>
      <c r="V245" s="587"/>
      <c r="W245" s="587"/>
      <c r="X245" s="587"/>
      <c r="Y245" s="587"/>
      <c r="Z245" s="587"/>
      <c r="AA245" s="587"/>
      <c r="AB245" s="587"/>
      <c r="AC245" s="587"/>
      <c r="AE245" s="587"/>
      <c r="AF245" s="587"/>
      <c r="AG245" s="587"/>
      <c r="AH245" s="587"/>
      <c r="AI245" s="587"/>
      <c r="AJ245" s="587"/>
      <c r="AK245" s="587"/>
      <c r="AL245" s="587"/>
      <c r="AM245" s="587"/>
      <c r="AO245" s="587"/>
      <c r="AP245" s="587"/>
      <c r="AQ245" s="587"/>
      <c r="AR245" s="587"/>
      <c r="AS245" s="587"/>
      <c r="AT245" s="587"/>
      <c r="AU245" s="587"/>
      <c r="AV245" s="587"/>
      <c r="AW245" s="587"/>
    </row>
    <row r="246" spans="1:49">
      <c r="A246" s="581">
        <v>16834</v>
      </c>
      <c r="B246" s="594">
        <v>-6.4100000000000004E-2</v>
      </c>
      <c r="C246" s="577">
        <v>-6.4000000000000001E-2</v>
      </c>
      <c r="D246" s="577">
        <v>1.5E-3</v>
      </c>
      <c r="E246" s="577">
        <v>2.0666666666666667E-3</v>
      </c>
      <c r="F246" s="577">
        <v>2.1333333333333334E-3</v>
      </c>
      <c r="G246" s="577">
        <v>2.1000000000000003E-3</v>
      </c>
      <c r="H246" s="577">
        <v>2.225E-3</v>
      </c>
      <c r="I246" s="577">
        <f t="shared" si="35"/>
        <v>-6.5600000000000006E-2</v>
      </c>
      <c r="J246" s="577">
        <f t="shared" si="39"/>
        <v>-6.6200000000000009E-2</v>
      </c>
      <c r="K246" s="577">
        <f t="shared" si="40"/>
        <v>-6.6225000000000006E-2</v>
      </c>
      <c r="L246" s="585">
        <f t="shared" si="36"/>
        <v>0.26047145762415269</v>
      </c>
      <c r="M246" s="585">
        <f t="shared" si="37"/>
        <v>1.8000000000000002E-2</v>
      </c>
      <c r="N246" s="585">
        <f t="shared" si="41"/>
        <v>2.5200000000000004E-2</v>
      </c>
      <c r="O246" s="586">
        <f t="shared" si="38"/>
        <v>0.24247145762415268</v>
      </c>
      <c r="P246" s="585">
        <f t="shared" si="42"/>
        <v>0.23527145762415269</v>
      </c>
      <c r="Q246" s="585">
        <f t="shared" si="43"/>
        <v>0.43155210639922537</v>
      </c>
      <c r="R246" s="585">
        <f t="shared" si="44"/>
        <v>2.6700000000000002E-2</v>
      </c>
      <c r="S246" s="586">
        <f t="shared" si="45"/>
        <v>0.40485210639922536</v>
      </c>
      <c r="U246" s="587"/>
      <c r="V246" s="587"/>
      <c r="W246" s="587"/>
      <c r="X246" s="587"/>
      <c r="Y246" s="587"/>
      <c r="Z246" s="587"/>
      <c r="AA246" s="587"/>
      <c r="AB246" s="587"/>
      <c r="AC246" s="587"/>
      <c r="AE246" s="587"/>
      <c r="AF246" s="587"/>
      <c r="AG246" s="587"/>
      <c r="AH246" s="587"/>
      <c r="AI246" s="587"/>
      <c r="AJ246" s="587"/>
      <c r="AK246" s="587"/>
      <c r="AL246" s="587"/>
      <c r="AM246" s="587"/>
      <c r="AO246" s="587"/>
      <c r="AP246" s="587"/>
      <c r="AQ246" s="587"/>
      <c r="AR246" s="587"/>
      <c r="AS246" s="587"/>
      <c r="AT246" s="587"/>
      <c r="AU246" s="587"/>
      <c r="AV246" s="587"/>
      <c r="AW246" s="587"/>
    </row>
    <row r="247" spans="1:49">
      <c r="A247" s="581">
        <v>16862</v>
      </c>
      <c r="B247" s="594">
        <v>4.8000000000000001E-2</v>
      </c>
      <c r="C247" s="577">
        <v>6.3100000000000003E-2</v>
      </c>
      <c r="D247" s="577">
        <v>1.6000000000000001E-3</v>
      </c>
      <c r="E247" s="577">
        <v>2.0583333333333335E-3</v>
      </c>
      <c r="F247" s="577">
        <v>2.1166666666666669E-3</v>
      </c>
      <c r="G247" s="577">
        <v>2.0874999999999999E-3</v>
      </c>
      <c r="H247" s="577">
        <v>2.2166666666666667E-3</v>
      </c>
      <c r="I247" s="577">
        <f t="shared" si="35"/>
        <v>4.6400000000000004E-2</v>
      </c>
      <c r="J247" s="577">
        <f t="shared" si="39"/>
        <v>4.5912500000000002E-2</v>
      </c>
      <c r="K247" s="577">
        <f t="shared" si="40"/>
        <v>6.0883333333333338E-2</v>
      </c>
      <c r="L247" s="585">
        <f t="shared" si="36"/>
        <v>0.38191661009531486</v>
      </c>
      <c r="M247" s="585">
        <f t="shared" si="37"/>
        <v>1.9200000000000002E-2</v>
      </c>
      <c r="N247" s="585">
        <f t="shared" si="41"/>
        <v>2.5049999999999999E-2</v>
      </c>
      <c r="O247" s="586">
        <f t="shared" si="38"/>
        <v>0.36271661009531486</v>
      </c>
      <c r="P247" s="585">
        <f t="shared" si="42"/>
        <v>0.35686661009531484</v>
      </c>
      <c r="Q247" s="585">
        <f t="shared" si="43"/>
        <v>0.57822570186976718</v>
      </c>
      <c r="R247" s="585">
        <f t="shared" si="44"/>
        <v>2.6599999999999999E-2</v>
      </c>
      <c r="S247" s="586">
        <f t="shared" si="45"/>
        <v>0.55162570186976723</v>
      </c>
      <c r="U247" s="587"/>
      <c r="V247" s="587"/>
      <c r="W247" s="587"/>
      <c r="X247" s="587"/>
      <c r="Y247" s="587"/>
      <c r="Z247" s="587"/>
      <c r="AA247" s="587"/>
      <c r="AB247" s="587"/>
      <c r="AC247" s="587"/>
      <c r="AE247" s="587"/>
      <c r="AF247" s="587"/>
      <c r="AG247" s="587"/>
      <c r="AH247" s="587"/>
      <c r="AI247" s="587"/>
      <c r="AJ247" s="587"/>
      <c r="AK247" s="587"/>
      <c r="AL247" s="587"/>
      <c r="AM247" s="587"/>
      <c r="AO247" s="587"/>
      <c r="AP247" s="587"/>
      <c r="AQ247" s="587"/>
      <c r="AR247" s="587"/>
      <c r="AS247" s="587"/>
      <c r="AT247" s="587"/>
      <c r="AU247" s="587"/>
      <c r="AV247" s="587"/>
      <c r="AW247" s="587"/>
    </row>
    <row r="248" spans="1:49">
      <c r="A248" s="581">
        <v>16893</v>
      </c>
      <c r="B248" s="594">
        <v>3.9300000000000002E-2</v>
      </c>
      <c r="C248" s="577">
        <v>3.3800000000000004E-2</v>
      </c>
      <c r="D248" s="577">
        <v>1.6999999999999999E-3</v>
      </c>
      <c r="E248" s="577">
        <v>2.0499999999999997E-3</v>
      </c>
      <c r="F248" s="577">
        <v>2.1333333333333334E-3</v>
      </c>
      <c r="G248" s="577">
        <v>2.0916666666666666E-3</v>
      </c>
      <c r="H248" s="577">
        <v>2.2083333333333334E-3</v>
      </c>
      <c r="I248" s="577">
        <f t="shared" si="35"/>
        <v>3.7600000000000001E-2</v>
      </c>
      <c r="J248" s="577">
        <f t="shared" si="39"/>
        <v>3.7208333333333336E-2</v>
      </c>
      <c r="K248" s="577">
        <f t="shared" si="40"/>
        <v>3.1591666666666671E-2</v>
      </c>
      <c r="L248" s="585">
        <f t="shared" si="36"/>
        <v>0.31739674635118398</v>
      </c>
      <c r="M248" s="585">
        <f t="shared" si="37"/>
        <v>2.0399999999999998E-2</v>
      </c>
      <c r="N248" s="585">
        <f t="shared" si="41"/>
        <v>2.5099999999999997E-2</v>
      </c>
      <c r="O248" s="586">
        <f t="shared" si="38"/>
        <v>0.296996746351184</v>
      </c>
      <c r="P248" s="585">
        <f t="shared" si="42"/>
        <v>0.29229674635118397</v>
      </c>
      <c r="Q248" s="585">
        <f t="shared" si="43"/>
        <v>0.47439881672959117</v>
      </c>
      <c r="R248" s="585">
        <f t="shared" si="44"/>
        <v>2.6500000000000003E-2</v>
      </c>
      <c r="S248" s="586">
        <f t="shared" si="45"/>
        <v>0.44789881672959114</v>
      </c>
      <c r="U248" s="587"/>
      <c r="V248" s="587"/>
      <c r="W248" s="587"/>
      <c r="X248" s="587"/>
      <c r="Y248" s="587"/>
      <c r="Z248" s="587"/>
      <c r="AA248" s="587"/>
      <c r="AB248" s="587"/>
      <c r="AC248" s="587"/>
      <c r="AE248" s="587"/>
      <c r="AF248" s="587"/>
      <c r="AG248" s="587"/>
      <c r="AH248" s="587"/>
      <c r="AI248" s="587"/>
      <c r="AJ248" s="587"/>
      <c r="AK248" s="587"/>
      <c r="AL248" s="587"/>
      <c r="AM248" s="587"/>
      <c r="AO248" s="587"/>
      <c r="AP248" s="587"/>
      <c r="AQ248" s="587"/>
      <c r="AR248" s="587"/>
      <c r="AS248" s="587"/>
      <c r="AT248" s="587"/>
      <c r="AU248" s="587"/>
      <c r="AV248" s="587"/>
      <c r="AW248" s="587"/>
    </row>
    <row r="249" spans="1:49">
      <c r="A249" s="581">
        <v>16923</v>
      </c>
      <c r="B249" s="594">
        <v>2.8799999999999999E-2</v>
      </c>
      <c r="C249" s="577">
        <v>3.0099999999999998E-2</v>
      </c>
      <c r="D249" s="577">
        <v>1.8E-3</v>
      </c>
      <c r="E249" s="577">
        <v>2.0916666666666666E-3</v>
      </c>
      <c r="F249" s="577">
        <v>2.15E-3</v>
      </c>
      <c r="G249" s="577">
        <v>2.1208333333333331E-3</v>
      </c>
      <c r="H249" s="577">
        <v>2.2416666666666665E-3</v>
      </c>
      <c r="I249" s="577">
        <f t="shared" si="35"/>
        <v>2.7E-2</v>
      </c>
      <c r="J249" s="577">
        <f t="shared" si="39"/>
        <v>2.6679166666666667E-2</v>
      </c>
      <c r="K249" s="577">
        <f t="shared" si="40"/>
        <v>2.7858333333333332E-2</v>
      </c>
      <c r="L249" s="585">
        <f t="shared" si="36"/>
        <v>0.32941419582746256</v>
      </c>
      <c r="M249" s="585">
        <f t="shared" si="37"/>
        <v>2.1600000000000001E-2</v>
      </c>
      <c r="N249" s="585">
        <f t="shared" si="41"/>
        <v>2.5449999999999997E-2</v>
      </c>
      <c r="O249" s="586">
        <f t="shared" si="38"/>
        <v>0.30781419582746256</v>
      </c>
      <c r="P249" s="585">
        <f t="shared" si="42"/>
        <v>0.30396419582746259</v>
      </c>
      <c r="Q249" s="585">
        <f t="shared" si="43"/>
        <v>0.49324375293791389</v>
      </c>
      <c r="R249" s="585">
        <f t="shared" si="44"/>
        <v>2.69E-2</v>
      </c>
      <c r="S249" s="586">
        <f t="shared" si="45"/>
        <v>0.46634375293791391</v>
      </c>
      <c r="U249" s="587"/>
      <c r="V249" s="587"/>
      <c r="W249" s="587"/>
      <c r="X249" s="587"/>
      <c r="Y249" s="587"/>
      <c r="Z249" s="587"/>
      <c r="AA249" s="587"/>
      <c r="AB249" s="587"/>
      <c r="AC249" s="587"/>
      <c r="AE249" s="587"/>
      <c r="AF249" s="587"/>
      <c r="AG249" s="587"/>
      <c r="AH249" s="587"/>
      <c r="AI249" s="587"/>
      <c r="AJ249" s="587"/>
      <c r="AK249" s="587"/>
      <c r="AL249" s="587"/>
      <c r="AM249" s="587"/>
      <c r="AO249" s="587"/>
      <c r="AP249" s="587"/>
      <c r="AQ249" s="587"/>
      <c r="AR249" s="587"/>
      <c r="AS249" s="587"/>
      <c r="AT249" s="587"/>
      <c r="AU249" s="587"/>
      <c r="AV249" s="587"/>
      <c r="AW249" s="587"/>
    </row>
    <row r="250" spans="1:49">
      <c r="A250" s="581">
        <v>16954</v>
      </c>
      <c r="B250" s="594">
        <v>-3.6999999999999998E-2</v>
      </c>
      <c r="C250" s="577">
        <v>-2.76E-2</v>
      </c>
      <c r="D250" s="577">
        <v>1.6000000000000001E-3</v>
      </c>
      <c r="E250" s="577">
        <v>2.075E-3</v>
      </c>
      <c r="F250" s="577">
        <v>2.1583333333333333E-3</v>
      </c>
      <c r="G250" s="577">
        <v>2.1166666666666669E-3</v>
      </c>
      <c r="H250" s="577">
        <v>2.2500000000000003E-3</v>
      </c>
      <c r="I250" s="577">
        <f t="shared" si="35"/>
        <v>-3.8599999999999995E-2</v>
      </c>
      <c r="J250" s="577">
        <f t="shared" si="39"/>
        <v>-3.9116666666666668E-2</v>
      </c>
      <c r="K250" s="577">
        <f t="shared" si="40"/>
        <v>-2.9850000000000002E-2</v>
      </c>
      <c r="L250" s="585">
        <f t="shared" si="36"/>
        <v>0.28112265644135559</v>
      </c>
      <c r="M250" s="585">
        <f t="shared" si="37"/>
        <v>1.9200000000000002E-2</v>
      </c>
      <c r="N250" s="585">
        <f t="shared" si="41"/>
        <v>2.5400000000000002E-2</v>
      </c>
      <c r="O250" s="586">
        <f t="shared" si="38"/>
        <v>0.26192265644135559</v>
      </c>
      <c r="P250" s="585">
        <f t="shared" si="42"/>
        <v>0.25572265644135561</v>
      </c>
      <c r="Q250" s="585">
        <f t="shared" si="43"/>
        <v>0.36187415621536978</v>
      </c>
      <c r="R250" s="585">
        <f t="shared" si="44"/>
        <v>2.7000000000000003E-2</v>
      </c>
      <c r="S250" s="586">
        <f t="shared" si="45"/>
        <v>0.33487415621536976</v>
      </c>
      <c r="U250" s="587"/>
      <c r="V250" s="587"/>
      <c r="W250" s="587"/>
      <c r="X250" s="587"/>
      <c r="Y250" s="587"/>
      <c r="Z250" s="587"/>
      <c r="AA250" s="587"/>
      <c r="AB250" s="587"/>
      <c r="AC250" s="587"/>
      <c r="AE250" s="587"/>
      <c r="AF250" s="587"/>
      <c r="AG250" s="587"/>
      <c r="AH250" s="587"/>
      <c r="AI250" s="587"/>
      <c r="AJ250" s="587"/>
      <c r="AK250" s="587"/>
      <c r="AL250" s="587"/>
      <c r="AM250" s="587"/>
      <c r="AO250" s="587"/>
      <c r="AP250" s="587"/>
      <c r="AQ250" s="587"/>
      <c r="AR250" s="587"/>
      <c r="AS250" s="587"/>
      <c r="AT250" s="587"/>
      <c r="AU250" s="587"/>
      <c r="AV250" s="587"/>
      <c r="AW250" s="587"/>
    </row>
    <row r="251" spans="1:49">
      <c r="A251" s="581">
        <v>16984</v>
      </c>
      <c r="B251" s="594">
        <v>-2.3900000000000001E-2</v>
      </c>
      <c r="C251" s="577">
        <v>-3.95E-2</v>
      </c>
      <c r="D251" s="577">
        <v>1.9E-3</v>
      </c>
      <c r="E251" s="577">
        <v>2.0666666666666667E-3</v>
      </c>
      <c r="F251" s="577">
        <v>2.1583333333333333E-3</v>
      </c>
      <c r="G251" s="577">
        <v>2.1124999999999998E-3</v>
      </c>
      <c r="H251" s="577">
        <v>2.2416666666666665E-3</v>
      </c>
      <c r="I251" s="577">
        <f t="shared" si="35"/>
        <v>-2.58E-2</v>
      </c>
      <c r="J251" s="577">
        <f t="shared" si="39"/>
        <v>-2.6012500000000001E-2</v>
      </c>
      <c r="K251" s="577">
        <f t="shared" si="40"/>
        <v>-4.174166666666667E-2</v>
      </c>
      <c r="L251" s="585">
        <f t="shared" si="36"/>
        <v>0.2734254836582557</v>
      </c>
      <c r="M251" s="585">
        <f t="shared" si="37"/>
        <v>2.2800000000000001E-2</v>
      </c>
      <c r="N251" s="585">
        <f t="shared" si="41"/>
        <v>2.5349999999999998E-2</v>
      </c>
      <c r="O251" s="586">
        <f t="shared" si="38"/>
        <v>0.25062548365825571</v>
      </c>
      <c r="P251" s="585">
        <f t="shared" si="42"/>
        <v>0.24807548365825571</v>
      </c>
      <c r="Q251" s="585">
        <f t="shared" si="43"/>
        <v>0.31478553326451131</v>
      </c>
      <c r="R251" s="585">
        <f t="shared" si="44"/>
        <v>2.69E-2</v>
      </c>
      <c r="S251" s="586">
        <f t="shared" si="45"/>
        <v>0.28788553326451133</v>
      </c>
      <c r="U251" s="587"/>
      <c r="V251" s="587"/>
      <c r="W251" s="587"/>
      <c r="X251" s="587"/>
      <c r="Y251" s="587"/>
      <c r="Z251" s="587"/>
      <c r="AA251" s="587"/>
      <c r="AB251" s="587"/>
      <c r="AC251" s="587"/>
      <c r="AE251" s="587"/>
      <c r="AF251" s="587"/>
      <c r="AG251" s="587"/>
      <c r="AH251" s="587"/>
      <c r="AI251" s="587"/>
      <c r="AJ251" s="587"/>
      <c r="AK251" s="587"/>
      <c r="AL251" s="587"/>
      <c r="AM251" s="587"/>
      <c r="AO251" s="587"/>
      <c r="AP251" s="587"/>
      <c r="AQ251" s="587"/>
      <c r="AR251" s="587"/>
      <c r="AS251" s="587"/>
      <c r="AT251" s="587"/>
      <c r="AU251" s="587"/>
      <c r="AV251" s="587"/>
      <c r="AW251" s="587"/>
    </row>
    <row r="252" spans="1:49">
      <c r="A252" s="581">
        <v>17015</v>
      </c>
      <c r="B252" s="594">
        <v>-6.7400000000000002E-2</v>
      </c>
      <c r="C252" s="577">
        <v>-7.2399999999999992E-2</v>
      </c>
      <c r="D252" s="577">
        <v>1.6999999999999999E-3</v>
      </c>
      <c r="E252" s="577">
        <v>2.0916666666666666E-3</v>
      </c>
      <c r="F252" s="577">
        <v>2.1833333333333336E-3</v>
      </c>
      <c r="G252" s="577">
        <v>2.1375000000000001E-3</v>
      </c>
      <c r="H252" s="577">
        <v>2.2583333333333331E-3</v>
      </c>
      <c r="I252" s="577">
        <f t="shared" si="35"/>
        <v>-6.9099999999999995E-2</v>
      </c>
      <c r="J252" s="577">
        <f t="shared" si="39"/>
        <v>-6.9537500000000002E-2</v>
      </c>
      <c r="K252" s="577">
        <f t="shared" si="40"/>
        <v>-7.4658333333333327E-2</v>
      </c>
      <c r="L252" s="585">
        <f t="shared" si="36"/>
        <v>0.11605733113399941</v>
      </c>
      <c r="M252" s="585">
        <f t="shared" si="37"/>
        <v>2.0399999999999998E-2</v>
      </c>
      <c r="N252" s="585">
        <f t="shared" si="41"/>
        <v>2.5649999999999999E-2</v>
      </c>
      <c r="O252" s="586">
        <f t="shared" si="38"/>
        <v>9.5657331133999407E-2</v>
      </c>
      <c r="P252" s="585">
        <f t="shared" si="42"/>
        <v>9.0407331133999402E-2</v>
      </c>
      <c r="Q252" s="585">
        <f t="shared" si="43"/>
        <v>0.21582600005598751</v>
      </c>
      <c r="R252" s="585">
        <f t="shared" si="44"/>
        <v>2.7099999999999999E-2</v>
      </c>
      <c r="S252" s="586">
        <f t="shared" si="45"/>
        <v>0.1887260000559875</v>
      </c>
      <c r="U252" s="587"/>
      <c r="V252" s="587"/>
      <c r="W252" s="587"/>
      <c r="X252" s="587"/>
      <c r="Y252" s="587"/>
      <c r="Z252" s="587"/>
      <c r="AA252" s="587"/>
      <c r="AB252" s="587"/>
      <c r="AC252" s="587"/>
      <c r="AE252" s="587"/>
      <c r="AF252" s="587"/>
      <c r="AG252" s="587"/>
      <c r="AH252" s="587"/>
      <c r="AI252" s="587"/>
      <c r="AJ252" s="587"/>
      <c r="AK252" s="587"/>
      <c r="AL252" s="587"/>
      <c r="AM252" s="587"/>
      <c r="AO252" s="587"/>
      <c r="AP252" s="587"/>
      <c r="AQ252" s="587"/>
      <c r="AR252" s="587"/>
      <c r="AS252" s="587"/>
      <c r="AT252" s="587"/>
      <c r="AU252" s="587"/>
      <c r="AV252" s="587"/>
      <c r="AW252" s="587"/>
    </row>
    <row r="253" spans="1:49">
      <c r="A253" s="581">
        <v>17046</v>
      </c>
      <c r="B253" s="594">
        <v>-9.9699999999999997E-2</v>
      </c>
      <c r="C253" s="577">
        <v>-0.1051</v>
      </c>
      <c r="D253" s="577">
        <v>1.8E-3</v>
      </c>
      <c r="E253" s="577">
        <v>2.15E-3</v>
      </c>
      <c r="F253" s="577">
        <v>2.2333333333333337E-3</v>
      </c>
      <c r="G253" s="577">
        <v>2.1916666666666668E-3</v>
      </c>
      <c r="H253" s="577">
        <v>2.2916666666666667E-3</v>
      </c>
      <c r="I253" s="577">
        <f t="shared" si="35"/>
        <v>-0.10149999999999999</v>
      </c>
      <c r="J253" s="577">
        <f t="shared" si="39"/>
        <v>-0.10189166666666666</v>
      </c>
      <c r="K253" s="577">
        <f t="shared" si="40"/>
        <v>-0.10739166666666666</v>
      </c>
      <c r="L253" s="585">
        <f t="shared" si="36"/>
        <v>-3.7376494328472898E-2</v>
      </c>
      <c r="M253" s="585">
        <f t="shared" si="37"/>
        <v>2.1600000000000001E-2</v>
      </c>
      <c r="N253" s="585">
        <f t="shared" si="41"/>
        <v>2.6300000000000004E-2</v>
      </c>
      <c r="O253" s="586">
        <f t="shared" si="38"/>
        <v>-5.8976494328472899E-2</v>
      </c>
      <c r="P253" s="585">
        <f t="shared" si="42"/>
        <v>-6.3676494328472902E-2</v>
      </c>
      <c r="Q253" s="585">
        <f t="shared" si="43"/>
        <v>1.3169464056339342E-2</v>
      </c>
      <c r="R253" s="585">
        <f t="shared" si="44"/>
        <v>2.75E-2</v>
      </c>
      <c r="S253" s="586">
        <f t="shared" si="45"/>
        <v>-1.4330535943660658E-2</v>
      </c>
      <c r="U253" s="587"/>
      <c r="V253" s="587"/>
      <c r="W253" s="587"/>
      <c r="X253" s="587"/>
      <c r="Y253" s="587"/>
      <c r="Z253" s="587"/>
      <c r="AA253" s="587"/>
      <c r="AB253" s="587"/>
      <c r="AC253" s="587"/>
      <c r="AE253" s="587"/>
      <c r="AF253" s="587"/>
      <c r="AG253" s="587"/>
      <c r="AH253" s="587"/>
      <c r="AI253" s="587"/>
      <c r="AJ253" s="587"/>
      <c r="AK253" s="587"/>
      <c r="AL253" s="587"/>
      <c r="AM253" s="587"/>
      <c r="AO253" s="587"/>
      <c r="AP253" s="587"/>
      <c r="AQ253" s="587"/>
      <c r="AR253" s="587"/>
      <c r="AS253" s="587"/>
      <c r="AT253" s="587"/>
      <c r="AU253" s="587"/>
      <c r="AV253" s="587"/>
      <c r="AW253" s="587"/>
    </row>
    <row r="254" spans="1:49">
      <c r="A254" s="581">
        <v>17076</v>
      </c>
      <c r="B254" s="594">
        <v>-6.0000000000000001E-3</v>
      </c>
      <c r="C254" s="577">
        <v>2.1999999999999999E-2</v>
      </c>
      <c r="D254" s="577">
        <v>1.9E-3</v>
      </c>
      <c r="E254" s="577">
        <v>2.1666666666666666E-3</v>
      </c>
      <c r="F254" s="577">
        <v>2.2500000000000003E-3</v>
      </c>
      <c r="G254" s="577">
        <v>2.2083333333333334E-3</v>
      </c>
      <c r="H254" s="577">
        <v>2.3E-3</v>
      </c>
      <c r="I254" s="577">
        <f t="shared" si="35"/>
        <v>-7.9000000000000008E-3</v>
      </c>
      <c r="J254" s="577">
        <f t="shared" si="39"/>
        <v>-8.2083333333333331E-3</v>
      </c>
      <c r="K254" s="577">
        <f t="shared" si="40"/>
        <v>1.9699999999999999E-2</v>
      </c>
      <c r="L254" s="585">
        <f t="shared" si="36"/>
        <v>-7.3001584346543247E-2</v>
      </c>
      <c r="M254" s="585">
        <f t="shared" si="37"/>
        <v>2.2800000000000001E-2</v>
      </c>
      <c r="N254" s="585">
        <f t="shared" si="41"/>
        <v>2.6500000000000003E-2</v>
      </c>
      <c r="O254" s="586">
        <f t="shared" si="38"/>
        <v>-9.5801584346543248E-2</v>
      </c>
      <c r="P254" s="585">
        <f t="shared" si="42"/>
        <v>-9.9501584346543243E-2</v>
      </c>
      <c r="Q254" s="585">
        <f t="shared" si="43"/>
        <v>-2.691552272758313E-2</v>
      </c>
      <c r="R254" s="585">
        <f t="shared" si="44"/>
        <v>2.76E-2</v>
      </c>
      <c r="S254" s="586">
        <f t="shared" si="45"/>
        <v>-5.4515522727583129E-2</v>
      </c>
      <c r="U254" s="587"/>
      <c r="V254" s="587"/>
      <c r="W254" s="587"/>
      <c r="X254" s="587"/>
      <c r="Y254" s="587"/>
      <c r="Z254" s="587"/>
      <c r="AA254" s="587"/>
      <c r="AB254" s="587"/>
      <c r="AC254" s="587"/>
      <c r="AE254" s="587"/>
      <c r="AF254" s="587"/>
      <c r="AG254" s="587"/>
      <c r="AH254" s="587"/>
      <c r="AI254" s="587"/>
      <c r="AJ254" s="587"/>
      <c r="AK254" s="587"/>
      <c r="AL254" s="587"/>
      <c r="AM254" s="587"/>
      <c r="AO254" s="587"/>
      <c r="AP254" s="587"/>
      <c r="AQ254" s="587"/>
      <c r="AR254" s="587"/>
      <c r="AS254" s="587"/>
      <c r="AT254" s="587"/>
      <c r="AU254" s="587"/>
      <c r="AV254" s="587"/>
      <c r="AW254" s="587"/>
    </row>
    <row r="255" spans="1:49">
      <c r="A255" s="581">
        <v>17107</v>
      </c>
      <c r="B255" s="594">
        <v>-2.7000000000000001E-3</v>
      </c>
      <c r="C255" s="577">
        <v>5.7999999999999996E-3</v>
      </c>
      <c r="D255" s="577">
        <v>1.8E-3</v>
      </c>
      <c r="E255" s="577">
        <v>2.1583333333333333E-3</v>
      </c>
      <c r="F255" s="577">
        <v>2.2416666666666665E-3</v>
      </c>
      <c r="G255" s="577">
        <v>2.1999999999999997E-3</v>
      </c>
      <c r="H255" s="577">
        <v>2.3E-3</v>
      </c>
      <c r="I255" s="577">
        <f t="shared" si="35"/>
        <v>-4.5000000000000005E-3</v>
      </c>
      <c r="J255" s="577">
        <f t="shared" si="39"/>
        <v>-4.8999999999999998E-3</v>
      </c>
      <c r="K255" s="577">
        <f t="shared" si="40"/>
        <v>3.4999999999999996E-3</v>
      </c>
      <c r="L255" s="585">
        <f t="shared" si="36"/>
        <v>-0.11071996928511718</v>
      </c>
      <c r="M255" s="585">
        <f t="shared" si="37"/>
        <v>2.1600000000000001E-2</v>
      </c>
      <c r="N255" s="585">
        <f t="shared" si="41"/>
        <v>2.6399999999999996E-2</v>
      </c>
      <c r="O255" s="586">
        <f t="shared" si="38"/>
        <v>-0.13231996928511719</v>
      </c>
      <c r="P255" s="585">
        <f t="shared" si="42"/>
        <v>-0.13711996928511719</v>
      </c>
      <c r="Q255" s="585">
        <f t="shared" si="43"/>
        <v>-6.5296182560789617E-2</v>
      </c>
      <c r="R255" s="585">
        <f t="shared" si="44"/>
        <v>2.76E-2</v>
      </c>
      <c r="S255" s="586">
        <f t="shared" si="45"/>
        <v>-9.2896182560789617E-2</v>
      </c>
      <c r="U255" s="587"/>
      <c r="V255" s="587"/>
      <c r="W255" s="587"/>
      <c r="X255" s="587"/>
      <c r="Y255" s="587"/>
      <c r="Z255" s="587"/>
      <c r="AA255" s="587"/>
      <c r="AB255" s="587"/>
      <c r="AC255" s="587"/>
      <c r="AE255" s="587"/>
      <c r="AF255" s="587"/>
      <c r="AG255" s="587"/>
      <c r="AH255" s="587"/>
      <c r="AI255" s="587"/>
      <c r="AJ255" s="587"/>
      <c r="AK255" s="587"/>
      <c r="AL255" s="587"/>
      <c r="AM255" s="587"/>
      <c r="AO255" s="587"/>
      <c r="AP255" s="587"/>
      <c r="AQ255" s="587"/>
      <c r="AR255" s="587"/>
      <c r="AS255" s="587"/>
      <c r="AT255" s="587"/>
      <c r="AU255" s="587"/>
      <c r="AV255" s="587"/>
      <c r="AW255" s="587"/>
    </row>
    <row r="256" spans="1:49">
      <c r="A256" s="581">
        <v>17137</v>
      </c>
      <c r="B256" s="594">
        <v>4.5699999999999998E-2</v>
      </c>
      <c r="C256" s="577">
        <v>7.0599999999999996E-2</v>
      </c>
      <c r="D256" s="577">
        <v>1.9E-3</v>
      </c>
      <c r="E256" s="577">
        <v>2.1749999999999999E-3</v>
      </c>
      <c r="F256" s="577">
        <v>2.2416666666666665E-3</v>
      </c>
      <c r="G256" s="577">
        <v>2.2083333333333334E-3</v>
      </c>
      <c r="H256" s="577">
        <v>2.3E-3</v>
      </c>
      <c r="I256" s="577">
        <f t="shared" si="35"/>
        <v>4.3799999999999999E-2</v>
      </c>
      <c r="J256" s="577">
        <f t="shared" si="39"/>
        <v>4.3491666666666665E-2</v>
      </c>
      <c r="K256" s="577">
        <f t="shared" si="40"/>
        <v>6.83E-2</v>
      </c>
      <c r="L256" s="585">
        <f t="shared" si="36"/>
        <v>-8.0743250179366566E-2</v>
      </c>
      <c r="M256" s="585">
        <f t="shared" si="37"/>
        <v>2.2800000000000001E-2</v>
      </c>
      <c r="N256" s="585">
        <f t="shared" si="41"/>
        <v>2.6500000000000003E-2</v>
      </c>
      <c r="O256" s="586">
        <f t="shared" si="38"/>
        <v>-0.10354325017936657</v>
      </c>
      <c r="P256" s="585">
        <f t="shared" si="42"/>
        <v>-0.10724325017936656</v>
      </c>
      <c r="Q256" s="585">
        <f t="shared" si="43"/>
        <v>1.2540632348900571E-2</v>
      </c>
      <c r="R256" s="585">
        <f t="shared" si="44"/>
        <v>2.76E-2</v>
      </c>
      <c r="S256" s="586">
        <f t="shared" si="45"/>
        <v>-1.5059367651099428E-2</v>
      </c>
      <c r="U256" s="587"/>
      <c r="V256" s="587"/>
      <c r="W256" s="587"/>
      <c r="X256" s="587"/>
      <c r="Y256" s="587"/>
      <c r="Z256" s="587"/>
      <c r="AA256" s="587"/>
      <c r="AB256" s="587"/>
      <c r="AC256" s="587"/>
      <c r="AE256" s="587"/>
      <c r="AF256" s="587"/>
      <c r="AG256" s="587"/>
      <c r="AH256" s="587"/>
      <c r="AI256" s="587"/>
      <c r="AJ256" s="587"/>
      <c r="AK256" s="587"/>
      <c r="AL256" s="587"/>
      <c r="AM256" s="587"/>
      <c r="AO256" s="587"/>
      <c r="AP256" s="587"/>
      <c r="AQ256" s="587"/>
      <c r="AR256" s="587"/>
      <c r="AS256" s="587"/>
      <c r="AT256" s="587"/>
      <c r="AU256" s="587"/>
      <c r="AV256" s="587"/>
      <c r="AW256" s="587"/>
    </row>
    <row r="257" spans="1:49">
      <c r="A257" s="581">
        <v>17168</v>
      </c>
      <c r="B257" s="594">
        <v>2.5499999999999998E-2</v>
      </c>
      <c r="C257" s="577">
        <v>-2.0000000000000012E-4</v>
      </c>
      <c r="D257" s="577">
        <v>1.8E-3</v>
      </c>
      <c r="E257" s="577">
        <v>2.1416666666666663E-3</v>
      </c>
      <c r="F257" s="577">
        <v>2.2083333333333334E-3</v>
      </c>
      <c r="G257" s="577">
        <v>2.1749999999999999E-3</v>
      </c>
      <c r="H257" s="577">
        <v>2.2666666666666668E-3</v>
      </c>
      <c r="I257" s="577">
        <f t="shared" si="35"/>
        <v>2.3699999999999999E-2</v>
      </c>
      <c r="J257" s="577">
        <f t="shared" si="39"/>
        <v>2.3324999999999999E-2</v>
      </c>
      <c r="K257" s="577">
        <f t="shared" si="40"/>
        <v>-2.4666666666666669E-3</v>
      </c>
      <c r="L257" s="585">
        <f t="shared" si="36"/>
        <v>-0.12012525952859809</v>
      </c>
      <c r="M257" s="585">
        <f t="shared" si="37"/>
        <v>2.1600000000000001E-2</v>
      </c>
      <c r="N257" s="585">
        <f t="shared" si="41"/>
        <v>2.6099999999999998E-2</v>
      </c>
      <c r="O257" s="586">
        <f t="shared" si="38"/>
        <v>-0.1417252595285981</v>
      </c>
      <c r="P257" s="585">
        <f t="shared" si="42"/>
        <v>-0.14622525952859811</v>
      </c>
      <c r="Q257" s="585">
        <f t="shared" si="43"/>
        <v>-9.6045964619670521E-2</v>
      </c>
      <c r="R257" s="585">
        <f t="shared" si="44"/>
        <v>2.7200000000000002E-2</v>
      </c>
      <c r="S257" s="586">
        <f t="shared" si="45"/>
        <v>-0.12324596461967052</v>
      </c>
      <c r="U257" s="587"/>
      <c r="V257" s="587"/>
      <c r="W257" s="587"/>
      <c r="X257" s="587"/>
      <c r="Y257" s="587"/>
      <c r="Z257" s="587"/>
      <c r="AA257" s="587"/>
      <c r="AB257" s="587"/>
      <c r="AC257" s="587"/>
      <c r="AE257" s="587"/>
      <c r="AF257" s="587"/>
      <c r="AG257" s="587"/>
      <c r="AH257" s="587"/>
      <c r="AI257" s="587"/>
      <c r="AJ257" s="587"/>
      <c r="AK257" s="587"/>
      <c r="AL257" s="587"/>
      <c r="AM257" s="587"/>
      <c r="AO257" s="587"/>
      <c r="AP257" s="587"/>
      <c r="AQ257" s="587"/>
      <c r="AR257" s="587"/>
      <c r="AS257" s="587"/>
      <c r="AT257" s="587"/>
      <c r="AU257" s="587"/>
      <c r="AV257" s="587"/>
      <c r="AW257" s="587"/>
    </row>
    <row r="258" spans="1:49">
      <c r="A258" s="581">
        <v>17199</v>
      </c>
      <c r="B258" s="594">
        <v>-7.7000000000000002E-3</v>
      </c>
      <c r="C258" s="577">
        <v>-8.8999999999999999E-3</v>
      </c>
      <c r="D258" s="577">
        <v>1.6000000000000001E-3</v>
      </c>
      <c r="E258" s="577">
        <v>2.1250000000000002E-3</v>
      </c>
      <c r="F258" s="577">
        <v>2.2000000000000001E-3</v>
      </c>
      <c r="G258" s="577">
        <v>2.1624999999999999E-3</v>
      </c>
      <c r="H258" s="577">
        <v>2.2666666666666668E-3</v>
      </c>
      <c r="I258" s="577">
        <f t="shared" si="35"/>
        <v>-9.300000000000001E-3</v>
      </c>
      <c r="J258" s="577">
        <f t="shared" si="39"/>
        <v>-9.8624999999999997E-3</v>
      </c>
      <c r="K258" s="577">
        <f t="shared" si="40"/>
        <v>-1.1166666666666667E-2</v>
      </c>
      <c r="L258" s="585">
        <f t="shared" si="36"/>
        <v>-6.7101501261061958E-2</v>
      </c>
      <c r="M258" s="585">
        <f t="shared" si="37"/>
        <v>1.9200000000000002E-2</v>
      </c>
      <c r="N258" s="585">
        <f t="shared" si="41"/>
        <v>2.5950000000000001E-2</v>
      </c>
      <c r="O258" s="586">
        <f t="shared" si="38"/>
        <v>-8.6301501261061953E-2</v>
      </c>
      <c r="P258" s="585">
        <f t="shared" si="42"/>
        <v>-9.3051501261061959E-2</v>
      </c>
      <c r="Q258" s="585">
        <f t="shared" si="43"/>
        <v>-4.2832431126661907E-2</v>
      </c>
      <c r="R258" s="585">
        <f t="shared" si="44"/>
        <v>2.7200000000000002E-2</v>
      </c>
      <c r="S258" s="586">
        <f t="shared" si="45"/>
        <v>-7.0032431126661909E-2</v>
      </c>
      <c r="U258" s="587"/>
      <c r="V258" s="587"/>
      <c r="W258" s="587"/>
      <c r="X258" s="587"/>
      <c r="Y258" s="587"/>
      <c r="Z258" s="587"/>
      <c r="AA258" s="587"/>
      <c r="AB258" s="587"/>
      <c r="AC258" s="587"/>
      <c r="AE258" s="587"/>
      <c r="AF258" s="587"/>
      <c r="AG258" s="587"/>
      <c r="AH258" s="587"/>
      <c r="AI258" s="587"/>
      <c r="AJ258" s="587"/>
      <c r="AK258" s="587"/>
      <c r="AL258" s="587"/>
      <c r="AM258" s="587"/>
      <c r="AO258" s="587"/>
      <c r="AP258" s="587"/>
      <c r="AQ258" s="587"/>
      <c r="AR258" s="587"/>
      <c r="AS258" s="587"/>
      <c r="AT258" s="587"/>
      <c r="AU258" s="587"/>
      <c r="AV258" s="587"/>
      <c r="AW258" s="587"/>
    </row>
    <row r="259" spans="1:49">
      <c r="A259" s="581">
        <v>17227</v>
      </c>
      <c r="B259" s="594">
        <v>-1.49E-2</v>
      </c>
      <c r="C259" s="577">
        <v>-3.6399999999999995E-2</v>
      </c>
      <c r="D259" s="577">
        <v>1.8E-3</v>
      </c>
      <c r="E259" s="577">
        <v>2.1250000000000002E-3</v>
      </c>
      <c r="F259" s="577">
        <v>2.2000000000000001E-3</v>
      </c>
      <c r="G259" s="577">
        <v>2.1624999999999999E-3</v>
      </c>
      <c r="H259" s="577">
        <v>2.2666666666666668E-3</v>
      </c>
      <c r="I259" s="577">
        <f t="shared" si="35"/>
        <v>-1.67E-2</v>
      </c>
      <c r="J259" s="577">
        <f t="shared" si="39"/>
        <v>-1.7062500000000001E-2</v>
      </c>
      <c r="K259" s="577">
        <f t="shared" si="40"/>
        <v>-3.8666666666666662E-2</v>
      </c>
      <c r="L259" s="585">
        <f t="shared" si="36"/>
        <v>-0.12309321459186295</v>
      </c>
      <c r="M259" s="585">
        <f t="shared" si="37"/>
        <v>2.1600000000000001E-2</v>
      </c>
      <c r="N259" s="585">
        <f t="shared" si="41"/>
        <v>2.5950000000000001E-2</v>
      </c>
      <c r="O259" s="586">
        <f t="shared" si="38"/>
        <v>-0.14469321459186296</v>
      </c>
      <c r="P259" s="585">
        <f t="shared" si="42"/>
        <v>-0.14904321459186295</v>
      </c>
      <c r="Q259" s="585">
        <f t="shared" si="43"/>
        <v>-0.13241776938543071</v>
      </c>
      <c r="R259" s="585">
        <f t="shared" si="44"/>
        <v>2.7200000000000002E-2</v>
      </c>
      <c r="S259" s="586">
        <f t="shared" si="45"/>
        <v>-0.15961776938543071</v>
      </c>
      <c r="U259" s="587"/>
      <c r="V259" s="587"/>
      <c r="W259" s="587"/>
      <c r="X259" s="587"/>
      <c r="Y259" s="587"/>
      <c r="Z259" s="587"/>
      <c r="AA259" s="587"/>
      <c r="AB259" s="587"/>
      <c r="AC259" s="587"/>
      <c r="AE259" s="587"/>
      <c r="AF259" s="587"/>
      <c r="AG259" s="587"/>
      <c r="AH259" s="587"/>
      <c r="AI259" s="587"/>
      <c r="AJ259" s="587"/>
      <c r="AK259" s="587"/>
      <c r="AL259" s="587"/>
      <c r="AM259" s="587"/>
      <c r="AO259" s="587"/>
      <c r="AP259" s="587"/>
      <c r="AQ259" s="587"/>
      <c r="AR259" s="587"/>
      <c r="AS259" s="587"/>
      <c r="AT259" s="587"/>
      <c r="AU259" s="587"/>
      <c r="AV259" s="587"/>
      <c r="AW259" s="587"/>
    </row>
    <row r="260" spans="1:49">
      <c r="A260" s="581">
        <v>17258</v>
      </c>
      <c r="B260" s="594">
        <v>-3.6299999999999999E-2</v>
      </c>
      <c r="C260" s="577">
        <v>-3.2000000000000001E-2</v>
      </c>
      <c r="D260" s="577">
        <v>1.6999999999999999E-3</v>
      </c>
      <c r="E260" s="577">
        <v>2.1083333333333332E-3</v>
      </c>
      <c r="F260" s="577">
        <v>2.1916666666666664E-3</v>
      </c>
      <c r="G260" s="577">
        <v>2.1499999999999996E-3</v>
      </c>
      <c r="H260" s="577">
        <v>2.2500000000000003E-3</v>
      </c>
      <c r="I260" s="577">
        <f t="shared" si="35"/>
        <v>-3.7999999999999999E-2</v>
      </c>
      <c r="J260" s="577">
        <f t="shared" si="39"/>
        <v>-3.8449999999999998E-2</v>
      </c>
      <c r="K260" s="577">
        <f t="shared" si="40"/>
        <v>-3.4250000000000003E-2</v>
      </c>
      <c r="L260" s="585">
        <f t="shared" si="36"/>
        <v>-0.18688052622166662</v>
      </c>
      <c r="M260" s="585">
        <f t="shared" si="37"/>
        <v>2.0399999999999998E-2</v>
      </c>
      <c r="N260" s="585">
        <f t="shared" si="41"/>
        <v>2.5799999999999997E-2</v>
      </c>
      <c r="O260" s="586">
        <f t="shared" si="38"/>
        <v>-0.20728052622166662</v>
      </c>
      <c r="P260" s="585">
        <f t="shared" si="42"/>
        <v>-0.21268052622166661</v>
      </c>
      <c r="Q260" s="585">
        <f t="shared" si="43"/>
        <v>-0.18763822863716073</v>
      </c>
      <c r="R260" s="585">
        <f t="shared" si="44"/>
        <v>2.7000000000000003E-2</v>
      </c>
      <c r="S260" s="586">
        <f t="shared" si="45"/>
        <v>-0.21463822863716073</v>
      </c>
      <c r="U260" s="587"/>
      <c r="V260" s="587"/>
      <c r="W260" s="587"/>
      <c r="X260" s="587"/>
      <c r="Y260" s="587"/>
      <c r="Z260" s="587"/>
      <c r="AA260" s="587"/>
      <c r="AB260" s="587"/>
      <c r="AC260" s="587"/>
      <c r="AE260" s="587"/>
      <c r="AF260" s="587"/>
      <c r="AG260" s="587"/>
      <c r="AH260" s="587"/>
      <c r="AI260" s="587"/>
      <c r="AJ260" s="587"/>
      <c r="AK260" s="587"/>
      <c r="AL260" s="587"/>
      <c r="AM260" s="587"/>
      <c r="AO260" s="587"/>
      <c r="AP260" s="587"/>
      <c r="AQ260" s="587"/>
      <c r="AR260" s="587"/>
      <c r="AS260" s="587"/>
      <c r="AT260" s="587"/>
      <c r="AU260" s="587"/>
      <c r="AV260" s="587"/>
      <c r="AW260" s="587"/>
    </row>
    <row r="261" spans="1:49">
      <c r="A261" s="581">
        <v>17288</v>
      </c>
      <c r="B261" s="594">
        <v>1.4E-3</v>
      </c>
      <c r="C261" s="577">
        <v>-2.7900000000000001E-2</v>
      </c>
      <c r="D261" s="577">
        <v>1.6999999999999999E-3</v>
      </c>
      <c r="E261" s="577">
        <v>2.1083333333333332E-3</v>
      </c>
      <c r="F261" s="577">
        <v>2.1916666666666664E-3</v>
      </c>
      <c r="G261" s="577">
        <v>2.1499999999999996E-3</v>
      </c>
      <c r="H261" s="577">
        <v>2.2500000000000003E-3</v>
      </c>
      <c r="I261" s="577">
        <f t="shared" si="35"/>
        <v>-2.9999999999999992E-4</v>
      </c>
      <c r="J261" s="577">
        <f t="shared" si="39"/>
        <v>-7.4999999999999958E-4</v>
      </c>
      <c r="K261" s="577">
        <f t="shared" si="40"/>
        <v>-3.0150000000000003E-2</v>
      </c>
      <c r="L261" s="585">
        <f t="shared" si="36"/>
        <v>-0.20853631313994658</v>
      </c>
      <c r="M261" s="585">
        <f t="shared" si="37"/>
        <v>2.0399999999999998E-2</v>
      </c>
      <c r="N261" s="585">
        <f t="shared" si="41"/>
        <v>2.5799999999999997E-2</v>
      </c>
      <c r="O261" s="586">
        <f t="shared" si="38"/>
        <v>-0.22893631313994658</v>
      </c>
      <c r="P261" s="585">
        <f t="shared" si="42"/>
        <v>-0.23433631313994657</v>
      </c>
      <c r="Q261" s="585">
        <f t="shared" si="43"/>
        <v>-0.23337843127675362</v>
      </c>
      <c r="R261" s="585">
        <f t="shared" si="44"/>
        <v>2.7000000000000003E-2</v>
      </c>
      <c r="S261" s="586">
        <f t="shared" si="45"/>
        <v>-0.26037843127675364</v>
      </c>
      <c r="U261" s="587"/>
      <c r="V261" s="587"/>
      <c r="W261" s="587"/>
      <c r="X261" s="587"/>
      <c r="Y261" s="587"/>
      <c r="Z261" s="587"/>
      <c r="AA261" s="587"/>
      <c r="AB261" s="587"/>
      <c r="AC261" s="587"/>
      <c r="AE261" s="587"/>
      <c r="AF261" s="587"/>
      <c r="AG261" s="587"/>
      <c r="AH261" s="587"/>
      <c r="AI261" s="587"/>
      <c r="AJ261" s="587"/>
      <c r="AK261" s="587"/>
      <c r="AL261" s="587"/>
      <c r="AM261" s="587"/>
      <c r="AO261" s="587"/>
      <c r="AP261" s="587"/>
      <c r="AQ261" s="587"/>
      <c r="AR261" s="587"/>
      <c r="AS261" s="587"/>
      <c r="AT261" s="587"/>
      <c r="AU261" s="587"/>
      <c r="AV261" s="587"/>
      <c r="AW261" s="587"/>
    </row>
    <row r="262" spans="1:49">
      <c r="A262" s="581">
        <v>17319</v>
      </c>
      <c r="B262" s="594">
        <v>5.5399999999999998E-2</v>
      </c>
      <c r="C262" s="577">
        <v>4.2800000000000005E-2</v>
      </c>
      <c r="D262" s="577">
        <v>1.9E-3</v>
      </c>
      <c r="E262" s="577">
        <v>2.1250000000000002E-3</v>
      </c>
      <c r="F262" s="577">
        <v>2.2000000000000001E-3</v>
      </c>
      <c r="G262" s="577">
        <v>2.1624999999999999E-3</v>
      </c>
      <c r="H262" s="577">
        <v>2.2583333333333331E-3</v>
      </c>
      <c r="I262" s="577">
        <f t="shared" ref="I262:I325" si="46">B262-D262</f>
        <v>5.3499999999999999E-2</v>
      </c>
      <c r="J262" s="577">
        <f t="shared" si="39"/>
        <v>5.32375E-2</v>
      </c>
      <c r="K262" s="577">
        <f t="shared" si="40"/>
        <v>4.054166666666667E-2</v>
      </c>
      <c r="L262" s="585">
        <f t="shared" si="36"/>
        <v>-0.13259524910477616</v>
      </c>
      <c r="M262" s="585">
        <f t="shared" si="37"/>
        <v>2.2800000000000001E-2</v>
      </c>
      <c r="N262" s="585">
        <f t="shared" si="41"/>
        <v>2.5950000000000001E-2</v>
      </c>
      <c r="O262" s="586">
        <f t="shared" si="38"/>
        <v>-0.15539524910477615</v>
      </c>
      <c r="P262" s="585">
        <f t="shared" si="42"/>
        <v>-0.15854524910477616</v>
      </c>
      <c r="Q262" s="585">
        <f t="shared" si="43"/>
        <v>-0.17787641725154157</v>
      </c>
      <c r="R262" s="585">
        <f t="shared" si="44"/>
        <v>2.7099999999999999E-2</v>
      </c>
      <c r="S262" s="586">
        <f t="shared" si="45"/>
        <v>-0.20497641725154159</v>
      </c>
      <c r="U262" s="587"/>
      <c r="V262" s="587"/>
      <c r="W262" s="587"/>
      <c r="X262" s="587"/>
      <c r="Y262" s="587"/>
      <c r="Z262" s="587"/>
      <c r="AA262" s="587"/>
      <c r="AB262" s="587"/>
      <c r="AC262" s="587"/>
      <c r="AE262" s="587"/>
      <c r="AF262" s="587"/>
      <c r="AG262" s="587"/>
      <c r="AH262" s="587"/>
      <c r="AI262" s="587"/>
      <c r="AJ262" s="587"/>
      <c r="AK262" s="587"/>
      <c r="AL262" s="587"/>
      <c r="AM262" s="587"/>
      <c r="AO262" s="587"/>
      <c r="AP262" s="587"/>
      <c r="AQ262" s="587"/>
      <c r="AR262" s="587"/>
      <c r="AS262" s="587"/>
      <c r="AT262" s="587"/>
      <c r="AU262" s="587"/>
      <c r="AV262" s="587"/>
      <c r="AW262" s="587"/>
    </row>
    <row r="263" spans="1:49">
      <c r="A263" s="581">
        <v>17349</v>
      </c>
      <c r="B263" s="594">
        <v>3.8100000000000002E-2</v>
      </c>
      <c r="C263" s="577">
        <v>2.1399999999999995E-2</v>
      </c>
      <c r="D263" s="577">
        <v>1.8E-3</v>
      </c>
      <c r="E263" s="577">
        <v>2.1250000000000002E-3</v>
      </c>
      <c r="F263" s="577">
        <v>2.2000000000000001E-3</v>
      </c>
      <c r="G263" s="577">
        <v>2.1624999999999999E-3</v>
      </c>
      <c r="H263" s="577">
        <v>2.2750000000000001E-3</v>
      </c>
      <c r="I263" s="577">
        <f t="shared" si="46"/>
        <v>3.6299999999999999E-2</v>
      </c>
      <c r="J263" s="577">
        <f t="shared" si="39"/>
        <v>3.5937500000000004E-2</v>
      </c>
      <c r="K263" s="577">
        <f t="shared" si="40"/>
        <v>1.9124999999999996E-2</v>
      </c>
      <c r="L263" s="585">
        <f t="shared" si="36"/>
        <v>-7.7499362868218791E-2</v>
      </c>
      <c r="M263" s="585">
        <f t="shared" si="37"/>
        <v>2.1600000000000001E-2</v>
      </c>
      <c r="N263" s="585">
        <f t="shared" si="41"/>
        <v>2.5950000000000001E-2</v>
      </c>
      <c r="O263" s="586">
        <f t="shared" si="38"/>
        <v>-9.9099362868218799E-2</v>
      </c>
      <c r="P263" s="585">
        <f t="shared" si="42"/>
        <v>-0.10344936286821879</v>
      </c>
      <c r="Q263" s="585">
        <f t="shared" si="43"/>
        <v>-0.1257501015936745</v>
      </c>
      <c r="R263" s="585">
        <f t="shared" si="44"/>
        <v>2.7300000000000001E-2</v>
      </c>
      <c r="S263" s="586">
        <f t="shared" si="45"/>
        <v>-0.15305010159367449</v>
      </c>
      <c r="U263" s="587"/>
      <c r="V263" s="587"/>
      <c r="W263" s="587"/>
      <c r="X263" s="587"/>
      <c r="Y263" s="587"/>
      <c r="Z263" s="587"/>
      <c r="AA263" s="587"/>
      <c r="AB263" s="587"/>
      <c r="AC263" s="587"/>
      <c r="AE263" s="587"/>
      <c r="AF263" s="587"/>
      <c r="AG263" s="587"/>
      <c r="AH263" s="587"/>
      <c r="AI263" s="587"/>
      <c r="AJ263" s="587"/>
      <c r="AK263" s="587"/>
      <c r="AL263" s="587"/>
      <c r="AM263" s="587"/>
      <c r="AO263" s="587"/>
      <c r="AP263" s="587"/>
      <c r="AQ263" s="587"/>
      <c r="AR263" s="587"/>
      <c r="AS263" s="587"/>
      <c r="AT263" s="587"/>
      <c r="AU263" s="587"/>
      <c r="AV263" s="587"/>
      <c r="AW263" s="587"/>
    </row>
    <row r="264" spans="1:49">
      <c r="A264" s="581">
        <v>17380</v>
      </c>
      <c r="B264" s="594">
        <v>-2.0299999999999999E-2</v>
      </c>
      <c r="C264" s="577">
        <v>-2.2000000000000001E-3</v>
      </c>
      <c r="D264" s="577">
        <v>1.6999999999999999E-3</v>
      </c>
      <c r="E264" s="577">
        <v>2.1333333333333334E-3</v>
      </c>
      <c r="F264" s="577">
        <v>2.2000000000000001E-3</v>
      </c>
      <c r="G264" s="577">
        <v>2.1666666666666666E-3</v>
      </c>
      <c r="H264" s="577">
        <v>2.2750000000000001E-3</v>
      </c>
      <c r="I264" s="577">
        <f t="shared" si="46"/>
        <v>-2.1999999999999999E-2</v>
      </c>
      <c r="J264" s="577">
        <f t="shared" si="39"/>
        <v>-2.2466666666666666E-2</v>
      </c>
      <c r="K264" s="577">
        <f t="shared" si="40"/>
        <v>-4.4749999999999998E-3</v>
      </c>
      <c r="L264" s="585">
        <f t="shared" si="36"/>
        <v>-3.0909420761305872E-2</v>
      </c>
      <c r="M264" s="585">
        <f t="shared" si="37"/>
        <v>2.0399999999999998E-2</v>
      </c>
      <c r="N264" s="585">
        <f t="shared" si="41"/>
        <v>2.5999999999999999E-2</v>
      </c>
      <c r="O264" s="586">
        <f t="shared" si="38"/>
        <v>-5.1309420761305874E-2</v>
      </c>
      <c r="P264" s="585">
        <f t="shared" si="42"/>
        <v>-5.6909420761305868E-2</v>
      </c>
      <c r="Q264" s="585">
        <f t="shared" si="43"/>
        <v>-5.9587593111436465E-2</v>
      </c>
      <c r="R264" s="585">
        <f t="shared" si="44"/>
        <v>2.7300000000000001E-2</v>
      </c>
      <c r="S264" s="586">
        <f t="shared" si="45"/>
        <v>-8.688759311143647E-2</v>
      </c>
      <c r="U264" s="587"/>
      <c r="V264" s="587"/>
      <c r="W264" s="587"/>
      <c r="X264" s="587"/>
      <c r="Y264" s="587"/>
      <c r="Z264" s="587"/>
      <c r="AA264" s="587"/>
      <c r="AB264" s="587"/>
      <c r="AC264" s="587"/>
      <c r="AE264" s="587"/>
      <c r="AF264" s="587"/>
      <c r="AG264" s="587"/>
      <c r="AH264" s="587"/>
      <c r="AI264" s="587"/>
      <c r="AJ264" s="587"/>
      <c r="AK264" s="587"/>
      <c r="AL264" s="587"/>
      <c r="AM264" s="587"/>
      <c r="AO264" s="587"/>
      <c r="AP264" s="587"/>
      <c r="AQ264" s="587"/>
      <c r="AR264" s="587"/>
      <c r="AS264" s="587"/>
      <c r="AT264" s="587"/>
      <c r="AU264" s="587"/>
      <c r="AV264" s="587"/>
      <c r="AW264" s="587"/>
    </row>
    <row r="265" spans="1:49">
      <c r="A265" s="581">
        <v>17411</v>
      </c>
      <c r="B265" s="594">
        <v>-1.11E-2</v>
      </c>
      <c r="C265" s="577">
        <v>-1.4200000000000001E-2</v>
      </c>
      <c r="D265" s="577">
        <v>1.8E-3</v>
      </c>
      <c r="E265" s="577">
        <v>2.1749999999999999E-3</v>
      </c>
      <c r="F265" s="577">
        <v>2.2416666666666665E-3</v>
      </c>
      <c r="G265" s="577">
        <v>2.2083333333333334E-3</v>
      </c>
      <c r="H265" s="577">
        <v>2.3333333333333335E-3</v>
      </c>
      <c r="I265" s="577">
        <f t="shared" si="46"/>
        <v>-1.29E-2</v>
      </c>
      <c r="J265" s="577">
        <f t="shared" si="39"/>
        <v>-1.3308333333333333E-2</v>
      </c>
      <c r="K265" s="577">
        <f t="shared" si="40"/>
        <v>-1.6533333333333334E-2</v>
      </c>
      <c r="L265" s="585">
        <f t="shared" si="36"/>
        <v>6.4460372996939963E-2</v>
      </c>
      <c r="M265" s="585">
        <f t="shared" si="37"/>
        <v>2.1600000000000001E-2</v>
      </c>
      <c r="N265" s="585">
        <f t="shared" si="41"/>
        <v>2.6500000000000003E-2</v>
      </c>
      <c r="O265" s="586">
        <f t="shared" si="38"/>
        <v>4.2860372996939962E-2</v>
      </c>
      <c r="P265" s="585">
        <f t="shared" si="42"/>
        <v>3.796037299693996E-2</v>
      </c>
      <c r="Q265" s="585">
        <f t="shared" si="43"/>
        <v>3.5935356699906107E-2</v>
      </c>
      <c r="R265" s="585">
        <f t="shared" si="44"/>
        <v>2.8000000000000004E-2</v>
      </c>
      <c r="S265" s="586">
        <f t="shared" si="45"/>
        <v>7.9353566999061029E-3</v>
      </c>
      <c r="U265" s="587"/>
      <c r="V265" s="587"/>
      <c r="W265" s="587"/>
      <c r="X265" s="587"/>
      <c r="Y265" s="587"/>
      <c r="Z265" s="587"/>
      <c r="AA265" s="587"/>
      <c r="AB265" s="587"/>
      <c r="AC265" s="587"/>
      <c r="AE265" s="587"/>
      <c r="AF265" s="587"/>
      <c r="AG265" s="587"/>
      <c r="AH265" s="587"/>
      <c r="AI265" s="587"/>
      <c r="AJ265" s="587"/>
      <c r="AK265" s="587"/>
      <c r="AL265" s="587"/>
      <c r="AM265" s="587"/>
      <c r="AO265" s="587"/>
      <c r="AP265" s="587"/>
      <c r="AQ265" s="587"/>
      <c r="AR265" s="587"/>
      <c r="AS265" s="587"/>
      <c r="AT265" s="587"/>
      <c r="AU265" s="587"/>
      <c r="AV265" s="587"/>
      <c r="AW265" s="587"/>
    </row>
    <row r="266" spans="1:49">
      <c r="A266" s="581">
        <v>17441</v>
      </c>
      <c r="B266" s="594">
        <v>2.3800000000000002E-2</v>
      </c>
      <c r="C266" s="577">
        <v>-1.3299999999999999E-2</v>
      </c>
      <c r="D266" s="577">
        <v>1.8E-3</v>
      </c>
      <c r="E266" s="577">
        <v>2.2500000000000003E-3</v>
      </c>
      <c r="F266" s="577">
        <v>2.3250000000000002E-3</v>
      </c>
      <c r="G266" s="577">
        <v>2.2875E-3</v>
      </c>
      <c r="H266" s="577">
        <v>2.3999999999999998E-3</v>
      </c>
      <c r="I266" s="577">
        <f t="shared" si="46"/>
        <v>2.2000000000000002E-2</v>
      </c>
      <c r="J266" s="577">
        <f t="shared" si="39"/>
        <v>2.15125E-2</v>
      </c>
      <c r="K266" s="577">
        <f t="shared" si="40"/>
        <v>-1.5699999999999999E-2</v>
      </c>
      <c r="L266" s="585">
        <f t="shared" si="36"/>
        <v>9.6372766473105553E-2</v>
      </c>
      <c r="M266" s="585">
        <f t="shared" si="37"/>
        <v>2.1600000000000001E-2</v>
      </c>
      <c r="N266" s="585">
        <f t="shared" si="41"/>
        <v>2.7450000000000002E-2</v>
      </c>
      <c r="O266" s="586">
        <f t="shared" si="38"/>
        <v>7.4772766473105545E-2</v>
      </c>
      <c r="P266" s="585">
        <f t="shared" si="42"/>
        <v>6.8922766473105551E-2</v>
      </c>
      <c r="Q266" s="585">
        <f t="shared" si="43"/>
        <v>1.5402784324591856E-4</v>
      </c>
      <c r="R266" s="585">
        <f t="shared" si="44"/>
        <v>2.8799999999999999E-2</v>
      </c>
      <c r="S266" s="586">
        <f t="shared" si="45"/>
        <v>-2.8645972156754081E-2</v>
      </c>
      <c r="U266" s="587"/>
      <c r="V266" s="587"/>
      <c r="W266" s="587"/>
      <c r="X266" s="587"/>
      <c r="Y266" s="587"/>
      <c r="Z266" s="587"/>
      <c r="AA266" s="587"/>
      <c r="AB266" s="587"/>
      <c r="AC266" s="587"/>
      <c r="AE266" s="587"/>
      <c r="AF266" s="587"/>
      <c r="AG266" s="587"/>
      <c r="AH266" s="587"/>
      <c r="AI266" s="587"/>
      <c r="AJ266" s="587"/>
      <c r="AK266" s="587"/>
      <c r="AL266" s="587"/>
      <c r="AM266" s="587"/>
      <c r="AO266" s="587"/>
      <c r="AP266" s="587"/>
      <c r="AQ266" s="587"/>
      <c r="AR266" s="587"/>
      <c r="AS266" s="587"/>
      <c r="AT266" s="587"/>
      <c r="AU266" s="587"/>
      <c r="AV266" s="587"/>
      <c r="AW266" s="587"/>
    </row>
    <row r="267" spans="1:49">
      <c r="A267" s="581">
        <v>17472</v>
      </c>
      <c r="B267" s="594">
        <v>-1.7500000000000002E-2</v>
      </c>
      <c r="C267" s="577">
        <v>-8.2399999999999987E-2</v>
      </c>
      <c r="D267" s="577">
        <v>1.6999999999999999E-3</v>
      </c>
      <c r="E267" s="577">
        <v>2.3083333333333332E-3</v>
      </c>
      <c r="F267" s="577">
        <v>2.3750000000000004E-3</v>
      </c>
      <c r="G267" s="577">
        <v>2.3416666666666668E-3</v>
      </c>
      <c r="H267" s="577">
        <v>2.4416666666666666E-3</v>
      </c>
      <c r="I267" s="577">
        <f t="shared" si="46"/>
        <v>-1.9200000000000002E-2</v>
      </c>
      <c r="J267" s="577">
        <f t="shared" si="39"/>
        <v>-1.9841666666666667E-2</v>
      </c>
      <c r="K267" s="577">
        <f t="shared" si="40"/>
        <v>-8.4841666666666649E-2</v>
      </c>
      <c r="L267" s="585">
        <f t="shared" si="36"/>
        <v>8.0102519863457289E-2</v>
      </c>
      <c r="M267" s="585">
        <f t="shared" si="37"/>
        <v>2.0399999999999998E-2</v>
      </c>
      <c r="N267" s="585">
        <f t="shared" si="41"/>
        <v>2.81E-2</v>
      </c>
      <c r="O267" s="586">
        <f t="shared" si="38"/>
        <v>5.9702519863457287E-2</v>
      </c>
      <c r="P267" s="585">
        <f t="shared" si="42"/>
        <v>5.2002519863457289E-2</v>
      </c>
      <c r="Q267" s="585">
        <f t="shared" si="43"/>
        <v>-8.7550869010775134E-2</v>
      </c>
      <c r="R267" s="585">
        <f t="shared" si="44"/>
        <v>2.93E-2</v>
      </c>
      <c r="S267" s="586">
        <f t="shared" si="45"/>
        <v>-0.11685086901077513</v>
      </c>
      <c r="U267" s="587"/>
      <c r="V267" s="587"/>
      <c r="W267" s="587"/>
      <c r="X267" s="587"/>
      <c r="Y267" s="587"/>
      <c r="Z267" s="587"/>
      <c r="AA267" s="587"/>
      <c r="AB267" s="587"/>
      <c r="AC267" s="587"/>
      <c r="AE267" s="587"/>
      <c r="AF267" s="587"/>
      <c r="AG267" s="587"/>
      <c r="AH267" s="587"/>
      <c r="AI267" s="587"/>
      <c r="AJ267" s="587"/>
      <c r="AK267" s="587"/>
      <c r="AL267" s="587"/>
      <c r="AM267" s="587"/>
      <c r="AO267" s="587"/>
      <c r="AP267" s="587"/>
      <c r="AQ267" s="587"/>
      <c r="AR267" s="587"/>
      <c r="AS267" s="587"/>
      <c r="AT267" s="587"/>
      <c r="AU267" s="587"/>
      <c r="AV267" s="587"/>
      <c r="AW267" s="587"/>
    </row>
    <row r="268" spans="1:49">
      <c r="A268" s="581">
        <v>17502</v>
      </c>
      <c r="B268" s="594">
        <v>2.3300000000000001E-2</v>
      </c>
      <c r="C268" s="577">
        <v>1.89E-2</v>
      </c>
      <c r="D268" s="577">
        <v>2.0999999999999999E-3</v>
      </c>
      <c r="E268" s="577">
        <v>2.3833333333333332E-3</v>
      </c>
      <c r="F268" s="577">
        <v>2.4499999999999999E-3</v>
      </c>
      <c r="G268" s="577">
        <v>2.4166666666666664E-3</v>
      </c>
      <c r="H268" s="577">
        <v>2.5416666666666669E-3</v>
      </c>
      <c r="I268" s="577">
        <f t="shared" si="46"/>
        <v>2.12E-2</v>
      </c>
      <c r="J268" s="577">
        <f t="shared" si="39"/>
        <v>2.0883333333333334E-2</v>
      </c>
      <c r="K268" s="577">
        <f t="shared" si="40"/>
        <v>1.6358333333333332E-2</v>
      </c>
      <c r="L268" s="585">
        <f t="shared" si="36"/>
        <v>5.6965581501650764E-2</v>
      </c>
      <c r="M268" s="585">
        <f t="shared" si="37"/>
        <v>2.52E-2</v>
      </c>
      <c r="N268" s="585">
        <f t="shared" si="41"/>
        <v>2.8999999999999998E-2</v>
      </c>
      <c r="O268" s="586">
        <f t="shared" si="38"/>
        <v>3.1765581501650764E-2</v>
      </c>
      <c r="P268" s="585">
        <f t="shared" si="42"/>
        <v>2.7965581501650766E-2</v>
      </c>
      <c r="Q268" s="585">
        <f t="shared" si="43"/>
        <v>-0.13161365630027921</v>
      </c>
      <c r="R268" s="585">
        <f t="shared" si="44"/>
        <v>3.0500000000000003E-2</v>
      </c>
      <c r="S268" s="586">
        <f t="shared" si="45"/>
        <v>-0.16211365630027921</v>
      </c>
      <c r="U268" s="587"/>
      <c r="V268" s="587"/>
      <c r="W268" s="587"/>
      <c r="X268" s="587"/>
      <c r="Y268" s="587"/>
      <c r="Z268" s="587"/>
      <c r="AA268" s="587"/>
      <c r="AB268" s="587"/>
      <c r="AC268" s="587"/>
      <c r="AE268" s="587"/>
      <c r="AF268" s="587"/>
      <c r="AG268" s="587"/>
      <c r="AH268" s="587"/>
      <c r="AI268" s="587"/>
      <c r="AJ268" s="587"/>
      <c r="AK268" s="587"/>
      <c r="AL268" s="587"/>
      <c r="AM268" s="587"/>
      <c r="AO268" s="587"/>
      <c r="AP268" s="587"/>
      <c r="AQ268" s="587"/>
      <c r="AR268" s="587"/>
      <c r="AS268" s="587"/>
      <c r="AT268" s="587"/>
      <c r="AU268" s="587"/>
      <c r="AV268" s="587"/>
      <c r="AW268" s="587"/>
    </row>
    <row r="269" spans="1:49">
      <c r="A269" s="581">
        <v>17533</v>
      </c>
      <c r="B269" s="594">
        <v>-3.7900000000000003E-2</v>
      </c>
      <c r="C269" s="577">
        <v>6.9999999999999993E-3</v>
      </c>
      <c r="D269" s="577">
        <v>2E-3</v>
      </c>
      <c r="E269" s="577">
        <v>2.3833333333333332E-3</v>
      </c>
      <c r="F269" s="577">
        <v>2.4499999999999999E-3</v>
      </c>
      <c r="G269" s="577">
        <v>2.4166666666666664E-3</v>
      </c>
      <c r="H269" s="577">
        <v>2.5416666666666669E-3</v>
      </c>
      <c r="I269" s="577">
        <f t="shared" si="46"/>
        <v>-3.9900000000000005E-2</v>
      </c>
      <c r="J269" s="577">
        <f t="shared" si="39"/>
        <v>-4.0316666666666667E-2</v>
      </c>
      <c r="K269" s="577">
        <f t="shared" si="40"/>
        <v>4.4583333333333324E-3</v>
      </c>
      <c r="L269" s="585">
        <f t="shared" si="36"/>
        <v>-8.3797308993289743E-3</v>
      </c>
      <c r="M269" s="585">
        <f t="shared" si="37"/>
        <v>2.4E-2</v>
      </c>
      <c r="N269" s="585">
        <f t="shared" si="41"/>
        <v>2.8999999999999998E-2</v>
      </c>
      <c r="O269" s="586">
        <f t="shared" si="38"/>
        <v>-3.2379730899328975E-2</v>
      </c>
      <c r="P269" s="585">
        <f t="shared" si="42"/>
        <v>-3.7379730899328972E-2</v>
      </c>
      <c r="Q269" s="585">
        <f t="shared" si="43"/>
        <v>-0.1253600238991609</v>
      </c>
      <c r="R269" s="585">
        <f t="shared" si="44"/>
        <v>3.0500000000000003E-2</v>
      </c>
      <c r="S269" s="586">
        <f t="shared" si="45"/>
        <v>-0.1558600238991609</v>
      </c>
      <c r="U269" s="587"/>
      <c r="V269" s="587"/>
      <c r="W269" s="587"/>
      <c r="X269" s="587"/>
      <c r="Y269" s="587"/>
      <c r="Z269" s="587"/>
      <c r="AA269" s="587"/>
      <c r="AB269" s="587"/>
      <c r="AC269" s="587"/>
      <c r="AE269" s="587"/>
      <c r="AF269" s="587"/>
      <c r="AG269" s="587"/>
      <c r="AH269" s="587"/>
      <c r="AI269" s="587"/>
      <c r="AJ269" s="587"/>
      <c r="AK269" s="587"/>
      <c r="AL269" s="587"/>
      <c r="AM269" s="587"/>
      <c r="AO269" s="587"/>
      <c r="AP269" s="587"/>
      <c r="AQ269" s="587"/>
      <c r="AR269" s="587"/>
      <c r="AS269" s="587"/>
      <c r="AT269" s="587"/>
      <c r="AU269" s="587"/>
      <c r="AV269" s="587"/>
      <c r="AW269" s="587"/>
    </row>
    <row r="270" spans="1:49">
      <c r="A270" s="581">
        <v>17564</v>
      </c>
      <c r="B270" s="594">
        <v>-3.8800000000000001E-2</v>
      </c>
      <c r="C270" s="577">
        <v>-3.7200000000000004E-2</v>
      </c>
      <c r="D270" s="577">
        <v>1.9E-3</v>
      </c>
      <c r="E270" s="577">
        <v>2.3750000000000004E-3</v>
      </c>
      <c r="F270" s="577">
        <v>2.4416666666666666E-3</v>
      </c>
      <c r="G270" s="577">
        <v>2.4083333333333335E-3</v>
      </c>
      <c r="H270" s="577">
        <v>2.5416666666666669E-3</v>
      </c>
      <c r="I270" s="577">
        <f t="shared" si="46"/>
        <v>-4.07E-2</v>
      </c>
      <c r="J270" s="577">
        <f t="shared" si="39"/>
        <v>-4.1208333333333333E-2</v>
      </c>
      <c r="K270" s="577">
        <f t="shared" si="40"/>
        <v>-3.9741666666666668E-2</v>
      </c>
      <c r="L270" s="585">
        <f t="shared" si="36"/>
        <v>-3.9458427230106508E-2</v>
      </c>
      <c r="M270" s="585">
        <f t="shared" si="37"/>
        <v>2.2800000000000001E-2</v>
      </c>
      <c r="N270" s="585">
        <f t="shared" si="41"/>
        <v>2.8900000000000002E-2</v>
      </c>
      <c r="O270" s="586">
        <f t="shared" si="38"/>
        <v>-6.2258427230106508E-2</v>
      </c>
      <c r="P270" s="585">
        <f t="shared" si="42"/>
        <v>-6.8358427230106517E-2</v>
      </c>
      <c r="Q270" s="585">
        <f t="shared" si="43"/>
        <v>-0.15033460903048357</v>
      </c>
      <c r="R270" s="585">
        <f t="shared" si="44"/>
        <v>3.0500000000000003E-2</v>
      </c>
      <c r="S270" s="586">
        <f t="shared" si="45"/>
        <v>-0.18083460903048357</v>
      </c>
      <c r="U270" s="587"/>
      <c r="V270" s="587"/>
      <c r="W270" s="587"/>
      <c r="X270" s="587"/>
      <c r="Y270" s="587"/>
      <c r="Z270" s="587"/>
      <c r="AA270" s="587"/>
      <c r="AB270" s="587"/>
      <c r="AC270" s="587"/>
      <c r="AE270" s="587"/>
      <c r="AF270" s="587"/>
      <c r="AG270" s="587"/>
      <c r="AH270" s="587"/>
      <c r="AI270" s="587"/>
      <c r="AJ270" s="587"/>
      <c r="AK270" s="587"/>
      <c r="AL270" s="587"/>
      <c r="AM270" s="587"/>
      <c r="AO270" s="587"/>
      <c r="AP270" s="587"/>
      <c r="AQ270" s="587"/>
      <c r="AR270" s="587"/>
      <c r="AS270" s="587"/>
      <c r="AT270" s="587"/>
      <c r="AU270" s="587"/>
      <c r="AV270" s="587"/>
      <c r="AW270" s="587"/>
    </row>
    <row r="271" spans="1:49">
      <c r="A271" s="581">
        <v>17593</v>
      </c>
      <c r="B271" s="594">
        <v>7.9299999999999995E-2</v>
      </c>
      <c r="C271" s="577">
        <v>6.1699999999999998E-2</v>
      </c>
      <c r="D271" s="577">
        <v>2.2000000000000001E-3</v>
      </c>
      <c r="E271" s="577">
        <v>2.3583333333333334E-3</v>
      </c>
      <c r="F271" s="577">
        <v>2.4166666666666668E-3</v>
      </c>
      <c r="G271" s="577">
        <v>2.3875000000000003E-3</v>
      </c>
      <c r="H271" s="577">
        <v>2.5166666666666666E-3</v>
      </c>
      <c r="I271" s="577">
        <f t="shared" si="46"/>
        <v>7.7100000000000002E-2</v>
      </c>
      <c r="J271" s="577">
        <f t="shared" si="39"/>
        <v>7.6912499999999995E-2</v>
      </c>
      <c r="K271" s="577">
        <f t="shared" si="40"/>
        <v>5.9183333333333331E-2</v>
      </c>
      <c r="L271" s="585">
        <f t="shared" si="36"/>
        <v>5.2393177840367233E-2</v>
      </c>
      <c r="M271" s="585">
        <f t="shared" si="37"/>
        <v>2.64E-2</v>
      </c>
      <c r="N271" s="585">
        <f t="shared" si="41"/>
        <v>2.8650000000000002E-2</v>
      </c>
      <c r="O271" s="586">
        <f t="shared" si="38"/>
        <v>2.5993177840367233E-2</v>
      </c>
      <c r="P271" s="585">
        <f t="shared" si="42"/>
        <v>2.3743177840367231E-2</v>
      </c>
      <c r="Q271" s="585">
        <f t="shared" si="43"/>
        <v>-6.3833804906251457E-2</v>
      </c>
      <c r="R271" s="585">
        <f t="shared" si="44"/>
        <v>3.0199999999999998E-2</v>
      </c>
      <c r="S271" s="586">
        <f t="shared" si="45"/>
        <v>-9.4033804906251461E-2</v>
      </c>
      <c r="U271" s="587"/>
      <c r="V271" s="587"/>
      <c r="W271" s="587"/>
      <c r="X271" s="587"/>
      <c r="Y271" s="587"/>
      <c r="Z271" s="587"/>
      <c r="AA271" s="587"/>
      <c r="AB271" s="587"/>
      <c r="AC271" s="587"/>
      <c r="AE271" s="587"/>
      <c r="AF271" s="587"/>
      <c r="AG271" s="587"/>
      <c r="AH271" s="587"/>
      <c r="AI271" s="587"/>
      <c r="AJ271" s="587"/>
      <c r="AK271" s="587"/>
      <c r="AL271" s="587"/>
      <c r="AM271" s="587"/>
      <c r="AO271" s="587"/>
      <c r="AP271" s="587"/>
      <c r="AQ271" s="587"/>
      <c r="AR271" s="587"/>
      <c r="AS271" s="587"/>
      <c r="AT271" s="587"/>
      <c r="AU271" s="587"/>
      <c r="AV271" s="587"/>
      <c r="AW271" s="587"/>
    </row>
    <row r="272" spans="1:49">
      <c r="A272" s="581">
        <v>17624</v>
      </c>
      <c r="B272" s="594">
        <v>2.92E-2</v>
      </c>
      <c r="C272" s="577">
        <v>1.6E-2</v>
      </c>
      <c r="D272" s="577">
        <v>2E-3</v>
      </c>
      <c r="E272" s="577">
        <v>2.3166666666666665E-3</v>
      </c>
      <c r="F272" s="577">
        <v>2.3916666666666665E-3</v>
      </c>
      <c r="G272" s="577">
        <v>2.3541666666666667E-3</v>
      </c>
      <c r="H272" s="577">
        <v>2.4750000000000002E-3</v>
      </c>
      <c r="I272" s="577">
        <f t="shared" si="46"/>
        <v>2.7200000000000002E-2</v>
      </c>
      <c r="J272" s="577">
        <f t="shared" si="39"/>
        <v>2.6845833333333333E-2</v>
      </c>
      <c r="K272" s="577">
        <f t="shared" si="40"/>
        <v>1.3525000000000001E-2</v>
      </c>
      <c r="L272" s="585">
        <f t="shared" ref="L272:L335" si="47">((1+B261)*(1+B262)*(1+B263)*(1+B264)*(1+B265)*(1+B266)*(1+B267)*(1+B268)*(1+B269)*(1+B270)*(1+B271)*(1+B272))-1</f>
        <v>0.12392140565871723</v>
      </c>
      <c r="M272" s="585">
        <f t="shared" ref="M272:M335" si="48">D272*12</f>
        <v>2.4E-2</v>
      </c>
      <c r="N272" s="585">
        <f t="shared" si="41"/>
        <v>2.8250000000000001E-2</v>
      </c>
      <c r="O272" s="586">
        <f t="shared" ref="O272:O335" si="49">L272-M272</f>
        <v>9.9921405658717238E-2</v>
      </c>
      <c r="P272" s="585">
        <f t="shared" si="42"/>
        <v>9.5671405658717235E-2</v>
      </c>
      <c r="Q272" s="585">
        <f t="shared" si="43"/>
        <v>-1.7412340686727146E-2</v>
      </c>
      <c r="R272" s="585">
        <f t="shared" si="44"/>
        <v>2.9700000000000004E-2</v>
      </c>
      <c r="S272" s="586">
        <f t="shared" si="45"/>
        <v>-4.711234068672715E-2</v>
      </c>
      <c r="U272" s="587"/>
      <c r="V272" s="587"/>
      <c r="W272" s="587"/>
      <c r="X272" s="587"/>
      <c r="Y272" s="587"/>
      <c r="Z272" s="587"/>
      <c r="AA272" s="587"/>
      <c r="AB272" s="587"/>
      <c r="AC272" s="587"/>
      <c r="AE272" s="587"/>
      <c r="AF272" s="587"/>
      <c r="AG272" s="587"/>
      <c r="AH272" s="587"/>
      <c r="AI272" s="587"/>
      <c r="AJ272" s="587"/>
      <c r="AK272" s="587"/>
      <c r="AL272" s="587"/>
      <c r="AM272" s="587"/>
      <c r="AO272" s="587"/>
      <c r="AP272" s="587"/>
      <c r="AQ272" s="587"/>
      <c r="AR272" s="587"/>
      <c r="AS272" s="587"/>
      <c r="AT272" s="587"/>
      <c r="AU272" s="587"/>
      <c r="AV272" s="587"/>
      <c r="AW272" s="587"/>
    </row>
    <row r="273" spans="1:49">
      <c r="A273" s="581">
        <v>17654</v>
      </c>
      <c r="B273" s="594">
        <v>8.7900000000000006E-2</v>
      </c>
      <c r="C273" s="577">
        <v>5.8299999999999998E-2</v>
      </c>
      <c r="D273" s="577">
        <v>1.8E-3</v>
      </c>
      <c r="E273" s="577">
        <v>2.3E-3</v>
      </c>
      <c r="F273" s="577">
        <v>2.3833333333333332E-3</v>
      </c>
      <c r="G273" s="577">
        <v>2.3416666666666664E-3</v>
      </c>
      <c r="H273" s="577">
        <v>2.4499999999999999E-3</v>
      </c>
      <c r="I273" s="577">
        <f t="shared" si="46"/>
        <v>8.610000000000001E-2</v>
      </c>
      <c r="J273" s="577">
        <f t="shared" si="39"/>
        <v>8.5558333333333333E-2</v>
      </c>
      <c r="K273" s="577">
        <f t="shared" si="40"/>
        <v>5.5849999999999997E-2</v>
      </c>
      <c r="L273" s="585">
        <f t="shared" si="47"/>
        <v>0.2210046906492098</v>
      </c>
      <c r="M273" s="585">
        <f t="shared" si="48"/>
        <v>2.1600000000000001E-2</v>
      </c>
      <c r="N273" s="585">
        <f t="shared" si="41"/>
        <v>2.8099999999999997E-2</v>
      </c>
      <c r="O273" s="586">
        <f t="shared" si="49"/>
        <v>0.19940469064920979</v>
      </c>
      <c r="P273" s="585">
        <f t="shared" si="42"/>
        <v>0.19290469064920981</v>
      </c>
      <c r="Q273" s="585">
        <f t="shared" si="43"/>
        <v>6.9717642064845986E-2</v>
      </c>
      <c r="R273" s="585">
        <f t="shared" si="44"/>
        <v>2.9399999999999999E-2</v>
      </c>
      <c r="S273" s="586">
        <f t="shared" si="45"/>
        <v>4.031764206484599E-2</v>
      </c>
      <c r="U273" s="587"/>
      <c r="V273" s="587"/>
      <c r="W273" s="587"/>
      <c r="X273" s="587"/>
      <c r="Y273" s="587"/>
      <c r="Z273" s="587"/>
      <c r="AA273" s="587"/>
      <c r="AB273" s="587"/>
      <c r="AC273" s="587"/>
      <c r="AE273" s="587"/>
      <c r="AF273" s="587"/>
      <c r="AG273" s="587"/>
      <c r="AH273" s="587"/>
      <c r="AI273" s="587"/>
      <c r="AJ273" s="587"/>
      <c r="AK273" s="587"/>
      <c r="AL273" s="587"/>
      <c r="AM273" s="587"/>
      <c r="AO273" s="587"/>
      <c r="AP273" s="587"/>
      <c r="AQ273" s="587"/>
      <c r="AR273" s="587"/>
      <c r="AS273" s="587"/>
      <c r="AT273" s="587"/>
      <c r="AU273" s="587"/>
      <c r="AV273" s="587"/>
      <c r="AW273" s="587"/>
    </row>
    <row r="274" spans="1:49">
      <c r="A274" s="581">
        <v>17685</v>
      </c>
      <c r="B274" s="594">
        <v>5.4000000000000003E-3</v>
      </c>
      <c r="C274" s="577">
        <v>2.12E-2</v>
      </c>
      <c r="D274" s="577">
        <v>2.0999999999999999E-3</v>
      </c>
      <c r="E274" s="577">
        <v>2.3E-3</v>
      </c>
      <c r="F274" s="577">
        <v>2.3750000000000004E-3</v>
      </c>
      <c r="G274" s="577">
        <v>2.3375000000000002E-3</v>
      </c>
      <c r="H274" s="577">
        <v>2.4499999999999999E-3</v>
      </c>
      <c r="I274" s="577">
        <f t="shared" si="46"/>
        <v>3.3000000000000004E-3</v>
      </c>
      <c r="J274" s="577">
        <f t="shared" si="39"/>
        <v>3.0625000000000001E-3</v>
      </c>
      <c r="K274" s="577">
        <f t="shared" si="40"/>
        <v>1.8749999999999999E-2</v>
      </c>
      <c r="L274" s="585">
        <f t="shared" si="47"/>
        <v>0.16315910174219739</v>
      </c>
      <c r="M274" s="585">
        <f t="shared" si="48"/>
        <v>2.52E-2</v>
      </c>
      <c r="N274" s="585">
        <f t="shared" si="41"/>
        <v>2.8050000000000002E-2</v>
      </c>
      <c r="O274" s="586">
        <f t="shared" si="49"/>
        <v>0.13795910174219739</v>
      </c>
      <c r="P274" s="585">
        <f t="shared" si="42"/>
        <v>0.1351091017421974</v>
      </c>
      <c r="Q274" s="585">
        <f t="shared" si="43"/>
        <v>4.7560084461661933E-2</v>
      </c>
      <c r="R274" s="585">
        <f t="shared" si="44"/>
        <v>2.9399999999999999E-2</v>
      </c>
      <c r="S274" s="586">
        <f t="shared" si="45"/>
        <v>1.8160084461661934E-2</v>
      </c>
      <c r="U274" s="587"/>
      <c r="V274" s="587"/>
      <c r="W274" s="587"/>
      <c r="X274" s="587"/>
      <c r="Y274" s="587"/>
      <c r="Z274" s="587"/>
      <c r="AA274" s="587"/>
      <c r="AB274" s="587"/>
      <c r="AC274" s="587"/>
      <c r="AE274" s="587"/>
      <c r="AF274" s="587"/>
      <c r="AG274" s="587"/>
      <c r="AH274" s="587"/>
      <c r="AI274" s="587"/>
      <c r="AJ274" s="587"/>
      <c r="AK274" s="587"/>
      <c r="AL274" s="587"/>
      <c r="AM274" s="587"/>
      <c r="AO274" s="587"/>
      <c r="AP274" s="587"/>
      <c r="AQ274" s="587"/>
      <c r="AR274" s="587"/>
      <c r="AS274" s="587"/>
      <c r="AT274" s="587"/>
      <c r="AU274" s="587"/>
      <c r="AV274" s="587"/>
      <c r="AW274" s="587"/>
    </row>
    <row r="275" spans="1:49">
      <c r="A275" s="581">
        <v>17715</v>
      </c>
      <c r="B275" s="594">
        <v>-5.0799999999999998E-2</v>
      </c>
      <c r="C275" s="577">
        <v>-4.4299999999999999E-2</v>
      </c>
      <c r="D275" s="577">
        <v>1.9E-3</v>
      </c>
      <c r="E275" s="577">
        <v>2.3416666666666668E-3</v>
      </c>
      <c r="F275" s="577">
        <v>2.4083333333333335E-3</v>
      </c>
      <c r="G275" s="577">
        <v>2.3749999999999999E-3</v>
      </c>
      <c r="H275" s="577">
        <v>2.4916666666666668E-3</v>
      </c>
      <c r="I275" s="577">
        <f t="shared" si="46"/>
        <v>-5.2699999999999997E-2</v>
      </c>
      <c r="J275" s="577">
        <f t="shared" si="39"/>
        <v>-5.3175E-2</v>
      </c>
      <c r="K275" s="577">
        <f t="shared" si="40"/>
        <v>-4.6791666666666669E-2</v>
      </c>
      <c r="L275" s="585">
        <f t="shared" si="47"/>
        <v>6.3549387702238613E-2</v>
      </c>
      <c r="M275" s="585">
        <f t="shared" si="48"/>
        <v>2.2800000000000001E-2</v>
      </c>
      <c r="N275" s="585">
        <f t="shared" si="41"/>
        <v>2.8499999999999998E-2</v>
      </c>
      <c r="O275" s="586">
        <f t="shared" si="49"/>
        <v>4.0749387702238613E-2</v>
      </c>
      <c r="P275" s="585">
        <f t="shared" si="42"/>
        <v>3.5049387702238616E-2</v>
      </c>
      <c r="Q275" s="585">
        <f t="shared" si="43"/>
        <v>-1.9822623144693408E-2</v>
      </c>
      <c r="R275" s="585">
        <f t="shared" si="44"/>
        <v>2.9900000000000003E-2</v>
      </c>
      <c r="S275" s="586">
        <f t="shared" si="45"/>
        <v>-4.9722623144693411E-2</v>
      </c>
      <c r="U275" s="587"/>
      <c r="V275" s="587"/>
      <c r="W275" s="587"/>
      <c r="X275" s="587"/>
      <c r="Y275" s="587"/>
      <c r="Z275" s="587"/>
      <c r="AA275" s="587"/>
      <c r="AB275" s="587"/>
      <c r="AC275" s="587"/>
      <c r="AE275" s="587"/>
      <c r="AF275" s="587"/>
      <c r="AG275" s="587"/>
      <c r="AH275" s="587"/>
      <c r="AI275" s="587"/>
      <c r="AJ275" s="587"/>
      <c r="AK275" s="587"/>
      <c r="AL275" s="587"/>
      <c r="AM275" s="587"/>
      <c r="AO275" s="587"/>
      <c r="AP275" s="587"/>
      <c r="AQ275" s="587"/>
      <c r="AR275" s="587"/>
      <c r="AS275" s="587"/>
      <c r="AT275" s="587"/>
      <c r="AU275" s="587"/>
      <c r="AV275" s="587"/>
      <c r="AW275" s="587"/>
    </row>
    <row r="276" spans="1:49">
      <c r="A276" s="581">
        <v>17746</v>
      </c>
      <c r="B276" s="594">
        <v>1.5800000000000002E-2</v>
      </c>
      <c r="C276" s="577">
        <v>3.5999999999999999E-3</v>
      </c>
      <c r="D276" s="577">
        <v>2.0999999999999999E-3</v>
      </c>
      <c r="E276" s="577">
        <v>2.3666666666666667E-3</v>
      </c>
      <c r="F276" s="577">
        <v>2.4499999999999999E-3</v>
      </c>
      <c r="G276" s="577">
        <v>2.4083333333333335E-3</v>
      </c>
      <c r="H276" s="577">
        <v>2.5249999999999999E-3</v>
      </c>
      <c r="I276" s="577">
        <f t="shared" si="46"/>
        <v>1.3700000000000002E-2</v>
      </c>
      <c r="J276" s="577">
        <f t="shared" si="39"/>
        <v>1.3391666666666668E-2</v>
      </c>
      <c r="K276" s="577">
        <f t="shared" si="40"/>
        <v>1.075E-3</v>
      </c>
      <c r="L276" s="585">
        <f t="shared" si="47"/>
        <v>0.10273907117274073</v>
      </c>
      <c r="M276" s="585">
        <f t="shared" si="48"/>
        <v>2.52E-2</v>
      </c>
      <c r="N276" s="585">
        <f t="shared" si="41"/>
        <v>2.8900000000000002E-2</v>
      </c>
      <c r="O276" s="586">
        <f t="shared" si="49"/>
        <v>7.7539071172740726E-2</v>
      </c>
      <c r="P276" s="585">
        <f t="shared" si="42"/>
        <v>7.3839071172740717E-2</v>
      </c>
      <c r="Q276" s="585">
        <f t="shared" si="43"/>
        <v>-1.4125059719397148E-2</v>
      </c>
      <c r="R276" s="585">
        <f t="shared" si="44"/>
        <v>3.0300000000000001E-2</v>
      </c>
      <c r="S276" s="586">
        <f t="shared" si="45"/>
        <v>-4.4425059719397149E-2</v>
      </c>
      <c r="U276" s="587"/>
      <c r="V276" s="587"/>
      <c r="W276" s="587"/>
      <c r="X276" s="587"/>
      <c r="Y276" s="587"/>
      <c r="Z276" s="587"/>
      <c r="AA276" s="587"/>
      <c r="AB276" s="587"/>
      <c r="AC276" s="587"/>
      <c r="AE276" s="587"/>
      <c r="AF276" s="587"/>
      <c r="AG276" s="587"/>
      <c r="AH276" s="587"/>
      <c r="AI276" s="587"/>
      <c r="AJ276" s="587"/>
      <c r="AK276" s="587"/>
      <c r="AL276" s="587"/>
      <c r="AM276" s="587"/>
      <c r="AO276" s="587"/>
      <c r="AP276" s="587"/>
      <c r="AQ276" s="587"/>
      <c r="AR276" s="587"/>
      <c r="AS276" s="587"/>
      <c r="AT276" s="587"/>
      <c r="AU276" s="587"/>
      <c r="AV276" s="587"/>
      <c r="AW276" s="587"/>
    </row>
    <row r="277" spans="1:49">
      <c r="A277" s="581">
        <v>17777</v>
      </c>
      <c r="B277" s="594">
        <v>-2.76E-2</v>
      </c>
      <c r="C277" s="577">
        <v>-7.0999999999999995E-3</v>
      </c>
      <c r="D277" s="577">
        <v>2E-3</v>
      </c>
      <c r="E277" s="577">
        <v>2.3666666666666667E-3</v>
      </c>
      <c r="F277" s="577">
        <v>2.4416666666666666E-3</v>
      </c>
      <c r="G277" s="577">
        <v>2.4041666666666669E-3</v>
      </c>
      <c r="H277" s="577">
        <v>2.5416666666666669E-3</v>
      </c>
      <c r="I277" s="577">
        <f t="shared" si="46"/>
        <v>-2.9600000000000001E-2</v>
      </c>
      <c r="J277" s="577">
        <f t="shared" si="39"/>
        <v>-3.0004166666666665E-2</v>
      </c>
      <c r="K277" s="577">
        <f t="shared" si="40"/>
        <v>-9.6416666666666664E-3</v>
      </c>
      <c r="L277" s="585">
        <f t="shared" si="47"/>
        <v>8.433964284394091E-2</v>
      </c>
      <c r="M277" s="585">
        <f t="shared" si="48"/>
        <v>2.4E-2</v>
      </c>
      <c r="N277" s="585">
        <f t="shared" si="41"/>
        <v>2.8850000000000001E-2</v>
      </c>
      <c r="O277" s="586">
        <f t="shared" si="49"/>
        <v>6.0339642843940909E-2</v>
      </c>
      <c r="P277" s="585">
        <f t="shared" si="42"/>
        <v>5.5489642843940909E-2</v>
      </c>
      <c r="Q277" s="585">
        <f t="shared" si="43"/>
        <v>-7.0245199790925916E-3</v>
      </c>
      <c r="R277" s="585">
        <f t="shared" si="44"/>
        <v>3.0500000000000003E-2</v>
      </c>
      <c r="S277" s="586">
        <f t="shared" si="45"/>
        <v>-3.7524519979092591E-2</v>
      </c>
      <c r="U277" s="587"/>
      <c r="V277" s="587"/>
      <c r="W277" s="587"/>
      <c r="X277" s="587"/>
      <c r="Y277" s="587"/>
      <c r="Z277" s="587"/>
      <c r="AA277" s="587"/>
      <c r="AB277" s="587"/>
      <c r="AC277" s="587"/>
      <c r="AE277" s="587"/>
      <c r="AF277" s="587"/>
      <c r="AG277" s="587"/>
      <c r="AH277" s="587"/>
      <c r="AI277" s="587"/>
      <c r="AJ277" s="587"/>
      <c r="AK277" s="587"/>
      <c r="AL277" s="587"/>
      <c r="AM277" s="587"/>
      <c r="AO277" s="587"/>
      <c r="AP277" s="587"/>
      <c r="AQ277" s="587"/>
      <c r="AR277" s="587"/>
      <c r="AS277" s="587"/>
      <c r="AT277" s="587"/>
      <c r="AU277" s="587"/>
      <c r="AV277" s="587"/>
      <c r="AW277" s="587"/>
    </row>
    <row r="278" spans="1:49">
      <c r="A278" s="581">
        <v>17807</v>
      </c>
      <c r="B278" s="594">
        <v>7.0999999999999994E-2</v>
      </c>
      <c r="C278" s="577">
        <v>4.0300000000000002E-2</v>
      </c>
      <c r="D278" s="577">
        <v>1.9E-3</v>
      </c>
      <c r="E278" s="577">
        <v>2.3666666666666667E-3</v>
      </c>
      <c r="F278" s="577">
        <v>2.4499999999999999E-3</v>
      </c>
      <c r="G278" s="577">
        <v>2.4083333333333335E-3</v>
      </c>
      <c r="H278" s="577">
        <v>2.5249999999999999E-3</v>
      </c>
      <c r="I278" s="577">
        <f t="shared" si="46"/>
        <v>6.9099999999999995E-2</v>
      </c>
      <c r="J278" s="577">
        <f t="shared" si="39"/>
        <v>6.8591666666666662E-2</v>
      </c>
      <c r="K278" s="577">
        <f t="shared" si="40"/>
        <v>3.7775000000000003E-2</v>
      </c>
      <c r="L278" s="585">
        <f t="shared" si="47"/>
        <v>0.13433068713211571</v>
      </c>
      <c r="M278" s="585">
        <f t="shared" si="48"/>
        <v>2.2800000000000001E-2</v>
      </c>
      <c r="N278" s="585">
        <f t="shared" si="41"/>
        <v>2.8900000000000002E-2</v>
      </c>
      <c r="O278" s="586">
        <f t="shared" si="49"/>
        <v>0.11153068713211571</v>
      </c>
      <c r="P278" s="585">
        <f t="shared" si="42"/>
        <v>0.1054306871321157</v>
      </c>
      <c r="Q278" s="585">
        <f t="shared" si="43"/>
        <v>4.6916379715972845E-2</v>
      </c>
      <c r="R278" s="585">
        <f t="shared" si="44"/>
        <v>3.0300000000000001E-2</v>
      </c>
      <c r="S278" s="586">
        <f t="shared" si="45"/>
        <v>1.6616379715972844E-2</v>
      </c>
      <c r="U278" s="587"/>
      <c r="V278" s="587"/>
      <c r="W278" s="587"/>
      <c r="X278" s="587"/>
      <c r="Y278" s="587"/>
      <c r="Z278" s="587"/>
      <c r="AA278" s="587"/>
      <c r="AB278" s="587"/>
      <c r="AC278" s="587"/>
      <c r="AE278" s="587"/>
      <c r="AF278" s="587"/>
      <c r="AG278" s="587"/>
      <c r="AH278" s="587"/>
      <c r="AI278" s="587"/>
      <c r="AJ278" s="587"/>
      <c r="AK278" s="587"/>
      <c r="AL278" s="587"/>
      <c r="AM278" s="587"/>
      <c r="AO278" s="587"/>
      <c r="AP278" s="587"/>
      <c r="AQ278" s="587"/>
      <c r="AR278" s="587"/>
      <c r="AS278" s="587"/>
      <c r="AT278" s="587"/>
      <c r="AU278" s="587"/>
      <c r="AV278" s="587"/>
      <c r="AW278" s="587"/>
    </row>
    <row r="279" spans="1:49">
      <c r="A279" s="581">
        <v>17838</v>
      </c>
      <c r="B279" s="594">
        <v>-9.6100000000000005E-2</v>
      </c>
      <c r="C279" s="577">
        <v>-9.1299999999999992E-2</v>
      </c>
      <c r="D279" s="577">
        <v>2.0999999999999999E-3</v>
      </c>
      <c r="E279" s="577">
        <v>2.3666666666666667E-3</v>
      </c>
      <c r="F279" s="577">
        <v>2.4333333333333334E-3</v>
      </c>
      <c r="G279" s="577">
        <v>2.3999999999999998E-3</v>
      </c>
      <c r="H279" s="577">
        <v>2.5583333333333335E-3</v>
      </c>
      <c r="I279" s="577">
        <f t="shared" si="46"/>
        <v>-9.820000000000001E-2</v>
      </c>
      <c r="J279" s="577">
        <f t="shared" si="39"/>
        <v>-9.8500000000000004E-2</v>
      </c>
      <c r="K279" s="577">
        <f t="shared" si="40"/>
        <v>-9.3858333333333321E-2</v>
      </c>
      <c r="L279" s="585">
        <f t="shared" si="47"/>
        <v>4.3584232161547165E-2</v>
      </c>
      <c r="M279" s="585">
        <f t="shared" si="48"/>
        <v>2.52E-2</v>
      </c>
      <c r="N279" s="585">
        <f t="shared" si="41"/>
        <v>2.8799999999999999E-2</v>
      </c>
      <c r="O279" s="586">
        <f t="shared" si="49"/>
        <v>1.8384232161547165E-2</v>
      </c>
      <c r="P279" s="585">
        <f t="shared" si="42"/>
        <v>1.4784232161547166E-2</v>
      </c>
      <c r="Q279" s="585">
        <f t="shared" si="43"/>
        <v>3.6762112301552241E-2</v>
      </c>
      <c r="R279" s="585">
        <f t="shared" si="44"/>
        <v>3.0700000000000002E-2</v>
      </c>
      <c r="S279" s="586">
        <f t="shared" si="45"/>
        <v>6.0621123015522395E-3</v>
      </c>
      <c r="U279" s="587"/>
      <c r="V279" s="587"/>
      <c r="W279" s="587"/>
      <c r="X279" s="587"/>
      <c r="Y279" s="587"/>
      <c r="Z279" s="587"/>
      <c r="AA279" s="587"/>
      <c r="AB279" s="587"/>
      <c r="AC279" s="587"/>
      <c r="AE279" s="587"/>
      <c r="AF279" s="587"/>
      <c r="AG279" s="587"/>
      <c r="AH279" s="587"/>
      <c r="AI279" s="587"/>
      <c r="AJ279" s="587"/>
      <c r="AK279" s="587"/>
      <c r="AL279" s="587"/>
      <c r="AM279" s="587"/>
      <c r="AO279" s="587"/>
      <c r="AP279" s="587"/>
      <c r="AQ279" s="587"/>
      <c r="AR279" s="587"/>
      <c r="AS279" s="587"/>
      <c r="AT279" s="587"/>
      <c r="AU279" s="587"/>
      <c r="AV279" s="587"/>
      <c r="AW279" s="587"/>
    </row>
    <row r="280" spans="1:49">
      <c r="A280" s="581">
        <v>17868</v>
      </c>
      <c r="B280" s="594">
        <v>3.4599999999999999E-2</v>
      </c>
      <c r="C280" s="577">
        <v>2.2099999999999998E-2</v>
      </c>
      <c r="D280" s="577">
        <v>2E-3</v>
      </c>
      <c r="E280" s="577">
        <v>2.3250000000000002E-3</v>
      </c>
      <c r="F280" s="577">
        <v>2.3999999999999998E-3</v>
      </c>
      <c r="G280" s="577">
        <v>2.3625E-3</v>
      </c>
      <c r="H280" s="577">
        <v>2.5500000000000002E-3</v>
      </c>
      <c r="I280" s="577">
        <f t="shared" si="46"/>
        <v>3.2599999999999997E-2</v>
      </c>
      <c r="J280" s="577">
        <f t="shared" si="39"/>
        <v>3.2237500000000002E-2</v>
      </c>
      <c r="K280" s="577">
        <f t="shared" si="40"/>
        <v>1.9549999999999998E-2</v>
      </c>
      <c r="L280" s="585">
        <f t="shared" si="47"/>
        <v>5.5108224952932883E-2</v>
      </c>
      <c r="M280" s="585">
        <f t="shared" si="48"/>
        <v>2.4E-2</v>
      </c>
      <c r="N280" s="585">
        <f t="shared" si="41"/>
        <v>2.835E-2</v>
      </c>
      <c r="O280" s="586">
        <f t="shared" si="49"/>
        <v>3.1108224952932882E-2</v>
      </c>
      <c r="P280" s="585">
        <f t="shared" si="42"/>
        <v>2.6758224952932883E-2</v>
      </c>
      <c r="Q280" s="585">
        <f t="shared" si="43"/>
        <v>4.0018210799309673E-2</v>
      </c>
      <c r="R280" s="585">
        <f t="shared" si="44"/>
        <v>3.0600000000000002E-2</v>
      </c>
      <c r="S280" s="586">
        <f t="shared" si="45"/>
        <v>9.4182107993096703E-3</v>
      </c>
      <c r="U280" s="587"/>
      <c r="V280" s="587"/>
      <c r="W280" s="587"/>
      <c r="X280" s="587"/>
      <c r="Y280" s="587"/>
      <c r="Z280" s="587"/>
      <c r="AA280" s="587"/>
      <c r="AB280" s="587"/>
      <c r="AC280" s="587"/>
      <c r="AE280" s="587"/>
      <c r="AF280" s="587"/>
      <c r="AG280" s="587"/>
      <c r="AH280" s="587"/>
      <c r="AI280" s="587"/>
      <c r="AJ280" s="587"/>
      <c r="AK280" s="587"/>
      <c r="AL280" s="587"/>
      <c r="AM280" s="587"/>
      <c r="AO280" s="587"/>
      <c r="AP280" s="587"/>
      <c r="AQ280" s="587"/>
      <c r="AR280" s="587"/>
      <c r="AS280" s="587"/>
      <c r="AT280" s="587"/>
      <c r="AU280" s="587"/>
      <c r="AV280" s="587"/>
      <c r="AW280" s="587"/>
    </row>
    <row r="281" spans="1:49">
      <c r="A281" s="581">
        <v>17899</v>
      </c>
      <c r="B281" s="594">
        <v>3.8999999999999998E-3</v>
      </c>
      <c r="C281" s="577">
        <v>5.04E-2</v>
      </c>
      <c r="D281" s="577">
        <v>2E-3</v>
      </c>
      <c r="E281" s="577">
        <v>2.2583333333333331E-3</v>
      </c>
      <c r="F281" s="577">
        <v>2.3416666666666668E-3</v>
      </c>
      <c r="G281" s="577">
        <v>2.3E-3</v>
      </c>
      <c r="H281" s="577">
        <v>2.4916666666666668E-3</v>
      </c>
      <c r="I281" s="577">
        <f t="shared" si="46"/>
        <v>1.8999999999999998E-3</v>
      </c>
      <c r="J281" s="577">
        <f t="shared" si="39"/>
        <v>1.5999999999999999E-3</v>
      </c>
      <c r="K281" s="577">
        <f t="shared" si="40"/>
        <v>4.7908333333333331E-2</v>
      </c>
      <c r="L281" s="585">
        <f t="shared" si="47"/>
        <v>0.10094911862618194</v>
      </c>
      <c r="M281" s="585">
        <f t="shared" si="48"/>
        <v>2.4E-2</v>
      </c>
      <c r="N281" s="585">
        <f t="shared" si="41"/>
        <v>2.76E-2</v>
      </c>
      <c r="O281" s="586">
        <f t="shared" si="49"/>
        <v>7.694911862618195E-2</v>
      </c>
      <c r="P281" s="585">
        <f t="shared" si="42"/>
        <v>7.3349118626181944E-2</v>
      </c>
      <c r="Q281" s="585">
        <f t="shared" si="43"/>
        <v>8.484123994398729E-2</v>
      </c>
      <c r="R281" s="585">
        <f t="shared" si="44"/>
        <v>2.9900000000000003E-2</v>
      </c>
      <c r="S281" s="586">
        <f t="shared" si="45"/>
        <v>5.4941239943987287E-2</v>
      </c>
      <c r="U281" s="587"/>
      <c r="V281" s="587"/>
      <c r="W281" s="587"/>
      <c r="X281" s="587"/>
      <c r="Y281" s="587"/>
      <c r="Z281" s="587"/>
      <c r="AA281" s="587"/>
      <c r="AB281" s="587"/>
      <c r="AC281" s="587"/>
      <c r="AE281" s="587"/>
      <c r="AF281" s="587"/>
      <c r="AG281" s="587"/>
      <c r="AH281" s="587"/>
      <c r="AI281" s="587"/>
      <c r="AJ281" s="587"/>
      <c r="AK281" s="587"/>
      <c r="AL281" s="587"/>
      <c r="AM281" s="587"/>
      <c r="AO281" s="587"/>
      <c r="AP281" s="587"/>
      <c r="AQ281" s="587"/>
      <c r="AR281" s="587"/>
      <c r="AS281" s="587"/>
      <c r="AT281" s="587"/>
      <c r="AU281" s="587"/>
      <c r="AV281" s="587"/>
      <c r="AW281" s="587"/>
    </row>
    <row r="282" spans="1:49">
      <c r="A282" s="581">
        <v>17930</v>
      </c>
      <c r="B282" s="594">
        <v>-2.9600000000000001E-2</v>
      </c>
      <c r="C282" s="577">
        <v>5.0000000000000044E-4</v>
      </c>
      <c r="D282" s="577">
        <v>1.8E-3</v>
      </c>
      <c r="E282" s="577">
        <v>2.2583333333333331E-3</v>
      </c>
      <c r="F282" s="577">
        <v>2.3333333333333331E-3</v>
      </c>
      <c r="G282" s="577">
        <v>2.2958333333333329E-3</v>
      </c>
      <c r="H282" s="577">
        <v>2.4916666666666668E-3</v>
      </c>
      <c r="I282" s="577">
        <f t="shared" si="46"/>
        <v>-3.1400000000000004E-2</v>
      </c>
      <c r="J282" s="577">
        <f t="shared" si="39"/>
        <v>-3.1895833333333332E-2</v>
      </c>
      <c r="K282" s="577">
        <f t="shared" si="40"/>
        <v>-1.9916666666666663E-3</v>
      </c>
      <c r="L282" s="585">
        <f t="shared" si="47"/>
        <v>0.11148670902501734</v>
      </c>
      <c r="M282" s="585">
        <f t="shared" si="48"/>
        <v>2.1600000000000001E-2</v>
      </c>
      <c r="N282" s="585">
        <f t="shared" si="41"/>
        <v>2.7549999999999995E-2</v>
      </c>
      <c r="O282" s="586">
        <f t="shared" si="49"/>
        <v>8.9886709025017331E-2</v>
      </c>
      <c r="P282" s="585">
        <f t="shared" si="42"/>
        <v>8.3936709025017348E-2</v>
      </c>
      <c r="Q282" s="585">
        <f t="shared" si="43"/>
        <v>0.12731996319480543</v>
      </c>
      <c r="R282" s="585">
        <f t="shared" si="44"/>
        <v>2.9900000000000003E-2</v>
      </c>
      <c r="S282" s="586">
        <f t="shared" si="45"/>
        <v>9.741996319480542E-2</v>
      </c>
      <c r="U282" s="587"/>
      <c r="V282" s="587"/>
      <c r="W282" s="587"/>
      <c r="X282" s="587"/>
      <c r="Y282" s="587"/>
      <c r="Z282" s="587"/>
      <c r="AA282" s="587"/>
      <c r="AB282" s="587"/>
      <c r="AC282" s="587"/>
      <c r="AE282" s="587"/>
      <c r="AF282" s="587"/>
      <c r="AG282" s="587"/>
      <c r="AH282" s="587"/>
      <c r="AI282" s="587"/>
      <c r="AJ282" s="587"/>
      <c r="AK282" s="587"/>
      <c r="AL282" s="587"/>
      <c r="AM282" s="587"/>
      <c r="AO282" s="587"/>
      <c r="AP282" s="587"/>
      <c r="AQ282" s="587"/>
      <c r="AR282" s="587"/>
      <c r="AS282" s="587"/>
      <c r="AT282" s="587"/>
      <c r="AU282" s="587"/>
      <c r="AV282" s="587"/>
      <c r="AW282" s="587"/>
    </row>
    <row r="283" spans="1:49">
      <c r="A283" s="581">
        <v>17958</v>
      </c>
      <c r="B283" s="594">
        <v>3.2800000000000003E-2</v>
      </c>
      <c r="C283" s="577">
        <v>3.6400000000000002E-2</v>
      </c>
      <c r="D283" s="577">
        <v>1.9E-3</v>
      </c>
      <c r="E283" s="577">
        <v>2.2500000000000003E-3</v>
      </c>
      <c r="F283" s="577">
        <v>2.3250000000000002E-3</v>
      </c>
      <c r="G283" s="577">
        <v>2.2875E-3</v>
      </c>
      <c r="H283" s="577">
        <v>2.4750000000000002E-3</v>
      </c>
      <c r="I283" s="577">
        <f t="shared" si="46"/>
        <v>3.0900000000000004E-2</v>
      </c>
      <c r="J283" s="577">
        <f t="shared" si="39"/>
        <v>3.0512500000000001E-2</v>
      </c>
      <c r="K283" s="577">
        <f t="shared" si="40"/>
        <v>3.3925000000000004E-2</v>
      </c>
      <c r="L283" s="585">
        <f t="shared" si="47"/>
        <v>6.3599993589398496E-2</v>
      </c>
      <c r="M283" s="585">
        <f t="shared" si="48"/>
        <v>2.2800000000000001E-2</v>
      </c>
      <c r="N283" s="585">
        <f t="shared" si="41"/>
        <v>2.7450000000000002E-2</v>
      </c>
      <c r="O283" s="586">
        <f t="shared" si="49"/>
        <v>4.0799993589398495E-2</v>
      </c>
      <c r="P283" s="585">
        <f t="shared" si="42"/>
        <v>3.6149993589398494E-2</v>
      </c>
      <c r="Q283" s="585">
        <f t="shared" si="43"/>
        <v>0.10045625869369545</v>
      </c>
      <c r="R283" s="585">
        <f t="shared" si="44"/>
        <v>2.9700000000000004E-2</v>
      </c>
      <c r="S283" s="586">
        <f t="shared" si="45"/>
        <v>7.0756258693695451E-2</v>
      </c>
      <c r="U283" s="587"/>
      <c r="V283" s="587"/>
      <c r="W283" s="587"/>
      <c r="X283" s="587"/>
      <c r="Y283" s="587"/>
      <c r="Z283" s="587"/>
      <c r="AA283" s="587"/>
      <c r="AB283" s="587"/>
      <c r="AC283" s="587"/>
      <c r="AE283" s="587"/>
      <c r="AF283" s="587"/>
      <c r="AG283" s="587"/>
      <c r="AH283" s="587"/>
      <c r="AI283" s="587"/>
      <c r="AJ283" s="587"/>
      <c r="AK283" s="587"/>
      <c r="AL283" s="587"/>
      <c r="AM283" s="587"/>
      <c r="AO283" s="587"/>
      <c r="AP283" s="587"/>
      <c r="AQ283" s="587"/>
      <c r="AR283" s="587"/>
      <c r="AS283" s="587"/>
      <c r="AT283" s="587"/>
      <c r="AU283" s="587"/>
      <c r="AV283" s="587"/>
      <c r="AW283" s="587"/>
    </row>
    <row r="284" spans="1:49">
      <c r="A284" s="581">
        <v>17989</v>
      </c>
      <c r="B284" s="594">
        <v>-1.7899999999999999E-2</v>
      </c>
      <c r="C284" s="577">
        <v>5.7999999999999996E-3</v>
      </c>
      <c r="D284" s="577">
        <v>1.8E-3</v>
      </c>
      <c r="E284" s="577">
        <v>2.2500000000000003E-3</v>
      </c>
      <c r="F284" s="577">
        <v>2.3250000000000002E-3</v>
      </c>
      <c r="G284" s="577">
        <v>2.2875E-3</v>
      </c>
      <c r="H284" s="577">
        <v>2.4666666666666669E-3</v>
      </c>
      <c r="I284" s="577">
        <f t="shared" si="46"/>
        <v>-1.9699999999999999E-2</v>
      </c>
      <c r="J284" s="577">
        <f t="shared" si="39"/>
        <v>-2.0187500000000001E-2</v>
      </c>
      <c r="K284" s="577">
        <f t="shared" si="40"/>
        <v>3.3333333333333327E-3</v>
      </c>
      <c r="L284" s="585">
        <f t="shared" si="47"/>
        <v>1.4925722604108849E-2</v>
      </c>
      <c r="M284" s="585">
        <f t="shared" si="48"/>
        <v>2.1600000000000001E-2</v>
      </c>
      <c r="N284" s="585">
        <f t="shared" si="41"/>
        <v>2.7450000000000002E-2</v>
      </c>
      <c r="O284" s="586">
        <f t="shared" si="49"/>
        <v>-6.6742773958911525E-3</v>
      </c>
      <c r="P284" s="585">
        <f t="shared" si="42"/>
        <v>-1.2524277395891154E-2</v>
      </c>
      <c r="Q284" s="585">
        <f t="shared" si="43"/>
        <v>8.9408371057204006E-2</v>
      </c>
      <c r="R284" s="585">
        <f t="shared" si="44"/>
        <v>2.9600000000000001E-2</v>
      </c>
      <c r="S284" s="586">
        <f t="shared" si="45"/>
        <v>5.9808371057204004E-2</v>
      </c>
      <c r="U284" s="587"/>
      <c r="V284" s="587"/>
      <c r="W284" s="587"/>
      <c r="X284" s="587"/>
      <c r="Y284" s="587"/>
      <c r="Z284" s="587"/>
      <c r="AA284" s="587"/>
      <c r="AB284" s="587"/>
      <c r="AC284" s="587"/>
      <c r="AE284" s="587"/>
      <c r="AF284" s="587"/>
      <c r="AG284" s="587"/>
      <c r="AH284" s="587"/>
      <c r="AI284" s="587"/>
      <c r="AJ284" s="587"/>
      <c r="AK284" s="587"/>
      <c r="AL284" s="587"/>
      <c r="AM284" s="587"/>
      <c r="AO284" s="587"/>
      <c r="AP284" s="587"/>
      <c r="AQ284" s="587"/>
      <c r="AR284" s="587"/>
      <c r="AS284" s="587"/>
      <c r="AT284" s="587"/>
      <c r="AU284" s="587"/>
      <c r="AV284" s="587"/>
      <c r="AW284" s="587"/>
    </row>
    <row r="285" spans="1:49">
      <c r="A285" s="581">
        <v>18019</v>
      </c>
      <c r="B285" s="594">
        <v>-2.58E-2</v>
      </c>
      <c r="C285" s="577">
        <v>3.4000000000000002E-3</v>
      </c>
      <c r="D285" s="577">
        <v>2E-3</v>
      </c>
      <c r="E285" s="577">
        <v>2.2583333333333331E-3</v>
      </c>
      <c r="F285" s="577">
        <v>2.3166666666666665E-3</v>
      </c>
      <c r="G285" s="577">
        <v>2.2875E-3</v>
      </c>
      <c r="H285" s="577">
        <v>2.4583333333333336E-3</v>
      </c>
      <c r="I285" s="577">
        <f t="shared" si="46"/>
        <v>-2.7799999999999998E-2</v>
      </c>
      <c r="J285" s="577">
        <f t="shared" ref="J285:J348" si="50">B285-G285</f>
        <v>-2.8087500000000001E-2</v>
      </c>
      <c r="K285" s="577">
        <f t="shared" ref="K285:K348" si="51">$C285-H285</f>
        <v>9.4166666666666661E-4</v>
      </c>
      <c r="L285" s="585">
        <f t="shared" si="47"/>
        <v>-9.1147496129311056E-2</v>
      </c>
      <c r="M285" s="585">
        <f t="shared" si="48"/>
        <v>2.4E-2</v>
      </c>
      <c r="N285" s="585">
        <f t="shared" si="41"/>
        <v>2.7450000000000002E-2</v>
      </c>
      <c r="O285" s="586">
        <f t="shared" si="49"/>
        <v>-0.11514749612931105</v>
      </c>
      <c r="P285" s="585">
        <f t="shared" si="42"/>
        <v>-0.11859749612931106</v>
      </c>
      <c r="Q285" s="585">
        <f t="shared" si="43"/>
        <v>3.2894604099781066E-2</v>
      </c>
      <c r="R285" s="585">
        <f t="shared" si="44"/>
        <v>2.9500000000000005E-2</v>
      </c>
      <c r="S285" s="586">
        <f t="shared" si="45"/>
        <v>3.3946040997810609E-3</v>
      </c>
      <c r="U285" s="587"/>
      <c r="V285" s="587"/>
      <c r="W285" s="587"/>
      <c r="X285" s="587"/>
      <c r="Y285" s="587"/>
      <c r="Z285" s="587"/>
      <c r="AA285" s="587"/>
      <c r="AB285" s="587"/>
      <c r="AC285" s="587"/>
      <c r="AE285" s="587"/>
      <c r="AF285" s="587"/>
      <c r="AG285" s="587"/>
      <c r="AH285" s="587"/>
      <c r="AI285" s="587"/>
      <c r="AJ285" s="587"/>
      <c r="AK285" s="587"/>
      <c r="AL285" s="587"/>
      <c r="AM285" s="587"/>
      <c r="AO285" s="587"/>
      <c r="AP285" s="587"/>
      <c r="AQ285" s="587"/>
      <c r="AR285" s="587"/>
      <c r="AS285" s="587"/>
      <c r="AT285" s="587"/>
      <c r="AU285" s="587"/>
      <c r="AV285" s="587"/>
      <c r="AW285" s="587"/>
    </row>
    <row r="286" spans="1:49">
      <c r="A286" s="581">
        <v>18050</v>
      </c>
      <c r="B286" s="594">
        <v>1.4E-3</v>
      </c>
      <c r="C286" s="577">
        <v>-1.3399999999999999E-2</v>
      </c>
      <c r="D286" s="577">
        <v>1.9E-3</v>
      </c>
      <c r="E286" s="577">
        <v>2.2583333333333331E-3</v>
      </c>
      <c r="F286" s="577">
        <v>2.3166666666666665E-3</v>
      </c>
      <c r="G286" s="577">
        <v>2.2875E-3</v>
      </c>
      <c r="H286" s="577">
        <v>2.4499999999999999E-3</v>
      </c>
      <c r="I286" s="577">
        <f t="shared" si="46"/>
        <v>-5.0000000000000001E-4</v>
      </c>
      <c r="J286" s="577">
        <f t="shared" si="50"/>
        <v>-8.8750000000000005E-4</v>
      </c>
      <c r="K286" s="577">
        <f t="shared" si="51"/>
        <v>-1.585E-2</v>
      </c>
      <c r="L286" s="585">
        <f t="shared" si="47"/>
        <v>-9.4763380369894512E-2</v>
      </c>
      <c r="M286" s="585">
        <f t="shared" si="48"/>
        <v>2.2800000000000001E-2</v>
      </c>
      <c r="N286" s="585">
        <f t="shared" si="41"/>
        <v>2.7450000000000002E-2</v>
      </c>
      <c r="O286" s="586">
        <f t="shared" si="49"/>
        <v>-0.11756338036989451</v>
      </c>
      <c r="P286" s="585">
        <f t="shared" si="42"/>
        <v>-0.12221338036989451</v>
      </c>
      <c r="Q286" s="585">
        <f t="shared" si="43"/>
        <v>-2.1016290591027165E-3</v>
      </c>
      <c r="R286" s="585">
        <f t="shared" si="44"/>
        <v>2.9399999999999999E-2</v>
      </c>
      <c r="S286" s="586">
        <f t="shared" si="45"/>
        <v>-3.1501629059102712E-2</v>
      </c>
      <c r="U286" s="587"/>
      <c r="V286" s="587"/>
      <c r="W286" s="587"/>
      <c r="X286" s="587"/>
      <c r="Y286" s="587"/>
      <c r="Z286" s="587"/>
      <c r="AA286" s="587"/>
      <c r="AB286" s="587"/>
      <c r="AC286" s="587"/>
      <c r="AE286" s="587"/>
      <c r="AF286" s="587"/>
      <c r="AG286" s="587"/>
      <c r="AH286" s="587"/>
      <c r="AI286" s="587"/>
      <c r="AJ286" s="587"/>
      <c r="AK286" s="587"/>
      <c r="AL286" s="587"/>
      <c r="AM286" s="587"/>
      <c r="AO286" s="587"/>
      <c r="AP286" s="587"/>
      <c r="AQ286" s="587"/>
      <c r="AR286" s="587"/>
      <c r="AS286" s="587"/>
      <c r="AT286" s="587"/>
      <c r="AU286" s="587"/>
      <c r="AV286" s="587"/>
      <c r="AW286" s="587"/>
    </row>
    <row r="287" spans="1:49">
      <c r="A287" s="581">
        <v>18080</v>
      </c>
      <c r="B287" s="594">
        <v>6.5000000000000002E-2</v>
      </c>
      <c r="C287" s="577">
        <v>5.6899999999999992E-2</v>
      </c>
      <c r="D287" s="577">
        <v>1.6999999999999999E-3</v>
      </c>
      <c r="E287" s="577">
        <v>2.225E-3</v>
      </c>
      <c r="F287" s="577">
        <v>2.2916666666666667E-3</v>
      </c>
      <c r="G287" s="577">
        <v>2.2583333333333331E-3</v>
      </c>
      <c r="H287" s="577">
        <v>2.4166666666666668E-3</v>
      </c>
      <c r="I287" s="577">
        <f t="shared" si="46"/>
        <v>6.3300000000000009E-2</v>
      </c>
      <c r="J287" s="577">
        <f t="shared" si="50"/>
        <v>6.2741666666666668E-2</v>
      </c>
      <c r="K287" s="577">
        <f t="shared" si="51"/>
        <v>5.4483333333333328E-2</v>
      </c>
      <c r="L287" s="585">
        <f t="shared" si="47"/>
        <v>1.5673198383967746E-2</v>
      </c>
      <c r="M287" s="585">
        <f t="shared" si="48"/>
        <v>2.0399999999999998E-2</v>
      </c>
      <c r="N287" s="585">
        <f t="shared" si="41"/>
        <v>2.7099999999999999E-2</v>
      </c>
      <c r="O287" s="586">
        <f t="shared" si="49"/>
        <v>-4.7268016160322522E-3</v>
      </c>
      <c r="P287" s="585">
        <f t="shared" si="42"/>
        <v>-1.1426801616032253E-2</v>
      </c>
      <c r="Q287" s="585">
        <f t="shared" si="43"/>
        <v>0.10356679737096752</v>
      </c>
      <c r="R287" s="585">
        <f t="shared" si="44"/>
        <v>2.9000000000000001E-2</v>
      </c>
      <c r="S287" s="586">
        <f t="shared" si="45"/>
        <v>7.4566797370967525E-2</v>
      </c>
      <c r="U287" s="587"/>
      <c r="V287" s="587"/>
      <c r="W287" s="587"/>
      <c r="X287" s="587"/>
      <c r="Y287" s="587"/>
      <c r="Z287" s="587"/>
      <c r="AA287" s="587"/>
      <c r="AB287" s="587"/>
      <c r="AC287" s="587"/>
      <c r="AE287" s="587"/>
      <c r="AF287" s="587"/>
      <c r="AG287" s="587"/>
      <c r="AH287" s="587"/>
      <c r="AI287" s="587"/>
      <c r="AJ287" s="587"/>
      <c r="AK287" s="587"/>
      <c r="AL287" s="587"/>
      <c r="AM287" s="587"/>
      <c r="AO287" s="587"/>
      <c r="AP287" s="587"/>
      <c r="AQ287" s="587"/>
      <c r="AR287" s="587"/>
      <c r="AS287" s="587"/>
      <c r="AT287" s="587"/>
      <c r="AU287" s="587"/>
      <c r="AV287" s="587"/>
      <c r="AW287" s="587"/>
    </row>
    <row r="288" spans="1:49">
      <c r="A288" s="581">
        <v>18111</v>
      </c>
      <c r="B288" s="594">
        <v>2.1899999999999999E-2</v>
      </c>
      <c r="C288" s="577">
        <v>3.4599999999999999E-2</v>
      </c>
      <c r="D288" s="577">
        <v>1.9E-3</v>
      </c>
      <c r="E288" s="577">
        <v>2.1833333333333336E-3</v>
      </c>
      <c r="F288" s="577">
        <v>2.2583333333333331E-3</v>
      </c>
      <c r="G288" s="577">
        <v>2.2208333333333333E-3</v>
      </c>
      <c r="H288" s="577">
        <v>2.3833333333333332E-3</v>
      </c>
      <c r="I288" s="577">
        <f t="shared" si="46"/>
        <v>0.02</v>
      </c>
      <c r="J288" s="577">
        <f t="shared" si="50"/>
        <v>1.9679166666666664E-2</v>
      </c>
      <c r="K288" s="577">
        <f t="shared" si="51"/>
        <v>3.2216666666666664E-2</v>
      </c>
      <c r="L288" s="585">
        <f t="shared" si="47"/>
        <v>2.1772436925158845E-2</v>
      </c>
      <c r="M288" s="585">
        <f t="shared" si="48"/>
        <v>2.2800000000000001E-2</v>
      </c>
      <c r="N288" s="585">
        <f t="shared" si="41"/>
        <v>2.665E-2</v>
      </c>
      <c r="O288" s="586">
        <f t="shared" si="49"/>
        <v>-1.0275630748411563E-3</v>
      </c>
      <c r="P288" s="585">
        <f t="shared" si="42"/>
        <v>-4.8775630748411555E-3</v>
      </c>
      <c r="Q288" s="585">
        <f t="shared" si="43"/>
        <v>0.13765465181347492</v>
      </c>
      <c r="R288" s="585">
        <f t="shared" si="44"/>
        <v>2.86E-2</v>
      </c>
      <c r="S288" s="586">
        <f t="shared" si="45"/>
        <v>0.10905465181347491</v>
      </c>
      <c r="U288" s="587"/>
      <c r="V288" s="587"/>
      <c r="W288" s="587"/>
      <c r="X288" s="587"/>
      <c r="Y288" s="587"/>
      <c r="Z288" s="587"/>
      <c r="AA288" s="587"/>
      <c r="AB288" s="587"/>
      <c r="AC288" s="587"/>
      <c r="AE288" s="587"/>
      <c r="AF288" s="587"/>
      <c r="AG288" s="587"/>
      <c r="AH288" s="587"/>
      <c r="AI288" s="587"/>
      <c r="AJ288" s="587"/>
      <c r="AK288" s="587"/>
      <c r="AL288" s="587"/>
      <c r="AM288" s="587"/>
      <c r="AO288" s="587"/>
      <c r="AP288" s="587"/>
      <c r="AQ288" s="587"/>
      <c r="AR288" s="587"/>
      <c r="AS288" s="587"/>
      <c r="AT288" s="587"/>
      <c r="AU288" s="587"/>
      <c r="AV288" s="587"/>
      <c r="AW288" s="587"/>
    </row>
    <row r="289" spans="1:49">
      <c r="A289" s="581">
        <v>18142</v>
      </c>
      <c r="B289" s="594">
        <v>2.63E-2</v>
      </c>
      <c r="C289" s="577">
        <v>3.73E-2</v>
      </c>
      <c r="D289" s="577">
        <v>1.6999999999999999E-3</v>
      </c>
      <c r="E289" s="577">
        <v>2.1666666666666666E-3</v>
      </c>
      <c r="F289" s="577">
        <v>2.2416666666666665E-3</v>
      </c>
      <c r="G289" s="577">
        <v>2.2041666666666663E-3</v>
      </c>
      <c r="H289" s="577">
        <v>2.3750000000000004E-3</v>
      </c>
      <c r="I289" s="577">
        <f t="shared" si="46"/>
        <v>2.46E-2</v>
      </c>
      <c r="J289" s="577">
        <f t="shared" si="50"/>
        <v>2.4095833333333334E-2</v>
      </c>
      <c r="K289" s="577">
        <f t="shared" si="51"/>
        <v>3.4924999999999998E-2</v>
      </c>
      <c r="L289" s="585">
        <f t="shared" si="47"/>
        <v>7.8409144401779818E-2</v>
      </c>
      <c r="M289" s="585">
        <f t="shared" si="48"/>
        <v>2.0399999999999998E-2</v>
      </c>
      <c r="N289" s="585">
        <f t="shared" si="41"/>
        <v>2.6449999999999994E-2</v>
      </c>
      <c r="O289" s="586">
        <f t="shared" si="49"/>
        <v>5.8009144401779816E-2</v>
      </c>
      <c r="P289" s="585">
        <f t="shared" si="42"/>
        <v>5.1959144401779823E-2</v>
      </c>
      <c r="Q289" s="585">
        <f t="shared" si="43"/>
        <v>0.1885277171176527</v>
      </c>
      <c r="R289" s="585">
        <f t="shared" si="44"/>
        <v>2.8500000000000004E-2</v>
      </c>
      <c r="S289" s="586">
        <f t="shared" si="45"/>
        <v>0.16002771711765271</v>
      </c>
      <c r="U289" s="587"/>
      <c r="V289" s="587"/>
      <c r="W289" s="587"/>
      <c r="X289" s="587"/>
      <c r="Y289" s="587"/>
      <c r="Z289" s="587"/>
      <c r="AA289" s="587"/>
      <c r="AB289" s="587"/>
      <c r="AC289" s="587"/>
      <c r="AE289" s="587"/>
      <c r="AF289" s="587"/>
      <c r="AG289" s="587"/>
      <c r="AH289" s="587"/>
      <c r="AI289" s="587"/>
      <c r="AJ289" s="587"/>
      <c r="AK289" s="587"/>
      <c r="AL289" s="587"/>
      <c r="AM289" s="587"/>
      <c r="AO289" s="587"/>
      <c r="AP289" s="587"/>
      <c r="AQ289" s="587"/>
      <c r="AR289" s="587"/>
      <c r="AS289" s="587"/>
      <c r="AT289" s="587"/>
      <c r="AU289" s="587"/>
      <c r="AV289" s="587"/>
      <c r="AW289" s="587"/>
    </row>
    <row r="290" spans="1:49">
      <c r="A290" s="581">
        <v>18172</v>
      </c>
      <c r="B290" s="594">
        <v>3.4000000000000002E-2</v>
      </c>
      <c r="C290" s="577">
        <v>1.1199999999999998E-2</v>
      </c>
      <c r="D290" s="577">
        <v>1.8E-3</v>
      </c>
      <c r="E290" s="577">
        <v>2.1749999999999999E-3</v>
      </c>
      <c r="F290" s="577">
        <v>2.2500000000000003E-3</v>
      </c>
      <c r="G290" s="577">
        <v>2.2125000000000001E-3</v>
      </c>
      <c r="H290" s="577">
        <v>2.3583333333333334E-3</v>
      </c>
      <c r="I290" s="577">
        <f t="shared" si="46"/>
        <v>3.2199999999999999E-2</v>
      </c>
      <c r="J290" s="577">
        <f t="shared" si="50"/>
        <v>3.1787500000000003E-2</v>
      </c>
      <c r="K290" s="577">
        <f t="shared" si="51"/>
        <v>8.8416666666666643E-3</v>
      </c>
      <c r="L290" s="585">
        <f t="shared" si="47"/>
        <v>4.1153179562502862E-2</v>
      </c>
      <c r="M290" s="585">
        <f t="shared" si="48"/>
        <v>2.1600000000000001E-2</v>
      </c>
      <c r="N290" s="585">
        <f t="shared" si="41"/>
        <v>2.6550000000000001E-2</v>
      </c>
      <c r="O290" s="586">
        <f t="shared" si="49"/>
        <v>1.9553179562502861E-2</v>
      </c>
      <c r="P290" s="585">
        <f t="shared" si="42"/>
        <v>1.4603179562502861E-2</v>
      </c>
      <c r="Q290" s="585">
        <f t="shared" si="43"/>
        <v>0.15528138762796395</v>
      </c>
      <c r="R290" s="585">
        <f t="shared" si="44"/>
        <v>2.8299999999999999E-2</v>
      </c>
      <c r="S290" s="586">
        <f t="shared" si="45"/>
        <v>0.12698138762796396</v>
      </c>
      <c r="U290" s="587"/>
      <c r="V290" s="587"/>
      <c r="W290" s="587"/>
      <c r="X290" s="587"/>
      <c r="Y290" s="587"/>
      <c r="Z290" s="587"/>
      <c r="AA290" s="587"/>
      <c r="AB290" s="587"/>
      <c r="AC290" s="587"/>
      <c r="AE290" s="587"/>
      <c r="AF290" s="587"/>
      <c r="AG290" s="587"/>
      <c r="AH290" s="587"/>
      <c r="AI290" s="587"/>
      <c r="AJ290" s="587"/>
      <c r="AK290" s="587"/>
      <c r="AL290" s="587"/>
      <c r="AM290" s="587"/>
      <c r="AO290" s="587"/>
      <c r="AP290" s="587"/>
      <c r="AQ290" s="587"/>
      <c r="AR290" s="587"/>
      <c r="AS290" s="587"/>
      <c r="AT290" s="587"/>
      <c r="AU290" s="587"/>
      <c r="AV290" s="587"/>
      <c r="AW290" s="587"/>
    </row>
    <row r="291" spans="1:49">
      <c r="A291" s="581">
        <v>18203</v>
      </c>
      <c r="B291" s="594">
        <v>1.7500000000000002E-2</v>
      </c>
      <c r="C291" s="577">
        <v>1.5899999999999997E-2</v>
      </c>
      <c r="D291" s="577">
        <v>1.6999999999999999E-3</v>
      </c>
      <c r="E291" s="577">
        <v>2.1666666666666666E-3</v>
      </c>
      <c r="F291" s="577">
        <v>2.2333333333333337E-3</v>
      </c>
      <c r="G291" s="577">
        <v>2.2000000000000001E-3</v>
      </c>
      <c r="H291" s="577">
        <v>2.3416666666666668E-3</v>
      </c>
      <c r="I291" s="577">
        <f t="shared" si="46"/>
        <v>1.5800000000000002E-2</v>
      </c>
      <c r="J291" s="577">
        <f t="shared" si="50"/>
        <v>1.5300000000000001E-2</v>
      </c>
      <c r="K291" s="577">
        <f t="shared" si="51"/>
        <v>1.355833333333333E-2</v>
      </c>
      <c r="L291" s="585">
        <f t="shared" si="47"/>
        <v>0.17200283239832559</v>
      </c>
      <c r="M291" s="585">
        <f t="shared" si="48"/>
        <v>2.0399999999999998E-2</v>
      </c>
      <c r="N291" s="585">
        <f t="shared" si="41"/>
        <v>2.64E-2</v>
      </c>
      <c r="O291" s="586">
        <f t="shared" si="49"/>
        <v>0.15160283239832559</v>
      </c>
      <c r="P291" s="585">
        <f t="shared" si="42"/>
        <v>0.14560283239832558</v>
      </c>
      <c r="Q291" s="585">
        <f t="shared" si="43"/>
        <v>0.29157077329288894</v>
      </c>
      <c r="R291" s="585">
        <f t="shared" si="44"/>
        <v>2.81E-2</v>
      </c>
      <c r="S291" s="586">
        <f t="shared" si="45"/>
        <v>0.26347077329288893</v>
      </c>
      <c r="U291" s="587"/>
      <c r="V291" s="587"/>
      <c r="W291" s="587"/>
      <c r="X291" s="587"/>
      <c r="Y291" s="587"/>
      <c r="Z291" s="587"/>
      <c r="AA291" s="587"/>
      <c r="AB291" s="587"/>
      <c r="AC291" s="587"/>
      <c r="AE291" s="587"/>
      <c r="AF291" s="587"/>
      <c r="AG291" s="587"/>
      <c r="AH291" s="587"/>
      <c r="AI291" s="587"/>
      <c r="AJ291" s="587"/>
      <c r="AK291" s="587"/>
      <c r="AL291" s="587"/>
      <c r="AM291" s="587"/>
      <c r="AO291" s="587"/>
      <c r="AP291" s="587"/>
      <c r="AQ291" s="587"/>
      <c r="AR291" s="587"/>
      <c r="AS291" s="587"/>
      <c r="AT291" s="587"/>
      <c r="AU291" s="587"/>
      <c r="AV291" s="587"/>
      <c r="AW291" s="587"/>
    </row>
    <row r="292" spans="1:49">
      <c r="A292" s="581">
        <v>18233</v>
      </c>
      <c r="B292" s="594">
        <v>4.8599999999999997E-2</v>
      </c>
      <c r="C292" s="577">
        <v>3.9599999999999996E-2</v>
      </c>
      <c r="D292" s="577">
        <v>1.6999999999999999E-3</v>
      </c>
      <c r="E292" s="577">
        <v>2.15E-3</v>
      </c>
      <c r="F292" s="577">
        <v>2.225E-3</v>
      </c>
      <c r="G292" s="577">
        <v>2.1875000000000002E-3</v>
      </c>
      <c r="H292" s="577">
        <v>2.316666666666667E-3</v>
      </c>
      <c r="I292" s="577">
        <f t="shared" si="46"/>
        <v>4.6899999999999997E-2</v>
      </c>
      <c r="J292" s="577">
        <f t="shared" si="50"/>
        <v>4.6412499999999995E-2</v>
      </c>
      <c r="K292" s="577">
        <f t="shared" si="51"/>
        <v>3.7283333333333328E-2</v>
      </c>
      <c r="L292" s="585">
        <f t="shared" si="47"/>
        <v>0.18786214000858736</v>
      </c>
      <c r="M292" s="585">
        <f t="shared" si="48"/>
        <v>2.0399999999999998E-2</v>
      </c>
      <c r="N292" s="585">
        <f t="shared" si="41"/>
        <v>2.6250000000000002E-2</v>
      </c>
      <c r="O292" s="586">
        <f t="shared" si="49"/>
        <v>0.16746214000858736</v>
      </c>
      <c r="P292" s="585">
        <f t="shared" si="42"/>
        <v>0.16161214000858737</v>
      </c>
      <c r="Q292" s="585">
        <f t="shared" si="43"/>
        <v>0.31368454741736396</v>
      </c>
      <c r="R292" s="585">
        <f t="shared" si="44"/>
        <v>2.7800000000000005E-2</v>
      </c>
      <c r="S292" s="586">
        <f t="shared" si="45"/>
        <v>0.28588454741736397</v>
      </c>
      <c r="U292" s="587"/>
      <c r="V292" s="587"/>
      <c r="W292" s="587"/>
      <c r="X292" s="587"/>
      <c r="Y292" s="587"/>
      <c r="Z292" s="587"/>
      <c r="AA292" s="587"/>
      <c r="AB292" s="587"/>
      <c r="AC292" s="587"/>
      <c r="AE292" s="587"/>
      <c r="AF292" s="587"/>
      <c r="AG292" s="587"/>
      <c r="AH292" s="587"/>
      <c r="AI292" s="587"/>
      <c r="AJ292" s="587"/>
      <c r="AK292" s="587"/>
      <c r="AL292" s="587"/>
      <c r="AM292" s="587"/>
      <c r="AO292" s="587"/>
      <c r="AP292" s="587"/>
      <c r="AQ292" s="587"/>
      <c r="AR292" s="587"/>
      <c r="AS292" s="587"/>
      <c r="AT292" s="587"/>
      <c r="AU292" s="587"/>
      <c r="AV292" s="587"/>
      <c r="AW292" s="587"/>
    </row>
    <row r="293" spans="1:49">
      <c r="A293" s="581">
        <v>18264</v>
      </c>
      <c r="B293" s="594">
        <v>1.9699999999999999E-2</v>
      </c>
      <c r="C293" s="577">
        <v>3.5299999999999998E-2</v>
      </c>
      <c r="D293" s="577">
        <v>1.8E-3</v>
      </c>
      <c r="E293" s="577">
        <v>2.1416666666666663E-3</v>
      </c>
      <c r="F293" s="577">
        <v>2.2083333333333334E-3</v>
      </c>
      <c r="G293" s="577">
        <v>2.1749999999999999E-3</v>
      </c>
      <c r="H293" s="577">
        <v>2.3E-3</v>
      </c>
      <c r="I293" s="577">
        <f t="shared" si="46"/>
        <v>1.7899999999999999E-2</v>
      </c>
      <c r="J293" s="577">
        <f t="shared" si="50"/>
        <v>1.7524999999999999E-2</v>
      </c>
      <c r="K293" s="577">
        <f t="shared" si="51"/>
        <v>3.3000000000000002E-2</v>
      </c>
      <c r="L293" s="585">
        <f t="shared" si="47"/>
        <v>0.20655745011132187</v>
      </c>
      <c r="M293" s="585">
        <f t="shared" si="48"/>
        <v>2.1600000000000001E-2</v>
      </c>
      <c r="N293" s="585">
        <f t="shared" si="41"/>
        <v>2.6099999999999998E-2</v>
      </c>
      <c r="O293" s="586">
        <f t="shared" si="49"/>
        <v>0.18495745011132186</v>
      </c>
      <c r="P293" s="585">
        <f t="shared" si="42"/>
        <v>0.18045745011132186</v>
      </c>
      <c r="Q293" s="585">
        <f t="shared" si="43"/>
        <v>0.29479970672238864</v>
      </c>
      <c r="R293" s="585">
        <f t="shared" si="44"/>
        <v>2.76E-2</v>
      </c>
      <c r="S293" s="586">
        <f t="shared" si="45"/>
        <v>0.26719970672238863</v>
      </c>
      <c r="U293" s="587"/>
      <c r="V293" s="587"/>
      <c r="W293" s="587"/>
      <c r="X293" s="587"/>
      <c r="Y293" s="587"/>
      <c r="Z293" s="587"/>
      <c r="AA293" s="587"/>
      <c r="AB293" s="587"/>
      <c r="AC293" s="587"/>
      <c r="AE293" s="587"/>
      <c r="AF293" s="587"/>
      <c r="AG293" s="587"/>
      <c r="AH293" s="587"/>
      <c r="AI293" s="587"/>
      <c r="AJ293" s="587"/>
      <c r="AK293" s="587"/>
      <c r="AL293" s="587"/>
      <c r="AM293" s="587"/>
      <c r="AO293" s="587"/>
      <c r="AP293" s="587"/>
      <c r="AQ293" s="587"/>
      <c r="AR293" s="587"/>
      <c r="AS293" s="587"/>
      <c r="AT293" s="587"/>
      <c r="AU293" s="587"/>
      <c r="AV293" s="587"/>
      <c r="AW293" s="587"/>
    </row>
    <row r="294" spans="1:49">
      <c r="A294" s="581">
        <v>18295</v>
      </c>
      <c r="B294" s="594">
        <v>1.9900000000000001E-2</v>
      </c>
      <c r="C294" s="577">
        <v>0.01</v>
      </c>
      <c r="D294" s="577">
        <v>1.6000000000000001E-3</v>
      </c>
      <c r="E294" s="577">
        <v>2.15E-3</v>
      </c>
      <c r="F294" s="577">
        <v>2.2083333333333334E-3</v>
      </c>
      <c r="G294" s="577">
        <v>2.1791666666666665E-3</v>
      </c>
      <c r="H294" s="577">
        <v>2.3E-3</v>
      </c>
      <c r="I294" s="577">
        <f t="shared" si="46"/>
        <v>1.83E-2</v>
      </c>
      <c r="J294" s="577">
        <f t="shared" si="50"/>
        <v>1.7720833333333335E-2</v>
      </c>
      <c r="K294" s="577">
        <f t="shared" si="51"/>
        <v>7.7000000000000002E-3</v>
      </c>
      <c r="L294" s="585">
        <f t="shared" si="47"/>
        <v>0.26810381633196378</v>
      </c>
      <c r="M294" s="585">
        <f t="shared" si="48"/>
        <v>1.9200000000000002E-2</v>
      </c>
      <c r="N294" s="585">
        <f t="shared" si="41"/>
        <v>2.615E-2</v>
      </c>
      <c r="O294" s="586">
        <f t="shared" si="49"/>
        <v>0.24890381633196379</v>
      </c>
      <c r="P294" s="585">
        <f t="shared" si="42"/>
        <v>0.24195381633196378</v>
      </c>
      <c r="Q294" s="585">
        <f t="shared" si="43"/>
        <v>0.30709415671125595</v>
      </c>
      <c r="R294" s="585">
        <f t="shared" si="44"/>
        <v>2.76E-2</v>
      </c>
      <c r="S294" s="586">
        <f t="shared" si="45"/>
        <v>0.27949415671125594</v>
      </c>
      <c r="U294" s="587"/>
      <c r="V294" s="587"/>
      <c r="W294" s="587"/>
      <c r="X294" s="587"/>
      <c r="Y294" s="587"/>
      <c r="Z294" s="587"/>
      <c r="AA294" s="587"/>
      <c r="AB294" s="587"/>
      <c r="AC294" s="587"/>
      <c r="AE294" s="587"/>
      <c r="AF294" s="587"/>
      <c r="AG294" s="587"/>
      <c r="AH294" s="587"/>
      <c r="AI294" s="587"/>
      <c r="AJ294" s="587"/>
      <c r="AK294" s="587"/>
      <c r="AL294" s="587"/>
      <c r="AM294" s="587"/>
      <c r="AO294" s="587"/>
      <c r="AP294" s="587"/>
      <c r="AQ294" s="587"/>
      <c r="AR294" s="587"/>
      <c r="AS294" s="587"/>
      <c r="AT294" s="587"/>
      <c r="AU294" s="587"/>
      <c r="AV294" s="587"/>
      <c r="AW294" s="587"/>
    </row>
    <row r="295" spans="1:49">
      <c r="A295" s="581">
        <v>18323</v>
      </c>
      <c r="B295" s="594">
        <v>7.0000000000000001E-3</v>
      </c>
      <c r="C295" s="577">
        <v>8.3999999999999995E-3</v>
      </c>
      <c r="D295" s="577">
        <v>1.8E-3</v>
      </c>
      <c r="E295" s="577">
        <v>2.15E-3</v>
      </c>
      <c r="F295" s="577">
        <v>2.2166666666666667E-3</v>
      </c>
      <c r="G295" s="577">
        <v>2.1833333333333331E-3</v>
      </c>
      <c r="H295" s="577">
        <v>2.3E-3</v>
      </c>
      <c r="I295" s="577">
        <f t="shared" si="46"/>
        <v>5.1999999999999998E-3</v>
      </c>
      <c r="J295" s="577">
        <f t="shared" si="50"/>
        <v>4.816666666666667E-3</v>
      </c>
      <c r="K295" s="577">
        <f t="shared" si="51"/>
        <v>6.0999999999999995E-3</v>
      </c>
      <c r="L295" s="585">
        <f t="shared" si="47"/>
        <v>0.23642577754288019</v>
      </c>
      <c r="M295" s="585">
        <f t="shared" si="48"/>
        <v>2.1600000000000001E-2</v>
      </c>
      <c r="N295" s="585">
        <f t="shared" si="41"/>
        <v>2.6199999999999998E-2</v>
      </c>
      <c r="O295" s="586">
        <f t="shared" si="49"/>
        <v>0.21482577754288018</v>
      </c>
      <c r="P295" s="585">
        <f t="shared" si="42"/>
        <v>0.21022577754288019</v>
      </c>
      <c r="Q295" s="585">
        <f t="shared" si="43"/>
        <v>0.27178092206448357</v>
      </c>
      <c r="R295" s="585">
        <f t="shared" si="44"/>
        <v>2.76E-2</v>
      </c>
      <c r="S295" s="586">
        <f t="shared" si="45"/>
        <v>0.24418092206448355</v>
      </c>
      <c r="U295" s="587"/>
      <c r="V295" s="587"/>
      <c r="W295" s="587"/>
      <c r="X295" s="587"/>
      <c r="Y295" s="587"/>
      <c r="Z295" s="587"/>
      <c r="AA295" s="587"/>
      <c r="AB295" s="587"/>
      <c r="AC295" s="587"/>
      <c r="AE295" s="587"/>
      <c r="AF295" s="587"/>
      <c r="AG295" s="587"/>
      <c r="AH295" s="587"/>
      <c r="AI295" s="587"/>
      <c r="AJ295" s="587"/>
      <c r="AK295" s="587"/>
      <c r="AL295" s="587"/>
      <c r="AM295" s="587"/>
      <c r="AO295" s="587"/>
      <c r="AP295" s="587"/>
      <c r="AQ295" s="587"/>
      <c r="AR295" s="587"/>
      <c r="AS295" s="587"/>
      <c r="AT295" s="587"/>
      <c r="AU295" s="587"/>
      <c r="AV295" s="587"/>
      <c r="AW295" s="587"/>
    </row>
    <row r="296" spans="1:49">
      <c r="A296" s="581">
        <v>18354</v>
      </c>
      <c r="B296" s="594">
        <v>4.8599999999999997E-2</v>
      </c>
      <c r="C296" s="577">
        <v>1.8499999999999999E-2</v>
      </c>
      <c r="D296" s="577">
        <v>1.6000000000000001E-3</v>
      </c>
      <c r="E296" s="577">
        <v>2.1666666666666666E-3</v>
      </c>
      <c r="F296" s="577">
        <v>2.2166666666666667E-3</v>
      </c>
      <c r="G296" s="577">
        <v>2.1916666666666668E-3</v>
      </c>
      <c r="H296" s="577">
        <v>2.3083333333333332E-3</v>
      </c>
      <c r="I296" s="577">
        <f t="shared" si="46"/>
        <v>4.7E-2</v>
      </c>
      <c r="J296" s="577">
        <f t="shared" si="50"/>
        <v>4.6408333333333329E-2</v>
      </c>
      <c r="K296" s="577">
        <f t="shared" si="51"/>
        <v>1.6191666666666667E-2</v>
      </c>
      <c r="L296" s="585">
        <f t="shared" si="47"/>
        <v>0.32014669619332525</v>
      </c>
      <c r="M296" s="585">
        <f t="shared" si="48"/>
        <v>1.9200000000000002E-2</v>
      </c>
      <c r="N296" s="585">
        <f t="shared" ref="N296:N359" si="52">G296*12</f>
        <v>2.6300000000000004E-2</v>
      </c>
      <c r="O296" s="586">
        <f t="shared" si="49"/>
        <v>0.30094669619332526</v>
      </c>
      <c r="P296" s="585">
        <f t="shared" ref="P296:P359" si="53">L296-N296</f>
        <v>0.29384669619332526</v>
      </c>
      <c r="Q296" s="585">
        <f t="shared" ref="Q296:Q359" si="54">((1+C285)*(1+C286)*(1+C287)*(1+C288)*(1+C289)*(1+C290)*(1+C291)*(1+C292)*(1+C293)*(1+C294)*(1+C295)*(1+C296))-1</f>
        <v>0.28783940059920154</v>
      </c>
      <c r="R296" s="585">
        <f t="shared" ref="R296:R359" si="55">H296*12</f>
        <v>2.7699999999999999E-2</v>
      </c>
      <c r="S296" s="586">
        <f t="shared" ref="S296:S359" si="56">Q296-R296</f>
        <v>0.26013940059920154</v>
      </c>
      <c r="U296" s="587"/>
      <c r="V296" s="587"/>
      <c r="W296" s="587"/>
      <c r="X296" s="587"/>
      <c r="Y296" s="587"/>
      <c r="Z296" s="587"/>
      <c r="AA296" s="587"/>
      <c r="AB296" s="587"/>
      <c r="AC296" s="587"/>
      <c r="AE296" s="587"/>
      <c r="AF296" s="587"/>
      <c r="AG296" s="587"/>
      <c r="AH296" s="587"/>
      <c r="AI296" s="587"/>
      <c r="AJ296" s="587"/>
      <c r="AK296" s="587"/>
      <c r="AL296" s="587"/>
      <c r="AM296" s="587"/>
      <c r="AO296" s="587"/>
      <c r="AP296" s="587"/>
      <c r="AQ296" s="587"/>
      <c r="AR296" s="587"/>
      <c r="AS296" s="587"/>
      <c r="AT296" s="587"/>
      <c r="AU296" s="587"/>
      <c r="AV296" s="587"/>
      <c r="AW296" s="587"/>
    </row>
    <row r="297" spans="1:49">
      <c r="A297" s="581">
        <v>18384</v>
      </c>
      <c r="B297" s="594">
        <v>5.0900000000000001E-2</v>
      </c>
      <c r="C297" s="577">
        <v>1.9199999999999998E-2</v>
      </c>
      <c r="D297" s="577">
        <v>1.9E-3</v>
      </c>
      <c r="E297" s="577">
        <v>2.1749999999999999E-3</v>
      </c>
      <c r="F297" s="577">
        <v>2.2416666666666665E-3</v>
      </c>
      <c r="G297" s="577">
        <v>2.2083333333333334E-3</v>
      </c>
      <c r="H297" s="577">
        <v>2.3250000000000002E-3</v>
      </c>
      <c r="I297" s="577">
        <f t="shared" si="46"/>
        <v>4.9000000000000002E-2</v>
      </c>
      <c r="J297" s="577">
        <f t="shared" si="50"/>
        <v>4.8691666666666668E-2</v>
      </c>
      <c r="K297" s="577">
        <f t="shared" si="51"/>
        <v>1.6874999999999998E-2</v>
      </c>
      <c r="L297" s="585">
        <f t="shared" si="47"/>
        <v>0.42408351778850872</v>
      </c>
      <c r="M297" s="585">
        <f t="shared" si="48"/>
        <v>2.2800000000000001E-2</v>
      </c>
      <c r="N297" s="585">
        <f t="shared" si="52"/>
        <v>2.6500000000000003E-2</v>
      </c>
      <c r="O297" s="586">
        <f t="shared" si="49"/>
        <v>0.40128351778850874</v>
      </c>
      <c r="P297" s="585">
        <f t="shared" si="53"/>
        <v>0.3975835177885087</v>
      </c>
      <c r="Q297" s="585">
        <f t="shared" si="54"/>
        <v>0.30811831482031726</v>
      </c>
      <c r="R297" s="585">
        <f t="shared" si="55"/>
        <v>2.7900000000000001E-2</v>
      </c>
      <c r="S297" s="586">
        <f t="shared" si="56"/>
        <v>0.28021831482031728</v>
      </c>
      <c r="U297" s="587"/>
      <c r="V297" s="587"/>
      <c r="W297" s="587"/>
      <c r="X297" s="587"/>
      <c r="Y297" s="587"/>
      <c r="Z297" s="587"/>
      <c r="AA297" s="587"/>
      <c r="AB297" s="587"/>
      <c r="AC297" s="587"/>
      <c r="AE297" s="587"/>
      <c r="AF297" s="587"/>
      <c r="AG297" s="587"/>
      <c r="AH297" s="587"/>
      <c r="AI297" s="587"/>
      <c r="AJ297" s="587"/>
      <c r="AK297" s="587"/>
      <c r="AL297" s="587"/>
      <c r="AM297" s="587"/>
      <c r="AO297" s="587"/>
      <c r="AP297" s="587"/>
      <c r="AQ297" s="587"/>
      <c r="AR297" s="587"/>
      <c r="AS297" s="587"/>
      <c r="AT297" s="587"/>
      <c r="AU297" s="587"/>
      <c r="AV297" s="587"/>
      <c r="AW297" s="587"/>
    </row>
    <row r="298" spans="1:49">
      <c r="A298" s="581">
        <v>18415</v>
      </c>
      <c r="B298" s="594">
        <v>-5.4800000000000001E-2</v>
      </c>
      <c r="C298" s="577">
        <v>-7.7100000000000002E-2</v>
      </c>
      <c r="D298" s="577">
        <v>1.6999999999999999E-3</v>
      </c>
      <c r="E298" s="577">
        <v>2.1833333333333336E-3</v>
      </c>
      <c r="F298" s="577">
        <v>2.2416666666666665E-3</v>
      </c>
      <c r="G298" s="577">
        <v>2.2125000000000001E-3</v>
      </c>
      <c r="H298" s="577">
        <v>2.3250000000000002E-3</v>
      </c>
      <c r="I298" s="577">
        <f t="shared" si="46"/>
        <v>-5.6500000000000002E-2</v>
      </c>
      <c r="J298" s="577">
        <f t="shared" si="50"/>
        <v>-5.7012500000000001E-2</v>
      </c>
      <c r="K298" s="577">
        <f t="shared" si="51"/>
        <v>-7.9424999999999996E-2</v>
      </c>
      <c r="L298" s="585">
        <f t="shared" si="47"/>
        <v>0.34416191433363208</v>
      </c>
      <c r="M298" s="585">
        <f t="shared" si="48"/>
        <v>2.0399999999999998E-2</v>
      </c>
      <c r="N298" s="585">
        <f t="shared" si="52"/>
        <v>2.6550000000000001E-2</v>
      </c>
      <c r="O298" s="586">
        <f t="shared" si="49"/>
        <v>0.32376191433363211</v>
      </c>
      <c r="P298" s="585">
        <f t="shared" si="53"/>
        <v>0.31761191433363206</v>
      </c>
      <c r="Q298" s="585">
        <f t="shared" si="54"/>
        <v>0.22365942909757841</v>
      </c>
      <c r="R298" s="585">
        <f t="shared" si="55"/>
        <v>2.7900000000000001E-2</v>
      </c>
      <c r="S298" s="586">
        <f t="shared" si="56"/>
        <v>0.1957594290975784</v>
      </c>
      <c r="U298" s="587"/>
      <c r="V298" s="587"/>
      <c r="W298" s="587"/>
      <c r="X298" s="587"/>
      <c r="Y298" s="587"/>
      <c r="Z298" s="587"/>
      <c r="AA298" s="587"/>
      <c r="AB298" s="587"/>
      <c r="AC298" s="587"/>
      <c r="AE298" s="587"/>
      <c r="AF298" s="587"/>
      <c r="AG298" s="587"/>
      <c r="AH298" s="587"/>
      <c r="AI298" s="587"/>
      <c r="AJ298" s="587"/>
      <c r="AK298" s="587"/>
      <c r="AL298" s="587"/>
      <c r="AM298" s="587"/>
      <c r="AO298" s="587"/>
      <c r="AP298" s="587"/>
      <c r="AQ298" s="587"/>
      <c r="AR298" s="587"/>
      <c r="AS298" s="587"/>
      <c r="AT298" s="587"/>
      <c r="AU298" s="587"/>
      <c r="AV298" s="587"/>
      <c r="AW298" s="587"/>
    </row>
    <row r="299" spans="1:49">
      <c r="A299" s="581">
        <v>18445</v>
      </c>
      <c r="B299" s="594">
        <v>1.1900000000000001E-2</v>
      </c>
      <c r="C299" s="577">
        <v>-4.36E-2</v>
      </c>
      <c r="D299" s="577">
        <v>1.8E-3</v>
      </c>
      <c r="E299" s="577">
        <v>2.2083333333333334E-3</v>
      </c>
      <c r="F299" s="577">
        <v>2.2666666666666668E-3</v>
      </c>
      <c r="G299" s="577">
        <v>2.2374999999999999E-3</v>
      </c>
      <c r="H299" s="577">
        <v>2.3250000000000002E-3</v>
      </c>
      <c r="I299" s="577">
        <f t="shared" si="46"/>
        <v>1.0100000000000001E-2</v>
      </c>
      <c r="J299" s="577">
        <f t="shared" si="50"/>
        <v>9.6625000000000009E-3</v>
      </c>
      <c r="K299" s="577">
        <f t="shared" si="51"/>
        <v>-4.5925000000000001E-2</v>
      </c>
      <c r="L299" s="585">
        <f t="shared" si="47"/>
        <v>0.27714313719643435</v>
      </c>
      <c r="M299" s="585">
        <f t="shared" si="48"/>
        <v>2.1600000000000001E-2</v>
      </c>
      <c r="N299" s="585">
        <f t="shared" si="52"/>
        <v>2.6849999999999999E-2</v>
      </c>
      <c r="O299" s="586">
        <f t="shared" si="49"/>
        <v>0.25554313719643434</v>
      </c>
      <c r="P299" s="585">
        <f t="shared" si="53"/>
        <v>0.25029313719643437</v>
      </c>
      <c r="Q299" s="585">
        <f t="shared" si="54"/>
        <v>0.1073023729670961</v>
      </c>
      <c r="R299" s="585">
        <f t="shared" si="55"/>
        <v>2.7900000000000001E-2</v>
      </c>
      <c r="S299" s="586">
        <f t="shared" si="56"/>
        <v>7.9402372967096096E-2</v>
      </c>
      <c r="U299" s="587"/>
      <c r="V299" s="587"/>
      <c r="W299" s="587"/>
      <c r="X299" s="587"/>
      <c r="Y299" s="587"/>
      <c r="Z299" s="587"/>
      <c r="AA299" s="587"/>
      <c r="AB299" s="587"/>
      <c r="AC299" s="587"/>
      <c r="AE299" s="587"/>
      <c r="AF299" s="587"/>
      <c r="AG299" s="587"/>
      <c r="AH299" s="587"/>
      <c r="AI299" s="587"/>
      <c r="AJ299" s="587"/>
      <c r="AK299" s="587"/>
      <c r="AL299" s="587"/>
      <c r="AM299" s="587"/>
      <c r="AO299" s="587"/>
      <c r="AP299" s="587"/>
      <c r="AQ299" s="587"/>
      <c r="AR299" s="587"/>
      <c r="AS299" s="587"/>
      <c r="AT299" s="587"/>
      <c r="AU299" s="587"/>
      <c r="AV299" s="587"/>
      <c r="AW299" s="587"/>
    </row>
    <row r="300" spans="1:49">
      <c r="A300" s="581">
        <v>18476</v>
      </c>
      <c r="B300" s="594">
        <v>4.4299999999999999E-2</v>
      </c>
      <c r="C300" s="577">
        <v>1.54E-2</v>
      </c>
      <c r="D300" s="577">
        <v>1.8E-3</v>
      </c>
      <c r="E300" s="577">
        <v>2.1749999999999999E-3</v>
      </c>
      <c r="F300" s="577">
        <v>2.225E-3</v>
      </c>
      <c r="G300" s="577">
        <v>2.2000000000000001E-3</v>
      </c>
      <c r="H300" s="577">
        <v>2.3E-3</v>
      </c>
      <c r="I300" s="577">
        <f t="shared" si="46"/>
        <v>4.2499999999999996E-2</v>
      </c>
      <c r="J300" s="577">
        <f t="shared" si="50"/>
        <v>4.2099999999999999E-2</v>
      </c>
      <c r="K300" s="577">
        <f t="shared" si="51"/>
        <v>1.3100000000000001E-2</v>
      </c>
      <c r="L300" s="585">
        <f t="shared" si="47"/>
        <v>0.30513805477467049</v>
      </c>
      <c r="M300" s="585">
        <f t="shared" si="48"/>
        <v>2.1600000000000001E-2</v>
      </c>
      <c r="N300" s="585">
        <f t="shared" si="52"/>
        <v>2.64E-2</v>
      </c>
      <c r="O300" s="586">
        <f t="shared" si="49"/>
        <v>0.28353805477467048</v>
      </c>
      <c r="P300" s="585">
        <f t="shared" si="53"/>
        <v>0.27873805477467051</v>
      </c>
      <c r="Q300" s="585">
        <f t="shared" si="54"/>
        <v>8.6753169834514976E-2</v>
      </c>
      <c r="R300" s="585">
        <f t="shared" si="55"/>
        <v>2.76E-2</v>
      </c>
      <c r="S300" s="586">
        <f t="shared" si="56"/>
        <v>5.9153169834514976E-2</v>
      </c>
      <c r="U300" s="587"/>
      <c r="V300" s="587"/>
      <c r="W300" s="587"/>
      <c r="X300" s="587"/>
      <c r="Y300" s="587"/>
      <c r="Z300" s="587"/>
      <c r="AA300" s="587"/>
      <c r="AB300" s="587"/>
      <c r="AC300" s="587"/>
      <c r="AE300" s="587"/>
      <c r="AF300" s="587"/>
      <c r="AG300" s="587"/>
      <c r="AH300" s="587"/>
      <c r="AI300" s="587"/>
      <c r="AJ300" s="587"/>
      <c r="AK300" s="587"/>
      <c r="AL300" s="587"/>
      <c r="AM300" s="587"/>
      <c r="AO300" s="587"/>
      <c r="AP300" s="587"/>
      <c r="AQ300" s="587"/>
      <c r="AR300" s="587"/>
      <c r="AS300" s="587"/>
      <c r="AT300" s="587"/>
      <c r="AU300" s="587"/>
      <c r="AV300" s="587"/>
      <c r="AW300" s="587"/>
    </row>
    <row r="301" spans="1:49">
      <c r="A301" s="581">
        <v>18507</v>
      </c>
      <c r="B301" s="594">
        <v>5.9200000000000003E-2</v>
      </c>
      <c r="C301" s="577">
        <v>4.1800000000000004E-2</v>
      </c>
      <c r="D301" s="577">
        <v>1.6999999999999999E-3</v>
      </c>
      <c r="E301" s="577">
        <v>2.2000000000000001E-3</v>
      </c>
      <c r="F301" s="577">
        <v>2.2583333333333331E-3</v>
      </c>
      <c r="G301" s="577">
        <v>2.2291666666666666E-3</v>
      </c>
      <c r="H301" s="577">
        <v>2.3333333333333335E-3</v>
      </c>
      <c r="I301" s="577">
        <f t="shared" si="46"/>
        <v>5.7500000000000002E-2</v>
      </c>
      <c r="J301" s="577">
        <f t="shared" si="50"/>
        <v>5.6970833333333339E-2</v>
      </c>
      <c r="K301" s="577">
        <f t="shared" si="51"/>
        <v>3.9466666666666671E-2</v>
      </c>
      <c r="L301" s="585">
        <f t="shared" si="47"/>
        <v>0.34697673937185125</v>
      </c>
      <c r="M301" s="585">
        <f t="shared" si="48"/>
        <v>2.0399999999999998E-2</v>
      </c>
      <c r="N301" s="585">
        <f t="shared" si="52"/>
        <v>2.6749999999999999E-2</v>
      </c>
      <c r="O301" s="586">
        <f t="shared" si="49"/>
        <v>0.32657673937185128</v>
      </c>
      <c r="P301" s="585">
        <f t="shared" si="53"/>
        <v>0.32022673937185125</v>
      </c>
      <c r="Q301" s="585">
        <f t="shared" si="54"/>
        <v>9.14677068674421E-2</v>
      </c>
      <c r="R301" s="585">
        <f t="shared" si="55"/>
        <v>2.8000000000000004E-2</v>
      </c>
      <c r="S301" s="586">
        <f t="shared" si="56"/>
        <v>6.3467706867442103E-2</v>
      </c>
      <c r="U301" s="587"/>
      <c r="V301" s="587"/>
      <c r="W301" s="587"/>
      <c r="X301" s="587"/>
      <c r="Y301" s="587"/>
      <c r="Z301" s="587"/>
      <c r="AA301" s="587"/>
      <c r="AB301" s="587"/>
      <c r="AC301" s="587"/>
      <c r="AE301" s="587"/>
      <c r="AF301" s="587"/>
      <c r="AG301" s="587"/>
      <c r="AH301" s="587"/>
      <c r="AI301" s="587"/>
      <c r="AJ301" s="587"/>
      <c r="AK301" s="587"/>
      <c r="AL301" s="587"/>
      <c r="AM301" s="587"/>
      <c r="AO301" s="587"/>
      <c r="AP301" s="587"/>
      <c r="AQ301" s="587"/>
      <c r="AR301" s="587"/>
      <c r="AS301" s="587"/>
      <c r="AT301" s="587"/>
      <c r="AU301" s="587"/>
      <c r="AV301" s="587"/>
      <c r="AW301" s="587"/>
    </row>
    <row r="302" spans="1:49">
      <c r="A302" s="581">
        <v>18537</v>
      </c>
      <c r="B302" s="594">
        <v>9.2999999999999992E-3</v>
      </c>
      <c r="C302" s="577">
        <v>-2.7000000000000001E-3</v>
      </c>
      <c r="D302" s="577">
        <v>1.9E-3</v>
      </c>
      <c r="E302" s="577">
        <v>2.225E-3</v>
      </c>
      <c r="F302" s="577">
        <v>2.2666666666666668E-3</v>
      </c>
      <c r="G302" s="577">
        <v>2.2458333333333336E-3</v>
      </c>
      <c r="H302" s="577">
        <v>2.3583333333333334E-3</v>
      </c>
      <c r="I302" s="577">
        <f t="shared" si="46"/>
        <v>7.3999999999999995E-3</v>
      </c>
      <c r="J302" s="577">
        <f t="shared" si="50"/>
        <v>7.0541666666666652E-3</v>
      </c>
      <c r="K302" s="577">
        <f t="shared" si="51"/>
        <v>-5.0583333333333331E-3</v>
      </c>
      <c r="L302" s="585">
        <f t="shared" si="47"/>
        <v>0.31480040913734042</v>
      </c>
      <c r="M302" s="585">
        <f t="shared" si="48"/>
        <v>2.2800000000000001E-2</v>
      </c>
      <c r="N302" s="585">
        <f t="shared" si="52"/>
        <v>2.6950000000000002E-2</v>
      </c>
      <c r="O302" s="586">
        <f t="shared" si="49"/>
        <v>0.29200040913734043</v>
      </c>
      <c r="P302" s="585">
        <f t="shared" si="53"/>
        <v>0.28785040913734039</v>
      </c>
      <c r="Q302" s="585">
        <f t="shared" si="54"/>
        <v>7.6464343412678382E-2</v>
      </c>
      <c r="R302" s="585">
        <f t="shared" si="55"/>
        <v>2.8299999999999999E-2</v>
      </c>
      <c r="S302" s="586">
        <f t="shared" si="56"/>
        <v>4.8164343412678383E-2</v>
      </c>
      <c r="U302" s="587"/>
      <c r="V302" s="587"/>
      <c r="W302" s="587"/>
      <c r="X302" s="587"/>
      <c r="Y302" s="587"/>
      <c r="Z302" s="587"/>
      <c r="AA302" s="587"/>
      <c r="AB302" s="587"/>
      <c r="AC302" s="587"/>
      <c r="AE302" s="587"/>
      <c r="AF302" s="587"/>
      <c r="AG302" s="587"/>
      <c r="AH302" s="587"/>
      <c r="AI302" s="587"/>
      <c r="AJ302" s="587"/>
      <c r="AK302" s="587"/>
      <c r="AL302" s="587"/>
      <c r="AM302" s="587"/>
      <c r="AO302" s="587"/>
      <c r="AP302" s="587"/>
      <c r="AQ302" s="587"/>
      <c r="AR302" s="587"/>
      <c r="AS302" s="587"/>
      <c r="AT302" s="587"/>
      <c r="AU302" s="587"/>
      <c r="AV302" s="587"/>
      <c r="AW302" s="587"/>
    </row>
    <row r="303" spans="1:49">
      <c r="A303" s="581">
        <v>18568</v>
      </c>
      <c r="B303" s="594">
        <v>1.6899999999999998E-2</v>
      </c>
      <c r="C303" s="577">
        <v>-1.7600000000000001E-2</v>
      </c>
      <c r="D303" s="577">
        <v>1.8E-3</v>
      </c>
      <c r="E303" s="577">
        <v>2.225E-3</v>
      </c>
      <c r="F303" s="577">
        <v>2.2666666666666668E-3</v>
      </c>
      <c r="G303" s="577">
        <v>2.2458333333333336E-3</v>
      </c>
      <c r="H303" s="577">
        <v>2.3833333333333332E-3</v>
      </c>
      <c r="I303" s="577">
        <f t="shared" si="46"/>
        <v>1.5099999999999999E-2</v>
      </c>
      <c r="J303" s="577">
        <f t="shared" si="50"/>
        <v>1.4654166666666664E-2</v>
      </c>
      <c r="K303" s="577">
        <f t="shared" si="51"/>
        <v>-1.9983333333333336E-2</v>
      </c>
      <c r="L303" s="585">
        <f t="shared" si="47"/>
        <v>0.31402509685676705</v>
      </c>
      <c r="M303" s="585">
        <f t="shared" si="48"/>
        <v>2.1600000000000001E-2</v>
      </c>
      <c r="N303" s="585">
        <f t="shared" si="52"/>
        <v>2.6950000000000002E-2</v>
      </c>
      <c r="O303" s="586">
        <f t="shared" si="49"/>
        <v>0.29242509685676704</v>
      </c>
      <c r="P303" s="585">
        <f t="shared" si="53"/>
        <v>0.28707509685676702</v>
      </c>
      <c r="Q303" s="585">
        <f t="shared" si="54"/>
        <v>4.0967192606176983E-2</v>
      </c>
      <c r="R303" s="585">
        <f t="shared" si="55"/>
        <v>2.86E-2</v>
      </c>
      <c r="S303" s="586">
        <f t="shared" si="56"/>
        <v>1.2367192606176983E-2</v>
      </c>
      <c r="U303" s="587"/>
      <c r="V303" s="587"/>
      <c r="W303" s="587"/>
      <c r="X303" s="587"/>
      <c r="Y303" s="587"/>
      <c r="Z303" s="587"/>
      <c r="AA303" s="587"/>
      <c r="AB303" s="587"/>
      <c r="AC303" s="587"/>
      <c r="AE303" s="587"/>
      <c r="AF303" s="587"/>
      <c r="AG303" s="587"/>
      <c r="AH303" s="587"/>
      <c r="AI303" s="587"/>
      <c r="AJ303" s="587"/>
      <c r="AK303" s="587"/>
      <c r="AL303" s="587"/>
      <c r="AM303" s="587"/>
      <c r="AO303" s="587"/>
      <c r="AP303" s="587"/>
      <c r="AQ303" s="587"/>
      <c r="AR303" s="587"/>
      <c r="AS303" s="587"/>
      <c r="AT303" s="587"/>
      <c r="AU303" s="587"/>
      <c r="AV303" s="587"/>
      <c r="AW303" s="587"/>
    </row>
    <row r="304" spans="1:49">
      <c r="A304" s="581">
        <v>18598</v>
      </c>
      <c r="B304" s="594">
        <v>5.1299999999999998E-2</v>
      </c>
      <c r="C304" s="577">
        <v>3.1199999999999995E-2</v>
      </c>
      <c r="D304" s="577">
        <v>1.8E-3</v>
      </c>
      <c r="E304" s="577">
        <v>2.225E-3</v>
      </c>
      <c r="F304" s="577">
        <v>2.2666666666666668E-3</v>
      </c>
      <c r="G304" s="577">
        <v>2.2458333333333336E-3</v>
      </c>
      <c r="H304" s="577">
        <v>2.3833333333333332E-3</v>
      </c>
      <c r="I304" s="577">
        <f t="shared" si="46"/>
        <v>4.9499999999999995E-2</v>
      </c>
      <c r="J304" s="577">
        <f t="shared" si="50"/>
        <v>4.9054166666666663E-2</v>
      </c>
      <c r="K304" s="577">
        <f t="shared" si="51"/>
        <v>2.8816666666666661E-2</v>
      </c>
      <c r="L304" s="585">
        <f t="shared" si="47"/>
        <v>0.31740852977829448</v>
      </c>
      <c r="M304" s="585">
        <f t="shared" si="48"/>
        <v>2.1600000000000001E-2</v>
      </c>
      <c r="N304" s="585">
        <f t="shared" si="52"/>
        <v>2.6950000000000002E-2</v>
      </c>
      <c r="O304" s="586">
        <f t="shared" si="49"/>
        <v>0.29580852977829447</v>
      </c>
      <c r="P304" s="585">
        <f t="shared" si="53"/>
        <v>0.29045852977829445</v>
      </c>
      <c r="Q304" s="585">
        <f t="shared" si="54"/>
        <v>3.2556145647835155E-2</v>
      </c>
      <c r="R304" s="585">
        <f t="shared" si="55"/>
        <v>2.86E-2</v>
      </c>
      <c r="S304" s="586">
        <f t="shared" si="56"/>
        <v>3.9561456478351548E-3</v>
      </c>
      <c r="U304" s="587"/>
      <c r="V304" s="587"/>
      <c r="W304" s="587"/>
      <c r="X304" s="587"/>
      <c r="Y304" s="587"/>
      <c r="Z304" s="587"/>
      <c r="AA304" s="587"/>
      <c r="AB304" s="587"/>
      <c r="AC304" s="587"/>
      <c r="AE304" s="587"/>
      <c r="AF304" s="587"/>
      <c r="AG304" s="587"/>
      <c r="AH304" s="587"/>
      <c r="AI304" s="587"/>
      <c r="AJ304" s="587"/>
      <c r="AK304" s="587"/>
      <c r="AL304" s="587"/>
      <c r="AM304" s="587"/>
      <c r="AO304" s="587"/>
      <c r="AP304" s="587"/>
      <c r="AQ304" s="587"/>
      <c r="AR304" s="587"/>
      <c r="AS304" s="587"/>
      <c r="AT304" s="587"/>
      <c r="AU304" s="587"/>
      <c r="AV304" s="587"/>
      <c r="AW304" s="587"/>
    </row>
    <row r="305" spans="1:49">
      <c r="A305" s="581">
        <v>18629</v>
      </c>
      <c r="B305" s="594">
        <v>6.3700000000000007E-2</v>
      </c>
      <c r="C305" s="577">
        <v>4.3800000000000006E-2</v>
      </c>
      <c r="D305" s="577">
        <v>2E-3</v>
      </c>
      <c r="E305" s="577">
        <v>2.2166666666666667E-3</v>
      </c>
      <c r="F305" s="577">
        <v>2.2583333333333331E-3</v>
      </c>
      <c r="G305" s="577">
        <v>2.2374999999999999E-3</v>
      </c>
      <c r="H305" s="577">
        <v>2.3583333333333334E-3</v>
      </c>
      <c r="I305" s="577">
        <f t="shared" si="46"/>
        <v>6.1700000000000005E-2</v>
      </c>
      <c r="J305" s="577">
        <f t="shared" si="50"/>
        <v>6.1462500000000003E-2</v>
      </c>
      <c r="K305" s="577">
        <f t="shared" si="51"/>
        <v>4.1441666666666675E-2</v>
      </c>
      <c r="L305" s="585">
        <f t="shared" si="47"/>
        <v>0.37425463678059434</v>
      </c>
      <c r="M305" s="585">
        <f t="shared" si="48"/>
        <v>2.4E-2</v>
      </c>
      <c r="N305" s="585">
        <f t="shared" si="52"/>
        <v>2.6849999999999999E-2</v>
      </c>
      <c r="O305" s="586">
        <f t="shared" si="49"/>
        <v>0.35025463678059432</v>
      </c>
      <c r="P305" s="585">
        <f t="shared" si="53"/>
        <v>0.34740463678059436</v>
      </c>
      <c r="Q305" s="585">
        <f t="shared" si="54"/>
        <v>4.1033618107997771E-2</v>
      </c>
      <c r="R305" s="585">
        <f t="shared" si="55"/>
        <v>2.8299999999999999E-2</v>
      </c>
      <c r="S305" s="586">
        <f t="shared" si="56"/>
        <v>1.2733618107997773E-2</v>
      </c>
      <c r="U305" s="587"/>
      <c r="V305" s="587"/>
      <c r="W305" s="587"/>
      <c r="X305" s="587"/>
      <c r="Y305" s="587"/>
      <c r="Z305" s="587"/>
      <c r="AA305" s="587"/>
      <c r="AB305" s="587"/>
      <c r="AC305" s="587"/>
      <c r="AE305" s="587"/>
      <c r="AF305" s="587"/>
      <c r="AG305" s="587"/>
      <c r="AH305" s="587"/>
      <c r="AI305" s="587"/>
      <c r="AJ305" s="587"/>
      <c r="AK305" s="587"/>
      <c r="AL305" s="587"/>
      <c r="AM305" s="587"/>
      <c r="AO305" s="587"/>
      <c r="AP305" s="587"/>
      <c r="AQ305" s="587"/>
      <c r="AR305" s="587"/>
      <c r="AS305" s="587"/>
      <c r="AT305" s="587"/>
      <c r="AU305" s="587"/>
      <c r="AV305" s="587"/>
      <c r="AW305" s="587"/>
    </row>
    <row r="306" spans="1:49">
      <c r="A306" s="581">
        <v>18660</v>
      </c>
      <c r="B306" s="594">
        <v>1.5699999999999999E-2</v>
      </c>
      <c r="C306" s="577">
        <v>2.6800000000000001E-2</v>
      </c>
      <c r="D306" s="577">
        <v>1.6999999999999999E-3</v>
      </c>
      <c r="E306" s="577">
        <v>2.2166666666666667E-3</v>
      </c>
      <c r="F306" s="577">
        <v>2.2583333333333331E-3</v>
      </c>
      <c r="G306" s="577">
        <v>2.2374999999999999E-3</v>
      </c>
      <c r="H306" s="577">
        <v>2.3666666666666667E-3</v>
      </c>
      <c r="I306" s="577">
        <f t="shared" si="46"/>
        <v>1.3999999999999999E-2</v>
      </c>
      <c r="J306" s="577">
        <f t="shared" si="50"/>
        <v>1.3462499999999999E-2</v>
      </c>
      <c r="K306" s="577">
        <f t="shared" si="51"/>
        <v>2.4433333333333335E-2</v>
      </c>
      <c r="L306" s="585">
        <f t="shared" si="47"/>
        <v>0.36859538638891021</v>
      </c>
      <c r="M306" s="585">
        <f t="shared" si="48"/>
        <v>2.0399999999999998E-2</v>
      </c>
      <c r="N306" s="585">
        <f t="shared" si="52"/>
        <v>2.6849999999999999E-2</v>
      </c>
      <c r="O306" s="586">
        <f t="shared" si="49"/>
        <v>0.34819538638891023</v>
      </c>
      <c r="P306" s="585">
        <f t="shared" si="53"/>
        <v>0.34174538638891022</v>
      </c>
      <c r="Q306" s="585">
        <f t="shared" si="54"/>
        <v>5.8349820864646018E-2</v>
      </c>
      <c r="R306" s="585">
        <f t="shared" si="55"/>
        <v>2.8400000000000002E-2</v>
      </c>
      <c r="S306" s="586">
        <f t="shared" si="56"/>
        <v>2.9949820864646017E-2</v>
      </c>
      <c r="U306" s="587"/>
      <c r="V306" s="587"/>
      <c r="W306" s="587"/>
      <c r="X306" s="587"/>
      <c r="Y306" s="587"/>
      <c r="Z306" s="587"/>
      <c r="AA306" s="587"/>
      <c r="AB306" s="587"/>
      <c r="AC306" s="587"/>
      <c r="AE306" s="587"/>
      <c r="AF306" s="587"/>
      <c r="AG306" s="587"/>
      <c r="AH306" s="587"/>
      <c r="AI306" s="587"/>
      <c r="AJ306" s="587"/>
      <c r="AK306" s="587"/>
      <c r="AL306" s="587"/>
      <c r="AM306" s="587"/>
      <c r="AO306" s="587"/>
      <c r="AP306" s="587"/>
      <c r="AQ306" s="587"/>
      <c r="AR306" s="587"/>
      <c r="AS306" s="587"/>
      <c r="AT306" s="587"/>
      <c r="AU306" s="587"/>
      <c r="AV306" s="587"/>
      <c r="AW306" s="587"/>
    </row>
    <row r="307" spans="1:49">
      <c r="A307" s="581">
        <v>18688</v>
      </c>
      <c r="B307" s="594">
        <v>-1.5599999999999999E-2</v>
      </c>
      <c r="C307" s="577">
        <v>-1.7399999999999999E-2</v>
      </c>
      <c r="D307" s="577">
        <v>1.9E-3</v>
      </c>
      <c r="E307" s="577">
        <v>2.3166666666666665E-3</v>
      </c>
      <c r="F307" s="577">
        <v>2.3499999999999997E-3</v>
      </c>
      <c r="G307" s="577">
        <v>2.3333333333333335E-3</v>
      </c>
      <c r="H307" s="577">
        <v>2.4583333333333336E-3</v>
      </c>
      <c r="I307" s="577">
        <f t="shared" si="46"/>
        <v>-1.7499999999999998E-2</v>
      </c>
      <c r="J307" s="577">
        <f t="shared" si="50"/>
        <v>-1.7933333333333332E-2</v>
      </c>
      <c r="K307" s="577">
        <f t="shared" si="51"/>
        <v>-1.9858333333333332E-2</v>
      </c>
      <c r="L307" s="585">
        <f t="shared" si="47"/>
        <v>0.33788013739944756</v>
      </c>
      <c r="M307" s="585">
        <f t="shared" si="48"/>
        <v>2.2800000000000001E-2</v>
      </c>
      <c r="N307" s="585">
        <f t="shared" si="52"/>
        <v>2.8000000000000004E-2</v>
      </c>
      <c r="O307" s="586">
        <f t="shared" si="49"/>
        <v>0.31508013739944757</v>
      </c>
      <c r="P307" s="585">
        <f t="shared" si="53"/>
        <v>0.30988013739944753</v>
      </c>
      <c r="Q307" s="585">
        <f t="shared" si="54"/>
        <v>3.1271850437922577E-2</v>
      </c>
      <c r="R307" s="585">
        <f t="shared" si="55"/>
        <v>2.9500000000000005E-2</v>
      </c>
      <c r="S307" s="586">
        <f t="shared" si="56"/>
        <v>1.7718504379225716E-3</v>
      </c>
      <c r="U307" s="587"/>
      <c r="V307" s="587"/>
      <c r="W307" s="587"/>
      <c r="X307" s="587"/>
      <c r="Y307" s="587"/>
      <c r="Z307" s="587"/>
      <c r="AA307" s="587"/>
      <c r="AB307" s="587"/>
      <c r="AC307" s="587"/>
      <c r="AE307" s="587"/>
      <c r="AF307" s="587"/>
      <c r="AG307" s="587"/>
      <c r="AH307" s="587"/>
      <c r="AI307" s="587"/>
      <c r="AJ307" s="587"/>
      <c r="AK307" s="587"/>
      <c r="AL307" s="587"/>
      <c r="AM307" s="587"/>
      <c r="AO307" s="587"/>
      <c r="AP307" s="587"/>
      <c r="AQ307" s="587"/>
      <c r="AR307" s="587"/>
      <c r="AS307" s="587"/>
      <c r="AT307" s="587"/>
      <c r="AU307" s="587"/>
      <c r="AV307" s="587"/>
      <c r="AW307" s="587"/>
    </row>
    <row r="308" spans="1:49">
      <c r="A308" s="581">
        <v>18719</v>
      </c>
      <c r="B308" s="594">
        <v>5.0900000000000001E-2</v>
      </c>
      <c r="C308" s="577">
        <v>5.0000000000000044E-4</v>
      </c>
      <c r="D308" s="577">
        <v>2E-3</v>
      </c>
      <c r="E308" s="577">
        <v>2.3916666666666665E-3</v>
      </c>
      <c r="F308" s="577">
        <v>2.4416666666666666E-3</v>
      </c>
      <c r="G308" s="577">
        <v>2.4166666666666668E-3</v>
      </c>
      <c r="H308" s="577">
        <v>2.575E-3</v>
      </c>
      <c r="I308" s="577">
        <f t="shared" si="46"/>
        <v>4.8899999999999999E-2</v>
      </c>
      <c r="J308" s="577">
        <f t="shared" si="50"/>
        <v>4.8483333333333337E-2</v>
      </c>
      <c r="K308" s="577">
        <f t="shared" si="51"/>
        <v>-2.0749999999999996E-3</v>
      </c>
      <c r="L308" s="585">
        <f t="shared" si="47"/>
        <v>0.34081464466248246</v>
      </c>
      <c r="M308" s="585">
        <f t="shared" si="48"/>
        <v>2.4E-2</v>
      </c>
      <c r="N308" s="585">
        <f t="shared" si="52"/>
        <v>2.9000000000000001E-2</v>
      </c>
      <c r="O308" s="586">
        <f t="shared" si="49"/>
        <v>0.31681464466248244</v>
      </c>
      <c r="P308" s="585">
        <f t="shared" si="53"/>
        <v>0.31181464466248243</v>
      </c>
      <c r="Q308" s="585">
        <f t="shared" si="54"/>
        <v>1.3046132904409813E-2</v>
      </c>
      <c r="R308" s="585">
        <f t="shared" si="55"/>
        <v>3.09E-2</v>
      </c>
      <c r="S308" s="586">
        <f t="shared" si="56"/>
        <v>-1.7853867095590188E-2</v>
      </c>
      <c r="U308" s="587"/>
      <c r="V308" s="587"/>
      <c r="W308" s="587"/>
      <c r="X308" s="587"/>
      <c r="Y308" s="587"/>
      <c r="Z308" s="587"/>
      <c r="AA308" s="587"/>
      <c r="AB308" s="587"/>
      <c r="AC308" s="587"/>
      <c r="AE308" s="587"/>
      <c r="AF308" s="587"/>
      <c r="AG308" s="587"/>
      <c r="AH308" s="587"/>
      <c r="AI308" s="587"/>
      <c r="AJ308" s="587"/>
      <c r="AK308" s="587"/>
      <c r="AL308" s="587"/>
      <c r="AM308" s="587"/>
      <c r="AO308" s="587"/>
      <c r="AP308" s="587"/>
      <c r="AQ308" s="587"/>
      <c r="AR308" s="587"/>
      <c r="AS308" s="587"/>
      <c r="AT308" s="587"/>
      <c r="AU308" s="587"/>
      <c r="AV308" s="587"/>
      <c r="AW308" s="587"/>
    </row>
    <row r="309" spans="1:49">
      <c r="A309" s="581">
        <v>18749</v>
      </c>
      <c r="B309" s="594">
        <v>-2.9899999999999999E-2</v>
      </c>
      <c r="C309" s="577">
        <v>6.6E-3</v>
      </c>
      <c r="D309" s="577">
        <v>2.0999999999999999E-3</v>
      </c>
      <c r="E309" s="577">
        <v>2.4083333333333335E-3</v>
      </c>
      <c r="F309" s="577">
        <v>2.4416666666666666E-3</v>
      </c>
      <c r="G309" s="577">
        <v>2.4250000000000001E-3</v>
      </c>
      <c r="H309" s="577">
        <v>2.6083333333333332E-3</v>
      </c>
      <c r="I309" s="577">
        <f t="shared" si="46"/>
        <v>-3.2000000000000001E-2</v>
      </c>
      <c r="J309" s="577">
        <f t="shared" si="50"/>
        <v>-3.2325E-2</v>
      </c>
      <c r="K309" s="577">
        <f t="shared" si="51"/>
        <v>3.9916666666666668E-3</v>
      </c>
      <c r="L309" s="585">
        <f t="shared" si="47"/>
        <v>0.2377241286393319</v>
      </c>
      <c r="M309" s="585">
        <f t="shared" si="48"/>
        <v>2.52E-2</v>
      </c>
      <c r="N309" s="585">
        <f t="shared" si="52"/>
        <v>2.9100000000000001E-2</v>
      </c>
      <c r="O309" s="586">
        <f t="shared" si="49"/>
        <v>0.2125241286393319</v>
      </c>
      <c r="P309" s="585">
        <f t="shared" si="53"/>
        <v>0.20862412863933189</v>
      </c>
      <c r="Q309" s="585">
        <f t="shared" si="54"/>
        <v>5.222109316902479E-4</v>
      </c>
      <c r="R309" s="585">
        <f t="shared" si="55"/>
        <v>3.1299999999999994E-2</v>
      </c>
      <c r="S309" s="586">
        <f t="shared" si="56"/>
        <v>-3.0777789068309747E-2</v>
      </c>
      <c r="U309" s="587"/>
      <c r="V309" s="587"/>
      <c r="W309" s="587"/>
      <c r="X309" s="587"/>
      <c r="Y309" s="587"/>
      <c r="Z309" s="587"/>
      <c r="AA309" s="587"/>
      <c r="AB309" s="587"/>
      <c r="AC309" s="587"/>
      <c r="AE309" s="587"/>
      <c r="AF309" s="587"/>
      <c r="AG309" s="587"/>
      <c r="AH309" s="587"/>
      <c r="AI309" s="587"/>
      <c r="AJ309" s="587"/>
      <c r="AK309" s="587"/>
      <c r="AL309" s="587"/>
      <c r="AM309" s="587"/>
      <c r="AO309" s="587"/>
      <c r="AP309" s="587"/>
      <c r="AQ309" s="587"/>
      <c r="AR309" s="587"/>
      <c r="AS309" s="587"/>
      <c r="AT309" s="587"/>
      <c r="AU309" s="587"/>
      <c r="AV309" s="587"/>
      <c r="AW309" s="587"/>
    </row>
    <row r="310" spans="1:49">
      <c r="A310" s="581">
        <v>18780</v>
      </c>
      <c r="B310" s="594">
        <v>-2.2800000000000001E-2</v>
      </c>
      <c r="C310" s="577">
        <v>-3.9999999999999992E-3</v>
      </c>
      <c r="D310" s="577">
        <v>2E-3</v>
      </c>
      <c r="E310" s="577">
        <v>2.4499999999999999E-3</v>
      </c>
      <c r="F310" s="577">
        <v>2.4916666666666668E-3</v>
      </c>
      <c r="G310" s="577">
        <v>2.4708333333333331E-3</v>
      </c>
      <c r="H310" s="577">
        <v>2.6750000000000003E-3</v>
      </c>
      <c r="I310" s="577">
        <f t="shared" si="46"/>
        <v>-2.4800000000000003E-2</v>
      </c>
      <c r="J310" s="577">
        <f t="shared" si="50"/>
        <v>-2.5270833333333333E-2</v>
      </c>
      <c r="K310" s="577">
        <f t="shared" si="51"/>
        <v>-6.6749999999999995E-3</v>
      </c>
      <c r="L310" s="585">
        <f t="shared" si="47"/>
        <v>0.27962761162331251</v>
      </c>
      <c r="M310" s="585">
        <f t="shared" si="48"/>
        <v>2.4E-2</v>
      </c>
      <c r="N310" s="585">
        <f t="shared" si="52"/>
        <v>2.9649999999999996E-2</v>
      </c>
      <c r="O310" s="586">
        <f t="shared" si="49"/>
        <v>0.25562761162331249</v>
      </c>
      <c r="P310" s="585">
        <f t="shared" si="53"/>
        <v>0.2499776116233125</v>
      </c>
      <c r="Q310" s="585">
        <f t="shared" si="54"/>
        <v>7.9770421592765706E-2</v>
      </c>
      <c r="R310" s="585">
        <f t="shared" si="55"/>
        <v>3.2100000000000004E-2</v>
      </c>
      <c r="S310" s="586">
        <f t="shared" si="56"/>
        <v>4.7670421592765702E-2</v>
      </c>
      <c r="U310" s="587"/>
      <c r="V310" s="587"/>
      <c r="W310" s="587"/>
      <c r="X310" s="587"/>
      <c r="Y310" s="587"/>
      <c r="Z310" s="587"/>
      <c r="AA310" s="587"/>
      <c r="AB310" s="587"/>
      <c r="AC310" s="587"/>
      <c r="AE310" s="587"/>
      <c r="AF310" s="587"/>
      <c r="AG310" s="587"/>
      <c r="AH310" s="587"/>
      <c r="AI310" s="587"/>
      <c r="AJ310" s="587"/>
      <c r="AK310" s="587"/>
      <c r="AL310" s="587"/>
      <c r="AM310" s="587"/>
      <c r="AO310" s="587"/>
      <c r="AP310" s="587"/>
      <c r="AQ310" s="587"/>
      <c r="AR310" s="587"/>
      <c r="AS310" s="587"/>
      <c r="AT310" s="587"/>
      <c r="AU310" s="587"/>
      <c r="AV310" s="587"/>
      <c r="AW310" s="587"/>
    </row>
    <row r="311" spans="1:49">
      <c r="A311" s="581">
        <v>18810</v>
      </c>
      <c r="B311" s="594">
        <v>7.1099999999999997E-2</v>
      </c>
      <c r="C311" s="577">
        <v>4.3899999999999995E-2</v>
      </c>
      <c r="D311" s="577">
        <v>2.3E-3</v>
      </c>
      <c r="E311" s="577">
        <v>2.4499999999999999E-3</v>
      </c>
      <c r="F311" s="577">
        <v>2.4916666666666668E-3</v>
      </c>
      <c r="G311" s="577">
        <v>2.4708333333333331E-3</v>
      </c>
      <c r="H311" s="577">
        <v>2.7166666666666667E-3</v>
      </c>
      <c r="I311" s="577">
        <f t="shared" si="46"/>
        <v>6.88E-2</v>
      </c>
      <c r="J311" s="577">
        <f t="shared" si="50"/>
        <v>6.8629166666666658E-2</v>
      </c>
      <c r="K311" s="577">
        <f t="shared" si="51"/>
        <v>4.1183333333333329E-2</v>
      </c>
      <c r="L311" s="585">
        <f t="shared" si="47"/>
        <v>0.35449069553288881</v>
      </c>
      <c r="M311" s="585">
        <f t="shared" si="48"/>
        <v>2.76E-2</v>
      </c>
      <c r="N311" s="585">
        <f t="shared" si="52"/>
        <v>2.9649999999999996E-2</v>
      </c>
      <c r="O311" s="586">
        <f t="shared" si="49"/>
        <v>0.3268906955328888</v>
      </c>
      <c r="P311" s="585">
        <f t="shared" si="53"/>
        <v>0.3248406955328888</v>
      </c>
      <c r="Q311" s="585">
        <f t="shared" si="54"/>
        <v>0.17855744782589755</v>
      </c>
      <c r="R311" s="585">
        <f t="shared" si="55"/>
        <v>3.2600000000000004E-2</v>
      </c>
      <c r="S311" s="586">
        <f t="shared" si="56"/>
        <v>0.14595744782589753</v>
      </c>
      <c r="U311" s="587"/>
      <c r="V311" s="587"/>
      <c r="W311" s="587"/>
      <c r="X311" s="587"/>
      <c r="Y311" s="587"/>
      <c r="Z311" s="587"/>
      <c r="AA311" s="587"/>
      <c r="AB311" s="587"/>
      <c r="AC311" s="587"/>
      <c r="AE311" s="587"/>
      <c r="AF311" s="587"/>
      <c r="AG311" s="587"/>
      <c r="AH311" s="587"/>
      <c r="AI311" s="587"/>
      <c r="AJ311" s="587"/>
      <c r="AK311" s="587"/>
      <c r="AL311" s="587"/>
      <c r="AM311" s="587"/>
      <c r="AO311" s="587"/>
      <c r="AP311" s="587"/>
      <c r="AQ311" s="587"/>
      <c r="AR311" s="587"/>
      <c r="AS311" s="587"/>
      <c r="AT311" s="587"/>
      <c r="AU311" s="587"/>
      <c r="AV311" s="587"/>
      <c r="AW311" s="587"/>
    </row>
    <row r="312" spans="1:49">
      <c r="A312" s="581">
        <v>18841</v>
      </c>
      <c r="B312" s="594">
        <v>4.7800000000000002E-2</v>
      </c>
      <c r="C312" s="577">
        <v>1.5200000000000002E-2</v>
      </c>
      <c r="D312" s="577">
        <v>2.0999999999999999E-3</v>
      </c>
      <c r="E312" s="577">
        <v>2.3999999999999998E-3</v>
      </c>
      <c r="F312" s="577">
        <v>2.4333333333333334E-3</v>
      </c>
      <c r="G312" s="577">
        <v>2.4166666666666664E-3</v>
      </c>
      <c r="H312" s="577">
        <v>2.6583333333333333E-3</v>
      </c>
      <c r="I312" s="577">
        <f t="shared" si="46"/>
        <v>4.5700000000000005E-2</v>
      </c>
      <c r="J312" s="577">
        <f t="shared" si="50"/>
        <v>4.5383333333333338E-2</v>
      </c>
      <c r="K312" s="577">
        <f t="shared" si="51"/>
        <v>1.2541666666666668E-2</v>
      </c>
      <c r="L312" s="585">
        <f t="shared" si="47"/>
        <v>0.35903030812923586</v>
      </c>
      <c r="M312" s="585">
        <f t="shared" si="48"/>
        <v>2.52E-2</v>
      </c>
      <c r="N312" s="585">
        <f t="shared" si="52"/>
        <v>2.8999999999999998E-2</v>
      </c>
      <c r="O312" s="586">
        <f t="shared" si="49"/>
        <v>0.33383030812923586</v>
      </c>
      <c r="P312" s="585">
        <f t="shared" si="53"/>
        <v>0.33003030812923584</v>
      </c>
      <c r="Q312" s="585">
        <f t="shared" si="54"/>
        <v>0.1783253112397587</v>
      </c>
      <c r="R312" s="585">
        <f t="shared" si="55"/>
        <v>3.1899999999999998E-2</v>
      </c>
      <c r="S312" s="586">
        <f t="shared" si="56"/>
        <v>0.14642531123975872</v>
      </c>
      <c r="U312" s="587"/>
      <c r="V312" s="587"/>
      <c r="W312" s="587"/>
      <c r="X312" s="587"/>
      <c r="Y312" s="587"/>
      <c r="Z312" s="587"/>
      <c r="AA312" s="587"/>
      <c r="AB312" s="587"/>
      <c r="AC312" s="587"/>
      <c r="AE312" s="587"/>
      <c r="AF312" s="587"/>
      <c r="AG312" s="587"/>
      <c r="AH312" s="587"/>
      <c r="AI312" s="587"/>
      <c r="AJ312" s="587"/>
      <c r="AK312" s="587"/>
      <c r="AL312" s="587"/>
      <c r="AM312" s="587"/>
      <c r="AO312" s="587"/>
      <c r="AP312" s="587"/>
      <c r="AQ312" s="587"/>
      <c r="AR312" s="587"/>
      <c r="AS312" s="587"/>
      <c r="AT312" s="587"/>
      <c r="AU312" s="587"/>
      <c r="AV312" s="587"/>
      <c r="AW312" s="587"/>
    </row>
    <row r="313" spans="1:49">
      <c r="A313" s="581">
        <v>18872</v>
      </c>
      <c r="B313" s="594">
        <v>1.2999999999999999E-3</v>
      </c>
      <c r="C313" s="577">
        <v>8.6E-3</v>
      </c>
      <c r="D313" s="577">
        <v>1.9E-3</v>
      </c>
      <c r="E313" s="577">
        <v>2.3666666666666667E-3</v>
      </c>
      <c r="F313" s="577">
        <v>2.3999999999999998E-3</v>
      </c>
      <c r="G313" s="577">
        <v>2.3833333333333332E-3</v>
      </c>
      <c r="H313" s="577">
        <v>2.6166666666666664E-3</v>
      </c>
      <c r="I313" s="577">
        <f t="shared" si="46"/>
        <v>-6.0000000000000006E-4</v>
      </c>
      <c r="J313" s="577">
        <f t="shared" si="50"/>
        <v>-1.0833333333333333E-3</v>
      </c>
      <c r="K313" s="577">
        <f t="shared" si="51"/>
        <v>5.9833333333333336E-3</v>
      </c>
      <c r="L313" s="585">
        <f t="shared" si="47"/>
        <v>0.28474041496393943</v>
      </c>
      <c r="M313" s="585">
        <f t="shared" si="48"/>
        <v>2.2800000000000001E-2</v>
      </c>
      <c r="N313" s="585">
        <f t="shared" si="52"/>
        <v>2.86E-2</v>
      </c>
      <c r="O313" s="586">
        <f t="shared" si="49"/>
        <v>0.26194041496393944</v>
      </c>
      <c r="P313" s="585">
        <f t="shared" si="53"/>
        <v>0.25614041496393941</v>
      </c>
      <c r="Q313" s="585">
        <f t="shared" si="54"/>
        <v>0.14077453341948565</v>
      </c>
      <c r="R313" s="585">
        <f t="shared" si="55"/>
        <v>3.1399999999999997E-2</v>
      </c>
      <c r="S313" s="586">
        <f t="shared" si="56"/>
        <v>0.10937453341948565</v>
      </c>
      <c r="U313" s="587"/>
      <c r="V313" s="587"/>
      <c r="W313" s="587"/>
      <c r="X313" s="587"/>
      <c r="Y313" s="587"/>
      <c r="Z313" s="587"/>
      <c r="AA313" s="587"/>
      <c r="AB313" s="587"/>
      <c r="AC313" s="587"/>
      <c r="AE313" s="587"/>
      <c r="AF313" s="587"/>
      <c r="AG313" s="587"/>
      <c r="AH313" s="587"/>
      <c r="AI313" s="587"/>
      <c r="AJ313" s="587"/>
      <c r="AK313" s="587"/>
      <c r="AL313" s="587"/>
      <c r="AM313" s="587"/>
      <c r="AO313" s="587"/>
      <c r="AP313" s="587"/>
      <c r="AQ313" s="587"/>
      <c r="AR313" s="587"/>
      <c r="AS313" s="587"/>
      <c r="AT313" s="587"/>
      <c r="AU313" s="587"/>
      <c r="AV313" s="587"/>
      <c r="AW313" s="587"/>
    </row>
    <row r="314" spans="1:49">
      <c r="A314" s="581">
        <v>18902</v>
      </c>
      <c r="B314" s="594">
        <v>-1.03E-2</v>
      </c>
      <c r="C314" s="577">
        <v>2.8999999999999998E-3</v>
      </c>
      <c r="D314" s="577">
        <v>2.3E-3</v>
      </c>
      <c r="E314" s="577">
        <v>2.4083333333333335E-3</v>
      </c>
      <c r="F314" s="577">
        <v>2.4416666666666666E-3</v>
      </c>
      <c r="G314" s="577">
        <v>2.4250000000000001E-3</v>
      </c>
      <c r="H314" s="577">
        <v>2.6416666666666667E-3</v>
      </c>
      <c r="I314" s="577">
        <f t="shared" si="46"/>
        <v>-1.26E-2</v>
      </c>
      <c r="J314" s="577">
        <f t="shared" si="50"/>
        <v>-1.2725E-2</v>
      </c>
      <c r="K314" s="577">
        <f t="shared" si="51"/>
        <v>2.5833333333333307E-4</v>
      </c>
      <c r="L314" s="585">
        <f t="shared" si="47"/>
        <v>0.25979152748420731</v>
      </c>
      <c r="M314" s="585">
        <f t="shared" si="48"/>
        <v>2.76E-2</v>
      </c>
      <c r="N314" s="585">
        <f t="shared" si="52"/>
        <v>2.9100000000000001E-2</v>
      </c>
      <c r="O314" s="586">
        <f t="shared" si="49"/>
        <v>0.23219152748420729</v>
      </c>
      <c r="P314" s="585">
        <f t="shared" si="53"/>
        <v>0.23069152748420729</v>
      </c>
      <c r="Q314" s="585">
        <f t="shared" si="54"/>
        <v>0.14718016601464234</v>
      </c>
      <c r="R314" s="585">
        <f t="shared" si="55"/>
        <v>3.1699999999999999E-2</v>
      </c>
      <c r="S314" s="586">
        <f t="shared" si="56"/>
        <v>0.11548016601464234</v>
      </c>
      <c r="U314" s="587"/>
      <c r="V314" s="587"/>
      <c r="W314" s="587"/>
      <c r="X314" s="587"/>
      <c r="Y314" s="587"/>
      <c r="Z314" s="587"/>
      <c r="AA314" s="587"/>
      <c r="AB314" s="587"/>
      <c r="AC314" s="587"/>
      <c r="AE314" s="587"/>
      <c r="AF314" s="587"/>
      <c r="AG314" s="587"/>
      <c r="AH314" s="587"/>
      <c r="AI314" s="587"/>
      <c r="AJ314" s="587"/>
      <c r="AK314" s="587"/>
      <c r="AL314" s="587"/>
      <c r="AM314" s="587"/>
      <c r="AO314" s="587"/>
      <c r="AP314" s="587"/>
      <c r="AQ314" s="587"/>
      <c r="AR314" s="587"/>
      <c r="AS314" s="587"/>
      <c r="AT314" s="587"/>
      <c r="AU314" s="587"/>
      <c r="AV314" s="587"/>
      <c r="AW314" s="587"/>
    </row>
    <row r="315" spans="1:49">
      <c r="A315" s="581">
        <v>18933</v>
      </c>
      <c r="B315" s="594">
        <v>9.5999999999999992E-3</v>
      </c>
      <c r="C315" s="577">
        <v>1.2E-2</v>
      </c>
      <c r="D315" s="577">
        <v>2.0999999999999999E-3</v>
      </c>
      <c r="E315" s="577">
        <v>2.4666666666666669E-3</v>
      </c>
      <c r="F315" s="577">
        <v>2.5166666666666666E-3</v>
      </c>
      <c r="G315" s="577">
        <v>2.4916666666666663E-3</v>
      </c>
      <c r="H315" s="577">
        <v>2.7000000000000001E-3</v>
      </c>
      <c r="I315" s="577">
        <f t="shared" si="46"/>
        <v>7.4999999999999997E-3</v>
      </c>
      <c r="J315" s="577">
        <f t="shared" si="50"/>
        <v>7.1083333333333328E-3</v>
      </c>
      <c r="K315" s="577">
        <f t="shared" si="51"/>
        <v>9.2999999999999992E-3</v>
      </c>
      <c r="L315" s="585">
        <f t="shared" si="47"/>
        <v>0.25074788686011962</v>
      </c>
      <c r="M315" s="585">
        <f t="shared" si="48"/>
        <v>2.52E-2</v>
      </c>
      <c r="N315" s="585">
        <f t="shared" si="52"/>
        <v>2.9899999999999996E-2</v>
      </c>
      <c r="O315" s="586">
        <f t="shared" si="49"/>
        <v>0.22554788686011962</v>
      </c>
      <c r="P315" s="585">
        <f t="shared" si="53"/>
        <v>0.22084788686011964</v>
      </c>
      <c r="Q315" s="585">
        <f t="shared" si="54"/>
        <v>0.18174504072355191</v>
      </c>
      <c r="R315" s="585">
        <f t="shared" si="55"/>
        <v>3.2399999999999998E-2</v>
      </c>
      <c r="S315" s="586">
        <f t="shared" si="56"/>
        <v>0.14934504072355193</v>
      </c>
      <c r="U315" s="587"/>
      <c r="V315" s="587"/>
      <c r="W315" s="587"/>
      <c r="X315" s="587"/>
      <c r="Y315" s="587"/>
      <c r="Z315" s="587"/>
      <c r="AA315" s="587"/>
      <c r="AB315" s="587"/>
      <c r="AC315" s="587"/>
      <c r="AE315" s="587"/>
      <c r="AF315" s="587"/>
      <c r="AG315" s="587"/>
      <c r="AH315" s="587"/>
      <c r="AI315" s="587"/>
      <c r="AJ315" s="587"/>
      <c r="AK315" s="587"/>
      <c r="AL315" s="587"/>
      <c r="AM315" s="587"/>
      <c r="AO315" s="587"/>
      <c r="AP315" s="587"/>
      <c r="AQ315" s="587"/>
      <c r="AR315" s="587"/>
      <c r="AS315" s="587"/>
      <c r="AT315" s="587"/>
      <c r="AU315" s="587"/>
      <c r="AV315" s="587"/>
      <c r="AW315" s="587"/>
    </row>
    <row r="316" spans="1:49">
      <c r="A316" s="581">
        <v>18963</v>
      </c>
      <c r="B316" s="594">
        <v>4.24E-2</v>
      </c>
      <c r="C316" s="577">
        <v>3.5200000000000002E-2</v>
      </c>
      <c r="D316" s="577">
        <v>2.2000000000000001E-3</v>
      </c>
      <c r="E316" s="577">
        <v>2.5083333333333329E-3</v>
      </c>
      <c r="F316" s="577">
        <v>2.5500000000000002E-3</v>
      </c>
      <c r="G316" s="577">
        <v>2.529166666666667E-3</v>
      </c>
      <c r="H316" s="577">
        <v>2.7416666666666666E-3</v>
      </c>
      <c r="I316" s="577">
        <f t="shared" si="46"/>
        <v>4.02E-2</v>
      </c>
      <c r="J316" s="577">
        <f t="shared" si="50"/>
        <v>3.9870833333333335E-2</v>
      </c>
      <c r="K316" s="577">
        <f t="shared" si="51"/>
        <v>3.2458333333333339E-2</v>
      </c>
      <c r="L316" s="585">
        <f t="shared" si="47"/>
        <v>0.24015941906495653</v>
      </c>
      <c r="M316" s="585">
        <f t="shared" si="48"/>
        <v>2.64E-2</v>
      </c>
      <c r="N316" s="585">
        <f t="shared" si="52"/>
        <v>3.0350000000000002E-2</v>
      </c>
      <c r="O316" s="586">
        <f t="shared" si="49"/>
        <v>0.21375941906495652</v>
      </c>
      <c r="P316" s="585">
        <f t="shared" si="53"/>
        <v>0.20980941906495654</v>
      </c>
      <c r="Q316" s="585">
        <f t="shared" si="54"/>
        <v>0.18632900131596331</v>
      </c>
      <c r="R316" s="585">
        <f t="shared" si="55"/>
        <v>3.2899999999999999E-2</v>
      </c>
      <c r="S316" s="586">
        <f t="shared" si="56"/>
        <v>0.15342900131596332</v>
      </c>
      <c r="U316" s="587"/>
      <c r="V316" s="587"/>
      <c r="W316" s="587"/>
      <c r="X316" s="587"/>
      <c r="Y316" s="587"/>
      <c r="Z316" s="587"/>
      <c r="AA316" s="587"/>
      <c r="AB316" s="587"/>
      <c r="AC316" s="587"/>
      <c r="AE316" s="587"/>
      <c r="AF316" s="587"/>
      <c r="AG316" s="587"/>
      <c r="AH316" s="587"/>
      <c r="AI316" s="587"/>
      <c r="AJ316" s="587"/>
      <c r="AK316" s="587"/>
      <c r="AL316" s="587"/>
      <c r="AM316" s="587"/>
      <c r="AO316" s="587"/>
      <c r="AP316" s="587"/>
      <c r="AQ316" s="587"/>
      <c r="AR316" s="587"/>
      <c r="AS316" s="587"/>
      <c r="AT316" s="587"/>
      <c r="AU316" s="587"/>
      <c r="AV316" s="587"/>
      <c r="AW316" s="587"/>
    </row>
    <row r="317" spans="1:49">
      <c r="A317" s="581">
        <v>18994</v>
      </c>
      <c r="B317" s="594">
        <v>1.8100000000000002E-2</v>
      </c>
      <c r="C317" s="577">
        <v>3.0499999999999999E-2</v>
      </c>
      <c r="D317" s="577">
        <v>2.3E-3</v>
      </c>
      <c r="E317" s="577">
        <v>2.4833333333333331E-3</v>
      </c>
      <c r="F317" s="577">
        <v>2.5416666666666665E-3</v>
      </c>
      <c r="G317" s="577">
        <v>2.5124999999999995E-3</v>
      </c>
      <c r="H317" s="577">
        <v>2.7416666666666666E-3</v>
      </c>
      <c r="I317" s="577">
        <f t="shared" si="46"/>
        <v>1.5800000000000002E-2</v>
      </c>
      <c r="J317" s="577">
        <f t="shared" si="50"/>
        <v>1.5587500000000002E-2</v>
      </c>
      <c r="K317" s="577">
        <f t="shared" si="51"/>
        <v>2.7758333333333333E-2</v>
      </c>
      <c r="L317" s="585">
        <f t="shared" si="47"/>
        <v>0.18699473963526625</v>
      </c>
      <c r="M317" s="585">
        <f t="shared" si="48"/>
        <v>2.76E-2</v>
      </c>
      <c r="N317" s="585">
        <f t="shared" si="52"/>
        <v>3.0149999999999996E-2</v>
      </c>
      <c r="O317" s="586">
        <f t="shared" si="49"/>
        <v>0.15939473963526624</v>
      </c>
      <c r="P317" s="585">
        <f t="shared" si="53"/>
        <v>0.15684473963526624</v>
      </c>
      <c r="Q317" s="585">
        <f t="shared" si="54"/>
        <v>0.17121291038139463</v>
      </c>
      <c r="R317" s="585">
        <f t="shared" si="55"/>
        <v>3.2899999999999999E-2</v>
      </c>
      <c r="S317" s="586">
        <f t="shared" si="56"/>
        <v>0.13831291038139465</v>
      </c>
      <c r="U317" s="587"/>
      <c r="V317" s="587"/>
      <c r="W317" s="587"/>
      <c r="X317" s="587"/>
      <c r="Y317" s="587"/>
      <c r="Z317" s="587"/>
      <c r="AA317" s="587"/>
      <c r="AB317" s="587"/>
      <c r="AC317" s="587"/>
      <c r="AE317" s="587"/>
      <c r="AF317" s="587"/>
      <c r="AG317" s="587"/>
      <c r="AH317" s="587"/>
      <c r="AI317" s="587"/>
      <c r="AJ317" s="587"/>
      <c r="AK317" s="587"/>
      <c r="AL317" s="587"/>
      <c r="AM317" s="587"/>
      <c r="AO317" s="587"/>
      <c r="AP317" s="587"/>
      <c r="AQ317" s="587"/>
      <c r="AR317" s="587"/>
      <c r="AS317" s="587"/>
      <c r="AT317" s="587"/>
      <c r="AU317" s="587"/>
      <c r="AV317" s="587"/>
      <c r="AW317" s="587"/>
    </row>
    <row r="318" spans="1:49">
      <c r="A318" s="581">
        <v>19025</v>
      </c>
      <c r="B318" s="594">
        <v>-2.8199999999999999E-2</v>
      </c>
      <c r="C318" s="577">
        <v>5.8999999999999999E-3</v>
      </c>
      <c r="D318" s="577">
        <v>2.0999999999999999E-3</v>
      </c>
      <c r="E318" s="577">
        <v>2.4416666666666666E-3</v>
      </c>
      <c r="F318" s="577">
        <v>2.5083333333333329E-3</v>
      </c>
      <c r="G318" s="577">
        <v>2.4749999999999998E-3</v>
      </c>
      <c r="H318" s="577">
        <v>2.6916666666666669E-3</v>
      </c>
      <c r="I318" s="577">
        <f t="shared" si="46"/>
        <v>-3.0300000000000001E-2</v>
      </c>
      <c r="J318" s="577">
        <f t="shared" si="50"/>
        <v>-3.0675000000000001E-2</v>
      </c>
      <c r="K318" s="577">
        <f t="shared" si="51"/>
        <v>3.208333333333333E-3</v>
      </c>
      <c r="L318" s="585">
        <f t="shared" si="47"/>
        <v>0.13569113712469338</v>
      </c>
      <c r="M318" s="585">
        <f t="shared" si="48"/>
        <v>2.52E-2</v>
      </c>
      <c r="N318" s="585">
        <f t="shared" si="52"/>
        <v>2.9699999999999997E-2</v>
      </c>
      <c r="O318" s="586">
        <f t="shared" si="49"/>
        <v>0.11049113712469338</v>
      </c>
      <c r="P318" s="585">
        <f t="shared" si="53"/>
        <v>0.10599113712469338</v>
      </c>
      <c r="Q318" s="585">
        <f t="shared" si="54"/>
        <v>0.14737345788142298</v>
      </c>
      <c r="R318" s="585">
        <f t="shared" si="55"/>
        <v>3.2300000000000002E-2</v>
      </c>
      <c r="S318" s="586">
        <f t="shared" si="56"/>
        <v>0.11507345788142298</v>
      </c>
      <c r="U318" s="587"/>
      <c r="V318" s="587"/>
      <c r="W318" s="587"/>
      <c r="X318" s="587"/>
      <c r="Y318" s="587"/>
      <c r="Z318" s="587"/>
      <c r="AA318" s="587"/>
      <c r="AB318" s="587"/>
      <c r="AC318" s="587"/>
      <c r="AE318" s="587"/>
      <c r="AF318" s="587"/>
      <c r="AG318" s="587"/>
      <c r="AH318" s="587"/>
      <c r="AI318" s="587"/>
      <c r="AJ318" s="587"/>
      <c r="AK318" s="587"/>
      <c r="AL318" s="587"/>
      <c r="AM318" s="587"/>
      <c r="AO318" s="587"/>
      <c r="AP318" s="587"/>
      <c r="AQ318" s="587"/>
      <c r="AR318" s="587"/>
      <c r="AS318" s="587"/>
      <c r="AT318" s="587"/>
      <c r="AU318" s="587"/>
      <c r="AV318" s="587"/>
      <c r="AW318" s="587"/>
    </row>
    <row r="319" spans="1:49">
      <c r="A319" s="581">
        <v>19054</v>
      </c>
      <c r="B319" s="594">
        <v>5.0299999999999997E-2</v>
      </c>
      <c r="C319" s="577">
        <v>1.7599999999999998E-2</v>
      </c>
      <c r="D319" s="577">
        <v>2.3E-3</v>
      </c>
      <c r="E319" s="577">
        <v>2.4666666666666669E-3</v>
      </c>
      <c r="F319" s="577">
        <v>2.5249999999999999E-3</v>
      </c>
      <c r="G319" s="577">
        <v>2.4958333333333334E-3</v>
      </c>
      <c r="H319" s="577">
        <v>2.708333333333333E-3</v>
      </c>
      <c r="I319" s="577">
        <f t="shared" si="46"/>
        <v>4.8000000000000001E-2</v>
      </c>
      <c r="J319" s="577">
        <f t="shared" si="50"/>
        <v>4.7804166666666661E-2</v>
      </c>
      <c r="K319" s="577">
        <f t="shared" si="51"/>
        <v>1.4891666666666664E-2</v>
      </c>
      <c r="L319" s="585">
        <f t="shared" si="47"/>
        <v>0.2117192211723542</v>
      </c>
      <c r="M319" s="585">
        <f t="shared" si="48"/>
        <v>2.76E-2</v>
      </c>
      <c r="N319" s="585">
        <f t="shared" si="52"/>
        <v>2.9950000000000001E-2</v>
      </c>
      <c r="O319" s="586">
        <f t="shared" si="49"/>
        <v>0.18411922117235419</v>
      </c>
      <c r="P319" s="585">
        <f t="shared" si="53"/>
        <v>0.1817692211723542</v>
      </c>
      <c r="Q319" s="585">
        <f t="shared" si="54"/>
        <v>0.18824265290060693</v>
      </c>
      <c r="R319" s="585">
        <f t="shared" si="55"/>
        <v>3.2499999999999994E-2</v>
      </c>
      <c r="S319" s="586">
        <f t="shared" si="56"/>
        <v>0.15574265290060693</v>
      </c>
      <c r="U319" s="587"/>
      <c r="V319" s="587"/>
      <c r="W319" s="587"/>
      <c r="X319" s="587"/>
      <c r="Y319" s="587"/>
      <c r="Z319" s="587"/>
      <c r="AA319" s="587"/>
      <c r="AB319" s="587"/>
      <c r="AC319" s="587"/>
      <c r="AE319" s="587"/>
      <c r="AF319" s="587"/>
      <c r="AG319" s="587"/>
      <c r="AH319" s="587"/>
      <c r="AI319" s="587"/>
      <c r="AJ319" s="587"/>
      <c r="AK319" s="587"/>
      <c r="AL319" s="587"/>
      <c r="AM319" s="587"/>
      <c r="AO319" s="587"/>
      <c r="AP319" s="587"/>
      <c r="AQ319" s="587"/>
      <c r="AR319" s="587"/>
      <c r="AS319" s="587"/>
      <c r="AT319" s="587"/>
      <c r="AU319" s="587"/>
      <c r="AV319" s="587"/>
      <c r="AW319" s="587"/>
    </row>
    <row r="320" spans="1:49">
      <c r="A320" s="581">
        <v>19085</v>
      </c>
      <c r="B320" s="594">
        <v>-4.02E-2</v>
      </c>
      <c r="C320" s="577">
        <v>-1.54E-2</v>
      </c>
      <c r="D320" s="577">
        <v>2.2000000000000001E-3</v>
      </c>
      <c r="E320" s="577">
        <v>2.4416666666666666E-3</v>
      </c>
      <c r="F320" s="577">
        <v>2.5083333333333329E-3</v>
      </c>
      <c r="G320" s="577">
        <v>2.4749999999999998E-3</v>
      </c>
      <c r="H320" s="577">
        <v>2.6916666666666669E-3</v>
      </c>
      <c r="I320" s="577">
        <f t="shared" si="46"/>
        <v>-4.24E-2</v>
      </c>
      <c r="J320" s="577">
        <f t="shared" si="50"/>
        <v>-4.2674999999999998E-2</v>
      </c>
      <c r="K320" s="577">
        <f t="shared" si="51"/>
        <v>-1.8091666666666666E-2</v>
      </c>
      <c r="L320" s="585">
        <f t="shared" si="47"/>
        <v>0.10667818867753875</v>
      </c>
      <c r="M320" s="585">
        <f t="shared" si="48"/>
        <v>2.64E-2</v>
      </c>
      <c r="N320" s="585">
        <f t="shared" si="52"/>
        <v>2.9699999999999997E-2</v>
      </c>
      <c r="O320" s="586">
        <f t="shared" si="49"/>
        <v>8.0278188677538748E-2</v>
      </c>
      <c r="P320" s="585">
        <f t="shared" si="53"/>
        <v>7.697818867753875E-2</v>
      </c>
      <c r="Q320" s="585">
        <f t="shared" si="54"/>
        <v>0.16935903652767359</v>
      </c>
      <c r="R320" s="585">
        <f t="shared" si="55"/>
        <v>3.2300000000000002E-2</v>
      </c>
      <c r="S320" s="586">
        <f t="shared" si="56"/>
        <v>0.13705903652767359</v>
      </c>
      <c r="U320" s="587"/>
      <c r="V320" s="587"/>
      <c r="W320" s="587"/>
      <c r="X320" s="587"/>
      <c r="Y320" s="587"/>
      <c r="Z320" s="587"/>
      <c r="AA320" s="587"/>
      <c r="AB320" s="587"/>
      <c r="AC320" s="587"/>
      <c r="AE320" s="587"/>
      <c r="AF320" s="587"/>
      <c r="AG320" s="587"/>
      <c r="AH320" s="587"/>
      <c r="AI320" s="587"/>
      <c r="AJ320" s="587"/>
      <c r="AK320" s="587"/>
      <c r="AL320" s="587"/>
      <c r="AM320" s="587"/>
      <c r="AO320" s="587"/>
      <c r="AP320" s="587"/>
      <c r="AQ320" s="587"/>
      <c r="AR320" s="587"/>
      <c r="AS320" s="587"/>
      <c r="AT320" s="587"/>
      <c r="AU320" s="587"/>
      <c r="AV320" s="587"/>
      <c r="AW320" s="587"/>
    </row>
    <row r="321" spans="1:49">
      <c r="A321" s="581">
        <v>19115</v>
      </c>
      <c r="B321" s="594">
        <v>3.4299999999999997E-2</v>
      </c>
      <c r="C321" s="577">
        <v>1.9E-2</v>
      </c>
      <c r="D321" s="577">
        <v>2E-3</v>
      </c>
      <c r="E321" s="577">
        <v>2.4416666666666666E-3</v>
      </c>
      <c r="F321" s="577">
        <v>2.5000000000000001E-3</v>
      </c>
      <c r="G321" s="577">
        <v>2.4708333333333331E-3</v>
      </c>
      <c r="H321" s="577">
        <v>2.6833333333333336E-3</v>
      </c>
      <c r="I321" s="577">
        <f t="shared" si="46"/>
        <v>3.2299999999999995E-2</v>
      </c>
      <c r="J321" s="577">
        <f t="shared" si="50"/>
        <v>3.1829166666666665E-2</v>
      </c>
      <c r="K321" s="577">
        <f t="shared" si="51"/>
        <v>1.6316666666666667E-2</v>
      </c>
      <c r="L321" s="585">
        <f t="shared" si="47"/>
        <v>0.17991676172474858</v>
      </c>
      <c r="M321" s="585">
        <f t="shared" si="48"/>
        <v>2.4E-2</v>
      </c>
      <c r="N321" s="585">
        <f t="shared" si="52"/>
        <v>2.9649999999999996E-2</v>
      </c>
      <c r="O321" s="586">
        <f t="shared" si="49"/>
        <v>0.15591676172474858</v>
      </c>
      <c r="P321" s="585">
        <f t="shared" si="53"/>
        <v>0.15026676172474857</v>
      </c>
      <c r="Q321" s="585">
        <f t="shared" si="54"/>
        <v>0.18376401571796053</v>
      </c>
      <c r="R321" s="585">
        <f t="shared" si="55"/>
        <v>3.2200000000000006E-2</v>
      </c>
      <c r="S321" s="586">
        <f t="shared" si="56"/>
        <v>0.15156401571796052</v>
      </c>
      <c r="U321" s="587"/>
      <c r="V321" s="587"/>
      <c r="W321" s="587"/>
      <c r="X321" s="587"/>
      <c r="Y321" s="587"/>
      <c r="Z321" s="587"/>
      <c r="AA321" s="587"/>
      <c r="AB321" s="587"/>
      <c r="AC321" s="587"/>
      <c r="AE321" s="587"/>
      <c r="AF321" s="587"/>
      <c r="AG321" s="587"/>
      <c r="AH321" s="587"/>
      <c r="AI321" s="587"/>
      <c r="AJ321" s="587"/>
      <c r="AK321" s="587"/>
      <c r="AL321" s="587"/>
      <c r="AM321" s="587"/>
      <c r="AO321" s="587"/>
      <c r="AP321" s="587"/>
      <c r="AQ321" s="587"/>
      <c r="AR321" s="587"/>
      <c r="AS321" s="587"/>
      <c r="AT321" s="587"/>
      <c r="AU321" s="587"/>
      <c r="AV321" s="587"/>
      <c r="AW321" s="587"/>
    </row>
    <row r="322" spans="1:49">
      <c r="A322" s="581">
        <v>19146</v>
      </c>
      <c r="B322" s="594">
        <v>4.9000000000000002E-2</v>
      </c>
      <c r="C322" s="577">
        <v>4.8999999999999998E-3</v>
      </c>
      <c r="D322" s="577">
        <v>2.2000000000000001E-3</v>
      </c>
      <c r="E322" s="577">
        <v>2.4499999999999999E-3</v>
      </c>
      <c r="F322" s="577">
        <v>2.5249999999999999E-3</v>
      </c>
      <c r="G322" s="577">
        <v>2.4875000000000001E-3</v>
      </c>
      <c r="H322" s="577">
        <v>2.6833333333333336E-3</v>
      </c>
      <c r="I322" s="577">
        <f t="shared" si="46"/>
        <v>4.6800000000000001E-2</v>
      </c>
      <c r="J322" s="577">
        <f t="shared" si="50"/>
        <v>4.6512499999999998E-2</v>
      </c>
      <c r="K322" s="577">
        <f t="shared" si="51"/>
        <v>2.2166666666666663E-3</v>
      </c>
      <c r="L322" s="585">
        <f t="shared" si="47"/>
        <v>0.26661142350517952</v>
      </c>
      <c r="M322" s="585">
        <f t="shared" si="48"/>
        <v>2.64E-2</v>
      </c>
      <c r="N322" s="585">
        <f t="shared" si="52"/>
        <v>2.9850000000000002E-2</v>
      </c>
      <c r="O322" s="586">
        <f t="shared" si="49"/>
        <v>0.24021142350517952</v>
      </c>
      <c r="P322" s="585">
        <f t="shared" si="53"/>
        <v>0.23676142350517954</v>
      </c>
      <c r="Q322" s="585">
        <f t="shared" si="54"/>
        <v>0.19434182670178579</v>
      </c>
      <c r="R322" s="585">
        <f t="shared" si="55"/>
        <v>3.2200000000000006E-2</v>
      </c>
      <c r="S322" s="586">
        <f t="shared" si="56"/>
        <v>0.16214182670178579</v>
      </c>
      <c r="U322" s="587"/>
      <c r="V322" s="587"/>
      <c r="W322" s="587"/>
      <c r="X322" s="587"/>
      <c r="Y322" s="587"/>
      <c r="Z322" s="587"/>
      <c r="AA322" s="587"/>
      <c r="AB322" s="587"/>
      <c r="AC322" s="587"/>
      <c r="AE322" s="587"/>
      <c r="AF322" s="587"/>
      <c r="AG322" s="587"/>
      <c r="AH322" s="587"/>
      <c r="AI322" s="587"/>
      <c r="AJ322" s="587"/>
      <c r="AK322" s="587"/>
      <c r="AL322" s="587"/>
      <c r="AM322" s="587"/>
      <c r="AO322" s="587"/>
      <c r="AP322" s="587"/>
      <c r="AQ322" s="587"/>
      <c r="AR322" s="587"/>
      <c r="AS322" s="587"/>
      <c r="AT322" s="587"/>
      <c r="AU322" s="587"/>
      <c r="AV322" s="587"/>
      <c r="AW322" s="587"/>
    </row>
    <row r="323" spans="1:49">
      <c r="A323" s="581">
        <v>19176</v>
      </c>
      <c r="B323" s="594">
        <v>1.9599999999999999E-2</v>
      </c>
      <c r="C323" s="577">
        <v>2.06E-2</v>
      </c>
      <c r="D323" s="577">
        <v>2.2000000000000001E-3</v>
      </c>
      <c r="E323" s="577">
        <v>2.4583333333333336E-3</v>
      </c>
      <c r="F323" s="577">
        <v>2.5333333333333336E-3</v>
      </c>
      <c r="G323" s="577">
        <v>2.4958333333333334E-3</v>
      </c>
      <c r="H323" s="577">
        <v>2.6833333333333336E-3</v>
      </c>
      <c r="I323" s="577">
        <f t="shared" si="46"/>
        <v>1.7399999999999999E-2</v>
      </c>
      <c r="J323" s="577">
        <f t="shared" si="50"/>
        <v>1.7104166666666667E-2</v>
      </c>
      <c r="K323" s="577">
        <f t="shared" si="51"/>
        <v>1.7916666666666668E-2</v>
      </c>
      <c r="L323" s="585">
        <f t="shared" si="47"/>
        <v>0.20571095827269215</v>
      </c>
      <c r="M323" s="585">
        <f t="shared" si="48"/>
        <v>2.64E-2</v>
      </c>
      <c r="N323" s="585">
        <f t="shared" si="52"/>
        <v>2.9950000000000001E-2</v>
      </c>
      <c r="O323" s="586">
        <f t="shared" si="49"/>
        <v>0.17931095827269214</v>
      </c>
      <c r="P323" s="585">
        <f t="shared" si="53"/>
        <v>0.17576095827269214</v>
      </c>
      <c r="Q323" s="585">
        <f t="shared" si="54"/>
        <v>0.16768394322429581</v>
      </c>
      <c r="R323" s="585">
        <f t="shared" si="55"/>
        <v>3.2200000000000006E-2</v>
      </c>
      <c r="S323" s="586">
        <f t="shared" si="56"/>
        <v>0.1354839432242958</v>
      </c>
      <c r="U323" s="587"/>
      <c r="V323" s="587"/>
      <c r="W323" s="587"/>
      <c r="X323" s="587"/>
      <c r="Y323" s="587"/>
      <c r="Z323" s="587"/>
      <c r="AA323" s="587"/>
      <c r="AB323" s="587"/>
      <c r="AC323" s="587"/>
      <c r="AE323" s="587"/>
      <c r="AF323" s="587"/>
      <c r="AG323" s="587"/>
      <c r="AH323" s="587"/>
      <c r="AI323" s="587"/>
      <c r="AJ323" s="587"/>
      <c r="AK323" s="587"/>
      <c r="AL323" s="587"/>
      <c r="AM323" s="587"/>
      <c r="AO323" s="587"/>
      <c r="AP323" s="587"/>
      <c r="AQ323" s="587"/>
      <c r="AR323" s="587"/>
      <c r="AS323" s="587"/>
      <c r="AT323" s="587"/>
      <c r="AU323" s="587"/>
      <c r="AV323" s="587"/>
      <c r="AW323" s="587"/>
    </row>
    <row r="324" spans="1:49">
      <c r="A324" s="581">
        <v>19207</v>
      </c>
      <c r="B324" s="594">
        <v>-7.1000000000000004E-3</v>
      </c>
      <c r="C324" s="577">
        <v>2.0300000000000002E-2</v>
      </c>
      <c r="D324" s="577">
        <v>2.0999999999999999E-3</v>
      </c>
      <c r="E324" s="577">
        <v>2.4499999999999999E-3</v>
      </c>
      <c r="F324" s="577">
        <v>2.5500000000000002E-3</v>
      </c>
      <c r="G324" s="577">
        <v>2.5000000000000001E-3</v>
      </c>
      <c r="H324" s="577">
        <v>2.7000000000000001E-3</v>
      </c>
      <c r="I324" s="577">
        <f t="shared" si="46"/>
        <v>-9.1999999999999998E-3</v>
      </c>
      <c r="J324" s="577">
        <f t="shared" si="50"/>
        <v>-9.6000000000000009E-3</v>
      </c>
      <c r="K324" s="577">
        <f t="shared" si="51"/>
        <v>1.7600000000000001E-2</v>
      </c>
      <c r="L324" s="585">
        <f t="shared" si="47"/>
        <v>0.14253713539698043</v>
      </c>
      <c r="M324" s="585">
        <f t="shared" si="48"/>
        <v>2.52E-2</v>
      </c>
      <c r="N324" s="585">
        <f t="shared" si="52"/>
        <v>0.03</v>
      </c>
      <c r="O324" s="586">
        <f t="shared" si="49"/>
        <v>0.11733713539698043</v>
      </c>
      <c r="P324" s="585">
        <f t="shared" si="53"/>
        <v>0.11253713539698043</v>
      </c>
      <c r="Q324" s="585">
        <f t="shared" si="54"/>
        <v>0.17354996776177001</v>
      </c>
      <c r="R324" s="585">
        <f t="shared" si="55"/>
        <v>3.2399999999999998E-2</v>
      </c>
      <c r="S324" s="586">
        <f t="shared" si="56"/>
        <v>0.14114996776177002</v>
      </c>
      <c r="U324" s="587"/>
      <c r="V324" s="587"/>
      <c r="W324" s="587"/>
      <c r="X324" s="587"/>
      <c r="Y324" s="587"/>
      <c r="Z324" s="587"/>
      <c r="AA324" s="587"/>
      <c r="AB324" s="587"/>
      <c r="AC324" s="587"/>
      <c r="AE324" s="587"/>
      <c r="AF324" s="587"/>
      <c r="AG324" s="587"/>
      <c r="AH324" s="587"/>
      <c r="AI324" s="587"/>
      <c r="AJ324" s="587"/>
      <c r="AK324" s="587"/>
      <c r="AL324" s="587"/>
      <c r="AM324" s="587"/>
      <c r="AO324" s="587"/>
      <c r="AP324" s="587"/>
      <c r="AQ324" s="587"/>
      <c r="AR324" s="587"/>
      <c r="AS324" s="587"/>
      <c r="AT324" s="587"/>
      <c r="AU324" s="587"/>
      <c r="AV324" s="587"/>
      <c r="AW324" s="587"/>
    </row>
    <row r="325" spans="1:49">
      <c r="A325" s="581">
        <v>19238</v>
      </c>
      <c r="B325" s="594">
        <v>-1.7600000000000001E-2</v>
      </c>
      <c r="C325" s="577">
        <v>1.4999999999999996E-3</v>
      </c>
      <c r="D325" s="577">
        <v>2.3E-3</v>
      </c>
      <c r="E325" s="577">
        <v>2.4583333333333336E-3</v>
      </c>
      <c r="F325" s="577">
        <v>2.558333333333333E-3</v>
      </c>
      <c r="G325" s="577">
        <v>2.5083333333333333E-3</v>
      </c>
      <c r="H325" s="577">
        <v>2.7000000000000001E-3</v>
      </c>
      <c r="I325" s="577">
        <f t="shared" si="46"/>
        <v>-1.9900000000000001E-2</v>
      </c>
      <c r="J325" s="577">
        <f t="shared" si="50"/>
        <v>-2.0108333333333336E-2</v>
      </c>
      <c r="K325" s="577">
        <f t="shared" si="51"/>
        <v>-1.2000000000000005E-3</v>
      </c>
      <c r="L325" s="585">
        <f t="shared" si="47"/>
        <v>0.12097121922899645</v>
      </c>
      <c r="M325" s="585">
        <f t="shared" si="48"/>
        <v>2.76E-2</v>
      </c>
      <c r="N325" s="585">
        <f t="shared" si="52"/>
        <v>3.0100000000000002E-2</v>
      </c>
      <c r="O325" s="586">
        <f t="shared" si="49"/>
        <v>9.3371219228996452E-2</v>
      </c>
      <c r="P325" s="585">
        <f t="shared" si="53"/>
        <v>9.087121922899645E-2</v>
      </c>
      <c r="Q325" s="585">
        <f t="shared" si="54"/>
        <v>0.16528880895638776</v>
      </c>
      <c r="R325" s="585">
        <f t="shared" si="55"/>
        <v>3.2399999999999998E-2</v>
      </c>
      <c r="S325" s="586">
        <f t="shared" si="56"/>
        <v>0.13288880895638777</v>
      </c>
      <c r="U325" s="587"/>
      <c r="V325" s="587"/>
      <c r="W325" s="587"/>
      <c r="X325" s="587"/>
      <c r="Y325" s="587"/>
      <c r="Z325" s="587"/>
      <c r="AA325" s="587"/>
      <c r="AB325" s="587"/>
      <c r="AC325" s="587"/>
      <c r="AE325" s="587"/>
      <c r="AF325" s="587"/>
      <c r="AG325" s="587"/>
      <c r="AH325" s="587"/>
      <c r="AI325" s="587"/>
      <c r="AJ325" s="587"/>
      <c r="AK325" s="587"/>
      <c r="AL325" s="587"/>
      <c r="AM325" s="587"/>
      <c r="AO325" s="587"/>
      <c r="AP325" s="587"/>
      <c r="AQ325" s="587"/>
      <c r="AR325" s="587"/>
      <c r="AS325" s="587"/>
      <c r="AT325" s="587"/>
      <c r="AU325" s="587"/>
      <c r="AV325" s="587"/>
      <c r="AW325" s="587"/>
    </row>
    <row r="326" spans="1:49">
      <c r="A326" s="581">
        <v>19268</v>
      </c>
      <c r="B326" s="594">
        <v>2E-3</v>
      </c>
      <c r="C326" s="577">
        <v>1.01E-2</v>
      </c>
      <c r="D326" s="577">
        <v>2.3E-3</v>
      </c>
      <c r="E326" s="577">
        <v>2.5083333333333329E-3</v>
      </c>
      <c r="F326" s="577">
        <v>2.5666666666666667E-3</v>
      </c>
      <c r="G326" s="577">
        <v>2.5374999999999998E-3</v>
      </c>
      <c r="H326" s="577">
        <v>2.7166666666666667E-3</v>
      </c>
      <c r="I326" s="577">
        <f t="shared" ref="I326:I389" si="57">B326-D326</f>
        <v>-2.9999999999999992E-4</v>
      </c>
      <c r="J326" s="577">
        <f t="shared" si="50"/>
        <v>-5.3749999999999978E-4</v>
      </c>
      <c r="K326" s="577">
        <f t="shared" si="51"/>
        <v>7.3833333333333329E-3</v>
      </c>
      <c r="L326" s="585">
        <f t="shared" si="47"/>
        <v>0.13490265905572785</v>
      </c>
      <c r="M326" s="585">
        <f t="shared" si="48"/>
        <v>2.76E-2</v>
      </c>
      <c r="N326" s="585">
        <f t="shared" si="52"/>
        <v>3.0449999999999998E-2</v>
      </c>
      <c r="O326" s="586">
        <f t="shared" si="49"/>
        <v>0.10730265905572785</v>
      </c>
      <c r="P326" s="585">
        <f t="shared" si="53"/>
        <v>0.10445265905572784</v>
      </c>
      <c r="Q326" s="585">
        <f t="shared" si="54"/>
        <v>0.17365462750707694</v>
      </c>
      <c r="R326" s="585">
        <f t="shared" si="55"/>
        <v>3.2600000000000004E-2</v>
      </c>
      <c r="S326" s="586">
        <f t="shared" si="56"/>
        <v>0.14105462750707692</v>
      </c>
      <c r="U326" s="587"/>
      <c r="V326" s="587"/>
      <c r="W326" s="587"/>
      <c r="X326" s="587"/>
      <c r="Y326" s="587"/>
      <c r="Z326" s="587"/>
      <c r="AA326" s="587"/>
      <c r="AB326" s="587"/>
      <c r="AC326" s="587"/>
      <c r="AE326" s="587"/>
      <c r="AF326" s="587"/>
      <c r="AG326" s="587"/>
      <c r="AH326" s="587"/>
      <c r="AI326" s="587"/>
      <c r="AJ326" s="587"/>
      <c r="AK326" s="587"/>
      <c r="AL326" s="587"/>
      <c r="AM326" s="587"/>
      <c r="AO326" s="587"/>
      <c r="AP326" s="587"/>
      <c r="AQ326" s="587"/>
      <c r="AR326" s="587"/>
      <c r="AS326" s="587"/>
      <c r="AT326" s="587"/>
      <c r="AU326" s="587"/>
      <c r="AV326" s="587"/>
      <c r="AW326" s="587"/>
    </row>
    <row r="327" spans="1:49">
      <c r="A327" s="581">
        <v>19299</v>
      </c>
      <c r="B327" s="594">
        <v>5.7099999999999998E-2</v>
      </c>
      <c r="C327" s="577">
        <v>4.2299999999999997E-2</v>
      </c>
      <c r="D327" s="577">
        <v>2.0999999999999999E-3</v>
      </c>
      <c r="E327" s="577">
        <v>2.4833333333333331E-3</v>
      </c>
      <c r="F327" s="577">
        <v>2.5500000000000002E-3</v>
      </c>
      <c r="G327" s="577">
        <v>2.5166666666666666E-3</v>
      </c>
      <c r="H327" s="577">
        <v>2.7000000000000001E-3</v>
      </c>
      <c r="I327" s="577">
        <f t="shared" si="57"/>
        <v>5.5E-2</v>
      </c>
      <c r="J327" s="577">
        <f t="shared" si="50"/>
        <v>5.4583333333333331E-2</v>
      </c>
      <c r="K327" s="577">
        <f t="shared" si="51"/>
        <v>3.9599999999999996E-2</v>
      </c>
      <c r="L327" s="585">
        <f t="shared" si="47"/>
        <v>0.18829794065749828</v>
      </c>
      <c r="M327" s="585">
        <f t="shared" si="48"/>
        <v>2.52E-2</v>
      </c>
      <c r="N327" s="585">
        <f t="shared" si="52"/>
        <v>3.0199999999999998E-2</v>
      </c>
      <c r="O327" s="586">
        <f t="shared" si="49"/>
        <v>0.16309794065749827</v>
      </c>
      <c r="P327" s="585">
        <f t="shared" si="53"/>
        <v>0.15809794065749827</v>
      </c>
      <c r="Q327" s="585">
        <f t="shared" si="54"/>
        <v>0.20879468206583618</v>
      </c>
      <c r="R327" s="585">
        <f t="shared" si="55"/>
        <v>3.2399999999999998E-2</v>
      </c>
      <c r="S327" s="586">
        <f t="shared" si="56"/>
        <v>0.17639468206583619</v>
      </c>
      <c r="U327" s="587"/>
      <c r="V327" s="587"/>
      <c r="W327" s="587"/>
      <c r="X327" s="587"/>
      <c r="Y327" s="587"/>
      <c r="Z327" s="587"/>
      <c r="AA327" s="587"/>
      <c r="AB327" s="587"/>
      <c r="AC327" s="587"/>
      <c r="AE327" s="587"/>
      <c r="AF327" s="587"/>
      <c r="AG327" s="587"/>
      <c r="AH327" s="587"/>
      <c r="AI327" s="587"/>
      <c r="AJ327" s="587"/>
      <c r="AK327" s="587"/>
      <c r="AL327" s="587"/>
      <c r="AM327" s="587"/>
      <c r="AO327" s="587"/>
      <c r="AP327" s="587"/>
      <c r="AQ327" s="587"/>
      <c r="AR327" s="587"/>
      <c r="AS327" s="587"/>
      <c r="AT327" s="587"/>
      <c r="AU327" s="587"/>
      <c r="AV327" s="587"/>
      <c r="AW327" s="587"/>
    </row>
    <row r="328" spans="1:49">
      <c r="A328" s="581">
        <v>19329</v>
      </c>
      <c r="B328" s="594">
        <v>3.8199999999999998E-2</v>
      </c>
      <c r="C328" s="577">
        <v>2.1299999999999999E-2</v>
      </c>
      <c r="D328" s="577">
        <v>2.3999999999999998E-3</v>
      </c>
      <c r="E328" s="577">
        <v>2.4750000000000002E-3</v>
      </c>
      <c r="F328" s="577">
        <v>2.5416666666666665E-3</v>
      </c>
      <c r="G328" s="577">
        <v>2.5083333333333333E-3</v>
      </c>
      <c r="H328" s="577">
        <v>2.6833333333333336E-3</v>
      </c>
      <c r="I328" s="577">
        <f t="shared" si="57"/>
        <v>3.5799999999999998E-2</v>
      </c>
      <c r="J328" s="577">
        <f t="shared" si="50"/>
        <v>3.5691666666666663E-2</v>
      </c>
      <c r="K328" s="577">
        <f t="shared" si="51"/>
        <v>1.8616666666666667E-2</v>
      </c>
      <c r="L328" s="585">
        <f t="shared" si="47"/>
        <v>0.18351009400481066</v>
      </c>
      <c r="M328" s="585">
        <f t="shared" si="48"/>
        <v>2.8799999999999999E-2</v>
      </c>
      <c r="N328" s="585">
        <f t="shared" si="52"/>
        <v>3.0100000000000002E-2</v>
      </c>
      <c r="O328" s="586">
        <f t="shared" si="49"/>
        <v>0.15471009400481067</v>
      </c>
      <c r="P328" s="585">
        <f t="shared" si="53"/>
        <v>0.15341009400481065</v>
      </c>
      <c r="Q328" s="585">
        <f t="shared" si="54"/>
        <v>0.19256376429080269</v>
      </c>
      <c r="R328" s="585">
        <f t="shared" si="55"/>
        <v>3.2200000000000006E-2</v>
      </c>
      <c r="S328" s="586">
        <f t="shared" si="56"/>
        <v>0.16036376429080268</v>
      </c>
      <c r="U328" s="587"/>
      <c r="V328" s="587"/>
      <c r="W328" s="587"/>
      <c r="X328" s="587"/>
      <c r="Y328" s="587"/>
      <c r="Z328" s="587"/>
      <c r="AA328" s="587"/>
      <c r="AB328" s="587"/>
      <c r="AC328" s="587"/>
      <c r="AE328" s="587"/>
      <c r="AF328" s="587"/>
      <c r="AG328" s="587"/>
      <c r="AH328" s="587"/>
      <c r="AI328" s="587"/>
      <c r="AJ328" s="587"/>
      <c r="AK328" s="587"/>
      <c r="AL328" s="587"/>
      <c r="AM328" s="587"/>
      <c r="AO328" s="587"/>
      <c r="AP328" s="587"/>
      <c r="AQ328" s="587"/>
      <c r="AR328" s="587"/>
      <c r="AS328" s="587"/>
      <c r="AT328" s="587"/>
      <c r="AU328" s="587"/>
      <c r="AV328" s="587"/>
      <c r="AW328" s="587"/>
    </row>
    <row r="329" spans="1:49">
      <c r="A329" s="581">
        <v>19360</v>
      </c>
      <c r="B329" s="594">
        <v>-4.8999999999999998E-3</v>
      </c>
      <c r="C329" s="577">
        <v>1.03E-2</v>
      </c>
      <c r="D329" s="577">
        <v>2.3E-3</v>
      </c>
      <c r="E329" s="577">
        <v>2.5166666666666666E-3</v>
      </c>
      <c r="F329" s="577">
        <v>2.575E-3</v>
      </c>
      <c r="G329" s="577">
        <v>2.5458333333333331E-3</v>
      </c>
      <c r="H329" s="577">
        <v>2.708333333333333E-3</v>
      </c>
      <c r="I329" s="577">
        <f t="shared" si="57"/>
        <v>-7.1999999999999998E-3</v>
      </c>
      <c r="J329" s="577">
        <f t="shared" si="50"/>
        <v>-7.4458333333333329E-3</v>
      </c>
      <c r="K329" s="577">
        <f t="shared" si="51"/>
        <v>7.5916666666666667E-3</v>
      </c>
      <c r="L329" s="585">
        <f t="shared" si="47"/>
        <v>0.15677329785304694</v>
      </c>
      <c r="M329" s="585">
        <f t="shared" si="48"/>
        <v>2.76E-2</v>
      </c>
      <c r="N329" s="585">
        <f t="shared" si="52"/>
        <v>3.0549999999999997E-2</v>
      </c>
      <c r="O329" s="586">
        <f t="shared" si="49"/>
        <v>0.12917329785304693</v>
      </c>
      <c r="P329" s="585">
        <f t="shared" si="53"/>
        <v>0.12622329785304695</v>
      </c>
      <c r="Q329" s="585">
        <f t="shared" si="54"/>
        <v>0.16918696852304516</v>
      </c>
      <c r="R329" s="585">
        <f t="shared" si="55"/>
        <v>3.2499999999999994E-2</v>
      </c>
      <c r="S329" s="586">
        <f t="shared" si="56"/>
        <v>0.13668696852304515</v>
      </c>
      <c r="U329" s="587"/>
      <c r="V329" s="587"/>
      <c r="W329" s="587"/>
      <c r="X329" s="587"/>
      <c r="Y329" s="587"/>
      <c r="Z329" s="587"/>
      <c r="AA329" s="587"/>
      <c r="AB329" s="587"/>
      <c r="AC329" s="587"/>
      <c r="AE329" s="587"/>
      <c r="AF329" s="587"/>
      <c r="AG329" s="587"/>
      <c r="AH329" s="587"/>
      <c r="AI329" s="587"/>
      <c r="AJ329" s="587"/>
      <c r="AK329" s="587"/>
      <c r="AL329" s="587"/>
      <c r="AM329" s="587"/>
      <c r="AO329" s="587"/>
      <c r="AP329" s="587"/>
      <c r="AQ329" s="587"/>
      <c r="AR329" s="587"/>
      <c r="AS329" s="587"/>
      <c r="AT329" s="587"/>
      <c r="AU329" s="587"/>
      <c r="AV329" s="587"/>
      <c r="AW329" s="587"/>
    </row>
    <row r="330" spans="1:49">
      <c r="A330" s="581">
        <v>19391</v>
      </c>
      <c r="B330" s="594">
        <v>-1.06E-2</v>
      </c>
      <c r="C330" s="577">
        <v>-6.7000000000000002E-3</v>
      </c>
      <c r="D330" s="577">
        <v>2.0999999999999999E-3</v>
      </c>
      <c r="E330" s="577">
        <v>2.558333333333333E-3</v>
      </c>
      <c r="F330" s="577">
        <v>2.6166666666666664E-3</v>
      </c>
      <c r="G330" s="577">
        <v>2.5875E-3</v>
      </c>
      <c r="H330" s="577">
        <v>2.7500000000000003E-3</v>
      </c>
      <c r="I330" s="577">
        <f t="shared" si="57"/>
        <v>-1.2699999999999999E-2</v>
      </c>
      <c r="J330" s="577">
        <f t="shared" si="50"/>
        <v>-1.31875E-2</v>
      </c>
      <c r="K330" s="577">
        <f t="shared" si="51"/>
        <v>-9.4500000000000001E-3</v>
      </c>
      <c r="L330" s="585">
        <f t="shared" si="47"/>
        <v>0.17772329789648489</v>
      </c>
      <c r="M330" s="585">
        <f t="shared" si="48"/>
        <v>2.52E-2</v>
      </c>
      <c r="N330" s="585">
        <f t="shared" si="52"/>
        <v>3.1050000000000001E-2</v>
      </c>
      <c r="O330" s="586">
        <f t="shared" si="49"/>
        <v>0.15252329789648489</v>
      </c>
      <c r="P330" s="585">
        <f t="shared" si="53"/>
        <v>0.14667329789648489</v>
      </c>
      <c r="Q330" s="585">
        <f t="shared" si="54"/>
        <v>0.15454162027432217</v>
      </c>
      <c r="R330" s="585">
        <f t="shared" si="55"/>
        <v>3.3000000000000002E-2</v>
      </c>
      <c r="S330" s="586">
        <f t="shared" si="56"/>
        <v>0.12154162027432217</v>
      </c>
      <c r="U330" s="587"/>
      <c r="V330" s="587"/>
      <c r="W330" s="587"/>
      <c r="X330" s="587"/>
      <c r="Y330" s="587"/>
      <c r="Z330" s="587"/>
      <c r="AA330" s="587"/>
      <c r="AB330" s="587"/>
      <c r="AC330" s="587"/>
      <c r="AE330" s="587"/>
      <c r="AF330" s="587"/>
      <c r="AG330" s="587"/>
      <c r="AH330" s="587"/>
      <c r="AI330" s="587"/>
      <c r="AJ330" s="587"/>
      <c r="AK330" s="587"/>
      <c r="AL330" s="587"/>
      <c r="AM330" s="587"/>
      <c r="AO330" s="587"/>
      <c r="AP330" s="587"/>
      <c r="AQ330" s="587"/>
      <c r="AR330" s="587"/>
      <c r="AS330" s="587"/>
      <c r="AT330" s="587"/>
      <c r="AU330" s="587"/>
      <c r="AV330" s="587"/>
      <c r="AW330" s="587"/>
    </row>
    <row r="331" spans="1:49">
      <c r="A331" s="581">
        <v>19419</v>
      </c>
      <c r="B331" s="594">
        <v>-2.12E-2</v>
      </c>
      <c r="C331" s="577">
        <v>-4.3E-3</v>
      </c>
      <c r="D331" s="577">
        <v>2.5000000000000001E-3</v>
      </c>
      <c r="E331" s="577">
        <v>2.5999999999999999E-3</v>
      </c>
      <c r="F331" s="577">
        <v>2.65E-3</v>
      </c>
      <c r="G331" s="577">
        <v>2.6250000000000002E-3</v>
      </c>
      <c r="H331" s="577">
        <v>2.7999999999999995E-3</v>
      </c>
      <c r="I331" s="577">
        <f t="shared" si="57"/>
        <v>-2.3699999999999999E-2</v>
      </c>
      <c r="J331" s="577">
        <f t="shared" si="50"/>
        <v>-2.3824999999999999E-2</v>
      </c>
      <c r="K331" s="577">
        <f t="shared" si="51"/>
        <v>-7.0999999999999995E-3</v>
      </c>
      <c r="L331" s="585">
        <f t="shared" si="47"/>
        <v>9.7548856499171777E-2</v>
      </c>
      <c r="M331" s="585">
        <f t="shared" si="48"/>
        <v>0.03</v>
      </c>
      <c r="N331" s="585">
        <f t="shared" si="52"/>
        <v>3.15E-2</v>
      </c>
      <c r="O331" s="586">
        <f t="shared" si="49"/>
        <v>6.7548856499171778E-2</v>
      </c>
      <c r="P331" s="585">
        <f t="shared" si="53"/>
        <v>6.6048856499171776E-2</v>
      </c>
      <c r="Q331" s="585">
        <f t="shared" si="54"/>
        <v>0.12969446865874845</v>
      </c>
      <c r="R331" s="585">
        <f t="shared" si="55"/>
        <v>3.3599999999999991E-2</v>
      </c>
      <c r="S331" s="586">
        <f t="shared" si="56"/>
        <v>9.6094468658748461E-2</v>
      </c>
      <c r="U331" s="587"/>
      <c r="V331" s="587"/>
      <c r="W331" s="587"/>
      <c r="X331" s="587"/>
      <c r="Y331" s="587"/>
      <c r="Z331" s="587"/>
      <c r="AA331" s="587"/>
      <c r="AB331" s="587"/>
      <c r="AC331" s="587"/>
      <c r="AE331" s="587"/>
      <c r="AF331" s="587"/>
      <c r="AG331" s="587"/>
      <c r="AH331" s="587"/>
      <c r="AI331" s="587"/>
      <c r="AJ331" s="587"/>
      <c r="AK331" s="587"/>
      <c r="AL331" s="587"/>
      <c r="AM331" s="587"/>
      <c r="AO331" s="587"/>
      <c r="AP331" s="587"/>
      <c r="AQ331" s="587"/>
      <c r="AR331" s="587"/>
      <c r="AS331" s="587"/>
      <c r="AT331" s="587"/>
      <c r="AU331" s="587"/>
      <c r="AV331" s="587"/>
      <c r="AW331" s="587"/>
    </row>
    <row r="332" spans="1:49">
      <c r="A332" s="581">
        <v>19450</v>
      </c>
      <c r="B332" s="594">
        <v>-2.3699999999999999E-2</v>
      </c>
      <c r="C332" s="577">
        <v>-1.9200000000000002E-2</v>
      </c>
      <c r="D332" s="577">
        <v>2.3999999999999998E-3</v>
      </c>
      <c r="E332" s="577">
        <v>2.6916666666666669E-3</v>
      </c>
      <c r="F332" s="577">
        <v>2.7416666666666666E-3</v>
      </c>
      <c r="G332" s="577">
        <v>2.7166666666666667E-3</v>
      </c>
      <c r="H332" s="577">
        <v>2.891666666666667E-3</v>
      </c>
      <c r="I332" s="577">
        <f t="shared" si="57"/>
        <v>-2.6099999999999998E-2</v>
      </c>
      <c r="J332" s="577">
        <f t="shared" si="50"/>
        <v>-2.6416666666666665E-2</v>
      </c>
      <c r="K332" s="577">
        <f t="shared" si="51"/>
        <v>-2.2091666666666669E-2</v>
      </c>
      <c r="L332" s="585">
        <f t="shared" si="47"/>
        <v>0.11641690831437868</v>
      </c>
      <c r="M332" s="585">
        <f t="shared" si="48"/>
        <v>2.8799999999999999E-2</v>
      </c>
      <c r="N332" s="585">
        <f t="shared" si="52"/>
        <v>3.2600000000000004E-2</v>
      </c>
      <c r="O332" s="586">
        <f t="shared" si="49"/>
        <v>8.7616908314378683E-2</v>
      </c>
      <c r="P332" s="585">
        <f t="shared" si="53"/>
        <v>8.3816908314378671E-2</v>
      </c>
      <c r="Q332" s="585">
        <f t="shared" si="54"/>
        <v>0.12533448594403906</v>
      </c>
      <c r="R332" s="585">
        <f t="shared" si="55"/>
        <v>3.4700000000000002E-2</v>
      </c>
      <c r="S332" s="586">
        <f t="shared" si="56"/>
        <v>9.0634485944039056E-2</v>
      </c>
      <c r="U332" s="587"/>
      <c r="V332" s="587"/>
      <c r="W332" s="587"/>
      <c r="X332" s="587"/>
      <c r="Y332" s="587"/>
      <c r="Z332" s="587"/>
      <c r="AA332" s="587"/>
      <c r="AB332" s="587"/>
      <c r="AC332" s="587"/>
      <c r="AE332" s="587"/>
      <c r="AF332" s="587"/>
      <c r="AG332" s="587"/>
      <c r="AH332" s="587"/>
      <c r="AI332" s="587"/>
      <c r="AJ332" s="587"/>
      <c r="AK332" s="587"/>
      <c r="AL332" s="587"/>
      <c r="AM332" s="587"/>
      <c r="AO332" s="587"/>
      <c r="AP332" s="587"/>
      <c r="AQ332" s="587"/>
      <c r="AR332" s="587"/>
      <c r="AS332" s="587"/>
      <c r="AT332" s="587"/>
      <c r="AU332" s="587"/>
      <c r="AV332" s="587"/>
      <c r="AW332" s="587"/>
    </row>
    <row r="333" spans="1:49">
      <c r="A333" s="581">
        <v>19480</v>
      </c>
      <c r="B333" s="594">
        <v>7.7000000000000002E-3</v>
      </c>
      <c r="C333" s="577">
        <v>2.3999999999999998E-3</v>
      </c>
      <c r="D333" s="577">
        <v>2.3999999999999998E-3</v>
      </c>
      <c r="E333" s="577">
        <v>2.7833333333333334E-3</v>
      </c>
      <c r="F333" s="577">
        <v>2.8416666666666668E-3</v>
      </c>
      <c r="G333" s="577">
        <v>2.8124999999999999E-3</v>
      </c>
      <c r="H333" s="577">
        <v>3.0249999999999999E-3</v>
      </c>
      <c r="I333" s="577">
        <f t="shared" si="57"/>
        <v>5.3000000000000009E-3</v>
      </c>
      <c r="J333" s="577">
        <f t="shared" si="50"/>
        <v>4.8875000000000004E-3</v>
      </c>
      <c r="K333" s="577">
        <f t="shared" si="51"/>
        <v>-6.2500000000000012E-4</v>
      </c>
      <c r="L333" s="585">
        <f t="shared" si="47"/>
        <v>8.7705035781107998E-2</v>
      </c>
      <c r="M333" s="585">
        <f t="shared" si="48"/>
        <v>2.8799999999999999E-2</v>
      </c>
      <c r="N333" s="585">
        <f t="shared" si="52"/>
        <v>3.3750000000000002E-2</v>
      </c>
      <c r="O333" s="586">
        <f t="shared" si="49"/>
        <v>5.8905035781107999E-2</v>
      </c>
      <c r="P333" s="585">
        <f t="shared" si="53"/>
        <v>5.3955035781107996E-2</v>
      </c>
      <c r="Q333" s="585">
        <f t="shared" si="54"/>
        <v>0.10700224603562769</v>
      </c>
      <c r="R333" s="585">
        <f t="shared" si="55"/>
        <v>3.6299999999999999E-2</v>
      </c>
      <c r="S333" s="586">
        <f t="shared" si="56"/>
        <v>7.0702246035627692E-2</v>
      </c>
      <c r="U333" s="587"/>
      <c r="V333" s="587"/>
      <c r="W333" s="587"/>
      <c r="X333" s="587"/>
      <c r="Y333" s="587"/>
      <c r="Z333" s="587"/>
      <c r="AA333" s="587"/>
      <c r="AB333" s="587"/>
      <c r="AC333" s="587"/>
      <c r="AE333" s="587"/>
      <c r="AF333" s="587"/>
      <c r="AG333" s="587"/>
      <c r="AH333" s="587"/>
      <c r="AI333" s="587"/>
      <c r="AJ333" s="587"/>
      <c r="AK333" s="587"/>
      <c r="AL333" s="587"/>
      <c r="AM333" s="587"/>
      <c r="AO333" s="587"/>
      <c r="AP333" s="587"/>
      <c r="AQ333" s="587"/>
      <c r="AR333" s="587"/>
      <c r="AS333" s="587"/>
      <c r="AT333" s="587"/>
      <c r="AU333" s="587"/>
      <c r="AV333" s="587"/>
      <c r="AW333" s="587"/>
    </row>
    <row r="334" spans="1:49">
      <c r="A334" s="581">
        <v>19511</v>
      </c>
      <c r="B334" s="594">
        <v>-1.34E-2</v>
      </c>
      <c r="C334" s="577">
        <v>-2.7300000000000001E-2</v>
      </c>
      <c r="D334" s="577">
        <v>2.7000000000000001E-3</v>
      </c>
      <c r="E334" s="577">
        <v>2.8333333333333331E-3</v>
      </c>
      <c r="F334" s="577">
        <v>2.9166666666666668E-3</v>
      </c>
      <c r="G334" s="577">
        <v>2.875E-3</v>
      </c>
      <c r="H334" s="577">
        <v>3.0916666666666666E-3</v>
      </c>
      <c r="I334" s="577">
        <f t="shared" si="57"/>
        <v>-1.61E-2</v>
      </c>
      <c r="J334" s="577">
        <f t="shared" si="50"/>
        <v>-1.6275000000000001E-2</v>
      </c>
      <c r="K334" s="577">
        <f t="shared" si="51"/>
        <v>-3.0391666666666668E-2</v>
      </c>
      <c r="L334" s="585">
        <f t="shared" si="47"/>
        <v>2.3002658056855418E-2</v>
      </c>
      <c r="M334" s="585">
        <f t="shared" si="48"/>
        <v>3.2399999999999998E-2</v>
      </c>
      <c r="N334" s="585">
        <f t="shared" si="52"/>
        <v>3.4500000000000003E-2</v>
      </c>
      <c r="O334" s="586">
        <f t="shared" si="49"/>
        <v>-9.3973419431445798E-3</v>
      </c>
      <c r="P334" s="585">
        <f t="shared" si="53"/>
        <v>-1.1497341943144584E-2</v>
      </c>
      <c r="Q334" s="585">
        <f t="shared" si="54"/>
        <v>7.1530584853074952E-2</v>
      </c>
      <c r="R334" s="585">
        <f t="shared" si="55"/>
        <v>3.7100000000000001E-2</v>
      </c>
      <c r="S334" s="586">
        <f t="shared" si="56"/>
        <v>3.4430584853074951E-2</v>
      </c>
      <c r="U334" s="587"/>
      <c r="V334" s="587"/>
      <c r="W334" s="587"/>
      <c r="X334" s="587"/>
      <c r="Y334" s="587"/>
      <c r="Z334" s="587"/>
      <c r="AA334" s="587"/>
      <c r="AB334" s="587"/>
      <c r="AC334" s="587"/>
      <c r="AE334" s="587"/>
      <c r="AF334" s="587"/>
      <c r="AG334" s="587"/>
      <c r="AH334" s="587"/>
      <c r="AI334" s="587"/>
      <c r="AJ334" s="587"/>
      <c r="AK334" s="587"/>
      <c r="AL334" s="587"/>
      <c r="AM334" s="587"/>
      <c r="AO334" s="587"/>
      <c r="AP334" s="587"/>
      <c r="AQ334" s="587"/>
      <c r="AR334" s="587"/>
      <c r="AS334" s="587"/>
      <c r="AT334" s="587"/>
      <c r="AU334" s="587"/>
      <c r="AV334" s="587"/>
      <c r="AW334" s="587"/>
    </row>
    <row r="335" spans="1:49">
      <c r="A335" s="581">
        <v>19541</v>
      </c>
      <c r="B335" s="594">
        <v>2.7300000000000001E-2</v>
      </c>
      <c r="C335" s="577">
        <v>3.4500000000000003E-2</v>
      </c>
      <c r="D335" s="577">
        <v>2.5000000000000001E-3</v>
      </c>
      <c r="E335" s="577">
        <v>2.7333333333333333E-3</v>
      </c>
      <c r="F335" s="577">
        <v>2.8499999999999997E-3</v>
      </c>
      <c r="G335" s="577">
        <v>2.7916666666666667E-3</v>
      </c>
      <c r="H335" s="577">
        <v>3.0499999999999998E-3</v>
      </c>
      <c r="I335" s="577">
        <f t="shared" si="57"/>
        <v>2.4800000000000003E-2</v>
      </c>
      <c r="J335" s="577">
        <f t="shared" si="50"/>
        <v>2.4508333333333333E-2</v>
      </c>
      <c r="K335" s="577">
        <f t="shared" si="51"/>
        <v>3.1450000000000006E-2</v>
      </c>
      <c r="L335" s="585">
        <f t="shared" si="47"/>
        <v>3.0728354866425223E-2</v>
      </c>
      <c r="M335" s="585">
        <f t="shared" si="48"/>
        <v>0.03</v>
      </c>
      <c r="N335" s="585">
        <f t="shared" si="52"/>
        <v>3.3500000000000002E-2</v>
      </c>
      <c r="O335" s="586">
        <f t="shared" si="49"/>
        <v>7.2835486642522373E-4</v>
      </c>
      <c r="P335" s="585">
        <f t="shared" si="53"/>
        <v>-2.7716451335747794E-3</v>
      </c>
      <c r="Q335" s="585">
        <f t="shared" si="54"/>
        <v>8.6124230874491614E-2</v>
      </c>
      <c r="R335" s="585">
        <f t="shared" si="55"/>
        <v>3.6599999999999994E-2</v>
      </c>
      <c r="S335" s="586">
        <f t="shared" si="56"/>
        <v>4.952423087449162E-2</v>
      </c>
      <c r="U335" s="587"/>
      <c r="V335" s="587"/>
      <c r="W335" s="587"/>
      <c r="X335" s="587"/>
      <c r="Y335" s="587"/>
      <c r="Z335" s="587"/>
      <c r="AA335" s="587"/>
      <c r="AB335" s="587"/>
      <c r="AC335" s="587"/>
      <c r="AE335" s="587"/>
      <c r="AF335" s="587"/>
      <c r="AG335" s="587"/>
      <c r="AH335" s="587"/>
      <c r="AI335" s="587"/>
      <c r="AJ335" s="587"/>
      <c r="AK335" s="587"/>
      <c r="AL335" s="587"/>
      <c r="AM335" s="587"/>
      <c r="AO335" s="587"/>
      <c r="AP335" s="587"/>
      <c r="AQ335" s="587"/>
      <c r="AR335" s="587"/>
      <c r="AS335" s="587"/>
      <c r="AT335" s="587"/>
      <c r="AU335" s="587"/>
      <c r="AV335" s="587"/>
      <c r="AW335" s="587"/>
    </row>
    <row r="336" spans="1:49">
      <c r="A336" s="581">
        <v>19572</v>
      </c>
      <c r="B336" s="594">
        <v>-5.0099999999999999E-2</v>
      </c>
      <c r="C336" s="577">
        <v>1.5999999999999999E-3</v>
      </c>
      <c r="D336" s="577">
        <v>2.5000000000000001E-3</v>
      </c>
      <c r="E336" s="577">
        <v>2.7000000000000001E-3</v>
      </c>
      <c r="F336" s="577">
        <v>2.8250000000000003E-3</v>
      </c>
      <c r="G336" s="577">
        <v>2.7624999999999998E-3</v>
      </c>
      <c r="H336" s="577">
        <v>3.0083333333333333E-3</v>
      </c>
      <c r="I336" s="577">
        <f t="shared" si="57"/>
        <v>-5.2600000000000001E-2</v>
      </c>
      <c r="J336" s="577">
        <f t="shared" si="50"/>
        <v>-5.28625E-2</v>
      </c>
      <c r="K336" s="577">
        <f t="shared" si="51"/>
        <v>-1.4083333333333335E-3</v>
      </c>
      <c r="L336" s="585">
        <f t="shared" ref="L336:L399" si="58">((1+B325)*(1+B326)*(1+B327)*(1+B328)*(1+B329)*(1+B330)*(1+B331)*(1+B332)*(1+B333)*(1+B334)*(1+B335)*(1+B336))-1</f>
        <v>-1.3909895973796549E-2</v>
      </c>
      <c r="M336" s="585">
        <f t="shared" ref="M336:M399" si="59">D336*12</f>
        <v>0.03</v>
      </c>
      <c r="N336" s="585">
        <f t="shared" si="52"/>
        <v>3.3149999999999999E-2</v>
      </c>
      <c r="O336" s="586">
        <f t="shared" ref="O336:O399" si="60">L336-M336</f>
        <v>-4.3909895973796548E-2</v>
      </c>
      <c r="P336" s="585">
        <f t="shared" si="53"/>
        <v>-4.7059895973796548E-2</v>
      </c>
      <c r="Q336" s="585">
        <f t="shared" si="54"/>
        <v>6.6217808138675283E-2</v>
      </c>
      <c r="R336" s="585">
        <f t="shared" si="55"/>
        <v>3.61E-2</v>
      </c>
      <c r="S336" s="586">
        <f t="shared" si="56"/>
        <v>3.0117808138675282E-2</v>
      </c>
      <c r="U336" s="587"/>
      <c r="V336" s="587"/>
      <c r="W336" s="587"/>
      <c r="X336" s="587"/>
      <c r="Y336" s="587"/>
      <c r="Z336" s="587"/>
      <c r="AA336" s="587"/>
      <c r="AB336" s="587"/>
      <c r="AC336" s="587"/>
      <c r="AE336" s="587"/>
      <c r="AF336" s="587"/>
      <c r="AG336" s="587"/>
      <c r="AH336" s="587"/>
      <c r="AI336" s="587"/>
      <c r="AJ336" s="587"/>
      <c r="AK336" s="587"/>
      <c r="AL336" s="587"/>
      <c r="AM336" s="587"/>
      <c r="AO336" s="587"/>
      <c r="AP336" s="587"/>
      <c r="AQ336" s="587"/>
      <c r="AR336" s="587"/>
      <c r="AS336" s="587"/>
      <c r="AT336" s="587"/>
      <c r="AU336" s="587"/>
      <c r="AV336" s="587"/>
      <c r="AW336" s="587"/>
    </row>
    <row r="337" spans="1:49">
      <c r="A337" s="581">
        <v>19603</v>
      </c>
      <c r="B337" s="594">
        <v>3.3999999999999998E-3</v>
      </c>
      <c r="C337" s="577">
        <v>1.1900000000000001E-2</v>
      </c>
      <c r="D337" s="577">
        <v>2.5000000000000001E-3</v>
      </c>
      <c r="E337" s="577">
        <v>2.7416666666666666E-3</v>
      </c>
      <c r="F337" s="577">
        <v>2.8583333333333334E-3</v>
      </c>
      <c r="G337" s="577">
        <v>2.8000000000000004E-3</v>
      </c>
      <c r="H337" s="577">
        <v>3.0166666666666671E-3</v>
      </c>
      <c r="I337" s="577">
        <f t="shared" si="57"/>
        <v>8.9999999999999976E-4</v>
      </c>
      <c r="J337" s="577">
        <f t="shared" si="50"/>
        <v>5.9999999999999941E-4</v>
      </c>
      <c r="K337" s="577">
        <f t="shared" si="51"/>
        <v>8.8833333333333334E-3</v>
      </c>
      <c r="L337" s="585">
        <f t="shared" si="58"/>
        <v>7.1689845072198111E-3</v>
      </c>
      <c r="M337" s="585">
        <f t="shared" si="59"/>
        <v>0.03</v>
      </c>
      <c r="N337" s="585">
        <f t="shared" si="52"/>
        <v>3.3600000000000005E-2</v>
      </c>
      <c r="O337" s="586">
        <f t="shared" si="60"/>
        <v>-2.2831015492780188E-2</v>
      </c>
      <c r="P337" s="585">
        <f t="shared" si="53"/>
        <v>-2.6431015492780194E-2</v>
      </c>
      <c r="Q337" s="585">
        <f t="shared" si="54"/>
        <v>7.7289865257639256E-2</v>
      </c>
      <c r="R337" s="585">
        <f t="shared" si="55"/>
        <v>3.6200000000000003E-2</v>
      </c>
      <c r="S337" s="586">
        <f t="shared" si="56"/>
        <v>4.1089865257639253E-2</v>
      </c>
      <c r="U337" s="587"/>
      <c r="V337" s="587"/>
      <c r="W337" s="587"/>
      <c r="X337" s="587"/>
      <c r="Y337" s="587"/>
      <c r="Z337" s="587"/>
      <c r="AA337" s="587"/>
      <c r="AB337" s="587"/>
      <c r="AC337" s="587"/>
      <c r="AE337" s="587"/>
      <c r="AF337" s="587"/>
      <c r="AG337" s="587"/>
      <c r="AH337" s="587"/>
      <c r="AI337" s="587"/>
      <c r="AJ337" s="587"/>
      <c r="AK337" s="587"/>
      <c r="AL337" s="587"/>
      <c r="AM337" s="587"/>
      <c r="AO337" s="587"/>
      <c r="AP337" s="587"/>
      <c r="AQ337" s="587"/>
      <c r="AR337" s="587"/>
      <c r="AS337" s="587"/>
      <c r="AT337" s="587"/>
      <c r="AU337" s="587"/>
      <c r="AV337" s="587"/>
      <c r="AW337" s="587"/>
    </row>
    <row r="338" spans="1:49">
      <c r="A338" s="581">
        <v>19633</v>
      </c>
      <c r="B338" s="594">
        <v>5.3999999999999999E-2</v>
      </c>
      <c r="C338" s="577">
        <v>4.1100000000000005E-2</v>
      </c>
      <c r="D338" s="577">
        <v>2.3E-3</v>
      </c>
      <c r="E338" s="577">
        <v>2.6333333333333334E-3</v>
      </c>
      <c r="F338" s="577">
        <v>2.7750000000000001E-3</v>
      </c>
      <c r="G338" s="577">
        <v>2.7041666666666668E-3</v>
      </c>
      <c r="H338" s="577">
        <v>2.9083333333333335E-3</v>
      </c>
      <c r="I338" s="577">
        <f t="shared" si="57"/>
        <v>5.1699999999999996E-2</v>
      </c>
      <c r="J338" s="577">
        <f t="shared" si="50"/>
        <v>5.1295833333333332E-2</v>
      </c>
      <c r="K338" s="577">
        <f t="shared" si="51"/>
        <v>3.8191666666666672E-2</v>
      </c>
      <c r="L338" s="585">
        <f t="shared" si="58"/>
        <v>5.9437235200209271E-2</v>
      </c>
      <c r="M338" s="585">
        <f t="shared" si="59"/>
        <v>2.76E-2</v>
      </c>
      <c r="N338" s="585">
        <f t="shared" si="52"/>
        <v>3.245E-2</v>
      </c>
      <c r="O338" s="586">
        <f t="shared" si="60"/>
        <v>3.1837235200209271E-2</v>
      </c>
      <c r="P338" s="585">
        <f t="shared" si="53"/>
        <v>2.6987235200209271E-2</v>
      </c>
      <c r="Q338" s="585">
        <f t="shared" si="54"/>
        <v>0.11035192428445528</v>
      </c>
      <c r="R338" s="585">
        <f t="shared" si="55"/>
        <v>3.49E-2</v>
      </c>
      <c r="S338" s="586">
        <f t="shared" si="56"/>
        <v>7.5451924284455282E-2</v>
      </c>
      <c r="U338" s="587"/>
      <c r="V338" s="587"/>
      <c r="W338" s="587"/>
      <c r="X338" s="587"/>
      <c r="Y338" s="587"/>
      <c r="Z338" s="587"/>
      <c r="AA338" s="587"/>
      <c r="AB338" s="587"/>
      <c r="AC338" s="587"/>
      <c r="AE338" s="587"/>
      <c r="AF338" s="587"/>
      <c r="AG338" s="587"/>
      <c r="AH338" s="587"/>
      <c r="AI338" s="587"/>
      <c r="AJ338" s="587"/>
      <c r="AK338" s="587"/>
      <c r="AL338" s="587"/>
      <c r="AM338" s="587"/>
      <c r="AO338" s="587"/>
      <c r="AP338" s="587"/>
      <c r="AQ338" s="587"/>
      <c r="AR338" s="587"/>
      <c r="AS338" s="587"/>
      <c r="AT338" s="587"/>
      <c r="AU338" s="587"/>
      <c r="AV338" s="587"/>
      <c r="AW338" s="587"/>
    </row>
    <row r="339" spans="1:49">
      <c r="A339" s="581">
        <v>19664</v>
      </c>
      <c r="B339" s="594">
        <v>2.0400000000000001E-2</v>
      </c>
      <c r="C339" s="577">
        <v>2.7400000000000001E-2</v>
      </c>
      <c r="D339" s="577">
        <v>2.3999999999999998E-3</v>
      </c>
      <c r="E339" s="577">
        <v>2.5916666666666666E-3</v>
      </c>
      <c r="F339" s="577">
        <v>2.725E-3</v>
      </c>
      <c r="G339" s="577">
        <v>2.6583333333333337E-3</v>
      </c>
      <c r="H339" s="577">
        <v>2.8333333333333331E-3</v>
      </c>
      <c r="I339" s="577">
        <f t="shared" si="57"/>
        <v>1.8000000000000002E-2</v>
      </c>
      <c r="J339" s="577">
        <f t="shared" si="50"/>
        <v>1.7741666666666669E-2</v>
      </c>
      <c r="K339" s="577">
        <f t="shared" si="51"/>
        <v>2.4566666666666667E-2</v>
      </c>
      <c r="L339" s="585">
        <f t="shared" si="58"/>
        <v>2.2656091948059176E-2</v>
      </c>
      <c r="M339" s="585">
        <f t="shared" si="59"/>
        <v>2.8799999999999999E-2</v>
      </c>
      <c r="N339" s="585">
        <f t="shared" si="52"/>
        <v>3.1900000000000005E-2</v>
      </c>
      <c r="O339" s="586">
        <f t="shared" si="60"/>
        <v>-6.1439080519408232E-3</v>
      </c>
      <c r="P339" s="585">
        <f t="shared" si="53"/>
        <v>-9.2439080519408287E-3</v>
      </c>
      <c r="Q339" s="585">
        <f t="shared" si="54"/>
        <v>9.4479101036026192E-2</v>
      </c>
      <c r="R339" s="585">
        <f t="shared" si="55"/>
        <v>3.3999999999999996E-2</v>
      </c>
      <c r="S339" s="586">
        <f t="shared" si="56"/>
        <v>6.0479101036026196E-2</v>
      </c>
      <c r="U339" s="587"/>
      <c r="V339" s="587"/>
      <c r="W339" s="587"/>
      <c r="X339" s="587"/>
      <c r="Y339" s="587"/>
      <c r="Z339" s="587"/>
      <c r="AA339" s="587"/>
      <c r="AB339" s="587"/>
      <c r="AC339" s="587"/>
      <c r="AE339" s="587"/>
      <c r="AF339" s="587"/>
      <c r="AG339" s="587"/>
      <c r="AH339" s="587"/>
      <c r="AI339" s="587"/>
      <c r="AJ339" s="587"/>
      <c r="AK339" s="587"/>
      <c r="AL339" s="587"/>
      <c r="AM339" s="587"/>
      <c r="AO339" s="587"/>
      <c r="AP339" s="587"/>
      <c r="AQ339" s="587"/>
      <c r="AR339" s="587"/>
      <c r="AS339" s="587"/>
      <c r="AT339" s="587"/>
      <c r="AU339" s="587"/>
      <c r="AV339" s="587"/>
      <c r="AW339" s="587"/>
    </row>
    <row r="340" spans="1:49">
      <c r="A340" s="581">
        <v>19694</v>
      </c>
      <c r="B340" s="594">
        <v>5.3E-3</v>
      </c>
      <c r="C340" s="577">
        <v>6.4000000000000003E-3</v>
      </c>
      <c r="D340" s="577">
        <v>2.3999999999999998E-3</v>
      </c>
      <c r="E340" s="577">
        <v>2.6083333333333332E-3</v>
      </c>
      <c r="F340" s="577">
        <v>2.7333333333333333E-3</v>
      </c>
      <c r="G340" s="577">
        <v>2.6708333333333332E-3</v>
      </c>
      <c r="H340" s="577">
        <v>2.816666666666667E-3</v>
      </c>
      <c r="I340" s="577">
        <f t="shared" si="57"/>
        <v>2.9000000000000002E-3</v>
      </c>
      <c r="J340" s="577">
        <f t="shared" si="50"/>
        <v>2.6291666666666668E-3</v>
      </c>
      <c r="K340" s="577">
        <f t="shared" si="51"/>
        <v>3.5833333333333333E-3</v>
      </c>
      <c r="L340" s="585">
        <f t="shared" si="58"/>
        <v>-9.7513299601387216E-3</v>
      </c>
      <c r="M340" s="585">
        <f t="shared" si="59"/>
        <v>2.8799999999999999E-2</v>
      </c>
      <c r="N340" s="585">
        <f t="shared" si="52"/>
        <v>3.2049999999999995E-2</v>
      </c>
      <c r="O340" s="586">
        <f t="shared" si="60"/>
        <v>-3.8551329960138721E-2</v>
      </c>
      <c r="P340" s="585">
        <f t="shared" si="53"/>
        <v>-4.1801329960138717E-2</v>
      </c>
      <c r="Q340" s="585">
        <f t="shared" si="54"/>
        <v>7.8511472909679858E-2</v>
      </c>
      <c r="R340" s="585">
        <f t="shared" si="55"/>
        <v>3.3800000000000004E-2</v>
      </c>
      <c r="S340" s="586">
        <f t="shared" si="56"/>
        <v>4.4711472909679854E-2</v>
      </c>
      <c r="U340" s="587"/>
      <c r="V340" s="587"/>
      <c r="W340" s="587"/>
      <c r="X340" s="587"/>
      <c r="Y340" s="587"/>
      <c r="Z340" s="587"/>
      <c r="AA340" s="587"/>
      <c r="AB340" s="587"/>
      <c r="AC340" s="587"/>
      <c r="AE340" s="587"/>
      <c r="AF340" s="587"/>
      <c r="AG340" s="587"/>
      <c r="AH340" s="587"/>
      <c r="AI340" s="587"/>
      <c r="AJ340" s="587"/>
      <c r="AK340" s="587"/>
      <c r="AL340" s="587"/>
      <c r="AM340" s="587"/>
      <c r="AO340" s="587"/>
      <c r="AP340" s="587"/>
      <c r="AQ340" s="587"/>
      <c r="AR340" s="587"/>
      <c r="AS340" s="587"/>
      <c r="AT340" s="587"/>
      <c r="AU340" s="587"/>
      <c r="AV340" s="587"/>
      <c r="AW340" s="587"/>
    </row>
    <row r="341" spans="1:49">
      <c r="A341" s="581">
        <v>19725</v>
      </c>
      <c r="B341" s="594">
        <v>5.3600000000000002E-2</v>
      </c>
      <c r="C341" s="577">
        <v>3.27E-2</v>
      </c>
      <c r="D341" s="577">
        <v>2.3E-3</v>
      </c>
      <c r="E341" s="577">
        <v>2.5500000000000002E-3</v>
      </c>
      <c r="F341" s="577">
        <v>2.6833333333333336E-3</v>
      </c>
      <c r="G341" s="577">
        <v>2.6166666666666673E-3</v>
      </c>
      <c r="H341" s="577">
        <v>2.7666666666666668E-3</v>
      </c>
      <c r="I341" s="577">
        <f t="shared" si="57"/>
        <v>5.1299999999999998E-2</v>
      </c>
      <c r="J341" s="577">
        <f t="shared" si="50"/>
        <v>5.0983333333333332E-2</v>
      </c>
      <c r="K341" s="577">
        <f t="shared" si="51"/>
        <v>2.9933333333333333E-2</v>
      </c>
      <c r="L341" s="585">
        <f t="shared" si="58"/>
        <v>4.8463469755801292E-2</v>
      </c>
      <c r="M341" s="585">
        <f t="shared" si="59"/>
        <v>2.76E-2</v>
      </c>
      <c r="N341" s="585">
        <f t="shared" si="52"/>
        <v>3.1400000000000011E-2</v>
      </c>
      <c r="O341" s="586">
        <f t="shared" si="60"/>
        <v>2.0863469755801292E-2</v>
      </c>
      <c r="P341" s="585">
        <f t="shared" si="53"/>
        <v>1.706346975580128E-2</v>
      </c>
      <c r="Q341" s="585">
        <f t="shared" si="54"/>
        <v>0.1024238325980662</v>
      </c>
      <c r="R341" s="585">
        <f t="shared" si="55"/>
        <v>3.32E-2</v>
      </c>
      <c r="S341" s="586">
        <f t="shared" si="56"/>
        <v>6.9223832598066193E-2</v>
      </c>
      <c r="U341" s="587"/>
      <c r="V341" s="587"/>
      <c r="W341" s="587"/>
      <c r="X341" s="587"/>
      <c r="Y341" s="587"/>
      <c r="Z341" s="587"/>
      <c r="AA341" s="587"/>
      <c r="AB341" s="587"/>
      <c r="AC341" s="587"/>
      <c r="AE341" s="587"/>
      <c r="AF341" s="587"/>
      <c r="AG341" s="587"/>
      <c r="AH341" s="587"/>
      <c r="AI341" s="587"/>
      <c r="AJ341" s="587"/>
      <c r="AK341" s="587"/>
      <c r="AL341" s="587"/>
      <c r="AM341" s="587"/>
      <c r="AO341" s="587"/>
      <c r="AP341" s="587"/>
      <c r="AQ341" s="587"/>
      <c r="AR341" s="587"/>
      <c r="AS341" s="587"/>
      <c r="AT341" s="587"/>
      <c r="AU341" s="587"/>
      <c r="AV341" s="587"/>
      <c r="AW341" s="587"/>
    </row>
    <row r="342" spans="1:49">
      <c r="A342" s="581">
        <v>19756</v>
      </c>
      <c r="B342" s="594">
        <v>1.11E-2</v>
      </c>
      <c r="C342" s="577">
        <v>1.1699999999999999E-2</v>
      </c>
      <c r="D342" s="577">
        <v>2.2000000000000001E-3</v>
      </c>
      <c r="E342" s="577">
        <v>2.4583333333333336E-3</v>
      </c>
      <c r="F342" s="577">
        <v>2.5999999999999999E-3</v>
      </c>
      <c r="G342" s="577">
        <v>2.529166666666667E-3</v>
      </c>
      <c r="H342" s="577">
        <v>2.6916666666666669E-3</v>
      </c>
      <c r="I342" s="577">
        <f t="shared" si="57"/>
        <v>8.8999999999999999E-3</v>
      </c>
      <c r="J342" s="577">
        <f t="shared" si="50"/>
        <v>8.5708333333333331E-3</v>
      </c>
      <c r="K342" s="577">
        <f t="shared" si="51"/>
        <v>9.0083333333333317E-3</v>
      </c>
      <c r="L342" s="585">
        <f t="shared" si="58"/>
        <v>7.1458878380929125E-2</v>
      </c>
      <c r="M342" s="585">
        <f t="shared" si="59"/>
        <v>2.64E-2</v>
      </c>
      <c r="N342" s="585">
        <f t="shared" si="52"/>
        <v>3.0350000000000002E-2</v>
      </c>
      <c r="O342" s="586">
        <f t="shared" si="60"/>
        <v>4.5058878380929125E-2</v>
      </c>
      <c r="P342" s="585">
        <f t="shared" si="53"/>
        <v>4.1108878380929123E-2</v>
      </c>
      <c r="Q342" s="585">
        <f t="shared" si="54"/>
        <v>0.12284525464558915</v>
      </c>
      <c r="R342" s="585">
        <f t="shared" si="55"/>
        <v>3.2300000000000002E-2</v>
      </c>
      <c r="S342" s="586">
        <f t="shared" si="56"/>
        <v>9.0545254645589157E-2</v>
      </c>
      <c r="U342" s="587"/>
      <c r="V342" s="587"/>
      <c r="W342" s="587"/>
      <c r="X342" s="587"/>
      <c r="Y342" s="587"/>
      <c r="Z342" s="587"/>
      <c r="AA342" s="587"/>
      <c r="AB342" s="587"/>
      <c r="AC342" s="587"/>
      <c r="AE342" s="587"/>
      <c r="AF342" s="587"/>
      <c r="AG342" s="587"/>
      <c r="AH342" s="587"/>
      <c r="AI342" s="587"/>
      <c r="AJ342" s="587"/>
      <c r="AK342" s="587"/>
      <c r="AL342" s="587"/>
      <c r="AM342" s="587"/>
      <c r="AO342" s="587"/>
      <c r="AP342" s="587"/>
      <c r="AQ342" s="587"/>
      <c r="AR342" s="587"/>
      <c r="AS342" s="587"/>
      <c r="AT342" s="587"/>
      <c r="AU342" s="587"/>
      <c r="AV342" s="587"/>
      <c r="AW342" s="587"/>
    </row>
    <row r="343" spans="1:49">
      <c r="A343" s="581">
        <v>19784</v>
      </c>
      <c r="B343" s="594">
        <v>3.2500000000000001E-2</v>
      </c>
      <c r="C343" s="577">
        <v>2.7000000000000003E-2</v>
      </c>
      <c r="D343" s="577">
        <v>2.5000000000000001E-3</v>
      </c>
      <c r="E343" s="577">
        <v>2.3833333333333332E-3</v>
      </c>
      <c r="F343" s="577">
        <v>2.5249999999999999E-3</v>
      </c>
      <c r="G343" s="577">
        <v>2.4541666666666666E-3</v>
      </c>
      <c r="H343" s="577">
        <v>2.6333333333333334E-3</v>
      </c>
      <c r="I343" s="577">
        <f t="shared" si="57"/>
        <v>3.0000000000000002E-2</v>
      </c>
      <c r="J343" s="577">
        <f t="shared" si="50"/>
        <v>3.0045833333333334E-2</v>
      </c>
      <c r="K343" s="577">
        <f t="shared" si="51"/>
        <v>2.4366666666666668E-2</v>
      </c>
      <c r="L343" s="585">
        <f t="shared" si="58"/>
        <v>0.13024243147559145</v>
      </c>
      <c r="M343" s="585">
        <f t="shared" si="59"/>
        <v>0.03</v>
      </c>
      <c r="N343" s="585">
        <f t="shared" si="52"/>
        <v>2.9449999999999997E-2</v>
      </c>
      <c r="O343" s="586">
        <f t="shared" si="60"/>
        <v>0.10024243147559145</v>
      </c>
      <c r="P343" s="585">
        <f t="shared" si="53"/>
        <v>0.10079243147559144</v>
      </c>
      <c r="Q343" s="585">
        <f t="shared" si="54"/>
        <v>0.15814208749725833</v>
      </c>
      <c r="R343" s="585">
        <f t="shared" si="55"/>
        <v>3.1600000000000003E-2</v>
      </c>
      <c r="S343" s="586">
        <f t="shared" si="56"/>
        <v>0.12654208749725832</v>
      </c>
      <c r="U343" s="587"/>
      <c r="V343" s="587"/>
      <c r="W343" s="587"/>
      <c r="X343" s="587"/>
      <c r="Y343" s="587"/>
      <c r="Z343" s="587"/>
      <c r="AA343" s="587"/>
      <c r="AB343" s="587"/>
      <c r="AC343" s="587"/>
      <c r="AE343" s="587"/>
      <c r="AF343" s="587"/>
      <c r="AG343" s="587"/>
      <c r="AH343" s="587"/>
      <c r="AI343" s="587"/>
      <c r="AJ343" s="587"/>
      <c r="AK343" s="587"/>
      <c r="AL343" s="587"/>
      <c r="AM343" s="587"/>
      <c r="AO343" s="587"/>
      <c r="AP343" s="587"/>
      <c r="AQ343" s="587"/>
      <c r="AR343" s="587"/>
      <c r="AS343" s="587"/>
      <c r="AT343" s="587"/>
      <c r="AU343" s="587"/>
      <c r="AV343" s="587"/>
      <c r="AW343" s="587"/>
    </row>
    <row r="344" spans="1:49">
      <c r="A344" s="581">
        <v>19815</v>
      </c>
      <c r="B344" s="594">
        <v>5.16E-2</v>
      </c>
      <c r="C344" s="577">
        <v>1.21E-2</v>
      </c>
      <c r="D344" s="577">
        <v>2.2000000000000001E-3</v>
      </c>
      <c r="E344" s="577">
        <v>2.3750000000000004E-3</v>
      </c>
      <c r="F344" s="577">
        <v>2.5000000000000001E-3</v>
      </c>
      <c r="G344" s="577">
        <v>2.4375000000000004E-3</v>
      </c>
      <c r="H344" s="577">
        <v>2.6333333333333334E-3</v>
      </c>
      <c r="I344" s="577">
        <f t="shared" si="57"/>
        <v>4.9399999999999999E-2</v>
      </c>
      <c r="J344" s="577">
        <f t="shared" si="50"/>
        <v>4.9162499999999998E-2</v>
      </c>
      <c r="K344" s="577">
        <f t="shared" si="51"/>
        <v>9.4666666666666666E-3</v>
      </c>
      <c r="L344" s="585">
        <f t="shared" si="58"/>
        <v>0.21741569286052709</v>
      </c>
      <c r="M344" s="585">
        <f t="shared" si="59"/>
        <v>2.64E-2</v>
      </c>
      <c r="N344" s="585">
        <f t="shared" si="52"/>
        <v>2.9250000000000005E-2</v>
      </c>
      <c r="O344" s="586">
        <f t="shared" si="60"/>
        <v>0.19101569286052708</v>
      </c>
      <c r="P344" s="585">
        <f t="shared" si="53"/>
        <v>0.18816569286052709</v>
      </c>
      <c r="Q344" s="585">
        <f t="shared" si="54"/>
        <v>0.19510155664353124</v>
      </c>
      <c r="R344" s="585">
        <f t="shared" si="55"/>
        <v>3.1600000000000003E-2</v>
      </c>
      <c r="S344" s="586">
        <f t="shared" si="56"/>
        <v>0.16350155664353122</v>
      </c>
      <c r="U344" s="587"/>
      <c r="V344" s="587"/>
      <c r="W344" s="587"/>
      <c r="X344" s="587"/>
      <c r="Y344" s="587"/>
      <c r="Z344" s="587"/>
      <c r="AA344" s="587"/>
      <c r="AB344" s="587"/>
      <c r="AC344" s="587"/>
      <c r="AE344" s="587"/>
      <c r="AF344" s="587"/>
      <c r="AG344" s="587"/>
      <c r="AH344" s="587"/>
      <c r="AI344" s="587"/>
      <c r="AJ344" s="587"/>
      <c r="AK344" s="587"/>
      <c r="AL344" s="587"/>
      <c r="AM344" s="587"/>
      <c r="AO344" s="587"/>
      <c r="AP344" s="587"/>
      <c r="AQ344" s="587"/>
      <c r="AR344" s="587"/>
      <c r="AS344" s="587"/>
      <c r="AT344" s="587"/>
      <c r="AU344" s="587"/>
      <c r="AV344" s="587"/>
      <c r="AW344" s="587"/>
    </row>
    <row r="345" spans="1:49">
      <c r="A345" s="581">
        <v>19845</v>
      </c>
      <c r="B345" s="594">
        <v>4.1799999999999997E-2</v>
      </c>
      <c r="C345" s="577">
        <v>2.5700000000000004E-2</v>
      </c>
      <c r="D345" s="577">
        <v>2E-3</v>
      </c>
      <c r="E345" s="577">
        <v>2.3999999999999998E-3</v>
      </c>
      <c r="F345" s="577">
        <v>2.5249999999999999E-3</v>
      </c>
      <c r="G345" s="577">
        <v>2.4624999999999998E-3</v>
      </c>
      <c r="H345" s="577">
        <v>2.6166666666666664E-3</v>
      </c>
      <c r="I345" s="577">
        <f t="shared" si="57"/>
        <v>3.9799999999999995E-2</v>
      </c>
      <c r="J345" s="577">
        <f t="shared" si="50"/>
        <v>3.9337499999999997E-2</v>
      </c>
      <c r="K345" s="577">
        <f t="shared" si="51"/>
        <v>2.3083333333333338E-2</v>
      </c>
      <c r="L345" s="585">
        <f t="shared" si="58"/>
        <v>0.25861235369861779</v>
      </c>
      <c r="M345" s="585">
        <f t="shared" si="59"/>
        <v>2.4E-2</v>
      </c>
      <c r="N345" s="585">
        <f t="shared" si="52"/>
        <v>2.955E-2</v>
      </c>
      <c r="O345" s="586">
        <f t="shared" si="60"/>
        <v>0.2346123536986178</v>
      </c>
      <c r="P345" s="585">
        <f t="shared" si="53"/>
        <v>0.2290623536986178</v>
      </c>
      <c r="Q345" s="585">
        <f t="shared" si="54"/>
        <v>0.2228807528424479</v>
      </c>
      <c r="R345" s="585">
        <f t="shared" si="55"/>
        <v>3.1399999999999997E-2</v>
      </c>
      <c r="S345" s="586">
        <f t="shared" si="56"/>
        <v>0.19148075284244792</v>
      </c>
      <c r="U345" s="587"/>
      <c r="V345" s="587"/>
      <c r="W345" s="587"/>
      <c r="X345" s="587"/>
      <c r="Y345" s="587"/>
      <c r="Z345" s="587"/>
      <c r="AA345" s="587"/>
      <c r="AB345" s="587"/>
      <c r="AC345" s="587"/>
      <c r="AE345" s="587"/>
      <c r="AF345" s="587"/>
      <c r="AG345" s="587"/>
      <c r="AH345" s="587"/>
      <c r="AI345" s="587"/>
      <c r="AJ345" s="587"/>
      <c r="AK345" s="587"/>
      <c r="AL345" s="587"/>
      <c r="AM345" s="587"/>
      <c r="AO345" s="587"/>
      <c r="AP345" s="587"/>
      <c r="AQ345" s="587"/>
      <c r="AR345" s="587"/>
      <c r="AS345" s="587"/>
      <c r="AT345" s="587"/>
      <c r="AU345" s="587"/>
      <c r="AV345" s="587"/>
      <c r="AW345" s="587"/>
    </row>
    <row r="346" spans="1:49">
      <c r="A346" s="581">
        <v>19876</v>
      </c>
      <c r="B346" s="594">
        <v>3.0999999999999999E-3</v>
      </c>
      <c r="C346" s="577">
        <v>9.6000000000000009E-3</v>
      </c>
      <c r="D346" s="577">
        <v>2.5000000000000001E-3</v>
      </c>
      <c r="E346" s="577">
        <v>2.4166666666666668E-3</v>
      </c>
      <c r="F346" s="577">
        <v>2.5500000000000002E-3</v>
      </c>
      <c r="G346" s="577">
        <v>2.4833333333333335E-3</v>
      </c>
      <c r="H346" s="577">
        <v>2.6333333333333334E-3</v>
      </c>
      <c r="I346" s="577">
        <f t="shared" si="57"/>
        <v>5.9999999999999984E-4</v>
      </c>
      <c r="J346" s="577">
        <f t="shared" si="50"/>
        <v>6.166666666666664E-4</v>
      </c>
      <c r="K346" s="577">
        <f t="shared" si="51"/>
        <v>6.9666666666666679E-3</v>
      </c>
      <c r="L346" s="585">
        <f t="shared" si="58"/>
        <v>0.27966151631368641</v>
      </c>
      <c r="M346" s="585">
        <f t="shared" si="59"/>
        <v>0.03</v>
      </c>
      <c r="N346" s="585">
        <f t="shared" si="52"/>
        <v>2.98E-2</v>
      </c>
      <c r="O346" s="586">
        <f t="shared" si="60"/>
        <v>0.24966151631368641</v>
      </c>
      <c r="P346" s="585">
        <f t="shared" si="53"/>
        <v>0.24986151631368642</v>
      </c>
      <c r="Q346" s="585">
        <f t="shared" si="54"/>
        <v>0.26927152058161319</v>
      </c>
      <c r="R346" s="585">
        <f t="shared" si="55"/>
        <v>3.1600000000000003E-2</v>
      </c>
      <c r="S346" s="586">
        <f t="shared" si="56"/>
        <v>0.23767152058161317</v>
      </c>
      <c r="U346" s="587"/>
      <c r="V346" s="587"/>
      <c r="W346" s="587"/>
      <c r="X346" s="587"/>
      <c r="Y346" s="587"/>
      <c r="Z346" s="587"/>
      <c r="AA346" s="587"/>
      <c r="AB346" s="587"/>
      <c r="AC346" s="587"/>
      <c r="AE346" s="587"/>
      <c r="AF346" s="587"/>
      <c r="AG346" s="587"/>
      <c r="AH346" s="587"/>
      <c r="AI346" s="587"/>
      <c r="AJ346" s="587"/>
      <c r="AK346" s="587"/>
      <c r="AL346" s="587"/>
      <c r="AM346" s="587"/>
      <c r="AO346" s="587"/>
      <c r="AP346" s="587"/>
      <c r="AQ346" s="587"/>
      <c r="AR346" s="587"/>
      <c r="AS346" s="587"/>
      <c r="AT346" s="587"/>
      <c r="AU346" s="587"/>
      <c r="AV346" s="587"/>
      <c r="AW346" s="587"/>
    </row>
    <row r="347" spans="1:49">
      <c r="A347" s="581">
        <v>19906</v>
      </c>
      <c r="B347" s="594">
        <v>5.8900000000000001E-2</v>
      </c>
      <c r="C347" s="577">
        <v>4.9500000000000002E-2</v>
      </c>
      <c r="D347" s="577">
        <v>2.2000000000000001E-3</v>
      </c>
      <c r="E347" s="577">
        <v>2.4083333333333335E-3</v>
      </c>
      <c r="F347" s="577">
        <v>2.5333333333333336E-3</v>
      </c>
      <c r="G347" s="577">
        <v>2.4708333333333336E-3</v>
      </c>
      <c r="H347" s="577">
        <v>2.6166666666666664E-3</v>
      </c>
      <c r="I347" s="577">
        <f t="shared" si="57"/>
        <v>5.67E-2</v>
      </c>
      <c r="J347" s="577">
        <f t="shared" si="50"/>
        <v>5.6429166666666669E-2</v>
      </c>
      <c r="K347" s="577">
        <f t="shared" si="51"/>
        <v>4.6883333333333332E-2</v>
      </c>
      <c r="L347" s="585">
        <f t="shared" si="58"/>
        <v>0.31902421846058826</v>
      </c>
      <c r="M347" s="585">
        <f t="shared" si="59"/>
        <v>2.64E-2</v>
      </c>
      <c r="N347" s="585">
        <f t="shared" si="52"/>
        <v>2.9650000000000003E-2</v>
      </c>
      <c r="O347" s="586">
        <f t="shared" si="60"/>
        <v>0.29262421846058828</v>
      </c>
      <c r="P347" s="585">
        <f t="shared" si="53"/>
        <v>0.28937421846058825</v>
      </c>
      <c r="Q347" s="585">
        <f t="shared" si="54"/>
        <v>0.28767565089454172</v>
      </c>
      <c r="R347" s="585">
        <f t="shared" si="55"/>
        <v>3.1399999999999997E-2</v>
      </c>
      <c r="S347" s="586">
        <f t="shared" si="56"/>
        <v>0.25627565089454174</v>
      </c>
      <c r="U347" s="587"/>
      <c r="V347" s="587"/>
      <c r="W347" s="587"/>
      <c r="X347" s="587"/>
      <c r="Y347" s="587"/>
      <c r="Z347" s="587"/>
      <c r="AA347" s="587"/>
      <c r="AB347" s="587"/>
      <c r="AC347" s="587"/>
      <c r="AE347" s="587"/>
      <c r="AF347" s="587"/>
      <c r="AG347" s="587"/>
      <c r="AH347" s="587"/>
      <c r="AI347" s="587"/>
      <c r="AJ347" s="587"/>
      <c r="AK347" s="587"/>
      <c r="AL347" s="587"/>
      <c r="AM347" s="587"/>
      <c r="AO347" s="587"/>
      <c r="AP347" s="587"/>
      <c r="AQ347" s="587"/>
      <c r="AR347" s="587"/>
      <c r="AS347" s="587"/>
      <c r="AT347" s="587"/>
      <c r="AU347" s="587"/>
      <c r="AV347" s="587"/>
      <c r="AW347" s="587"/>
    </row>
    <row r="348" spans="1:49">
      <c r="A348" s="581">
        <v>19937</v>
      </c>
      <c r="B348" s="594">
        <v>-2.75E-2</v>
      </c>
      <c r="C348" s="577">
        <v>-1.3100000000000001E-2</v>
      </c>
      <c r="D348" s="577">
        <v>2.3E-3</v>
      </c>
      <c r="E348" s="577">
        <v>2.3916666666666665E-3</v>
      </c>
      <c r="F348" s="577">
        <v>2.5249999999999999E-3</v>
      </c>
      <c r="G348" s="577">
        <v>2.4583333333333336E-3</v>
      </c>
      <c r="H348" s="577">
        <v>2.6083333333333332E-3</v>
      </c>
      <c r="I348" s="577">
        <f t="shared" si="57"/>
        <v>-2.98E-2</v>
      </c>
      <c r="J348" s="577">
        <f t="shared" si="50"/>
        <v>-2.9958333333333333E-2</v>
      </c>
      <c r="K348" s="577">
        <f t="shared" si="51"/>
        <v>-1.5708333333333335E-2</v>
      </c>
      <c r="L348" s="585">
        <f t="shared" si="58"/>
        <v>0.35040641378347459</v>
      </c>
      <c r="M348" s="585">
        <f t="shared" si="59"/>
        <v>2.76E-2</v>
      </c>
      <c r="N348" s="585">
        <f t="shared" si="52"/>
        <v>2.9500000000000005E-2</v>
      </c>
      <c r="O348" s="586">
        <f t="shared" si="60"/>
        <v>0.32280641378347458</v>
      </c>
      <c r="P348" s="585">
        <f t="shared" si="53"/>
        <v>0.32090641378347456</v>
      </c>
      <c r="Q348" s="585">
        <f t="shared" si="54"/>
        <v>0.26877705657729956</v>
      </c>
      <c r="R348" s="585">
        <f t="shared" si="55"/>
        <v>3.1299999999999994E-2</v>
      </c>
      <c r="S348" s="586">
        <f t="shared" si="56"/>
        <v>0.23747705657729956</v>
      </c>
      <c r="U348" s="587"/>
      <c r="V348" s="587"/>
      <c r="W348" s="587"/>
      <c r="X348" s="587"/>
      <c r="Y348" s="587"/>
      <c r="Z348" s="587"/>
      <c r="AA348" s="587"/>
      <c r="AB348" s="587"/>
      <c r="AC348" s="587"/>
      <c r="AE348" s="587"/>
      <c r="AF348" s="587"/>
      <c r="AG348" s="587"/>
      <c r="AH348" s="587"/>
      <c r="AI348" s="587"/>
      <c r="AJ348" s="587"/>
      <c r="AK348" s="587"/>
      <c r="AL348" s="587"/>
      <c r="AM348" s="587"/>
      <c r="AO348" s="587"/>
      <c r="AP348" s="587"/>
      <c r="AQ348" s="587"/>
      <c r="AR348" s="587"/>
      <c r="AS348" s="587"/>
      <c r="AT348" s="587"/>
      <c r="AU348" s="587"/>
      <c r="AV348" s="587"/>
      <c r="AW348" s="587"/>
    </row>
    <row r="349" spans="1:49">
      <c r="A349" s="581">
        <v>19968</v>
      </c>
      <c r="B349" s="594">
        <v>8.5099999999999995E-2</v>
      </c>
      <c r="C349" s="577">
        <v>1.78E-2</v>
      </c>
      <c r="D349" s="577">
        <v>2.2000000000000001E-3</v>
      </c>
      <c r="E349" s="577">
        <v>2.4083333333333335E-3</v>
      </c>
      <c r="F349" s="577">
        <v>2.5333333333333336E-3</v>
      </c>
      <c r="G349" s="577">
        <v>2.4708333333333336E-3</v>
      </c>
      <c r="H349" s="577">
        <v>2.5999999999999999E-3</v>
      </c>
      <c r="I349" s="577">
        <f t="shared" si="57"/>
        <v>8.2900000000000001E-2</v>
      </c>
      <c r="J349" s="577">
        <f t="shared" ref="J349:J412" si="61">B349-G349</f>
        <v>8.2629166666666656E-2</v>
      </c>
      <c r="K349" s="577">
        <f t="shared" ref="K349:K412" si="62">$C349-H349</f>
        <v>1.52E-2</v>
      </c>
      <c r="L349" s="585">
        <f t="shared" si="58"/>
        <v>0.46036077296835498</v>
      </c>
      <c r="M349" s="585">
        <f t="shared" si="59"/>
        <v>2.64E-2</v>
      </c>
      <c r="N349" s="585">
        <f t="shared" si="52"/>
        <v>2.9650000000000003E-2</v>
      </c>
      <c r="O349" s="586">
        <f t="shared" si="60"/>
        <v>0.433960772968355</v>
      </c>
      <c r="P349" s="585">
        <f t="shared" si="53"/>
        <v>0.43071077296835497</v>
      </c>
      <c r="Q349" s="585">
        <f t="shared" si="54"/>
        <v>0.27617480796953764</v>
      </c>
      <c r="R349" s="585">
        <f t="shared" si="55"/>
        <v>3.1199999999999999E-2</v>
      </c>
      <c r="S349" s="586">
        <f t="shared" si="56"/>
        <v>0.24497480796953763</v>
      </c>
      <c r="U349" s="587"/>
      <c r="V349" s="587"/>
      <c r="W349" s="587"/>
      <c r="X349" s="587"/>
      <c r="Y349" s="587"/>
      <c r="Z349" s="587"/>
      <c r="AA349" s="587"/>
      <c r="AB349" s="587"/>
      <c r="AC349" s="587"/>
      <c r="AE349" s="587"/>
      <c r="AF349" s="587"/>
      <c r="AG349" s="587"/>
      <c r="AH349" s="587"/>
      <c r="AI349" s="587"/>
      <c r="AJ349" s="587"/>
      <c r="AK349" s="587"/>
      <c r="AL349" s="587"/>
      <c r="AM349" s="587"/>
      <c r="AO349" s="587"/>
      <c r="AP349" s="587"/>
      <c r="AQ349" s="587"/>
      <c r="AR349" s="587"/>
      <c r="AS349" s="587"/>
      <c r="AT349" s="587"/>
      <c r="AU349" s="587"/>
      <c r="AV349" s="587"/>
      <c r="AW349" s="587"/>
    </row>
    <row r="350" spans="1:49">
      <c r="A350" s="581">
        <v>19998</v>
      </c>
      <c r="B350" s="594">
        <v>-1.67E-2</v>
      </c>
      <c r="C350" s="577">
        <v>-3.6799999999999999E-2</v>
      </c>
      <c r="D350" s="577">
        <v>2.0999999999999999E-3</v>
      </c>
      <c r="E350" s="577">
        <v>2.3916666666666665E-3</v>
      </c>
      <c r="F350" s="577">
        <v>2.5333333333333336E-3</v>
      </c>
      <c r="G350" s="577">
        <v>2.4625000000000003E-3</v>
      </c>
      <c r="H350" s="577">
        <v>2.5999999999999999E-3</v>
      </c>
      <c r="I350" s="577">
        <f t="shared" si="57"/>
        <v>-1.8800000000000001E-2</v>
      </c>
      <c r="J350" s="577">
        <f t="shared" si="61"/>
        <v>-1.9162499999999999E-2</v>
      </c>
      <c r="K350" s="577">
        <f t="shared" si="62"/>
        <v>-3.9399999999999998E-2</v>
      </c>
      <c r="L350" s="585">
        <f t="shared" si="58"/>
        <v>0.36240298677398908</v>
      </c>
      <c r="M350" s="585">
        <f t="shared" si="59"/>
        <v>2.52E-2</v>
      </c>
      <c r="N350" s="585">
        <f t="shared" si="52"/>
        <v>2.9550000000000003E-2</v>
      </c>
      <c r="O350" s="586">
        <f t="shared" si="60"/>
        <v>0.33720298677398908</v>
      </c>
      <c r="P350" s="585">
        <f t="shared" si="53"/>
        <v>0.33285298677398906</v>
      </c>
      <c r="Q350" s="585">
        <f t="shared" si="54"/>
        <v>0.1806854048950719</v>
      </c>
      <c r="R350" s="585">
        <f t="shared" si="55"/>
        <v>3.1199999999999999E-2</v>
      </c>
      <c r="S350" s="586">
        <f t="shared" si="56"/>
        <v>0.14948540489507189</v>
      </c>
      <c r="U350" s="587"/>
      <c r="V350" s="587"/>
      <c r="W350" s="587"/>
      <c r="X350" s="587"/>
      <c r="Y350" s="587"/>
      <c r="Z350" s="587"/>
      <c r="AA350" s="587"/>
      <c r="AB350" s="587"/>
      <c r="AC350" s="587"/>
      <c r="AE350" s="587"/>
      <c r="AF350" s="587"/>
      <c r="AG350" s="587"/>
      <c r="AH350" s="587"/>
      <c r="AI350" s="587"/>
      <c r="AJ350" s="587"/>
      <c r="AK350" s="587"/>
      <c r="AL350" s="587"/>
      <c r="AM350" s="587"/>
      <c r="AO350" s="587"/>
      <c r="AP350" s="587"/>
      <c r="AQ350" s="587"/>
      <c r="AR350" s="587"/>
      <c r="AS350" s="587"/>
      <c r="AT350" s="587"/>
      <c r="AU350" s="587"/>
      <c r="AV350" s="587"/>
      <c r="AW350" s="587"/>
    </row>
    <row r="351" spans="1:49">
      <c r="A351" s="581">
        <v>20029</v>
      </c>
      <c r="B351" s="594">
        <v>9.0899999999999995E-2</v>
      </c>
      <c r="C351" s="577">
        <v>5.6500000000000002E-2</v>
      </c>
      <c r="D351" s="577">
        <v>2.3E-3</v>
      </c>
      <c r="E351" s="577">
        <v>2.4083333333333335E-3</v>
      </c>
      <c r="F351" s="577">
        <v>2.5333333333333336E-3</v>
      </c>
      <c r="G351" s="577">
        <v>2.4708333333333336E-3</v>
      </c>
      <c r="H351" s="577">
        <v>2.5916666666666666E-3</v>
      </c>
      <c r="I351" s="577">
        <f t="shared" si="57"/>
        <v>8.8599999999999998E-2</v>
      </c>
      <c r="J351" s="577">
        <f t="shared" si="61"/>
        <v>8.8429166666666656E-2</v>
      </c>
      <c r="K351" s="577">
        <f t="shared" si="62"/>
        <v>5.3908333333333336E-2</v>
      </c>
      <c r="L351" s="585">
        <f t="shared" si="58"/>
        <v>0.45653216216360626</v>
      </c>
      <c r="M351" s="585">
        <f t="shared" si="59"/>
        <v>2.76E-2</v>
      </c>
      <c r="N351" s="585">
        <f t="shared" si="52"/>
        <v>2.9650000000000003E-2</v>
      </c>
      <c r="O351" s="586">
        <f t="shared" si="60"/>
        <v>0.42893216216360625</v>
      </c>
      <c r="P351" s="585">
        <f t="shared" si="53"/>
        <v>0.42688216216360625</v>
      </c>
      <c r="Q351" s="585">
        <f t="shared" si="54"/>
        <v>0.21412704912560154</v>
      </c>
      <c r="R351" s="585">
        <f t="shared" si="55"/>
        <v>3.1099999999999999E-2</v>
      </c>
      <c r="S351" s="586">
        <f t="shared" si="56"/>
        <v>0.18302704912560155</v>
      </c>
      <c r="U351" s="587"/>
      <c r="V351" s="587"/>
      <c r="W351" s="587"/>
      <c r="X351" s="587"/>
      <c r="Y351" s="587"/>
      <c r="Z351" s="587"/>
      <c r="AA351" s="587"/>
      <c r="AB351" s="587"/>
      <c r="AC351" s="587"/>
      <c r="AE351" s="587"/>
      <c r="AF351" s="587"/>
      <c r="AG351" s="587"/>
      <c r="AH351" s="587"/>
      <c r="AI351" s="587"/>
      <c r="AJ351" s="587"/>
      <c r="AK351" s="587"/>
      <c r="AL351" s="587"/>
      <c r="AM351" s="587"/>
      <c r="AO351" s="587"/>
      <c r="AP351" s="587"/>
      <c r="AQ351" s="587"/>
      <c r="AR351" s="587"/>
      <c r="AS351" s="587"/>
      <c r="AT351" s="587"/>
      <c r="AU351" s="587"/>
      <c r="AV351" s="587"/>
      <c r="AW351" s="587"/>
    </row>
    <row r="352" spans="1:49">
      <c r="A352" s="581">
        <v>20059</v>
      </c>
      <c r="B352" s="594">
        <v>5.3400000000000003E-2</v>
      </c>
      <c r="C352" s="577">
        <v>3.4099999999999998E-2</v>
      </c>
      <c r="D352" s="577">
        <v>2.3E-3</v>
      </c>
      <c r="E352" s="577">
        <v>2.4166666666666668E-3</v>
      </c>
      <c r="F352" s="577">
        <v>2.5333333333333336E-3</v>
      </c>
      <c r="G352" s="577">
        <v>2.4749999999999998E-3</v>
      </c>
      <c r="H352" s="577">
        <v>2.5916666666666666E-3</v>
      </c>
      <c r="I352" s="577">
        <f t="shared" si="57"/>
        <v>5.1100000000000007E-2</v>
      </c>
      <c r="J352" s="577">
        <f t="shared" si="61"/>
        <v>5.0925000000000005E-2</v>
      </c>
      <c r="K352" s="577">
        <f t="shared" si="62"/>
        <v>3.1508333333333333E-2</v>
      </c>
      <c r="L352" s="585">
        <f t="shared" si="58"/>
        <v>0.52622200300720445</v>
      </c>
      <c r="M352" s="585">
        <f t="shared" si="59"/>
        <v>2.76E-2</v>
      </c>
      <c r="N352" s="585">
        <f t="shared" si="52"/>
        <v>2.9699999999999997E-2</v>
      </c>
      <c r="O352" s="586">
        <f t="shared" si="60"/>
        <v>0.49862200300720444</v>
      </c>
      <c r="P352" s="585">
        <f t="shared" si="53"/>
        <v>0.49652200300720445</v>
      </c>
      <c r="Q352" s="585">
        <f t="shared" si="54"/>
        <v>0.24754449672176548</v>
      </c>
      <c r="R352" s="585">
        <f t="shared" si="55"/>
        <v>3.1099999999999999E-2</v>
      </c>
      <c r="S352" s="586">
        <f t="shared" si="56"/>
        <v>0.21644449672176549</v>
      </c>
      <c r="U352" s="587"/>
      <c r="V352" s="587"/>
      <c r="W352" s="587"/>
      <c r="X352" s="587"/>
      <c r="Y352" s="587"/>
      <c r="Z352" s="587"/>
      <c r="AA352" s="587"/>
      <c r="AB352" s="587"/>
      <c r="AC352" s="587"/>
      <c r="AE352" s="587"/>
      <c r="AF352" s="587"/>
      <c r="AG352" s="587"/>
      <c r="AH352" s="587"/>
      <c r="AI352" s="587"/>
      <c r="AJ352" s="587"/>
      <c r="AK352" s="587"/>
      <c r="AL352" s="587"/>
      <c r="AM352" s="587"/>
      <c r="AO352" s="587"/>
      <c r="AP352" s="587"/>
      <c r="AQ352" s="587"/>
      <c r="AR352" s="587"/>
      <c r="AS352" s="587"/>
      <c r="AT352" s="587"/>
      <c r="AU352" s="587"/>
      <c r="AV352" s="587"/>
      <c r="AW352" s="587"/>
    </row>
    <row r="353" spans="1:49">
      <c r="A353" s="581">
        <v>20090</v>
      </c>
      <c r="B353" s="594">
        <v>1.9699999999999999E-2</v>
      </c>
      <c r="C353" s="577">
        <v>1.43E-2</v>
      </c>
      <c r="D353" s="577">
        <v>2.2000000000000001E-3</v>
      </c>
      <c r="E353" s="577">
        <v>2.4416666666666666E-3</v>
      </c>
      <c r="F353" s="577">
        <v>2.5500000000000002E-3</v>
      </c>
      <c r="G353" s="577">
        <v>2.4958333333333334E-3</v>
      </c>
      <c r="H353" s="577">
        <v>2.6083333333333332E-3</v>
      </c>
      <c r="I353" s="577">
        <f t="shared" si="57"/>
        <v>1.7499999999999998E-2</v>
      </c>
      <c r="J353" s="577">
        <f t="shared" si="61"/>
        <v>1.7204166666666666E-2</v>
      </c>
      <c r="K353" s="577">
        <f t="shared" si="62"/>
        <v>1.1691666666666666E-2</v>
      </c>
      <c r="L353" s="585">
        <f t="shared" si="58"/>
        <v>0.47711520165759946</v>
      </c>
      <c r="M353" s="585">
        <f t="shared" si="59"/>
        <v>2.64E-2</v>
      </c>
      <c r="N353" s="585">
        <f t="shared" si="52"/>
        <v>2.9950000000000001E-2</v>
      </c>
      <c r="O353" s="586">
        <f t="shared" si="60"/>
        <v>0.45071520165759948</v>
      </c>
      <c r="P353" s="585">
        <f t="shared" si="53"/>
        <v>0.44716520165759949</v>
      </c>
      <c r="Q353" s="585">
        <f t="shared" si="54"/>
        <v>0.22531653241491845</v>
      </c>
      <c r="R353" s="585">
        <f t="shared" si="55"/>
        <v>3.1299999999999994E-2</v>
      </c>
      <c r="S353" s="586">
        <f t="shared" si="56"/>
        <v>0.19401653241491845</v>
      </c>
      <c r="U353" s="587"/>
      <c r="V353" s="587"/>
      <c r="W353" s="587"/>
      <c r="X353" s="587"/>
      <c r="Y353" s="587"/>
      <c r="Z353" s="587"/>
      <c r="AA353" s="587"/>
      <c r="AB353" s="587"/>
      <c r="AC353" s="587"/>
      <c r="AE353" s="587"/>
      <c r="AF353" s="587"/>
      <c r="AG353" s="587"/>
      <c r="AH353" s="587"/>
      <c r="AI353" s="587"/>
      <c r="AJ353" s="587"/>
      <c r="AK353" s="587"/>
      <c r="AL353" s="587"/>
      <c r="AM353" s="587"/>
      <c r="AO353" s="587"/>
      <c r="AP353" s="587"/>
      <c r="AQ353" s="587"/>
      <c r="AR353" s="587"/>
      <c r="AS353" s="587"/>
      <c r="AT353" s="587"/>
      <c r="AU353" s="587"/>
      <c r="AV353" s="587"/>
      <c r="AW353" s="587"/>
    </row>
    <row r="354" spans="1:49">
      <c r="A354" s="581">
        <v>20121</v>
      </c>
      <c r="B354" s="594">
        <v>9.7999999999999997E-3</v>
      </c>
      <c r="C354" s="577">
        <v>3.44E-2</v>
      </c>
      <c r="D354" s="577">
        <v>2.2000000000000001E-3</v>
      </c>
      <c r="E354" s="577">
        <v>2.4416666666666666E-3</v>
      </c>
      <c r="F354" s="577">
        <v>2.5833333333333337E-3</v>
      </c>
      <c r="G354" s="577">
        <v>2.5125000000000004E-3</v>
      </c>
      <c r="H354" s="577">
        <v>2.6166666666666664E-3</v>
      </c>
      <c r="I354" s="577">
        <f t="shared" si="57"/>
        <v>7.5999999999999991E-3</v>
      </c>
      <c r="J354" s="577">
        <f t="shared" si="61"/>
        <v>7.2874999999999988E-3</v>
      </c>
      <c r="K354" s="577">
        <f t="shared" si="62"/>
        <v>3.178333333333333E-2</v>
      </c>
      <c r="L354" s="585">
        <f t="shared" si="58"/>
        <v>0.47521603267119339</v>
      </c>
      <c r="M354" s="585">
        <f t="shared" si="59"/>
        <v>2.64E-2</v>
      </c>
      <c r="N354" s="585">
        <f t="shared" si="52"/>
        <v>3.0150000000000003E-2</v>
      </c>
      <c r="O354" s="586">
        <f t="shared" si="60"/>
        <v>0.44881603267119341</v>
      </c>
      <c r="P354" s="585">
        <f t="shared" si="53"/>
        <v>0.44506603267119338</v>
      </c>
      <c r="Q354" s="585">
        <f t="shared" si="54"/>
        <v>0.25280954940198885</v>
      </c>
      <c r="R354" s="585">
        <f t="shared" si="55"/>
        <v>3.1399999999999997E-2</v>
      </c>
      <c r="S354" s="586">
        <f t="shared" si="56"/>
        <v>0.22140954940198887</v>
      </c>
      <c r="U354" s="587"/>
      <c r="V354" s="587"/>
      <c r="W354" s="587"/>
      <c r="X354" s="587"/>
      <c r="Y354" s="587"/>
      <c r="Z354" s="587"/>
      <c r="AA354" s="587"/>
      <c r="AB354" s="587"/>
      <c r="AC354" s="587"/>
      <c r="AE354" s="587"/>
      <c r="AF354" s="587"/>
      <c r="AG354" s="587"/>
      <c r="AH354" s="587"/>
      <c r="AI354" s="587"/>
      <c r="AJ354" s="587"/>
      <c r="AK354" s="587"/>
      <c r="AL354" s="587"/>
      <c r="AM354" s="587"/>
      <c r="AO354" s="587"/>
      <c r="AP354" s="587"/>
      <c r="AQ354" s="587"/>
      <c r="AR354" s="587"/>
      <c r="AS354" s="587"/>
      <c r="AT354" s="587"/>
      <c r="AU354" s="587"/>
      <c r="AV354" s="587"/>
      <c r="AW354" s="587"/>
    </row>
    <row r="355" spans="1:49">
      <c r="A355" s="581">
        <v>20149</v>
      </c>
      <c r="B355" s="594">
        <v>-3.0000000000000001E-3</v>
      </c>
      <c r="C355" s="577">
        <v>-1.1000000000000001E-2</v>
      </c>
      <c r="D355" s="577">
        <v>2.3999999999999998E-3</v>
      </c>
      <c r="E355" s="577">
        <v>2.5166666666666666E-3</v>
      </c>
      <c r="F355" s="577">
        <v>2.6083333333333332E-3</v>
      </c>
      <c r="G355" s="577">
        <v>2.5624999999999997E-3</v>
      </c>
      <c r="H355" s="577">
        <v>2.6250000000000002E-3</v>
      </c>
      <c r="I355" s="577">
        <f t="shared" si="57"/>
        <v>-5.4000000000000003E-3</v>
      </c>
      <c r="J355" s="577">
        <f t="shared" si="61"/>
        <v>-5.5624999999999997E-3</v>
      </c>
      <c r="K355" s="577">
        <f t="shared" si="62"/>
        <v>-1.3625000000000002E-2</v>
      </c>
      <c r="L355" s="585">
        <f t="shared" si="58"/>
        <v>0.4244943191992061</v>
      </c>
      <c r="M355" s="585">
        <f t="shared" si="59"/>
        <v>2.8799999999999999E-2</v>
      </c>
      <c r="N355" s="585">
        <f t="shared" si="52"/>
        <v>3.0749999999999996E-2</v>
      </c>
      <c r="O355" s="586">
        <f t="shared" si="60"/>
        <v>0.39569431919920611</v>
      </c>
      <c r="P355" s="585">
        <f t="shared" si="53"/>
        <v>0.39374431919920611</v>
      </c>
      <c r="Q355" s="585">
        <f t="shared" si="54"/>
        <v>0.20645437620113594</v>
      </c>
      <c r="R355" s="585">
        <f t="shared" si="55"/>
        <v>3.15E-2</v>
      </c>
      <c r="S355" s="586">
        <f t="shared" si="56"/>
        <v>0.17495437620113594</v>
      </c>
      <c r="U355" s="587"/>
      <c r="V355" s="587"/>
      <c r="W355" s="587"/>
      <c r="X355" s="587"/>
      <c r="Y355" s="587"/>
      <c r="Z355" s="587"/>
      <c r="AA355" s="587"/>
      <c r="AB355" s="587"/>
      <c r="AC355" s="587"/>
      <c r="AE355" s="587"/>
      <c r="AF355" s="587"/>
      <c r="AG355" s="587"/>
      <c r="AH355" s="587"/>
      <c r="AI355" s="587"/>
      <c r="AJ355" s="587"/>
      <c r="AK355" s="587"/>
      <c r="AL355" s="587"/>
      <c r="AM355" s="587"/>
      <c r="AO355" s="587"/>
      <c r="AP355" s="587"/>
      <c r="AQ355" s="587"/>
      <c r="AR355" s="587"/>
      <c r="AS355" s="587"/>
      <c r="AT355" s="587"/>
      <c r="AU355" s="587"/>
      <c r="AV355" s="587"/>
      <c r="AW355" s="587"/>
    </row>
    <row r="356" spans="1:49">
      <c r="A356" s="581">
        <v>20180</v>
      </c>
      <c r="B356" s="594">
        <v>3.9600000000000003E-2</v>
      </c>
      <c r="C356" s="577">
        <v>2.0199999999999999E-2</v>
      </c>
      <c r="D356" s="577">
        <v>2.2000000000000001E-3</v>
      </c>
      <c r="E356" s="577">
        <v>2.5083333333333329E-3</v>
      </c>
      <c r="F356" s="577">
        <v>2.6083333333333332E-3</v>
      </c>
      <c r="G356" s="577">
        <v>2.558333333333333E-3</v>
      </c>
      <c r="H356" s="577">
        <v>2.6250000000000002E-3</v>
      </c>
      <c r="I356" s="577">
        <f t="shared" si="57"/>
        <v>3.7400000000000003E-2</v>
      </c>
      <c r="J356" s="577">
        <f t="shared" si="61"/>
        <v>3.7041666666666667E-2</v>
      </c>
      <c r="K356" s="577">
        <f t="shared" si="62"/>
        <v>1.7575E-2</v>
      </c>
      <c r="L356" s="585">
        <f t="shared" si="58"/>
        <v>0.40823915389834009</v>
      </c>
      <c r="M356" s="585">
        <f t="shared" si="59"/>
        <v>2.64E-2</v>
      </c>
      <c r="N356" s="585">
        <f t="shared" si="52"/>
        <v>3.0699999999999998E-2</v>
      </c>
      <c r="O356" s="586">
        <f t="shared" si="60"/>
        <v>0.38183915389834011</v>
      </c>
      <c r="P356" s="585">
        <f t="shared" si="53"/>
        <v>0.37753915389834009</v>
      </c>
      <c r="Q356" s="585">
        <f t="shared" si="54"/>
        <v>0.21610982570931636</v>
      </c>
      <c r="R356" s="585">
        <f t="shared" si="55"/>
        <v>3.15E-2</v>
      </c>
      <c r="S356" s="586">
        <f t="shared" si="56"/>
        <v>0.18460982570931636</v>
      </c>
      <c r="U356" s="587"/>
      <c r="V356" s="587"/>
      <c r="W356" s="587"/>
      <c r="X356" s="587"/>
      <c r="Y356" s="587"/>
      <c r="Z356" s="587"/>
      <c r="AA356" s="587"/>
      <c r="AB356" s="587"/>
      <c r="AC356" s="587"/>
      <c r="AE356" s="587"/>
      <c r="AF356" s="587"/>
      <c r="AG356" s="587"/>
      <c r="AH356" s="587"/>
      <c r="AI356" s="587"/>
      <c r="AJ356" s="587"/>
      <c r="AK356" s="587"/>
      <c r="AL356" s="587"/>
      <c r="AM356" s="587"/>
      <c r="AO356" s="587"/>
      <c r="AP356" s="587"/>
      <c r="AQ356" s="587"/>
      <c r="AR356" s="587"/>
      <c r="AS356" s="587"/>
      <c r="AT356" s="587"/>
      <c r="AU356" s="587"/>
      <c r="AV356" s="587"/>
      <c r="AW356" s="587"/>
    </row>
    <row r="357" spans="1:49">
      <c r="A357" s="581">
        <v>20210</v>
      </c>
      <c r="B357" s="594">
        <v>5.4999999999999997E-3</v>
      </c>
      <c r="C357" s="577">
        <v>-5.7999999999999996E-3</v>
      </c>
      <c r="D357" s="577">
        <v>2.5000000000000001E-3</v>
      </c>
      <c r="E357" s="577">
        <v>2.5333333333333336E-3</v>
      </c>
      <c r="F357" s="577">
        <v>2.6250000000000002E-3</v>
      </c>
      <c r="G357" s="577">
        <v>2.5791666666666667E-3</v>
      </c>
      <c r="H357" s="577">
        <v>2.6583333333333333E-3</v>
      </c>
      <c r="I357" s="577">
        <f t="shared" si="57"/>
        <v>2.9999999999999996E-3</v>
      </c>
      <c r="J357" s="577">
        <f t="shared" si="61"/>
        <v>2.920833333333333E-3</v>
      </c>
      <c r="K357" s="577">
        <f t="shared" si="62"/>
        <v>-8.4583333333333333E-3</v>
      </c>
      <c r="L357" s="585">
        <f t="shared" si="58"/>
        <v>0.35917111657206857</v>
      </c>
      <c r="M357" s="585">
        <f t="shared" si="59"/>
        <v>0.03</v>
      </c>
      <c r="N357" s="585">
        <f t="shared" si="52"/>
        <v>3.0949999999999998E-2</v>
      </c>
      <c r="O357" s="586">
        <f t="shared" si="60"/>
        <v>0.32917111657206855</v>
      </c>
      <c r="P357" s="585">
        <f t="shared" si="53"/>
        <v>0.32822111657206859</v>
      </c>
      <c r="Q357" s="585">
        <f t="shared" si="54"/>
        <v>0.17876220017568745</v>
      </c>
      <c r="R357" s="585">
        <f t="shared" si="55"/>
        <v>3.1899999999999998E-2</v>
      </c>
      <c r="S357" s="586">
        <f t="shared" si="56"/>
        <v>0.14686220017568746</v>
      </c>
      <c r="U357" s="587"/>
      <c r="V357" s="587"/>
      <c r="W357" s="587"/>
      <c r="X357" s="587"/>
      <c r="Y357" s="587"/>
      <c r="Z357" s="587"/>
      <c r="AA357" s="587"/>
      <c r="AB357" s="587"/>
      <c r="AC357" s="587"/>
      <c r="AE357" s="587"/>
      <c r="AF357" s="587"/>
      <c r="AG357" s="587"/>
      <c r="AH357" s="587"/>
      <c r="AI357" s="587"/>
      <c r="AJ357" s="587"/>
      <c r="AK357" s="587"/>
      <c r="AL357" s="587"/>
      <c r="AM357" s="587"/>
      <c r="AO357" s="587"/>
      <c r="AP357" s="587"/>
      <c r="AQ357" s="587"/>
      <c r="AR357" s="587"/>
      <c r="AS357" s="587"/>
      <c r="AT357" s="587"/>
      <c r="AU357" s="587"/>
      <c r="AV357" s="587"/>
      <c r="AW357" s="587"/>
    </row>
    <row r="358" spans="1:49">
      <c r="A358" s="581">
        <v>20241</v>
      </c>
      <c r="B358" s="594">
        <v>8.4099999999999994E-2</v>
      </c>
      <c r="C358" s="577">
        <v>2.1099999999999997E-2</v>
      </c>
      <c r="D358" s="577">
        <v>2.3E-3</v>
      </c>
      <c r="E358" s="577">
        <v>2.5416666666666665E-3</v>
      </c>
      <c r="F358" s="577">
        <v>2.6166666666666664E-3</v>
      </c>
      <c r="G358" s="577">
        <v>2.5791666666666667E-3</v>
      </c>
      <c r="H358" s="577">
        <v>2.6750000000000003E-3</v>
      </c>
      <c r="I358" s="577">
        <f t="shared" si="57"/>
        <v>8.1799999999999998E-2</v>
      </c>
      <c r="J358" s="577">
        <f t="shared" si="61"/>
        <v>8.1520833333333334E-2</v>
      </c>
      <c r="K358" s="577">
        <f t="shared" si="62"/>
        <v>1.8424999999999997E-2</v>
      </c>
      <c r="L358" s="585">
        <f t="shared" si="58"/>
        <v>0.46892374386978264</v>
      </c>
      <c r="M358" s="585">
        <f t="shared" si="59"/>
        <v>2.76E-2</v>
      </c>
      <c r="N358" s="585">
        <f t="shared" si="52"/>
        <v>3.0949999999999998E-2</v>
      </c>
      <c r="O358" s="586">
        <f t="shared" si="60"/>
        <v>0.44132374386978263</v>
      </c>
      <c r="P358" s="585">
        <f t="shared" si="53"/>
        <v>0.43797374386978266</v>
      </c>
      <c r="Q358" s="585">
        <f t="shared" si="54"/>
        <v>0.19218906755090526</v>
      </c>
      <c r="R358" s="585">
        <f t="shared" si="55"/>
        <v>3.2100000000000004E-2</v>
      </c>
      <c r="S358" s="586">
        <f t="shared" si="56"/>
        <v>0.16008906755090524</v>
      </c>
      <c r="U358" s="587"/>
      <c r="V358" s="587"/>
      <c r="W358" s="587"/>
      <c r="X358" s="587"/>
      <c r="Y358" s="587"/>
      <c r="Z358" s="587"/>
      <c r="AA358" s="587"/>
      <c r="AB358" s="587"/>
      <c r="AC358" s="587"/>
      <c r="AE358" s="587"/>
      <c r="AF358" s="587"/>
      <c r="AG358" s="587"/>
      <c r="AH358" s="587"/>
      <c r="AI358" s="587"/>
      <c r="AJ358" s="587"/>
      <c r="AK358" s="587"/>
      <c r="AL358" s="587"/>
      <c r="AM358" s="587"/>
      <c r="AO358" s="587"/>
      <c r="AP358" s="587"/>
      <c r="AQ358" s="587"/>
      <c r="AR358" s="587"/>
      <c r="AS358" s="587"/>
      <c r="AT358" s="587"/>
      <c r="AU358" s="587"/>
      <c r="AV358" s="587"/>
      <c r="AW358" s="587"/>
    </row>
    <row r="359" spans="1:49">
      <c r="A359" s="581">
        <v>20271</v>
      </c>
      <c r="B359" s="594">
        <v>6.2199999999999998E-2</v>
      </c>
      <c r="C359" s="577">
        <v>4.6599999999999996E-2</v>
      </c>
      <c r="D359" s="577">
        <v>2.3E-3</v>
      </c>
      <c r="E359" s="577">
        <v>2.5500000000000002E-3</v>
      </c>
      <c r="F359" s="577">
        <v>2.6166666666666664E-3</v>
      </c>
      <c r="G359" s="577">
        <v>2.5833333333333329E-3</v>
      </c>
      <c r="H359" s="577">
        <v>2.6750000000000003E-3</v>
      </c>
      <c r="I359" s="577">
        <f t="shared" si="57"/>
        <v>5.9899999999999995E-2</v>
      </c>
      <c r="J359" s="577">
        <f t="shared" si="61"/>
        <v>5.9616666666666665E-2</v>
      </c>
      <c r="K359" s="577">
        <f t="shared" si="62"/>
        <v>4.3924999999999992E-2</v>
      </c>
      <c r="L359" s="585">
        <f t="shared" si="58"/>
        <v>0.47350155891820123</v>
      </c>
      <c r="M359" s="585">
        <f t="shared" si="59"/>
        <v>2.76E-2</v>
      </c>
      <c r="N359" s="585">
        <f t="shared" si="52"/>
        <v>3.0999999999999993E-2</v>
      </c>
      <c r="O359" s="586">
        <f t="shared" si="60"/>
        <v>0.44590155891820121</v>
      </c>
      <c r="P359" s="585">
        <f t="shared" si="53"/>
        <v>0.44250155891820125</v>
      </c>
      <c r="Q359" s="585">
        <f t="shared" si="54"/>
        <v>0.18889478618273237</v>
      </c>
      <c r="R359" s="585">
        <f t="shared" si="55"/>
        <v>3.2100000000000004E-2</v>
      </c>
      <c r="S359" s="586">
        <f t="shared" si="56"/>
        <v>0.15679478618273235</v>
      </c>
      <c r="U359" s="587"/>
      <c r="V359" s="587"/>
      <c r="W359" s="587"/>
      <c r="X359" s="587"/>
      <c r="Y359" s="587"/>
      <c r="Z359" s="587"/>
      <c r="AA359" s="587"/>
      <c r="AB359" s="587"/>
      <c r="AC359" s="587"/>
      <c r="AE359" s="587"/>
      <c r="AF359" s="587"/>
      <c r="AG359" s="587"/>
      <c r="AH359" s="587"/>
      <c r="AI359" s="587"/>
      <c r="AJ359" s="587"/>
      <c r="AK359" s="587"/>
      <c r="AL359" s="587"/>
      <c r="AM359" s="587"/>
      <c r="AO359" s="587"/>
      <c r="AP359" s="587"/>
      <c r="AQ359" s="587"/>
      <c r="AR359" s="587"/>
      <c r="AS359" s="587"/>
      <c r="AT359" s="587"/>
      <c r="AU359" s="587"/>
      <c r="AV359" s="587"/>
      <c r="AW359" s="587"/>
    </row>
    <row r="360" spans="1:49">
      <c r="A360" s="581">
        <v>20302</v>
      </c>
      <c r="B360" s="594">
        <v>-2.5000000000000001E-3</v>
      </c>
      <c r="C360" s="577">
        <v>5.1999999999999998E-3</v>
      </c>
      <c r="D360" s="577">
        <v>2.7000000000000001E-3</v>
      </c>
      <c r="E360" s="577">
        <v>2.5916666666666666E-3</v>
      </c>
      <c r="F360" s="577">
        <v>2.6666666666666666E-3</v>
      </c>
      <c r="G360" s="577">
        <v>2.6291666666666668E-3</v>
      </c>
      <c r="H360" s="577">
        <v>2.7000000000000001E-3</v>
      </c>
      <c r="I360" s="577">
        <f t="shared" si="57"/>
        <v>-5.1999999999999998E-3</v>
      </c>
      <c r="J360" s="577">
        <f t="shared" si="61"/>
        <v>-5.1291666666666673E-3</v>
      </c>
      <c r="K360" s="577">
        <f t="shared" si="62"/>
        <v>2.4999999999999996E-3</v>
      </c>
      <c r="L360" s="585">
        <f t="shared" si="58"/>
        <v>0.51138077637111135</v>
      </c>
      <c r="M360" s="585">
        <f t="shared" si="59"/>
        <v>3.2399999999999998E-2</v>
      </c>
      <c r="N360" s="585">
        <f t="shared" ref="N360:N423" si="63">G360*12</f>
        <v>3.1550000000000002E-2</v>
      </c>
      <c r="O360" s="586">
        <f t="shared" si="60"/>
        <v>0.47898077637111136</v>
      </c>
      <c r="P360" s="585">
        <f t="shared" ref="P360:P423" si="64">L360-N360</f>
        <v>0.47983077637111132</v>
      </c>
      <c r="Q360" s="585">
        <f t="shared" ref="Q360:Q423" si="65">((1+C349)*(1+C350)*(1+C351)*(1+C352)*(1+C353)*(1+C354)*(1+C355)*(1+C356)*(1+C357)*(1+C358)*(1+C359)*(1+C360))-1</f>
        <v>0.21094035775750575</v>
      </c>
      <c r="R360" s="585">
        <f t="shared" ref="R360:R423" si="66">H360*12</f>
        <v>3.2399999999999998E-2</v>
      </c>
      <c r="S360" s="586">
        <f t="shared" ref="S360:S423" si="67">Q360-R360</f>
        <v>0.17854035775750576</v>
      </c>
      <c r="U360" s="587"/>
      <c r="V360" s="587"/>
      <c r="W360" s="587"/>
      <c r="X360" s="587"/>
      <c r="Y360" s="587"/>
      <c r="Z360" s="587"/>
      <c r="AA360" s="587"/>
      <c r="AB360" s="587"/>
      <c r="AC360" s="587"/>
      <c r="AE360" s="587"/>
      <c r="AF360" s="587"/>
      <c r="AG360" s="587"/>
      <c r="AH360" s="587"/>
      <c r="AI360" s="587"/>
      <c r="AJ360" s="587"/>
      <c r="AK360" s="587"/>
      <c r="AL360" s="587"/>
      <c r="AM360" s="587"/>
      <c r="AO360" s="587"/>
      <c r="AP360" s="587"/>
      <c r="AQ360" s="587"/>
      <c r="AR360" s="587"/>
      <c r="AS360" s="587"/>
      <c r="AT360" s="587"/>
      <c r="AU360" s="587"/>
      <c r="AV360" s="587"/>
      <c r="AW360" s="587"/>
    </row>
    <row r="361" spans="1:49">
      <c r="A361" s="581">
        <v>20333</v>
      </c>
      <c r="B361" s="594">
        <v>1.2999999999999999E-2</v>
      </c>
      <c r="C361" s="577">
        <v>-2.8999999999999998E-2</v>
      </c>
      <c r="D361" s="577">
        <v>2.3999999999999998E-3</v>
      </c>
      <c r="E361" s="577">
        <v>2.6083333333333332E-3</v>
      </c>
      <c r="F361" s="577">
        <v>2.6833333333333336E-3</v>
      </c>
      <c r="G361" s="577">
        <v>2.6458333333333334E-3</v>
      </c>
      <c r="H361" s="577">
        <v>2.725E-3</v>
      </c>
      <c r="I361" s="577">
        <f t="shared" si="57"/>
        <v>1.06E-2</v>
      </c>
      <c r="J361" s="577">
        <f t="shared" si="61"/>
        <v>1.0354166666666666E-2</v>
      </c>
      <c r="K361" s="577">
        <f t="shared" si="62"/>
        <v>-3.1724999999999996E-2</v>
      </c>
      <c r="L361" s="585">
        <f t="shared" si="58"/>
        <v>0.41095634177857931</v>
      </c>
      <c r="M361" s="585">
        <f t="shared" si="59"/>
        <v>2.8799999999999999E-2</v>
      </c>
      <c r="N361" s="585">
        <f t="shared" si="63"/>
        <v>3.175E-2</v>
      </c>
      <c r="O361" s="586">
        <f t="shared" si="60"/>
        <v>0.38215634177857932</v>
      </c>
      <c r="P361" s="585">
        <f t="shared" si="64"/>
        <v>0.37920634177857931</v>
      </c>
      <c r="Q361" s="585">
        <f t="shared" si="65"/>
        <v>0.15525946883723485</v>
      </c>
      <c r="R361" s="585">
        <f t="shared" si="66"/>
        <v>3.27E-2</v>
      </c>
      <c r="S361" s="586">
        <f t="shared" si="67"/>
        <v>0.12255946883723484</v>
      </c>
      <c r="U361" s="587"/>
      <c r="V361" s="587"/>
      <c r="W361" s="587"/>
      <c r="X361" s="587"/>
      <c r="Y361" s="587"/>
      <c r="Z361" s="587"/>
      <c r="AA361" s="587"/>
      <c r="AB361" s="587"/>
      <c r="AC361" s="587"/>
      <c r="AE361" s="587"/>
      <c r="AF361" s="587"/>
      <c r="AG361" s="587"/>
      <c r="AH361" s="587"/>
      <c r="AI361" s="587"/>
      <c r="AJ361" s="587"/>
      <c r="AK361" s="587"/>
      <c r="AL361" s="587"/>
      <c r="AM361" s="587"/>
      <c r="AO361" s="587"/>
      <c r="AP361" s="587"/>
      <c r="AQ361" s="587"/>
      <c r="AR361" s="587"/>
      <c r="AS361" s="587"/>
      <c r="AT361" s="587"/>
      <c r="AU361" s="587"/>
      <c r="AV361" s="587"/>
      <c r="AW361" s="587"/>
    </row>
    <row r="362" spans="1:49">
      <c r="A362" s="581">
        <v>20363</v>
      </c>
      <c r="B362" s="594">
        <v>-2.8400000000000002E-2</v>
      </c>
      <c r="C362" s="577">
        <v>-8.5000000000000006E-3</v>
      </c>
      <c r="D362" s="577">
        <v>2.5000000000000001E-3</v>
      </c>
      <c r="E362" s="577">
        <v>2.5833333333333337E-3</v>
      </c>
      <c r="F362" s="577">
        <v>2.6583333333333333E-3</v>
      </c>
      <c r="G362" s="577">
        <v>2.6208333333333335E-3</v>
      </c>
      <c r="H362" s="577">
        <v>2.7500000000000003E-3</v>
      </c>
      <c r="I362" s="577">
        <f t="shared" si="57"/>
        <v>-3.09E-2</v>
      </c>
      <c r="J362" s="577">
        <f t="shared" si="61"/>
        <v>-3.1020833333333334E-2</v>
      </c>
      <c r="K362" s="577">
        <f t="shared" si="62"/>
        <v>-1.1250000000000001E-2</v>
      </c>
      <c r="L362" s="585">
        <f t="shared" si="58"/>
        <v>0.39416778365917549</v>
      </c>
      <c r="M362" s="585">
        <f t="shared" si="59"/>
        <v>0.03</v>
      </c>
      <c r="N362" s="585">
        <f t="shared" si="63"/>
        <v>3.1450000000000006E-2</v>
      </c>
      <c r="O362" s="586">
        <f t="shared" si="60"/>
        <v>0.36416778365917546</v>
      </c>
      <c r="P362" s="585">
        <f t="shared" si="64"/>
        <v>0.36271778365917551</v>
      </c>
      <c r="Q362" s="585">
        <f t="shared" si="65"/>
        <v>0.18920241211806377</v>
      </c>
      <c r="R362" s="585">
        <f t="shared" si="66"/>
        <v>3.3000000000000002E-2</v>
      </c>
      <c r="S362" s="586">
        <f t="shared" si="67"/>
        <v>0.15620241211806377</v>
      </c>
      <c r="U362" s="587"/>
      <c r="V362" s="587"/>
      <c r="W362" s="587"/>
      <c r="X362" s="587"/>
      <c r="Y362" s="587"/>
      <c r="Z362" s="587"/>
      <c r="AA362" s="587"/>
      <c r="AB362" s="587"/>
      <c r="AC362" s="587"/>
      <c r="AE362" s="587"/>
      <c r="AF362" s="587"/>
      <c r="AG362" s="587"/>
      <c r="AH362" s="587"/>
      <c r="AI362" s="587"/>
      <c r="AJ362" s="587"/>
      <c r="AK362" s="587"/>
      <c r="AL362" s="587"/>
      <c r="AM362" s="587"/>
      <c r="AO362" s="587"/>
      <c r="AP362" s="587"/>
      <c r="AQ362" s="587"/>
      <c r="AR362" s="587"/>
      <c r="AS362" s="587"/>
      <c r="AT362" s="587"/>
      <c r="AU362" s="587"/>
      <c r="AV362" s="587"/>
      <c r="AW362" s="587"/>
    </row>
    <row r="363" spans="1:49">
      <c r="A363" s="581">
        <v>20394</v>
      </c>
      <c r="B363" s="594">
        <v>8.2699999999999996E-2</v>
      </c>
      <c r="C363" s="577">
        <v>2.92E-2</v>
      </c>
      <c r="D363" s="577">
        <v>2.3999999999999998E-3</v>
      </c>
      <c r="E363" s="577">
        <v>2.5833333333333337E-3</v>
      </c>
      <c r="F363" s="577">
        <v>2.65E-3</v>
      </c>
      <c r="G363" s="577">
        <v>2.6166666666666673E-3</v>
      </c>
      <c r="H363" s="577">
        <v>2.7666666666666668E-3</v>
      </c>
      <c r="I363" s="577">
        <f t="shared" si="57"/>
        <v>8.0299999999999996E-2</v>
      </c>
      <c r="J363" s="577">
        <f t="shared" si="61"/>
        <v>8.0083333333333326E-2</v>
      </c>
      <c r="K363" s="577">
        <f t="shared" si="62"/>
        <v>2.6433333333333333E-2</v>
      </c>
      <c r="L363" s="585">
        <f t="shared" si="58"/>
        <v>0.38368820182215502</v>
      </c>
      <c r="M363" s="585">
        <f t="shared" si="59"/>
        <v>2.8799999999999999E-2</v>
      </c>
      <c r="N363" s="585">
        <f t="shared" si="63"/>
        <v>3.1400000000000011E-2</v>
      </c>
      <c r="O363" s="586">
        <f t="shared" si="60"/>
        <v>0.35488820182215502</v>
      </c>
      <c r="P363" s="585">
        <f t="shared" si="64"/>
        <v>0.35228820182215503</v>
      </c>
      <c r="Q363" s="585">
        <f t="shared" si="65"/>
        <v>0.15847337676470508</v>
      </c>
      <c r="R363" s="585">
        <f t="shared" si="66"/>
        <v>3.32E-2</v>
      </c>
      <c r="S363" s="586">
        <f t="shared" si="67"/>
        <v>0.12527337676470507</v>
      </c>
      <c r="U363" s="587"/>
      <c r="V363" s="587"/>
      <c r="W363" s="587"/>
      <c r="X363" s="587"/>
      <c r="Y363" s="587"/>
      <c r="Z363" s="587"/>
      <c r="AA363" s="587"/>
      <c r="AB363" s="587"/>
      <c r="AC363" s="587"/>
      <c r="AE363" s="587"/>
      <c r="AF363" s="587"/>
      <c r="AG363" s="587"/>
      <c r="AH363" s="587"/>
      <c r="AI363" s="587"/>
      <c r="AJ363" s="587"/>
      <c r="AK363" s="587"/>
      <c r="AL363" s="587"/>
      <c r="AM363" s="587"/>
      <c r="AO363" s="587"/>
      <c r="AP363" s="587"/>
      <c r="AQ363" s="587"/>
      <c r="AR363" s="587"/>
      <c r="AS363" s="587"/>
      <c r="AT363" s="587"/>
      <c r="AU363" s="587"/>
      <c r="AV363" s="587"/>
      <c r="AW363" s="587"/>
    </row>
    <row r="364" spans="1:49">
      <c r="A364" s="581">
        <v>20424</v>
      </c>
      <c r="B364" s="594">
        <v>1.5E-3</v>
      </c>
      <c r="C364" s="577">
        <v>-6.7000000000000002E-3</v>
      </c>
      <c r="D364" s="577">
        <v>2.3999999999999998E-3</v>
      </c>
      <c r="E364" s="577">
        <v>2.6250000000000002E-3</v>
      </c>
      <c r="F364" s="577">
        <v>2.6833333333333336E-3</v>
      </c>
      <c r="G364" s="577">
        <v>2.6541666666666671E-3</v>
      </c>
      <c r="H364" s="577">
        <v>2.7916666666666667E-3</v>
      </c>
      <c r="I364" s="577">
        <f t="shared" si="57"/>
        <v>-8.9999999999999976E-4</v>
      </c>
      <c r="J364" s="577">
        <f t="shared" si="61"/>
        <v>-1.1541666666666671E-3</v>
      </c>
      <c r="K364" s="577">
        <f t="shared" si="62"/>
        <v>-9.4916666666666673E-3</v>
      </c>
      <c r="L364" s="585">
        <f t="shared" si="58"/>
        <v>0.31551522130709064</v>
      </c>
      <c r="M364" s="585">
        <f t="shared" si="59"/>
        <v>2.8799999999999999E-2</v>
      </c>
      <c r="N364" s="585">
        <f t="shared" si="63"/>
        <v>3.1850000000000003E-2</v>
      </c>
      <c r="O364" s="586">
        <f t="shared" si="60"/>
        <v>0.28671522130709065</v>
      </c>
      <c r="P364" s="585">
        <f t="shared" si="64"/>
        <v>0.28366522130709065</v>
      </c>
      <c r="Q364" s="585">
        <f t="shared" si="65"/>
        <v>0.11276627515751003</v>
      </c>
      <c r="R364" s="585">
        <f t="shared" si="66"/>
        <v>3.3500000000000002E-2</v>
      </c>
      <c r="S364" s="586">
        <f t="shared" si="67"/>
        <v>7.926627515751003E-2</v>
      </c>
      <c r="U364" s="587"/>
      <c r="V364" s="587"/>
      <c r="W364" s="587"/>
      <c r="X364" s="587"/>
      <c r="Y364" s="587"/>
      <c r="Z364" s="587"/>
      <c r="AA364" s="587"/>
      <c r="AB364" s="587"/>
      <c r="AC364" s="587"/>
      <c r="AE364" s="587"/>
      <c r="AF364" s="587"/>
      <c r="AG364" s="587"/>
      <c r="AH364" s="587"/>
      <c r="AI364" s="587"/>
      <c r="AJ364" s="587"/>
      <c r="AK364" s="587"/>
      <c r="AL364" s="587"/>
      <c r="AM364" s="587"/>
      <c r="AO364" s="587"/>
      <c r="AP364" s="587"/>
      <c r="AQ364" s="587"/>
      <c r="AR364" s="587"/>
      <c r="AS364" s="587"/>
      <c r="AT364" s="587"/>
      <c r="AU364" s="587"/>
      <c r="AV364" s="587"/>
      <c r="AW364" s="587"/>
    </row>
    <row r="365" spans="1:49">
      <c r="A365" s="581">
        <v>20455</v>
      </c>
      <c r="B365" s="594">
        <v>-3.4700000000000002E-2</v>
      </c>
      <c r="C365" s="577">
        <v>3.0000000000000001E-3</v>
      </c>
      <c r="D365" s="577">
        <v>2.5000000000000001E-3</v>
      </c>
      <c r="E365" s="577">
        <v>2.5916666666666666E-3</v>
      </c>
      <c r="F365" s="577">
        <v>2.6583333333333333E-3</v>
      </c>
      <c r="G365" s="577">
        <v>2.6249999999999997E-3</v>
      </c>
      <c r="H365" s="577">
        <v>2.7583333333333331E-3</v>
      </c>
      <c r="I365" s="577">
        <f t="shared" si="57"/>
        <v>-3.7200000000000004E-2</v>
      </c>
      <c r="J365" s="577">
        <f t="shared" si="61"/>
        <v>-3.7325000000000004E-2</v>
      </c>
      <c r="K365" s="577">
        <f t="shared" si="62"/>
        <v>2.4166666666666694E-4</v>
      </c>
      <c r="L365" s="585">
        <f t="shared" si="58"/>
        <v>0.2453337679001022</v>
      </c>
      <c r="M365" s="585">
        <f t="shared" si="59"/>
        <v>0.03</v>
      </c>
      <c r="N365" s="585">
        <f t="shared" si="63"/>
        <v>3.15E-2</v>
      </c>
      <c r="O365" s="586">
        <f t="shared" si="60"/>
        <v>0.2153337679001022</v>
      </c>
      <c r="P365" s="585">
        <f t="shared" si="64"/>
        <v>0.2138337679001022</v>
      </c>
      <c r="Q365" s="585">
        <f t="shared" si="65"/>
        <v>0.10036929309177012</v>
      </c>
      <c r="R365" s="585">
        <f t="shared" si="66"/>
        <v>3.3099999999999997E-2</v>
      </c>
      <c r="S365" s="586">
        <f t="shared" si="67"/>
        <v>6.7269293091770127E-2</v>
      </c>
      <c r="U365" s="587"/>
      <c r="V365" s="587"/>
      <c r="W365" s="587"/>
      <c r="X365" s="587"/>
      <c r="Y365" s="587"/>
      <c r="Z365" s="587"/>
      <c r="AA365" s="587"/>
      <c r="AB365" s="587"/>
      <c r="AC365" s="587"/>
      <c r="AE365" s="587"/>
      <c r="AF365" s="587"/>
      <c r="AG365" s="587"/>
      <c r="AH365" s="587"/>
      <c r="AI365" s="587"/>
      <c r="AJ365" s="587"/>
      <c r="AK365" s="587"/>
      <c r="AL365" s="587"/>
      <c r="AM365" s="587"/>
      <c r="AO365" s="587"/>
      <c r="AP365" s="587"/>
      <c r="AQ365" s="587"/>
      <c r="AR365" s="587"/>
      <c r="AS365" s="587"/>
      <c r="AT365" s="587"/>
      <c r="AU365" s="587"/>
      <c r="AV365" s="587"/>
      <c r="AW365" s="587"/>
    </row>
    <row r="366" spans="1:49">
      <c r="A366" s="581">
        <v>20486</v>
      </c>
      <c r="B366" s="594">
        <v>4.1300000000000003E-2</v>
      </c>
      <c r="C366" s="577">
        <v>1.78E-2</v>
      </c>
      <c r="D366" s="577">
        <v>2.3E-3</v>
      </c>
      <c r="E366" s="577">
        <v>2.5666666666666667E-3</v>
      </c>
      <c r="F366" s="577">
        <v>2.6333333333333334E-3</v>
      </c>
      <c r="G366" s="577">
        <v>2.5999999999999999E-3</v>
      </c>
      <c r="H366" s="577">
        <v>2.7416666666666666E-3</v>
      </c>
      <c r="I366" s="577">
        <f t="shared" si="57"/>
        <v>3.9000000000000007E-2</v>
      </c>
      <c r="J366" s="577">
        <f t="shared" si="61"/>
        <v>3.8700000000000005E-2</v>
      </c>
      <c r="K366" s="577">
        <f t="shared" si="62"/>
        <v>1.5058333333333333E-2</v>
      </c>
      <c r="L366" s="585">
        <f t="shared" si="58"/>
        <v>0.28418107795046166</v>
      </c>
      <c r="M366" s="585">
        <f t="shared" si="59"/>
        <v>2.76E-2</v>
      </c>
      <c r="N366" s="585">
        <f t="shared" si="63"/>
        <v>3.1199999999999999E-2</v>
      </c>
      <c r="O366" s="586">
        <f t="shared" si="60"/>
        <v>0.25658107795046164</v>
      </c>
      <c r="P366" s="585">
        <f t="shared" si="64"/>
        <v>0.25298107795046165</v>
      </c>
      <c r="Q366" s="585">
        <f t="shared" si="65"/>
        <v>8.2710621141534935E-2</v>
      </c>
      <c r="R366" s="585">
        <f t="shared" si="66"/>
        <v>3.2899999999999999E-2</v>
      </c>
      <c r="S366" s="586">
        <f t="shared" si="67"/>
        <v>4.9810621141534936E-2</v>
      </c>
      <c r="U366" s="587"/>
      <c r="V366" s="587"/>
      <c r="W366" s="587"/>
      <c r="X366" s="587"/>
      <c r="Y366" s="587"/>
      <c r="Z366" s="587"/>
      <c r="AA366" s="587"/>
      <c r="AB366" s="587"/>
      <c r="AC366" s="587"/>
      <c r="AE366" s="587"/>
      <c r="AF366" s="587"/>
      <c r="AG366" s="587"/>
      <c r="AH366" s="587"/>
      <c r="AI366" s="587"/>
      <c r="AJ366" s="587"/>
      <c r="AK366" s="587"/>
      <c r="AL366" s="587"/>
      <c r="AM366" s="587"/>
      <c r="AO366" s="587"/>
      <c r="AP366" s="587"/>
      <c r="AQ366" s="587"/>
      <c r="AR366" s="587"/>
      <c r="AS366" s="587"/>
      <c r="AT366" s="587"/>
      <c r="AU366" s="587"/>
      <c r="AV366" s="587"/>
      <c r="AW366" s="587"/>
    </row>
    <row r="367" spans="1:49">
      <c r="A367" s="581">
        <v>20515</v>
      </c>
      <c r="B367" s="594">
        <v>7.0999999999999994E-2</v>
      </c>
      <c r="C367" s="577">
        <v>3.9399999999999998E-2</v>
      </c>
      <c r="D367" s="577">
        <v>2.3E-3</v>
      </c>
      <c r="E367" s="577">
        <v>2.5833333333333337E-3</v>
      </c>
      <c r="F367" s="577">
        <v>2.65E-3</v>
      </c>
      <c r="G367" s="577">
        <v>2.6166666666666673E-3</v>
      </c>
      <c r="H367" s="577">
        <v>2.7416666666666666E-3</v>
      </c>
      <c r="I367" s="577">
        <f t="shared" si="57"/>
        <v>6.8699999999999997E-2</v>
      </c>
      <c r="J367" s="577">
        <f t="shared" si="61"/>
        <v>6.8383333333333324E-2</v>
      </c>
      <c r="K367" s="577">
        <f t="shared" si="62"/>
        <v>3.6658333333333334E-2</v>
      </c>
      <c r="L367" s="585">
        <f t="shared" si="58"/>
        <v>0.37949642375621284</v>
      </c>
      <c r="M367" s="585">
        <f t="shared" si="59"/>
        <v>2.76E-2</v>
      </c>
      <c r="N367" s="585">
        <f t="shared" si="63"/>
        <v>3.1400000000000011E-2</v>
      </c>
      <c r="O367" s="586">
        <f t="shared" si="60"/>
        <v>0.35189642375621283</v>
      </c>
      <c r="P367" s="585">
        <f t="shared" si="64"/>
        <v>0.34809642375621286</v>
      </c>
      <c r="Q367" s="585">
        <f t="shared" si="65"/>
        <v>0.13788616745653348</v>
      </c>
      <c r="R367" s="585">
        <f t="shared" si="66"/>
        <v>3.2899999999999999E-2</v>
      </c>
      <c r="S367" s="586">
        <f t="shared" si="67"/>
        <v>0.10498616745653348</v>
      </c>
      <c r="U367" s="587"/>
      <c r="V367" s="587"/>
      <c r="W367" s="587"/>
      <c r="X367" s="587"/>
      <c r="Y367" s="587"/>
      <c r="Z367" s="587"/>
      <c r="AA367" s="587"/>
      <c r="AB367" s="587"/>
      <c r="AC367" s="587"/>
      <c r="AE367" s="587"/>
      <c r="AF367" s="587"/>
      <c r="AG367" s="587"/>
      <c r="AH367" s="587"/>
      <c r="AI367" s="587"/>
      <c r="AJ367" s="587"/>
      <c r="AK367" s="587"/>
      <c r="AL367" s="587"/>
      <c r="AM367" s="587"/>
      <c r="AO367" s="587"/>
      <c r="AP367" s="587"/>
      <c r="AQ367" s="587"/>
      <c r="AR367" s="587"/>
      <c r="AS367" s="587"/>
      <c r="AT367" s="587"/>
      <c r="AU367" s="587"/>
      <c r="AV367" s="587"/>
      <c r="AW367" s="587"/>
    </row>
    <row r="368" spans="1:49">
      <c r="A368" s="581">
        <v>20546</v>
      </c>
      <c r="B368" s="594">
        <v>-4.0000000000000002E-4</v>
      </c>
      <c r="C368" s="577">
        <v>-2.87E-2</v>
      </c>
      <c r="D368" s="577">
        <v>2.5999999999999999E-3</v>
      </c>
      <c r="E368" s="577">
        <v>2.7000000000000001E-3</v>
      </c>
      <c r="F368" s="577">
        <v>2.7499999999999998E-3</v>
      </c>
      <c r="G368" s="577">
        <v>2.7249999999999996E-3</v>
      </c>
      <c r="H368" s="577">
        <v>2.8333333333333331E-3</v>
      </c>
      <c r="I368" s="577">
        <f t="shared" si="57"/>
        <v>-3.0000000000000001E-3</v>
      </c>
      <c r="J368" s="577">
        <f t="shared" si="61"/>
        <v>-3.1249999999999997E-3</v>
      </c>
      <c r="K368" s="577">
        <f t="shared" si="62"/>
        <v>-3.153333333333333E-2</v>
      </c>
      <c r="L368" s="585">
        <f t="shared" si="58"/>
        <v>0.3264184543927573</v>
      </c>
      <c r="M368" s="585">
        <f t="shared" si="59"/>
        <v>3.1199999999999999E-2</v>
      </c>
      <c r="N368" s="585">
        <f t="shared" si="63"/>
        <v>3.2699999999999993E-2</v>
      </c>
      <c r="O368" s="586">
        <f t="shared" si="60"/>
        <v>0.29521845439275729</v>
      </c>
      <c r="P368" s="585">
        <f t="shared" si="64"/>
        <v>0.29371845439275729</v>
      </c>
      <c r="Q368" s="585">
        <f t="shared" si="65"/>
        <v>8.3345260194600312E-2</v>
      </c>
      <c r="R368" s="585">
        <f t="shared" si="66"/>
        <v>3.3999999999999996E-2</v>
      </c>
      <c r="S368" s="586">
        <f t="shared" si="67"/>
        <v>4.9345260194600317E-2</v>
      </c>
      <c r="U368" s="587"/>
      <c r="V368" s="587"/>
      <c r="W368" s="587"/>
      <c r="X368" s="587"/>
      <c r="Y368" s="587"/>
      <c r="Z368" s="587"/>
      <c r="AA368" s="587"/>
      <c r="AB368" s="587"/>
      <c r="AC368" s="587"/>
      <c r="AE368" s="587"/>
      <c r="AF368" s="587"/>
      <c r="AG368" s="587"/>
      <c r="AH368" s="587"/>
      <c r="AI368" s="587"/>
      <c r="AJ368" s="587"/>
      <c r="AK368" s="587"/>
      <c r="AL368" s="587"/>
      <c r="AM368" s="587"/>
      <c r="AO368" s="587"/>
      <c r="AP368" s="587"/>
      <c r="AQ368" s="587"/>
      <c r="AR368" s="587"/>
      <c r="AS368" s="587"/>
      <c r="AT368" s="587"/>
      <c r="AU368" s="587"/>
      <c r="AV368" s="587"/>
      <c r="AW368" s="587"/>
    </row>
    <row r="369" spans="1:49">
      <c r="A369" s="581">
        <v>20576</v>
      </c>
      <c r="B369" s="594">
        <v>-5.9299999999999999E-2</v>
      </c>
      <c r="C369" s="577">
        <v>-1.38E-2</v>
      </c>
      <c r="D369" s="577">
        <v>2.5999999999999999E-3</v>
      </c>
      <c r="E369" s="577">
        <v>2.7333333333333333E-3</v>
      </c>
      <c r="F369" s="577">
        <v>2.7833333333333334E-3</v>
      </c>
      <c r="G369" s="577">
        <v>2.7583333333333331E-3</v>
      </c>
      <c r="H369" s="577">
        <v>2.8999999999999998E-3</v>
      </c>
      <c r="I369" s="577">
        <f t="shared" si="57"/>
        <v>-6.1899999999999997E-2</v>
      </c>
      <c r="J369" s="577">
        <f t="shared" si="61"/>
        <v>-6.2058333333333333E-2</v>
      </c>
      <c r="K369" s="577">
        <f t="shared" si="62"/>
        <v>-1.67E-2</v>
      </c>
      <c r="L369" s="585">
        <f t="shared" si="58"/>
        <v>0.24093668826182668</v>
      </c>
      <c r="M369" s="585">
        <f t="shared" si="59"/>
        <v>3.1199999999999999E-2</v>
      </c>
      <c r="N369" s="585">
        <f t="shared" si="63"/>
        <v>3.3099999999999997E-2</v>
      </c>
      <c r="O369" s="586">
        <f t="shared" si="60"/>
        <v>0.20973668826182668</v>
      </c>
      <c r="P369" s="585">
        <f t="shared" si="64"/>
        <v>0.20783668826182669</v>
      </c>
      <c r="Q369" s="585">
        <f t="shared" si="65"/>
        <v>7.4627937642239184E-2</v>
      </c>
      <c r="R369" s="585">
        <f t="shared" si="66"/>
        <v>3.4799999999999998E-2</v>
      </c>
      <c r="S369" s="586">
        <f t="shared" si="67"/>
        <v>3.9827937642239186E-2</v>
      </c>
      <c r="U369" s="587"/>
      <c r="V369" s="587"/>
      <c r="W369" s="587"/>
      <c r="X369" s="587"/>
      <c r="Y369" s="587"/>
      <c r="Z369" s="587"/>
      <c r="AA369" s="587"/>
      <c r="AB369" s="587"/>
      <c r="AC369" s="587"/>
      <c r="AE369" s="587"/>
      <c r="AF369" s="587"/>
      <c r="AG369" s="587"/>
      <c r="AH369" s="587"/>
      <c r="AI369" s="587"/>
      <c r="AJ369" s="587"/>
      <c r="AK369" s="587"/>
      <c r="AL369" s="587"/>
      <c r="AM369" s="587"/>
      <c r="AO369" s="587"/>
      <c r="AP369" s="587"/>
      <c r="AQ369" s="587"/>
      <c r="AR369" s="587"/>
      <c r="AS369" s="587"/>
      <c r="AT369" s="587"/>
      <c r="AU369" s="587"/>
      <c r="AV369" s="587"/>
      <c r="AW369" s="587"/>
    </row>
    <row r="370" spans="1:49">
      <c r="A370" s="581">
        <v>20607</v>
      </c>
      <c r="B370" s="594">
        <v>4.0899999999999999E-2</v>
      </c>
      <c r="C370" s="577">
        <v>2.1099999999999997E-2</v>
      </c>
      <c r="D370" s="577">
        <v>2.3E-3</v>
      </c>
      <c r="E370" s="577">
        <v>2.7166666666666667E-3</v>
      </c>
      <c r="F370" s="577">
        <v>2.7916666666666667E-3</v>
      </c>
      <c r="G370" s="577">
        <v>2.7541666666666665E-3</v>
      </c>
      <c r="H370" s="577">
        <v>2.9083333333333335E-3</v>
      </c>
      <c r="I370" s="577">
        <f t="shared" si="57"/>
        <v>3.8599999999999995E-2</v>
      </c>
      <c r="J370" s="577">
        <f t="shared" si="61"/>
        <v>3.814583333333333E-2</v>
      </c>
      <c r="K370" s="577">
        <f t="shared" si="62"/>
        <v>1.8191666666666665E-2</v>
      </c>
      <c r="L370" s="585">
        <f t="shared" si="58"/>
        <v>0.19148694660246757</v>
      </c>
      <c r="M370" s="585">
        <f t="shared" si="59"/>
        <v>2.76E-2</v>
      </c>
      <c r="N370" s="585">
        <f t="shared" si="63"/>
        <v>3.3049999999999996E-2</v>
      </c>
      <c r="O370" s="586">
        <f t="shared" si="60"/>
        <v>0.16388694660246755</v>
      </c>
      <c r="P370" s="585">
        <f t="shared" si="64"/>
        <v>0.15843694660246757</v>
      </c>
      <c r="Q370" s="585">
        <f t="shared" si="65"/>
        <v>7.4627937642239628E-2</v>
      </c>
      <c r="R370" s="585">
        <f t="shared" si="66"/>
        <v>3.49E-2</v>
      </c>
      <c r="S370" s="586">
        <f t="shared" si="67"/>
        <v>3.9727937642239627E-2</v>
      </c>
      <c r="U370" s="587"/>
      <c r="V370" s="587"/>
      <c r="W370" s="587"/>
      <c r="X370" s="587"/>
      <c r="Y370" s="587"/>
      <c r="Z370" s="587"/>
      <c r="AA370" s="587"/>
      <c r="AB370" s="587"/>
      <c r="AC370" s="587"/>
      <c r="AE370" s="587"/>
      <c r="AF370" s="587"/>
      <c r="AG370" s="587"/>
      <c r="AH370" s="587"/>
      <c r="AI370" s="587"/>
      <c r="AJ370" s="587"/>
      <c r="AK370" s="587"/>
      <c r="AL370" s="587"/>
      <c r="AM370" s="587"/>
      <c r="AO370" s="587"/>
      <c r="AP370" s="587"/>
      <c r="AQ370" s="587"/>
      <c r="AR370" s="587"/>
      <c r="AS370" s="587"/>
      <c r="AT370" s="587"/>
      <c r="AU370" s="587"/>
      <c r="AV370" s="587"/>
      <c r="AW370" s="587"/>
    </row>
    <row r="371" spans="1:49">
      <c r="A371" s="581">
        <v>20637</v>
      </c>
      <c r="B371" s="594">
        <v>5.2999999999999999E-2</v>
      </c>
      <c r="C371" s="577">
        <v>5.2500000000000012E-2</v>
      </c>
      <c r="D371" s="577">
        <v>2.5999999999999999E-3</v>
      </c>
      <c r="E371" s="577">
        <v>2.7333333333333333E-3</v>
      </c>
      <c r="F371" s="577">
        <v>2.8250000000000003E-3</v>
      </c>
      <c r="G371" s="577">
        <v>2.7791666666666672E-3</v>
      </c>
      <c r="H371" s="577">
        <v>2.9583333333333332E-3</v>
      </c>
      <c r="I371" s="577">
        <f t="shared" si="57"/>
        <v>5.04E-2</v>
      </c>
      <c r="J371" s="577">
        <f t="shared" si="61"/>
        <v>5.0220833333333333E-2</v>
      </c>
      <c r="K371" s="577">
        <f t="shared" si="62"/>
        <v>4.9541666666666678E-2</v>
      </c>
      <c r="L371" s="585">
        <f t="shared" si="58"/>
        <v>0.18116715757145396</v>
      </c>
      <c r="M371" s="585">
        <f t="shared" si="59"/>
        <v>3.1199999999999999E-2</v>
      </c>
      <c r="N371" s="585">
        <f t="shared" si="63"/>
        <v>3.3350000000000005E-2</v>
      </c>
      <c r="O371" s="586">
        <f t="shared" si="60"/>
        <v>0.14996715757145396</v>
      </c>
      <c r="P371" s="585">
        <f t="shared" si="64"/>
        <v>0.14781715757145397</v>
      </c>
      <c r="Q371" s="585">
        <f t="shared" si="65"/>
        <v>8.0685939583849953E-2</v>
      </c>
      <c r="R371" s="585">
        <f t="shared" si="66"/>
        <v>3.5499999999999997E-2</v>
      </c>
      <c r="S371" s="586">
        <f t="shared" si="67"/>
        <v>4.5185939583849956E-2</v>
      </c>
      <c r="U371" s="587"/>
      <c r="V371" s="587"/>
      <c r="W371" s="587"/>
      <c r="X371" s="587"/>
      <c r="Y371" s="587"/>
      <c r="Z371" s="587"/>
      <c r="AA371" s="587"/>
      <c r="AB371" s="587"/>
      <c r="AC371" s="587"/>
      <c r="AE371" s="587"/>
      <c r="AF371" s="587"/>
      <c r="AG371" s="587"/>
      <c r="AH371" s="587"/>
      <c r="AI371" s="587"/>
      <c r="AJ371" s="587"/>
      <c r="AK371" s="587"/>
      <c r="AL371" s="587"/>
      <c r="AM371" s="587"/>
      <c r="AO371" s="587"/>
      <c r="AP371" s="587"/>
      <c r="AQ371" s="587"/>
      <c r="AR371" s="587"/>
      <c r="AS371" s="587"/>
      <c r="AT371" s="587"/>
      <c r="AU371" s="587"/>
      <c r="AV371" s="587"/>
      <c r="AW371" s="587"/>
    </row>
    <row r="372" spans="1:49">
      <c r="A372" s="581">
        <v>20668</v>
      </c>
      <c r="B372" s="594">
        <v>-3.2800000000000003E-2</v>
      </c>
      <c r="C372" s="577">
        <v>-2.5899999999999999E-2</v>
      </c>
      <c r="D372" s="577">
        <v>2.5999999999999999E-3</v>
      </c>
      <c r="E372" s="577">
        <v>2.8583333333333334E-3</v>
      </c>
      <c r="F372" s="577">
        <v>2.9166666666666668E-3</v>
      </c>
      <c r="G372" s="577">
        <v>2.8874999999999999E-3</v>
      </c>
      <c r="H372" s="577">
        <v>3.0249999999999999E-3</v>
      </c>
      <c r="I372" s="577">
        <f t="shared" si="57"/>
        <v>-3.5400000000000001E-2</v>
      </c>
      <c r="J372" s="577">
        <f t="shared" si="61"/>
        <v>-3.5687500000000004E-2</v>
      </c>
      <c r="K372" s="577">
        <f t="shared" si="62"/>
        <v>-2.8924999999999999E-2</v>
      </c>
      <c r="L372" s="585">
        <f t="shared" si="58"/>
        <v>0.14528809504071249</v>
      </c>
      <c r="M372" s="585">
        <f t="shared" si="59"/>
        <v>3.1199999999999999E-2</v>
      </c>
      <c r="N372" s="585">
        <f t="shared" si="63"/>
        <v>3.465E-2</v>
      </c>
      <c r="O372" s="586">
        <f t="shared" si="60"/>
        <v>0.11408809504071249</v>
      </c>
      <c r="P372" s="585">
        <f t="shared" si="64"/>
        <v>0.11063809504071249</v>
      </c>
      <c r="Q372" s="585">
        <f t="shared" si="65"/>
        <v>4.725047129787896E-2</v>
      </c>
      <c r="R372" s="585">
        <f t="shared" si="66"/>
        <v>3.6299999999999999E-2</v>
      </c>
      <c r="S372" s="586">
        <f t="shared" si="67"/>
        <v>1.0950471297878961E-2</v>
      </c>
      <c r="U372" s="587"/>
      <c r="V372" s="587"/>
      <c r="W372" s="587"/>
      <c r="X372" s="587"/>
      <c r="Y372" s="587"/>
      <c r="Z372" s="587"/>
      <c r="AA372" s="587"/>
      <c r="AB372" s="587"/>
      <c r="AC372" s="587"/>
      <c r="AE372" s="587"/>
      <c r="AF372" s="587"/>
      <c r="AG372" s="587"/>
      <c r="AH372" s="587"/>
      <c r="AI372" s="587"/>
      <c r="AJ372" s="587"/>
      <c r="AK372" s="587"/>
      <c r="AL372" s="587"/>
      <c r="AM372" s="587"/>
      <c r="AO372" s="587"/>
      <c r="AP372" s="587"/>
      <c r="AQ372" s="587"/>
      <c r="AR372" s="587"/>
      <c r="AS372" s="587"/>
      <c r="AT372" s="587"/>
      <c r="AU372" s="587"/>
      <c r="AV372" s="587"/>
      <c r="AW372" s="587"/>
    </row>
    <row r="373" spans="1:49">
      <c r="A373" s="581">
        <v>20699</v>
      </c>
      <c r="B373" s="594">
        <v>-4.3999999999999997E-2</v>
      </c>
      <c r="C373" s="577">
        <v>-3.1899999999999998E-2</v>
      </c>
      <c r="D373" s="577">
        <v>2.5000000000000001E-3</v>
      </c>
      <c r="E373" s="577">
        <v>2.9666666666666669E-3</v>
      </c>
      <c r="F373" s="577">
        <v>3.0249999999999999E-3</v>
      </c>
      <c r="G373" s="577">
        <v>2.995833333333333E-3</v>
      </c>
      <c r="H373" s="577">
        <v>3.0999999999999999E-3</v>
      </c>
      <c r="I373" s="577">
        <f t="shared" si="57"/>
        <v>-4.65E-2</v>
      </c>
      <c r="J373" s="577">
        <f t="shared" si="61"/>
        <v>-4.6995833333333334E-2</v>
      </c>
      <c r="K373" s="577">
        <f t="shared" si="62"/>
        <v>-3.4999999999999996E-2</v>
      </c>
      <c r="L373" s="585">
        <f t="shared" si="58"/>
        <v>8.0844441124304556E-2</v>
      </c>
      <c r="M373" s="585">
        <f t="shared" si="59"/>
        <v>0.03</v>
      </c>
      <c r="N373" s="585">
        <f t="shared" si="63"/>
        <v>3.5949999999999996E-2</v>
      </c>
      <c r="O373" s="586">
        <f t="shared" si="60"/>
        <v>5.0844441124304557E-2</v>
      </c>
      <c r="P373" s="585">
        <f t="shared" si="64"/>
        <v>4.489444112430456E-2</v>
      </c>
      <c r="Q373" s="585">
        <f t="shared" si="65"/>
        <v>4.4122740745084377E-2</v>
      </c>
      <c r="R373" s="585">
        <f t="shared" si="66"/>
        <v>3.7199999999999997E-2</v>
      </c>
      <c r="S373" s="586">
        <f t="shared" si="67"/>
        <v>6.9227407450843798E-3</v>
      </c>
      <c r="U373" s="587"/>
      <c r="V373" s="587"/>
      <c r="W373" s="587"/>
      <c r="X373" s="587"/>
      <c r="Y373" s="587"/>
      <c r="Z373" s="587"/>
      <c r="AA373" s="587"/>
      <c r="AB373" s="587"/>
      <c r="AC373" s="587"/>
      <c r="AE373" s="587"/>
      <c r="AF373" s="587"/>
      <c r="AG373" s="587"/>
      <c r="AH373" s="587"/>
      <c r="AI373" s="587"/>
      <c r="AJ373" s="587"/>
      <c r="AK373" s="587"/>
      <c r="AL373" s="587"/>
      <c r="AM373" s="587"/>
      <c r="AO373" s="587"/>
      <c r="AP373" s="587"/>
      <c r="AQ373" s="587"/>
      <c r="AR373" s="587"/>
      <c r="AS373" s="587"/>
      <c r="AT373" s="587"/>
      <c r="AU373" s="587"/>
      <c r="AV373" s="587"/>
      <c r="AW373" s="587"/>
    </row>
    <row r="374" spans="1:49">
      <c r="A374" s="581">
        <v>20729</v>
      </c>
      <c r="B374" s="594">
        <v>6.6E-3</v>
      </c>
      <c r="C374" s="577">
        <v>6.3E-3</v>
      </c>
      <c r="D374" s="577">
        <v>2.8999999999999998E-3</v>
      </c>
      <c r="E374" s="577">
        <v>2.9916666666666663E-3</v>
      </c>
      <c r="F374" s="577">
        <v>3.075E-3</v>
      </c>
      <c r="G374" s="577">
        <v>3.0333333333333336E-3</v>
      </c>
      <c r="H374" s="577">
        <v>3.1583333333333337E-3</v>
      </c>
      <c r="I374" s="577">
        <f t="shared" si="57"/>
        <v>3.7000000000000002E-3</v>
      </c>
      <c r="J374" s="577">
        <f t="shared" si="61"/>
        <v>3.5666666666666663E-3</v>
      </c>
      <c r="K374" s="577">
        <f t="shared" si="62"/>
        <v>3.1416666666666663E-3</v>
      </c>
      <c r="L374" s="585">
        <f t="shared" si="58"/>
        <v>0.11977975960860987</v>
      </c>
      <c r="M374" s="585">
        <f t="shared" si="59"/>
        <v>3.4799999999999998E-2</v>
      </c>
      <c r="N374" s="585">
        <f t="shared" si="63"/>
        <v>3.6400000000000002E-2</v>
      </c>
      <c r="O374" s="586">
        <f t="shared" si="60"/>
        <v>8.4979759608609873E-2</v>
      </c>
      <c r="P374" s="585">
        <f t="shared" si="64"/>
        <v>8.3379759608609869E-2</v>
      </c>
      <c r="Q374" s="585">
        <f t="shared" si="65"/>
        <v>5.9708234000784621E-2</v>
      </c>
      <c r="R374" s="585">
        <f t="shared" si="66"/>
        <v>3.7900000000000003E-2</v>
      </c>
      <c r="S374" s="586">
        <f t="shared" si="67"/>
        <v>2.1808234000784618E-2</v>
      </c>
      <c r="U374" s="587"/>
      <c r="V374" s="587"/>
      <c r="W374" s="587"/>
      <c r="X374" s="587"/>
      <c r="Y374" s="587"/>
      <c r="Z374" s="587"/>
      <c r="AA374" s="587"/>
      <c r="AB374" s="587"/>
      <c r="AC374" s="587"/>
      <c r="AE374" s="587"/>
      <c r="AF374" s="587"/>
      <c r="AG374" s="587"/>
      <c r="AH374" s="587"/>
      <c r="AI374" s="587"/>
      <c r="AJ374" s="587"/>
      <c r="AK374" s="587"/>
      <c r="AL374" s="587"/>
      <c r="AM374" s="587"/>
      <c r="AO374" s="587"/>
      <c r="AP374" s="587"/>
      <c r="AQ374" s="587"/>
      <c r="AR374" s="587"/>
      <c r="AS374" s="587"/>
      <c r="AT374" s="587"/>
      <c r="AU374" s="587"/>
      <c r="AV374" s="587"/>
      <c r="AW374" s="587"/>
    </row>
    <row r="375" spans="1:49">
      <c r="A375" s="581">
        <v>20760</v>
      </c>
      <c r="B375" s="594">
        <v>-5.0000000000000001E-3</v>
      </c>
      <c r="C375" s="577">
        <v>2.8000000000000004E-3</v>
      </c>
      <c r="D375" s="577">
        <v>2.7000000000000001E-3</v>
      </c>
      <c r="E375" s="577">
        <v>3.075E-3</v>
      </c>
      <c r="F375" s="577">
        <v>3.133333333333333E-3</v>
      </c>
      <c r="G375" s="577">
        <v>3.1041666666666665E-3</v>
      </c>
      <c r="H375" s="577">
        <v>3.1833333333333336E-3</v>
      </c>
      <c r="I375" s="577">
        <f t="shared" si="57"/>
        <v>-7.7000000000000002E-3</v>
      </c>
      <c r="J375" s="577">
        <f t="shared" si="61"/>
        <v>-8.1041666666666658E-3</v>
      </c>
      <c r="K375" s="577">
        <f t="shared" si="62"/>
        <v>-3.8333333333333318E-4</v>
      </c>
      <c r="L375" s="585">
        <f t="shared" si="58"/>
        <v>2.9076254558572545E-2</v>
      </c>
      <c r="M375" s="585">
        <f t="shared" si="59"/>
        <v>3.2399999999999998E-2</v>
      </c>
      <c r="N375" s="585">
        <f t="shared" si="63"/>
        <v>3.7249999999999998E-2</v>
      </c>
      <c r="O375" s="586">
        <f t="shared" si="60"/>
        <v>-3.3237454414274531E-3</v>
      </c>
      <c r="P375" s="585">
        <f t="shared" si="64"/>
        <v>-8.1737454414274532E-3</v>
      </c>
      <c r="Q375" s="585">
        <f t="shared" si="65"/>
        <v>3.2525667563143346E-2</v>
      </c>
      <c r="R375" s="585">
        <f t="shared" si="66"/>
        <v>3.8200000000000005E-2</v>
      </c>
      <c r="S375" s="586">
        <f t="shared" si="67"/>
        <v>-5.6743324368566592E-3</v>
      </c>
      <c r="U375" s="587"/>
      <c r="V375" s="587"/>
      <c r="W375" s="587"/>
      <c r="X375" s="587"/>
      <c r="Y375" s="587"/>
      <c r="Z375" s="587"/>
      <c r="AA375" s="587"/>
      <c r="AB375" s="587"/>
      <c r="AC375" s="587"/>
      <c r="AE375" s="587"/>
      <c r="AF375" s="587"/>
      <c r="AG375" s="587"/>
      <c r="AH375" s="587"/>
      <c r="AI375" s="587"/>
      <c r="AJ375" s="587"/>
      <c r="AK375" s="587"/>
      <c r="AL375" s="587"/>
      <c r="AM375" s="587"/>
      <c r="AO375" s="587"/>
      <c r="AP375" s="587"/>
      <c r="AQ375" s="587"/>
      <c r="AR375" s="587"/>
      <c r="AS375" s="587"/>
      <c r="AT375" s="587"/>
      <c r="AU375" s="587"/>
      <c r="AV375" s="587"/>
      <c r="AW375" s="587"/>
    </row>
    <row r="376" spans="1:49">
      <c r="A376" s="581">
        <v>20790</v>
      </c>
      <c r="B376" s="594">
        <v>3.6999999999999998E-2</v>
      </c>
      <c r="C376" s="577">
        <v>1.04E-2</v>
      </c>
      <c r="D376" s="577">
        <v>2.7999999999999995E-3</v>
      </c>
      <c r="E376" s="577">
        <v>3.1250000000000002E-3</v>
      </c>
      <c r="F376" s="577">
        <v>3.2083333333333334E-3</v>
      </c>
      <c r="G376" s="577">
        <v>3.1666666666666666E-3</v>
      </c>
      <c r="H376" s="577">
        <v>3.2583333333333336E-3</v>
      </c>
      <c r="I376" s="577">
        <f t="shared" si="57"/>
        <v>3.4200000000000001E-2</v>
      </c>
      <c r="J376" s="577">
        <f t="shared" si="61"/>
        <v>3.3833333333333333E-2</v>
      </c>
      <c r="K376" s="577">
        <f t="shared" si="62"/>
        <v>7.141666666666666E-3</v>
      </c>
      <c r="L376" s="585">
        <f t="shared" si="58"/>
        <v>6.5553745359200777E-2</v>
      </c>
      <c r="M376" s="585">
        <f t="shared" si="59"/>
        <v>3.3599999999999991E-2</v>
      </c>
      <c r="N376" s="585">
        <f t="shared" si="63"/>
        <v>3.7999999999999999E-2</v>
      </c>
      <c r="O376" s="586">
        <f t="shared" si="60"/>
        <v>3.1953745359200786E-2</v>
      </c>
      <c r="P376" s="585">
        <f t="shared" si="64"/>
        <v>2.7553745359200778E-2</v>
      </c>
      <c r="Q376" s="585">
        <f t="shared" si="65"/>
        <v>5.0300950876673856E-2</v>
      </c>
      <c r="R376" s="585">
        <f t="shared" si="66"/>
        <v>3.9100000000000003E-2</v>
      </c>
      <c r="S376" s="586">
        <f t="shared" si="67"/>
        <v>1.1200950876673853E-2</v>
      </c>
      <c r="U376" s="587"/>
      <c r="V376" s="587"/>
      <c r="W376" s="587"/>
      <c r="X376" s="587"/>
      <c r="Y376" s="587"/>
      <c r="Z376" s="587"/>
      <c r="AA376" s="587"/>
      <c r="AB376" s="587"/>
      <c r="AC376" s="587"/>
      <c r="AE376" s="587"/>
      <c r="AF376" s="587"/>
      <c r="AG376" s="587"/>
      <c r="AH376" s="587"/>
      <c r="AI376" s="587"/>
      <c r="AJ376" s="587"/>
      <c r="AK376" s="587"/>
      <c r="AL376" s="587"/>
      <c r="AM376" s="587"/>
      <c r="AO376" s="587"/>
      <c r="AP376" s="587"/>
      <c r="AQ376" s="587"/>
      <c r="AR376" s="587"/>
      <c r="AS376" s="587"/>
      <c r="AT376" s="587"/>
      <c r="AU376" s="587"/>
      <c r="AV376" s="587"/>
      <c r="AW376" s="587"/>
    </row>
    <row r="377" spans="1:49">
      <c r="A377" s="581">
        <v>20821</v>
      </c>
      <c r="B377" s="594">
        <v>-4.0099999999999997E-2</v>
      </c>
      <c r="C377" s="577">
        <v>3.2399999999999998E-2</v>
      </c>
      <c r="D377" s="577">
        <v>2.8999999999999998E-3</v>
      </c>
      <c r="E377" s="577">
        <v>3.1416666666666663E-3</v>
      </c>
      <c r="F377" s="577">
        <v>3.2416666666666666E-3</v>
      </c>
      <c r="G377" s="577">
        <v>3.1916666666666664E-3</v>
      </c>
      <c r="H377" s="577">
        <v>3.3E-3</v>
      </c>
      <c r="I377" s="577">
        <f t="shared" si="57"/>
        <v>-4.2999999999999997E-2</v>
      </c>
      <c r="J377" s="577">
        <f t="shared" si="61"/>
        <v>-4.3291666666666666E-2</v>
      </c>
      <c r="K377" s="577">
        <f t="shared" si="62"/>
        <v>2.9099999999999997E-2</v>
      </c>
      <c r="L377" s="585">
        <f t="shared" si="58"/>
        <v>5.9592914296381805E-2</v>
      </c>
      <c r="M377" s="585">
        <f t="shared" si="59"/>
        <v>3.4799999999999998E-2</v>
      </c>
      <c r="N377" s="585">
        <f t="shared" si="63"/>
        <v>3.8300000000000001E-2</v>
      </c>
      <c r="O377" s="586">
        <f t="shared" si="60"/>
        <v>2.4792914296381807E-2</v>
      </c>
      <c r="P377" s="585">
        <f t="shared" si="64"/>
        <v>2.1292914296381804E-2</v>
      </c>
      <c r="Q377" s="585">
        <f t="shared" si="65"/>
        <v>8.1087439366976932E-2</v>
      </c>
      <c r="R377" s="585">
        <f t="shared" si="66"/>
        <v>3.9599999999999996E-2</v>
      </c>
      <c r="S377" s="586">
        <f t="shared" si="67"/>
        <v>4.1487439366976936E-2</v>
      </c>
      <c r="U377" s="587"/>
      <c r="V377" s="587"/>
      <c r="W377" s="587"/>
      <c r="X377" s="587"/>
      <c r="Y377" s="587"/>
      <c r="Z377" s="587"/>
      <c r="AA377" s="587"/>
      <c r="AB377" s="587"/>
      <c r="AC377" s="587"/>
      <c r="AE377" s="587"/>
      <c r="AF377" s="587"/>
      <c r="AG377" s="587"/>
      <c r="AH377" s="587"/>
      <c r="AI377" s="587"/>
      <c r="AJ377" s="587"/>
      <c r="AK377" s="587"/>
      <c r="AL377" s="587"/>
      <c r="AM377" s="587"/>
      <c r="AO377" s="587"/>
      <c r="AP377" s="587"/>
      <c r="AQ377" s="587"/>
      <c r="AR377" s="587"/>
      <c r="AS377" s="587"/>
      <c r="AT377" s="587"/>
      <c r="AU377" s="587"/>
      <c r="AV377" s="587"/>
      <c r="AW377" s="587"/>
    </row>
    <row r="378" spans="1:49">
      <c r="A378" s="581">
        <v>20852</v>
      </c>
      <c r="B378" s="594">
        <v>-2.64E-2</v>
      </c>
      <c r="C378" s="577">
        <v>-6.0999999999999995E-3</v>
      </c>
      <c r="D378" s="577">
        <v>2.5000000000000001E-3</v>
      </c>
      <c r="E378" s="577">
        <v>3.0583333333333335E-3</v>
      </c>
      <c r="F378" s="577">
        <v>3.1916666666666664E-3</v>
      </c>
      <c r="G378" s="577">
        <v>3.1250000000000002E-3</v>
      </c>
      <c r="H378" s="577">
        <v>3.3749999999999995E-3</v>
      </c>
      <c r="I378" s="577">
        <f t="shared" si="57"/>
        <v>-2.8899999999999999E-2</v>
      </c>
      <c r="J378" s="577">
        <f t="shared" si="61"/>
        <v>-2.9524999999999999E-2</v>
      </c>
      <c r="K378" s="577">
        <f t="shared" si="62"/>
        <v>-9.474999999999999E-3</v>
      </c>
      <c r="L378" s="585">
        <f t="shared" si="58"/>
        <v>-9.2963974272955996E-3</v>
      </c>
      <c r="M378" s="585">
        <f t="shared" si="59"/>
        <v>0.03</v>
      </c>
      <c r="N378" s="585">
        <f t="shared" si="63"/>
        <v>3.7500000000000006E-2</v>
      </c>
      <c r="O378" s="586">
        <f t="shared" si="60"/>
        <v>-3.9296397427295598E-2</v>
      </c>
      <c r="P378" s="585">
        <f t="shared" si="64"/>
        <v>-4.6796397427295605E-2</v>
      </c>
      <c r="Q378" s="585">
        <f t="shared" si="65"/>
        <v>5.5701322447276658E-2</v>
      </c>
      <c r="R378" s="585">
        <f t="shared" si="66"/>
        <v>4.0499999999999994E-2</v>
      </c>
      <c r="S378" s="586">
        <f t="shared" si="67"/>
        <v>1.5201322447276663E-2</v>
      </c>
      <c r="U378" s="587"/>
      <c r="V378" s="587"/>
      <c r="W378" s="587"/>
      <c r="X378" s="587"/>
      <c r="Y378" s="587"/>
      <c r="Z378" s="587"/>
      <c r="AA378" s="587"/>
      <c r="AB378" s="587"/>
      <c r="AC378" s="587"/>
      <c r="AE378" s="587"/>
      <c r="AF378" s="587"/>
      <c r="AG378" s="587"/>
      <c r="AH378" s="587"/>
      <c r="AI378" s="587"/>
      <c r="AJ378" s="587"/>
      <c r="AK378" s="587"/>
      <c r="AL378" s="587"/>
      <c r="AM378" s="587"/>
      <c r="AO378" s="587"/>
      <c r="AP378" s="587"/>
      <c r="AQ378" s="587"/>
      <c r="AR378" s="587"/>
      <c r="AS378" s="587"/>
      <c r="AT378" s="587"/>
      <c r="AU378" s="587"/>
      <c r="AV378" s="587"/>
      <c r="AW378" s="587"/>
    </row>
    <row r="379" spans="1:49">
      <c r="A379" s="581">
        <v>20880</v>
      </c>
      <c r="B379" s="594">
        <v>2.1499999999999998E-2</v>
      </c>
      <c r="C379" s="577">
        <v>7.8000000000000005E-3</v>
      </c>
      <c r="D379" s="577">
        <v>2.5999999999999999E-3</v>
      </c>
      <c r="E379" s="577">
        <v>3.0499999999999998E-3</v>
      </c>
      <c r="F379" s="577">
        <v>3.1666666666666666E-3</v>
      </c>
      <c r="G379" s="577">
        <v>3.1083333333333327E-3</v>
      </c>
      <c r="H379" s="577">
        <v>3.3749999999999995E-3</v>
      </c>
      <c r="I379" s="577">
        <f t="shared" si="57"/>
        <v>1.89E-2</v>
      </c>
      <c r="J379" s="577">
        <f t="shared" si="61"/>
        <v>1.8391666666666667E-2</v>
      </c>
      <c r="K379" s="577">
        <f t="shared" si="62"/>
        <v>4.425000000000001E-3</v>
      </c>
      <c r="L379" s="585">
        <f t="shared" si="58"/>
        <v>-5.508521939494182E-2</v>
      </c>
      <c r="M379" s="585">
        <f t="shared" si="59"/>
        <v>3.1199999999999999E-2</v>
      </c>
      <c r="N379" s="585">
        <f t="shared" si="63"/>
        <v>3.7299999999999993E-2</v>
      </c>
      <c r="O379" s="586">
        <f t="shared" si="60"/>
        <v>-8.6285219394941826E-2</v>
      </c>
      <c r="P379" s="585">
        <f t="shared" si="64"/>
        <v>-9.238521939494182E-2</v>
      </c>
      <c r="Q379" s="585">
        <f t="shared" si="65"/>
        <v>2.3605727114071051E-2</v>
      </c>
      <c r="R379" s="585">
        <f t="shared" si="66"/>
        <v>4.0499999999999994E-2</v>
      </c>
      <c r="S379" s="586">
        <f t="shared" si="67"/>
        <v>-1.6894272885928943E-2</v>
      </c>
      <c r="U379" s="587"/>
      <c r="V379" s="587"/>
      <c r="W379" s="587"/>
      <c r="X379" s="587"/>
      <c r="Y379" s="587"/>
      <c r="Z379" s="587"/>
      <c r="AA379" s="587"/>
      <c r="AB379" s="587"/>
      <c r="AC379" s="587"/>
      <c r="AE379" s="587"/>
      <c r="AF379" s="587"/>
      <c r="AG379" s="587"/>
      <c r="AH379" s="587"/>
      <c r="AI379" s="587"/>
      <c r="AJ379" s="587"/>
      <c r="AK379" s="587"/>
      <c r="AL379" s="587"/>
      <c r="AM379" s="587"/>
      <c r="AO379" s="587"/>
      <c r="AP379" s="587"/>
      <c r="AQ379" s="587"/>
      <c r="AR379" s="587"/>
      <c r="AS379" s="587"/>
      <c r="AT379" s="587"/>
      <c r="AU379" s="587"/>
      <c r="AV379" s="587"/>
      <c r="AW379" s="587"/>
    </row>
    <row r="380" spans="1:49">
      <c r="A380" s="581">
        <v>20911</v>
      </c>
      <c r="B380" s="594">
        <v>3.8800000000000001E-2</v>
      </c>
      <c r="C380" s="577">
        <v>4.0199999999999993E-2</v>
      </c>
      <c r="D380" s="577">
        <v>2.8999999999999998E-3</v>
      </c>
      <c r="E380" s="577">
        <v>3.0583333333333335E-3</v>
      </c>
      <c r="F380" s="577">
        <v>3.1583333333333337E-3</v>
      </c>
      <c r="G380" s="577">
        <v>3.1083333333333336E-3</v>
      </c>
      <c r="H380" s="577">
        <v>3.3416666666666668E-3</v>
      </c>
      <c r="I380" s="577">
        <f t="shared" si="57"/>
        <v>3.5900000000000001E-2</v>
      </c>
      <c r="J380" s="577">
        <f t="shared" si="61"/>
        <v>3.569166666666667E-2</v>
      </c>
      <c r="K380" s="577">
        <f t="shared" si="62"/>
        <v>3.6858333333333326E-2</v>
      </c>
      <c r="L380" s="585">
        <f t="shared" si="58"/>
        <v>-1.8029737802586543E-2</v>
      </c>
      <c r="M380" s="585">
        <f t="shared" si="59"/>
        <v>3.4799999999999998E-2</v>
      </c>
      <c r="N380" s="585">
        <f t="shared" si="63"/>
        <v>3.73E-2</v>
      </c>
      <c r="O380" s="586">
        <f t="shared" si="60"/>
        <v>-5.2829737802586541E-2</v>
      </c>
      <c r="P380" s="585">
        <f t="shared" si="64"/>
        <v>-5.5329737802586543E-2</v>
      </c>
      <c r="Q380" s="585">
        <f t="shared" si="65"/>
        <v>9.6216078805782868E-2</v>
      </c>
      <c r="R380" s="585">
        <f t="shared" si="66"/>
        <v>4.0100000000000004E-2</v>
      </c>
      <c r="S380" s="586">
        <f t="shared" si="67"/>
        <v>5.6116078805782864E-2</v>
      </c>
      <c r="U380" s="587"/>
      <c r="V380" s="587"/>
      <c r="W380" s="587"/>
      <c r="X380" s="587"/>
      <c r="Y380" s="587"/>
      <c r="Z380" s="587"/>
      <c r="AA380" s="587"/>
      <c r="AB380" s="587"/>
      <c r="AC380" s="587"/>
      <c r="AE380" s="587"/>
      <c r="AF380" s="587"/>
      <c r="AG380" s="587"/>
      <c r="AH380" s="587"/>
      <c r="AI380" s="587"/>
      <c r="AJ380" s="587"/>
      <c r="AK380" s="587"/>
      <c r="AL380" s="587"/>
      <c r="AM380" s="587"/>
      <c r="AO380" s="587"/>
      <c r="AP380" s="587"/>
      <c r="AQ380" s="587"/>
      <c r="AR380" s="587"/>
      <c r="AS380" s="587"/>
      <c r="AT380" s="587"/>
      <c r="AU380" s="587"/>
      <c r="AV380" s="587"/>
      <c r="AW380" s="587"/>
    </row>
    <row r="381" spans="1:49">
      <c r="A381" s="581">
        <v>20941</v>
      </c>
      <c r="B381" s="594">
        <v>4.3700000000000003E-2</v>
      </c>
      <c r="C381" s="577">
        <v>1.8000000000000002E-2</v>
      </c>
      <c r="D381" s="577">
        <v>2.8999999999999998E-3</v>
      </c>
      <c r="E381" s="577">
        <v>3.1166666666666669E-3</v>
      </c>
      <c r="F381" s="577">
        <v>3.1916666666666664E-3</v>
      </c>
      <c r="G381" s="577">
        <v>3.1541666666666667E-3</v>
      </c>
      <c r="H381" s="577">
        <v>3.3416666666666668E-3</v>
      </c>
      <c r="I381" s="577">
        <f t="shared" si="57"/>
        <v>4.0800000000000003E-2</v>
      </c>
      <c r="J381" s="577">
        <f t="shared" si="61"/>
        <v>4.0545833333333337E-2</v>
      </c>
      <c r="K381" s="577">
        <f t="shared" si="62"/>
        <v>1.4658333333333336E-2</v>
      </c>
      <c r="L381" s="585">
        <f t="shared" si="58"/>
        <v>8.9489064160136689E-2</v>
      </c>
      <c r="M381" s="585">
        <f t="shared" si="59"/>
        <v>3.4799999999999998E-2</v>
      </c>
      <c r="N381" s="585">
        <f t="shared" si="63"/>
        <v>3.7850000000000002E-2</v>
      </c>
      <c r="O381" s="586">
        <f t="shared" si="60"/>
        <v>5.4689064160136691E-2</v>
      </c>
      <c r="P381" s="585">
        <f t="shared" si="64"/>
        <v>5.1639064160136687E-2</v>
      </c>
      <c r="Q381" s="585">
        <f t="shared" si="65"/>
        <v>0.13156354514731983</v>
      </c>
      <c r="R381" s="585">
        <f t="shared" si="66"/>
        <v>4.0100000000000004E-2</v>
      </c>
      <c r="S381" s="586">
        <f t="shared" si="67"/>
        <v>9.146354514731983E-2</v>
      </c>
      <c r="U381" s="587"/>
      <c r="V381" s="587"/>
      <c r="W381" s="587"/>
      <c r="X381" s="587"/>
      <c r="Y381" s="587"/>
      <c r="Z381" s="587"/>
      <c r="AA381" s="587"/>
      <c r="AB381" s="587"/>
      <c r="AC381" s="587"/>
      <c r="AE381" s="587"/>
      <c r="AF381" s="587"/>
      <c r="AG381" s="587"/>
      <c r="AH381" s="587"/>
      <c r="AI381" s="587"/>
      <c r="AJ381" s="587"/>
      <c r="AK381" s="587"/>
      <c r="AL381" s="587"/>
      <c r="AM381" s="587"/>
      <c r="AO381" s="587"/>
      <c r="AP381" s="587"/>
      <c r="AQ381" s="587"/>
      <c r="AR381" s="587"/>
      <c r="AS381" s="587"/>
      <c r="AT381" s="587"/>
      <c r="AU381" s="587"/>
      <c r="AV381" s="587"/>
      <c r="AW381" s="587"/>
    </row>
    <row r="382" spans="1:49">
      <c r="A382" s="581">
        <v>20972</v>
      </c>
      <c r="B382" s="594">
        <v>4.0000000000000002E-4</v>
      </c>
      <c r="C382" s="577">
        <v>-4.1800000000000004E-2</v>
      </c>
      <c r="D382" s="577">
        <v>2.5000000000000001E-3</v>
      </c>
      <c r="E382" s="577">
        <v>3.2583333333333336E-3</v>
      </c>
      <c r="F382" s="577">
        <v>3.3166666666666665E-3</v>
      </c>
      <c r="G382" s="577">
        <v>3.2875000000000001E-3</v>
      </c>
      <c r="H382" s="577">
        <v>3.4083333333333331E-3</v>
      </c>
      <c r="I382" s="577">
        <f t="shared" si="57"/>
        <v>-2.0999999999999999E-3</v>
      </c>
      <c r="J382" s="577">
        <f t="shared" si="61"/>
        <v>-2.8874999999999999E-3</v>
      </c>
      <c r="K382" s="577">
        <f t="shared" si="62"/>
        <v>-4.5208333333333336E-2</v>
      </c>
      <c r="L382" s="585">
        <f t="shared" si="58"/>
        <v>4.7098529912384057E-2</v>
      </c>
      <c r="M382" s="585">
        <f t="shared" si="59"/>
        <v>0.03</v>
      </c>
      <c r="N382" s="585">
        <f t="shared" si="63"/>
        <v>3.9449999999999999E-2</v>
      </c>
      <c r="O382" s="586">
        <f t="shared" si="60"/>
        <v>1.7098529912384058E-2</v>
      </c>
      <c r="P382" s="585">
        <f t="shared" si="64"/>
        <v>7.6485299123840583E-3</v>
      </c>
      <c r="Q382" s="585">
        <f t="shared" si="65"/>
        <v>6.1858964802822491E-2</v>
      </c>
      <c r="R382" s="585">
        <f t="shared" si="66"/>
        <v>4.0899999999999999E-2</v>
      </c>
      <c r="S382" s="586">
        <f t="shared" si="67"/>
        <v>2.0958964802822493E-2</v>
      </c>
      <c r="U382" s="587"/>
      <c r="V382" s="587"/>
      <c r="W382" s="587"/>
      <c r="X382" s="587"/>
      <c r="Y382" s="587"/>
      <c r="Z382" s="587"/>
      <c r="AA382" s="587"/>
      <c r="AB382" s="587"/>
      <c r="AC382" s="587"/>
      <c r="AE382" s="587"/>
      <c r="AF382" s="587"/>
      <c r="AG382" s="587"/>
      <c r="AH382" s="587"/>
      <c r="AI382" s="587"/>
      <c r="AJ382" s="587"/>
      <c r="AK382" s="587"/>
      <c r="AL382" s="587"/>
      <c r="AM382" s="587"/>
      <c r="AO382" s="587"/>
      <c r="AP382" s="587"/>
      <c r="AQ382" s="587"/>
      <c r="AR382" s="587"/>
      <c r="AS382" s="587"/>
      <c r="AT382" s="587"/>
      <c r="AU382" s="587"/>
      <c r="AV382" s="587"/>
      <c r="AW382" s="587"/>
    </row>
    <row r="383" spans="1:49">
      <c r="A383" s="581">
        <v>21002</v>
      </c>
      <c r="B383" s="594">
        <v>1.3100000000000001E-2</v>
      </c>
      <c r="C383" s="577">
        <v>3.5000000000000005E-3</v>
      </c>
      <c r="D383" s="577">
        <v>3.3E-3</v>
      </c>
      <c r="E383" s="577">
        <v>3.3250000000000003E-3</v>
      </c>
      <c r="F383" s="577">
        <v>3.4166666666666664E-3</v>
      </c>
      <c r="G383" s="577">
        <v>3.3708333333333329E-3</v>
      </c>
      <c r="H383" s="577">
        <v>3.5000000000000005E-3</v>
      </c>
      <c r="I383" s="577">
        <f t="shared" si="57"/>
        <v>9.7999999999999997E-3</v>
      </c>
      <c r="J383" s="577">
        <f t="shared" si="61"/>
        <v>9.7291666666666672E-3</v>
      </c>
      <c r="K383" s="577">
        <f t="shared" si="62"/>
        <v>0</v>
      </c>
      <c r="L383" s="585">
        <f t="shared" si="58"/>
        <v>7.4221468701201054E-3</v>
      </c>
      <c r="M383" s="585">
        <f t="shared" si="59"/>
        <v>3.9599999999999996E-2</v>
      </c>
      <c r="N383" s="585">
        <f t="shared" si="63"/>
        <v>4.0449999999999993E-2</v>
      </c>
      <c r="O383" s="586">
        <f t="shared" si="60"/>
        <v>-3.2177853129879891E-2</v>
      </c>
      <c r="P383" s="585">
        <f t="shared" si="64"/>
        <v>-3.3027853129879887E-2</v>
      </c>
      <c r="Q383" s="585">
        <f t="shared" si="65"/>
        <v>1.2423250526966578E-2</v>
      </c>
      <c r="R383" s="585">
        <f t="shared" si="66"/>
        <v>4.200000000000001E-2</v>
      </c>
      <c r="S383" s="586">
        <f t="shared" si="67"/>
        <v>-2.9576749473033431E-2</v>
      </c>
      <c r="U383" s="587"/>
      <c r="V383" s="587"/>
      <c r="W383" s="587"/>
      <c r="X383" s="587"/>
      <c r="Y383" s="587"/>
      <c r="Z383" s="587"/>
      <c r="AA383" s="587"/>
      <c r="AB383" s="587"/>
      <c r="AC383" s="587"/>
      <c r="AE383" s="587"/>
      <c r="AF383" s="587"/>
      <c r="AG383" s="587"/>
      <c r="AH383" s="587"/>
      <c r="AI383" s="587"/>
      <c r="AJ383" s="587"/>
      <c r="AK383" s="587"/>
      <c r="AL383" s="587"/>
      <c r="AM383" s="587"/>
      <c r="AO383" s="587"/>
      <c r="AP383" s="587"/>
      <c r="AQ383" s="587"/>
      <c r="AR383" s="587"/>
      <c r="AS383" s="587"/>
      <c r="AT383" s="587"/>
      <c r="AU383" s="587"/>
      <c r="AV383" s="587"/>
      <c r="AW383" s="587"/>
    </row>
    <row r="384" spans="1:49">
      <c r="A384" s="581">
        <v>21033</v>
      </c>
      <c r="B384" s="594">
        <v>-5.0500000000000003E-2</v>
      </c>
      <c r="C384" s="577">
        <v>-2.9400000000000003E-2</v>
      </c>
      <c r="D384" s="577">
        <v>3.0000000000000001E-3</v>
      </c>
      <c r="E384" s="577">
        <v>3.4166666666666664E-3</v>
      </c>
      <c r="F384" s="577">
        <v>3.5083333333333334E-3</v>
      </c>
      <c r="G384" s="577">
        <v>3.4624999999999994E-3</v>
      </c>
      <c r="H384" s="577">
        <v>3.6416666666666667E-3</v>
      </c>
      <c r="I384" s="577">
        <f t="shared" si="57"/>
        <v>-5.3500000000000006E-2</v>
      </c>
      <c r="J384" s="577">
        <f t="shared" si="61"/>
        <v>-5.3962500000000004E-2</v>
      </c>
      <c r="K384" s="577">
        <f t="shared" si="62"/>
        <v>-3.3041666666666671E-2</v>
      </c>
      <c r="L384" s="585">
        <f t="shared" si="58"/>
        <v>-1.1013928398284745E-2</v>
      </c>
      <c r="M384" s="585">
        <f t="shared" si="59"/>
        <v>3.6000000000000004E-2</v>
      </c>
      <c r="N384" s="585">
        <f t="shared" si="63"/>
        <v>4.154999999999999E-2</v>
      </c>
      <c r="O384" s="586">
        <f t="shared" si="60"/>
        <v>-4.7013928398284749E-2</v>
      </c>
      <c r="P384" s="585">
        <f t="shared" si="64"/>
        <v>-5.2563928398284734E-2</v>
      </c>
      <c r="Q384" s="585">
        <f t="shared" si="65"/>
        <v>8.7855527784355125E-3</v>
      </c>
      <c r="R384" s="585">
        <f t="shared" si="66"/>
        <v>4.3700000000000003E-2</v>
      </c>
      <c r="S384" s="586">
        <f t="shared" si="67"/>
        <v>-3.491444722156449E-2</v>
      </c>
      <c r="U384" s="587"/>
      <c r="V384" s="587"/>
      <c r="W384" s="587"/>
      <c r="X384" s="587"/>
      <c r="Y384" s="587"/>
      <c r="Z384" s="587"/>
      <c r="AA384" s="587"/>
      <c r="AB384" s="587"/>
      <c r="AC384" s="587"/>
      <c r="AE384" s="587"/>
      <c r="AF384" s="587"/>
      <c r="AG384" s="587"/>
      <c r="AH384" s="587"/>
      <c r="AI384" s="587"/>
      <c r="AJ384" s="587"/>
      <c r="AK384" s="587"/>
      <c r="AL384" s="587"/>
      <c r="AM384" s="587"/>
      <c r="AO384" s="587"/>
      <c r="AP384" s="587"/>
      <c r="AQ384" s="587"/>
      <c r="AR384" s="587"/>
      <c r="AS384" s="587"/>
      <c r="AT384" s="587"/>
      <c r="AU384" s="587"/>
      <c r="AV384" s="587"/>
      <c r="AW384" s="587"/>
    </row>
    <row r="385" spans="1:49">
      <c r="A385" s="581">
        <v>21064</v>
      </c>
      <c r="B385" s="594">
        <v>-6.0199999999999997E-2</v>
      </c>
      <c r="C385" s="577">
        <v>-1.3800000000000002E-2</v>
      </c>
      <c r="D385" s="577">
        <v>3.0999999999999999E-3</v>
      </c>
      <c r="E385" s="577">
        <v>3.4333333333333334E-3</v>
      </c>
      <c r="F385" s="577">
        <v>3.5499999999999998E-3</v>
      </c>
      <c r="G385" s="577">
        <v>3.4916666666666664E-3</v>
      </c>
      <c r="H385" s="577">
        <v>3.7916666666666667E-3</v>
      </c>
      <c r="I385" s="577">
        <f t="shared" si="57"/>
        <v>-6.3299999999999995E-2</v>
      </c>
      <c r="J385" s="577">
        <f t="shared" si="61"/>
        <v>-6.369166666666666E-2</v>
      </c>
      <c r="K385" s="577">
        <f t="shared" si="62"/>
        <v>-1.7591666666666669E-2</v>
      </c>
      <c r="L385" s="585">
        <f t="shared" si="58"/>
        <v>-2.777289739404587E-2</v>
      </c>
      <c r="M385" s="585">
        <f t="shared" si="59"/>
        <v>3.7199999999999997E-2</v>
      </c>
      <c r="N385" s="585">
        <f t="shared" si="63"/>
        <v>4.1899999999999993E-2</v>
      </c>
      <c r="O385" s="586">
        <f t="shared" si="60"/>
        <v>-6.4972897394045867E-2</v>
      </c>
      <c r="P385" s="585">
        <f t="shared" si="64"/>
        <v>-6.9672897394045863E-2</v>
      </c>
      <c r="Q385" s="585">
        <f t="shared" si="65"/>
        <v>2.7646226784519001E-2</v>
      </c>
      <c r="R385" s="585">
        <f t="shared" si="66"/>
        <v>4.5499999999999999E-2</v>
      </c>
      <c r="S385" s="586">
        <f t="shared" si="67"/>
        <v>-1.7853773215480997E-2</v>
      </c>
      <c r="U385" s="587"/>
      <c r="V385" s="587"/>
      <c r="W385" s="587"/>
      <c r="X385" s="587"/>
      <c r="Y385" s="587"/>
      <c r="Z385" s="587"/>
      <c r="AA385" s="587"/>
      <c r="AB385" s="587"/>
      <c r="AC385" s="587"/>
      <c r="AE385" s="587"/>
      <c r="AF385" s="587"/>
      <c r="AG385" s="587"/>
      <c r="AH385" s="587"/>
      <c r="AI385" s="587"/>
      <c r="AJ385" s="587"/>
      <c r="AK385" s="587"/>
      <c r="AL385" s="587"/>
      <c r="AM385" s="587"/>
      <c r="AO385" s="587"/>
      <c r="AP385" s="587"/>
      <c r="AQ385" s="587"/>
      <c r="AR385" s="587"/>
      <c r="AS385" s="587"/>
      <c r="AT385" s="587"/>
      <c r="AU385" s="587"/>
      <c r="AV385" s="587"/>
      <c r="AW385" s="587"/>
    </row>
    <row r="386" spans="1:49">
      <c r="A386" s="581">
        <v>21094</v>
      </c>
      <c r="B386" s="594">
        <v>-3.0200000000000001E-2</v>
      </c>
      <c r="C386" s="577">
        <v>-7.4000000000000003E-3</v>
      </c>
      <c r="D386" s="577">
        <v>3.0999999999999999E-3</v>
      </c>
      <c r="E386" s="577">
        <v>3.4166666666666664E-3</v>
      </c>
      <c r="F386" s="577">
        <v>3.5666666666666668E-3</v>
      </c>
      <c r="G386" s="577">
        <v>3.4916666666666664E-3</v>
      </c>
      <c r="H386" s="577">
        <v>3.8416666666666673E-3</v>
      </c>
      <c r="I386" s="577">
        <f t="shared" si="57"/>
        <v>-3.3300000000000003E-2</v>
      </c>
      <c r="J386" s="577">
        <f t="shared" si="61"/>
        <v>-3.3691666666666668E-2</v>
      </c>
      <c r="K386" s="577">
        <f t="shared" si="62"/>
        <v>-1.1241666666666667E-2</v>
      </c>
      <c r="L386" s="585">
        <f t="shared" si="58"/>
        <v>-6.331626852051031E-2</v>
      </c>
      <c r="M386" s="585">
        <f t="shared" si="59"/>
        <v>3.7199999999999997E-2</v>
      </c>
      <c r="N386" s="585">
        <f t="shared" si="63"/>
        <v>4.1899999999999993E-2</v>
      </c>
      <c r="O386" s="586">
        <f t="shared" si="60"/>
        <v>-0.10051626852051031</v>
      </c>
      <c r="P386" s="585">
        <f t="shared" si="64"/>
        <v>-0.1052162685205103</v>
      </c>
      <c r="Q386" s="585">
        <f t="shared" si="65"/>
        <v>1.3655614335996935E-2</v>
      </c>
      <c r="R386" s="585">
        <f t="shared" si="66"/>
        <v>4.6100000000000009E-2</v>
      </c>
      <c r="S386" s="586">
        <f t="shared" si="67"/>
        <v>-3.2444385664003074E-2</v>
      </c>
      <c r="U386" s="587"/>
      <c r="V386" s="587"/>
      <c r="W386" s="587"/>
      <c r="X386" s="587"/>
      <c r="Y386" s="587"/>
      <c r="Z386" s="587"/>
      <c r="AA386" s="587"/>
      <c r="AB386" s="587"/>
      <c r="AC386" s="587"/>
      <c r="AE386" s="587"/>
      <c r="AF386" s="587"/>
      <c r="AG386" s="587"/>
      <c r="AH386" s="587"/>
      <c r="AI386" s="587"/>
      <c r="AJ386" s="587"/>
      <c r="AK386" s="587"/>
      <c r="AL386" s="587"/>
      <c r="AM386" s="587"/>
      <c r="AO386" s="587"/>
      <c r="AP386" s="587"/>
      <c r="AQ386" s="587"/>
      <c r="AR386" s="587"/>
      <c r="AS386" s="587"/>
      <c r="AT386" s="587"/>
      <c r="AU386" s="587"/>
      <c r="AV386" s="587"/>
      <c r="AW386" s="587"/>
    </row>
    <row r="387" spans="1:49">
      <c r="A387" s="581">
        <v>21125</v>
      </c>
      <c r="B387" s="594">
        <v>2.3099999999999999E-2</v>
      </c>
      <c r="C387" s="577">
        <v>4.2799999999999991E-2</v>
      </c>
      <c r="D387" s="577">
        <v>2.8999999999999998E-3</v>
      </c>
      <c r="E387" s="577">
        <v>3.4000000000000002E-3</v>
      </c>
      <c r="F387" s="577">
        <v>3.5750000000000001E-3</v>
      </c>
      <c r="G387" s="577">
        <v>3.4875000000000001E-3</v>
      </c>
      <c r="H387" s="577">
        <v>3.8500000000000001E-3</v>
      </c>
      <c r="I387" s="577">
        <f t="shared" si="57"/>
        <v>2.0199999999999999E-2</v>
      </c>
      <c r="J387" s="577">
        <f t="shared" si="61"/>
        <v>1.9612499999999998E-2</v>
      </c>
      <c r="K387" s="577">
        <f t="shared" si="62"/>
        <v>3.8949999999999992E-2</v>
      </c>
      <c r="L387" s="585">
        <f t="shared" si="58"/>
        <v>-3.6863190274707747E-2</v>
      </c>
      <c r="M387" s="585">
        <f t="shared" si="59"/>
        <v>3.4799999999999998E-2</v>
      </c>
      <c r="N387" s="585">
        <f t="shared" si="63"/>
        <v>4.1849999999999998E-2</v>
      </c>
      <c r="O387" s="586">
        <f t="shared" si="60"/>
        <v>-7.1663190274707744E-2</v>
      </c>
      <c r="P387" s="585">
        <f t="shared" si="64"/>
        <v>-7.8713190274707745E-2</v>
      </c>
      <c r="Q387" s="585">
        <f t="shared" si="65"/>
        <v>5.4088626475446544E-2</v>
      </c>
      <c r="R387" s="585">
        <f t="shared" si="66"/>
        <v>4.6200000000000005E-2</v>
      </c>
      <c r="S387" s="586">
        <f t="shared" si="67"/>
        <v>7.8886264754465391E-3</v>
      </c>
      <c r="U387" s="587"/>
      <c r="V387" s="587"/>
      <c r="W387" s="587"/>
      <c r="X387" s="587"/>
      <c r="Y387" s="587"/>
      <c r="Z387" s="587"/>
      <c r="AA387" s="587"/>
      <c r="AB387" s="587"/>
      <c r="AC387" s="587"/>
      <c r="AE387" s="587"/>
      <c r="AF387" s="587"/>
      <c r="AG387" s="587"/>
      <c r="AH387" s="587"/>
      <c r="AI387" s="587"/>
      <c r="AJ387" s="587"/>
      <c r="AK387" s="587"/>
      <c r="AL387" s="587"/>
      <c r="AM387" s="587"/>
      <c r="AO387" s="587"/>
      <c r="AP387" s="587"/>
      <c r="AQ387" s="587"/>
      <c r="AR387" s="587"/>
      <c r="AS387" s="587"/>
      <c r="AT387" s="587"/>
      <c r="AU387" s="587"/>
      <c r="AV387" s="587"/>
      <c r="AW387" s="587"/>
    </row>
    <row r="388" spans="1:49">
      <c r="A388" s="581">
        <v>21155</v>
      </c>
      <c r="B388" s="594">
        <v>-3.95E-2</v>
      </c>
      <c r="C388" s="577">
        <v>1.95E-2</v>
      </c>
      <c r="D388" s="577">
        <v>2.8999999999999998E-3</v>
      </c>
      <c r="E388" s="577">
        <v>3.1749999999999999E-3</v>
      </c>
      <c r="F388" s="577">
        <v>3.4000000000000002E-3</v>
      </c>
      <c r="G388" s="577">
        <v>3.2875000000000001E-3</v>
      </c>
      <c r="H388" s="577">
        <v>3.6333333333333335E-3</v>
      </c>
      <c r="I388" s="577">
        <f t="shared" si="57"/>
        <v>-4.24E-2</v>
      </c>
      <c r="J388" s="577">
        <f t="shared" si="61"/>
        <v>-4.2787499999999999E-2</v>
      </c>
      <c r="K388" s="577">
        <f t="shared" si="62"/>
        <v>1.5866666666666668E-2</v>
      </c>
      <c r="L388" s="585">
        <f t="shared" si="58"/>
        <v>-0.10791426640198343</v>
      </c>
      <c r="M388" s="585">
        <f t="shared" si="59"/>
        <v>3.4799999999999998E-2</v>
      </c>
      <c r="N388" s="585">
        <f t="shared" si="63"/>
        <v>3.9449999999999999E-2</v>
      </c>
      <c r="O388" s="586">
        <f t="shared" si="60"/>
        <v>-0.14271426640198343</v>
      </c>
      <c r="P388" s="585">
        <f t="shared" si="64"/>
        <v>-0.14736426640198341</v>
      </c>
      <c r="Q388" s="585">
        <f t="shared" si="65"/>
        <v>6.3582100842951128E-2</v>
      </c>
      <c r="R388" s="585">
        <f t="shared" si="66"/>
        <v>4.36E-2</v>
      </c>
      <c r="S388" s="586">
        <f t="shared" si="67"/>
        <v>1.9982100842951128E-2</v>
      </c>
      <c r="U388" s="587"/>
      <c r="V388" s="587"/>
      <c r="W388" s="587"/>
      <c r="X388" s="587"/>
      <c r="Y388" s="587"/>
      <c r="Z388" s="587"/>
      <c r="AA388" s="587"/>
      <c r="AB388" s="587"/>
      <c r="AC388" s="587"/>
      <c r="AE388" s="587"/>
      <c r="AF388" s="587"/>
      <c r="AG388" s="587"/>
      <c r="AH388" s="587"/>
      <c r="AI388" s="587"/>
      <c r="AJ388" s="587"/>
      <c r="AK388" s="587"/>
      <c r="AL388" s="587"/>
      <c r="AM388" s="587"/>
      <c r="AO388" s="587"/>
      <c r="AP388" s="587"/>
      <c r="AQ388" s="587"/>
      <c r="AR388" s="587"/>
      <c r="AS388" s="587"/>
      <c r="AT388" s="587"/>
      <c r="AU388" s="587"/>
      <c r="AV388" s="587"/>
      <c r="AW388" s="587"/>
    </row>
    <row r="389" spans="1:49">
      <c r="A389" s="581">
        <v>21186</v>
      </c>
      <c r="B389" s="594">
        <v>4.4499999999999998E-2</v>
      </c>
      <c r="C389" s="577">
        <v>6.0200000000000004E-2</v>
      </c>
      <c r="D389" s="577">
        <v>2.7000000000000001E-3</v>
      </c>
      <c r="E389" s="577">
        <v>3.0000000000000001E-3</v>
      </c>
      <c r="F389" s="577">
        <v>3.1749999999999999E-3</v>
      </c>
      <c r="G389" s="577">
        <v>3.0874999999999995E-3</v>
      </c>
      <c r="H389" s="577">
        <v>3.2750000000000001E-3</v>
      </c>
      <c r="I389" s="577">
        <f t="shared" si="57"/>
        <v>4.1799999999999997E-2</v>
      </c>
      <c r="J389" s="577">
        <f t="shared" si="61"/>
        <v>4.1412499999999998E-2</v>
      </c>
      <c r="K389" s="577">
        <f t="shared" si="62"/>
        <v>5.6925000000000003E-2</v>
      </c>
      <c r="L389" s="585">
        <f t="shared" si="58"/>
        <v>-2.9291021207283552E-2</v>
      </c>
      <c r="M389" s="585">
        <f t="shared" si="59"/>
        <v>3.2399999999999998E-2</v>
      </c>
      <c r="N389" s="585">
        <f t="shared" si="63"/>
        <v>3.7049999999999993E-2</v>
      </c>
      <c r="O389" s="586">
        <f t="shared" si="60"/>
        <v>-6.169102120728355E-2</v>
      </c>
      <c r="P389" s="585">
        <f t="shared" si="64"/>
        <v>-6.6341021207283551E-2</v>
      </c>
      <c r="Q389" s="585">
        <f t="shared" si="65"/>
        <v>9.222175834337154E-2</v>
      </c>
      <c r="R389" s="585">
        <f t="shared" si="66"/>
        <v>3.9300000000000002E-2</v>
      </c>
      <c r="S389" s="586">
        <f t="shared" si="67"/>
        <v>5.2921758343371539E-2</v>
      </c>
      <c r="U389" s="587"/>
      <c r="V389" s="587"/>
      <c r="W389" s="587"/>
      <c r="X389" s="587"/>
      <c r="Y389" s="587"/>
      <c r="Z389" s="587"/>
      <c r="AA389" s="587"/>
      <c r="AB389" s="587"/>
      <c r="AC389" s="587"/>
      <c r="AE389" s="587"/>
      <c r="AF389" s="587"/>
      <c r="AG389" s="587"/>
      <c r="AH389" s="587"/>
      <c r="AI389" s="587"/>
      <c r="AJ389" s="587"/>
      <c r="AK389" s="587"/>
      <c r="AL389" s="587"/>
      <c r="AM389" s="587"/>
      <c r="AO389" s="587"/>
      <c r="AP389" s="587"/>
      <c r="AQ389" s="587"/>
      <c r="AR389" s="587"/>
      <c r="AS389" s="587"/>
      <c r="AT389" s="587"/>
      <c r="AU389" s="587"/>
      <c r="AV389" s="587"/>
      <c r="AW389" s="587"/>
    </row>
    <row r="390" spans="1:49">
      <c r="A390" s="581">
        <v>21217</v>
      </c>
      <c r="B390" s="594">
        <v>-1.41E-2</v>
      </c>
      <c r="C390" s="577">
        <v>1.37E-2</v>
      </c>
      <c r="D390" s="577">
        <v>2.5000000000000001E-3</v>
      </c>
      <c r="E390" s="577">
        <v>2.9916666666666663E-3</v>
      </c>
      <c r="F390" s="577">
        <v>3.1416666666666663E-3</v>
      </c>
      <c r="G390" s="577">
        <v>3.0666666666666663E-3</v>
      </c>
      <c r="H390" s="577">
        <v>3.3E-3</v>
      </c>
      <c r="I390" s="577">
        <f t="shared" ref="I390:I453" si="68">B390-D390</f>
        <v>-1.66E-2</v>
      </c>
      <c r="J390" s="577">
        <f t="shared" si="61"/>
        <v>-1.7166666666666667E-2</v>
      </c>
      <c r="K390" s="577">
        <f t="shared" si="62"/>
        <v>1.04E-2</v>
      </c>
      <c r="L390" s="585">
        <f t="shared" si="58"/>
        <v>-1.7027544996159771E-2</v>
      </c>
      <c r="M390" s="585">
        <f t="shared" si="59"/>
        <v>0.03</v>
      </c>
      <c r="N390" s="585">
        <f t="shared" si="63"/>
        <v>3.6799999999999999E-2</v>
      </c>
      <c r="O390" s="586">
        <f t="shared" si="60"/>
        <v>-4.702754499615977E-2</v>
      </c>
      <c r="P390" s="585">
        <f t="shared" si="64"/>
        <v>-5.3827544996159771E-2</v>
      </c>
      <c r="Q390" s="585">
        <f t="shared" si="65"/>
        <v>0.11398047734447703</v>
      </c>
      <c r="R390" s="585">
        <f t="shared" si="66"/>
        <v>3.9599999999999996E-2</v>
      </c>
      <c r="S390" s="586">
        <f t="shared" si="67"/>
        <v>7.4380477344477031E-2</v>
      </c>
      <c r="U390" s="587"/>
      <c r="V390" s="587"/>
      <c r="W390" s="587"/>
      <c r="X390" s="587"/>
      <c r="Y390" s="587"/>
      <c r="Z390" s="587"/>
      <c r="AA390" s="587"/>
      <c r="AB390" s="587"/>
      <c r="AC390" s="587"/>
      <c r="AE390" s="587"/>
      <c r="AF390" s="587"/>
      <c r="AG390" s="587"/>
      <c r="AH390" s="587"/>
      <c r="AI390" s="587"/>
      <c r="AJ390" s="587"/>
      <c r="AK390" s="587"/>
      <c r="AL390" s="587"/>
      <c r="AM390" s="587"/>
      <c r="AO390" s="587"/>
      <c r="AP390" s="587"/>
      <c r="AQ390" s="587"/>
      <c r="AR390" s="587"/>
      <c r="AS390" s="587"/>
      <c r="AT390" s="587"/>
      <c r="AU390" s="587"/>
      <c r="AV390" s="587"/>
      <c r="AW390" s="587"/>
    </row>
    <row r="391" spans="1:49">
      <c r="A391" s="581">
        <v>21245</v>
      </c>
      <c r="B391" s="594">
        <v>3.2800000000000003E-2</v>
      </c>
      <c r="C391" s="577">
        <v>0.02</v>
      </c>
      <c r="D391" s="577">
        <v>2.7000000000000001E-3</v>
      </c>
      <c r="E391" s="577">
        <v>3.0249999999999999E-3</v>
      </c>
      <c r="F391" s="577">
        <v>3.15E-3</v>
      </c>
      <c r="G391" s="577">
        <v>3.0874999999999995E-3</v>
      </c>
      <c r="H391" s="577">
        <v>3.4416666666666667E-3</v>
      </c>
      <c r="I391" s="577">
        <f t="shared" si="68"/>
        <v>3.0100000000000002E-2</v>
      </c>
      <c r="J391" s="577">
        <f t="shared" si="61"/>
        <v>2.9712500000000003E-2</v>
      </c>
      <c r="K391" s="577">
        <f t="shared" si="62"/>
        <v>1.6558333333333335E-2</v>
      </c>
      <c r="L391" s="585">
        <f t="shared" si="58"/>
        <v>-6.1537429975857538E-3</v>
      </c>
      <c r="M391" s="585">
        <f t="shared" si="59"/>
        <v>3.2399999999999998E-2</v>
      </c>
      <c r="N391" s="585">
        <f t="shared" si="63"/>
        <v>3.7049999999999993E-2</v>
      </c>
      <c r="O391" s="586">
        <f t="shared" si="60"/>
        <v>-3.8553742997585752E-2</v>
      </c>
      <c r="P391" s="585">
        <f t="shared" si="64"/>
        <v>-4.3203742997585746E-2</v>
      </c>
      <c r="Q391" s="585">
        <f t="shared" si="65"/>
        <v>0.12746585323612503</v>
      </c>
      <c r="R391" s="585">
        <f t="shared" si="66"/>
        <v>4.1300000000000003E-2</v>
      </c>
      <c r="S391" s="586">
        <f t="shared" si="67"/>
        <v>8.6165853236125023E-2</v>
      </c>
      <c r="U391" s="587"/>
      <c r="V391" s="587"/>
      <c r="W391" s="587"/>
      <c r="X391" s="587"/>
      <c r="Y391" s="587"/>
      <c r="Z391" s="587"/>
      <c r="AA391" s="587"/>
      <c r="AB391" s="587"/>
      <c r="AC391" s="587"/>
      <c r="AE391" s="587"/>
      <c r="AF391" s="587"/>
      <c r="AG391" s="587"/>
      <c r="AH391" s="587"/>
      <c r="AI391" s="587"/>
      <c r="AJ391" s="587"/>
      <c r="AK391" s="587"/>
      <c r="AL391" s="587"/>
      <c r="AM391" s="587"/>
      <c r="AO391" s="587"/>
      <c r="AP391" s="587"/>
      <c r="AQ391" s="587"/>
      <c r="AR391" s="587"/>
      <c r="AS391" s="587"/>
      <c r="AT391" s="587"/>
      <c r="AU391" s="587"/>
      <c r="AV391" s="587"/>
      <c r="AW391" s="587"/>
    </row>
    <row r="392" spans="1:49">
      <c r="A392" s="581">
        <v>21276</v>
      </c>
      <c r="B392" s="594">
        <v>3.3700000000000001E-2</v>
      </c>
      <c r="C392" s="577">
        <v>5.16E-2</v>
      </c>
      <c r="D392" s="577">
        <v>2.5999999999999999E-3</v>
      </c>
      <c r="E392" s="577">
        <v>3.0000000000000001E-3</v>
      </c>
      <c r="F392" s="577">
        <v>3.15E-3</v>
      </c>
      <c r="G392" s="577">
        <v>3.075E-3</v>
      </c>
      <c r="H392" s="577">
        <v>3.2916666666666667E-3</v>
      </c>
      <c r="I392" s="577">
        <f t="shared" si="68"/>
        <v>3.1100000000000003E-2</v>
      </c>
      <c r="J392" s="577">
        <f t="shared" si="61"/>
        <v>3.0624999999999999E-2</v>
      </c>
      <c r="K392" s="577">
        <f t="shared" si="62"/>
        <v>4.8308333333333335E-2</v>
      </c>
      <c r="L392" s="585">
        <f t="shared" si="58"/>
        <v>-1.1033042103007262E-2</v>
      </c>
      <c r="M392" s="585">
        <f t="shared" si="59"/>
        <v>3.1199999999999999E-2</v>
      </c>
      <c r="N392" s="585">
        <f t="shared" si="63"/>
        <v>3.6900000000000002E-2</v>
      </c>
      <c r="O392" s="586">
        <f t="shared" si="60"/>
        <v>-4.2233042103007261E-2</v>
      </c>
      <c r="P392" s="585">
        <f t="shared" si="64"/>
        <v>-4.7933042103007265E-2</v>
      </c>
      <c r="Q392" s="585">
        <f t="shared" si="65"/>
        <v>0.13982223732273513</v>
      </c>
      <c r="R392" s="585">
        <f t="shared" si="66"/>
        <v>3.95E-2</v>
      </c>
      <c r="S392" s="586">
        <f t="shared" si="67"/>
        <v>0.10032223732273512</v>
      </c>
      <c r="U392" s="587"/>
      <c r="V392" s="587"/>
      <c r="W392" s="587"/>
      <c r="X392" s="587"/>
      <c r="Y392" s="587"/>
      <c r="Z392" s="587"/>
      <c r="AA392" s="587"/>
      <c r="AB392" s="587"/>
      <c r="AC392" s="587"/>
      <c r="AE392" s="587"/>
      <c r="AF392" s="587"/>
      <c r="AG392" s="587"/>
      <c r="AH392" s="587"/>
      <c r="AI392" s="587"/>
      <c r="AJ392" s="587"/>
      <c r="AK392" s="587"/>
      <c r="AL392" s="587"/>
      <c r="AM392" s="587"/>
      <c r="AO392" s="587"/>
      <c r="AP392" s="587"/>
      <c r="AQ392" s="587"/>
      <c r="AR392" s="587"/>
      <c r="AS392" s="587"/>
      <c r="AT392" s="587"/>
      <c r="AU392" s="587"/>
      <c r="AV392" s="587"/>
      <c r="AW392" s="587"/>
    </row>
    <row r="393" spans="1:49">
      <c r="A393" s="581">
        <v>21306</v>
      </c>
      <c r="B393" s="594">
        <v>2.12E-2</v>
      </c>
      <c r="C393" s="577">
        <v>1.6400000000000001E-2</v>
      </c>
      <c r="D393" s="577">
        <v>2.3999999999999998E-3</v>
      </c>
      <c r="E393" s="577">
        <v>2.9749999999999998E-3</v>
      </c>
      <c r="F393" s="577">
        <v>3.15E-3</v>
      </c>
      <c r="G393" s="577">
        <v>3.0625000000000001E-3</v>
      </c>
      <c r="H393" s="577">
        <v>3.3416666666666668E-3</v>
      </c>
      <c r="I393" s="577">
        <f t="shared" si="68"/>
        <v>1.8800000000000001E-2</v>
      </c>
      <c r="J393" s="577">
        <f t="shared" si="61"/>
        <v>1.8137500000000001E-2</v>
      </c>
      <c r="K393" s="577">
        <f t="shared" si="62"/>
        <v>1.3058333333333335E-2</v>
      </c>
      <c r="L393" s="585">
        <f t="shared" si="58"/>
        <v>-3.2353111617889341E-2</v>
      </c>
      <c r="M393" s="585">
        <f t="shared" si="59"/>
        <v>2.8799999999999999E-2</v>
      </c>
      <c r="N393" s="585">
        <f t="shared" si="63"/>
        <v>3.6750000000000005E-2</v>
      </c>
      <c r="O393" s="586">
        <f t="shared" si="60"/>
        <v>-6.115311161788934E-2</v>
      </c>
      <c r="P393" s="585">
        <f t="shared" si="64"/>
        <v>-6.9103111617889346E-2</v>
      </c>
      <c r="Q393" s="585">
        <f t="shared" si="65"/>
        <v>0.13803076818745352</v>
      </c>
      <c r="R393" s="585">
        <f t="shared" si="66"/>
        <v>4.0100000000000004E-2</v>
      </c>
      <c r="S393" s="586">
        <f t="shared" si="67"/>
        <v>9.7930768187453526E-2</v>
      </c>
      <c r="U393" s="587"/>
      <c r="V393" s="587"/>
      <c r="W393" s="587"/>
      <c r="X393" s="587"/>
      <c r="Y393" s="587"/>
      <c r="Z393" s="587"/>
      <c r="AA393" s="587"/>
      <c r="AB393" s="587"/>
      <c r="AC393" s="587"/>
      <c r="AE393" s="587"/>
      <c r="AF393" s="587"/>
      <c r="AG393" s="587"/>
      <c r="AH393" s="587"/>
      <c r="AI393" s="587"/>
      <c r="AJ393" s="587"/>
      <c r="AK393" s="587"/>
      <c r="AL393" s="587"/>
      <c r="AM393" s="587"/>
      <c r="AO393" s="587"/>
      <c r="AP393" s="587"/>
      <c r="AQ393" s="587"/>
      <c r="AR393" s="587"/>
      <c r="AS393" s="587"/>
      <c r="AT393" s="587"/>
      <c r="AU393" s="587"/>
      <c r="AV393" s="587"/>
      <c r="AW393" s="587"/>
    </row>
    <row r="394" spans="1:49">
      <c r="A394" s="581">
        <v>21337</v>
      </c>
      <c r="B394" s="594">
        <v>2.7900000000000001E-2</v>
      </c>
      <c r="C394" s="577">
        <v>1.72E-2</v>
      </c>
      <c r="D394" s="577">
        <v>2.7000000000000001E-3</v>
      </c>
      <c r="E394" s="577">
        <v>2.9749999999999998E-3</v>
      </c>
      <c r="F394" s="577">
        <v>3.15E-3</v>
      </c>
      <c r="G394" s="577">
        <v>3.0625000000000001E-3</v>
      </c>
      <c r="H394" s="577">
        <v>3.3250000000000003E-3</v>
      </c>
      <c r="I394" s="577">
        <f t="shared" si="68"/>
        <v>2.52E-2</v>
      </c>
      <c r="J394" s="577">
        <f t="shared" si="61"/>
        <v>2.4837500000000002E-2</v>
      </c>
      <c r="K394" s="577">
        <f t="shared" si="62"/>
        <v>1.3875E-2</v>
      </c>
      <c r="L394" s="585">
        <f t="shared" si="58"/>
        <v>-5.7534620472096121E-3</v>
      </c>
      <c r="M394" s="585">
        <f t="shared" si="59"/>
        <v>3.2399999999999998E-2</v>
      </c>
      <c r="N394" s="585">
        <f t="shared" si="63"/>
        <v>3.6750000000000005E-2</v>
      </c>
      <c r="O394" s="586">
        <f t="shared" si="60"/>
        <v>-3.815346204720961E-2</v>
      </c>
      <c r="P394" s="585">
        <f t="shared" si="64"/>
        <v>-4.2503462047209617E-2</v>
      </c>
      <c r="Q394" s="585">
        <f t="shared" si="65"/>
        <v>0.20810362909651192</v>
      </c>
      <c r="R394" s="585">
        <f t="shared" si="66"/>
        <v>3.9900000000000005E-2</v>
      </c>
      <c r="S394" s="586">
        <f t="shared" si="67"/>
        <v>0.16820362909651193</v>
      </c>
      <c r="U394" s="587"/>
      <c r="V394" s="587"/>
      <c r="W394" s="587"/>
      <c r="X394" s="587"/>
      <c r="Y394" s="587"/>
      <c r="Z394" s="587"/>
      <c r="AA394" s="587"/>
      <c r="AB394" s="587"/>
      <c r="AC394" s="587"/>
      <c r="AE394" s="587"/>
      <c r="AF394" s="587"/>
      <c r="AG394" s="587"/>
      <c r="AH394" s="587"/>
      <c r="AI394" s="587"/>
      <c r="AJ394" s="587"/>
      <c r="AK394" s="587"/>
      <c r="AL394" s="587"/>
      <c r="AM394" s="587"/>
      <c r="AO394" s="587"/>
      <c r="AP394" s="587"/>
      <c r="AQ394" s="587"/>
      <c r="AR394" s="587"/>
      <c r="AS394" s="587"/>
      <c r="AT394" s="587"/>
      <c r="AU394" s="587"/>
      <c r="AV394" s="587"/>
      <c r="AW394" s="587"/>
    </row>
    <row r="395" spans="1:49">
      <c r="A395" s="581">
        <v>21367</v>
      </c>
      <c r="B395" s="594">
        <v>4.4900000000000002E-2</v>
      </c>
      <c r="C395" s="577">
        <v>1.09E-2</v>
      </c>
      <c r="D395" s="577">
        <v>2.7000000000000001E-3</v>
      </c>
      <c r="E395" s="577">
        <v>3.0583333333333335E-3</v>
      </c>
      <c r="F395" s="577">
        <v>3.1916666666666664E-3</v>
      </c>
      <c r="G395" s="577">
        <v>3.1250000000000002E-3</v>
      </c>
      <c r="H395" s="577">
        <v>3.3666666666666667E-3</v>
      </c>
      <c r="I395" s="577">
        <f t="shared" si="68"/>
        <v>4.2200000000000001E-2</v>
      </c>
      <c r="J395" s="577">
        <f t="shared" si="61"/>
        <v>4.1775E-2</v>
      </c>
      <c r="K395" s="577">
        <f t="shared" si="62"/>
        <v>7.5333333333333329E-3</v>
      </c>
      <c r="L395" s="585">
        <f t="shared" si="58"/>
        <v>2.5454750278225857E-2</v>
      </c>
      <c r="M395" s="585">
        <f t="shared" si="59"/>
        <v>3.2399999999999998E-2</v>
      </c>
      <c r="N395" s="585">
        <f t="shared" si="63"/>
        <v>3.7500000000000006E-2</v>
      </c>
      <c r="O395" s="586">
        <f t="shared" si="60"/>
        <v>-6.945249721774141E-3</v>
      </c>
      <c r="P395" s="585">
        <f t="shared" si="64"/>
        <v>-1.2045249721774148E-2</v>
      </c>
      <c r="Q395" s="585">
        <f t="shared" si="65"/>
        <v>0.21701241520046222</v>
      </c>
      <c r="R395" s="585">
        <f t="shared" si="66"/>
        <v>4.0399999999999998E-2</v>
      </c>
      <c r="S395" s="586">
        <f t="shared" si="67"/>
        <v>0.17661241520046222</v>
      </c>
      <c r="U395" s="587"/>
      <c r="V395" s="587"/>
      <c r="W395" s="587"/>
      <c r="X395" s="587"/>
      <c r="Y395" s="587"/>
      <c r="Z395" s="587"/>
      <c r="AA395" s="587"/>
      <c r="AB395" s="587"/>
      <c r="AC395" s="587"/>
      <c r="AE395" s="587"/>
      <c r="AF395" s="587"/>
      <c r="AG395" s="587"/>
      <c r="AH395" s="587"/>
      <c r="AI395" s="587"/>
      <c r="AJ395" s="587"/>
      <c r="AK395" s="587"/>
      <c r="AL395" s="587"/>
      <c r="AM395" s="587"/>
      <c r="AO395" s="587"/>
      <c r="AP395" s="587"/>
      <c r="AQ395" s="587"/>
      <c r="AR395" s="587"/>
      <c r="AS395" s="587"/>
      <c r="AT395" s="587"/>
      <c r="AU395" s="587"/>
      <c r="AV395" s="587"/>
      <c r="AW395" s="587"/>
    </row>
    <row r="396" spans="1:49">
      <c r="A396" s="581">
        <v>21398</v>
      </c>
      <c r="B396" s="594">
        <v>1.7600000000000001E-2</v>
      </c>
      <c r="C396" s="577">
        <v>-6.7000000000000002E-3</v>
      </c>
      <c r="D396" s="577">
        <v>2.7000000000000001E-3</v>
      </c>
      <c r="E396" s="577">
        <v>3.2083333333333334E-3</v>
      </c>
      <c r="F396" s="577">
        <v>3.3166666666666665E-3</v>
      </c>
      <c r="G396" s="577">
        <v>3.2625000000000002E-3</v>
      </c>
      <c r="H396" s="577">
        <v>3.5750000000000001E-3</v>
      </c>
      <c r="I396" s="577">
        <f t="shared" si="68"/>
        <v>1.49E-2</v>
      </c>
      <c r="J396" s="577">
        <f t="shared" si="61"/>
        <v>1.4337500000000001E-2</v>
      </c>
      <c r="K396" s="577">
        <f t="shared" si="62"/>
        <v>-1.0274999999999999E-2</v>
      </c>
      <c r="L396" s="585">
        <f t="shared" si="58"/>
        <v>9.9002373757896223E-2</v>
      </c>
      <c r="M396" s="585">
        <f t="shared" si="59"/>
        <v>3.2399999999999998E-2</v>
      </c>
      <c r="N396" s="585">
        <f t="shared" si="63"/>
        <v>3.9150000000000004E-2</v>
      </c>
      <c r="O396" s="586">
        <f t="shared" si="60"/>
        <v>6.6602373757896224E-2</v>
      </c>
      <c r="P396" s="585">
        <f t="shared" si="64"/>
        <v>5.9852373757896218E-2</v>
      </c>
      <c r="Q396" s="585">
        <f t="shared" si="65"/>
        <v>0.24547540904452814</v>
      </c>
      <c r="R396" s="585">
        <f t="shared" si="66"/>
        <v>4.2900000000000001E-2</v>
      </c>
      <c r="S396" s="586">
        <f t="shared" si="67"/>
        <v>0.20257540904452814</v>
      </c>
      <c r="U396" s="587"/>
      <c r="V396" s="587"/>
      <c r="W396" s="587"/>
      <c r="X396" s="587"/>
      <c r="Y396" s="587"/>
      <c r="Z396" s="587"/>
      <c r="AA396" s="587"/>
      <c r="AB396" s="587"/>
      <c r="AC396" s="587"/>
      <c r="AE396" s="587"/>
      <c r="AF396" s="587"/>
      <c r="AG396" s="587"/>
      <c r="AH396" s="587"/>
      <c r="AI396" s="587"/>
      <c r="AJ396" s="587"/>
      <c r="AK396" s="587"/>
      <c r="AL396" s="587"/>
      <c r="AM396" s="587"/>
      <c r="AO396" s="587"/>
      <c r="AP396" s="587"/>
      <c r="AQ396" s="587"/>
      <c r="AR396" s="587"/>
      <c r="AS396" s="587"/>
      <c r="AT396" s="587"/>
      <c r="AU396" s="587"/>
      <c r="AV396" s="587"/>
      <c r="AW396" s="587"/>
    </row>
    <row r="397" spans="1:49">
      <c r="A397" s="581">
        <v>21429</v>
      </c>
      <c r="B397" s="594">
        <v>5.0099999999999999E-2</v>
      </c>
      <c r="C397" s="577">
        <v>3.32E-2</v>
      </c>
      <c r="D397" s="577">
        <v>3.2000000000000002E-3</v>
      </c>
      <c r="E397" s="577">
        <v>3.4083333333333331E-3</v>
      </c>
      <c r="F397" s="577">
        <v>3.5000000000000005E-3</v>
      </c>
      <c r="G397" s="577">
        <v>3.454166666666667E-3</v>
      </c>
      <c r="H397" s="577">
        <v>3.7916666666666667E-3</v>
      </c>
      <c r="I397" s="577">
        <f t="shared" si="68"/>
        <v>4.6899999999999997E-2</v>
      </c>
      <c r="J397" s="577">
        <f t="shared" si="61"/>
        <v>4.6645833333333331E-2</v>
      </c>
      <c r="K397" s="577">
        <f t="shared" si="62"/>
        <v>2.9408333333333335E-2</v>
      </c>
      <c r="L397" s="585">
        <f t="shared" si="58"/>
        <v>0.22798722354029266</v>
      </c>
      <c r="M397" s="585">
        <f t="shared" si="59"/>
        <v>3.8400000000000004E-2</v>
      </c>
      <c r="N397" s="585">
        <f t="shared" si="63"/>
        <v>4.1450000000000001E-2</v>
      </c>
      <c r="O397" s="586">
        <f t="shared" si="60"/>
        <v>0.18958722354029267</v>
      </c>
      <c r="P397" s="585">
        <f t="shared" si="64"/>
        <v>0.18653722354029267</v>
      </c>
      <c r="Q397" s="585">
        <f t="shared" si="65"/>
        <v>0.30483187246482069</v>
      </c>
      <c r="R397" s="585">
        <f t="shared" si="66"/>
        <v>4.5499999999999999E-2</v>
      </c>
      <c r="S397" s="586">
        <f t="shared" si="67"/>
        <v>0.2593318724648207</v>
      </c>
      <c r="U397" s="587"/>
      <c r="V397" s="587"/>
      <c r="W397" s="587"/>
      <c r="X397" s="587"/>
      <c r="Y397" s="587"/>
      <c r="Z397" s="587"/>
      <c r="AA397" s="587"/>
      <c r="AB397" s="587"/>
      <c r="AC397" s="587"/>
      <c r="AE397" s="587"/>
      <c r="AF397" s="587"/>
      <c r="AG397" s="587"/>
      <c r="AH397" s="587"/>
      <c r="AI397" s="587"/>
      <c r="AJ397" s="587"/>
      <c r="AK397" s="587"/>
      <c r="AL397" s="587"/>
      <c r="AM397" s="587"/>
      <c r="AO397" s="587"/>
      <c r="AP397" s="587"/>
      <c r="AQ397" s="587"/>
      <c r="AR397" s="587"/>
      <c r="AS397" s="587"/>
      <c r="AT397" s="587"/>
      <c r="AU397" s="587"/>
      <c r="AV397" s="587"/>
      <c r="AW397" s="587"/>
    </row>
    <row r="398" spans="1:49">
      <c r="A398" s="581">
        <v>21459</v>
      </c>
      <c r="B398" s="594">
        <v>2.7E-2</v>
      </c>
      <c r="C398" s="577">
        <v>4.0599999999999997E-2</v>
      </c>
      <c r="D398" s="577">
        <v>3.2000000000000002E-3</v>
      </c>
      <c r="E398" s="577">
        <v>3.4250000000000001E-3</v>
      </c>
      <c r="F398" s="577">
        <v>3.5083333333333334E-3</v>
      </c>
      <c r="G398" s="577">
        <v>3.4666666666666669E-3</v>
      </c>
      <c r="H398" s="577">
        <v>3.7999999999999996E-3</v>
      </c>
      <c r="I398" s="577">
        <f t="shared" si="68"/>
        <v>2.3799999999999998E-2</v>
      </c>
      <c r="J398" s="577">
        <f t="shared" si="61"/>
        <v>2.3533333333333333E-2</v>
      </c>
      <c r="K398" s="577">
        <f t="shared" si="62"/>
        <v>3.6799999999999999E-2</v>
      </c>
      <c r="L398" s="585">
        <f t="shared" si="58"/>
        <v>0.30041542439253544</v>
      </c>
      <c r="M398" s="585">
        <f t="shared" si="59"/>
        <v>3.8400000000000004E-2</v>
      </c>
      <c r="N398" s="585">
        <f t="shared" si="63"/>
        <v>4.1600000000000005E-2</v>
      </c>
      <c r="O398" s="586">
        <f t="shared" si="60"/>
        <v>0.26201542439253545</v>
      </c>
      <c r="P398" s="585">
        <f t="shared" si="64"/>
        <v>0.25881542439253541</v>
      </c>
      <c r="Q398" s="585">
        <f t="shared" si="65"/>
        <v>0.367930733917885</v>
      </c>
      <c r="R398" s="585">
        <f t="shared" si="66"/>
        <v>4.5599999999999995E-2</v>
      </c>
      <c r="S398" s="586">
        <f t="shared" si="67"/>
        <v>0.32233073391788503</v>
      </c>
      <c r="U398" s="587"/>
      <c r="V398" s="587"/>
      <c r="W398" s="587"/>
      <c r="X398" s="587"/>
      <c r="Y398" s="587"/>
      <c r="Z398" s="587"/>
      <c r="AA398" s="587"/>
      <c r="AB398" s="587"/>
      <c r="AC398" s="587"/>
      <c r="AE398" s="587"/>
      <c r="AF398" s="587"/>
      <c r="AG398" s="587"/>
      <c r="AH398" s="587"/>
      <c r="AI398" s="587"/>
      <c r="AJ398" s="587"/>
      <c r="AK398" s="587"/>
      <c r="AL398" s="587"/>
      <c r="AM398" s="587"/>
      <c r="AO398" s="587"/>
      <c r="AP398" s="587"/>
      <c r="AQ398" s="587"/>
      <c r="AR398" s="587"/>
      <c r="AS398" s="587"/>
      <c r="AT398" s="587"/>
      <c r="AU398" s="587"/>
      <c r="AV398" s="587"/>
      <c r="AW398" s="587"/>
    </row>
    <row r="399" spans="1:49">
      <c r="A399" s="581">
        <v>21490</v>
      </c>
      <c r="B399" s="594">
        <v>2.8400000000000002E-2</v>
      </c>
      <c r="C399" s="577">
        <v>2.63E-2</v>
      </c>
      <c r="D399" s="577">
        <v>2.7999999999999995E-3</v>
      </c>
      <c r="E399" s="577">
        <v>3.4083333333333331E-3</v>
      </c>
      <c r="F399" s="577">
        <v>3.5083333333333334E-3</v>
      </c>
      <c r="G399" s="577">
        <v>3.4583333333333332E-3</v>
      </c>
      <c r="H399" s="577">
        <v>3.725E-3</v>
      </c>
      <c r="I399" s="577">
        <f t="shared" si="68"/>
        <v>2.5600000000000001E-2</v>
      </c>
      <c r="J399" s="577">
        <f t="shared" si="61"/>
        <v>2.4941666666666668E-2</v>
      </c>
      <c r="K399" s="577">
        <f t="shared" si="62"/>
        <v>2.2575000000000001E-2</v>
      </c>
      <c r="L399" s="585">
        <f t="shared" si="58"/>
        <v>0.30715201099138234</v>
      </c>
      <c r="M399" s="585">
        <f t="shared" si="59"/>
        <v>3.3599999999999991E-2</v>
      </c>
      <c r="N399" s="585">
        <f t="shared" si="63"/>
        <v>4.1499999999999995E-2</v>
      </c>
      <c r="O399" s="586">
        <f t="shared" si="60"/>
        <v>0.27355201099138238</v>
      </c>
      <c r="P399" s="585">
        <f t="shared" si="64"/>
        <v>0.26565201099138236</v>
      </c>
      <c r="Q399" s="585">
        <f t="shared" si="65"/>
        <v>0.34628626027994391</v>
      </c>
      <c r="R399" s="585">
        <f t="shared" si="66"/>
        <v>4.4700000000000004E-2</v>
      </c>
      <c r="S399" s="586">
        <f t="shared" si="67"/>
        <v>0.3015862602799439</v>
      </c>
      <c r="U399" s="587"/>
      <c r="V399" s="587"/>
      <c r="W399" s="587"/>
      <c r="X399" s="587"/>
      <c r="Y399" s="587"/>
      <c r="Z399" s="587"/>
      <c r="AA399" s="587"/>
      <c r="AB399" s="587"/>
      <c r="AC399" s="587"/>
      <c r="AE399" s="587"/>
      <c r="AF399" s="587"/>
      <c r="AG399" s="587"/>
      <c r="AH399" s="587"/>
      <c r="AI399" s="587"/>
      <c r="AJ399" s="587"/>
      <c r="AK399" s="587"/>
      <c r="AL399" s="587"/>
      <c r="AM399" s="587"/>
      <c r="AO399" s="587"/>
      <c r="AP399" s="587"/>
      <c r="AQ399" s="587"/>
      <c r="AR399" s="587"/>
      <c r="AS399" s="587"/>
      <c r="AT399" s="587"/>
      <c r="AU399" s="587"/>
      <c r="AV399" s="587"/>
      <c r="AW399" s="587"/>
    </row>
    <row r="400" spans="1:49">
      <c r="A400" s="581">
        <v>21520</v>
      </c>
      <c r="B400" s="594">
        <v>5.3499999999999999E-2</v>
      </c>
      <c r="C400" s="577">
        <v>6.5500000000000003E-2</v>
      </c>
      <c r="D400" s="577">
        <v>3.3E-3</v>
      </c>
      <c r="E400" s="577">
        <v>3.4000000000000002E-3</v>
      </c>
      <c r="F400" s="577">
        <v>3.4833333333333331E-3</v>
      </c>
      <c r="G400" s="577">
        <v>3.4416666666666667E-3</v>
      </c>
      <c r="H400" s="577">
        <v>3.741666666666667E-3</v>
      </c>
      <c r="I400" s="577">
        <f t="shared" si="68"/>
        <v>5.0200000000000002E-2</v>
      </c>
      <c r="J400" s="577">
        <f t="shared" si="61"/>
        <v>5.005833333333333E-2</v>
      </c>
      <c r="K400" s="577">
        <f t="shared" si="62"/>
        <v>6.1758333333333339E-2</v>
      </c>
      <c r="L400" s="585">
        <f t="shared" ref="L400:L463" si="69">((1+B389)*(1+B390)*(1+B391)*(1+B392)*(1+B393)*(1+B394)*(1+B395)*(1+B396)*(1+B397)*(1+B398)*(1+B399)*(1+B400))-1</f>
        <v>0.43371644308112556</v>
      </c>
      <c r="M400" s="585">
        <f t="shared" ref="M400:M463" si="70">D400*12</f>
        <v>3.9599999999999996E-2</v>
      </c>
      <c r="N400" s="585">
        <f t="shared" si="63"/>
        <v>4.1300000000000003E-2</v>
      </c>
      <c r="O400" s="586">
        <f t="shared" ref="O400:O463" si="71">L400-M400</f>
        <v>0.39411644308112559</v>
      </c>
      <c r="P400" s="585">
        <f t="shared" si="64"/>
        <v>0.39241644308112555</v>
      </c>
      <c r="Q400" s="585">
        <f t="shared" si="65"/>
        <v>0.40703090762950511</v>
      </c>
      <c r="R400" s="585">
        <f t="shared" si="66"/>
        <v>4.4900000000000002E-2</v>
      </c>
      <c r="S400" s="586">
        <f t="shared" si="67"/>
        <v>0.36213090762950512</v>
      </c>
      <c r="U400" s="587"/>
      <c r="V400" s="587"/>
      <c r="W400" s="587"/>
      <c r="X400" s="587"/>
      <c r="Y400" s="587"/>
      <c r="Z400" s="587"/>
      <c r="AA400" s="587"/>
      <c r="AB400" s="587"/>
      <c r="AC400" s="587"/>
      <c r="AE400" s="587"/>
      <c r="AF400" s="587"/>
      <c r="AG400" s="587"/>
      <c r="AH400" s="587"/>
      <c r="AI400" s="587"/>
      <c r="AJ400" s="587"/>
      <c r="AK400" s="587"/>
      <c r="AL400" s="587"/>
      <c r="AM400" s="587"/>
      <c r="AO400" s="587"/>
      <c r="AP400" s="587"/>
      <c r="AQ400" s="587"/>
      <c r="AR400" s="587"/>
      <c r="AS400" s="587"/>
      <c r="AT400" s="587"/>
      <c r="AU400" s="587"/>
      <c r="AV400" s="587"/>
      <c r="AW400" s="587"/>
    </row>
    <row r="401" spans="1:49">
      <c r="A401" s="581">
        <v>21551</v>
      </c>
      <c r="B401" s="594">
        <v>5.3E-3</v>
      </c>
      <c r="C401" s="577">
        <v>1.34E-2</v>
      </c>
      <c r="D401" s="577">
        <v>3.0999999999999999E-3</v>
      </c>
      <c r="E401" s="577">
        <v>3.4333333333333334E-3</v>
      </c>
      <c r="F401" s="577">
        <v>3.5166666666666662E-3</v>
      </c>
      <c r="G401" s="577">
        <v>3.4749999999999998E-3</v>
      </c>
      <c r="H401" s="577">
        <v>3.7666666666666664E-3</v>
      </c>
      <c r="I401" s="577">
        <f t="shared" si="68"/>
        <v>2.2000000000000001E-3</v>
      </c>
      <c r="J401" s="577">
        <f t="shared" si="61"/>
        <v>1.8250000000000002E-3</v>
      </c>
      <c r="K401" s="577">
        <f t="shared" si="62"/>
        <v>9.633333333333334E-3</v>
      </c>
      <c r="L401" s="585">
        <f t="shared" si="69"/>
        <v>0.37990918164620013</v>
      </c>
      <c r="M401" s="585">
        <f t="shared" si="70"/>
        <v>3.7199999999999997E-2</v>
      </c>
      <c r="N401" s="585">
        <f t="shared" si="63"/>
        <v>4.1700000000000001E-2</v>
      </c>
      <c r="O401" s="586">
        <f t="shared" si="71"/>
        <v>0.34270918164620012</v>
      </c>
      <c r="P401" s="585">
        <f t="shared" si="64"/>
        <v>0.33820918164620012</v>
      </c>
      <c r="Q401" s="585">
        <f t="shared" si="65"/>
        <v>0.34492088454229441</v>
      </c>
      <c r="R401" s="585">
        <f t="shared" si="66"/>
        <v>4.5199999999999997E-2</v>
      </c>
      <c r="S401" s="586">
        <f t="shared" si="67"/>
        <v>0.2997208845422944</v>
      </c>
      <c r="U401" s="587"/>
      <c r="V401" s="587"/>
      <c r="W401" s="587"/>
      <c r="X401" s="587"/>
      <c r="Y401" s="587"/>
      <c r="Z401" s="587"/>
      <c r="AA401" s="587"/>
      <c r="AB401" s="587"/>
      <c r="AC401" s="587"/>
      <c r="AE401" s="587"/>
      <c r="AF401" s="587"/>
      <c r="AG401" s="587"/>
      <c r="AH401" s="587"/>
      <c r="AI401" s="587"/>
      <c r="AJ401" s="587"/>
      <c r="AK401" s="587"/>
      <c r="AL401" s="587"/>
      <c r="AM401" s="587"/>
      <c r="AO401" s="587"/>
      <c r="AP401" s="587"/>
      <c r="AQ401" s="587"/>
      <c r="AR401" s="587"/>
      <c r="AS401" s="587"/>
      <c r="AT401" s="587"/>
      <c r="AU401" s="587"/>
      <c r="AV401" s="587"/>
      <c r="AW401" s="587"/>
    </row>
    <row r="402" spans="1:49">
      <c r="A402" s="581">
        <v>21582</v>
      </c>
      <c r="B402" s="594">
        <v>4.8999999999999998E-3</v>
      </c>
      <c r="C402" s="577">
        <v>2.06E-2</v>
      </c>
      <c r="D402" s="577">
        <v>3.0999999999999999E-3</v>
      </c>
      <c r="E402" s="577">
        <v>3.4499999999999999E-3</v>
      </c>
      <c r="F402" s="577">
        <v>3.5333333333333332E-3</v>
      </c>
      <c r="G402" s="577">
        <v>3.4916666666666664E-3</v>
      </c>
      <c r="H402" s="577">
        <v>3.7499999999999999E-3</v>
      </c>
      <c r="I402" s="577">
        <f t="shared" si="68"/>
        <v>1.8E-3</v>
      </c>
      <c r="J402" s="577">
        <f t="shared" si="61"/>
        <v>1.4083333333333335E-3</v>
      </c>
      <c r="K402" s="577">
        <f t="shared" si="62"/>
        <v>1.685E-2</v>
      </c>
      <c r="L402" s="585">
        <f t="shared" si="69"/>
        <v>0.40650242076911036</v>
      </c>
      <c r="M402" s="585">
        <f t="shared" si="70"/>
        <v>3.7199999999999997E-2</v>
      </c>
      <c r="N402" s="585">
        <f t="shared" si="63"/>
        <v>4.1899999999999993E-2</v>
      </c>
      <c r="O402" s="586">
        <f t="shared" si="71"/>
        <v>0.36930242076911035</v>
      </c>
      <c r="P402" s="585">
        <f t="shared" si="64"/>
        <v>0.36460242076911037</v>
      </c>
      <c r="Q402" s="585">
        <f t="shared" si="65"/>
        <v>0.35407542148945992</v>
      </c>
      <c r="R402" s="585">
        <f t="shared" si="66"/>
        <v>4.4999999999999998E-2</v>
      </c>
      <c r="S402" s="586">
        <f t="shared" si="67"/>
        <v>0.30907542148945993</v>
      </c>
      <c r="U402" s="587"/>
      <c r="V402" s="587"/>
      <c r="W402" s="587"/>
      <c r="X402" s="587"/>
      <c r="Y402" s="587"/>
      <c r="Z402" s="587"/>
      <c r="AA402" s="587"/>
      <c r="AB402" s="587"/>
      <c r="AC402" s="587"/>
      <c r="AE402" s="587"/>
      <c r="AF402" s="587"/>
      <c r="AG402" s="587"/>
      <c r="AH402" s="587"/>
      <c r="AI402" s="587"/>
      <c r="AJ402" s="587"/>
      <c r="AK402" s="587"/>
      <c r="AL402" s="587"/>
      <c r="AM402" s="587"/>
      <c r="AO402" s="587"/>
      <c r="AP402" s="587"/>
      <c r="AQ402" s="587"/>
      <c r="AR402" s="587"/>
      <c r="AS402" s="587"/>
      <c r="AT402" s="587"/>
      <c r="AU402" s="587"/>
      <c r="AV402" s="587"/>
      <c r="AW402" s="587"/>
    </row>
    <row r="403" spans="1:49">
      <c r="A403" s="581">
        <v>21610</v>
      </c>
      <c r="B403" s="594">
        <v>2E-3</v>
      </c>
      <c r="C403" s="577">
        <v>1.0200000000000001E-2</v>
      </c>
      <c r="D403" s="577">
        <v>3.5000000000000005E-3</v>
      </c>
      <c r="E403" s="577">
        <v>3.4416666666666667E-3</v>
      </c>
      <c r="F403" s="577">
        <v>3.5250000000000004E-3</v>
      </c>
      <c r="G403" s="577">
        <v>3.4833333333333339E-3</v>
      </c>
      <c r="H403" s="577">
        <v>3.725E-3</v>
      </c>
      <c r="I403" s="577">
        <f t="shared" si="68"/>
        <v>-1.5000000000000005E-3</v>
      </c>
      <c r="J403" s="577">
        <f t="shared" si="61"/>
        <v>-1.4833333333333339E-3</v>
      </c>
      <c r="K403" s="577">
        <f t="shared" si="62"/>
        <v>6.4750000000000007E-3</v>
      </c>
      <c r="L403" s="585">
        <f t="shared" si="69"/>
        <v>0.36455792564935052</v>
      </c>
      <c r="M403" s="585">
        <f t="shared" si="70"/>
        <v>4.200000000000001E-2</v>
      </c>
      <c r="N403" s="585">
        <f t="shared" si="63"/>
        <v>4.1800000000000004E-2</v>
      </c>
      <c r="O403" s="586">
        <f t="shared" si="71"/>
        <v>0.32255792564935049</v>
      </c>
      <c r="P403" s="585">
        <f t="shared" si="64"/>
        <v>0.32275792564935052</v>
      </c>
      <c r="Q403" s="585">
        <f t="shared" si="65"/>
        <v>0.34106567724377701</v>
      </c>
      <c r="R403" s="585">
        <f t="shared" si="66"/>
        <v>4.4700000000000004E-2</v>
      </c>
      <c r="S403" s="586">
        <f t="shared" si="67"/>
        <v>0.29636567724377699</v>
      </c>
      <c r="U403" s="587"/>
      <c r="V403" s="587"/>
      <c r="W403" s="587"/>
      <c r="X403" s="587"/>
      <c r="Y403" s="587"/>
      <c r="Z403" s="587"/>
      <c r="AA403" s="587"/>
      <c r="AB403" s="587"/>
      <c r="AC403" s="587"/>
      <c r="AE403" s="587"/>
      <c r="AF403" s="587"/>
      <c r="AG403" s="587"/>
      <c r="AH403" s="587"/>
      <c r="AI403" s="587"/>
      <c r="AJ403" s="587"/>
      <c r="AK403" s="587"/>
      <c r="AL403" s="587"/>
      <c r="AM403" s="587"/>
      <c r="AO403" s="587"/>
      <c r="AP403" s="587"/>
      <c r="AQ403" s="587"/>
      <c r="AR403" s="587"/>
      <c r="AS403" s="587"/>
      <c r="AT403" s="587"/>
      <c r="AU403" s="587"/>
      <c r="AV403" s="587"/>
      <c r="AW403" s="587"/>
    </row>
    <row r="404" spans="1:49">
      <c r="A404" s="581">
        <v>21641</v>
      </c>
      <c r="B404" s="594">
        <v>4.02E-2</v>
      </c>
      <c r="C404" s="577">
        <v>-2.7999999999999995E-3</v>
      </c>
      <c r="D404" s="577">
        <v>3.3E-3</v>
      </c>
      <c r="E404" s="577">
        <v>3.5250000000000004E-3</v>
      </c>
      <c r="F404" s="577">
        <v>3.6000000000000003E-3</v>
      </c>
      <c r="G404" s="577">
        <v>3.5625000000000006E-3</v>
      </c>
      <c r="H404" s="577">
        <v>3.7999999999999996E-3</v>
      </c>
      <c r="I404" s="577">
        <f t="shared" si="68"/>
        <v>3.6900000000000002E-2</v>
      </c>
      <c r="J404" s="577">
        <f t="shared" si="61"/>
        <v>3.6637499999999996E-2</v>
      </c>
      <c r="K404" s="577">
        <f t="shared" si="62"/>
        <v>-6.5999999999999991E-3</v>
      </c>
      <c r="L404" s="585">
        <f t="shared" si="69"/>
        <v>0.37313839050058473</v>
      </c>
      <c r="M404" s="585">
        <f t="shared" si="70"/>
        <v>3.9599999999999996E-2</v>
      </c>
      <c r="N404" s="585">
        <f t="shared" si="63"/>
        <v>4.275000000000001E-2</v>
      </c>
      <c r="O404" s="586">
        <f t="shared" si="71"/>
        <v>0.33353839050058476</v>
      </c>
      <c r="P404" s="585">
        <f t="shared" si="64"/>
        <v>0.33038839050058472</v>
      </c>
      <c r="Q404" s="585">
        <f t="shared" si="65"/>
        <v>0.27169141626806215</v>
      </c>
      <c r="R404" s="585">
        <f t="shared" si="66"/>
        <v>4.5599999999999995E-2</v>
      </c>
      <c r="S404" s="586">
        <f t="shared" si="67"/>
        <v>0.22609141626806215</v>
      </c>
      <c r="U404" s="587"/>
      <c r="V404" s="587"/>
      <c r="W404" s="587"/>
      <c r="X404" s="587"/>
      <c r="Y404" s="587"/>
      <c r="Z404" s="587"/>
      <c r="AA404" s="587"/>
      <c r="AB404" s="587"/>
      <c r="AC404" s="587"/>
      <c r="AE404" s="587"/>
      <c r="AF404" s="587"/>
      <c r="AG404" s="587"/>
      <c r="AH404" s="587"/>
      <c r="AI404" s="587"/>
      <c r="AJ404" s="587"/>
      <c r="AK404" s="587"/>
      <c r="AL404" s="587"/>
      <c r="AM404" s="587"/>
      <c r="AO404" s="587"/>
      <c r="AP404" s="587"/>
      <c r="AQ404" s="587"/>
      <c r="AR404" s="587"/>
      <c r="AS404" s="587"/>
      <c r="AT404" s="587"/>
      <c r="AU404" s="587"/>
      <c r="AV404" s="587"/>
      <c r="AW404" s="587"/>
    </row>
    <row r="405" spans="1:49">
      <c r="A405" s="581">
        <v>21671</v>
      </c>
      <c r="B405" s="594">
        <v>2.4E-2</v>
      </c>
      <c r="C405" s="577">
        <v>-1.2E-2</v>
      </c>
      <c r="D405" s="577">
        <v>3.3E-3</v>
      </c>
      <c r="E405" s="577">
        <v>3.6416666666666667E-3</v>
      </c>
      <c r="F405" s="577">
        <v>3.7166666666666663E-3</v>
      </c>
      <c r="G405" s="577">
        <v>3.6791666666666665E-3</v>
      </c>
      <c r="H405" s="577">
        <v>3.9749999999999994E-3</v>
      </c>
      <c r="I405" s="577">
        <f t="shared" si="68"/>
        <v>2.07E-2</v>
      </c>
      <c r="J405" s="577">
        <f t="shared" si="61"/>
        <v>2.0320833333333333E-2</v>
      </c>
      <c r="K405" s="577">
        <f t="shared" si="62"/>
        <v>-1.5975E-2</v>
      </c>
      <c r="L405" s="585">
        <f t="shared" si="69"/>
        <v>0.37690336062729934</v>
      </c>
      <c r="M405" s="585">
        <f t="shared" si="70"/>
        <v>3.9599999999999996E-2</v>
      </c>
      <c r="N405" s="585">
        <f t="shared" si="63"/>
        <v>4.4149999999999995E-2</v>
      </c>
      <c r="O405" s="586">
        <f t="shared" si="71"/>
        <v>0.33730336062729938</v>
      </c>
      <c r="P405" s="585">
        <f t="shared" si="64"/>
        <v>0.33275336062729932</v>
      </c>
      <c r="Q405" s="585">
        <f t="shared" si="65"/>
        <v>0.23615812600634101</v>
      </c>
      <c r="R405" s="585">
        <f t="shared" si="66"/>
        <v>4.7699999999999992E-2</v>
      </c>
      <c r="S405" s="586">
        <f t="shared" si="67"/>
        <v>0.18845812600634101</v>
      </c>
      <c r="U405" s="587"/>
      <c r="V405" s="587"/>
      <c r="W405" s="587"/>
      <c r="X405" s="587"/>
      <c r="Y405" s="587"/>
      <c r="Z405" s="587"/>
      <c r="AA405" s="587"/>
      <c r="AB405" s="587"/>
      <c r="AC405" s="587"/>
      <c r="AE405" s="587"/>
      <c r="AF405" s="587"/>
      <c r="AG405" s="587"/>
      <c r="AH405" s="587"/>
      <c r="AI405" s="587"/>
      <c r="AJ405" s="587"/>
      <c r="AK405" s="587"/>
      <c r="AL405" s="587"/>
      <c r="AM405" s="587"/>
      <c r="AO405" s="587"/>
      <c r="AP405" s="587"/>
      <c r="AQ405" s="587"/>
      <c r="AR405" s="587"/>
      <c r="AS405" s="587"/>
      <c r="AT405" s="587"/>
      <c r="AU405" s="587"/>
      <c r="AV405" s="587"/>
      <c r="AW405" s="587"/>
    </row>
    <row r="406" spans="1:49">
      <c r="A406" s="581">
        <v>21702</v>
      </c>
      <c r="B406" s="594">
        <v>-2.2000000000000001E-3</v>
      </c>
      <c r="C406" s="577">
        <v>-8.7999999999999988E-3</v>
      </c>
      <c r="D406" s="577">
        <v>3.5999999999999999E-3</v>
      </c>
      <c r="E406" s="577">
        <v>3.7166666666666663E-3</v>
      </c>
      <c r="F406" s="577">
        <v>3.7999999999999996E-3</v>
      </c>
      <c r="G406" s="577">
        <v>3.7583333333333331E-3</v>
      </c>
      <c r="H406" s="577">
        <v>4.0500000000000006E-3</v>
      </c>
      <c r="I406" s="577">
        <f t="shared" si="68"/>
        <v>-5.7999999999999996E-3</v>
      </c>
      <c r="J406" s="577">
        <f t="shared" si="61"/>
        <v>-5.9583333333333328E-3</v>
      </c>
      <c r="K406" s="577">
        <f t="shared" si="62"/>
        <v>-1.285E-2</v>
      </c>
      <c r="L406" s="585">
        <f t="shared" si="69"/>
        <v>0.33658349375806895</v>
      </c>
      <c r="M406" s="585">
        <f t="shared" si="70"/>
        <v>4.3200000000000002E-2</v>
      </c>
      <c r="N406" s="585">
        <f t="shared" si="63"/>
        <v>4.5100000000000001E-2</v>
      </c>
      <c r="O406" s="586">
        <f t="shared" si="71"/>
        <v>0.29338349375806894</v>
      </c>
      <c r="P406" s="585">
        <f t="shared" si="64"/>
        <v>0.29148349375806892</v>
      </c>
      <c r="Q406" s="585">
        <f t="shared" si="65"/>
        <v>0.20456147709151118</v>
      </c>
      <c r="R406" s="585">
        <f t="shared" si="66"/>
        <v>4.8600000000000004E-2</v>
      </c>
      <c r="S406" s="586">
        <f t="shared" si="67"/>
        <v>0.15596147709151117</v>
      </c>
      <c r="U406" s="587"/>
      <c r="V406" s="587"/>
      <c r="W406" s="587"/>
      <c r="X406" s="587"/>
      <c r="Y406" s="587"/>
      <c r="Z406" s="587"/>
      <c r="AA406" s="587"/>
      <c r="AB406" s="587"/>
      <c r="AC406" s="587"/>
      <c r="AE406" s="587"/>
      <c r="AF406" s="587"/>
      <c r="AG406" s="587"/>
      <c r="AH406" s="587"/>
      <c r="AI406" s="587"/>
      <c r="AJ406" s="587"/>
      <c r="AK406" s="587"/>
      <c r="AL406" s="587"/>
      <c r="AM406" s="587"/>
      <c r="AO406" s="587"/>
      <c r="AP406" s="587"/>
      <c r="AQ406" s="587"/>
      <c r="AR406" s="587"/>
      <c r="AS406" s="587"/>
      <c r="AT406" s="587"/>
      <c r="AU406" s="587"/>
      <c r="AV406" s="587"/>
      <c r="AW406" s="587"/>
    </row>
    <row r="407" spans="1:49">
      <c r="A407" s="581">
        <v>21732</v>
      </c>
      <c r="B407" s="594">
        <v>3.6299999999999999E-2</v>
      </c>
      <c r="C407" s="577">
        <v>3.7100000000000001E-2</v>
      </c>
      <c r="D407" s="577">
        <v>3.5000000000000005E-3</v>
      </c>
      <c r="E407" s="577">
        <v>3.725E-3</v>
      </c>
      <c r="F407" s="577">
        <v>3.8166666666666666E-3</v>
      </c>
      <c r="G407" s="577">
        <v>3.7708333333333331E-3</v>
      </c>
      <c r="H407" s="577">
        <v>4.0666666666666663E-3</v>
      </c>
      <c r="I407" s="577">
        <f t="shared" si="68"/>
        <v>3.2799999999999996E-2</v>
      </c>
      <c r="J407" s="577">
        <f t="shared" si="61"/>
        <v>3.2529166666666665E-2</v>
      </c>
      <c r="K407" s="577">
        <f t="shared" si="62"/>
        <v>3.3033333333333331E-2</v>
      </c>
      <c r="L407" s="585">
        <f t="shared" si="69"/>
        <v>0.32558280656664507</v>
      </c>
      <c r="M407" s="585">
        <f t="shared" si="70"/>
        <v>4.200000000000001E-2</v>
      </c>
      <c r="N407" s="585">
        <f t="shared" si="63"/>
        <v>4.5249999999999999E-2</v>
      </c>
      <c r="O407" s="586">
        <f t="shared" si="71"/>
        <v>0.28358280656664503</v>
      </c>
      <c r="P407" s="585">
        <f t="shared" si="64"/>
        <v>0.28033280656664505</v>
      </c>
      <c r="Q407" s="585">
        <f t="shared" si="65"/>
        <v>0.23578069828035031</v>
      </c>
      <c r="R407" s="585">
        <f t="shared" si="66"/>
        <v>4.8799999999999996E-2</v>
      </c>
      <c r="S407" s="586">
        <f t="shared" si="67"/>
        <v>0.1869806982803503</v>
      </c>
      <c r="U407" s="587"/>
      <c r="V407" s="587"/>
      <c r="W407" s="587"/>
      <c r="X407" s="587"/>
      <c r="Y407" s="587"/>
      <c r="Z407" s="587"/>
      <c r="AA407" s="587"/>
      <c r="AB407" s="587"/>
      <c r="AC407" s="587"/>
      <c r="AE407" s="587"/>
      <c r="AF407" s="587"/>
      <c r="AG407" s="587"/>
      <c r="AH407" s="587"/>
      <c r="AI407" s="587"/>
      <c r="AJ407" s="587"/>
      <c r="AK407" s="587"/>
      <c r="AL407" s="587"/>
      <c r="AM407" s="587"/>
      <c r="AO407" s="587"/>
      <c r="AP407" s="587"/>
      <c r="AQ407" s="587"/>
      <c r="AR407" s="587"/>
      <c r="AS407" s="587"/>
      <c r="AT407" s="587"/>
      <c r="AU407" s="587"/>
      <c r="AV407" s="587"/>
      <c r="AW407" s="587"/>
    </row>
    <row r="408" spans="1:49">
      <c r="A408" s="581">
        <v>21763</v>
      </c>
      <c r="B408" s="594">
        <v>-1.0200000000000001E-2</v>
      </c>
      <c r="C408" s="577">
        <v>1.7500000000000002E-2</v>
      </c>
      <c r="D408" s="577">
        <v>3.5000000000000005E-3</v>
      </c>
      <c r="E408" s="577">
        <v>3.6916666666666664E-3</v>
      </c>
      <c r="F408" s="577">
        <v>3.8166666666666666E-3</v>
      </c>
      <c r="G408" s="577">
        <v>3.7541666666666661E-3</v>
      </c>
      <c r="H408" s="577">
        <v>4.0749999999999996E-3</v>
      </c>
      <c r="I408" s="577">
        <f t="shared" si="68"/>
        <v>-1.37E-2</v>
      </c>
      <c r="J408" s="577">
        <f t="shared" si="61"/>
        <v>-1.3954166666666667E-2</v>
      </c>
      <c r="K408" s="577">
        <f t="shared" si="62"/>
        <v>1.3425000000000003E-2</v>
      </c>
      <c r="L408" s="585">
        <f t="shared" si="69"/>
        <v>0.28936896810108603</v>
      </c>
      <c r="M408" s="585">
        <f t="shared" si="70"/>
        <v>4.200000000000001E-2</v>
      </c>
      <c r="N408" s="585">
        <f t="shared" si="63"/>
        <v>4.5049999999999993E-2</v>
      </c>
      <c r="O408" s="586">
        <f t="shared" si="71"/>
        <v>0.24736896810108602</v>
      </c>
      <c r="P408" s="585">
        <f t="shared" si="64"/>
        <v>0.24431896810108605</v>
      </c>
      <c r="Q408" s="585">
        <f t="shared" si="65"/>
        <v>0.26588831219194242</v>
      </c>
      <c r="R408" s="585">
        <f t="shared" si="66"/>
        <v>4.8899999999999999E-2</v>
      </c>
      <c r="S408" s="586">
        <f t="shared" si="67"/>
        <v>0.21698831219194242</v>
      </c>
      <c r="U408" s="587"/>
      <c r="V408" s="587"/>
      <c r="W408" s="587"/>
      <c r="X408" s="587"/>
      <c r="Y408" s="587"/>
      <c r="Z408" s="587"/>
      <c r="AA408" s="587"/>
      <c r="AB408" s="587"/>
      <c r="AC408" s="587"/>
      <c r="AE408" s="587"/>
      <c r="AF408" s="587"/>
      <c r="AG408" s="587"/>
      <c r="AH408" s="587"/>
      <c r="AI408" s="587"/>
      <c r="AJ408" s="587"/>
      <c r="AK408" s="587"/>
      <c r="AL408" s="587"/>
      <c r="AM408" s="587"/>
      <c r="AO408" s="587"/>
      <c r="AP408" s="587"/>
      <c r="AQ408" s="587"/>
      <c r="AR408" s="587"/>
      <c r="AS408" s="587"/>
      <c r="AT408" s="587"/>
      <c r="AU408" s="587"/>
      <c r="AV408" s="587"/>
      <c r="AW408" s="587"/>
    </row>
    <row r="409" spans="1:49">
      <c r="A409" s="581">
        <v>21794</v>
      </c>
      <c r="B409" s="594">
        <v>-4.4299999999999999E-2</v>
      </c>
      <c r="C409" s="577">
        <v>-3.9300000000000002E-2</v>
      </c>
      <c r="D409" s="577">
        <v>3.3999999999999998E-3</v>
      </c>
      <c r="E409" s="577">
        <v>3.7666666666666664E-3</v>
      </c>
      <c r="F409" s="577">
        <v>3.908333333333334E-3</v>
      </c>
      <c r="G409" s="577">
        <v>3.8375000000000002E-3</v>
      </c>
      <c r="H409" s="577">
        <v>4.1916666666666665E-3</v>
      </c>
      <c r="I409" s="577">
        <f t="shared" si="68"/>
        <v>-4.7699999999999999E-2</v>
      </c>
      <c r="J409" s="577">
        <f t="shared" si="61"/>
        <v>-4.81375E-2</v>
      </c>
      <c r="K409" s="577">
        <f t="shared" si="62"/>
        <v>-4.3491666666666665E-2</v>
      </c>
      <c r="L409" s="585">
        <f t="shared" si="69"/>
        <v>0.17345959700429314</v>
      </c>
      <c r="M409" s="585">
        <f t="shared" si="70"/>
        <v>4.0799999999999996E-2</v>
      </c>
      <c r="N409" s="585">
        <f t="shared" si="63"/>
        <v>4.6050000000000001E-2</v>
      </c>
      <c r="O409" s="586">
        <f t="shared" si="71"/>
        <v>0.13265959700429314</v>
      </c>
      <c r="P409" s="585">
        <f t="shared" si="64"/>
        <v>0.12740959700429313</v>
      </c>
      <c r="Q409" s="585">
        <f t="shared" si="65"/>
        <v>0.17706049315021311</v>
      </c>
      <c r="R409" s="585">
        <f t="shared" si="66"/>
        <v>5.0299999999999997E-2</v>
      </c>
      <c r="S409" s="586">
        <f t="shared" si="67"/>
        <v>0.12676049315021309</v>
      </c>
      <c r="U409" s="587"/>
      <c r="V409" s="587"/>
      <c r="W409" s="587"/>
      <c r="X409" s="587"/>
      <c r="Y409" s="587"/>
      <c r="Z409" s="587"/>
      <c r="AA409" s="587"/>
      <c r="AB409" s="587"/>
      <c r="AC409" s="587"/>
      <c r="AE409" s="587"/>
      <c r="AF409" s="587"/>
      <c r="AG409" s="587"/>
      <c r="AH409" s="587"/>
      <c r="AI409" s="587"/>
      <c r="AJ409" s="587"/>
      <c r="AK409" s="587"/>
      <c r="AL409" s="587"/>
      <c r="AM409" s="587"/>
      <c r="AO409" s="587"/>
      <c r="AP409" s="587"/>
      <c r="AQ409" s="587"/>
      <c r="AR409" s="587"/>
      <c r="AS409" s="587"/>
      <c r="AT409" s="587"/>
      <c r="AU409" s="587"/>
      <c r="AV409" s="587"/>
      <c r="AW409" s="587"/>
    </row>
    <row r="410" spans="1:49">
      <c r="A410" s="581">
        <v>21824</v>
      </c>
      <c r="B410" s="594">
        <v>1.2800000000000001E-2</v>
      </c>
      <c r="C410" s="577">
        <v>1.5699999999999999E-2</v>
      </c>
      <c r="D410" s="577">
        <v>3.5000000000000005E-3</v>
      </c>
      <c r="E410" s="577">
        <v>3.8083333333333337E-3</v>
      </c>
      <c r="F410" s="577">
        <v>3.966666666666667E-3</v>
      </c>
      <c r="G410" s="577">
        <v>3.8875000000000003E-3</v>
      </c>
      <c r="H410" s="577">
        <v>4.1333333333333335E-3</v>
      </c>
      <c r="I410" s="577">
        <f t="shared" si="68"/>
        <v>9.2999999999999992E-3</v>
      </c>
      <c r="J410" s="577">
        <f t="shared" si="61"/>
        <v>8.9125000000000003E-3</v>
      </c>
      <c r="K410" s="577">
        <f t="shared" si="62"/>
        <v>1.1566666666666666E-2</v>
      </c>
      <c r="L410" s="585">
        <f t="shared" si="69"/>
        <v>0.15723454707492479</v>
      </c>
      <c r="M410" s="585">
        <f t="shared" si="70"/>
        <v>4.200000000000001E-2</v>
      </c>
      <c r="N410" s="585">
        <f t="shared" si="63"/>
        <v>4.6650000000000004E-2</v>
      </c>
      <c r="O410" s="586">
        <f t="shared" si="71"/>
        <v>0.11523454707492478</v>
      </c>
      <c r="P410" s="585">
        <f t="shared" si="64"/>
        <v>0.11058454707492479</v>
      </c>
      <c r="Q410" s="585">
        <f t="shared" si="65"/>
        <v>0.14889519785957228</v>
      </c>
      <c r="R410" s="585">
        <f t="shared" si="66"/>
        <v>4.9600000000000005E-2</v>
      </c>
      <c r="S410" s="586">
        <f t="shared" si="67"/>
        <v>9.9295197859572276E-2</v>
      </c>
      <c r="U410" s="587"/>
      <c r="V410" s="587"/>
      <c r="W410" s="587"/>
      <c r="X410" s="587"/>
      <c r="Y410" s="587"/>
      <c r="Z410" s="587"/>
      <c r="AA410" s="587"/>
      <c r="AB410" s="587"/>
      <c r="AC410" s="587"/>
      <c r="AE410" s="587"/>
      <c r="AF410" s="587"/>
      <c r="AG410" s="587"/>
      <c r="AH410" s="587"/>
      <c r="AI410" s="587"/>
      <c r="AJ410" s="587"/>
      <c r="AK410" s="587"/>
      <c r="AL410" s="587"/>
      <c r="AM410" s="587"/>
      <c r="AO410" s="587"/>
      <c r="AP410" s="587"/>
      <c r="AQ410" s="587"/>
      <c r="AR410" s="587"/>
      <c r="AS410" s="587"/>
      <c r="AT410" s="587"/>
      <c r="AU410" s="587"/>
      <c r="AV410" s="587"/>
      <c r="AW410" s="587"/>
    </row>
    <row r="411" spans="1:49">
      <c r="A411" s="581">
        <v>21855</v>
      </c>
      <c r="B411" s="594">
        <v>1.8599999999999998E-2</v>
      </c>
      <c r="C411" s="577">
        <v>9.9999999999999829E-5</v>
      </c>
      <c r="D411" s="577">
        <v>3.5000000000000005E-3</v>
      </c>
      <c r="E411" s="577">
        <v>3.7999999999999996E-3</v>
      </c>
      <c r="F411" s="577">
        <v>3.9166666666666664E-3</v>
      </c>
      <c r="G411" s="577">
        <v>3.858333333333333E-3</v>
      </c>
      <c r="H411" s="577">
        <v>4.0833333333333338E-3</v>
      </c>
      <c r="I411" s="577">
        <f t="shared" si="68"/>
        <v>1.5099999999999999E-2</v>
      </c>
      <c r="J411" s="577">
        <f t="shared" si="61"/>
        <v>1.4741666666666665E-2</v>
      </c>
      <c r="K411" s="577">
        <f t="shared" si="62"/>
        <v>-3.9833333333333335E-3</v>
      </c>
      <c r="L411" s="585">
        <f t="shared" si="69"/>
        <v>0.14620683552170211</v>
      </c>
      <c r="M411" s="585">
        <f t="shared" si="70"/>
        <v>4.200000000000001E-2</v>
      </c>
      <c r="N411" s="585">
        <f t="shared" si="63"/>
        <v>4.6299999999999994E-2</v>
      </c>
      <c r="O411" s="586">
        <f t="shared" si="71"/>
        <v>0.1042068355217021</v>
      </c>
      <c r="P411" s="585">
        <f t="shared" si="64"/>
        <v>9.9906835521702111E-2</v>
      </c>
      <c r="Q411" s="585">
        <f t="shared" si="65"/>
        <v>0.11956551435190343</v>
      </c>
      <c r="R411" s="585">
        <f t="shared" si="66"/>
        <v>4.9000000000000002E-2</v>
      </c>
      <c r="S411" s="586">
        <f t="shared" si="67"/>
        <v>7.0565514351903433E-2</v>
      </c>
      <c r="U411" s="587"/>
      <c r="V411" s="587"/>
      <c r="W411" s="587"/>
      <c r="X411" s="587"/>
      <c r="Y411" s="587"/>
      <c r="Z411" s="587"/>
      <c r="AA411" s="587"/>
      <c r="AB411" s="587"/>
      <c r="AC411" s="587"/>
      <c r="AE411" s="587"/>
      <c r="AF411" s="587"/>
      <c r="AG411" s="587"/>
      <c r="AH411" s="587"/>
      <c r="AI411" s="587"/>
      <c r="AJ411" s="587"/>
      <c r="AK411" s="587"/>
      <c r="AL411" s="587"/>
      <c r="AM411" s="587"/>
      <c r="AO411" s="587"/>
      <c r="AP411" s="587"/>
      <c r="AQ411" s="587"/>
      <c r="AR411" s="587"/>
      <c r="AS411" s="587"/>
      <c r="AT411" s="587"/>
      <c r="AU411" s="587"/>
      <c r="AV411" s="587"/>
      <c r="AW411" s="587"/>
    </row>
    <row r="412" spans="1:49">
      <c r="A412" s="581">
        <v>21885</v>
      </c>
      <c r="B412" s="594">
        <v>2.92E-2</v>
      </c>
      <c r="C412" s="577">
        <v>2.3E-2</v>
      </c>
      <c r="D412" s="577">
        <v>3.5999999999999999E-3</v>
      </c>
      <c r="E412" s="577">
        <v>3.8166666666666666E-3</v>
      </c>
      <c r="F412" s="577">
        <v>3.9500000000000004E-3</v>
      </c>
      <c r="G412" s="577">
        <v>3.8833333333333333E-3</v>
      </c>
      <c r="H412" s="577">
        <v>4.1333333333333335E-3</v>
      </c>
      <c r="I412" s="577">
        <f t="shared" si="68"/>
        <v>2.5600000000000001E-2</v>
      </c>
      <c r="J412" s="577">
        <f t="shared" si="61"/>
        <v>2.5316666666666668E-2</v>
      </c>
      <c r="K412" s="577">
        <f t="shared" si="62"/>
        <v>1.8866666666666667E-2</v>
      </c>
      <c r="L412" s="585">
        <f t="shared" si="69"/>
        <v>0.11976846238152405</v>
      </c>
      <c r="M412" s="585">
        <f t="shared" si="70"/>
        <v>4.3200000000000002E-2</v>
      </c>
      <c r="N412" s="585">
        <f t="shared" si="63"/>
        <v>4.6600000000000003E-2</v>
      </c>
      <c r="O412" s="586">
        <f t="shared" si="71"/>
        <v>7.6568462381524052E-2</v>
      </c>
      <c r="P412" s="585">
        <f t="shared" si="64"/>
        <v>7.3168462381524052E-2</v>
      </c>
      <c r="Q412" s="585">
        <f t="shared" si="65"/>
        <v>7.490898280806868E-2</v>
      </c>
      <c r="R412" s="585">
        <f t="shared" si="66"/>
        <v>4.9600000000000005E-2</v>
      </c>
      <c r="S412" s="586">
        <f t="shared" si="67"/>
        <v>2.5308982808068675E-2</v>
      </c>
      <c r="U412" s="587"/>
      <c r="V412" s="587"/>
      <c r="W412" s="587"/>
      <c r="X412" s="587"/>
      <c r="Y412" s="587"/>
      <c r="Z412" s="587"/>
      <c r="AA412" s="587"/>
      <c r="AB412" s="587"/>
      <c r="AC412" s="587"/>
      <c r="AE412" s="587"/>
      <c r="AF412" s="587"/>
      <c r="AG412" s="587"/>
      <c r="AH412" s="587"/>
      <c r="AI412" s="587"/>
      <c r="AJ412" s="587"/>
      <c r="AK412" s="587"/>
      <c r="AL412" s="587"/>
      <c r="AM412" s="587"/>
      <c r="AO412" s="587"/>
      <c r="AP412" s="587"/>
      <c r="AQ412" s="587"/>
      <c r="AR412" s="587"/>
      <c r="AS412" s="587"/>
      <c r="AT412" s="587"/>
      <c r="AU412" s="587"/>
      <c r="AV412" s="587"/>
      <c r="AW412" s="587"/>
    </row>
    <row r="413" spans="1:49">
      <c r="A413" s="581">
        <v>21916</v>
      </c>
      <c r="B413" s="594">
        <v>-7.0000000000000007E-2</v>
      </c>
      <c r="C413" s="577">
        <v>-1.0800000000000001E-2</v>
      </c>
      <c r="D413" s="577">
        <v>3.5000000000000005E-3</v>
      </c>
      <c r="E413" s="577">
        <v>3.8416666666666673E-3</v>
      </c>
      <c r="F413" s="577">
        <v>3.9749999999999994E-3</v>
      </c>
      <c r="G413" s="577">
        <v>3.908333333333334E-3</v>
      </c>
      <c r="H413" s="577">
        <v>4.1833333333333332E-3</v>
      </c>
      <c r="I413" s="577">
        <f t="shared" si="68"/>
        <v>-7.350000000000001E-2</v>
      </c>
      <c r="J413" s="577">
        <f t="shared" ref="J413:J476" si="72">B413-G413</f>
        <v>-7.390833333333334E-2</v>
      </c>
      <c r="K413" s="577">
        <f t="shared" ref="K413:K476" si="73">$C413-H413</f>
        <v>-1.4983333333333335E-2</v>
      </c>
      <c r="L413" s="585">
        <f t="shared" si="69"/>
        <v>3.5894429538264161E-2</v>
      </c>
      <c r="M413" s="585">
        <f t="shared" si="70"/>
        <v>4.200000000000001E-2</v>
      </c>
      <c r="N413" s="585">
        <f t="shared" si="63"/>
        <v>4.6900000000000011E-2</v>
      </c>
      <c r="O413" s="586">
        <f t="shared" si="71"/>
        <v>-6.1055704617358486E-3</v>
      </c>
      <c r="P413" s="585">
        <f t="shared" si="64"/>
        <v>-1.100557046173585E-2</v>
      </c>
      <c r="Q413" s="585">
        <f t="shared" si="65"/>
        <v>4.9240147813046198E-2</v>
      </c>
      <c r="R413" s="585">
        <f t="shared" si="66"/>
        <v>5.0199999999999995E-2</v>
      </c>
      <c r="S413" s="586">
        <f t="shared" si="67"/>
        <v>-9.5985218695379682E-4</v>
      </c>
      <c r="U413" s="587"/>
      <c r="V413" s="587"/>
      <c r="W413" s="587"/>
      <c r="X413" s="587"/>
      <c r="Y413" s="587"/>
      <c r="Z413" s="587"/>
      <c r="AA413" s="587"/>
      <c r="AB413" s="587"/>
      <c r="AC413" s="587"/>
      <c r="AE413" s="587"/>
      <c r="AF413" s="587"/>
      <c r="AG413" s="587"/>
      <c r="AH413" s="587"/>
      <c r="AI413" s="587"/>
      <c r="AJ413" s="587"/>
      <c r="AK413" s="587"/>
      <c r="AL413" s="587"/>
      <c r="AM413" s="587"/>
      <c r="AO413" s="587"/>
      <c r="AP413" s="587"/>
      <c r="AQ413" s="587"/>
      <c r="AR413" s="587"/>
      <c r="AS413" s="587"/>
      <c r="AT413" s="587"/>
      <c r="AU413" s="587"/>
      <c r="AV413" s="587"/>
      <c r="AW413" s="587"/>
    </row>
    <row r="414" spans="1:49">
      <c r="A414" s="581">
        <v>21947</v>
      </c>
      <c r="B414" s="594">
        <v>1.47E-2</v>
      </c>
      <c r="C414" s="577">
        <v>1.8099999999999998E-2</v>
      </c>
      <c r="D414" s="577">
        <v>3.7000000000000002E-3</v>
      </c>
      <c r="E414" s="577">
        <v>3.7999999999999996E-3</v>
      </c>
      <c r="F414" s="577">
        <v>3.9250000000000005E-3</v>
      </c>
      <c r="G414" s="577">
        <v>3.8624999999999996E-3</v>
      </c>
      <c r="H414" s="577">
        <v>4.1666666666666666E-3</v>
      </c>
      <c r="I414" s="577">
        <f t="shared" si="68"/>
        <v>1.0999999999999999E-2</v>
      </c>
      <c r="J414" s="577">
        <f t="shared" si="72"/>
        <v>1.08375E-2</v>
      </c>
      <c r="K414" s="577">
        <f t="shared" si="73"/>
        <v>1.3933333333333332E-2</v>
      </c>
      <c r="L414" s="585">
        <f t="shared" si="69"/>
        <v>4.5996693852599302E-2</v>
      </c>
      <c r="M414" s="585">
        <f t="shared" si="70"/>
        <v>4.4400000000000002E-2</v>
      </c>
      <c r="N414" s="585">
        <f t="shared" si="63"/>
        <v>4.6349999999999995E-2</v>
      </c>
      <c r="O414" s="586">
        <f t="shared" si="71"/>
        <v>1.5966938525992999E-3</v>
      </c>
      <c r="P414" s="585">
        <f t="shared" si="64"/>
        <v>-3.5330614740069349E-4</v>
      </c>
      <c r="Q414" s="585">
        <f t="shared" si="65"/>
        <v>4.6669992640077096E-2</v>
      </c>
      <c r="R414" s="585">
        <f t="shared" si="66"/>
        <v>0.05</v>
      </c>
      <c r="S414" s="586">
        <f t="shared" si="67"/>
        <v>-3.3300073599229069E-3</v>
      </c>
      <c r="U414" s="587"/>
      <c r="V414" s="587"/>
      <c r="W414" s="587"/>
      <c r="X414" s="587"/>
      <c r="Y414" s="587"/>
      <c r="Z414" s="587"/>
      <c r="AA414" s="587"/>
      <c r="AB414" s="587"/>
      <c r="AC414" s="587"/>
      <c r="AE414" s="587"/>
      <c r="AF414" s="587"/>
      <c r="AG414" s="587"/>
      <c r="AH414" s="587"/>
      <c r="AI414" s="587"/>
      <c r="AJ414" s="587"/>
      <c r="AK414" s="587"/>
      <c r="AL414" s="587"/>
      <c r="AM414" s="587"/>
      <c r="AO414" s="587"/>
      <c r="AP414" s="587"/>
      <c r="AQ414" s="587"/>
      <c r="AR414" s="587"/>
      <c r="AS414" s="587"/>
      <c r="AT414" s="587"/>
      <c r="AU414" s="587"/>
      <c r="AV414" s="587"/>
      <c r="AW414" s="587"/>
    </row>
    <row r="415" spans="1:49">
      <c r="A415" s="581">
        <v>21976</v>
      </c>
      <c r="B415" s="594">
        <v>-1.23E-2</v>
      </c>
      <c r="C415" s="577">
        <v>1.41E-2</v>
      </c>
      <c r="D415" s="577">
        <v>3.5999999999999999E-3</v>
      </c>
      <c r="E415" s="577">
        <v>3.741666666666667E-3</v>
      </c>
      <c r="F415" s="577">
        <v>3.8500000000000001E-3</v>
      </c>
      <c r="G415" s="577">
        <v>3.7958333333333338E-3</v>
      </c>
      <c r="H415" s="577">
        <v>4.0916666666666671E-3</v>
      </c>
      <c r="I415" s="577">
        <f t="shared" si="68"/>
        <v>-1.5900000000000001E-2</v>
      </c>
      <c r="J415" s="577">
        <f t="shared" si="72"/>
        <v>-1.6095833333333334E-2</v>
      </c>
      <c r="K415" s="577">
        <f t="shared" si="73"/>
        <v>1.0008333333333333E-2</v>
      </c>
      <c r="L415" s="585">
        <f t="shared" si="69"/>
        <v>3.1068796924363706E-2</v>
      </c>
      <c r="M415" s="585">
        <f t="shared" si="70"/>
        <v>4.3200000000000002E-2</v>
      </c>
      <c r="N415" s="585">
        <f t="shared" si="63"/>
        <v>4.5550000000000007E-2</v>
      </c>
      <c r="O415" s="586">
        <f t="shared" si="71"/>
        <v>-1.2131203075636296E-2</v>
      </c>
      <c r="P415" s="585">
        <f t="shared" si="64"/>
        <v>-1.4481203075636301E-2</v>
      </c>
      <c r="Q415" s="585">
        <f t="shared" si="65"/>
        <v>5.0710789483569663E-2</v>
      </c>
      <c r="R415" s="585">
        <f t="shared" si="66"/>
        <v>4.9100000000000005E-2</v>
      </c>
      <c r="S415" s="586">
        <f t="shared" si="67"/>
        <v>1.6107894835696579E-3</v>
      </c>
      <c r="U415" s="587"/>
      <c r="V415" s="587"/>
      <c r="W415" s="587"/>
      <c r="X415" s="587"/>
      <c r="Y415" s="587"/>
      <c r="Z415" s="587"/>
      <c r="AA415" s="587"/>
      <c r="AB415" s="587"/>
      <c r="AC415" s="587"/>
      <c r="AE415" s="587"/>
      <c r="AF415" s="587"/>
      <c r="AG415" s="587"/>
      <c r="AH415" s="587"/>
      <c r="AI415" s="587"/>
      <c r="AJ415" s="587"/>
      <c r="AK415" s="587"/>
      <c r="AL415" s="587"/>
      <c r="AM415" s="587"/>
      <c r="AO415" s="587"/>
      <c r="AP415" s="587"/>
      <c r="AQ415" s="587"/>
      <c r="AR415" s="587"/>
      <c r="AS415" s="587"/>
      <c r="AT415" s="587"/>
      <c r="AU415" s="587"/>
      <c r="AV415" s="587"/>
      <c r="AW415" s="587"/>
    </row>
    <row r="416" spans="1:49">
      <c r="A416" s="581">
        <v>22007</v>
      </c>
      <c r="B416" s="594">
        <v>-1.61E-2</v>
      </c>
      <c r="C416" s="577">
        <v>7.4999999999999997E-3</v>
      </c>
      <c r="D416" s="577">
        <v>3.2000000000000002E-3</v>
      </c>
      <c r="E416" s="577">
        <v>3.7083333333333334E-3</v>
      </c>
      <c r="F416" s="577">
        <v>3.8166666666666666E-3</v>
      </c>
      <c r="G416" s="577">
        <v>3.7624999999999998E-3</v>
      </c>
      <c r="H416" s="577">
        <v>3.9916666666666668E-3</v>
      </c>
      <c r="I416" s="577">
        <f t="shared" si="68"/>
        <v>-1.9300000000000001E-2</v>
      </c>
      <c r="J416" s="577">
        <f t="shared" si="72"/>
        <v>-1.9862499999999998E-2</v>
      </c>
      <c r="K416" s="577">
        <f t="shared" si="73"/>
        <v>3.5083333333333329E-3</v>
      </c>
      <c r="L416" s="585">
        <f t="shared" si="69"/>
        <v>-2.4736983951277214E-2</v>
      </c>
      <c r="M416" s="585">
        <f t="shared" si="70"/>
        <v>3.8400000000000004E-2</v>
      </c>
      <c r="N416" s="585">
        <f t="shared" si="63"/>
        <v>4.5149999999999996E-2</v>
      </c>
      <c r="O416" s="586">
        <f t="shared" si="71"/>
        <v>-6.3136983951277217E-2</v>
      </c>
      <c r="P416" s="585">
        <f t="shared" si="64"/>
        <v>-6.988698395127721E-2</v>
      </c>
      <c r="Q416" s="585">
        <f t="shared" si="65"/>
        <v>6.1563498199655342E-2</v>
      </c>
      <c r="R416" s="585">
        <f t="shared" si="66"/>
        <v>4.7899999999999998E-2</v>
      </c>
      <c r="S416" s="586">
        <f t="shared" si="67"/>
        <v>1.3663498199655344E-2</v>
      </c>
      <c r="U416" s="587"/>
      <c r="V416" s="587"/>
      <c r="W416" s="587"/>
      <c r="X416" s="587"/>
      <c r="Y416" s="587"/>
      <c r="Z416" s="587"/>
      <c r="AA416" s="587"/>
      <c r="AB416" s="587"/>
      <c r="AC416" s="587"/>
      <c r="AE416" s="587"/>
      <c r="AF416" s="587"/>
      <c r="AG416" s="587"/>
      <c r="AH416" s="587"/>
      <c r="AI416" s="587"/>
      <c r="AJ416" s="587"/>
      <c r="AK416" s="587"/>
      <c r="AL416" s="587"/>
      <c r="AM416" s="587"/>
      <c r="AO416" s="587"/>
      <c r="AP416" s="587"/>
      <c r="AQ416" s="587"/>
      <c r="AR416" s="587"/>
      <c r="AS416" s="587"/>
      <c r="AT416" s="587"/>
      <c r="AU416" s="587"/>
      <c r="AV416" s="587"/>
      <c r="AW416" s="587"/>
    </row>
    <row r="417" spans="1:49">
      <c r="A417" s="581">
        <v>22037</v>
      </c>
      <c r="B417" s="594">
        <v>3.2599999999999997E-2</v>
      </c>
      <c r="C417" s="577">
        <v>2.3300000000000001E-2</v>
      </c>
      <c r="D417" s="577">
        <v>3.7000000000000002E-3</v>
      </c>
      <c r="E417" s="577">
        <v>3.7166666666666663E-3</v>
      </c>
      <c r="F417" s="577">
        <v>3.8416666666666673E-3</v>
      </c>
      <c r="G417" s="577">
        <v>3.7791666666666668E-3</v>
      </c>
      <c r="H417" s="577">
        <v>4.0500000000000006E-3</v>
      </c>
      <c r="I417" s="577">
        <f t="shared" si="68"/>
        <v>2.8899999999999995E-2</v>
      </c>
      <c r="J417" s="577">
        <f t="shared" si="72"/>
        <v>2.882083333333333E-2</v>
      </c>
      <c r="K417" s="577">
        <f t="shared" si="73"/>
        <v>1.925E-2</v>
      </c>
      <c r="L417" s="585">
        <f t="shared" si="69"/>
        <v>-1.6546298464931053E-2</v>
      </c>
      <c r="M417" s="585">
        <f t="shared" si="70"/>
        <v>4.4400000000000002E-2</v>
      </c>
      <c r="N417" s="585">
        <f t="shared" si="63"/>
        <v>4.5350000000000001E-2</v>
      </c>
      <c r="O417" s="586">
        <f t="shared" si="71"/>
        <v>-6.0946298464931055E-2</v>
      </c>
      <c r="P417" s="585">
        <f t="shared" si="64"/>
        <v>-6.1896298464931054E-2</v>
      </c>
      <c r="Q417" s="585">
        <f t="shared" si="65"/>
        <v>9.9491829663671538E-2</v>
      </c>
      <c r="R417" s="585">
        <f t="shared" si="66"/>
        <v>4.8600000000000004E-2</v>
      </c>
      <c r="S417" s="586">
        <f t="shared" si="67"/>
        <v>5.0891829663671534E-2</v>
      </c>
      <c r="U417" s="587"/>
      <c r="V417" s="587"/>
      <c r="W417" s="587"/>
      <c r="X417" s="587"/>
      <c r="Y417" s="587"/>
      <c r="Z417" s="587"/>
      <c r="AA417" s="587"/>
      <c r="AB417" s="587"/>
      <c r="AC417" s="587"/>
      <c r="AE417" s="587"/>
      <c r="AF417" s="587"/>
      <c r="AG417" s="587"/>
      <c r="AH417" s="587"/>
      <c r="AI417" s="587"/>
      <c r="AJ417" s="587"/>
      <c r="AK417" s="587"/>
      <c r="AL417" s="587"/>
      <c r="AM417" s="587"/>
      <c r="AO417" s="587"/>
      <c r="AP417" s="587"/>
      <c r="AQ417" s="587"/>
      <c r="AR417" s="587"/>
      <c r="AS417" s="587"/>
      <c r="AT417" s="587"/>
      <c r="AU417" s="587"/>
      <c r="AV417" s="587"/>
      <c r="AW417" s="587"/>
    </row>
    <row r="418" spans="1:49">
      <c r="A418" s="581">
        <v>22068</v>
      </c>
      <c r="B418" s="594">
        <v>2.1100000000000001E-2</v>
      </c>
      <c r="C418" s="577">
        <v>4.0799999999999989E-2</v>
      </c>
      <c r="D418" s="577">
        <v>3.3999999999999998E-3</v>
      </c>
      <c r="E418" s="577">
        <v>3.7083333333333334E-3</v>
      </c>
      <c r="F418" s="577">
        <v>3.8333333333333331E-3</v>
      </c>
      <c r="G418" s="577">
        <v>3.7708333333333331E-3</v>
      </c>
      <c r="H418" s="577">
        <v>4.0333333333333332E-3</v>
      </c>
      <c r="I418" s="577">
        <f t="shared" si="68"/>
        <v>1.77E-2</v>
      </c>
      <c r="J418" s="577">
        <f t="shared" si="72"/>
        <v>1.7329166666666666E-2</v>
      </c>
      <c r="K418" s="577">
        <f t="shared" si="73"/>
        <v>3.6766666666666656E-2</v>
      </c>
      <c r="L418" s="585">
        <f t="shared" si="69"/>
        <v>6.4186957681489076E-3</v>
      </c>
      <c r="M418" s="585">
        <f t="shared" si="70"/>
        <v>4.0799999999999996E-2</v>
      </c>
      <c r="N418" s="585">
        <f t="shared" si="63"/>
        <v>4.5249999999999999E-2</v>
      </c>
      <c r="O418" s="586">
        <f t="shared" si="71"/>
        <v>-3.4381304231851088E-2</v>
      </c>
      <c r="P418" s="585">
        <f t="shared" si="64"/>
        <v>-3.8831304231851091E-2</v>
      </c>
      <c r="Q418" s="585">
        <f t="shared" si="65"/>
        <v>0.15451079127718859</v>
      </c>
      <c r="R418" s="585">
        <f t="shared" si="66"/>
        <v>4.8399999999999999E-2</v>
      </c>
      <c r="S418" s="586">
        <f t="shared" si="67"/>
        <v>0.10611079127718859</v>
      </c>
      <c r="U418" s="587"/>
      <c r="V418" s="587"/>
      <c r="W418" s="587"/>
      <c r="X418" s="587"/>
      <c r="Y418" s="587"/>
      <c r="Z418" s="587"/>
      <c r="AA418" s="587"/>
      <c r="AB418" s="587"/>
      <c r="AC418" s="587"/>
      <c r="AE418" s="587"/>
      <c r="AF418" s="587"/>
      <c r="AG418" s="587"/>
      <c r="AH418" s="587"/>
      <c r="AI418" s="587"/>
      <c r="AJ418" s="587"/>
      <c r="AK418" s="587"/>
      <c r="AL418" s="587"/>
      <c r="AM418" s="587"/>
      <c r="AO418" s="587"/>
      <c r="AP418" s="587"/>
      <c r="AQ418" s="587"/>
      <c r="AR418" s="587"/>
      <c r="AS418" s="587"/>
      <c r="AT418" s="587"/>
      <c r="AU418" s="587"/>
      <c r="AV418" s="587"/>
      <c r="AW418" s="587"/>
    </row>
    <row r="419" spans="1:49">
      <c r="A419" s="581">
        <v>22098</v>
      </c>
      <c r="B419" s="594">
        <v>-2.3400000000000001E-2</v>
      </c>
      <c r="C419" s="577">
        <v>-0.01</v>
      </c>
      <c r="D419" s="577">
        <v>3.2000000000000002E-3</v>
      </c>
      <c r="E419" s="577">
        <v>3.6749999999999999E-3</v>
      </c>
      <c r="F419" s="577">
        <v>3.7999999999999996E-3</v>
      </c>
      <c r="G419" s="577">
        <v>3.7374999999999995E-3</v>
      </c>
      <c r="H419" s="577">
        <v>3.9916666666666668E-3</v>
      </c>
      <c r="I419" s="577">
        <f t="shared" si="68"/>
        <v>-2.6600000000000002E-2</v>
      </c>
      <c r="J419" s="577">
        <f t="shared" si="72"/>
        <v>-2.7137500000000002E-2</v>
      </c>
      <c r="K419" s="577">
        <f t="shared" si="73"/>
        <v>-1.3991666666666666E-2</v>
      </c>
      <c r="L419" s="585">
        <f t="shared" si="69"/>
        <v>-5.1559878136471782E-2</v>
      </c>
      <c r="M419" s="585">
        <f t="shared" si="70"/>
        <v>3.8400000000000004E-2</v>
      </c>
      <c r="N419" s="585">
        <f t="shared" si="63"/>
        <v>4.4849999999999994E-2</v>
      </c>
      <c r="O419" s="586">
        <f t="shared" si="71"/>
        <v>-8.9959878136471785E-2</v>
      </c>
      <c r="P419" s="585">
        <f t="shared" si="64"/>
        <v>-9.6409878136471783E-2</v>
      </c>
      <c r="Q419" s="585">
        <f t="shared" si="65"/>
        <v>0.10207856847403018</v>
      </c>
      <c r="R419" s="585">
        <f t="shared" si="66"/>
        <v>4.7899999999999998E-2</v>
      </c>
      <c r="S419" s="586">
        <f t="shared" si="67"/>
        <v>5.4178568474030186E-2</v>
      </c>
      <c r="U419" s="587"/>
      <c r="V419" s="587"/>
      <c r="W419" s="587"/>
      <c r="X419" s="587"/>
      <c r="Y419" s="587"/>
      <c r="Z419" s="587"/>
      <c r="AA419" s="587"/>
      <c r="AB419" s="587"/>
      <c r="AC419" s="587"/>
      <c r="AE419" s="587"/>
      <c r="AF419" s="587"/>
      <c r="AG419" s="587"/>
      <c r="AH419" s="587"/>
      <c r="AI419" s="587"/>
      <c r="AJ419" s="587"/>
      <c r="AK419" s="587"/>
      <c r="AL419" s="587"/>
      <c r="AM419" s="587"/>
      <c r="AO419" s="587"/>
      <c r="AP419" s="587"/>
      <c r="AQ419" s="587"/>
      <c r="AR419" s="587"/>
      <c r="AS419" s="587"/>
      <c r="AT419" s="587"/>
      <c r="AU419" s="587"/>
      <c r="AV419" s="587"/>
      <c r="AW419" s="587"/>
    </row>
    <row r="420" spans="1:49">
      <c r="A420" s="581">
        <v>22129</v>
      </c>
      <c r="B420" s="594">
        <v>3.1699999999999999E-2</v>
      </c>
      <c r="C420" s="577">
        <v>5.0200000000000002E-2</v>
      </c>
      <c r="D420" s="577">
        <v>3.3999999999999998E-3</v>
      </c>
      <c r="E420" s="577">
        <v>3.5666666666666668E-3</v>
      </c>
      <c r="F420" s="577">
        <v>3.7000000000000006E-3</v>
      </c>
      <c r="G420" s="577">
        <v>3.6333333333333339E-3</v>
      </c>
      <c r="H420" s="577">
        <v>3.8666666666666667E-3</v>
      </c>
      <c r="I420" s="577">
        <f t="shared" si="68"/>
        <v>2.8299999999999999E-2</v>
      </c>
      <c r="J420" s="577">
        <f t="shared" si="72"/>
        <v>2.8066666666666663E-2</v>
      </c>
      <c r="K420" s="577">
        <f t="shared" si="73"/>
        <v>4.6333333333333337E-2</v>
      </c>
      <c r="L420" s="585">
        <f t="shared" si="69"/>
        <v>-1.141071557223472E-2</v>
      </c>
      <c r="M420" s="585">
        <f t="shared" si="70"/>
        <v>4.0799999999999996E-2</v>
      </c>
      <c r="N420" s="585">
        <f t="shared" si="63"/>
        <v>4.3600000000000007E-2</v>
      </c>
      <c r="O420" s="586">
        <f t="shared" si="71"/>
        <v>-5.2210715572234716E-2</v>
      </c>
      <c r="P420" s="585">
        <f t="shared" si="64"/>
        <v>-5.5010715572234727E-2</v>
      </c>
      <c r="Q420" s="585">
        <f t="shared" si="65"/>
        <v>0.13749672001123003</v>
      </c>
      <c r="R420" s="585">
        <f t="shared" si="66"/>
        <v>4.6399999999999997E-2</v>
      </c>
      <c r="S420" s="586">
        <f t="shared" si="67"/>
        <v>9.1096720011230037E-2</v>
      </c>
      <c r="U420" s="587"/>
      <c r="V420" s="587"/>
      <c r="W420" s="587"/>
      <c r="X420" s="587"/>
      <c r="Y420" s="587"/>
      <c r="Z420" s="587"/>
      <c r="AA420" s="587"/>
      <c r="AB420" s="587"/>
      <c r="AC420" s="587"/>
      <c r="AE420" s="587"/>
      <c r="AF420" s="587"/>
      <c r="AG420" s="587"/>
      <c r="AH420" s="587"/>
      <c r="AI420" s="587"/>
      <c r="AJ420" s="587"/>
      <c r="AK420" s="587"/>
      <c r="AL420" s="587"/>
      <c r="AM420" s="587"/>
      <c r="AO420" s="587"/>
      <c r="AP420" s="587"/>
      <c r="AQ420" s="587"/>
      <c r="AR420" s="587"/>
      <c r="AS420" s="587"/>
      <c r="AT420" s="587"/>
      <c r="AU420" s="587"/>
      <c r="AV420" s="587"/>
      <c r="AW420" s="587"/>
    </row>
    <row r="421" spans="1:49">
      <c r="A421" s="581">
        <v>22160</v>
      </c>
      <c r="B421" s="594">
        <v>-5.8999999999999997E-2</v>
      </c>
      <c r="C421" s="577">
        <v>-5.1400000000000008E-2</v>
      </c>
      <c r="D421" s="577">
        <v>3.2000000000000002E-3</v>
      </c>
      <c r="E421" s="577">
        <v>3.5416666666666669E-3</v>
      </c>
      <c r="F421" s="577">
        <v>3.6749999999999999E-3</v>
      </c>
      <c r="G421" s="577">
        <v>3.6083333333333332E-3</v>
      </c>
      <c r="H421" s="577">
        <v>3.8083333333333337E-3</v>
      </c>
      <c r="I421" s="577">
        <f t="shared" si="68"/>
        <v>-6.2199999999999998E-2</v>
      </c>
      <c r="J421" s="577">
        <f t="shared" si="72"/>
        <v>-6.2608333333333335E-2</v>
      </c>
      <c r="K421" s="577">
        <f t="shared" si="73"/>
        <v>-5.5208333333333345E-2</v>
      </c>
      <c r="L421" s="585">
        <f t="shared" si="69"/>
        <v>-2.6616598674764846E-2</v>
      </c>
      <c r="M421" s="585">
        <f t="shared" si="70"/>
        <v>3.8400000000000004E-2</v>
      </c>
      <c r="N421" s="585">
        <f t="shared" si="63"/>
        <v>4.3299999999999998E-2</v>
      </c>
      <c r="O421" s="586">
        <f t="shared" si="71"/>
        <v>-6.501659867476485E-2</v>
      </c>
      <c r="P421" s="585">
        <f t="shared" si="64"/>
        <v>-6.9916598674764852E-2</v>
      </c>
      <c r="Q421" s="585">
        <f t="shared" si="65"/>
        <v>0.12316996835916827</v>
      </c>
      <c r="R421" s="585">
        <f t="shared" si="66"/>
        <v>4.5700000000000005E-2</v>
      </c>
      <c r="S421" s="586">
        <f t="shared" si="67"/>
        <v>7.7469968359168265E-2</v>
      </c>
      <c r="U421" s="587"/>
      <c r="V421" s="587"/>
      <c r="W421" s="587"/>
      <c r="X421" s="587"/>
      <c r="Y421" s="587"/>
      <c r="Z421" s="587"/>
      <c r="AA421" s="587"/>
      <c r="AB421" s="587"/>
      <c r="AC421" s="587"/>
      <c r="AE421" s="587"/>
      <c r="AF421" s="587"/>
      <c r="AG421" s="587"/>
      <c r="AH421" s="587"/>
      <c r="AI421" s="587"/>
      <c r="AJ421" s="587"/>
      <c r="AK421" s="587"/>
      <c r="AL421" s="587"/>
      <c r="AM421" s="587"/>
      <c r="AO421" s="587"/>
      <c r="AP421" s="587"/>
      <c r="AQ421" s="587"/>
      <c r="AR421" s="587"/>
      <c r="AS421" s="587"/>
      <c r="AT421" s="587"/>
      <c r="AU421" s="587"/>
      <c r="AV421" s="587"/>
      <c r="AW421" s="587"/>
    </row>
    <row r="422" spans="1:49">
      <c r="A422" s="581">
        <v>22190</v>
      </c>
      <c r="B422" s="594">
        <v>-6.9999999999999999E-4</v>
      </c>
      <c r="C422" s="577">
        <v>-1.1999999999999997E-3</v>
      </c>
      <c r="D422" s="577">
        <v>3.3E-3</v>
      </c>
      <c r="E422" s="577">
        <v>3.5833333333333333E-3</v>
      </c>
      <c r="F422" s="577">
        <v>3.7000000000000006E-3</v>
      </c>
      <c r="G422" s="577">
        <v>3.6416666666666667E-3</v>
      </c>
      <c r="H422" s="577">
        <v>3.8416666666666673E-3</v>
      </c>
      <c r="I422" s="577">
        <f t="shared" si="68"/>
        <v>-4.0000000000000001E-3</v>
      </c>
      <c r="J422" s="577">
        <f t="shared" si="72"/>
        <v>-4.3416666666666664E-3</v>
      </c>
      <c r="K422" s="577">
        <f t="shared" si="73"/>
        <v>-5.0416666666666665E-3</v>
      </c>
      <c r="L422" s="585">
        <f t="shared" si="69"/>
        <v>-3.9591199699538504E-2</v>
      </c>
      <c r="M422" s="585">
        <f t="shared" si="70"/>
        <v>3.9599999999999996E-2</v>
      </c>
      <c r="N422" s="585">
        <f t="shared" si="63"/>
        <v>4.3700000000000003E-2</v>
      </c>
      <c r="O422" s="586">
        <f t="shared" si="71"/>
        <v>-7.91911996995385E-2</v>
      </c>
      <c r="P422" s="585">
        <f t="shared" si="64"/>
        <v>-8.3291199699538507E-2</v>
      </c>
      <c r="Q422" s="585">
        <f t="shared" si="65"/>
        <v>0.10448180013501696</v>
      </c>
      <c r="R422" s="585">
        <f t="shared" si="66"/>
        <v>4.6100000000000009E-2</v>
      </c>
      <c r="S422" s="586">
        <f t="shared" si="67"/>
        <v>5.8381800135016947E-2</v>
      </c>
      <c r="U422" s="587"/>
      <c r="V422" s="587"/>
      <c r="W422" s="587"/>
      <c r="X422" s="587"/>
      <c r="Y422" s="587"/>
      <c r="Z422" s="587"/>
      <c r="AA422" s="587"/>
      <c r="AB422" s="587"/>
      <c r="AC422" s="587"/>
      <c r="AE422" s="587"/>
      <c r="AF422" s="587"/>
      <c r="AG422" s="587"/>
      <c r="AH422" s="587"/>
      <c r="AI422" s="587"/>
      <c r="AJ422" s="587"/>
      <c r="AK422" s="587"/>
      <c r="AL422" s="587"/>
      <c r="AM422" s="587"/>
      <c r="AO422" s="587"/>
      <c r="AP422" s="587"/>
      <c r="AQ422" s="587"/>
      <c r="AR422" s="587"/>
      <c r="AS422" s="587"/>
      <c r="AT422" s="587"/>
      <c r="AU422" s="587"/>
      <c r="AV422" s="587"/>
      <c r="AW422" s="587"/>
    </row>
    <row r="423" spans="1:49">
      <c r="A423" s="581">
        <v>22221</v>
      </c>
      <c r="B423" s="594">
        <v>4.65E-2</v>
      </c>
      <c r="C423" s="577">
        <v>3.8599999999999995E-2</v>
      </c>
      <c r="D423" s="577">
        <v>3.2000000000000002E-3</v>
      </c>
      <c r="E423" s="577">
        <v>3.5916666666666662E-3</v>
      </c>
      <c r="F423" s="577">
        <v>3.725E-3</v>
      </c>
      <c r="G423" s="577">
        <v>3.6583333333333333E-3</v>
      </c>
      <c r="H423" s="577">
        <v>3.8508333333333337E-3</v>
      </c>
      <c r="I423" s="577">
        <f t="shared" si="68"/>
        <v>4.3299999999999998E-2</v>
      </c>
      <c r="J423" s="577">
        <f t="shared" si="72"/>
        <v>4.2841666666666667E-2</v>
      </c>
      <c r="K423" s="577">
        <f t="shared" si="73"/>
        <v>3.4749166666666664E-2</v>
      </c>
      <c r="L423" s="585">
        <f t="shared" si="69"/>
        <v>-1.3285087851528599E-2</v>
      </c>
      <c r="M423" s="585">
        <f t="shared" si="70"/>
        <v>3.8400000000000004E-2</v>
      </c>
      <c r="N423" s="585">
        <f t="shared" si="63"/>
        <v>4.3900000000000002E-2</v>
      </c>
      <c r="O423" s="586">
        <f t="shared" si="71"/>
        <v>-5.1685087851528602E-2</v>
      </c>
      <c r="P423" s="585">
        <f t="shared" si="64"/>
        <v>-5.71850878515286E-2</v>
      </c>
      <c r="Q423" s="585">
        <f t="shared" si="65"/>
        <v>0.14700009761046773</v>
      </c>
      <c r="R423" s="585">
        <f t="shared" si="66"/>
        <v>4.6210000000000001E-2</v>
      </c>
      <c r="S423" s="586">
        <f t="shared" si="67"/>
        <v>0.10079009761046773</v>
      </c>
      <c r="U423" s="587"/>
      <c r="V423" s="587"/>
      <c r="W423" s="587"/>
      <c r="X423" s="587"/>
      <c r="Y423" s="587"/>
      <c r="Z423" s="587"/>
      <c r="AA423" s="587"/>
      <c r="AB423" s="587"/>
      <c r="AC423" s="587"/>
      <c r="AE423" s="587"/>
      <c r="AF423" s="587"/>
      <c r="AG423" s="587"/>
      <c r="AH423" s="587"/>
      <c r="AI423" s="587"/>
      <c r="AJ423" s="587"/>
      <c r="AK423" s="587"/>
      <c r="AL423" s="587"/>
      <c r="AM423" s="587"/>
      <c r="AO423" s="587"/>
      <c r="AP423" s="587"/>
      <c r="AQ423" s="587"/>
      <c r="AR423" s="587"/>
      <c r="AS423" s="587"/>
      <c r="AT423" s="587"/>
      <c r="AU423" s="587"/>
      <c r="AV423" s="587"/>
      <c r="AW423" s="587"/>
    </row>
    <row r="424" spans="1:49">
      <c r="A424" s="581">
        <v>22251</v>
      </c>
      <c r="B424" s="594">
        <v>4.7899999999999998E-2</v>
      </c>
      <c r="C424" s="577">
        <v>7.2399999999999992E-2</v>
      </c>
      <c r="D424" s="577">
        <v>3.3E-3</v>
      </c>
      <c r="E424" s="577">
        <v>3.6249999999999998E-3</v>
      </c>
      <c r="F424" s="577">
        <v>3.7499999999999999E-3</v>
      </c>
      <c r="G424" s="577">
        <v>3.6875000000000002E-3</v>
      </c>
      <c r="H424" s="577">
        <v>3.875E-3</v>
      </c>
      <c r="I424" s="577">
        <f t="shared" si="68"/>
        <v>4.4600000000000001E-2</v>
      </c>
      <c r="J424" s="577">
        <f t="shared" si="72"/>
        <v>4.4212499999999995E-2</v>
      </c>
      <c r="K424" s="577">
        <f t="shared" si="73"/>
        <v>6.8524999999999989E-2</v>
      </c>
      <c r="L424" s="585">
        <f t="shared" si="69"/>
        <v>4.6429813839716783E-3</v>
      </c>
      <c r="M424" s="585">
        <f t="shared" si="70"/>
        <v>3.9599999999999996E-2</v>
      </c>
      <c r="N424" s="585">
        <f t="shared" ref="N424:N487" si="74">G424*12</f>
        <v>4.4250000000000005E-2</v>
      </c>
      <c r="O424" s="586">
        <f t="shared" si="71"/>
        <v>-3.4957018616028318E-2</v>
      </c>
      <c r="P424" s="585">
        <f t="shared" ref="P424:P487" si="75">L424-N424</f>
        <v>-3.9607018616028326E-2</v>
      </c>
      <c r="Q424" s="585">
        <f t="shared" ref="Q424:Q487" si="76">((1+C413)*(1+C414)*(1+C415)*(1+C416)*(1+C417)*(1+C418)*(1+C419)*(1+C420)*(1+C421)*(1+C422)*(1+C423)*(1+C424))-1</f>
        <v>0.20238798111189249</v>
      </c>
      <c r="R424" s="585">
        <f t="shared" ref="R424:R487" si="77">H424*12</f>
        <v>4.65E-2</v>
      </c>
      <c r="S424" s="586">
        <f t="shared" ref="S424:S487" si="78">Q424-R424</f>
        <v>0.1558879811118925</v>
      </c>
      <c r="U424" s="587"/>
      <c r="V424" s="587"/>
      <c r="W424" s="587"/>
      <c r="X424" s="587"/>
      <c r="Y424" s="587"/>
      <c r="Z424" s="587"/>
      <c r="AA424" s="587"/>
      <c r="AB424" s="587"/>
      <c r="AC424" s="587"/>
      <c r="AE424" s="587"/>
      <c r="AF424" s="587"/>
      <c r="AG424" s="587"/>
      <c r="AH424" s="587"/>
      <c r="AI424" s="587"/>
      <c r="AJ424" s="587"/>
      <c r="AK424" s="587"/>
      <c r="AL424" s="587"/>
      <c r="AM424" s="587"/>
      <c r="AO424" s="587"/>
      <c r="AP424" s="587"/>
      <c r="AQ424" s="587"/>
      <c r="AR424" s="587"/>
      <c r="AS424" s="587"/>
      <c r="AT424" s="587"/>
      <c r="AU424" s="587"/>
      <c r="AV424" s="587"/>
      <c r="AW424" s="587"/>
    </row>
    <row r="425" spans="1:49">
      <c r="A425" s="581">
        <v>22282</v>
      </c>
      <c r="B425" s="594">
        <v>6.4500000000000002E-2</v>
      </c>
      <c r="C425" s="577">
        <v>6.1900000000000004E-2</v>
      </c>
      <c r="D425" s="577">
        <v>3.3E-3</v>
      </c>
      <c r="E425" s="577">
        <v>3.6000000000000003E-3</v>
      </c>
      <c r="F425" s="577">
        <v>3.7333333333333333E-3</v>
      </c>
      <c r="G425" s="577">
        <v>3.666666666666667E-3</v>
      </c>
      <c r="H425" s="577">
        <v>3.8666666666666667E-3</v>
      </c>
      <c r="I425" s="577">
        <f t="shared" si="68"/>
        <v>6.1200000000000004E-2</v>
      </c>
      <c r="J425" s="577">
        <f t="shared" si="72"/>
        <v>6.0833333333333336E-2</v>
      </c>
      <c r="K425" s="577">
        <f t="shared" si="73"/>
        <v>5.803333333333334E-2</v>
      </c>
      <c r="L425" s="585">
        <f t="shared" si="69"/>
        <v>0.14993812224004044</v>
      </c>
      <c r="M425" s="585">
        <f t="shared" si="70"/>
        <v>3.9599999999999996E-2</v>
      </c>
      <c r="N425" s="585">
        <f t="shared" si="74"/>
        <v>4.4000000000000004E-2</v>
      </c>
      <c r="O425" s="586">
        <f t="shared" si="71"/>
        <v>0.11033812224004044</v>
      </c>
      <c r="P425" s="585">
        <f t="shared" si="75"/>
        <v>0.10593812224004043</v>
      </c>
      <c r="Q425" s="585">
        <f t="shared" si="76"/>
        <v>0.29075596152721284</v>
      </c>
      <c r="R425" s="585">
        <f t="shared" si="77"/>
        <v>4.6399999999999997E-2</v>
      </c>
      <c r="S425" s="586">
        <f t="shared" si="78"/>
        <v>0.24435596152721284</v>
      </c>
      <c r="U425" s="587"/>
      <c r="V425" s="587"/>
      <c r="W425" s="587"/>
      <c r="X425" s="587"/>
      <c r="Y425" s="587"/>
      <c r="Z425" s="587"/>
      <c r="AA425" s="587"/>
      <c r="AB425" s="587"/>
      <c r="AC425" s="587"/>
      <c r="AE425" s="587"/>
      <c r="AF425" s="587"/>
      <c r="AG425" s="587"/>
      <c r="AH425" s="587"/>
      <c r="AI425" s="587"/>
      <c r="AJ425" s="587"/>
      <c r="AK425" s="587"/>
      <c r="AL425" s="587"/>
      <c r="AM425" s="587"/>
      <c r="AO425" s="587"/>
      <c r="AP425" s="587"/>
      <c r="AQ425" s="587"/>
      <c r="AR425" s="587"/>
      <c r="AS425" s="587"/>
      <c r="AT425" s="587"/>
      <c r="AU425" s="587"/>
      <c r="AV425" s="587"/>
      <c r="AW425" s="587"/>
    </row>
    <row r="426" spans="1:49">
      <c r="A426" s="581">
        <v>22313</v>
      </c>
      <c r="B426" s="594">
        <v>3.1899999999999998E-2</v>
      </c>
      <c r="C426" s="577">
        <v>3.5700000000000003E-2</v>
      </c>
      <c r="D426" s="577">
        <v>3.0000000000000001E-3</v>
      </c>
      <c r="E426" s="577">
        <v>3.5583333333333326E-3</v>
      </c>
      <c r="F426" s="577">
        <v>3.666666666666667E-3</v>
      </c>
      <c r="G426" s="577">
        <v>3.6124999999999994E-3</v>
      </c>
      <c r="H426" s="577">
        <v>3.8250000000000003E-3</v>
      </c>
      <c r="I426" s="577">
        <f t="shared" si="68"/>
        <v>2.8899999999999999E-2</v>
      </c>
      <c r="J426" s="577">
        <f t="shared" si="72"/>
        <v>2.82875E-2</v>
      </c>
      <c r="K426" s="577">
        <f t="shared" si="73"/>
        <v>3.1875000000000001E-2</v>
      </c>
      <c r="L426" s="585">
        <f t="shared" si="69"/>
        <v>0.1694305196999093</v>
      </c>
      <c r="M426" s="585">
        <f t="shared" si="70"/>
        <v>3.6000000000000004E-2</v>
      </c>
      <c r="N426" s="585">
        <f t="shared" si="74"/>
        <v>4.3349999999999993E-2</v>
      </c>
      <c r="O426" s="586">
        <f t="shared" si="71"/>
        <v>0.13343051969990929</v>
      </c>
      <c r="P426" s="585">
        <f t="shared" si="75"/>
        <v>0.1260805196999093</v>
      </c>
      <c r="Q426" s="585">
        <f t="shared" si="76"/>
        <v>0.31306939333438177</v>
      </c>
      <c r="R426" s="585">
        <f t="shared" si="77"/>
        <v>4.5900000000000003E-2</v>
      </c>
      <c r="S426" s="586">
        <f t="shared" si="78"/>
        <v>0.26716939333438178</v>
      </c>
      <c r="U426" s="587"/>
      <c r="V426" s="587"/>
      <c r="W426" s="587"/>
      <c r="X426" s="587"/>
      <c r="Y426" s="587"/>
      <c r="Z426" s="587"/>
      <c r="AA426" s="587"/>
      <c r="AB426" s="587"/>
      <c r="AC426" s="587"/>
      <c r="AE426" s="587"/>
      <c r="AF426" s="587"/>
      <c r="AG426" s="587"/>
      <c r="AH426" s="587"/>
      <c r="AI426" s="587"/>
      <c r="AJ426" s="587"/>
      <c r="AK426" s="587"/>
      <c r="AL426" s="587"/>
      <c r="AM426" s="587"/>
      <c r="AO426" s="587"/>
      <c r="AP426" s="587"/>
      <c r="AQ426" s="587"/>
      <c r="AR426" s="587"/>
      <c r="AS426" s="587"/>
      <c r="AT426" s="587"/>
      <c r="AU426" s="587"/>
      <c r="AV426" s="587"/>
      <c r="AW426" s="587"/>
    </row>
    <row r="427" spans="1:49">
      <c r="A427" s="581">
        <v>22341</v>
      </c>
      <c r="B427" s="594">
        <v>2.7E-2</v>
      </c>
      <c r="C427" s="577">
        <v>3.1899999999999998E-2</v>
      </c>
      <c r="D427" s="577">
        <v>3.0999999999999999E-3</v>
      </c>
      <c r="E427" s="577">
        <v>3.5166666666666662E-3</v>
      </c>
      <c r="F427" s="577">
        <v>3.6083333333333332E-3</v>
      </c>
      <c r="G427" s="577">
        <v>3.5624999999999997E-3</v>
      </c>
      <c r="H427" s="577">
        <v>3.7333333333333333E-3</v>
      </c>
      <c r="I427" s="577">
        <f t="shared" si="68"/>
        <v>2.3900000000000001E-2</v>
      </c>
      <c r="J427" s="577">
        <f t="shared" si="72"/>
        <v>2.34375E-2</v>
      </c>
      <c r="K427" s="577">
        <f t="shared" si="73"/>
        <v>2.8166666666666666E-2</v>
      </c>
      <c r="L427" s="585">
        <f t="shared" si="69"/>
        <v>0.21596146981047526</v>
      </c>
      <c r="M427" s="585">
        <f t="shared" si="70"/>
        <v>3.7199999999999997E-2</v>
      </c>
      <c r="N427" s="585">
        <f t="shared" si="74"/>
        <v>4.2749999999999996E-2</v>
      </c>
      <c r="O427" s="586">
        <f t="shared" si="71"/>
        <v>0.17876146981047525</v>
      </c>
      <c r="P427" s="585">
        <f t="shared" si="75"/>
        <v>0.17321146981047525</v>
      </c>
      <c r="Q427" s="585">
        <f t="shared" si="76"/>
        <v>0.33611705648530577</v>
      </c>
      <c r="R427" s="585">
        <f t="shared" si="77"/>
        <v>4.48E-2</v>
      </c>
      <c r="S427" s="586">
        <f t="shared" si="78"/>
        <v>0.29131705648530576</v>
      </c>
      <c r="U427" s="587"/>
      <c r="V427" s="587"/>
      <c r="W427" s="587"/>
      <c r="X427" s="587"/>
      <c r="Y427" s="587"/>
      <c r="Z427" s="587"/>
      <c r="AA427" s="587"/>
      <c r="AB427" s="587"/>
      <c r="AC427" s="587"/>
      <c r="AE427" s="587"/>
      <c r="AF427" s="587"/>
      <c r="AG427" s="587"/>
      <c r="AH427" s="587"/>
      <c r="AI427" s="587"/>
      <c r="AJ427" s="587"/>
      <c r="AK427" s="587"/>
      <c r="AL427" s="587"/>
      <c r="AM427" s="587"/>
      <c r="AO427" s="587"/>
      <c r="AP427" s="587"/>
      <c r="AQ427" s="587"/>
      <c r="AR427" s="587"/>
      <c r="AS427" s="587"/>
      <c r="AT427" s="587"/>
      <c r="AU427" s="587"/>
      <c r="AV427" s="587"/>
      <c r="AW427" s="587"/>
    </row>
    <row r="428" spans="1:49">
      <c r="A428" s="581">
        <v>22372</v>
      </c>
      <c r="B428" s="594">
        <v>5.1000000000000004E-3</v>
      </c>
      <c r="C428" s="577">
        <v>1.09E-2</v>
      </c>
      <c r="D428" s="577">
        <v>3.0999999999999999E-3</v>
      </c>
      <c r="E428" s="577">
        <v>3.5416666666666669E-3</v>
      </c>
      <c r="F428" s="577">
        <v>3.6416666666666667E-3</v>
      </c>
      <c r="G428" s="577">
        <v>3.5916666666666671E-3</v>
      </c>
      <c r="H428" s="577">
        <v>3.7333333333333333E-3</v>
      </c>
      <c r="I428" s="577">
        <f t="shared" si="68"/>
        <v>2.0000000000000005E-3</v>
      </c>
      <c r="J428" s="577">
        <f t="shared" si="72"/>
        <v>1.5083333333333333E-3</v>
      </c>
      <c r="K428" s="577">
        <f t="shared" si="73"/>
        <v>7.1666666666666667E-3</v>
      </c>
      <c r="L428" s="585">
        <f t="shared" si="69"/>
        <v>0.24216167629485663</v>
      </c>
      <c r="M428" s="585">
        <f t="shared" si="70"/>
        <v>3.7199999999999997E-2</v>
      </c>
      <c r="N428" s="585">
        <f t="shared" si="74"/>
        <v>4.3100000000000006E-2</v>
      </c>
      <c r="O428" s="586">
        <f t="shared" si="71"/>
        <v>0.20496167629485662</v>
      </c>
      <c r="P428" s="585">
        <f t="shared" si="75"/>
        <v>0.19906167629485663</v>
      </c>
      <c r="Q428" s="585">
        <f t="shared" si="76"/>
        <v>0.34062603712257622</v>
      </c>
      <c r="R428" s="585">
        <f t="shared" si="77"/>
        <v>4.48E-2</v>
      </c>
      <c r="S428" s="586">
        <f t="shared" si="78"/>
        <v>0.29582603712257621</v>
      </c>
      <c r="U428" s="587"/>
      <c r="V428" s="587"/>
      <c r="W428" s="587"/>
      <c r="X428" s="587"/>
      <c r="Y428" s="587"/>
      <c r="Z428" s="587"/>
      <c r="AA428" s="587"/>
      <c r="AB428" s="587"/>
      <c r="AC428" s="587"/>
      <c r="AE428" s="587"/>
      <c r="AF428" s="587"/>
      <c r="AG428" s="587"/>
      <c r="AH428" s="587"/>
      <c r="AI428" s="587"/>
      <c r="AJ428" s="587"/>
      <c r="AK428" s="587"/>
      <c r="AL428" s="587"/>
      <c r="AM428" s="587"/>
      <c r="AO428" s="587"/>
      <c r="AP428" s="587"/>
      <c r="AQ428" s="587"/>
      <c r="AR428" s="587"/>
      <c r="AS428" s="587"/>
      <c r="AT428" s="587"/>
      <c r="AU428" s="587"/>
      <c r="AV428" s="587"/>
      <c r="AW428" s="587"/>
    </row>
    <row r="429" spans="1:49">
      <c r="A429" s="581">
        <v>22402</v>
      </c>
      <c r="B429" s="594">
        <v>2.3900000000000001E-2</v>
      </c>
      <c r="C429" s="577">
        <v>1.3299999999999999E-2</v>
      </c>
      <c r="D429" s="577">
        <v>3.3999999999999998E-3</v>
      </c>
      <c r="E429" s="577">
        <v>3.5583333333333326E-3</v>
      </c>
      <c r="F429" s="577">
        <v>3.6749999999999999E-3</v>
      </c>
      <c r="G429" s="577">
        <v>3.6166666666666665E-3</v>
      </c>
      <c r="H429" s="577">
        <v>3.7666666666666664E-3</v>
      </c>
      <c r="I429" s="577">
        <f t="shared" si="68"/>
        <v>2.0500000000000001E-2</v>
      </c>
      <c r="J429" s="577">
        <f t="shared" si="72"/>
        <v>2.0283333333333334E-2</v>
      </c>
      <c r="K429" s="577">
        <f t="shared" si="73"/>
        <v>9.5333333333333329E-3</v>
      </c>
      <c r="L429" s="585">
        <f t="shared" si="69"/>
        <v>0.23169604915582331</v>
      </c>
      <c r="M429" s="585">
        <f t="shared" si="70"/>
        <v>4.0799999999999996E-2</v>
      </c>
      <c r="N429" s="585">
        <f t="shared" si="74"/>
        <v>4.3399999999999994E-2</v>
      </c>
      <c r="O429" s="586">
        <f t="shared" si="71"/>
        <v>0.19089604915582331</v>
      </c>
      <c r="P429" s="585">
        <f t="shared" si="75"/>
        <v>0.18829604915582332</v>
      </c>
      <c r="Q429" s="585">
        <f t="shared" si="76"/>
        <v>0.32752503021235846</v>
      </c>
      <c r="R429" s="585">
        <f t="shared" si="77"/>
        <v>4.5199999999999997E-2</v>
      </c>
      <c r="S429" s="586">
        <f t="shared" si="78"/>
        <v>0.28232503021235844</v>
      </c>
      <c r="U429" s="587"/>
      <c r="V429" s="587"/>
      <c r="W429" s="587"/>
      <c r="X429" s="587"/>
      <c r="Y429" s="587"/>
      <c r="Z429" s="587"/>
      <c r="AA429" s="587"/>
      <c r="AB429" s="587"/>
      <c r="AC429" s="587"/>
      <c r="AE429" s="587"/>
      <c r="AF429" s="587"/>
      <c r="AG429" s="587"/>
      <c r="AH429" s="587"/>
      <c r="AI429" s="587"/>
      <c r="AJ429" s="587"/>
      <c r="AK429" s="587"/>
      <c r="AL429" s="587"/>
      <c r="AM429" s="587"/>
      <c r="AO429" s="587"/>
      <c r="AP429" s="587"/>
      <c r="AQ429" s="587"/>
      <c r="AR429" s="587"/>
      <c r="AS429" s="587"/>
      <c r="AT429" s="587"/>
      <c r="AU429" s="587"/>
      <c r="AV429" s="587"/>
      <c r="AW429" s="587"/>
    </row>
    <row r="430" spans="1:49">
      <c r="A430" s="581">
        <v>22433</v>
      </c>
      <c r="B430" s="594">
        <v>-2.75E-2</v>
      </c>
      <c r="C430" s="577">
        <v>-2.2699999999999994E-2</v>
      </c>
      <c r="D430" s="577">
        <v>3.2000000000000002E-3</v>
      </c>
      <c r="E430" s="577">
        <v>3.6083333333333332E-3</v>
      </c>
      <c r="F430" s="577">
        <v>3.7083333333333334E-3</v>
      </c>
      <c r="G430" s="577">
        <v>3.6583333333333333E-3</v>
      </c>
      <c r="H430" s="577">
        <v>3.8083333333333337E-3</v>
      </c>
      <c r="I430" s="577">
        <f t="shared" si="68"/>
        <v>-3.0700000000000002E-2</v>
      </c>
      <c r="J430" s="577">
        <f t="shared" si="72"/>
        <v>-3.1158333333333333E-2</v>
      </c>
      <c r="K430" s="577">
        <f t="shared" si="73"/>
        <v>-2.6508333333333328E-2</v>
      </c>
      <c r="L430" s="585">
        <f t="shared" si="69"/>
        <v>0.17307257644113117</v>
      </c>
      <c r="M430" s="585">
        <f t="shared" si="70"/>
        <v>3.8400000000000004E-2</v>
      </c>
      <c r="N430" s="585">
        <f t="shared" si="74"/>
        <v>4.3900000000000002E-2</v>
      </c>
      <c r="O430" s="586">
        <f t="shared" si="71"/>
        <v>0.13467257644113118</v>
      </c>
      <c r="P430" s="585">
        <f t="shared" si="75"/>
        <v>0.12917257644113117</v>
      </c>
      <c r="Q430" s="585">
        <f t="shared" si="76"/>
        <v>0.24653171793479833</v>
      </c>
      <c r="R430" s="585">
        <f t="shared" si="77"/>
        <v>4.5700000000000005E-2</v>
      </c>
      <c r="S430" s="586">
        <f t="shared" si="78"/>
        <v>0.20083171793479832</v>
      </c>
      <c r="U430" s="587"/>
      <c r="V430" s="587"/>
      <c r="W430" s="587"/>
      <c r="X430" s="587"/>
      <c r="Y430" s="587"/>
      <c r="Z430" s="587"/>
      <c r="AA430" s="587"/>
      <c r="AB430" s="587"/>
      <c r="AC430" s="587"/>
      <c r="AE430" s="587"/>
      <c r="AF430" s="587"/>
      <c r="AG430" s="587"/>
      <c r="AH430" s="587"/>
      <c r="AI430" s="587"/>
      <c r="AJ430" s="587"/>
      <c r="AK430" s="587"/>
      <c r="AL430" s="587"/>
      <c r="AM430" s="587"/>
      <c r="AO430" s="587"/>
      <c r="AP430" s="587"/>
      <c r="AQ430" s="587"/>
      <c r="AR430" s="587"/>
      <c r="AS430" s="587"/>
      <c r="AT430" s="587"/>
      <c r="AU430" s="587"/>
      <c r="AV430" s="587"/>
      <c r="AW430" s="587"/>
    </row>
    <row r="431" spans="1:49">
      <c r="A431" s="581">
        <v>22463</v>
      </c>
      <c r="B431" s="594">
        <v>3.4200000000000001E-2</v>
      </c>
      <c r="C431" s="577">
        <v>4.24E-2</v>
      </c>
      <c r="D431" s="577">
        <v>3.3E-3</v>
      </c>
      <c r="E431" s="577">
        <v>3.6749999999999999E-3</v>
      </c>
      <c r="F431" s="577">
        <v>3.7750000000000001E-3</v>
      </c>
      <c r="G431" s="577">
        <v>3.725E-3</v>
      </c>
      <c r="H431" s="577">
        <v>3.875E-3</v>
      </c>
      <c r="I431" s="577">
        <f t="shared" si="68"/>
        <v>3.09E-2</v>
      </c>
      <c r="J431" s="577">
        <f t="shared" si="72"/>
        <v>3.0475000000000002E-2</v>
      </c>
      <c r="K431" s="577">
        <f t="shared" si="73"/>
        <v>3.8525000000000004E-2</v>
      </c>
      <c r="L431" s="585">
        <f t="shared" si="69"/>
        <v>0.24226055555541426</v>
      </c>
      <c r="M431" s="585">
        <f t="shared" si="70"/>
        <v>3.9599999999999996E-2</v>
      </c>
      <c r="N431" s="585">
        <f t="shared" si="74"/>
        <v>4.4700000000000004E-2</v>
      </c>
      <c r="O431" s="586">
        <f t="shared" si="71"/>
        <v>0.20266055555541426</v>
      </c>
      <c r="P431" s="585">
        <f t="shared" si="75"/>
        <v>0.19756055555541424</v>
      </c>
      <c r="Q431" s="585">
        <f t="shared" si="76"/>
        <v>0.31250976037902434</v>
      </c>
      <c r="R431" s="585">
        <f t="shared" si="77"/>
        <v>4.65E-2</v>
      </c>
      <c r="S431" s="586">
        <f t="shared" si="78"/>
        <v>0.26600976037902435</v>
      </c>
      <c r="U431" s="587"/>
      <c r="V431" s="587"/>
      <c r="W431" s="587"/>
      <c r="X431" s="587"/>
      <c r="Y431" s="587"/>
      <c r="Z431" s="587"/>
      <c r="AA431" s="587"/>
      <c r="AB431" s="587"/>
      <c r="AC431" s="587"/>
      <c r="AE431" s="587"/>
      <c r="AF431" s="587"/>
      <c r="AG431" s="587"/>
      <c r="AH431" s="587"/>
      <c r="AI431" s="587"/>
      <c r="AJ431" s="587"/>
      <c r="AK431" s="587"/>
      <c r="AL431" s="587"/>
      <c r="AM431" s="587"/>
      <c r="AO431" s="587"/>
      <c r="AP431" s="587"/>
      <c r="AQ431" s="587"/>
      <c r="AR431" s="587"/>
      <c r="AS431" s="587"/>
      <c r="AT431" s="587"/>
      <c r="AU431" s="587"/>
      <c r="AV431" s="587"/>
      <c r="AW431" s="587"/>
    </row>
    <row r="432" spans="1:49">
      <c r="A432" s="581">
        <v>22494</v>
      </c>
      <c r="B432" s="594">
        <v>2.4299999999999999E-2</v>
      </c>
      <c r="C432" s="577">
        <v>4.5400000000000003E-2</v>
      </c>
      <c r="D432" s="577">
        <v>3.3E-3</v>
      </c>
      <c r="E432" s="577">
        <v>3.7083333333333334E-3</v>
      </c>
      <c r="F432" s="577">
        <v>3.8083333333333337E-3</v>
      </c>
      <c r="G432" s="577">
        <v>3.7583333333333336E-3</v>
      </c>
      <c r="H432" s="577">
        <v>3.9416666666666671E-3</v>
      </c>
      <c r="I432" s="577">
        <f t="shared" si="68"/>
        <v>2.0999999999999998E-2</v>
      </c>
      <c r="J432" s="577">
        <f t="shared" si="72"/>
        <v>2.0541666666666666E-2</v>
      </c>
      <c r="K432" s="577">
        <f t="shared" si="73"/>
        <v>4.1458333333333333E-2</v>
      </c>
      <c r="L432" s="585">
        <f t="shared" si="69"/>
        <v>0.23335028308171979</v>
      </c>
      <c r="M432" s="585">
        <f t="shared" si="70"/>
        <v>3.9599999999999996E-2</v>
      </c>
      <c r="N432" s="585">
        <f t="shared" si="74"/>
        <v>4.5100000000000001E-2</v>
      </c>
      <c r="O432" s="586">
        <f t="shared" si="71"/>
        <v>0.19375028308171979</v>
      </c>
      <c r="P432" s="585">
        <f t="shared" si="75"/>
        <v>0.18825028308171979</v>
      </c>
      <c r="Q432" s="585">
        <f t="shared" si="76"/>
        <v>0.30651085840814329</v>
      </c>
      <c r="R432" s="585">
        <f t="shared" si="77"/>
        <v>4.7300000000000009E-2</v>
      </c>
      <c r="S432" s="586">
        <f t="shared" si="78"/>
        <v>0.25921085840814329</v>
      </c>
      <c r="U432" s="587"/>
      <c r="V432" s="587"/>
      <c r="W432" s="587"/>
      <c r="X432" s="587"/>
      <c r="Y432" s="587"/>
      <c r="Z432" s="587"/>
      <c r="AA432" s="587"/>
      <c r="AB432" s="587"/>
      <c r="AC432" s="587"/>
      <c r="AE432" s="587"/>
      <c r="AF432" s="587"/>
      <c r="AG432" s="587"/>
      <c r="AH432" s="587"/>
      <c r="AI432" s="587"/>
      <c r="AJ432" s="587"/>
      <c r="AK432" s="587"/>
      <c r="AL432" s="587"/>
      <c r="AM432" s="587"/>
      <c r="AO432" s="587"/>
      <c r="AP432" s="587"/>
      <c r="AQ432" s="587"/>
      <c r="AR432" s="587"/>
      <c r="AS432" s="587"/>
      <c r="AT432" s="587"/>
      <c r="AU432" s="587"/>
      <c r="AV432" s="587"/>
      <c r="AW432" s="587"/>
    </row>
    <row r="433" spans="1:49">
      <c r="A433" s="581">
        <v>22525</v>
      </c>
      <c r="B433" s="594">
        <v>-1.84E-2</v>
      </c>
      <c r="C433" s="577">
        <v>-6.6999999999999994E-3</v>
      </c>
      <c r="D433" s="577">
        <v>3.2000000000000002E-3</v>
      </c>
      <c r="E433" s="577">
        <v>3.7083333333333334E-3</v>
      </c>
      <c r="F433" s="577">
        <v>3.8250000000000003E-3</v>
      </c>
      <c r="G433" s="577">
        <v>3.7666666666666669E-3</v>
      </c>
      <c r="H433" s="577">
        <v>3.9416666666666671E-3</v>
      </c>
      <c r="I433" s="577">
        <f t="shared" si="68"/>
        <v>-2.1600000000000001E-2</v>
      </c>
      <c r="J433" s="577">
        <f t="shared" si="72"/>
        <v>-2.2166666666666668E-2</v>
      </c>
      <c r="K433" s="577">
        <f t="shared" si="73"/>
        <v>-1.0641666666666667E-2</v>
      </c>
      <c r="L433" s="585">
        <f t="shared" si="69"/>
        <v>0.28656390847291857</v>
      </c>
      <c r="M433" s="585">
        <f t="shared" si="70"/>
        <v>3.8400000000000004E-2</v>
      </c>
      <c r="N433" s="585">
        <f t="shared" si="74"/>
        <v>4.5200000000000004E-2</v>
      </c>
      <c r="O433" s="586">
        <f t="shared" si="71"/>
        <v>0.24816390847291858</v>
      </c>
      <c r="P433" s="585">
        <f t="shared" si="75"/>
        <v>0.24136390847291855</v>
      </c>
      <c r="Q433" s="585">
        <f t="shared" si="76"/>
        <v>0.36807636059119608</v>
      </c>
      <c r="R433" s="585">
        <f t="shared" si="77"/>
        <v>4.7300000000000009E-2</v>
      </c>
      <c r="S433" s="586">
        <f t="shared" si="78"/>
        <v>0.32077636059119607</v>
      </c>
      <c r="U433" s="587"/>
      <c r="V433" s="587"/>
      <c r="W433" s="587"/>
      <c r="X433" s="587"/>
      <c r="Y433" s="587"/>
      <c r="Z433" s="587"/>
      <c r="AA433" s="587"/>
      <c r="AB433" s="587"/>
      <c r="AC433" s="587"/>
      <c r="AE433" s="587"/>
      <c r="AF433" s="587"/>
      <c r="AG433" s="587"/>
      <c r="AH433" s="587"/>
      <c r="AI433" s="587"/>
      <c r="AJ433" s="587"/>
      <c r="AK433" s="587"/>
      <c r="AL433" s="587"/>
      <c r="AM433" s="587"/>
      <c r="AO433" s="587"/>
      <c r="AP433" s="587"/>
      <c r="AQ433" s="587"/>
      <c r="AR433" s="587"/>
      <c r="AS433" s="587"/>
      <c r="AT433" s="587"/>
      <c r="AU433" s="587"/>
      <c r="AV433" s="587"/>
      <c r="AW433" s="587"/>
    </row>
    <row r="434" spans="1:49">
      <c r="A434" s="581">
        <v>22555</v>
      </c>
      <c r="B434" s="594">
        <v>2.98E-2</v>
      </c>
      <c r="C434" s="577">
        <v>4.8000000000000001E-2</v>
      </c>
      <c r="D434" s="577">
        <v>3.3999999999999998E-3</v>
      </c>
      <c r="E434" s="577">
        <v>3.6833333333333336E-3</v>
      </c>
      <c r="F434" s="577">
        <v>3.7999999999999996E-3</v>
      </c>
      <c r="G434" s="577">
        <v>3.7416666666666666E-3</v>
      </c>
      <c r="H434" s="577">
        <v>3.9250000000000005E-3</v>
      </c>
      <c r="I434" s="577">
        <f t="shared" si="68"/>
        <v>2.64E-2</v>
      </c>
      <c r="J434" s="577">
        <f t="shared" si="72"/>
        <v>2.6058333333333333E-2</v>
      </c>
      <c r="K434" s="577">
        <f t="shared" si="73"/>
        <v>4.4075000000000003E-2</v>
      </c>
      <c r="L434" s="585">
        <f t="shared" si="69"/>
        <v>0.32583159506195503</v>
      </c>
      <c r="M434" s="585">
        <f t="shared" si="70"/>
        <v>4.0799999999999996E-2</v>
      </c>
      <c r="N434" s="585">
        <f t="shared" si="74"/>
        <v>4.4899999999999995E-2</v>
      </c>
      <c r="O434" s="586">
        <f t="shared" si="71"/>
        <v>0.28503159506195502</v>
      </c>
      <c r="P434" s="585">
        <f t="shared" si="75"/>
        <v>0.28093159506195503</v>
      </c>
      <c r="Q434" s="585">
        <f t="shared" si="76"/>
        <v>0.43546658580253617</v>
      </c>
      <c r="R434" s="585">
        <f t="shared" si="77"/>
        <v>4.7100000000000003E-2</v>
      </c>
      <c r="S434" s="586">
        <f t="shared" si="78"/>
        <v>0.38836658580253614</v>
      </c>
      <c r="U434" s="587"/>
      <c r="V434" s="587"/>
      <c r="W434" s="587"/>
      <c r="X434" s="587"/>
      <c r="Y434" s="587"/>
      <c r="Z434" s="587"/>
      <c r="AA434" s="587"/>
      <c r="AB434" s="587"/>
      <c r="AC434" s="587"/>
      <c r="AE434" s="587"/>
      <c r="AF434" s="587"/>
      <c r="AG434" s="587"/>
      <c r="AH434" s="587"/>
      <c r="AI434" s="587"/>
      <c r="AJ434" s="587"/>
      <c r="AK434" s="587"/>
      <c r="AL434" s="587"/>
      <c r="AM434" s="587"/>
      <c r="AO434" s="587"/>
      <c r="AP434" s="587"/>
      <c r="AQ434" s="587"/>
      <c r="AR434" s="587"/>
      <c r="AS434" s="587"/>
      <c r="AT434" s="587"/>
      <c r="AU434" s="587"/>
      <c r="AV434" s="587"/>
      <c r="AW434" s="587"/>
    </row>
    <row r="435" spans="1:49">
      <c r="A435" s="581">
        <v>22586</v>
      </c>
      <c r="B435" s="594">
        <v>4.4699999999999997E-2</v>
      </c>
      <c r="C435" s="577">
        <v>3.3500000000000002E-2</v>
      </c>
      <c r="D435" s="577">
        <v>3.2000000000000002E-3</v>
      </c>
      <c r="E435" s="577">
        <v>3.6583333333333329E-3</v>
      </c>
      <c r="F435" s="577">
        <v>3.7833333333333334E-3</v>
      </c>
      <c r="G435" s="577">
        <v>3.7208333333333334E-3</v>
      </c>
      <c r="H435" s="577">
        <v>3.8999999999999994E-3</v>
      </c>
      <c r="I435" s="577">
        <f t="shared" si="68"/>
        <v>4.1499999999999995E-2</v>
      </c>
      <c r="J435" s="577">
        <f t="shared" si="72"/>
        <v>4.0979166666666664E-2</v>
      </c>
      <c r="K435" s="577">
        <f t="shared" si="73"/>
        <v>2.9600000000000001E-2</v>
      </c>
      <c r="L435" s="585">
        <f t="shared" si="69"/>
        <v>0.32355113938005209</v>
      </c>
      <c r="M435" s="585">
        <f t="shared" si="70"/>
        <v>3.8400000000000004E-2</v>
      </c>
      <c r="N435" s="585">
        <f t="shared" si="74"/>
        <v>4.4650000000000002E-2</v>
      </c>
      <c r="O435" s="586">
        <f t="shared" si="71"/>
        <v>0.2851511393800521</v>
      </c>
      <c r="P435" s="585">
        <f t="shared" si="75"/>
        <v>0.27890113938005207</v>
      </c>
      <c r="Q435" s="585">
        <f t="shared" si="76"/>
        <v>0.42841778974284761</v>
      </c>
      <c r="R435" s="585">
        <f t="shared" si="77"/>
        <v>4.6799999999999994E-2</v>
      </c>
      <c r="S435" s="586">
        <f t="shared" si="78"/>
        <v>0.3816177897428476</v>
      </c>
      <c r="U435" s="587"/>
      <c r="V435" s="587"/>
      <c r="W435" s="587"/>
      <c r="X435" s="587"/>
      <c r="Y435" s="587"/>
      <c r="Z435" s="587"/>
      <c r="AA435" s="587"/>
      <c r="AB435" s="587"/>
      <c r="AC435" s="587"/>
      <c r="AE435" s="587"/>
      <c r="AF435" s="587"/>
      <c r="AG435" s="587"/>
      <c r="AH435" s="587"/>
      <c r="AI435" s="587"/>
      <c r="AJ435" s="587"/>
      <c r="AK435" s="587"/>
      <c r="AL435" s="587"/>
      <c r="AM435" s="587"/>
      <c r="AO435" s="587"/>
      <c r="AP435" s="587"/>
      <c r="AQ435" s="587"/>
      <c r="AR435" s="587"/>
      <c r="AS435" s="587"/>
      <c r="AT435" s="587"/>
      <c r="AU435" s="587"/>
      <c r="AV435" s="587"/>
      <c r="AW435" s="587"/>
    </row>
    <row r="436" spans="1:49">
      <c r="A436" s="581">
        <v>22616</v>
      </c>
      <c r="B436" s="594">
        <v>4.5999999999999999E-3</v>
      </c>
      <c r="C436" s="577">
        <v>-2.92E-2</v>
      </c>
      <c r="D436" s="577">
        <v>3.0999999999999999E-3</v>
      </c>
      <c r="E436" s="577">
        <v>3.6833333333333336E-3</v>
      </c>
      <c r="F436" s="577">
        <v>3.7999999999999996E-3</v>
      </c>
      <c r="G436" s="577">
        <v>3.7416666666666666E-3</v>
      </c>
      <c r="H436" s="577">
        <v>3.875E-3</v>
      </c>
      <c r="I436" s="577">
        <f t="shared" si="68"/>
        <v>1.5E-3</v>
      </c>
      <c r="J436" s="577">
        <f t="shared" si="72"/>
        <v>8.5833333333333334E-4</v>
      </c>
      <c r="K436" s="577">
        <f t="shared" si="73"/>
        <v>-3.3075E-2</v>
      </c>
      <c r="L436" s="585">
        <f t="shared" si="69"/>
        <v>0.26886103122549865</v>
      </c>
      <c r="M436" s="585">
        <f t="shared" si="70"/>
        <v>3.7199999999999997E-2</v>
      </c>
      <c r="N436" s="585">
        <f t="shared" si="74"/>
        <v>4.4899999999999995E-2</v>
      </c>
      <c r="O436" s="586">
        <f t="shared" si="71"/>
        <v>0.23166103122549864</v>
      </c>
      <c r="P436" s="585">
        <f t="shared" si="75"/>
        <v>0.22396103122549865</v>
      </c>
      <c r="Q436" s="585">
        <f t="shared" si="76"/>
        <v>0.29308839078921767</v>
      </c>
      <c r="R436" s="585">
        <f t="shared" si="77"/>
        <v>4.65E-2</v>
      </c>
      <c r="S436" s="586">
        <f t="shared" si="78"/>
        <v>0.24658839078921768</v>
      </c>
      <c r="U436" s="587"/>
      <c r="V436" s="587"/>
      <c r="W436" s="587"/>
      <c r="X436" s="587"/>
      <c r="Y436" s="587"/>
      <c r="Z436" s="587"/>
      <c r="AA436" s="587"/>
      <c r="AB436" s="587"/>
      <c r="AC436" s="587"/>
      <c r="AE436" s="587"/>
      <c r="AF436" s="587"/>
      <c r="AG436" s="587"/>
      <c r="AH436" s="587"/>
      <c r="AI436" s="587"/>
      <c r="AJ436" s="587"/>
      <c r="AK436" s="587"/>
      <c r="AL436" s="587"/>
      <c r="AM436" s="587"/>
      <c r="AO436" s="587"/>
      <c r="AP436" s="587"/>
      <c r="AQ436" s="587"/>
      <c r="AR436" s="587"/>
      <c r="AS436" s="587"/>
      <c r="AT436" s="587"/>
      <c r="AU436" s="587"/>
      <c r="AV436" s="587"/>
      <c r="AW436" s="587"/>
    </row>
    <row r="437" spans="1:49">
      <c r="A437" s="581">
        <v>22647</v>
      </c>
      <c r="B437" s="594">
        <v>-3.6600000000000001E-2</v>
      </c>
      <c r="C437" s="577">
        <v>-3.6600000000000001E-2</v>
      </c>
      <c r="D437" s="577">
        <v>3.7000000000000002E-3</v>
      </c>
      <c r="E437" s="577">
        <v>3.6833333333333336E-3</v>
      </c>
      <c r="F437" s="577">
        <v>3.7916666666666667E-3</v>
      </c>
      <c r="G437" s="577">
        <v>3.7375000000000004E-3</v>
      </c>
      <c r="H437" s="577">
        <v>3.875E-3</v>
      </c>
      <c r="I437" s="577">
        <f t="shared" si="68"/>
        <v>-4.0300000000000002E-2</v>
      </c>
      <c r="J437" s="577">
        <f t="shared" si="72"/>
        <v>-4.0337499999999998E-2</v>
      </c>
      <c r="K437" s="577">
        <f t="shared" si="73"/>
        <v>-4.0474999999999997E-2</v>
      </c>
      <c r="L437" s="585">
        <f t="shared" si="69"/>
        <v>0.14835201266570741</v>
      </c>
      <c r="M437" s="585">
        <f t="shared" si="70"/>
        <v>4.4400000000000002E-2</v>
      </c>
      <c r="N437" s="585">
        <f t="shared" si="74"/>
        <v>4.4850000000000001E-2</v>
      </c>
      <c r="O437" s="586">
        <f t="shared" si="71"/>
        <v>0.10395201266570742</v>
      </c>
      <c r="P437" s="585">
        <f t="shared" si="75"/>
        <v>0.10350201266570741</v>
      </c>
      <c r="Q437" s="585">
        <f t="shared" si="76"/>
        <v>0.17314375712056851</v>
      </c>
      <c r="R437" s="585">
        <f t="shared" si="77"/>
        <v>4.65E-2</v>
      </c>
      <c r="S437" s="586">
        <f t="shared" si="78"/>
        <v>0.12664375712056852</v>
      </c>
      <c r="U437" s="587"/>
      <c r="V437" s="587"/>
      <c r="W437" s="587"/>
      <c r="X437" s="587"/>
      <c r="Y437" s="587"/>
      <c r="Z437" s="587"/>
      <c r="AA437" s="587"/>
      <c r="AB437" s="587"/>
      <c r="AC437" s="587"/>
      <c r="AE437" s="587"/>
      <c r="AF437" s="587"/>
      <c r="AG437" s="587"/>
      <c r="AH437" s="587"/>
      <c r="AI437" s="587"/>
      <c r="AJ437" s="587"/>
      <c r="AK437" s="587"/>
      <c r="AL437" s="587"/>
      <c r="AM437" s="587"/>
      <c r="AO437" s="587"/>
      <c r="AP437" s="587"/>
      <c r="AQ437" s="587"/>
      <c r="AR437" s="587"/>
      <c r="AS437" s="587"/>
      <c r="AT437" s="587"/>
      <c r="AU437" s="587"/>
      <c r="AV437" s="587"/>
      <c r="AW437" s="587"/>
    </row>
    <row r="438" spans="1:49">
      <c r="A438" s="581">
        <v>22678</v>
      </c>
      <c r="B438" s="594">
        <v>2.0899999999999998E-2</v>
      </c>
      <c r="C438" s="577">
        <v>3.0000000000000006E-2</v>
      </c>
      <c r="D438" s="577">
        <v>3.2000000000000002E-3</v>
      </c>
      <c r="E438" s="577">
        <v>3.6833333333333336E-3</v>
      </c>
      <c r="F438" s="577">
        <v>3.7999999999999996E-3</v>
      </c>
      <c r="G438" s="577">
        <v>3.7416666666666666E-3</v>
      </c>
      <c r="H438" s="577">
        <v>3.8833333333333337E-3</v>
      </c>
      <c r="I438" s="577">
        <f t="shared" si="68"/>
        <v>1.7699999999999997E-2</v>
      </c>
      <c r="J438" s="577">
        <f t="shared" si="72"/>
        <v>1.7158333333333331E-2</v>
      </c>
      <c r="K438" s="577">
        <f t="shared" si="73"/>
        <v>2.6116666666666673E-2</v>
      </c>
      <c r="L438" s="585">
        <f t="shared" si="69"/>
        <v>0.13611064030470077</v>
      </c>
      <c r="M438" s="585">
        <f t="shared" si="70"/>
        <v>3.8400000000000004E-2</v>
      </c>
      <c r="N438" s="585">
        <f t="shared" si="74"/>
        <v>4.4899999999999995E-2</v>
      </c>
      <c r="O438" s="586">
        <f t="shared" si="71"/>
        <v>9.7710640304700766E-2</v>
      </c>
      <c r="P438" s="585">
        <f t="shared" si="75"/>
        <v>9.1210640304700774E-2</v>
      </c>
      <c r="Q438" s="585">
        <f t="shared" si="76"/>
        <v>0.16668733207896658</v>
      </c>
      <c r="R438" s="585">
        <f t="shared" si="77"/>
        <v>4.6600000000000003E-2</v>
      </c>
      <c r="S438" s="586">
        <f t="shared" si="78"/>
        <v>0.12008733207896657</v>
      </c>
      <c r="U438" s="587"/>
      <c r="V438" s="587"/>
      <c r="W438" s="587"/>
      <c r="X438" s="587"/>
      <c r="Y438" s="587"/>
      <c r="Z438" s="587"/>
      <c r="AA438" s="587"/>
      <c r="AB438" s="587"/>
      <c r="AC438" s="587"/>
      <c r="AE438" s="587"/>
      <c r="AF438" s="587"/>
      <c r="AG438" s="587"/>
      <c r="AH438" s="587"/>
      <c r="AI438" s="587"/>
      <c r="AJ438" s="587"/>
      <c r="AK438" s="587"/>
      <c r="AL438" s="587"/>
      <c r="AM438" s="587"/>
      <c r="AO438" s="587"/>
      <c r="AP438" s="587"/>
      <c r="AQ438" s="587"/>
      <c r="AR438" s="587"/>
      <c r="AS438" s="587"/>
      <c r="AT438" s="587"/>
      <c r="AU438" s="587"/>
      <c r="AV438" s="587"/>
      <c r="AW438" s="587"/>
    </row>
    <row r="439" spans="1:49">
      <c r="A439" s="581">
        <v>22706</v>
      </c>
      <c r="B439" s="594">
        <v>-4.5999999999999999E-3</v>
      </c>
      <c r="C439" s="577">
        <v>8.0999999999999996E-3</v>
      </c>
      <c r="D439" s="577">
        <v>3.3E-3</v>
      </c>
      <c r="E439" s="577">
        <v>3.6583333333333329E-3</v>
      </c>
      <c r="F439" s="577">
        <v>3.7750000000000001E-3</v>
      </c>
      <c r="G439" s="577">
        <v>3.7166666666666663E-3</v>
      </c>
      <c r="H439" s="577">
        <v>3.8666666666666667E-3</v>
      </c>
      <c r="I439" s="577">
        <f t="shared" si="68"/>
        <v>-7.9000000000000008E-3</v>
      </c>
      <c r="J439" s="577">
        <f t="shared" si="72"/>
        <v>-8.3166666666666667E-3</v>
      </c>
      <c r="K439" s="577">
        <f t="shared" si="73"/>
        <v>4.2333333333333329E-3</v>
      </c>
      <c r="L439" s="585">
        <f t="shared" si="69"/>
        <v>0.10115338983378663</v>
      </c>
      <c r="M439" s="585">
        <f t="shared" si="70"/>
        <v>3.9599999999999996E-2</v>
      </c>
      <c r="N439" s="585">
        <f t="shared" si="74"/>
        <v>4.4599999999999994E-2</v>
      </c>
      <c r="O439" s="586">
        <f t="shared" si="71"/>
        <v>6.1553389833786637E-2</v>
      </c>
      <c r="P439" s="585">
        <f t="shared" si="75"/>
        <v>5.6553389833786639E-2</v>
      </c>
      <c r="Q439" s="585">
        <f t="shared" si="76"/>
        <v>0.1397785632995503</v>
      </c>
      <c r="R439" s="585">
        <f t="shared" si="77"/>
        <v>4.6399999999999997E-2</v>
      </c>
      <c r="S439" s="586">
        <f t="shared" si="78"/>
        <v>9.3378563299550299E-2</v>
      </c>
      <c r="U439" s="587"/>
      <c r="V439" s="587"/>
      <c r="W439" s="587"/>
      <c r="X439" s="587"/>
      <c r="Y439" s="587"/>
      <c r="Z439" s="587"/>
      <c r="AA439" s="587"/>
      <c r="AB439" s="587"/>
      <c r="AC439" s="587"/>
      <c r="AE439" s="587"/>
      <c r="AF439" s="587"/>
      <c r="AG439" s="587"/>
      <c r="AH439" s="587"/>
      <c r="AI439" s="587"/>
      <c r="AJ439" s="587"/>
      <c r="AK439" s="587"/>
      <c r="AL439" s="587"/>
      <c r="AM439" s="587"/>
      <c r="AO439" s="587"/>
      <c r="AP439" s="587"/>
      <c r="AQ439" s="587"/>
      <c r="AR439" s="587"/>
      <c r="AS439" s="587"/>
      <c r="AT439" s="587"/>
      <c r="AU439" s="587"/>
      <c r="AV439" s="587"/>
      <c r="AW439" s="587"/>
    </row>
    <row r="440" spans="1:49">
      <c r="A440" s="581">
        <v>22737</v>
      </c>
      <c r="B440" s="594">
        <v>-6.0699999999999997E-2</v>
      </c>
      <c r="C440" s="577">
        <v>-3.5300000000000005E-2</v>
      </c>
      <c r="D440" s="577">
        <v>3.3E-3</v>
      </c>
      <c r="E440" s="577">
        <v>3.6083333333333332E-3</v>
      </c>
      <c r="F440" s="577">
        <v>3.741666666666667E-3</v>
      </c>
      <c r="G440" s="577">
        <v>3.6750000000000003E-3</v>
      </c>
      <c r="H440" s="577">
        <v>3.8250000000000003E-3</v>
      </c>
      <c r="I440" s="577">
        <f t="shared" si="68"/>
        <v>-6.4000000000000001E-2</v>
      </c>
      <c r="J440" s="577">
        <f t="shared" si="72"/>
        <v>-6.4375000000000002E-2</v>
      </c>
      <c r="K440" s="577">
        <f t="shared" si="73"/>
        <v>-3.9125000000000007E-2</v>
      </c>
      <c r="L440" s="585">
        <f t="shared" si="69"/>
        <v>2.9065146822083276E-2</v>
      </c>
      <c r="M440" s="585">
        <f t="shared" si="70"/>
        <v>3.9599999999999996E-2</v>
      </c>
      <c r="N440" s="585">
        <f t="shared" si="74"/>
        <v>4.41E-2</v>
      </c>
      <c r="O440" s="586">
        <f t="shared" si="71"/>
        <v>-1.053485317791672E-2</v>
      </c>
      <c r="P440" s="585">
        <f t="shared" si="75"/>
        <v>-1.5034853177916724E-2</v>
      </c>
      <c r="Q440" s="585">
        <f t="shared" si="76"/>
        <v>8.7688574552454046E-2</v>
      </c>
      <c r="R440" s="585">
        <f t="shared" si="77"/>
        <v>4.5900000000000003E-2</v>
      </c>
      <c r="S440" s="586">
        <f t="shared" si="78"/>
        <v>4.1788574552454043E-2</v>
      </c>
      <c r="U440" s="587"/>
      <c r="V440" s="587"/>
      <c r="W440" s="587"/>
      <c r="X440" s="587"/>
      <c r="Y440" s="587"/>
      <c r="Z440" s="587"/>
      <c r="AA440" s="587"/>
      <c r="AB440" s="587"/>
      <c r="AC440" s="587"/>
      <c r="AE440" s="587"/>
      <c r="AF440" s="587"/>
      <c r="AG440" s="587"/>
      <c r="AH440" s="587"/>
      <c r="AI440" s="587"/>
      <c r="AJ440" s="587"/>
      <c r="AK440" s="587"/>
      <c r="AL440" s="587"/>
      <c r="AM440" s="587"/>
      <c r="AO440" s="587"/>
      <c r="AP440" s="587"/>
      <c r="AQ440" s="587"/>
      <c r="AR440" s="587"/>
      <c r="AS440" s="587"/>
      <c r="AT440" s="587"/>
      <c r="AU440" s="587"/>
      <c r="AV440" s="587"/>
      <c r="AW440" s="587"/>
    </row>
    <row r="441" spans="1:49">
      <c r="A441" s="581">
        <v>22767</v>
      </c>
      <c r="B441" s="594">
        <v>-8.1100000000000005E-2</v>
      </c>
      <c r="C441" s="577">
        <v>-9.1200000000000003E-2</v>
      </c>
      <c r="D441" s="577">
        <v>3.2000000000000002E-3</v>
      </c>
      <c r="E441" s="577">
        <v>3.5666666666666668E-3</v>
      </c>
      <c r="F441" s="577">
        <v>3.6916666666666664E-3</v>
      </c>
      <c r="G441" s="577">
        <v>3.6291666666666668E-3</v>
      </c>
      <c r="H441" s="577">
        <v>3.7583333333333331E-3</v>
      </c>
      <c r="I441" s="577">
        <f t="shared" si="68"/>
        <v>-8.43E-2</v>
      </c>
      <c r="J441" s="577">
        <f t="shared" si="72"/>
        <v>-8.4729166666666675E-2</v>
      </c>
      <c r="K441" s="577">
        <f t="shared" si="73"/>
        <v>-9.4958333333333339E-2</v>
      </c>
      <c r="L441" s="585">
        <f t="shared" si="69"/>
        <v>-7.6464534217391855E-2</v>
      </c>
      <c r="M441" s="585">
        <f t="shared" si="70"/>
        <v>3.8400000000000004E-2</v>
      </c>
      <c r="N441" s="585">
        <f t="shared" si="74"/>
        <v>4.3550000000000005E-2</v>
      </c>
      <c r="O441" s="586">
        <f t="shared" si="71"/>
        <v>-0.11486453421739186</v>
      </c>
      <c r="P441" s="585">
        <f t="shared" si="75"/>
        <v>-0.12001453421739186</v>
      </c>
      <c r="Q441" s="585">
        <f t="shared" si="76"/>
        <v>-2.4482999552678741E-2</v>
      </c>
      <c r="R441" s="585">
        <f t="shared" si="77"/>
        <v>4.5100000000000001E-2</v>
      </c>
      <c r="S441" s="586">
        <f t="shared" si="78"/>
        <v>-6.9582999552678743E-2</v>
      </c>
      <c r="U441" s="587"/>
      <c r="V441" s="587"/>
      <c r="W441" s="587"/>
      <c r="X441" s="587"/>
      <c r="Y441" s="587"/>
      <c r="Z441" s="587"/>
      <c r="AA441" s="587"/>
      <c r="AB441" s="587"/>
      <c r="AC441" s="587"/>
      <c r="AE441" s="587"/>
      <c r="AF441" s="587"/>
      <c r="AG441" s="587"/>
      <c r="AH441" s="587"/>
      <c r="AI441" s="587"/>
      <c r="AJ441" s="587"/>
      <c r="AK441" s="587"/>
      <c r="AL441" s="587"/>
      <c r="AM441" s="587"/>
      <c r="AO441" s="587"/>
      <c r="AP441" s="587"/>
      <c r="AQ441" s="587"/>
      <c r="AR441" s="587"/>
      <c r="AS441" s="587"/>
      <c r="AT441" s="587"/>
      <c r="AU441" s="587"/>
      <c r="AV441" s="587"/>
      <c r="AW441" s="587"/>
    </row>
    <row r="442" spans="1:49">
      <c r="A442" s="581">
        <v>22798</v>
      </c>
      <c r="B442" s="594">
        <v>-8.0299999999999996E-2</v>
      </c>
      <c r="C442" s="577">
        <v>-5.4799999999999995E-2</v>
      </c>
      <c r="D442" s="577">
        <v>3.0000000000000001E-3</v>
      </c>
      <c r="E442" s="577">
        <v>3.5666666666666668E-3</v>
      </c>
      <c r="F442" s="577">
        <v>3.7000000000000006E-3</v>
      </c>
      <c r="G442" s="577">
        <v>3.6333333333333339E-3</v>
      </c>
      <c r="H442" s="577">
        <v>3.7333333333333333E-3</v>
      </c>
      <c r="I442" s="577">
        <f t="shared" si="68"/>
        <v>-8.3299999999999999E-2</v>
      </c>
      <c r="J442" s="577">
        <f t="shared" si="72"/>
        <v>-8.3933333333333332E-2</v>
      </c>
      <c r="K442" s="577">
        <f t="shared" si="73"/>
        <v>-5.8533333333333326E-2</v>
      </c>
      <c r="L442" s="585">
        <f t="shared" si="69"/>
        <v>-0.12660609986605198</v>
      </c>
      <c r="M442" s="585">
        <f t="shared" si="70"/>
        <v>3.6000000000000004E-2</v>
      </c>
      <c r="N442" s="585">
        <f t="shared" si="74"/>
        <v>4.3600000000000007E-2</v>
      </c>
      <c r="O442" s="586">
        <f t="shared" si="71"/>
        <v>-0.16260609986605198</v>
      </c>
      <c r="P442" s="585">
        <f t="shared" si="75"/>
        <v>-0.17020609986605198</v>
      </c>
      <c r="Q442" s="585">
        <f t="shared" si="76"/>
        <v>-5.6524435871474488E-2</v>
      </c>
      <c r="R442" s="585">
        <f t="shared" si="77"/>
        <v>4.48E-2</v>
      </c>
      <c r="S442" s="586">
        <f t="shared" si="78"/>
        <v>-0.10132443587147449</v>
      </c>
      <c r="U442" s="587"/>
      <c r="V442" s="587"/>
      <c r="W442" s="587"/>
      <c r="X442" s="587"/>
      <c r="Y442" s="587"/>
      <c r="Z442" s="587"/>
      <c r="AA442" s="587"/>
      <c r="AB442" s="587"/>
      <c r="AC442" s="587"/>
      <c r="AE442" s="587"/>
      <c r="AF442" s="587"/>
      <c r="AG442" s="587"/>
      <c r="AH442" s="587"/>
      <c r="AI442" s="587"/>
      <c r="AJ442" s="587"/>
      <c r="AK442" s="587"/>
      <c r="AL442" s="587"/>
      <c r="AM442" s="587"/>
      <c r="AO442" s="587"/>
      <c r="AP442" s="587"/>
      <c r="AQ442" s="587"/>
      <c r="AR442" s="587"/>
      <c r="AS442" s="587"/>
      <c r="AT442" s="587"/>
      <c r="AU442" s="587"/>
      <c r="AV442" s="587"/>
      <c r="AW442" s="587"/>
    </row>
    <row r="443" spans="1:49">
      <c r="A443" s="581">
        <v>22828</v>
      </c>
      <c r="B443" s="594">
        <v>6.5199999999999994E-2</v>
      </c>
      <c r="C443" s="577">
        <v>6.8899999999999989E-2</v>
      </c>
      <c r="D443" s="577">
        <v>3.3999999999999998E-3</v>
      </c>
      <c r="E443" s="577">
        <v>3.6166666666666665E-3</v>
      </c>
      <c r="F443" s="577">
        <v>3.741666666666667E-3</v>
      </c>
      <c r="G443" s="577">
        <v>3.6791666666666665E-3</v>
      </c>
      <c r="H443" s="577">
        <v>3.7499999999999999E-3</v>
      </c>
      <c r="I443" s="577">
        <f t="shared" si="68"/>
        <v>6.1799999999999994E-2</v>
      </c>
      <c r="J443" s="577">
        <f t="shared" si="72"/>
        <v>6.152083333333333E-2</v>
      </c>
      <c r="K443" s="577">
        <f t="shared" si="73"/>
        <v>6.5149999999999986E-2</v>
      </c>
      <c r="L443" s="585">
        <f t="shared" si="69"/>
        <v>-0.10042624016371937</v>
      </c>
      <c r="M443" s="585">
        <f t="shared" si="70"/>
        <v>4.0799999999999996E-2</v>
      </c>
      <c r="N443" s="585">
        <f t="shared" si="74"/>
        <v>4.4149999999999995E-2</v>
      </c>
      <c r="O443" s="586">
        <f t="shared" si="71"/>
        <v>-0.14122624016371937</v>
      </c>
      <c r="P443" s="585">
        <f t="shared" si="75"/>
        <v>-0.14457624016371937</v>
      </c>
      <c r="Q443" s="585">
        <f t="shared" si="76"/>
        <v>-3.2539303053548463E-2</v>
      </c>
      <c r="R443" s="585">
        <f t="shared" si="77"/>
        <v>4.4999999999999998E-2</v>
      </c>
      <c r="S443" s="586">
        <f t="shared" si="78"/>
        <v>-7.7539303053548461E-2</v>
      </c>
      <c r="U443" s="587"/>
      <c r="V443" s="587"/>
      <c r="W443" s="587"/>
      <c r="X443" s="587"/>
      <c r="Y443" s="587"/>
      <c r="Z443" s="587"/>
      <c r="AA443" s="587"/>
      <c r="AB443" s="587"/>
      <c r="AC443" s="587"/>
      <c r="AE443" s="587"/>
      <c r="AF443" s="587"/>
      <c r="AG443" s="587"/>
      <c r="AH443" s="587"/>
      <c r="AI443" s="587"/>
      <c r="AJ443" s="587"/>
      <c r="AK443" s="587"/>
      <c r="AL443" s="587"/>
      <c r="AM443" s="587"/>
      <c r="AO443" s="587"/>
      <c r="AP443" s="587"/>
      <c r="AQ443" s="587"/>
      <c r="AR443" s="587"/>
      <c r="AS443" s="587"/>
      <c r="AT443" s="587"/>
      <c r="AU443" s="587"/>
      <c r="AV443" s="587"/>
      <c r="AW443" s="587"/>
    </row>
    <row r="444" spans="1:49">
      <c r="A444" s="581">
        <v>22859</v>
      </c>
      <c r="B444" s="594">
        <v>2.0799999999999999E-2</v>
      </c>
      <c r="C444" s="577">
        <v>2.7099999999999999E-2</v>
      </c>
      <c r="D444" s="577">
        <v>3.3999999999999998E-3</v>
      </c>
      <c r="E444" s="577">
        <v>3.6249999999999998E-3</v>
      </c>
      <c r="F444" s="577">
        <v>3.741666666666667E-3</v>
      </c>
      <c r="G444" s="577">
        <v>3.6833333333333336E-3</v>
      </c>
      <c r="H444" s="577">
        <v>3.7750000000000001E-3</v>
      </c>
      <c r="I444" s="577">
        <f t="shared" si="68"/>
        <v>1.7399999999999999E-2</v>
      </c>
      <c r="J444" s="577">
        <f t="shared" si="72"/>
        <v>1.7116666666666665E-2</v>
      </c>
      <c r="K444" s="577">
        <f t="shared" si="73"/>
        <v>2.3324999999999999E-2</v>
      </c>
      <c r="L444" s="585">
        <f t="shared" si="69"/>
        <v>-0.10350005463157785</v>
      </c>
      <c r="M444" s="585">
        <f t="shared" si="70"/>
        <v>4.0799999999999996E-2</v>
      </c>
      <c r="N444" s="585">
        <f t="shared" si="74"/>
        <v>4.4200000000000003E-2</v>
      </c>
      <c r="O444" s="586">
        <f t="shared" si="71"/>
        <v>-0.14430005463157786</v>
      </c>
      <c r="P444" s="585">
        <f t="shared" si="75"/>
        <v>-0.14770005463157787</v>
      </c>
      <c r="Q444" s="585">
        <f t="shared" si="76"/>
        <v>-4.9474955200210391E-2</v>
      </c>
      <c r="R444" s="585">
        <f t="shared" si="77"/>
        <v>4.53E-2</v>
      </c>
      <c r="S444" s="586">
        <f t="shared" si="78"/>
        <v>-9.4774955200210398E-2</v>
      </c>
      <c r="U444" s="587"/>
      <c r="V444" s="587"/>
      <c r="W444" s="587"/>
      <c r="X444" s="587"/>
      <c r="Y444" s="587"/>
      <c r="Z444" s="587"/>
      <c r="AA444" s="587"/>
      <c r="AB444" s="587"/>
      <c r="AC444" s="587"/>
      <c r="AE444" s="587"/>
      <c r="AF444" s="587"/>
      <c r="AG444" s="587"/>
      <c r="AH444" s="587"/>
      <c r="AI444" s="587"/>
      <c r="AJ444" s="587"/>
      <c r="AK444" s="587"/>
      <c r="AL444" s="587"/>
      <c r="AM444" s="587"/>
      <c r="AO444" s="587"/>
      <c r="AP444" s="587"/>
      <c r="AQ444" s="587"/>
      <c r="AR444" s="587"/>
      <c r="AS444" s="587"/>
      <c r="AT444" s="587"/>
      <c r="AU444" s="587"/>
      <c r="AV444" s="587"/>
      <c r="AW444" s="587"/>
    </row>
    <row r="445" spans="1:49">
      <c r="A445" s="581">
        <v>22890</v>
      </c>
      <c r="B445" s="594">
        <v>-4.65E-2</v>
      </c>
      <c r="C445" s="577">
        <v>-3.3399999999999999E-2</v>
      </c>
      <c r="D445" s="577">
        <v>3.0000000000000001E-3</v>
      </c>
      <c r="E445" s="577">
        <v>3.6000000000000003E-3</v>
      </c>
      <c r="F445" s="577">
        <v>3.7166666666666663E-3</v>
      </c>
      <c r="G445" s="577">
        <v>3.6583333333333333E-3</v>
      </c>
      <c r="H445" s="577">
        <v>3.7583333333333331E-3</v>
      </c>
      <c r="I445" s="577">
        <f t="shared" si="68"/>
        <v>-4.9500000000000002E-2</v>
      </c>
      <c r="J445" s="577">
        <f t="shared" si="72"/>
        <v>-5.0158333333333333E-2</v>
      </c>
      <c r="K445" s="577">
        <f t="shared" si="73"/>
        <v>-3.7158333333333335E-2</v>
      </c>
      <c r="L445" s="585">
        <f t="shared" si="69"/>
        <v>-0.12916391818582873</v>
      </c>
      <c r="M445" s="585">
        <f t="shared" si="70"/>
        <v>3.6000000000000004E-2</v>
      </c>
      <c r="N445" s="585">
        <f t="shared" si="74"/>
        <v>4.3900000000000002E-2</v>
      </c>
      <c r="O445" s="586">
        <f t="shared" si="71"/>
        <v>-0.16516391818582873</v>
      </c>
      <c r="P445" s="585">
        <f t="shared" si="75"/>
        <v>-0.17306391818582872</v>
      </c>
      <c r="Q445" s="585">
        <f t="shared" si="76"/>
        <v>-7.5025160270334568E-2</v>
      </c>
      <c r="R445" s="585">
        <f t="shared" si="77"/>
        <v>4.5100000000000001E-2</v>
      </c>
      <c r="S445" s="586">
        <f t="shared" si="78"/>
        <v>-0.12012516027033457</v>
      </c>
      <c r="U445" s="587"/>
      <c r="V445" s="587"/>
      <c r="W445" s="587"/>
      <c r="X445" s="587"/>
      <c r="Y445" s="587"/>
      <c r="Z445" s="587"/>
      <c r="AA445" s="587"/>
      <c r="AB445" s="587"/>
      <c r="AC445" s="587"/>
      <c r="AE445" s="587"/>
      <c r="AF445" s="587"/>
      <c r="AG445" s="587"/>
      <c r="AH445" s="587"/>
      <c r="AI445" s="587"/>
      <c r="AJ445" s="587"/>
      <c r="AK445" s="587"/>
      <c r="AL445" s="587"/>
      <c r="AM445" s="587"/>
      <c r="AO445" s="587"/>
      <c r="AP445" s="587"/>
      <c r="AQ445" s="587"/>
      <c r="AR445" s="587"/>
      <c r="AS445" s="587"/>
      <c r="AT445" s="587"/>
      <c r="AU445" s="587"/>
      <c r="AV445" s="587"/>
      <c r="AW445" s="587"/>
    </row>
    <row r="446" spans="1:49">
      <c r="A446" s="581">
        <v>22920</v>
      </c>
      <c r="B446" s="594">
        <v>6.4000000000000003E-3</v>
      </c>
      <c r="C446" s="577">
        <v>-1.3999999999999998E-3</v>
      </c>
      <c r="D446" s="577">
        <v>3.5000000000000005E-3</v>
      </c>
      <c r="E446" s="577">
        <v>3.5666666666666668E-3</v>
      </c>
      <c r="F446" s="577">
        <v>3.6749999999999999E-3</v>
      </c>
      <c r="G446" s="577">
        <v>3.6208333333333331E-3</v>
      </c>
      <c r="H446" s="577">
        <v>3.741666666666667E-3</v>
      </c>
      <c r="I446" s="577">
        <f t="shared" si="68"/>
        <v>2.8999999999999998E-3</v>
      </c>
      <c r="J446" s="577">
        <f t="shared" si="72"/>
        <v>2.7791666666666672E-3</v>
      </c>
      <c r="K446" s="577">
        <f t="shared" si="73"/>
        <v>-5.1416666666666668E-3</v>
      </c>
      <c r="L446" s="585">
        <f t="shared" si="69"/>
        <v>-0.14895180351739923</v>
      </c>
      <c r="M446" s="585">
        <f t="shared" si="70"/>
        <v>4.200000000000001E-2</v>
      </c>
      <c r="N446" s="585">
        <f t="shared" si="74"/>
        <v>4.3449999999999996E-2</v>
      </c>
      <c r="O446" s="586">
        <f t="shared" si="71"/>
        <v>-0.19095180351739924</v>
      </c>
      <c r="P446" s="585">
        <f t="shared" si="75"/>
        <v>-0.19240180351739922</v>
      </c>
      <c r="Q446" s="585">
        <f t="shared" si="76"/>
        <v>-0.11862607351713372</v>
      </c>
      <c r="R446" s="585">
        <f t="shared" si="77"/>
        <v>4.4900000000000002E-2</v>
      </c>
      <c r="S446" s="586">
        <f t="shared" si="78"/>
        <v>-0.16352607351713372</v>
      </c>
      <c r="U446" s="587"/>
      <c r="V446" s="587"/>
      <c r="W446" s="587"/>
      <c r="X446" s="587"/>
      <c r="Y446" s="587"/>
      <c r="Z446" s="587"/>
      <c r="AA446" s="587"/>
      <c r="AB446" s="587"/>
      <c r="AC446" s="587"/>
      <c r="AE446" s="587"/>
      <c r="AF446" s="587"/>
      <c r="AG446" s="587"/>
      <c r="AH446" s="587"/>
      <c r="AI446" s="587"/>
      <c r="AJ446" s="587"/>
      <c r="AK446" s="587"/>
      <c r="AL446" s="587"/>
      <c r="AM446" s="587"/>
      <c r="AO446" s="587"/>
      <c r="AP446" s="587"/>
      <c r="AQ446" s="587"/>
      <c r="AR446" s="587"/>
      <c r="AS446" s="587"/>
      <c r="AT446" s="587"/>
      <c r="AU446" s="587"/>
      <c r="AV446" s="587"/>
      <c r="AW446" s="587"/>
    </row>
    <row r="447" spans="1:49">
      <c r="A447" s="581">
        <v>22951</v>
      </c>
      <c r="B447" s="594">
        <v>0.1086</v>
      </c>
      <c r="C447" s="577">
        <v>7.6800000000000007E-2</v>
      </c>
      <c r="D447" s="577">
        <v>3.0999999999999999E-3</v>
      </c>
      <c r="E447" s="577">
        <v>3.5416666666666669E-3</v>
      </c>
      <c r="F447" s="577">
        <v>3.666666666666667E-3</v>
      </c>
      <c r="G447" s="577">
        <v>3.604166666666667E-3</v>
      </c>
      <c r="H447" s="577">
        <v>3.7083333333333334E-3</v>
      </c>
      <c r="I447" s="577">
        <f t="shared" si="68"/>
        <v>0.1055</v>
      </c>
      <c r="J447" s="577">
        <f t="shared" si="72"/>
        <v>0.10499583333333333</v>
      </c>
      <c r="K447" s="577">
        <f t="shared" si="73"/>
        <v>7.309166666666668E-2</v>
      </c>
      <c r="L447" s="585">
        <f t="shared" si="69"/>
        <v>-9.6896687450357843E-2</v>
      </c>
      <c r="M447" s="585">
        <f t="shared" si="70"/>
        <v>3.7199999999999997E-2</v>
      </c>
      <c r="N447" s="585">
        <f t="shared" si="74"/>
        <v>4.3250000000000004E-2</v>
      </c>
      <c r="O447" s="586">
        <f t="shared" si="71"/>
        <v>-0.13409668745035785</v>
      </c>
      <c r="P447" s="585">
        <f t="shared" si="75"/>
        <v>-0.14014668745035785</v>
      </c>
      <c r="Q447" s="585">
        <f t="shared" si="76"/>
        <v>-8.1699618735606827E-2</v>
      </c>
      <c r="R447" s="585">
        <f t="shared" si="77"/>
        <v>4.4499999999999998E-2</v>
      </c>
      <c r="S447" s="586">
        <f t="shared" si="78"/>
        <v>-0.12619961873560681</v>
      </c>
      <c r="U447" s="587"/>
      <c r="V447" s="587"/>
      <c r="W447" s="587"/>
      <c r="X447" s="587"/>
      <c r="Y447" s="587"/>
      <c r="Z447" s="587"/>
      <c r="AA447" s="587"/>
      <c r="AB447" s="587"/>
      <c r="AC447" s="587"/>
      <c r="AE447" s="587"/>
      <c r="AF447" s="587"/>
      <c r="AG447" s="587"/>
      <c r="AH447" s="587"/>
      <c r="AI447" s="587"/>
      <c r="AJ447" s="587"/>
      <c r="AK447" s="587"/>
      <c r="AL447" s="587"/>
      <c r="AM447" s="587"/>
      <c r="AO447" s="587"/>
      <c r="AP447" s="587"/>
      <c r="AQ447" s="587"/>
      <c r="AR447" s="587"/>
      <c r="AS447" s="587"/>
      <c r="AT447" s="587"/>
      <c r="AU447" s="587"/>
      <c r="AV447" s="587"/>
      <c r="AW447" s="587"/>
    </row>
    <row r="448" spans="1:49">
      <c r="A448" s="581">
        <v>22981</v>
      </c>
      <c r="B448" s="594">
        <v>1.5299999999999999E-2</v>
      </c>
      <c r="C448" s="577">
        <v>3.1199999999999995E-2</v>
      </c>
      <c r="D448" s="577">
        <v>3.2000000000000002E-3</v>
      </c>
      <c r="E448" s="577">
        <v>3.5333333333333332E-3</v>
      </c>
      <c r="F448" s="577">
        <v>3.65E-3</v>
      </c>
      <c r="G448" s="577">
        <v>3.5916666666666662E-3</v>
      </c>
      <c r="H448" s="577">
        <v>3.7000000000000006E-3</v>
      </c>
      <c r="I448" s="577">
        <f t="shared" si="68"/>
        <v>1.21E-2</v>
      </c>
      <c r="J448" s="577">
        <f t="shared" si="72"/>
        <v>1.1708333333333333E-2</v>
      </c>
      <c r="K448" s="577">
        <f t="shared" si="73"/>
        <v>2.7499999999999993E-2</v>
      </c>
      <c r="L448" s="585">
        <f t="shared" si="69"/>
        <v>-8.7277729213963928E-2</v>
      </c>
      <c r="M448" s="585">
        <f t="shared" si="70"/>
        <v>3.8400000000000004E-2</v>
      </c>
      <c r="N448" s="585">
        <f t="shared" si="74"/>
        <v>4.3099999999999992E-2</v>
      </c>
      <c r="O448" s="586">
        <f t="shared" si="71"/>
        <v>-0.12567772921396392</v>
      </c>
      <c r="P448" s="585">
        <f t="shared" si="75"/>
        <v>-0.13037772921396393</v>
      </c>
      <c r="Q448" s="585">
        <f t="shared" si="76"/>
        <v>-2.4565973259330187E-2</v>
      </c>
      <c r="R448" s="585">
        <f t="shared" si="77"/>
        <v>4.4400000000000009E-2</v>
      </c>
      <c r="S448" s="586">
        <f t="shared" si="78"/>
        <v>-6.8965973259330196E-2</v>
      </c>
      <c r="U448" s="587"/>
      <c r="V448" s="587"/>
      <c r="W448" s="587"/>
      <c r="X448" s="587"/>
      <c r="Y448" s="587"/>
      <c r="Z448" s="587"/>
      <c r="AA448" s="587"/>
      <c r="AB448" s="587"/>
      <c r="AC448" s="587"/>
      <c r="AE448" s="587"/>
      <c r="AF448" s="587"/>
      <c r="AG448" s="587"/>
      <c r="AH448" s="587"/>
      <c r="AI448" s="587"/>
      <c r="AJ448" s="587"/>
      <c r="AK448" s="587"/>
      <c r="AL448" s="587"/>
      <c r="AM448" s="587"/>
      <c r="AO448" s="587"/>
      <c r="AP448" s="587"/>
      <c r="AQ448" s="587"/>
      <c r="AR448" s="587"/>
      <c r="AS448" s="587"/>
      <c r="AT448" s="587"/>
      <c r="AU448" s="587"/>
      <c r="AV448" s="587"/>
      <c r="AW448" s="587"/>
    </row>
    <row r="449" spans="1:49">
      <c r="A449" s="581">
        <v>23012</v>
      </c>
      <c r="B449" s="594">
        <v>5.0599999999999999E-2</v>
      </c>
      <c r="C449" s="577">
        <v>5.5800000000000002E-2</v>
      </c>
      <c r="D449" s="577">
        <v>3.2000000000000002E-3</v>
      </c>
      <c r="E449" s="577">
        <v>3.5083333333333334E-3</v>
      </c>
      <c r="F449" s="577">
        <v>3.6416666666666667E-3</v>
      </c>
      <c r="G449" s="577">
        <v>3.5750000000000005E-3</v>
      </c>
      <c r="H449" s="577">
        <v>3.6583333333333329E-3</v>
      </c>
      <c r="I449" s="577">
        <f t="shared" si="68"/>
        <v>4.7399999999999998E-2</v>
      </c>
      <c r="J449" s="577">
        <f t="shared" si="72"/>
        <v>4.7024999999999997E-2</v>
      </c>
      <c r="K449" s="577">
        <f t="shared" si="73"/>
        <v>5.2141666666666669E-2</v>
      </c>
      <c r="L449" s="585">
        <f t="shared" si="69"/>
        <v>-4.6647107247149711E-3</v>
      </c>
      <c r="M449" s="585">
        <f t="shared" si="70"/>
        <v>3.8400000000000004E-2</v>
      </c>
      <c r="N449" s="585">
        <f t="shared" si="74"/>
        <v>4.2900000000000008E-2</v>
      </c>
      <c r="O449" s="586">
        <f t="shared" si="71"/>
        <v>-4.3064710724714975E-2</v>
      </c>
      <c r="P449" s="585">
        <f t="shared" si="75"/>
        <v>-4.7564710724714979E-2</v>
      </c>
      <c r="Q449" s="585">
        <f t="shared" si="76"/>
        <v>6.8988214067676079E-2</v>
      </c>
      <c r="R449" s="585">
        <f t="shared" si="77"/>
        <v>4.3899999999999995E-2</v>
      </c>
      <c r="S449" s="586">
        <f t="shared" si="78"/>
        <v>2.5088214067676085E-2</v>
      </c>
      <c r="U449" s="587"/>
      <c r="V449" s="587"/>
      <c r="W449" s="587"/>
      <c r="X449" s="587"/>
      <c r="Y449" s="587"/>
      <c r="Z449" s="587"/>
      <c r="AA449" s="587"/>
      <c r="AB449" s="587"/>
      <c r="AC449" s="587"/>
      <c r="AE449" s="587"/>
      <c r="AF449" s="587"/>
      <c r="AG449" s="587"/>
      <c r="AH449" s="587"/>
      <c r="AI449" s="587"/>
      <c r="AJ449" s="587"/>
      <c r="AK449" s="587"/>
      <c r="AL449" s="587"/>
      <c r="AM449" s="587"/>
      <c r="AO449" s="587"/>
      <c r="AP449" s="587"/>
      <c r="AQ449" s="587"/>
      <c r="AR449" s="587"/>
      <c r="AS449" s="587"/>
      <c r="AT449" s="587"/>
      <c r="AU449" s="587"/>
      <c r="AV449" s="587"/>
      <c r="AW449" s="587"/>
    </row>
    <row r="450" spans="1:49">
      <c r="A450" s="581">
        <v>23043</v>
      </c>
      <c r="B450" s="594">
        <v>-2.3900000000000001E-2</v>
      </c>
      <c r="C450" s="577">
        <v>-2.06E-2</v>
      </c>
      <c r="D450" s="577">
        <v>2.8999999999999998E-3</v>
      </c>
      <c r="E450" s="577">
        <v>3.4916666666666668E-3</v>
      </c>
      <c r="F450" s="577">
        <v>3.6333333333333335E-3</v>
      </c>
      <c r="G450" s="577">
        <v>3.5625000000000001E-3</v>
      </c>
      <c r="H450" s="577">
        <v>3.6416666666666667E-3</v>
      </c>
      <c r="I450" s="577">
        <f t="shared" si="68"/>
        <v>-2.6800000000000001E-2</v>
      </c>
      <c r="J450" s="577">
        <f t="shared" si="72"/>
        <v>-2.7462500000000001E-2</v>
      </c>
      <c r="K450" s="577">
        <f t="shared" si="73"/>
        <v>-2.4241666666666668E-2</v>
      </c>
      <c r="L450" s="585">
        <f t="shared" si="69"/>
        <v>-4.8342858397878663E-2</v>
      </c>
      <c r="M450" s="585">
        <f t="shared" si="70"/>
        <v>3.4799999999999998E-2</v>
      </c>
      <c r="N450" s="585">
        <f t="shared" si="74"/>
        <v>4.2750000000000003E-2</v>
      </c>
      <c r="O450" s="586">
        <f t="shared" si="71"/>
        <v>-8.3142858397878661E-2</v>
      </c>
      <c r="P450" s="585">
        <f t="shared" si="75"/>
        <v>-9.1092858397878673E-2</v>
      </c>
      <c r="Q450" s="585">
        <f t="shared" si="76"/>
        <v>1.6472870735807943E-2</v>
      </c>
      <c r="R450" s="585">
        <f t="shared" si="77"/>
        <v>4.3700000000000003E-2</v>
      </c>
      <c r="S450" s="586">
        <f t="shared" si="78"/>
        <v>-2.722712926419206E-2</v>
      </c>
      <c r="U450" s="587"/>
      <c r="V450" s="587"/>
      <c r="W450" s="587"/>
      <c r="X450" s="587"/>
      <c r="Y450" s="587"/>
      <c r="Z450" s="587"/>
      <c r="AA450" s="587"/>
      <c r="AB450" s="587"/>
      <c r="AC450" s="587"/>
      <c r="AE450" s="587"/>
      <c r="AF450" s="587"/>
      <c r="AG450" s="587"/>
      <c r="AH450" s="587"/>
      <c r="AI450" s="587"/>
      <c r="AJ450" s="587"/>
      <c r="AK450" s="587"/>
      <c r="AL450" s="587"/>
      <c r="AM450" s="587"/>
      <c r="AO450" s="587"/>
      <c r="AP450" s="587"/>
      <c r="AQ450" s="587"/>
      <c r="AR450" s="587"/>
      <c r="AS450" s="587"/>
      <c r="AT450" s="587"/>
      <c r="AU450" s="587"/>
      <c r="AV450" s="587"/>
      <c r="AW450" s="587"/>
    </row>
    <row r="451" spans="1:49">
      <c r="A451" s="581">
        <v>23071</v>
      </c>
      <c r="B451" s="594">
        <v>3.6999999999999998E-2</v>
      </c>
      <c r="C451" s="577">
        <v>1.8600000000000002E-2</v>
      </c>
      <c r="D451" s="577">
        <v>3.0999999999999999E-3</v>
      </c>
      <c r="E451" s="577">
        <v>3.4916666666666668E-3</v>
      </c>
      <c r="F451" s="577">
        <v>3.6166666666666665E-3</v>
      </c>
      <c r="G451" s="577">
        <v>3.5541666666666664E-3</v>
      </c>
      <c r="H451" s="577">
        <v>3.6416666666666667E-3</v>
      </c>
      <c r="I451" s="577">
        <f t="shared" si="68"/>
        <v>3.39E-2</v>
      </c>
      <c r="J451" s="577">
        <f t="shared" si="72"/>
        <v>3.3445833333333334E-2</v>
      </c>
      <c r="K451" s="577">
        <f t="shared" si="73"/>
        <v>1.4958333333333336E-2</v>
      </c>
      <c r="L451" s="585">
        <f t="shared" si="69"/>
        <v>-8.5709706234683436E-3</v>
      </c>
      <c r="M451" s="585">
        <f t="shared" si="70"/>
        <v>3.7199999999999997E-2</v>
      </c>
      <c r="N451" s="585">
        <f t="shared" si="74"/>
        <v>4.2649999999999993E-2</v>
      </c>
      <c r="O451" s="586">
        <f t="shared" si="71"/>
        <v>-4.5770970623468341E-2</v>
      </c>
      <c r="P451" s="585">
        <f t="shared" si="75"/>
        <v>-5.1220970623468337E-2</v>
      </c>
      <c r="Q451" s="585">
        <f t="shared" si="76"/>
        <v>2.7060079487643884E-2</v>
      </c>
      <c r="R451" s="585">
        <f t="shared" si="77"/>
        <v>4.3700000000000003E-2</v>
      </c>
      <c r="S451" s="586">
        <f t="shared" si="78"/>
        <v>-1.6639920512356118E-2</v>
      </c>
      <c r="U451" s="587"/>
      <c r="V451" s="587"/>
      <c r="W451" s="587"/>
      <c r="X451" s="587"/>
      <c r="Y451" s="587"/>
      <c r="Z451" s="587"/>
      <c r="AA451" s="587"/>
      <c r="AB451" s="587"/>
      <c r="AC451" s="587"/>
      <c r="AE451" s="587"/>
      <c r="AF451" s="587"/>
      <c r="AG451" s="587"/>
      <c r="AH451" s="587"/>
      <c r="AI451" s="587"/>
      <c r="AJ451" s="587"/>
      <c r="AK451" s="587"/>
      <c r="AL451" s="587"/>
      <c r="AM451" s="587"/>
      <c r="AO451" s="587"/>
      <c r="AP451" s="587"/>
      <c r="AQ451" s="587"/>
      <c r="AR451" s="587"/>
      <c r="AS451" s="587"/>
      <c r="AT451" s="587"/>
      <c r="AU451" s="587"/>
      <c r="AV451" s="587"/>
      <c r="AW451" s="587"/>
    </row>
    <row r="452" spans="1:49">
      <c r="A452" s="581">
        <v>23102</v>
      </c>
      <c r="B452" s="594">
        <v>0.05</v>
      </c>
      <c r="C452" s="577">
        <v>2.3200000000000002E-2</v>
      </c>
      <c r="D452" s="577">
        <v>3.3999999999999998E-3</v>
      </c>
      <c r="E452" s="577">
        <v>3.5083333333333334E-3</v>
      </c>
      <c r="F452" s="577">
        <v>3.6249999999999998E-3</v>
      </c>
      <c r="G452" s="577">
        <v>3.5666666666666668E-3</v>
      </c>
      <c r="H452" s="577">
        <v>3.6416666666666667E-3</v>
      </c>
      <c r="I452" s="577">
        <f t="shared" si="68"/>
        <v>4.6600000000000003E-2</v>
      </c>
      <c r="J452" s="577">
        <f t="shared" si="72"/>
        <v>4.6433333333333333E-2</v>
      </c>
      <c r="K452" s="577">
        <f t="shared" si="73"/>
        <v>1.9558333333333334E-2</v>
      </c>
      <c r="L452" s="585">
        <f t="shared" si="69"/>
        <v>0.10827262945316551</v>
      </c>
      <c r="M452" s="585">
        <f t="shared" si="70"/>
        <v>4.0799999999999996E-2</v>
      </c>
      <c r="N452" s="585">
        <f t="shared" si="74"/>
        <v>4.2800000000000005E-2</v>
      </c>
      <c r="O452" s="586">
        <f t="shared" si="71"/>
        <v>6.7472629453165511E-2</v>
      </c>
      <c r="P452" s="585">
        <f t="shared" si="75"/>
        <v>6.547262945316551E-2</v>
      </c>
      <c r="Q452" s="585">
        <f t="shared" si="76"/>
        <v>8.934163297580322E-2</v>
      </c>
      <c r="R452" s="585">
        <f t="shared" si="77"/>
        <v>4.3700000000000003E-2</v>
      </c>
      <c r="S452" s="586">
        <f t="shared" si="78"/>
        <v>4.5641632975803217E-2</v>
      </c>
      <c r="U452" s="587"/>
      <c r="V452" s="587"/>
      <c r="W452" s="587"/>
      <c r="X452" s="587"/>
      <c r="Y452" s="587"/>
      <c r="Z452" s="587"/>
      <c r="AA452" s="587"/>
      <c r="AB452" s="587"/>
      <c r="AC452" s="587"/>
      <c r="AE452" s="587"/>
      <c r="AF452" s="587"/>
      <c r="AG452" s="587"/>
      <c r="AH452" s="587"/>
      <c r="AI452" s="587"/>
      <c r="AJ452" s="587"/>
      <c r="AK452" s="587"/>
      <c r="AL452" s="587"/>
      <c r="AM452" s="587"/>
      <c r="AO452" s="587"/>
      <c r="AP452" s="587"/>
      <c r="AQ452" s="587"/>
      <c r="AR452" s="587"/>
      <c r="AS452" s="587"/>
      <c r="AT452" s="587"/>
      <c r="AU452" s="587"/>
      <c r="AV452" s="587"/>
      <c r="AW452" s="587"/>
    </row>
    <row r="453" spans="1:49">
      <c r="A453" s="581">
        <v>23132</v>
      </c>
      <c r="B453" s="594">
        <v>1.9300000000000001E-2</v>
      </c>
      <c r="C453" s="577">
        <v>7.000000000000001E-3</v>
      </c>
      <c r="D453" s="577">
        <v>3.3E-3</v>
      </c>
      <c r="E453" s="577">
        <v>3.5166666666666662E-3</v>
      </c>
      <c r="F453" s="577">
        <v>3.6333333333333335E-3</v>
      </c>
      <c r="G453" s="577">
        <v>3.5750000000000001E-3</v>
      </c>
      <c r="H453" s="577">
        <v>3.6416666666666667E-3</v>
      </c>
      <c r="I453" s="577">
        <f t="shared" si="68"/>
        <v>1.6E-2</v>
      </c>
      <c r="J453" s="577">
        <f t="shared" si="72"/>
        <v>1.5725000000000003E-2</v>
      </c>
      <c r="K453" s="577">
        <f t="shared" si="73"/>
        <v>3.3583333333333343E-3</v>
      </c>
      <c r="L453" s="585">
        <f t="shared" si="69"/>
        <v>0.22936368614823333</v>
      </c>
      <c r="M453" s="585">
        <f t="shared" si="70"/>
        <v>3.9599999999999996E-2</v>
      </c>
      <c r="N453" s="585">
        <f t="shared" si="74"/>
        <v>4.2900000000000001E-2</v>
      </c>
      <c r="O453" s="586">
        <f t="shared" si="71"/>
        <v>0.18976368614823333</v>
      </c>
      <c r="P453" s="585">
        <f t="shared" si="75"/>
        <v>0.18646368614823333</v>
      </c>
      <c r="Q453" s="585">
        <f t="shared" si="76"/>
        <v>0.20704998284180642</v>
      </c>
      <c r="R453" s="585">
        <f t="shared" si="77"/>
        <v>4.3700000000000003E-2</v>
      </c>
      <c r="S453" s="586">
        <f t="shared" si="78"/>
        <v>0.16334998284180641</v>
      </c>
      <c r="U453" s="587"/>
      <c r="V453" s="587"/>
      <c r="W453" s="587"/>
      <c r="X453" s="587"/>
      <c r="Y453" s="587"/>
      <c r="Z453" s="587"/>
      <c r="AA453" s="587"/>
      <c r="AB453" s="587"/>
      <c r="AC453" s="587"/>
      <c r="AE453" s="587"/>
      <c r="AF453" s="587"/>
      <c r="AG453" s="587"/>
      <c r="AH453" s="587"/>
      <c r="AI453" s="587"/>
      <c r="AJ453" s="587"/>
      <c r="AK453" s="587"/>
      <c r="AL453" s="587"/>
      <c r="AM453" s="587"/>
      <c r="AO453" s="587"/>
      <c r="AP453" s="587"/>
      <c r="AQ453" s="587"/>
      <c r="AR453" s="587"/>
      <c r="AS453" s="587"/>
      <c r="AT453" s="587"/>
      <c r="AU453" s="587"/>
      <c r="AV453" s="587"/>
      <c r="AW453" s="587"/>
    </row>
    <row r="454" spans="1:49">
      <c r="A454" s="581">
        <v>23163</v>
      </c>
      <c r="B454" s="594">
        <v>-1.8800000000000001E-2</v>
      </c>
      <c r="C454" s="577">
        <v>-1.2299999999999998E-2</v>
      </c>
      <c r="D454" s="577">
        <v>3.0000000000000001E-3</v>
      </c>
      <c r="E454" s="577">
        <v>3.5250000000000004E-3</v>
      </c>
      <c r="F454" s="577">
        <v>3.6333333333333335E-3</v>
      </c>
      <c r="G454" s="577">
        <v>3.5791666666666667E-3</v>
      </c>
      <c r="H454" s="577">
        <v>3.6416666666666667E-3</v>
      </c>
      <c r="I454" s="577">
        <f t="shared" ref="I454:I517" si="79">B454-D454</f>
        <v>-2.18E-2</v>
      </c>
      <c r="J454" s="577">
        <f t="shared" si="72"/>
        <v>-2.2379166666666669E-2</v>
      </c>
      <c r="K454" s="577">
        <f t="shared" si="73"/>
        <v>-1.5941666666666666E-2</v>
      </c>
      <c r="L454" s="585">
        <f t="shared" si="69"/>
        <v>0.31157078269940941</v>
      </c>
      <c r="M454" s="585">
        <f t="shared" si="70"/>
        <v>3.6000000000000004E-2</v>
      </c>
      <c r="N454" s="585">
        <f t="shared" si="74"/>
        <v>4.2950000000000002E-2</v>
      </c>
      <c r="O454" s="586">
        <f t="shared" si="71"/>
        <v>0.27557078269940938</v>
      </c>
      <c r="P454" s="585">
        <f t="shared" si="75"/>
        <v>0.26862078269940942</v>
      </c>
      <c r="Q454" s="585">
        <f t="shared" si="76"/>
        <v>0.26132381300555663</v>
      </c>
      <c r="R454" s="585">
        <f t="shared" si="77"/>
        <v>4.3700000000000003E-2</v>
      </c>
      <c r="S454" s="586">
        <f t="shared" si="78"/>
        <v>0.21762381300555661</v>
      </c>
      <c r="U454" s="587"/>
      <c r="V454" s="587"/>
      <c r="W454" s="587"/>
      <c r="X454" s="587"/>
      <c r="Y454" s="587"/>
      <c r="Z454" s="587"/>
      <c r="AA454" s="587"/>
      <c r="AB454" s="587"/>
      <c r="AC454" s="587"/>
      <c r="AE454" s="587"/>
      <c r="AF454" s="587"/>
      <c r="AG454" s="587"/>
      <c r="AH454" s="587"/>
      <c r="AI454" s="587"/>
      <c r="AJ454" s="587"/>
      <c r="AK454" s="587"/>
      <c r="AL454" s="587"/>
      <c r="AM454" s="587"/>
      <c r="AO454" s="587"/>
      <c r="AP454" s="587"/>
      <c r="AQ454" s="587"/>
      <c r="AR454" s="587"/>
      <c r="AS454" s="587"/>
      <c r="AT454" s="587"/>
      <c r="AU454" s="587"/>
      <c r="AV454" s="587"/>
      <c r="AW454" s="587"/>
    </row>
    <row r="455" spans="1:49">
      <c r="A455" s="581">
        <v>23193</v>
      </c>
      <c r="B455" s="594">
        <v>-2.2000000000000001E-3</v>
      </c>
      <c r="C455" s="577">
        <v>1.23E-2</v>
      </c>
      <c r="D455" s="577">
        <v>3.5999999999999999E-3</v>
      </c>
      <c r="E455" s="577">
        <v>3.5499999999999998E-3</v>
      </c>
      <c r="F455" s="577">
        <v>3.6583333333333329E-3</v>
      </c>
      <c r="G455" s="577">
        <v>3.6041666666666661E-3</v>
      </c>
      <c r="H455" s="577">
        <v>3.6583333333333329E-3</v>
      </c>
      <c r="I455" s="577">
        <f t="shared" si="79"/>
        <v>-5.7999999999999996E-3</v>
      </c>
      <c r="J455" s="577">
        <f t="shared" si="72"/>
        <v>-5.8041666666666658E-3</v>
      </c>
      <c r="K455" s="577">
        <f t="shared" si="73"/>
        <v>8.6416666666666673E-3</v>
      </c>
      <c r="L455" s="585">
        <f t="shared" si="69"/>
        <v>0.2285817940081396</v>
      </c>
      <c r="M455" s="585">
        <f t="shared" si="70"/>
        <v>4.3200000000000002E-2</v>
      </c>
      <c r="N455" s="585">
        <f t="shared" si="74"/>
        <v>4.3249999999999997E-2</v>
      </c>
      <c r="O455" s="586">
        <f t="shared" si="71"/>
        <v>0.18538179400813959</v>
      </c>
      <c r="P455" s="585">
        <f t="shared" si="75"/>
        <v>0.18533179400813959</v>
      </c>
      <c r="Q455" s="585">
        <f t="shared" si="76"/>
        <v>0.19453465797130187</v>
      </c>
      <c r="R455" s="585">
        <f t="shared" si="77"/>
        <v>4.3899999999999995E-2</v>
      </c>
      <c r="S455" s="586">
        <f t="shared" si="78"/>
        <v>0.15063465797130188</v>
      </c>
      <c r="U455" s="587"/>
      <c r="V455" s="587"/>
      <c r="W455" s="587"/>
      <c r="X455" s="587"/>
      <c r="Y455" s="587"/>
      <c r="Z455" s="587"/>
      <c r="AA455" s="587"/>
      <c r="AB455" s="587"/>
      <c r="AC455" s="587"/>
      <c r="AE455" s="587"/>
      <c r="AF455" s="587"/>
      <c r="AG455" s="587"/>
      <c r="AH455" s="587"/>
      <c r="AI455" s="587"/>
      <c r="AJ455" s="587"/>
      <c r="AK455" s="587"/>
      <c r="AL455" s="587"/>
      <c r="AM455" s="587"/>
      <c r="AO455" s="587"/>
      <c r="AP455" s="587"/>
      <c r="AQ455" s="587"/>
      <c r="AR455" s="587"/>
      <c r="AS455" s="587"/>
      <c r="AT455" s="587"/>
      <c r="AU455" s="587"/>
      <c r="AV455" s="587"/>
      <c r="AW455" s="587"/>
    </row>
    <row r="456" spans="1:49">
      <c r="A456" s="581">
        <v>23224</v>
      </c>
      <c r="B456" s="594">
        <v>5.3499999999999999E-2</v>
      </c>
      <c r="C456" s="577">
        <v>4.2500000000000003E-2</v>
      </c>
      <c r="D456" s="577">
        <v>3.3E-3</v>
      </c>
      <c r="E456" s="577">
        <v>3.5750000000000001E-3</v>
      </c>
      <c r="F456" s="577">
        <v>3.666666666666667E-3</v>
      </c>
      <c r="G456" s="577">
        <v>3.6208333333333331E-3</v>
      </c>
      <c r="H456" s="577">
        <v>3.65E-3</v>
      </c>
      <c r="I456" s="577">
        <f t="shared" si="79"/>
        <v>5.0200000000000002E-2</v>
      </c>
      <c r="J456" s="577">
        <f t="shared" si="72"/>
        <v>4.9879166666666669E-2</v>
      </c>
      <c r="K456" s="577">
        <f t="shared" si="73"/>
        <v>3.8850000000000003E-2</v>
      </c>
      <c r="L456" s="585">
        <f t="shared" si="69"/>
        <v>0.2679378134674526</v>
      </c>
      <c r="M456" s="585">
        <f t="shared" si="70"/>
        <v>3.9599999999999996E-2</v>
      </c>
      <c r="N456" s="585">
        <f t="shared" si="74"/>
        <v>4.3449999999999996E-2</v>
      </c>
      <c r="O456" s="586">
        <f t="shared" si="71"/>
        <v>0.2283378134674526</v>
      </c>
      <c r="P456" s="585">
        <f t="shared" si="75"/>
        <v>0.22448781346745261</v>
      </c>
      <c r="Q456" s="585">
        <f t="shared" si="76"/>
        <v>0.21244511823102186</v>
      </c>
      <c r="R456" s="585">
        <f t="shared" si="77"/>
        <v>4.3799999999999999E-2</v>
      </c>
      <c r="S456" s="586">
        <f t="shared" si="78"/>
        <v>0.16864511823102185</v>
      </c>
      <c r="U456" s="587"/>
      <c r="V456" s="587"/>
      <c r="W456" s="587"/>
      <c r="X456" s="587"/>
      <c r="Y456" s="587"/>
      <c r="Z456" s="587"/>
      <c r="AA456" s="587"/>
      <c r="AB456" s="587"/>
      <c r="AC456" s="587"/>
      <c r="AE456" s="587"/>
      <c r="AF456" s="587"/>
      <c r="AG456" s="587"/>
      <c r="AH456" s="587"/>
      <c r="AI456" s="587"/>
      <c r="AJ456" s="587"/>
      <c r="AK456" s="587"/>
      <c r="AL456" s="587"/>
      <c r="AM456" s="587"/>
      <c r="AO456" s="587"/>
      <c r="AP456" s="587"/>
      <c r="AQ456" s="587"/>
      <c r="AR456" s="587"/>
      <c r="AS456" s="587"/>
      <c r="AT456" s="587"/>
      <c r="AU456" s="587"/>
      <c r="AV456" s="587"/>
      <c r="AW456" s="587"/>
    </row>
    <row r="457" spans="1:49">
      <c r="A457" s="581">
        <v>23255</v>
      </c>
      <c r="B457" s="594">
        <v>-9.7000000000000003E-3</v>
      </c>
      <c r="C457" s="577">
        <v>-2.58E-2</v>
      </c>
      <c r="D457" s="577">
        <v>3.3999999999999998E-3</v>
      </c>
      <c r="E457" s="577">
        <v>3.5916666666666662E-3</v>
      </c>
      <c r="F457" s="577">
        <v>3.6749999999999999E-3</v>
      </c>
      <c r="G457" s="577">
        <v>3.633333333333333E-3</v>
      </c>
      <c r="H457" s="577">
        <v>3.666666666666667E-3</v>
      </c>
      <c r="I457" s="577">
        <f t="shared" si="79"/>
        <v>-1.3100000000000001E-2</v>
      </c>
      <c r="J457" s="577">
        <f t="shared" si="72"/>
        <v>-1.3333333333333332E-2</v>
      </c>
      <c r="K457" s="577">
        <f t="shared" si="73"/>
        <v>-2.9466666666666669E-2</v>
      </c>
      <c r="L457" s="585">
        <f t="shared" si="69"/>
        <v>0.31687343122896494</v>
      </c>
      <c r="M457" s="585">
        <f t="shared" si="70"/>
        <v>4.0799999999999996E-2</v>
      </c>
      <c r="N457" s="585">
        <f t="shared" si="74"/>
        <v>4.36E-2</v>
      </c>
      <c r="O457" s="586">
        <f t="shared" si="71"/>
        <v>0.27607343122896494</v>
      </c>
      <c r="P457" s="585">
        <f t="shared" si="75"/>
        <v>0.27327343122896497</v>
      </c>
      <c r="Q457" s="585">
        <f t="shared" si="76"/>
        <v>0.22197810281467167</v>
      </c>
      <c r="R457" s="585">
        <f t="shared" si="77"/>
        <v>4.4000000000000004E-2</v>
      </c>
      <c r="S457" s="586">
        <f t="shared" si="78"/>
        <v>0.17797810281467166</v>
      </c>
      <c r="U457" s="587"/>
      <c r="V457" s="587"/>
      <c r="W457" s="587"/>
      <c r="X457" s="587"/>
      <c r="Y457" s="587"/>
      <c r="Z457" s="587"/>
      <c r="AA457" s="587"/>
      <c r="AB457" s="587"/>
      <c r="AC457" s="587"/>
      <c r="AE457" s="587"/>
      <c r="AF457" s="587"/>
      <c r="AG457" s="587"/>
      <c r="AH457" s="587"/>
      <c r="AI457" s="587"/>
      <c r="AJ457" s="587"/>
      <c r="AK457" s="587"/>
      <c r="AL457" s="587"/>
      <c r="AM457" s="587"/>
      <c r="AO457" s="587"/>
      <c r="AP457" s="587"/>
      <c r="AQ457" s="587"/>
      <c r="AR457" s="587"/>
      <c r="AS457" s="587"/>
      <c r="AT457" s="587"/>
      <c r="AU457" s="587"/>
      <c r="AV457" s="587"/>
      <c r="AW457" s="587"/>
    </row>
    <row r="458" spans="1:49">
      <c r="A458" s="581">
        <v>23285</v>
      </c>
      <c r="B458" s="594">
        <v>3.39E-2</v>
      </c>
      <c r="C458" s="577">
        <v>-3.3E-3</v>
      </c>
      <c r="D458" s="577">
        <v>3.3999999999999998E-3</v>
      </c>
      <c r="E458" s="577">
        <v>3.6000000000000003E-3</v>
      </c>
      <c r="F458" s="577">
        <v>3.6916666666666664E-3</v>
      </c>
      <c r="G458" s="577">
        <v>3.6458333333333338E-3</v>
      </c>
      <c r="H458" s="577">
        <v>3.6749999999999999E-3</v>
      </c>
      <c r="I458" s="577">
        <f t="shared" si="79"/>
        <v>3.0499999999999999E-2</v>
      </c>
      <c r="J458" s="577">
        <f t="shared" si="72"/>
        <v>3.0254166666666665E-2</v>
      </c>
      <c r="K458" s="577">
        <f t="shared" si="73"/>
        <v>-6.9750000000000003E-3</v>
      </c>
      <c r="L458" s="585">
        <f t="shared" si="69"/>
        <v>0.35285715475718105</v>
      </c>
      <c r="M458" s="585">
        <f t="shared" si="70"/>
        <v>4.0799999999999996E-2</v>
      </c>
      <c r="N458" s="585">
        <f t="shared" si="74"/>
        <v>4.3750000000000004E-2</v>
      </c>
      <c r="O458" s="586">
        <f t="shared" si="71"/>
        <v>0.31205715475718104</v>
      </c>
      <c r="P458" s="585">
        <f t="shared" si="75"/>
        <v>0.30910715475718104</v>
      </c>
      <c r="Q458" s="585">
        <f t="shared" si="76"/>
        <v>0.21965308940054351</v>
      </c>
      <c r="R458" s="585">
        <f t="shared" si="77"/>
        <v>4.41E-2</v>
      </c>
      <c r="S458" s="586">
        <f t="shared" si="78"/>
        <v>0.17555308940054351</v>
      </c>
      <c r="U458" s="587"/>
      <c r="V458" s="587"/>
      <c r="W458" s="587"/>
      <c r="X458" s="587"/>
      <c r="Y458" s="587"/>
      <c r="Z458" s="587"/>
      <c r="AA458" s="587"/>
      <c r="AB458" s="587"/>
      <c r="AC458" s="587"/>
      <c r="AE458" s="587"/>
      <c r="AF458" s="587"/>
      <c r="AG458" s="587"/>
      <c r="AH458" s="587"/>
      <c r="AI458" s="587"/>
      <c r="AJ458" s="587"/>
      <c r="AK458" s="587"/>
      <c r="AL458" s="587"/>
      <c r="AM458" s="587"/>
      <c r="AO458" s="587"/>
      <c r="AP458" s="587"/>
      <c r="AQ458" s="587"/>
      <c r="AR458" s="587"/>
      <c r="AS458" s="587"/>
      <c r="AT458" s="587"/>
      <c r="AU458" s="587"/>
      <c r="AV458" s="587"/>
      <c r="AW458" s="587"/>
    </row>
    <row r="459" spans="1:49">
      <c r="A459" s="581">
        <v>23316</v>
      </c>
      <c r="B459" s="594">
        <v>-4.5999999999999999E-3</v>
      </c>
      <c r="C459" s="577">
        <v>-8.199999999999999E-3</v>
      </c>
      <c r="D459" s="577">
        <v>3.2000000000000002E-3</v>
      </c>
      <c r="E459" s="577">
        <v>3.6083333333333332E-3</v>
      </c>
      <c r="F459" s="577">
        <v>3.7000000000000006E-3</v>
      </c>
      <c r="G459" s="577">
        <v>3.6541666666666671E-3</v>
      </c>
      <c r="H459" s="577">
        <v>3.6833333333333336E-3</v>
      </c>
      <c r="I459" s="577">
        <f t="shared" si="79"/>
        <v>-7.7999999999999996E-3</v>
      </c>
      <c r="J459" s="577">
        <f t="shared" si="72"/>
        <v>-8.2541666666666666E-3</v>
      </c>
      <c r="K459" s="577">
        <f t="shared" si="73"/>
        <v>-1.1883333333333333E-2</v>
      </c>
      <c r="L459" s="585">
        <f t="shared" si="69"/>
        <v>0.21471586852363189</v>
      </c>
      <c r="M459" s="585">
        <f t="shared" si="70"/>
        <v>3.8400000000000004E-2</v>
      </c>
      <c r="N459" s="585">
        <f t="shared" si="74"/>
        <v>4.3850000000000007E-2</v>
      </c>
      <c r="O459" s="586">
        <f t="shared" si="71"/>
        <v>0.1763158685236319</v>
      </c>
      <c r="P459" s="585">
        <f t="shared" si="75"/>
        <v>0.17086586852363189</v>
      </c>
      <c r="Q459" s="585">
        <f t="shared" si="76"/>
        <v>0.12337661038954262</v>
      </c>
      <c r="R459" s="585">
        <f t="shared" si="77"/>
        <v>4.4200000000000003E-2</v>
      </c>
      <c r="S459" s="586">
        <f t="shared" si="78"/>
        <v>7.9176610389542615E-2</v>
      </c>
      <c r="U459" s="587"/>
      <c r="V459" s="587"/>
      <c r="W459" s="587"/>
      <c r="X459" s="587"/>
      <c r="Y459" s="587"/>
      <c r="Z459" s="587"/>
      <c r="AA459" s="587"/>
      <c r="AB459" s="587"/>
      <c r="AC459" s="587"/>
      <c r="AE459" s="587"/>
      <c r="AF459" s="587"/>
      <c r="AG459" s="587"/>
      <c r="AH459" s="587"/>
      <c r="AI459" s="587"/>
      <c r="AJ459" s="587"/>
      <c r="AK459" s="587"/>
      <c r="AL459" s="587"/>
      <c r="AM459" s="587"/>
      <c r="AO459" s="587"/>
      <c r="AP459" s="587"/>
      <c r="AQ459" s="587"/>
      <c r="AR459" s="587"/>
      <c r="AS459" s="587"/>
      <c r="AT459" s="587"/>
      <c r="AU459" s="587"/>
      <c r="AV459" s="587"/>
      <c r="AW459" s="587"/>
    </row>
    <row r="460" spans="1:49">
      <c r="A460" s="581">
        <v>23346</v>
      </c>
      <c r="B460" s="594">
        <v>2.6200000000000001E-2</v>
      </c>
      <c r="C460" s="577">
        <v>3.1699999999999999E-2</v>
      </c>
      <c r="D460" s="577">
        <v>3.5999999999999999E-3</v>
      </c>
      <c r="E460" s="577">
        <v>3.6249999999999998E-3</v>
      </c>
      <c r="F460" s="577">
        <v>3.7166666666666663E-3</v>
      </c>
      <c r="G460" s="577">
        <v>3.6708333333333332E-3</v>
      </c>
      <c r="H460" s="577">
        <v>3.7166666666666663E-3</v>
      </c>
      <c r="I460" s="577">
        <f t="shared" si="79"/>
        <v>2.2600000000000002E-2</v>
      </c>
      <c r="J460" s="577">
        <f t="shared" si="72"/>
        <v>2.252916666666667E-2</v>
      </c>
      <c r="K460" s="577">
        <f t="shared" si="73"/>
        <v>2.7983333333333332E-2</v>
      </c>
      <c r="L460" s="585">
        <f t="shared" si="69"/>
        <v>0.2277567460641694</v>
      </c>
      <c r="M460" s="585">
        <f t="shared" si="70"/>
        <v>4.3200000000000002E-2</v>
      </c>
      <c r="N460" s="585">
        <f t="shared" si="74"/>
        <v>4.4049999999999999E-2</v>
      </c>
      <c r="O460" s="586">
        <f t="shared" si="71"/>
        <v>0.18455674606416939</v>
      </c>
      <c r="P460" s="585">
        <f t="shared" si="75"/>
        <v>0.1837067460641694</v>
      </c>
      <c r="Q460" s="585">
        <f t="shared" si="76"/>
        <v>0.12392130424640335</v>
      </c>
      <c r="R460" s="585">
        <f t="shared" si="77"/>
        <v>4.4599999999999994E-2</v>
      </c>
      <c r="S460" s="586">
        <f t="shared" si="78"/>
        <v>7.9321304246403351E-2</v>
      </c>
      <c r="U460" s="587"/>
      <c r="V460" s="587"/>
      <c r="W460" s="587"/>
      <c r="X460" s="587"/>
      <c r="Y460" s="587"/>
      <c r="Z460" s="587"/>
      <c r="AA460" s="587"/>
      <c r="AB460" s="587"/>
      <c r="AC460" s="587"/>
      <c r="AE460" s="587"/>
      <c r="AF460" s="587"/>
      <c r="AG460" s="587"/>
      <c r="AH460" s="587"/>
      <c r="AI460" s="587"/>
      <c r="AJ460" s="587"/>
      <c r="AK460" s="587"/>
      <c r="AL460" s="587"/>
      <c r="AM460" s="587"/>
      <c r="AO460" s="587"/>
      <c r="AP460" s="587"/>
      <c r="AQ460" s="587"/>
      <c r="AR460" s="587"/>
      <c r="AS460" s="587"/>
      <c r="AT460" s="587"/>
      <c r="AU460" s="587"/>
      <c r="AV460" s="587"/>
      <c r="AW460" s="587"/>
    </row>
    <row r="461" spans="1:49">
      <c r="A461" s="581">
        <v>23377</v>
      </c>
      <c r="B461" s="594">
        <v>2.8299999999999999E-2</v>
      </c>
      <c r="C461" s="577">
        <v>1.2699999999999999E-2</v>
      </c>
      <c r="D461" s="577">
        <v>3.5000000000000005E-3</v>
      </c>
      <c r="E461" s="577">
        <v>3.6416666666666667E-3</v>
      </c>
      <c r="F461" s="577">
        <v>3.741666666666667E-3</v>
      </c>
      <c r="G461" s="577">
        <v>3.6916666666666669E-3</v>
      </c>
      <c r="H461" s="577">
        <v>3.741666666666667E-3</v>
      </c>
      <c r="I461" s="577">
        <f t="shared" si="79"/>
        <v>2.4799999999999999E-2</v>
      </c>
      <c r="J461" s="577">
        <f t="shared" si="72"/>
        <v>2.4608333333333333E-2</v>
      </c>
      <c r="K461" s="577">
        <f t="shared" si="73"/>
        <v>8.958333333333332E-3</v>
      </c>
      <c r="L461" s="585">
        <f t="shared" si="69"/>
        <v>0.2016964229752376</v>
      </c>
      <c r="M461" s="585">
        <f t="shared" si="70"/>
        <v>4.200000000000001E-2</v>
      </c>
      <c r="N461" s="585">
        <f t="shared" si="74"/>
        <v>4.4300000000000006E-2</v>
      </c>
      <c r="O461" s="586">
        <f t="shared" si="71"/>
        <v>0.15969642297523759</v>
      </c>
      <c r="P461" s="585">
        <f t="shared" si="75"/>
        <v>0.15739642297523759</v>
      </c>
      <c r="Q461" s="585">
        <f t="shared" si="76"/>
        <v>7.8040447821872139E-2</v>
      </c>
      <c r="R461" s="585">
        <f t="shared" si="77"/>
        <v>4.4900000000000002E-2</v>
      </c>
      <c r="S461" s="586">
        <f t="shared" si="78"/>
        <v>3.3140447821872136E-2</v>
      </c>
      <c r="U461" s="587"/>
      <c r="V461" s="587"/>
      <c r="W461" s="587"/>
      <c r="X461" s="587"/>
      <c r="Y461" s="587"/>
      <c r="Z461" s="587"/>
      <c r="AA461" s="587"/>
      <c r="AB461" s="587"/>
      <c r="AC461" s="587"/>
      <c r="AE461" s="587"/>
      <c r="AF461" s="587"/>
      <c r="AG461" s="587"/>
      <c r="AH461" s="587"/>
      <c r="AI461" s="587"/>
      <c r="AJ461" s="587"/>
      <c r="AK461" s="587"/>
      <c r="AL461" s="587"/>
      <c r="AM461" s="587"/>
      <c r="AO461" s="587"/>
      <c r="AP461" s="587"/>
      <c r="AQ461" s="587"/>
      <c r="AR461" s="587"/>
      <c r="AS461" s="587"/>
      <c r="AT461" s="587"/>
      <c r="AU461" s="587"/>
      <c r="AV461" s="587"/>
      <c r="AW461" s="587"/>
    </row>
    <row r="462" spans="1:49">
      <c r="A462" s="581">
        <v>23408</v>
      </c>
      <c r="B462" s="594">
        <v>1.47E-2</v>
      </c>
      <c r="C462" s="577">
        <v>3.2000000000000002E-3</v>
      </c>
      <c r="D462" s="577">
        <v>3.2000000000000002E-3</v>
      </c>
      <c r="E462" s="577">
        <v>3.6333333333333335E-3</v>
      </c>
      <c r="F462" s="577">
        <v>3.7166666666666663E-3</v>
      </c>
      <c r="G462" s="577">
        <v>3.6749999999999999E-3</v>
      </c>
      <c r="H462" s="577">
        <v>3.7499999999999999E-3</v>
      </c>
      <c r="I462" s="577">
        <f t="shared" si="79"/>
        <v>1.15E-2</v>
      </c>
      <c r="J462" s="577">
        <f t="shared" si="72"/>
        <v>1.1025E-2</v>
      </c>
      <c r="K462" s="577">
        <f t="shared" si="73"/>
        <v>-5.4999999999999971E-4</v>
      </c>
      <c r="L462" s="585">
        <f t="shared" si="69"/>
        <v>0.24921766252737787</v>
      </c>
      <c r="M462" s="585">
        <f t="shared" si="70"/>
        <v>3.8400000000000004E-2</v>
      </c>
      <c r="N462" s="585">
        <f t="shared" si="74"/>
        <v>4.41E-2</v>
      </c>
      <c r="O462" s="586">
        <f t="shared" si="71"/>
        <v>0.21081766252737788</v>
      </c>
      <c r="P462" s="585">
        <f t="shared" si="75"/>
        <v>0.20511766252737787</v>
      </c>
      <c r="Q462" s="585">
        <f t="shared" si="76"/>
        <v>0.10423746911874776</v>
      </c>
      <c r="R462" s="585">
        <f t="shared" si="77"/>
        <v>4.4999999999999998E-2</v>
      </c>
      <c r="S462" s="586">
        <f t="shared" si="78"/>
        <v>5.9237469118747763E-2</v>
      </c>
      <c r="U462" s="587"/>
      <c r="V462" s="587"/>
      <c r="W462" s="587"/>
      <c r="X462" s="587"/>
      <c r="Y462" s="587"/>
      <c r="Z462" s="587"/>
      <c r="AA462" s="587"/>
      <c r="AB462" s="587"/>
      <c r="AC462" s="587"/>
      <c r="AE462" s="587"/>
      <c r="AF462" s="587"/>
      <c r="AG462" s="587"/>
      <c r="AH462" s="587"/>
      <c r="AI462" s="587"/>
      <c r="AJ462" s="587"/>
      <c r="AK462" s="587"/>
      <c r="AL462" s="587"/>
      <c r="AM462" s="587"/>
      <c r="AO462" s="587"/>
      <c r="AP462" s="587"/>
      <c r="AQ462" s="587"/>
      <c r="AR462" s="587"/>
      <c r="AS462" s="587"/>
      <c r="AT462" s="587"/>
      <c r="AU462" s="587"/>
      <c r="AV462" s="587"/>
      <c r="AW462" s="587"/>
    </row>
    <row r="463" spans="1:49">
      <c r="A463" s="581">
        <v>23437</v>
      </c>
      <c r="B463" s="594">
        <v>1.6500000000000001E-2</v>
      </c>
      <c r="C463" s="577">
        <v>-3.5000000000000005E-3</v>
      </c>
      <c r="D463" s="577">
        <v>3.7000000000000002E-3</v>
      </c>
      <c r="E463" s="577">
        <v>3.65E-3</v>
      </c>
      <c r="F463" s="577">
        <v>3.725E-3</v>
      </c>
      <c r="G463" s="577">
        <v>3.6875000000000002E-3</v>
      </c>
      <c r="H463" s="577">
        <v>3.7583333333333331E-3</v>
      </c>
      <c r="I463" s="577">
        <f t="shared" si="79"/>
        <v>1.2800000000000001E-2</v>
      </c>
      <c r="J463" s="577">
        <f t="shared" si="72"/>
        <v>1.2812500000000001E-2</v>
      </c>
      <c r="K463" s="577">
        <f t="shared" si="73"/>
        <v>-7.2583333333333337E-3</v>
      </c>
      <c r="L463" s="585">
        <f t="shared" si="69"/>
        <v>0.22452242426140834</v>
      </c>
      <c r="M463" s="585">
        <f t="shared" si="70"/>
        <v>4.4400000000000002E-2</v>
      </c>
      <c r="N463" s="585">
        <f t="shared" si="74"/>
        <v>4.4250000000000005E-2</v>
      </c>
      <c r="O463" s="586">
        <f t="shared" si="71"/>
        <v>0.18012242426140834</v>
      </c>
      <c r="P463" s="585">
        <f t="shared" si="75"/>
        <v>0.18027242426140833</v>
      </c>
      <c r="Q463" s="585">
        <f t="shared" si="76"/>
        <v>8.0279440385659706E-2</v>
      </c>
      <c r="R463" s="585">
        <f t="shared" si="77"/>
        <v>4.5100000000000001E-2</v>
      </c>
      <c r="S463" s="586">
        <f t="shared" si="78"/>
        <v>3.5179440385659705E-2</v>
      </c>
      <c r="U463" s="587"/>
      <c r="V463" s="587"/>
      <c r="W463" s="587"/>
      <c r="X463" s="587"/>
      <c r="Y463" s="587"/>
      <c r="Z463" s="587"/>
      <c r="AA463" s="587"/>
      <c r="AB463" s="587"/>
      <c r="AC463" s="587"/>
      <c r="AE463" s="587"/>
      <c r="AF463" s="587"/>
      <c r="AG463" s="587"/>
      <c r="AH463" s="587"/>
      <c r="AI463" s="587"/>
      <c r="AJ463" s="587"/>
      <c r="AK463" s="587"/>
      <c r="AL463" s="587"/>
      <c r="AM463" s="587"/>
      <c r="AO463" s="587"/>
      <c r="AP463" s="587"/>
      <c r="AQ463" s="587"/>
      <c r="AR463" s="587"/>
      <c r="AS463" s="587"/>
      <c r="AT463" s="587"/>
      <c r="AU463" s="587"/>
      <c r="AV463" s="587"/>
      <c r="AW463" s="587"/>
    </row>
    <row r="464" spans="1:49">
      <c r="A464" s="581">
        <v>23468</v>
      </c>
      <c r="B464" s="594">
        <v>7.4999999999999997E-3</v>
      </c>
      <c r="C464" s="577">
        <v>6.6999999999999994E-3</v>
      </c>
      <c r="D464" s="577">
        <v>3.5000000000000005E-3</v>
      </c>
      <c r="E464" s="577">
        <v>3.666666666666667E-3</v>
      </c>
      <c r="F464" s="577">
        <v>3.741666666666667E-3</v>
      </c>
      <c r="G464" s="577">
        <v>3.7041666666666672E-3</v>
      </c>
      <c r="H464" s="577">
        <v>3.7666666666666664E-3</v>
      </c>
      <c r="I464" s="577">
        <f t="shared" si="79"/>
        <v>3.9999999999999992E-3</v>
      </c>
      <c r="J464" s="577">
        <f t="shared" si="72"/>
        <v>3.7958333333333325E-3</v>
      </c>
      <c r="K464" s="577">
        <f t="shared" si="73"/>
        <v>2.9333333333333329E-3</v>
      </c>
      <c r="L464" s="585">
        <f t="shared" ref="L464:L527" si="80">((1+B453)*(1+B454)*(1+B455)*(1+B456)*(1+B457)*(1+B458)*(1+B459)*(1+B460)*(1+B461)*(1+B462)*(1+B463)*(1+B464))-1</f>
        <v>0.17495842137463646</v>
      </c>
      <c r="M464" s="585">
        <f t="shared" ref="M464:M527" si="81">D464*12</f>
        <v>4.200000000000001E-2</v>
      </c>
      <c r="N464" s="585">
        <f t="shared" si="74"/>
        <v>4.4450000000000003E-2</v>
      </c>
      <c r="O464" s="586">
        <f t="shared" ref="O464:O527" si="82">L464-M464</f>
        <v>0.13295842137463645</v>
      </c>
      <c r="P464" s="585">
        <f t="shared" si="75"/>
        <v>0.13050842137463647</v>
      </c>
      <c r="Q464" s="585">
        <f t="shared" si="76"/>
        <v>6.285898420273961E-2</v>
      </c>
      <c r="R464" s="585">
        <f t="shared" si="77"/>
        <v>4.5199999999999997E-2</v>
      </c>
      <c r="S464" s="586">
        <f t="shared" si="78"/>
        <v>1.7658984202739612E-2</v>
      </c>
      <c r="U464" s="587"/>
      <c r="V464" s="587"/>
      <c r="W464" s="587"/>
      <c r="X464" s="587"/>
      <c r="Y464" s="587"/>
      <c r="Z464" s="587"/>
      <c r="AA464" s="587"/>
      <c r="AB464" s="587"/>
      <c r="AC464" s="587"/>
      <c r="AE464" s="587"/>
      <c r="AF464" s="587"/>
      <c r="AG464" s="587"/>
      <c r="AH464" s="587"/>
      <c r="AI464" s="587"/>
      <c r="AJ464" s="587"/>
      <c r="AK464" s="587"/>
      <c r="AL464" s="587"/>
      <c r="AM464" s="587"/>
      <c r="AO464" s="587"/>
      <c r="AP464" s="587"/>
      <c r="AQ464" s="587"/>
      <c r="AR464" s="587"/>
      <c r="AS464" s="587"/>
      <c r="AT464" s="587"/>
      <c r="AU464" s="587"/>
      <c r="AV464" s="587"/>
      <c r="AW464" s="587"/>
    </row>
    <row r="465" spans="1:49">
      <c r="A465" s="581">
        <v>23498</v>
      </c>
      <c r="B465" s="594">
        <v>1.6199999999999999E-2</v>
      </c>
      <c r="C465" s="577">
        <v>3.2000000000000002E-3</v>
      </c>
      <c r="D465" s="577">
        <v>3.2000000000000002E-3</v>
      </c>
      <c r="E465" s="577">
        <v>3.6749999999999999E-3</v>
      </c>
      <c r="F465" s="577">
        <v>3.7499999999999999E-3</v>
      </c>
      <c r="G465" s="577">
        <v>3.7124999999999997E-3</v>
      </c>
      <c r="H465" s="577">
        <v>3.7750000000000001E-3</v>
      </c>
      <c r="I465" s="577">
        <f t="shared" si="79"/>
        <v>1.2999999999999999E-2</v>
      </c>
      <c r="J465" s="577">
        <f t="shared" si="72"/>
        <v>1.2487499999999999E-2</v>
      </c>
      <c r="K465" s="577">
        <f t="shared" si="73"/>
        <v>-5.7499999999999999E-4</v>
      </c>
      <c r="L465" s="585">
        <f t="shared" si="80"/>
        <v>0.1713850169733202</v>
      </c>
      <c r="M465" s="585">
        <f t="shared" si="81"/>
        <v>3.8400000000000004E-2</v>
      </c>
      <c r="N465" s="585">
        <f t="shared" si="74"/>
        <v>4.4549999999999992E-2</v>
      </c>
      <c r="O465" s="586">
        <f t="shared" si="82"/>
        <v>0.13298501697332021</v>
      </c>
      <c r="P465" s="585">
        <f t="shared" si="75"/>
        <v>0.12683501697332022</v>
      </c>
      <c r="Q465" s="585">
        <f t="shared" si="76"/>
        <v>5.8848195583106833E-2</v>
      </c>
      <c r="R465" s="585">
        <f t="shared" si="77"/>
        <v>4.53E-2</v>
      </c>
      <c r="S465" s="586">
        <f t="shared" si="78"/>
        <v>1.3548195583106833E-2</v>
      </c>
      <c r="U465" s="587"/>
      <c r="V465" s="587"/>
      <c r="W465" s="587"/>
      <c r="X465" s="587"/>
      <c r="Y465" s="587"/>
      <c r="Z465" s="587"/>
      <c r="AA465" s="587"/>
      <c r="AB465" s="587"/>
      <c r="AC465" s="587"/>
      <c r="AE465" s="587"/>
      <c r="AF465" s="587"/>
      <c r="AG465" s="587"/>
      <c r="AH465" s="587"/>
      <c r="AI465" s="587"/>
      <c r="AJ465" s="587"/>
      <c r="AK465" s="587"/>
      <c r="AL465" s="587"/>
      <c r="AM465" s="587"/>
      <c r="AO465" s="587"/>
      <c r="AP465" s="587"/>
      <c r="AQ465" s="587"/>
      <c r="AR465" s="587"/>
      <c r="AS465" s="587"/>
      <c r="AT465" s="587"/>
      <c r="AU465" s="587"/>
      <c r="AV465" s="587"/>
      <c r="AW465" s="587"/>
    </row>
    <row r="466" spans="1:49">
      <c r="A466" s="581">
        <v>23529</v>
      </c>
      <c r="B466" s="594">
        <v>1.78E-2</v>
      </c>
      <c r="C466" s="577">
        <v>2.3399999999999997E-2</v>
      </c>
      <c r="D466" s="577">
        <v>3.8E-3</v>
      </c>
      <c r="E466" s="577">
        <v>3.6749999999999999E-3</v>
      </c>
      <c r="F466" s="577">
        <v>3.7583333333333331E-3</v>
      </c>
      <c r="G466" s="577">
        <v>3.7166666666666663E-3</v>
      </c>
      <c r="H466" s="577">
        <v>3.7916666666666667E-3</v>
      </c>
      <c r="I466" s="577">
        <f t="shared" si="79"/>
        <v>1.4E-2</v>
      </c>
      <c r="J466" s="577">
        <f t="shared" si="72"/>
        <v>1.4083333333333333E-2</v>
      </c>
      <c r="K466" s="577">
        <f t="shared" si="73"/>
        <v>1.9608333333333332E-2</v>
      </c>
      <c r="L466" s="585">
        <f t="shared" si="80"/>
        <v>0.2150791584543883</v>
      </c>
      <c r="M466" s="585">
        <f t="shared" si="81"/>
        <v>4.5600000000000002E-2</v>
      </c>
      <c r="N466" s="585">
        <f t="shared" si="74"/>
        <v>4.4599999999999994E-2</v>
      </c>
      <c r="O466" s="586">
        <f t="shared" si="82"/>
        <v>0.1694791584543883</v>
      </c>
      <c r="P466" s="585">
        <f t="shared" si="75"/>
        <v>0.1704791584543883</v>
      </c>
      <c r="Q466" s="585">
        <f t="shared" si="76"/>
        <v>9.7119817110207007E-2</v>
      </c>
      <c r="R466" s="585">
        <f t="shared" si="77"/>
        <v>4.5499999999999999E-2</v>
      </c>
      <c r="S466" s="586">
        <f t="shared" si="78"/>
        <v>5.1619817110207009E-2</v>
      </c>
      <c r="U466" s="587"/>
      <c r="V466" s="587"/>
      <c r="W466" s="587"/>
      <c r="X466" s="587"/>
      <c r="Y466" s="587"/>
      <c r="Z466" s="587"/>
      <c r="AA466" s="587"/>
      <c r="AB466" s="587"/>
      <c r="AC466" s="587"/>
      <c r="AE466" s="587"/>
      <c r="AF466" s="587"/>
      <c r="AG466" s="587"/>
      <c r="AH466" s="587"/>
      <c r="AI466" s="587"/>
      <c r="AJ466" s="587"/>
      <c r="AK466" s="587"/>
      <c r="AL466" s="587"/>
      <c r="AM466" s="587"/>
      <c r="AO466" s="587"/>
      <c r="AP466" s="587"/>
      <c r="AQ466" s="587"/>
      <c r="AR466" s="587"/>
      <c r="AS466" s="587"/>
      <c r="AT466" s="587"/>
      <c r="AU466" s="587"/>
      <c r="AV466" s="587"/>
      <c r="AW466" s="587"/>
    </row>
    <row r="467" spans="1:49">
      <c r="A467" s="581">
        <v>23559</v>
      </c>
      <c r="B467" s="594">
        <v>1.95E-2</v>
      </c>
      <c r="C467" s="577">
        <v>4.7100000000000003E-2</v>
      </c>
      <c r="D467" s="577">
        <v>3.5000000000000005E-3</v>
      </c>
      <c r="E467" s="577">
        <v>3.666666666666667E-3</v>
      </c>
      <c r="F467" s="577">
        <v>3.7499999999999999E-3</v>
      </c>
      <c r="G467" s="577">
        <v>3.7083333333333334E-3</v>
      </c>
      <c r="H467" s="577">
        <v>3.7833333333333334E-3</v>
      </c>
      <c r="I467" s="577">
        <f t="shared" si="79"/>
        <v>1.6E-2</v>
      </c>
      <c r="J467" s="577">
        <f t="shared" si="72"/>
        <v>1.5791666666666666E-2</v>
      </c>
      <c r="K467" s="577">
        <f t="shared" si="73"/>
        <v>4.331666666666667E-2</v>
      </c>
      <c r="L467" s="585">
        <f t="shared" si="80"/>
        <v>0.24150451197058431</v>
      </c>
      <c r="M467" s="585">
        <f t="shared" si="81"/>
        <v>4.200000000000001E-2</v>
      </c>
      <c r="N467" s="585">
        <f t="shared" si="74"/>
        <v>4.4499999999999998E-2</v>
      </c>
      <c r="O467" s="586">
        <f t="shared" si="82"/>
        <v>0.1995045119705843</v>
      </c>
      <c r="P467" s="585">
        <f t="shared" si="75"/>
        <v>0.19700451197058433</v>
      </c>
      <c r="Q467" s="585">
        <f t="shared" si="76"/>
        <v>0.13483568161226711</v>
      </c>
      <c r="R467" s="585">
        <f t="shared" si="77"/>
        <v>4.5400000000000003E-2</v>
      </c>
      <c r="S467" s="586">
        <f t="shared" si="78"/>
        <v>8.9435681612267115E-2</v>
      </c>
      <c r="U467" s="587"/>
      <c r="V467" s="587"/>
      <c r="W467" s="587"/>
      <c r="X467" s="587"/>
      <c r="Y467" s="587"/>
      <c r="Z467" s="587"/>
      <c r="AA467" s="587"/>
      <c r="AB467" s="587"/>
      <c r="AC467" s="587"/>
      <c r="AE467" s="587"/>
      <c r="AF467" s="587"/>
      <c r="AG467" s="587"/>
      <c r="AH467" s="587"/>
      <c r="AI467" s="587"/>
      <c r="AJ467" s="587"/>
      <c r="AK467" s="587"/>
      <c r="AL467" s="587"/>
      <c r="AM467" s="587"/>
      <c r="AO467" s="587"/>
      <c r="AP467" s="587"/>
      <c r="AQ467" s="587"/>
      <c r="AR467" s="587"/>
      <c r="AS467" s="587"/>
      <c r="AT467" s="587"/>
      <c r="AU467" s="587"/>
      <c r="AV467" s="587"/>
      <c r="AW467" s="587"/>
    </row>
    <row r="468" spans="1:49">
      <c r="A468" s="581">
        <v>23590</v>
      </c>
      <c r="B468" s="594">
        <v>-1.18E-2</v>
      </c>
      <c r="C468" s="577">
        <v>3.1000000000000003E-3</v>
      </c>
      <c r="D468" s="577">
        <v>3.5000000000000005E-3</v>
      </c>
      <c r="E468" s="577">
        <v>3.6749999999999999E-3</v>
      </c>
      <c r="F468" s="577">
        <v>3.741666666666667E-3</v>
      </c>
      <c r="G468" s="577">
        <v>3.7083333333333334E-3</v>
      </c>
      <c r="H468" s="577">
        <v>3.7833333333333334E-3</v>
      </c>
      <c r="I468" s="577">
        <f t="shared" si="79"/>
        <v>-1.5300000000000001E-2</v>
      </c>
      <c r="J468" s="577">
        <f t="shared" si="72"/>
        <v>-1.5508333333333332E-2</v>
      </c>
      <c r="K468" s="577">
        <f t="shared" si="73"/>
        <v>-6.833333333333331E-4</v>
      </c>
      <c r="L468" s="585">
        <f t="shared" si="80"/>
        <v>0.16455126599841585</v>
      </c>
      <c r="M468" s="585">
        <f t="shared" si="81"/>
        <v>4.200000000000001E-2</v>
      </c>
      <c r="N468" s="585">
        <f t="shared" si="74"/>
        <v>4.4499999999999998E-2</v>
      </c>
      <c r="O468" s="586">
        <f t="shared" si="82"/>
        <v>0.12255126599841584</v>
      </c>
      <c r="P468" s="585">
        <f t="shared" si="75"/>
        <v>0.12005126599841585</v>
      </c>
      <c r="Q468" s="585">
        <f t="shared" si="76"/>
        <v>9.1945968561405689E-2</v>
      </c>
      <c r="R468" s="585">
        <f t="shared" si="77"/>
        <v>4.5400000000000003E-2</v>
      </c>
      <c r="S468" s="586">
        <f t="shared" si="78"/>
        <v>4.6545968561405686E-2</v>
      </c>
      <c r="U468" s="587"/>
      <c r="V468" s="587"/>
      <c r="W468" s="587"/>
      <c r="X468" s="587"/>
      <c r="Y468" s="587"/>
      <c r="Z468" s="587"/>
      <c r="AA468" s="587"/>
      <c r="AB468" s="587"/>
      <c r="AC468" s="587"/>
      <c r="AE468" s="587"/>
      <c r="AF468" s="587"/>
      <c r="AG468" s="587"/>
      <c r="AH468" s="587"/>
      <c r="AI468" s="587"/>
      <c r="AJ468" s="587"/>
      <c r="AK468" s="587"/>
      <c r="AL468" s="587"/>
      <c r="AM468" s="587"/>
      <c r="AO468" s="587"/>
      <c r="AP468" s="587"/>
      <c r="AQ468" s="587"/>
      <c r="AR468" s="587"/>
      <c r="AS468" s="587"/>
      <c r="AT468" s="587"/>
      <c r="AU468" s="587"/>
      <c r="AV468" s="587"/>
      <c r="AW468" s="587"/>
    </row>
    <row r="469" spans="1:49">
      <c r="A469" s="581">
        <v>23621</v>
      </c>
      <c r="B469" s="594">
        <v>3.0099999999999998E-2</v>
      </c>
      <c r="C469" s="577">
        <v>1.7000000000000001E-2</v>
      </c>
      <c r="D469" s="577">
        <v>3.3999999999999998E-3</v>
      </c>
      <c r="E469" s="577">
        <v>3.6833333333333336E-3</v>
      </c>
      <c r="F469" s="577">
        <v>3.7333333333333333E-3</v>
      </c>
      <c r="G469" s="577">
        <v>3.7083333333333334E-3</v>
      </c>
      <c r="H469" s="577">
        <v>3.7750000000000001E-3</v>
      </c>
      <c r="I469" s="577">
        <f t="shared" si="79"/>
        <v>2.6699999999999998E-2</v>
      </c>
      <c r="J469" s="577">
        <f t="shared" si="72"/>
        <v>2.6391666666666664E-2</v>
      </c>
      <c r="K469" s="577">
        <f t="shared" si="73"/>
        <v>1.3225000000000001E-2</v>
      </c>
      <c r="L469" s="585">
        <f t="shared" si="80"/>
        <v>0.21135439675347678</v>
      </c>
      <c r="M469" s="585">
        <f t="shared" si="81"/>
        <v>4.0799999999999996E-2</v>
      </c>
      <c r="N469" s="585">
        <f t="shared" si="74"/>
        <v>4.4499999999999998E-2</v>
      </c>
      <c r="O469" s="586">
        <f t="shared" si="82"/>
        <v>0.17055439675347678</v>
      </c>
      <c r="P469" s="585">
        <f t="shared" si="75"/>
        <v>0.1668543967534768</v>
      </c>
      <c r="Q469" s="585">
        <f t="shared" si="76"/>
        <v>0.1399189591736294</v>
      </c>
      <c r="R469" s="585">
        <f t="shared" si="77"/>
        <v>4.53E-2</v>
      </c>
      <c r="S469" s="586">
        <f t="shared" si="78"/>
        <v>9.4618959173629391E-2</v>
      </c>
      <c r="U469" s="587"/>
      <c r="V469" s="587"/>
      <c r="W469" s="587"/>
      <c r="X469" s="587"/>
      <c r="Y469" s="587"/>
      <c r="Z469" s="587"/>
      <c r="AA469" s="587"/>
      <c r="AB469" s="587"/>
      <c r="AC469" s="587"/>
      <c r="AE469" s="587"/>
      <c r="AF469" s="587"/>
      <c r="AG469" s="587"/>
      <c r="AH469" s="587"/>
      <c r="AI469" s="587"/>
      <c r="AJ469" s="587"/>
      <c r="AK469" s="587"/>
      <c r="AL469" s="587"/>
      <c r="AM469" s="587"/>
      <c r="AO469" s="587"/>
      <c r="AP469" s="587"/>
      <c r="AQ469" s="587"/>
      <c r="AR469" s="587"/>
      <c r="AS469" s="587"/>
      <c r="AT469" s="587"/>
      <c r="AU469" s="587"/>
      <c r="AV469" s="587"/>
      <c r="AW469" s="587"/>
    </row>
    <row r="470" spans="1:49">
      <c r="A470" s="581">
        <v>23651</v>
      </c>
      <c r="B470" s="594">
        <v>9.5999999999999992E-3</v>
      </c>
      <c r="C470" s="577">
        <v>1.6500000000000001E-2</v>
      </c>
      <c r="D470" s="577">
        <v>3.3999999999999998E-3</v>
      </c>
      <c r="E470" s="577">
        <v>3.6833333333333336E-3</v>
      </c>
      <c r="F470" s="577">
        <v>3.741666666666667E-3</v>
      </c>
      <c r="G470" s="577">
        <v>3.7125000000000001E-3</v>
      </c>
      <c r="H470" s="577">
        <v>3.7583333333333331E-3</v>
      </c>
      <c r="I470" s="577">
        <f t="shared" si="79"/>
        <v>6.1999999999999989E-3</v>
      </c>
      <c r="J470" s="577">
        <f t="shared" si="72"/>
        <v>5.8874999999999986E-3</v>
      </c>
      <c r="K470" s="577">
        <f t="shared" si="73"/>
        <v>1.2741666666666669E-2</v>
      </c>
      <c r="L470" s="585">
        <f t="shared" si="80"/>
        <v>0.18288364344937658</v>
      </c>
      <c r="M470" s="585">
        <f t="shared" si="81"/>
        <v>4.0799999999999996E-2</v>
      </c>
      <c r="N470" s="585">
        <f t="shared" si="74"/>
        <v>4.4549999999999999E-2</v>
      </c>
      <c r="O470" s="586">
        <f t="shared" si="82"/>
        <v>0.14208364344937657</v>
      </c>
      <c r="P470" s="585">
        <f t="shared" si="75"/>
        <v>0.13833364344937657</v>
      </c>
      <c r="Q470" s="585">
        <f t="shared" si="76"/>
        <v>0.1625640834754627</v>
      </c>
      <c r="R470" s="585">
        <f t="shared" si="77"/>
        <v>4.5100000000000001E-2</v>
      </c>
      <c r="S470" s="586">
        <f t="shared" si="78"/>
        <v>0.11746408347546269</v>
      </c>
      <c r="U470" s="587"/>
      <c r="V470" s="587"/>
      <c r="W470" s="587"/>
      <c r="X470" s="587"/>
      <c r="Y470" s="587"/>
      <c r="Z470" s="587"/>
      <c r="AA470" s="587"/>
      <c r="AB470" s="587"/>
      <c r="AC470" s="587"/>
      <c r="AE470" s="587"/>
      <c r="AF470" s="587"/>
      <c r="AG470" s="587"/>
      <c r="AH470" s="587"/>
      <c r="AI470" s="587"/>
      <c r="AJ470" s="587"/>
      <c r="AK470" s="587"/>
      <c r="AL470" s="587"/>
      <c r="AM470" s="587"/>
      <c r="AO470" s="587"/>
      <c r="AP470" s="587"/>
      <c r="AQ470" s="587"/>
      <c r="AR470" s="587"/>
      <c r="AS470" s="587"/>
      <c r="AT470" s="587"/>
      <c r="AU470" s="587"/>
      <c r="AV470" s="587"/>
      <c r="AW470" s="587"/>
    </row>
    <row r="471" spans="1:49">
      <c r="A471" s="581">
        <v>23682</v>
      </c>
      <c r="B471" s="594">
        <v>5.0000000000000001E-4</v>
      </c>
      <c r="C471" s="577">
        <v>1.14E-2</v>
      </c>
      <c r="D471" s="577">
        <v>3.5000000000000005E-3</v>
      </c>
      <c r="E471" s="577">
        <v>3.6916666666666664E-3</v>
      </c>
      <c r="F471" s="577">
        <v>3.741666666666667E-3</v>
      </c>
      <c r="G471" s="577">
        <v>3.7166666666666672E-3</v>
      </c>
      <c r="H471" s="577">
        <v>3.7750000000000001E-3</v>
      </c>
      <c r="I471" s="577">
        <f t="shared" si="79"/>
        <v>-3.0000000000000005E-3</v>
      </c>
      <c r="J471" s="577">
        <f t="shared" si="72"/>
        <v>-3.2166666666666672E-3</v>
      </c>
      <c r="K471" s="577">
        <f t="shared" si="73"/>
        <v>7.6249999999999998E-3</v>
      </c>
      <c r="L471" s="585">
        <f t="shared" si="80"/>
        <v>0.18894422872322814</v>
      </c>
      <c r="M471" s="585">
        <f t="shared" si="81"/>
        <v>4.200000000000001E-2</v>
      </c>
      <c r="N471" s="585">
        <f t="shared" si="74"/>
        <v>4.4600000000000008E-2</v>
      </c>
      <c r="O471" s="586">
        <f t="shared" si="82"/>
        <v>0.14694422872322813</v>
      </c>
      <c r="P471" s="585">
        <f t="shared" si="75"/>
        <v>0.14434422872322814</v>
      </c>
      <c r="Q471" s="585">
        <f t="shared" si="76"/>
        <v>0.18553873162642009</v>
      </c>
      <c r="R471" s="585">
        <f t="shared" si="77"/>
        <v>4.53E-2</v>
      </c>
      <c r="S471" s="586">
        <f t="shared" si="78"/>
        <v>0.14023873162642009</v>
      </c>
      <c r="U471" s="587"/>
      <c r="V471" s="587"/>
      <c r="W471" s="587"/>
      <c r="X471" s="587"/>
      <c r="Y471" s="587"/>
      <c r="Z471" s="587"/>
      <c r="AA471" s="587"/>
      <c r="AB471" s="587"/>
      <c r="AC471" s="587"/>
      <c r="AE471" s="587"/>
      <c r="AF471" s="587"/>
      <c r="AG471" s="587"/>
      <c r="AH471" s="587"/>
      <c r="AI471" s="587"/>
      <c r="AJ471" s="587"/>
      <c r="AK471" s="587"/>
      <c r="AL471" s="587"/>
      <c r="AM471" s="587"/>
      <c r="AO471" s="587"/>
      <c r="AP471" s="587"/>
      <c r="AQ471" s="587"/>
      <c r="AR471" s="587"/>
      <c r="AS471" s="587"/>
      <c r="AT471" s="587"/>
      <c r="AU471" s="587"/>
      <c r="AV471" s="587"/>
      <c r="AW471" s="587"/>
    </row>
    <row r="472" spans="1:49">
      <c r="A472" s="581">
        <v>23712</v>
      </c>
      <c r="B472" s="594">
        <v>5.5999999999999999E-3</v>
      </c>
      <c r="C472" s="577">
        <v>8.6E-3</v>
      </c>
      <c r="D472" s="577">
        <v>3.5000000000000005E-3</v>
      </c>
      <c r="E472" s="577">
        <v>3.7000000000000006E-3</v>
      </c>
      <c r="F472" s="577">
        <v>3.7499999999999999E-3</v>
      </c>
      <c r="G472" s="577">
        <v>3.7250000000000004E-3</v>
      </c>
      <c r="H472" s="577">
        <v>3.7833333333333334E-3</v>
      </c>
      <c r="I472" s="577">
        <f t="shared" si="79"/>
        <v>2.0999999999999994E-3</v>
      </c>
      <c r="J472" s="577">
        <f t="shared" si="72"/>
        <v>1.8749999999999995E-3</v>
      </c>
      <c r="K472" s="577">
        <f t="shared" si="73"/>
        <v>4.816666666666667E-3</v>
      </c>
      <c r="L472" s="585">
        <f t="shared" si="80"/>
        <v>0.16507729137017924</v>
      </c>
      <c r="M472" s="585">
        <f t="shared" si="81"/>
        <v>4.200000000000001E-2</v>
      </c>
      <c r="N472" s="585">
        <f t="shared" si="74"/>
        <v>4.4700000000000004E-2</v>
      </c>
      <c r="O472" s="586">
        <f t="shared" si="82"/>
        <v>0.12307729137017923</v>
      </c>
      <c r="P472" s="585">
        <f t="shared" si="75"/>
        <v>0.12037729137017923</v>
      </c>
      <c r="Q472" s="585">
        <f t="shared" si="76"/>
        <v>0.15899424708578724</v>
      </c>
      <c r="R472" s="585">
        <f t="shared" si="77"/>
        <v>4.5400000000000003E-2</v>
      </c>
      <c r="S472" s="586">
        <f t="shared" si="78"/>
        <v>0.11359424708578725</v>
      </c>
      <c r="U472" s="587"/>
      <c r="V472" s="587"/>
      <c r="W472" s="587"/>
      <c r="X472" s="587"/>
      <c r="Y472" s="587"/>
      <c r="Z472" s="587"/>
      <c r="AA472" s="587"/>
      <c r="AB472" s="587"/>
      <c r="AC472" s="587"/>
      <c r="AE472" s="587"/>
      <c r="AF472" s="587"/>
      <c r="AG472" s="587"/>
      <c r="AH472" s="587"/>
      <c r="AI472" s="587"/>
      <c r="AJ472" s="587"/>
      <c r="AK472" s="587"/>
      <c r="AL472" s="587"/>
      <c r="AM472" s="587"/>
      <c r="AO472" s="587"/>
      <c r="AP472" s="587"/>
      <c r="AQ472" s="587"/>
      <c r="AR472" s="587"/>
      <c r="AS472" s="587"/>
      <c r="AT472" s="587"/>
      <c r="AU472" s="587"/>
      <c r="AV472" s="587"/>
      <c r="AW472" s="587"/>
    </row>
    <row r="473" spans="1:49">
      <c r="A473" s="581">
        <v>23743</v>
      </c>
      <c r="B473" s="594">
        <v>3.4500000000000003E-2</v>
      </c>
      <c r="C473" s="577">
        <v>3.7100000000000001E-2</v>
      </c>
      <c r="D473" s="577">
        <v>3.3E-3</v>
      </c>
      <c r="E473" s="577">
        <v>3.6916666666666664E-3</v>
      </c>
      <c r="F473" s="577">
        <v>3.7333333333333333E-3</v>
      </c>
      <c r="G473" s="577">
        <v>3.7124999999999997E-3</v>
      </c>
      <c r="H473" s="577">
        <v>3.7750000000000001E-3</v>
      </c>
      <c r="I473" s="577">
        <f t="shared" si="79"/>
        <v>3.1200000000000002E-2</v>
      </c>
      <c r="J473" s="577">
        <f t="shared" si="72"/>
        <v>3.0787500000000002E-2</v>
      </c>
      <c r="K473" s="577">
        <f t="shared" si="73"/>
        <v>3.3325E-2</v>
      </c>
      <c r="L473" s="585">
        <f t="shared" si="80"/>
        <v>0.17210197211169009</v>
      </c>
      <c r="M473" s="585">
        <f t="shared" si="81"/>
        <v>3.9599999999999996E-2</v>
      </c>
      <c r="N473" s="585">
        <f t="shared" si="74"/>
        <v>4.4549999999999992E-2</v>
      </c>
      <c r="O473" s="586">
        <f t="shared" si="82"/>
        <v>0.1325019721116901</v>
      </c>
      <c r="P473" s="585">
        <f t="shared" si="75"/>
        <v>0.12755197211169012</v>
      </c>
      <c r="Q473" s="585">
        <f t="shared" si="76"/>
        <v>0.18691906157072191</v>
      </c>
      <c r="R473" s="585">
        <f t="shared" si="77"/>
        <v>4.53E-2</v>
      </c>
      <c r="S473" s="586">
        <f t="shared" si="78"/>
        <v>0.1416190615707219</v>
      </c>
      <c r="U473" s="587"/>
      <c r="V473" s="587"/>
      <c r="W473" s="587"/>
      <c r="X473" s="587"/>
      <c r="Y473" s="587"/>
      <c r="Z473" s="587"/>
      <c r="AA473" s="587"/>
      <c r="AB473" s="587"/>
      <c r="AC473" s="587"/>
      <c r="AE473" s="587"/>
      <c r="AF473" s="587"/>
      <c r="AG473" s="587"/>
      <c r="AH473" s="587"/>
      <c r="AI473" s="587"/>
      <c r="AJ473" s="587"/>
      <c r="AK473" s="587"/>
      <c r="AL473" s="587"/>
      <c r="AM473" s="587"/>
      <c r="AO473" s="587"/>
      <c r="AP473" s="587"/>
      <c r="AQ473" s="587"/>
      <c r="AR473" s="587"/>
      <c r="AS473" s="587"/>
      <c r="AT473" s="587"/>
      <c r="AU473" s="587"/>
      <c r="AV473" s="587"/>
      <c r="AW473" s="587"/>
    </row>
    <row r="474" spans="1:49">
      <c r="A474" s="581">
        <v>23774</v>
      </c>
      <c r="B474" s="594">
        <v>3.0999999999999999E-3</v>
      </c>
      <c r="C474" s="577">
        <v>8.9999999999999998E-4</v>
      </c>
      <c r="D474" s="577">
        <v>3.2000000000000002E-3</v>
      </c>
      <c r="E474" s="577">
        <v>3.6749999999999999E-3</v>
      </c>
      <c r="F474" s="577">
        <v>3.7166666666666663E-3</v>
      </c>
      <c r="G474" s="577">
        <v>3.6958333333333331E-3</v>
      </c>
      <c r="H474" s="577">
        <v>3.7583333333333331E-3</v>
      </c>
      <c r="I474" s="577">
        <f t="shared" si="79"/>
        <v>-1.0000000000000026E-4</v>
      </c>
      <c r="J474" s="577">
        <f t="shared" si="72"/>
        <v>-5.958333333333332E-4</v>
      </c>
      <c r="K474" s="577">
        <f t="shared" si="73"/>
        <v>-2.8583333333333334E-3</v>
      </c>
      <c r="L474" s="585">
        <f t="shared" si="80"/>
        <v>0.15870256058464216</v>
      </c>
      <c r="M474" s="585">
        <f t="shared" si="81"/>
        <v>3.8400000000000004E-2</v>
      </c>
      <c r="N474" s="585">
        <f t="shared" si="74"/>
        <v>4.4350000000000001E-2</v>
      </c>
      <c r="O474" s="586">
        <f t="shared" si="82"/>
        <v>0.12030256058464216</v>
      </c>
      <c r="P474" s="585">
        <f t="shared" si="75"/>
        <v>0.11435256058464216</v>
      </c>
      <c r="Q474" s="585">
        <f t="shared" si="76"/>
        <v>0.1841978555882533</v>
      </c>
      <c r="R474" s="585">
        <f t="shared" si="77"/>
        <v>4.5100000000000001E-2</v>
      </c>
      <c r="S474" s="586">
        <f t="shared" si="78"/>
        <v>0.1390978555882533</v>
      </c>
      <c r="U474" s="587"/>
      <c r="V474" s="587"/>
      <c r="W474" s="587"/>
      <c r="X474" s="587"/>
      <c r="Y474" s="587"/>
      <c r="Z474" s="587"/>
      <c r="AA474" s="587"/>
      <c r="AB474" s="587"/>
      <c r="AC474" s="587"/>
      <c r="AE474" s="587"/>
      <c r="AF474" s="587"/>
      <c r="AG474" s="587"/>
      <c r="AH474" s="587"/>
      <c r="AI474" s="587"/>
      <c r="AJ474" s="587"/>
      <c r="AK474" s="587"/>
      <c r="AL474" s="587"/>
      <c r="AM474" s="587"/>
      <c r="AO474" s="587"/>
      <c r="AP474" s="587"/>
      <c r="AQ474" s="587"/>
      <c r="AR474" s="587"/>
      <c r="AS474" s="587"/>
      <c r="AT474" s="587"/>
      <c r="AU474" s="587"/>
      <c r="AV474" s="587"/>
      <c r="AW474" s="587"/>
    </row>
    <row r="475" spans="1:49">
      <c r="A475" s="581">
        <v>23802</v>
      </c>
      <c r="B475" s="594">
        <v>-1.3299999999999999E-2</v>
      </c>
      <c r="C475" s="577">
        <v>6.9999999999999988E-4</v>
      </c>
      <c r="D475" s="577">
        <v>3.8E-3</v>
      </c>
      <c r="E475" s="577">
        <v>3.6833333333333336E-3</v>
      </c>
      <c r="F475" s="577">
        <v>3.7333333333333333E-3</v>
      </c>
      <c r="G475" s="577">
        <v>3.7083333333333334E-3</v>
      </c>
      <c r="H475" s="577">
        <v>3.7499999999999999E-3</v>
      </c>
      <c r="I475" s="577">
        <f t="shared" si="79"/>
        <v>-1.7100000000000001E-2</v>
      </c>
      <c r="J475" s="577">
        <f t="shared" si="72"/>
        <v>-1.7008333333333334E-2</v>
      </c>
      <c r="K475" s="577">
        <f t="shared" si="73"/>
        <v>-3.0499999999999998E-3</v>
      </c>
      <c r="L475" s="585">
        <f t="shared" si="80"/>
        <v>0.12473371030877178</v>
      </c>
      <c r="M475" s="585">
        <f t="shared" si="81"/>
        <v>4.5600000000000002E-2</v>
      </c>
      <c r="N475" s="585">
        <f t="shared" si="74"/>
        <v>4.4499999999999998E-2</v>
      </c>
      <c r="O475" s="586">
        <f t="shared" si="82"/>
        <v>7.9133710308771782E-2</v>
      </c>
      <c r="P475" s="585">
        <f t="shared" si="75"/>
        <v>8.0233710308771786E-2</v>
      </c>
      <c r="Q475" s="585">
        <f t="shared" si="76"/>
        <v>0.18918895543117387</v>
      </c>
      <c r="R475" s="585">
        <f t="shared" si="77"/>
        <v>4.4999999999999998E-2</v>
      </c>
      <c r="S475" s="586">
        <f t="shared" si="78"/>
        <v>0.14418895543117388</v>
      </c>
      <c r="U475" s="587"/>
      <c r="V475" s="587"/>
      <c r="W475" s="587"/>
      <c r="X475" s="587"/>
      <c r="Y475" s="587"/>
      <c r="Z475" s="587"/>
      <c r="AA475" s="587"/>
      <c r="AB475" s="587"/>
      <c r="AC475" s="587"/>
      <c r="AE475" s="587"/>
      <c r="AF475" s="587"/>
      <c r="AG475" s="587"/>
      <c r="AH475" s="587"/>
      <c r="AI475" s="587"/>
      <c r="AJ475" s="587"/>
      <c r="AK475" s="587"/>
      <c r="AL475" s="587"/>
      <c r="AM475" s="587"/>
      <c r="AO475" s="587"/>
      <c r="AP475" s="587"/>
      <c r="AQ475" s="587"/>
      <c r="AR475" s="587"/>
      <c r="AS475" s="587"/>
      <c r="AT475" s="587"/>
      <c r="AU475" s="587"/>
      <c r="AV475" s="587"/>
      <c r="AW475" s="587"/>
    </row>
    <row r="476" spans="1:49">
      <c r="A476" s="581">
        <v>23833</v>
      </c>
      <c r="B476" s="594">
        <v>3.56E-2</v>
      </c>
      <c r="C476" s="577">
        <v>1.09E-2</v>
      </c>
      <c r="D476" s="577">
        <v>3.3E-3</v>
      </c>
      <c r="E476" s="577">
        <v>3.6916666666666664E-3</v>
      </c>
      <c r="F476" s="577">
        <v>3.7333333333333333E-3</v>
      </c>
      <c r="G476" s="577">
        <v>3.7124999999999997E-3</v>
      </c>
      <c r="H476" s="577">
        <v>3.741666666666667E-3</v>
      </c>
      <c r="I476" s="577">
        <f t="shared" si="79"/>
        <v>3.2300000000000002E-2</v>
      </c>
      <c r="J476" s="577">
        <f t="shared" si="72"/>
        <v>3.1887499999999999E-2</v>
      </c>
      <c r="K476" s="577">
        <f t="shared" si="73"/>
        <v>7.1583333333333325E-3</v>
      </c>
      <c r="L476" s="585">
        <f t="shared" si="80"/>
        <v>0.15610345448711049</v>
      </c>
      <c r="M476" s="585">
        <f t="shared" si="81"/>
        <v>3.9599999999999996E-2</v>
      </c>
      <c r="N476" s="585">
        <f t="shared" si="74"/>
        <v>4.4549999999999992E-2</v>
      </c>
      <c r="O476" s="586">
        <f t="shared" si="82"/>
        <v>0.1165034544871105</v>
      </c>
      <c r="P476" s="585">
        <f t="shared" si="75"/>
        <v>0.1115534544871105</v>
      </c>
      <c r="Q476" s="585">
        <f t="shared" si="76"/>
        <v>0.19415030798189514</v>
      </c>
      <c r="R476" s="585">
        <f t="shared" si="77"/>
        <v>4.4900000000000002E-2</v>
      </c>
      <c r="S476" s="586">
        <f t="shared" si="78"/>
        <v>0.14925030798189515</v>
      </c>
      <c r="U476" s="587"/>
      <c r="V476" s="587"/>
      <c r="W476" s="587"/>
      <c r="X476" s="587"/>
      <c r="Y476" s="587"/>
      <c r="Z476" s="587"/>
      <c r="AA476" s="587"/>
      <c r="AB476" s="587"/>
      <c r="AC476" s="587"/>
      <c r="AE476" s="587"/>
      <c r="AF476" s="587"/>
      <c r="AG476" s="587"/>
      <c r="AH476" s="587"/>
      <c r="AI476" s="587"/>
      <c r="AJ476" s="587"/>
      <c r="AK476" s="587"/>
      <c r="AL476" s="587"/>
      <c r="AM476" s="587"/>
      <c r="AO476" s="587"/>
      <c r="AP476" s="587"/>
      <c r="AQ476" s="587"/>
      <c r="AR476" s="587"/>
      <c r="AS476" s="587"/>
      <c r="AT476" s="587"/>
      <c r="AU476" s="587"/>
      <c r="AV476" s="587"/>
      <c r="AW476" s="587"/>
    </row>
    <row r="477" spans="1:49">
      <c r="A477" s="581">
        <v>23863</v>
      </c>
      <c r="B477" s="594">
        <v>-3.0000000000000001E-3</v>
      </c>
      <c r="C477" s="577">
        <v>-8.3999999999999995E-3</v>
      </c>
      <c r="D477" s="577">
        <v>3.3E-3</v>
      </c>
      <c r="E477" s="577">
        <v>3.7000000000000006E-3</v>
      </c>
      <c r="F477" s="577">
        <v>3.741666666666667E-3</v>
      </c>
      <c r="G477" s="577">
        <v>3.7208333333333338E-3</v>
      </c>
      <c r="H477" s="577">
        <v>3.7499999999999999E-3</v>
      </c>
      <c r="I477" s="577">
        <f t="shared" si="79"/>
        <v>-6.3E-3</v>
      </c>
      <c r="J477" s="577">
        <f t="shared" ref="J477:J540" si="83">B477-G477</f>
        <v>-6.7208333333333339E-3</v>
      </c>
      <c r="K477" s="577">
        <f t="shared" ref="K477:K540" si="84">$C477-H477</f>
        <v>-1.2149999999999999E-2</v>
      </c>
      <c r="L477" s="585">
        <f t="shared" si="80"/>
        <v>0.13426013001736781</v>
      </c>
      <c r="M477" s="585">
        <f t="shared" si="81"/>
        <v>3.9599999999999996E-2</v>
      </c>
      <c r="N477" s="585">
        <f t="shared" si="74"/>
        <v>4.4650000000000009E-2</v>
      </c>
      <c r="O477" s="586">
        <f t="shared" si="82"/>
        <v>9.4660130017367811E-2</v>
      </c>
      <c r="P477" s="585">
        <f t="shared" si="75"/>
        <v>8.9610130017367798E-2</v>
      </c>
      <c r="Q477" s="585">
        <f t="shared" si="76"/>
        <v>0.18034234987524611</v>
      </c>
      <c r="R477" s="585">
        <f t="shared" si="77"/>
        <v>4.4999999999999998E-2</v>
      </c>
      <c r="S477" s="586">
        <f t="shared" si="78"/>
        <v>0.13534234987524613</v>
      </c>
      <c r="U477" s="587"/>
      <c r="V477" s="587"/>
      <c r="W477" s="587"/>
      <c r="X477" s="587"/>
      <c r="Y477" s="587"/>
      <c r="Z477" s="587"/>
      <c r="AA477" s="587"/>
      <c r="AB477" s="587"/>
      <c r="AC477" s="587"/>
      <c r="AE477" s="587"/>
      <c r="AF477" s="587"/>
      <c r="AG477" s="587"/>
      <c r="AH477" s="587"/>
      <c r="AI477" s="587"/>
      <c r="AJ477" s="587"/>
      <c r="AK477" s="587"/>
      <c r="AL477" s="587"/>
      <c r="AM477" s="587"/>
      <c r="AO477" s="587"/>
      <c r="AP477" s="587"/>
      <c r="AQ477" s="587"/>
      <c r="AR477" s="587"/>
      <c r="AS477" s="587"/>
      <c r="AT477" s="587"/>
      <c r="AU477" s="587"/>
      <c r="AV477" s="587"/>
      <c r="AW477" s="587"/>
    </row>
    <row r="478" spans="1:49">
      <c r="A478" s="581">
        <v>23894</v>
      </c>
      <c r="B478" s="594">
        <v>-4.7300000000000002E-2</v>
      </c>
      <c r="C478" s="577">
        <v>-3.4000000000000002E-2</v>
      </c>
      <c r="D478" s="577">
        <v>3.8E-3</v>
      </c>
      <c r="E478" s="577">
        <v>3.7166666666666663E-3</v>
      </c>
      <c r="F478" s="577">
        <v>3.7666666666666664E-3</v>
      </c>
      <c r="G478" s="577">
        <v>3.7416666666666666E-3</v>
      </c>
      <c r="H478" s="577">
        <v>3.7666666666666664E-3</v>
      </c>
      <c r="I478" s="577">
        <f t="shared" si="79"/>
        <v>-5.11E-2</v>
      </c>
      <c r="J478" s="577">
        <f t="shared" si="83"/>
        <v>-5.1041666666666666E-2</v>
      </c>
      <c r="K478" s="577">
        <f t="shared" si="84"/>
        <v>-3.7766666666666671E-2</v>
      </c>
      <c r="L478" s="585">
        <f t="shared" si="80"/>
        <v>6.1711167093285724E-2</v>
      </c>
      <c r="M478" s="585">
        <f t="shared" si="81"/>
        <v>4.5600000000000002E-2</v>
      </c>
      <c r="N478" s="585">
        <f t="shared" si="74"/>
        <v>4.4899999999999995E-2</v>
      </c>
      <c r="O478" s="586">
        <f t="shared" si="82"/>
        <v>1.6111167093285722E-2</v>
      </c>
      <c r="P478" s="585">
        <f t="shared" si="75"/>
        <v>1.6811167093285728E-2</v>
      </c>
      <c r="Q478" s="585">
        <f t="shared" si="76"/>
        <v>0.11413983777553982</v>
      </c>
      <c r="R478" s="585">
        <f t="shared" si="77"/>
        <v>4.5199999999999997E-2</v>
      </c>
      <c r="S478" s="586">
        <f t="shared" si="78"/>
        <v>6.8939837775539831E-2</v>
      </c>
      <c r="U478" s="587"/>
      <c r="V478" s="587"/>
      <c r="W478" s="587"/>
      <c r="X478" s="587"/>
      <c r="Y478" s="587"/>
      <c r="Z478" s="587"/>
      <c r="AA478" s="587"/>
      <c r="AB478" s="587"/>
      <c r="AC478" s="587"/>
      <c r="AE478" s="587"/>
      <c r="AF478" s="587"/>
      <c r="AG478" s="587"/>
      <c r="AH478" s="587"/>
      <c r="AI478" s="587"/>
      <c r="AJ478" s="587"/>
      <c r="AK478" s="587"/>
      <c r="AL478" s="587"/>
      <c r="AM478" s="587"/>
      <c r="AO478" s="587"/>
      <c r="AP478" s="587"/>
      <c r="AQ478" s="587"/>
      <c r="AR478" s="587"/>
      <c r="AS478" s="587"/>
      <c r="AT478" s="587"/>
      <c r="AU478" s="587"/>
      <c r="AV478" s="587"/>
      <c r="AW478" s="587"/>
    </row>
    <row r="479" spans="1:49">
      <c r="A479" s="581">
        <v>23924</v>
      </c>
      <c r="B479" s="594">
        <v>1.47E-2</v>
      </c>
      <c r="C479" s="577">
        <v>1.0500000000000001E-2</v>
      </c>
      <c r="D479" s="577">
        <v>3.3999999999999998E-3</v>
      </c>
      <c r="E479" s="577">
        <v>3.7333333333333333E-3</v>
      </c>
      <c r="F479" s="577">
        <v>3.7999999999999996E-3</v>
      </c>
      <c r="G479" s="577">
        <v>3.7666666666666664E-3</v>
      </c>
      <c r="H479" s="577">
        <v>3.7833333333333334E-3</v>
      </c>
      <c r="I479" s="577">
        <f t="shared" si="79"/>
        <v>1.1299999999999999E-2</v>
      </c>
      <c r="J479" s="577">
        <f t="shared" si="83"/>
        <v>1.0933333333333333E-2</v>
      </c>
      <c r="K479" s="577">
        <f t="shared" si="84"/>
        <v>6.7166666666666677E-3</v>
      </c>
      <c r="L479" s="585">
        <f t="shared" si="80"/>
        <v>5.6712428886274591E-2</v>
      </c>
      <c r="M479" s="585">
        <f t="shared" si="81"/>
        <v>4.0799999999999996E-2</v>
      </c>
      <c r="N479" s="585">
        <f t="shared" si="74"/>
        <v>4.5199999999999997E-2</v>
      </c>
      <c r="O479" s="586">
        <f t="shared" si="82"/>
        <v>1.5912428886274595E-2</v>
      </c>
      <c r="P479" s="585">
        <f t="shared" si="75"/>
        <v>1.1512428886274594E-2</v>
      </c>
      <c r="Q479" s="585">
        <f t="shared" si="76"/>
        <v>7.5196548631633719E-2</v>
      </c>
      <c r="R479" s="585">
        <f t="shared" si="77"/>
        <v>4.5400000000000003E-2</v>
      </c>
      <c r="S479" s="586">
        <f t="shared" si="78"/>
        <v>2.9796548631633717E-2</v>
      </c>
      <c r="U479" s="587"/>
      <c r="V479" s="587"/>
      <c r="W479" s="587"/>
      <c r="X479" s="587"/>
      <c r="Y479" s="587"/>
      <c r="Z479" s="587"/>
      <c r="AA479" s="587"/>
      <c r="AB479" s="587"/>
      <c r="AC479" s="587"/>
      <c r="AE479" s="587"/>
      <c r="AF479" s="587"/>
      <c r="AG479" s="587"/>
      <c r="AH479" s="587"/>
      <c r="AI479" s="587"/>
      <c r="AJ479" s="587"/>
      <c r="AK479" s="587"/>
      <c r="AL479" s="587"/>
      <c r="AM479" s="587"/>
      <c r="AO479" s="587"/>
      <c r="AP479" s="587"/>
      <c r="AQ479" s="587"/>
      <c r="AR479" s="587"/>
      <c r="AS479" s="587"/>
      <c r="AT479" s="587"/>
      <c r="AU479" s="587"/>
      <c r="AV479" s="587"/>
      <c r="AW479" s="587"/>
    </row>
    <row r="480" spans="1:49">
      <c r="A480" s="581">
        <v>23955</v>
      </c>
      <c r="B480" s="594">
        <v>2.7199999999999998E-2</v>
      </c>
      <c r="C480" s="577">
        <v>9.7000000000000003E-3</v>
      </c>
      <c r="D480" s="577">
        <v>3.7000000000000002E-3</v>
      </c>
      <c r="E480" s="577">
        <v>3.741666666666667E-3</v>
      </c>
      <c r="F480" s="577">
        <v>3.8250000000000003E-3</v>
      </c>
      <c r="G480" s="577">
        <v>3.7833333333333334E-3</v>
      </c>
      <c r="H480" s="577">
        <v>3.8166666666666666E-3</v>
      </c>
      <c r="I480" s="577">
        <f t="shared" si="79"/>
        <v>2.35E-2</v>
      </c>
      <c r="J480" s="577">
        <f t="shared" si="83"/>
        <v>2.3416666666666665E-2</v>
      </c>
      <c r="K480" s="577">
        <f t="shared" si="84"/>
        <v>5.8833333333333342E-3</v>
      </c>
      <c r="L480" s="585">
        <f t="shared" si="80"/>
        <v>9.841631952234442E-2</v>
      </c>
      <c r="M480" s="585">
        <f t="shared" si="81"/>
        <v>4.4400000000000002E-2</v>
      </c>
      <c r="N480" s="585">
        <f t="shared" si="74"/>
        <v>4.5400000000000003E-2</v>
      </c>
      <c r="O480" s="586">
        <f t="shared" si="82"/>
        <v>5.4016319522344418E-2</v>
      </c>
      <c r="P480" s="585">
        <f t="shared" si="75"/>
        <v>5.3016319522344417E-2</v>
      </c>
      <c r="Q480" s="585">
        <f t="shared" si="76"/>
        <v>8.227091531588071E-2</v>
      </c>
      <c r="R480" s="585">
        <f t="shared" si="77"/>
        <v>4.58E-2</v>
      </c>
      <c r="S480" s="586">
        <f t="shared" si="78"/>
        <v>3.647091531588071E-2</v>
      </c>
      <c r="U480" s="587"/>
      <c r="V480" s="587"/>
      <c r="W480" s="587"/>
      <c r="X480" s="587"/>
      <c r="Y480" s="587"/>
      <c r="Z480" s="587"/>
      <c r="AA480" s="587"/>
      <c r="AB480" s="587"/>
      <c r="AC480" s="587"/>
      <c r="AE480" s="587"/>
      <c r="AF480" s="587"/>
      <c r="AG480" s="587"/>
      <c r="AH480" s="587"/>
      <c r="AI480" s="587"/>
      <c r="AJ480" s="587"/>
      <c r="AK480" s="587"/>
      <c r="AL480" s="587"/>
      <c r="AM480" s="587"/>
      <c r="AO480" s="587"/>
      <c r="AP480" s="587"/>
      <c r="AQ480" s="587"/>
      <c r="AR480" s="587"/>
      <c r="AS480" s="587"/>
      <c r="AT480" s="587"/>
      <c r="AU480" s="587"/>
      <c r="AV480" s="587"/>
      <c r="AW480" s="587"/>
    </row>
    <row r="481" spans="1:49">
      <c r="A481" s="581">
        <v>23986</v>
      </c>
      <c r="B481" s="594">
        <v>3.3399999999999999E-2</v>
      </c>
      <c r="C481" s="577">
        <v>1.9400000000000001E-2</v>
      </c>
      <c r="D481" s="577">
        <v>3.5000000000000005E-3</v>
      </c>
      <c r="E481" s="577">
        <v>3.7666666666666664E-3</v>
      </c>
      <c r="F481" s="577">
        <v>3.858333333333333E-3</v>
      </c>
      <c r="G481" s="577">
        <v>3.8124999999999999E-3</v>
      </c>
      <c r="H481" s="577">
        <v>3.858333333333333E-3</v>
      </c>
      <c r="I481" s="577">
        <f t="shared" si="79"/>
        <v>2.9899999999999999E-2</v>
      </c>
      <c r="J481" s="577">
        <f t="shared" si="83"/>
        <v>2.9587499999999999E-2</v>
      </c>
      <c r="K481" s="577">
        <f t="shared" si="84"/>
        <v>1.5541666666666667E-2</v>
      </c>
      <c r="L481" s="585">
        <f t="shared" si="80"/>
        <v>0.10193517580272937</v>
      </c>
      <c r="M481" s="585">
        <f t="shared" si="81"/>
        <v>4.200000000000001E-2</v>
      </c>
      <c r="N481" s="585">
        <f t="shared" si="74"/>
        <v>4.5749999999999999E-2</v>
      </c>
      <c r="O481" s="586">
        <f t="shared" si="82"/>
        <v>5.9935175802729362E-2</v>
      </c>
      <c r="P481" s="585">
        <f t="shared" si="75"/>
        <v>5.6185175802729373E-2</v>
      </c>
      <c r="Q481" s="585">
        <f t="shared" si="76"/>
        <v>8.4824946974443538E-2</v>
      </c>
      <c r="R481" s="585">
        <f t="shared" si="77"/>
        <v>4.6299999999999994E-2</v>
      </c>
      <c r="S481" s="586">
        <f t="shared" si="78"/>
        <v>3.8524946974443544E-2</v>
      </c>
      <c r="U481" s="587"/>
      <c r="V481" s="587"/>
      <c r="W481" s="587"/>
      <c r="X481" s="587"/>
      <c r="Y481" s="587"/>
      <c r="Z481" s="587"/>
      <c r="AA481" s="587"/>
      <c r="AB481" s="587"/>
      <c r="AC481" s="587"/>
      <c r="AE481" s="587"/>
      <c r="AF481" s="587"/>
      <c r="AG481" s="587"/>
      <c r="AH481" s="587"/>
      <c r="AI481" s="587"/>
      <c r="AJ481" s="587"/>
      <c r="AK481" s="587"/>
      <c r="AL481" s="587"/>
      <c r="AM481" s="587"/>
      <c r="AO481" s="587"/>
      <c r="AP481" s="587"/>
      <c r="AQ481" s="587"/>
      <c r="AR481" s="587"/>
      <c r="AS481" s="587"/>
      <c r="AT481" s="587"/>
      <c r="AU481" s="587"/>
      <c r="AV481" s="587"/>
      <c r="AW481" s="587"/>
    </row>
    <row r="482" spans="1:49">
      <c r="A482" s="581">
        <v>24016</v>
      </c>
      <c r="B482" s="594">
        <v>2.8899999999999999E-2</v>
      </c>
      <c r="C482" s="577">
        <v>1.2900000000000002E-2</v>
      </c>
      <c r="D482" s="577">
        <v>3.3999999999999998E-3</v>
      </c>
      <c r="E482" s="577">
        <v>3.7999999999999996E-3</v>
      </c>
      <c r="F482" s="577">
        <v>3.8833333333333337E-3</v>
      </c>
      <c r="G482" s="577">
        <v>3.8416666666666664E-3</v>
      </c>
      <c r="H482" s="577">
        <v>3.8833333333333337E-3</v>
      </c>
      <c r="I482" s="577">
        <f t="shared" si="79"/>
        <v>2.5499999999999998E-2</v>
      </c>
      <c r="J482" s="577">
        <f t="shared" si="83"/>
        <v>2.5058333333333332E-2</v>
      </c>
      <c r="K482" s="577">
        <f t="shared" si="84"/>
        <v>9.0166666666666676E-3</v>
      </c>
      <c r="L482" s="585">
        <f t="shared" si="80"/>
        <v>0.12300029950814961</v>
      </c>
      <c r="M482" s="585">
        <f t="shared" si="81"/>
        <v>4.0799999999999996E-2</v>
      </c>
      <c r="N482" s="585">
        <f t="shared" si="74"/>
        <v>4.6099999999999995E-2</v>
      </c>
      <c r="O482" s="586">
        <f t="shared" si="82"/>
        <v>8.220029950814961E-2</v>
      </c>
      <c r="P482" s="585">
        <f t="shared" si="75"/>
        <v>7.6900299508149611E-2</v>
      </c>
      <c r="Q482" s="585">
        <f t="shared" si="76"/>
        <v>8.0982969788897075E-2</v>
      </c>
      <c r="R482" s="585">
        <f t="shared" si="77"/>
        <v>4.6600000000000003E-2</v>
      </c>
      <c r="S482" s="586">
        <f t="shared" si="78"/>
        <v>3.4382969788897072E-2</v>
      </c>
      <c r="U482" s="587"/>
      <c r="V482" s="587"/>
      <c r="W482" s="587"/>
      <c r="X482" s="587"/>
      <c r="Y482" s="587"/>
      <c r="Z482" s="587"/>
      <c r="AA482" s="587"/>
      <c r="AB482" s="587"/>
      <c r="AC482" s="587"/>
      <c r="AE482" s="587"/>
      <c r="AF482" s="587"/>
      <c r="AG482" s="587"/>
      <c r="AH482" s="587"/>
      <c r="AI482" s="587"/>
      <c r="AJ482" s="587"/>
      <c r="AK482" s="587"/>
      <c r="AL482" s="587"/>
      <c r="AM482" s="587"/>
      <c r="AO482" s="587"/>
      <c r="AP482" s="587"/>
      <c r="AQ482" s="587"/>
      <c r="AR482" s="587"/>
      <c r="AS482" s="587"/>
      <c r="AT482" s="587"/>
      <c r="AU482" s="587"/>
      <c r="AV482" s="587"/>
      <c r="AW482" s="587"/>
    </row>
    <row r="483" spans="1:49">
      <c r="A483" s="581">
        <v>24047</v>
      </c>
      <c r="B483" s="594">
        <v>-3.0999999999999999E-3</v>
      </c>
      <c r="C483" s="577">
        <v>-1.1599999999999999E-2</v>
      </c>
      <c r="D483" s="577">
        <v>3.7000000000000002E-3</v>
      </c>
      <c r="E483" s="577">
        <v>3.8333333333333331E-3</v>
      </c>
      <c r="F483" s="577">
        <v>3.908333333333334E-3</v>
      </c>
      <c r="G483" s="577">
        <v>3.8708333333333333E-3</v>
      </c>
      <c r="H483" s="577">
        <v>3.9250000000000005E-3</v>
      </c>
      <c r="I483" s="577">
        <f t="shared" si="79"/>
        <v>-6.8000000000000005E-3</v>
      </c>
      <c r="J483" s="577">
        <f t="shared" si="83"/>
        <v>-6.9708333333333332E-3</v>
      </c>
      <c r="K483" s="577">
        <f t="shared" si="84"/>
        <v>-1.5525000000000001E-2</v>
      </c>
      <c r="L483" s="585">
        <f t="shared" si="80"/>
        <v>0.11895951882026434</v>
      </c>
      <c r="M483" s="585">
        <f t="shared" si="81"/>
        <v>4.4400000000000002E-2</v>
      </c>
      <c r="N483" s="585">
        <f t="shared" si="74"/>
        <v>4.6449999999999998E-2</v>
      </c>
      <c r="O483" s="586">
        <f t="shared" si="82"/>
        <v>7.4559518820264348E-2</v>
      </c>
      <c r="P483" s="585">
        <f t="shared" si="75"/>
        <v>7.2509518820264351E-2</v>
      </c>
      <c r="Q483" s="585">
        <f t="shared" si="76"/>
        <v>5.6400600493716979E-2</v>
      </c>
      <c r="R483" s="585">
        <f t="shared" si="77"/>
        <v>4.7100000000000003E-2</v>
      </c>
      <c r="S483" s="586">
        <f t="shared" si="78"/>
        <v>9.3006004937169762E-3</v>
      </c>
      <c r="U483" s="587"/>
      <c r="V483" s="587"/>
      <c r="W483" s="587"/>
      <c r="X483" s="587"/>
      <c r="Y483" s="587"/>
      <c r="Z483" s="587"/>
      <c r="AA483" s="587"/>
      <c r="AB483" s="587"/>
      <c r="AC483" s="587"/>
      <c r="AE483" s="587"/>
      <c r="AF483" s="587"/>
      <c r="AG483" s="587"/>
      <c r="AH483" s="587"/>
      <c r="AI483" s="587"/>
      <c r="AJ483" s="587"/>
      <c r="AK483" s="587"/>
      <c r="AL483" s="587"/>
      <c r="AM483" s="587"/>
      <c r="AO483" s="587"/>
      <c r="AP483" s="587"/>
      <c r="AQ483" s="587"/>
      <c r="AR483" s="587"/>
      <c r="AS483" s="587"/>
      <c r="AT483" s="587"/>
      <c r="AU483" s="587"/>
      <c r="AV483" s="587"/>
      <c r="AW483" s="587"/>
    </row>
    <row r="484" spans="1:49">
      <c r="A484" s="581">
        <v>24077</v>
      </c>
      <c r="B484" s="594">
        <v>1.06E-2</v>
      </c>
      <c r="C484" s="577">
        <v>-7.9999999999999993E-4</v>
      </c>
      <c r="D484" s="577">
        <v>3.7000000000000002E-3</v>
      </c>
      <c r="E484" s="577">
        <v>3.8999999999999994E-3</v>
      </c>
      <c r="F484" s="577">
        <v>4.0000000000000001E-3</v>
      </c>
      <c r="G484" s="577">
        <v>3.9499999999999995E-3</v>
      </c>
      <c r="H484" s="577">
        <v>4.0249999999999999E-3</v>
      </c>
      <c r="I484" s="577">
        <f t="shared" si="79"/>
        <v>6.8999999999999999E-3</v>
      </c>
      <c r="J484" s="577">
        <f t="shared" si="83"/>
        <v>6.6500000000000005E-3</v>
      </c>
      <c r="K484" s="577">
        <f t="shared" si="84"/>
        <v>-4.8249999999999994E-3</v>
      </c>
      <c r="L484" s="585">
        <f t="shared" si="80"/>
        <v>0.12452316002362673</v>
      </c>
      <c r="M484" s="585">
        <f t="shared" si="81"/>
        <v>4.4400000000000002E-2</v>
      </c>
      <c r="N484" s="585">
        <f t="shared" si="74"/>
        <v>4.7399999999999998E-2</v>
      </c>
      <c r="O484" s="586">
        <f t="shared" si="82"/>
        <v>8.0123160023626738E-2</v>
      </c>
      <c r="P484" s="585">
        <f t="shared" si="75"/>
        <v>7.7123160023626736E-2</v>
      </c>
      <c r="Q484" s="585">
        <f t="shared" si="76"/>
        <v>4.6555106100854671E-2</v>
      </c>
      <c r="R484" s="585">
        <f t="shared" si="77"/>
        <v>4.8299999999999996E-2</v>
      </c>
      <c r="S484" s="586">
        <f t="shared" si="78"/>
        <v>-1.744893899145325E-3</v>
      </c>
      <c r="U484" s="587"/>
      <c r="V484" s="587"/>
      <c r="W484" s="587"/>
      <c r="X484" s="587"/>
      <c r="Y484" s="587"/>
      <c r="Z484" s="587"/>
      <c r="AA484" s="587"/>
      <c r="AB484" s="587"/>
      <c r="AC484" s="587"/>
      <c r="AE484" s="587"/>
      <c r="AF484" s="587"/>
      <c r="AG484" s="587"/>
      <c r="AH484" s="587"/>
      <c r="AI484" s="587"/>
      <c r="AJ484" s="587"/>
      <c r="AK484" s="587"/>
      <c r="AL484" s="587"/>
      <c r="AM484" s="587"/>
      <c r="AO484" s="587"/>
      <c r="AP484" s="587"/>
      <c r="AQ484" s="587"/>
      <c r="AR484" s="587"/>
      <c r="AS484" s="587"/>
      <c r="AT484" s="587"/>
      <c r="AU484" s="587"/>
      <c r="AV484" s="587"/>
      <c r="AW484" s="587"/>
    </row>
    <row r="485" spans="1:49">
      <c r="A485" s="581">
        <v>24108</v>
      </c>
      <c r="B485" s="594">
        <v>6.1999999999999998E-3</v>
      </c>
      <c r="C485" s="577">
        <v>-2.9699999999999997E-2</v>
      </c>
      <c r="D485" s="577">
        <v>3.8E-3</v>
      </c>
      <c r="E485" s="577">
        <v>3.9500000000000004E-3</v>
      </c>
      <c r="F485" s="577">
        <v>4.0249999999999999E-3</v>
      </c>
      <c r="G485" s="577">
        <v>3.9875000000000006E-3</v>
      </c>
      <c r="H485" s="577">
        <v>4.0500000000000006E-3</v>
      </c>
      <c r="I485" s="577">
        <f t="shared" si="79"/>
        <v>2.3999999999999998E-3</v>
      </c>
      <c r="J485" s="577">
        <f t="shared" si="83"/>
        <v>2.2124999999999992E-3</v>
      </c>
      <c r="K485" s="577">
        <f t="shared" si="84"/>
        <v>-3.3749999999999995E-2</v>
      </c>
      <c r="L485" s="585">
        <f t="shared" si="80"/>
        <v>9.3760467487455701E-2</v>
      </c>
      <c r="M485" s="585">
        <f t="shared" si="81"/>
        <v>4.5600000000000002E-2</v>
      </c>
      <c r="N485" s="585">
        <f t="shared" si="74"/>
        <v>4.7850000000000004E-2</v>
      </c>
      <c r="O485" s="586">
        <f t="shared" si="82"/>
        <v>4.8160467487455699E-2</v>
      </c>
      <c r="P485" s="585">
        <f t="shared" si="75"/>
        <v>4.5910467487455697E-2</v>
      </c>
      <c r="Q485" s="585">
        <f t="shared" si="76"/>
        <v>-2.0853900829563288E-2</v>
      </c>
      <c r="R485" s="585">
        <f t="shared" si="77"/>
        <v>4.8600000000000004E-2</v>
      </c>
      <c r="S485" s="586">
        <f t="shared" si="78"/>
        <v>-6.9453900829563292E-2</v>
      </c>
      <c r="U485" s="587"/>
      <c r="V485" s="587"/>
      <c r="W485" s="587"/>
      <c r="X485" s="587"/>
      <c r="Y485" s="587"/>
      <c r="Z485" s="587"/>
      <c r="AA485" s="587"/>
      <c r="AB485" s="587"/>
      <c r="AC485" s="587"/>
      <c r="AE485" s="587"/>
      <c r="AF485" s="587"/>
      <c r="AG485" s="587"/>
      <c r="AH485" s="587"/>
      <c r="AI485" s="587"/>
      <c r="AJ485" s="587"/>
      <c r="AK485" s="587"/>
      <c r="AL485" s="587"/>
      <c r="AM485" s="587"/>
      <c r="AO485" s="587"/>
      <c r="AP485" s="587"/>
      <c r="AQ485" s="587"/>
      <c r="AR485" s="587"/>
      <c r="AS485" s="587"/>
      <c r="AT485" s="587"/>
      <c r="AU485" s="587"/>
      <c r="AV485" s="587"/>
      <c r="AW485" s="587"/>
    </row>
    <row r="486" spans="1:49">
      <c r="A486" s="581">
        <v>24139</v>
      </c>
      <c r="B486" s="594">
        <v>-1.3100000000000001E-2</v>
      </c>
      <c r="C486" s="577">
        <v>-4.1399999999999999E-2</v>
      </c>
      <c r="D486" s="577">
        <v>3.3999999999999998E-3</v>
      </c>
      <c r="E486" s="577">
        <v>3.9833333333333335E-3</v>
      </c>
      <c r="F486" s="577">
        <v>4.0833333333333338E-3</v>
      </c>
      <c r="G486" s="577">
        <v>4.0333333333333341E-3</v>
      </c>
      <c r="H486" s="577">
        <v>4.0999999999999995E-3</v>
      </c>
      <c r="I486" s="577">
        <f t="shared" si="79"/>
        <v>-1.6500000000000001E-2</v>
      </c>
      <c r="J486" s="577">
        <f t="shared" si="83"/>
        <v>-1.7133333333333334E-2</v>
      </c>
      <c r="K486" s="577">
        <f t="shared" si="84"/>
        <v>-4.5499999999999999E-2</v>
      </c>
      <c r="L486" s="585">
        <f t="shared" si="80"/>
        <v>7.6096306812252212E-2</v>
      </c>
      <c r="M486" s="585">
        <f t="shared" si="81"/>
        <v>4.0799999999999996E-2</v>
      </c>
      <c r="N486" s="585">
        <f t="shared" si="74"/>
        <v>4.8400000000000012E-2</v>
      </c>
      <c r="O486" s="586">
        <f t="shared" si="82"/>
        <v>3.5296306812252216E-2</v>
      </c>
      <c r="P486" s="585">
        <f t="shared" si="75"/>
        <v>2.76963068122522E-2</v>
      </c>
      <c r="Q486" s="585">
        <f t="shared" si="76"/>
        <v>-6.2234538250793392E-2</v>
      </c>
      <c r="R486" s="585">
        <f t="shared" si="77"/>
        <v>4.9199999999999994E-2</v>
      </c>
      <c r="S486" s="586">
        <f t="shared" si="78"/>
        <v>-0.11143453825079339</v>
      </c>
      <c r="U486" s="587"/>
      <c r="V486" s="587"/>
      <c r="W486" s="587"/>
      <c r="X486" s="587"/>
      <c r="Y486" s="587"/>
      <c r="Z486" s="587"/>
      <c r="AA486" s="587"/>
      <c r="AB486" s="587"/>
      <c r="AC486" s="587"/>
      <c r="AE486" s="587"/>
      <c r="AF486" s="587"/>
      <c r="AG486" s="587"/>
      <c r="AH486" s="587"/>
      <c r="AI486" s="587"/>
      <c r="AJ486" s="587"/>
      <c r="AK486" s="587"/>
      <c r="AL486" s="587"/>
      <c r="AM486" s="587"/>
      <c r="AO486" s="587"/>
      <c r="AP486" s="587"/>
      <c r="AQ486" s="587"/>
      <c r="AR486" s="587"/>
      <c r="AS486" s="587"/>
      <c r="AT486" s="587"/>
      <c r="AU486" s="587"/>
      <c r="AV486" s="587"/>
      <c r="AW486" s="587"/>
    </row>
    <row r="487" spans="1:49">
      <c r="A487" s="581">
        <v>24167</v>
      </c>
      <c r="B487" s="594">
        <v>-2.0500000000000001E-2</v>
      </c>
      <c r="C487" s="577">
        <v>-4.5000000000000005E-3</v>
      </c>
      <c r="D487" s="577">
        <v>4.0000000000000001E-3</v>
      </c>
      <c r="E487" s="577">
        <v>4.0999999999999995E-3</v>
      </c>
      <c r="F487" s="577">
        <v>4.208333333333333E-3</v>
      </c>
      <c r="G487" s="577">
        <v>4.1541666666666663E-3</v>
      </c>
      <c r="H487" s="577">
        <v>4.2833333333333326E-3</v>
      </c>
      <c r="I487" s="577">
        <f t="shared" si="79"/>
        <v>-2.4500000000000001E-2</v>
      </c>
      <c r="J487" s="577">
        <f t="shared" si="83"/>
        <v>-2.4654166666666668E-2</v>
      </c>
      <c r="K487" s="577">
        <f t="shared" si="84"/>
        <v>-8.783333333333334E-3</v>
      </c>
      <c r="L487" s="585">
        <f t="shared" si="80"/>
        <v>6.8243977422317803E-2</v>
      </c>
      <c r="M487" s="585">
        <f t="shared" si="81"/>
        <v>4.8000000000000001E-2</v>
      </c>
      <c r="N487" s="585">
        <f t="shared" si="74"/>
        <v>4.9849999999999992E-2</v>
      </c>
      <c r="O487" s="586">
        <f t="shared" si="82"/>
        <v>2.0243977422317802E-2</v>
      </c>
      <c r="P487" s="585">
        <f t="shared" si="75"/>
        <v>1.8393977422317812E-2</v>
      </c>
      <c r="Q487" s="585">
        <f t="shared" si="76"/>
        <v>-6.7107507573363478E-2</v>
      </c>
      <c r="R487" s="585">
        <f t="shared" si="77"/>
        <v>5.1399999999999987E-2</v>
      </c>
      <c r="S487" s="586">
        <f t="shared" si="78"/>
        <v>-0.11850750757336347</v>
      </c>
      <c r="U487" s="587"/>
      <c r="V487" s="587"/>
      <c r="W487" s="587"/>
      <c r="X487" s="587"/>
      <c r="Y487" s="587"/>
      <c r="Z487" s="587"/>
      <c r="AA487" s="587"/>
      <c r="AB487" s="587"/>
      <c r="AC487" s="587"/>
      <c r="AE487" s="587"/>
      <c r="AF487" s="587"/>
      <c r="AG487" s="587"/>
      <c r="AH487" s="587"/>
      <c r="AI487" s="587"/>
      <c r="AJ487" s="587"/>
      <c r="AK487" s="587"/>
      <c r="AL487" s="587"/>
      <c r="AM487" s="587"/>
      <c r="AO487" s="587"/>
      <c r="AP487" s="587"/>
      <c r="AQ487" s="587"/>
      <c r="AR487" s="587"/>
      <c r="AS487" s="587"/>
      <c r="AT487" s="587"/>
      <c r="AU487" s="587"/>
      <c r="AV487" s="587"/>
      <c r="AW487" s="587"/>
    </row>
    <row r="488" spans="1:49">
      <c r="A488" s="581">
        <v>24198</v>
      </c>
      <c r="B488" s="594">
        <v>2.1999999999999999E-2</v>
      </c>
      <c r="C488" s="577">
        <v>1.72E-2</v>
      </c>
      <c r="D488" s="577">
        <v>3.5999999999999999E-3</v>
      </c>
      <c r="E488" s="577">
        <v>4.1083333333333336E-3</v>
      </c>
      <c r="F488" s="577">
        <v>4.2500000000000003E-3</v>
      </c>
      <c r="G488" s="577">
        <v>4.179166666666667E-3</v>
      </c>
      <c r="H488" s="577">
        <v>4.3750000000000004E-3</v>
      </c>
      <c r="I488" s="577">
        <f t="shared" si="79"/>
        <v>1.84E-2</v>
      </c>
      <c r="J488" s="577">
        <f t="shared" si="83"/>
        <v>1.7820833333333331E-2</v>
      </c>
      <c r="K488" s="577">
        <f t="shared" si="84"/>
        <v>1.2825E-2</v>
      </c>
      <c r="L488" s="585">
        <f t="shared" si="80"/>
        <v>5.4215280924689635E-2</v>
      </c>
      <c r="M488" s="585">
        <f t="shared" si="81"/>
        <v>4.3200000000000002E-2</v>
      </c>
      <c r="N488" s="585">
        <f t="shared" ref="N488:N551" si="85">G488*12</f>
        <v>5.015E-2</v>
      </c>
      <c r="O488" s="586">
        <f t="shared" si="82"/>
        <v>1.1015280924689633E-2</v>
      </c>
      <c r="P488" s="585">
        <f t="shared" ref="P488:P551" si="86">L488-N488</f>
        <v>4.0652809246896349E-3</v>
      </c>
      <c r="Q488" s="585">
        <f t="shared" ref="Q488:Q551" si="87">((1+C477)*(1+C478)*(1+C479)*(1+C480)*(1+C481)*(1+C482)*(1+C483)*(1+C484)*(1+C485)*(1+C486)*(1+C487)*(1+C488))-1</f>
        <v>-6.1293655854807949E-2</v>
      </c>
      <c r="R488" s="585">
        <f t="shared" ref="R488:R551" si="88">H488*12</f>
        <v>5.2500000000000005E-2</v>
      </c>
      <c r="S488" s="586">
        <f t="shared" ref="S488:S551" si="89">Q488-R488</f>
        <v>-0.11379365585480795</v>
      </c>
      <c r="U488" s="587"/>
      <c r="V488" s="587"/>
      <c r="W488" s="587"/>
      <c r="X488" s="587"/>
      <c r="Y488" s="587"/>
      <c r="Z488" s="587"/>
      <c r="AA488" s="587"/>
      <c r="AB488" s="587"/>
      <c r="AC488" s="587"/>
      <c r="AE488" s="587"/>
      <c r="AF488" s="587"/>
      <c r="AG488" s="587"/>
      <c r="AH488" s="587"/>
      <c r="AI488" s="587"/>
      <c r="AJ488" s="587"/>
      <c r="AK488" s="587"/>
      <c r="AL488" s="587"/>
      <c r="AM488" s="587"/>
      <c r="AO488" s="587"/>
      <c r="AP488" s="587"/>
      <c r="AQ488" s="587"/>
      <c r="AR488" s="587"/>
      <c r="AS488" s="587"/>
      <c r="AT488" s="587"/>
      <c r="AU488" s="587"/>
      <c r="AV488" s="587"/>
      <c r="AW488" s="587"/>
    </row>
    <row r="489" spans="1:49">
      <c r="A489" s="581">
        <v>24228</v>
      </c>
      <c r="B489" s="594">
        <v>-4.9200000000000001E-2</v>
      </c>
      <c r="C489" s="577">
        <v>-2.9600000000000001E-2</v>
      </c>
      <c r="D489" s="577">
        <v>4.1000000000000003E-3</v>
      </c>
      <c r="E489" s="577">
        <v>4.15E-3</v>
      </c>
      <c r="F489" s="577">
        <v>4.2500000000000003E-3</v>
      </c>
      <c r="G489" s="577">
        <v>4.2000000000000006E-3</v>
      </c>
      <c r="H489" s="577">
        <v>4.3750000000000004E-3</v>
      </c>
      <c r="I489" s="577">
        <f t="shared" si="79"/>
        <v>-5.33E-2</v>
      </c>
      <c r="J489" s="577">
        <f t="shared" si="83"/>
        <v>-5.3400000000000003E-2</v>
      </c>
      <c r="K489" s="577">
        <f t="shared" si="84"/>
        <v>-3.3975000000000005E-2</v>
      </c>
      <c r="L489" s="585">
        <f t="shared" si="80"/>
        <v>5.3639810463337323E-3</v>
      </c>
      <c r="M489" s="585">
        <f t="shared" si="81"/>
        <v>4.9200000000000008E-2</v>
      </c>
      <c r="N489" s="585">
        <f t="shared" si="85"/>
        <v>5.0400000000000007E-2</v>
      </c>
      <c r="O489" s="586">
        <f t="shared" si="82"/>
        <v>-4.3836018953666275E-2</v>
      </c>
      <c r="P489" s="585">
        <f t="shared" si="86"/>
        <v>-4.5036018953666275E-2</v>
      </c>
      <c r="Q489" s="585">
        <f t="shared" si="87"/>
        <v>-8.1362811256056267E-2</v>
      </c>
      <c r="R489" s="585">
        <f t="shared" si="88"/>
        <v>5.2500000000000005E-2</v>
      </c>
      <c r="S489" s="586">
        <f t="shared" si="89"/>
        <v>-0.13386281125605626</v>
      </c>
      <c r="U489" s="587"/>
      <c r="V489" s="587"/>
      <c r="W489" s="587"/>
      <c r="X489" s="587"/>
      <c r="Y489" s="587"/>
      <c r="Z489" s="587"/>
      <c r="AA489" s="587"/>
      <c r="AB489" s="587"/>
      <c r="AC489" s="587"/>
      <c r="AE489" s="587"/>
      <c r="AF489" s="587"/>
      <c r="AG489" s="587"/>
      <c r="AH489" s="587"/>
      <c r="AI489" s="587"/>
      <c r="AJ489" s="587"/>
      <c r="AK489" s="587"/>
      <c r="AL489" s="587"/>
      <c r="AM489" s="587"/>
      <c r="AO489" s="587"/>
      <c r="AP489" s="587"/>
      <c r="AQ489" s="587"/>
      <c r="AR489" s="587"/>
      <c r="AS489" s="587"/>
      <c r="AT489" s="587"/>
      <c r="AU489" s="587"/>
      <c r="AV489" s="587"/>
      <c r="AW489" s="587"/>
    </row>
    <row r="490" spans="1:49">
      <c r="A490" s="581">
        <v>24259</v>
      </c>
      <c r="B490" s="594">
        <v>-1.46E-2</v>
      </c>
      <c r="C490" s="577">
        <v>-1.8099999999999998E-2</v>
      </c>
      <c r="D490" s="577">
        <v>3.8999999999999994E-3</v>
      </c>
      <c r="E490" s="577">
        <v>4.2250000000000005E-3</v>
      </c>
      <c r="F490" s="577">
        <v>4.3E-3</v>
      </c>
      <c r="G490" s="577">
        <v>4.2624999999999998E-3</v>
      </c>
      <c r="H490" s="577">
        <v>4.5000000000000005E-3</v>
      </c>
      <c r="I490" s="577">
        <f t="shared" si="79"/>
        <v>-1.8499999999999999E-2</v>
      </c>
      <c r="J490" s="577">
        <f t="shared" si="83"/>
        <v>-1.8862500000000001E-2</v>
      </c>
      <c r="K490" s="577">
        <f t="shared" si="84"/>
        <v>-2.2599999999999999E-2</v>
      </c>
      <c r="L490" s="585">
        <f t="shared" si="80"/>
        <v>3.9871593285460083E-2</v>
      </c>
      <c r="M490" s="585">
        <f t="shared" si="81"/>
        <v>4.6799999999999994E-2</v>
      </c>
      <c r="N490" s="585">
        <f t="shared" si="85"/>
        <v>5.1150000000000001E-2</v>
      </c>
      <c r="O490" s="586">
        <f t="shared" si="82"/>
        <v>-6.9284067145399114E-3</v>
      </c>
      <c r="P490" s="585">
        <f t="shared" si="86"/>
        <v>-1.1278406714539918E-2</v>
      </c>
      <c r="Q490" s="585">
        <f t="shared" si="87"/>
        <v>-6.6242385478594068E-2</v>
      </c>
      <c r="R490" s="585">
        <f t="shared" si="88"/>
        <v>5.4000000000000006E-2</v>
      </c>
      <c r="S490" s="586">
        <f t="shared" si="89"/>
        <v>-0.12024238547859407</v>
      </c>
      <c r="U490" s="587"/>
      <c r="V490" s="587"/>
      <c r="W490" s="587"/>
      <c r="X490" s="587"/>
      <c r="Y490" s="587"/>
      <c r="Z490" s="587"/>
      <c r="AA490" s="587"/>
      <c r="AB490" s="587"/>
      <c r="AC490" s="587"/>
      <c r="AE490" s="587"/>
      <c r="AF490" s="587"/>
      <c r="AG490" s="587"/>
      <c r="AH490" s="587"/>
      <c r="AI490" s="587"/>
      <c r="AJ490" s="587"/>
      <c r="AK490" s="587"/>
      <c r="AL490" s="587"/>
      <c r="AM490" s="587"/>
      <c r="AO490" s="587"/>
      <c r="AP490" s="587"/>
      <c r="AQ490" s="587"/>
      <c r="AR490" s="587"/>
      <c r="AS490" s="587"/>
      <c r="AT490" s="587"/>
      <c r="AU490" s="587"/>
      <c r="AV490" s="587"/>
      <c r="AW490" s="587"/>
    </row>
    <row r="491" spans="1:49">
      <c r="A491" s="581">
        <v>24289</v>
      </c>
      <c r="B491" s="594">
        <v>-1.2E-2</v>
      </c>
      <c r="C491" s="577">
        <v>9.0000000000000019E-4</v>
      </c>
      <c r="D491" s="577">
        <v>3.8E-3</v>
      </c>
      <c r="E491" s="577">
        <v>4.3E-3</v>
      </c>
      <c r="F491" s="577">
        <v>4.3750000000000004E-3</v>
      </c>
      <c r="G491" s="577">
        <v>4.3374999999999993E-3</v>
      </c>
      <c r="H491" s="577">
        <v>4.5416666666666669E-3</v>
      </c>
      <c r="I491" s="577">
        <f t="shared" si="79"/>
        <v>-1.5800000000000002E-2</v>
      </c>
      <c r="J491" s="577">
        <f t="shared" si="83"/>
        <v>-1.6337499999999998E-2</v>
      </c>
      <c r="K491" s="577">
        <f t="shared" si="84"/>
        <v>-3.6416666666666667E-3</v>
      </c>
      <c r="L491" s="585">
        <f t="shared" si="80"/>
        <v>1.2509248217241087E-2</v>
      </c>
      <c r="M491" s="585">
        <f t="shared" si="81"/>
        <v>4.5600000000000002E-2</v>
      </c>
      <c r="N491" s="585">
        <f t="shared" si="85"/>
        <v>5.2049999999999992E-2</v>
      </c>
      <c r="O491" s="586">
        <f t="shared" si="82"/>
        <v>-3.3090751782758915E-2</v>
      </c>
      <c r="P491" s="585">
        <f t="shared" si="86"/>
        <v>-3.9540751782758905E-2</v>
      </c>
      <c r="Q491" s="585">
        <f t="shared" si="87"/>
        <v>-7.5113313830306394E-2</v>
      </c>
      <c r="R491" s="585">
        <f t="shared" si="88"/>
        <v>5.4500000000000007E-2</v>
      </c>
      <c r="S491" s="586">
        <f t="shared" si="89"/>
        <v>-0.12961331383030639</v>
      </c>
      <c r="U491" s="587"/>
      <c r="V491" s="587"/>
      <c r="W491" s="587"/>
      <c r="X491" s="587"/>
      <c r="Y491" s="587"/>
      <c r="Z491" s="587"/>
      <c r="AA491" s="587"/>
      <c r="AB491" s="587"/>
      <c r="AC491" s="587"/>
      <c r="AE491" s="587"/>
      <c r="AF491" s="587"/>
      <c r="AG491" s="587"/>
      <c r="AH491" s="587"/>
      <c r="AI491" s="587"/>
      <c r="AJ491" s="587"/>
      <c r="AK491" s="587"/>
      <c r="AL491" s="587"/>
      <c r="AM491" s="587"/>
      <c r="AO491" s="587"/>
      <c r="AP491" s="587"/>
      <c r="AQ491" s="587"/>
      <c r="AR491" s="587"/>
      <c r="AS491" s="587"/>
      <c r="AT491" s="587"/>
      <c r="AU491" s="587"/>
      <c r="AV491" s="587"/>
      <c r="AW491" s="587"/>
    </row>
    <row r="492" spans="1:49">
      <c r="A492" s="581">
        <v>24320</v>
      </c>
      <c r="B492" s="594">
        <v>-7.2499999999999995E-2</v>
      </c>
      <c r="C492" s="577">
        <v>-8.7499999999999994E-2</v>
      </c>
      <c r="D492" s="577">
        <v>4.3E-3</v>
      </c>
      <c r="E492" s="577">
        <v>4.4249999999999992E-3</v>
      </c>
      <c r="F492" s="577">
        <v>4.4833333333333331E-3</v>
      </c>
      <c r="G492" s="577">
        <v>4.4541666666666662E-3</v>
      </c>
      <c r="H492" s="577">
        <v>4.6500000000000005E-3</v>
      </c>
      <c r="I492" s="577">
        <f t="shared" si="79"/>
        <v>-7.6799999999999993E-2</v>
      </c>
      <c r="J492" s="577">
        <f t="shared" si="83"/>
        <v>-7.6954166666666657E-2</v>
      </c>
      <c r="K492" s="577">
        <f t="shared" si="84"/>
        <v>-9.2149999999999996E-2</v>
      </c>
      <c r="L492" s="585">
        <f t="shared" si="80"/>
        <v>-8.5764867872380024E-2</v>
      </c>
      <c r="M492" s="585">
        <f t="shared" si="81"/>
        <v>5.16E-2</v>
      </c>
      <c r="N492" s="585">
        <f t="shared" si="85"/>
        <v>5.3449999999999998E-2</v>
      </c>
      <c r="O492" s="586">
        <f t="shared" si="82"/>
        <v>-0.13736486787238003</v>
      </c>
      <c r="P492" s="585">
        <f t="shared" si="86"/>
        <v>-0.13921486787238002</v>
      </c>
      <c r="Q492" s="585">
        <f t="shared" si="87"/>
        <v>-0.16414865689824198</v>
      </c>
      <c r="R492" s="585">
        <f t="shared" si="88"/>
        <v>5.5800000000000002E-2</v>
      </c>
      <c r="S492" s="586">
        <f t="shared" si="89"/>
        <v>-0.219948656898242</v>
      </c>
      <c r="U492" s="587"/>
      <c r="V492" s="587"/>
      <c r="W492" s="587"/>
      <c r="X492" s="587"/>
      <c r="Y492" s="587"/>
      <c r="Z492" s="587"/>
      <c r="AA492" s="587"/>
      <c r="AB492" s="587"/>
      <c r="AC492" s="587"/>
      <c r="AE492" s="587"/>
      <c r="AF492" s="587"/>
      <c r="AG492" s="587"/>
      <c r="AH492" s="587"/>
      <c r="AI492" s="587"/>
      <c r="AJ492" s="587"/>
      <c r="AK492" s="587"/>
      <c r="AL492" s="587"/>
      <c r="AM492" s="587"/>
      <c r="AO492" s="587"/>
      <c r="AP492" s="587"/>
      <c r="AQ492" s="587"/>
      <c r="AR492" s="587"/>
      <c r="AS492" s="587"/>
      <c r="AT492" s="587"/>
      <c r="AU492" s="587"/>
      <c r="AV492" s="587"/>
      <c r="AW492" s="587"/>
    </row>
    <row r="493" spans="1:49">
      <c r="A493" s="581">
        <v>24351</v>
      </c>
      <c r="B493" s="594">
        <v>-5.3E-3</v>
      </c>
      <c r="C493" s="577">
        <v>4.7500000000000001E-2</v>
      </c>
      <c r="D493" s="577">
        <v>4.1000000000000003E-3</v>
      </c>
      <c r="E493" s="577">
        <v>4.5750000000000001E-3</v>
      </c>
      <c r="F493" s="577">
        <v>4.6500000000000005E-3</v>
      </c>
      <c r="G493" s="577">
        <v>4.6125000000000003E-3</v>
      </c>
      <c r="H493" s="577">
        <v>4.8416666666666669E-3</v>
      </c>
      <c r="I493" s="577">
        <f t="shared" si="79"/>
        <v>-9.4000000000000004E-3</v>
      </c>
      <c r="J493" s="577">
        <f t="shared" si="83"/>
        <v>-9.9125000000000012E-3</v>
      </c>
      <c r="K493" s="577">
        <f t="shared" si="84"/>
        <v>4.2658333333333333E-2</v>
      </c>
      <c r="L493" s="585">
        <f t="shared" si="80"/>
        <v>-0.12000223928068188</v>
      </c>
      <c r="M493" s="585">
        <f t="shared" si="81"/>
        <v>4.9200000000000008E-2</v>
      </c>
      <c r="N493" s="585">
        <f t="shared" si="85"/>
        <v>5.5350000000000003E-2</v>
      </c>
      <c r="O493" s="586">
        <f t="shared" si="82"/>
        <v>-0.1692022392806819</v>
      </c>
      <c r="P493" s="585">
        <f t="shared" si="86"/>
        <v>-0.17535223928068189</v>
      </c>
      <c r="Q493" s="585">
        <f t="shared" si="87"/>
        <v>-0.1411082186589252</v>
      </c>
      <c r="R493" s="585">
        <f t="shared" si="88"/>
        <v>5.8099999999999999E-2</v>
      </c>
      <c r="S493" s="586">
        <f t="shared" si="89"/>
        <v>-0.19920821865892518</v>
      </c>
      <c r="U493" s="587"/>
      <c r="V493" s="587"/>
      <c r="W493" s="587"/>
      <c r="X493" s="587"/>
      <c r="Y493" s="587"/>
      <c r="Z493" s="587"/>
      <c r="AA493" s="587"/>
      <c r="AB493" s="587"/>
      <c r="AC493" s="587"/>
      <c r="AE493" s="587"/>
      <c r="AF493" s="587"/>
      <c r="AG493" s="587"/>
      <c r="AH493" s="587"/>
      <c r="AI493" s="587"/>
      <c r="AJ493" s="587"/>
      <c r="AK493" s="587"/>
      <c r="AL493" s="587"/>
      <c r="AM493" s="587"/>
      <c r="AO493" s="587"/>
      <c r="AP493" s="587"/>
      <c r="AQ493" s="587"/>
      <c r="AR493" s="587"/>
      <c r="AS493" s="587"/>
      <c r="AT493" s="587"/>
      <c r="AU493" s="587"/>
      <c r="AV493" s="587"/>
      <c r="AW493" s="587"/>
    </row>
    <row r="494" spans="1:49">
      <c r="A494" s="581">
        <v>24381</v>
      </c>
      <c r="B494" s="594">
        <v>4.9399999999999999E-2</v>
      </c>
      <c r="C494" s="577">
        <v>9.7000000000000017E-2</v>
      </c>
      <c r="D494" s="577">
        <v>4.0000000000000001E-3</v>
      </c>
      <c r="E494" s="577">
        <v>4.5083333333333338E-3</v>
      </c>
      <c r="F494" s="577">
        <v>4.5833333333333334E-3</v>
      </c>
      <c r="G494" s="577">
        <v>4.5458333333333331E-3</v>
      </c>
      <c r="H494" s="577">
        <v>4.783333333333333E-3</v>
      </c>
      <c r="I494" s="577">
        <f t="shared" si="79"/>
        <v>4.5399999999999996E-2</v>
      </c>
      <c r="J494" s="577">
        <f t="shared" si="83"/>
        <v>4.4854166666666667E-2</v>
      </c>
      <c r="K494" s="577">
        <f t="shared" si="84"/>
        <v>9.2216666666666683E-2</v>
      </c>
      <c r="L494" s="585">
        <f t="shared" si="80"/>
        <v>-0.10246899591908598</v>
      </c>
      <c r="M494" s="585">
        <f t="shared" si="81"/>
        <v>4.8000000000000001E-2</v>
      </c>
      <c r="N494" s="585">
        <f t="shared" si="85"/>
        <v>5.4550000000000001E-2</v>
      </c>
      <c r="O494" s="586">
        <f t="shared" si="82"/>
        <v>-0.15046899591908597</v>
      </c>
      <c r="P494" s="585">
        <f t="shared" si="86"/>
        <v>-0.15701899591908597</v>
      </c>
      <c r="Q494" s="585">
        <f t="shared" si="87"/>
        <v>-6.9795355779288082E-2</v>
      </c>
      <c r="R494" s="585">
        <f t="shared" si="88"/>
        <v>5.7399999999999993E-2</v>
      </c>
      <c r="S494" s="586">
        <f t="shared" si="89"/>
        <v>-0.12719535577928809</v>
      </c>
      <c r="U494" s="587"/>
      <c r="V494" s="587"/>
      <c r="W494" s="587"/>
      <c r="X494" s="587"/>
      <c r="Y494" s="587"/>
      <c r="Z494" s="587"/>
      <c r="AA494" s="587"/>
      <c r="AB494" s="587"/>
      <c r="AC494" s="587"/>
      <c r="AE494" s="587"/>
      <c r="AF494" s="587"/>
      <c r="AG494" s="587"/>
      <c r="AH494" s="587"/>
      <c r="AI494" s="587"/>
      <c r="AJ494" s="587"/>
      <c r="AK494" s="587"/>
      <c r="AL494" s="587"/>
      <c r="AM494" s="587"/>
      <c r="AO494" s="587"/>
      <c r="AP494" s="587"/>
      <c r="AQ494" s="587"/>
      <c r="AR494" s="587"/>
      <c r="AS494" s="587"/>
      <c r="AT494" s="587"/>
      <c r="AU494" s="587"/>
      <c r="AV494" s="587"/>
      <c r="AW494" s="587"/>
    </row>
    <row r="495" spans="1:49">
      <c r="A495" s="581">
        <v>24412</v>
      </c>
      <c r="B495" s="594">
        <v>9.4999999999999998E-3</v>
      </c>
      <c r="C495" s="577">
        <v>-7.6E-3</v>
      </c>
      <c r="D495" s="577">
        <v>3.8E-3</v>
      </c>
      <c r="E495" s="577">
        <v>4.4583333333333332E-3</v>
      </c>
      <c r="F495" s="577">
        <v>4.5500000000000002E-3</v>
      </c>
      <c r="G495" s="577">
        <v>4.5041666666666667E-3</v>
      </c>
      <c r="H495" s="577">
        <v>4.6916666666666669E-3</v>
      </c>
      <c r="I495" s="577">
        <f t="shared" si="79"/>
        <v>5.7000000000000002E-3</v>
      </c>
      <c r="J495" s="577">
        <f t="shared" si="83"/>
        <v>4.995833333333333E-3</v>
      </c>
      <c r="K495" s="577">
        <f t="shared" si="84"/>
        <v>-1.2291666666666666E-2</v>
      </c>
      <c r="L495" s="585">
        <f t="shared" si="80"/>
        <v>-9.1124938690257284E-2</v>
      </c>
      <c r="M495" s="585">
        <f t="shared" si="81"/>
        <v>4.5600000000000002E-2</v>
      </c>
      <c r="N495" s="585">
        <f t="shared" si="85"/>
        <v>5.4050000000000001E-2</v>
      </c>
      <c r="O495" s="586">
        <f t="shared" si="82"/>
        <v>-0.13672493869025729</v>
      </c>
      <c r="P495" s="585">
        <f t="shared" si="86"/>
        <v>-0.14517493869025727</v>
      </c>
      <c r="Q495" s="585">
        <f t="shared" si="87"/>
        <v>-6.6030869157593597E-2</v>
      </c>
      <c r="R495" s="585">
        <f t="shared" si="88"/>
        <v>5.6300000000000003E-2</v>
      </c>
      <c r="S495" s="586">
        <f t="shared" si="89"/>
        <v>-0.1223308691575936</v>
      </c>
      <c r="U495" s="587"/>
      <c r="V495" s="587"/>
      <c r="W495" s="587"/>
      <c r="X495" s="587"/>
      <c r="Y495" s="587"/>
      <c r="Z495" s="587"/>
      <c r="AA495" s="587"/>
      <c r="AB495" s="587"/>
      <c r="AC495" s="587"/>
      <c r="AE495" s="587"/>
      <c r="AF495" s="587"/>
      <c r="AG495" s="587"/>
      <c r="AH495" s="587"/>
      <c r="AI495" s="587"/>
      <c r="AJ495" s="587"/>
      <c r="AK495" s="587"/>
      <c r="AL495" s="587"/>
      <c r="AM495" s="587"/>
      <c r="AO495" s="587"/>
      <c r="AP495" s="587"/>
      <c r="AQ495" s="587"/>
      <c r="AR495" s="587"/>
      <c r="AS495" s="587"/>
      <c r="AT495" s="587"/>
      <c r="AU495" s="587"/>
      <c r="AV495" s="587"/>
      <c r="AW495" s="587"/>
    </row>
    <row r="496" spans="1:49">
      <c r="A496" s="581">
        <v>24442</v>
      </c>
      <c r="B496" s="594">
        <v>2.0000000000000001E-4</v>
      </c>
      <c r="C496" s="577">
        <v>2.2099999999999998E-2</v>
      </c>
      <c r="D496" s="577">
        <v>3.8999999999999994E-3</v>
      </c>
      <c r="E496" s="577">
        <v>4.4916666666666664E-3</v>
      </c>
      <c r="F496" s="577">
        <v>4.5666666666666668E-3</v>
      </c>
      <c r="G496" s="577">
        <v>4.5291666666666666E-3</v>
      </c>
      <c r="H496" s="577">
        <v>4.725E-3</v>
      </c>
      <c r="I496" s="577">
        <f t="shared" si="79"/>
        <v>-3.6999999999999993E-3</v>
      </c>
      <c r="J496" s="577">
        <f t="shared" si="83"/>
        <v>-4.3291666666666669E-3</v>
      </c>
      <c r="K496" s="577">
        <f t="shared" si="84"/>
        <v>1.7374999999999998E-2</v>
      </c>
      <c r="L496" s="585">
        <f t="shared" si="80"/>
        <v>-0.10047809586185941</v>
      </c>
      <c r="M496" s="585">
        <f t="shared" si="81"/>
        <v>4.6799999999999994E-2</v>
      </c>
      <c r="N496" s="585">
        <f t="shared" si="85"/>
        <v>5.4349999999999996E-2</v>
      </c>
      <c r="O496" s="586">
        <f t="shared" si="82"/>
        <v>-0.14727809586185941</v>
      </c>
      <c r="P496" s="585">
        <f t="shared" si="86"/>
        <v>-0.15482809586185942</v>
      </c>
      <c r="Q496" s="585">
        <f t="shared" si="87"/>
        <v>-4.4625852047614489E-2</v>
      </c>
      <c r="R496" s="585">
        <f t="shared" si="88"/>
        <v>5.67E-2</v>
      </c>
      <c r="S496" s="586">
        <f t="shared" si="89"/>
        <v>-0.10132585204761449</v>
      </c>
      <c r="U496" s="587"/>
      <c r="V496" s="587"/>
      <c r="W496" s="587"/>
      <c r="X496" s="587"/>
      <c r="Y496" s="587"/>
      <c r="Z496" s="587"/>
      <c r="AA496" s="587"/>
      <c r="AB496" s="587"/>
      <c r="AC496" s="587"/>
      <c r="AE496" s="587"/>
      <c r="AF496" s="587"/>
      <c r="AG496" s="587"/>
      <c r="AH496" s="587"/>
      <c r="AI496" s="587"/>
      <c r="AJ496" s="587"/>
      <c r="AK496" s="587"/>
      <c r="AL496" s="587"/>
      <c r="AM496" s="587"/>
      <c r="AO496" s="587"/>
      <c r="AP496" s="587"/>
      <c r="AQ496" s="587"/>
      <c r="AR496" s="587"/>
      <c r="AS496" s="587"/>
      <c r="AT496" s="587"/>
      <c r="AU496" s="587"/>
      <c r="AV496" s="587"/>
      <c r="AW496" s="587"/>
    </row>
    <row r="497" spans="1:49">
      <c r="A497" s="581">
        <v>24473</v>
      </c>
      <c r="B497" s="594">
        <v>7.9799999999999996E-2</v>
      </c>
      <c r="C497" s="577">
        <v>2.7100000000000003E-2</v>
      </c>
      <c r="D497" s="577">
        <v>4.0000000000000001E-3</v>
      </c>
      <c r="E497" s="577">
        <v>4.3333333333333331E-3</v>
      </c>
      <c r="F497" s="577">
        <v>4.4166666666666668E-3</v>
      </c>
      <c r="G497" s="577">
        <v>4.3750000000000004E-3</v>
      </c>
      <c r="H497" s="577">
        <v>4.5500000000000002E-3</v>
      </c>
      <c r="I497" s="577">
        <f t="shared" si="79"/>
        <v>7.5799999999999992E-2</v>
      </c>
      <c r="J497" s="577">
        <f t="shared" si="83"/>
        <v>7.5424999999999992E-2</v>
      </c>
      <c r="K497" s="577">
        <f t="shared" si="84"/>
        <v>2.2550000000000001E-2</v>
      </c>
      <c r="L497" s="585">
        <f t="shared" si="80"/>
        <v>-3.4681224320846304E-2</v>
      </c>
      <c r="M497" s="585">
        <f t="shared" si="81"/>
        <v>4.8000000000000001E-2</v>
      </c>
      <c r="N497" s="585">
        <f t="shared" si="85"/>
        <v>5.2500000000000005E-2</v>
      </c>
      <c r="O497" s="586">
        <f t="shared" si="82"/>
        <v>-8.2681224320846305E-2</v>
      </c>
      <c r="P497" s="585">
        <f t="shared" si="86"/>
        <v>-8.7181224320846309E-2</v>
      </c>
      <c r="Q497" s="585">
        <f t="shared" si="87"/>
        <v>1.1300409524781063E-2</v>
      </c>
      <c r="R497" s="585">
        <f t="shared" si="88"/>
        <v>5.4600000000000003E-2</v>
      </c>
      <c r="S497" s="586">
        <f t="shared" si="89"/>
        <v>-4.329959047521894E-2</v>
      </c>
      <c r="U497" s="587"/>
      <c r="V497" s="587"/>
      <c r="W497" s="587"/>
      <c r="X497" s="587"/>
      <c r="Y497" s="587"/>
      <c r="Z497" s="587"/>
      <c r="AA497" s="587"/>
      <c r="AB497" s="587"/>
      <c r="AC497" s="587"/>
      <c r="AE497" s="587"/>
      <c r="AF497" s="587"/>
      <c r="AG497" s="587"/>
      <c r="AH497" s="587"/>
      <c r="AI497" s="587"/>
      <c r="AJ497" s="587"/>
      <c r="AK497" s="587"/>
      <c r="AL497" s="587"/>
      <c r="AM497" s="587"/>
      <c r="AO497" s="587"/>
      <c r="AP497" s="587"/>
      <c r="AQ497" s="587"/>
      <c r="AR497" s="587"/>
      <c r="AS497" s="587"/>
      <c r="AT497" s="587"/>
      <c r="AU497" s="587"/>
      <c r="AV497" s="587"/>
      <c r="AW497" s="587"/>
    </row>
    <row r="498" spans="1:49">
      <c r="A498" s="581">
        <v>24504</v>
      </c>
      <c r="B498" s="594">
        <v>7.1999999999999998E-3</v>
      </c>
      <c r="C498" s="577">
        <v>-1.5699999999999999E-2</v>
      </c>
      <c r="D498" s="577">
        <v>3.3999999999999998E-3</v>
      </c>
      <c r="E498" s="577">
        <v>4.1916666666666665E-3</v>
      </c>
      <c r="F498" s="577">
        <v>4.3166666666666666E-3</v>
      </c>
      <c r="G498" s="577">
        <v>4.2541666666666665E-3</v>
      </c>
      <c r="H498" s="577">
        <v>4.4000000000000003E-3</v>
      </c>
      <c r="I498" s="577">
        <f t="shared" si="79"/>
        <v>3.8E-3</v>
      </c>
      <c r="J498" s="577">
        <f t="shared" si="83"/>
        <v>2.9458333333333333E-3</v>
      </c>
      <c r="K498" s="577">
        <f t="shared" si="84"/>
        <v>-2.01E-2</v>
      </c>
      <c r="L498" s="585">
        <f t="shared" si="80"/>
        <v>-1.4825138449646724E-2</v>
      </c>
      <c r="M498" s="585">
        <f t="shared" si="81"/>
        <v>4.0799999999999996E-2</v>
      </c>
      <c r="N498" s="585">
        <f t="shared" si="85"/>
        <v>5.1049999999999998E-2</v>
      </c>
      <c r="O498" s="586">
        <f t="shared" si="82"/>
        <v>-5.562513844964672E-2</v>
      </c>
      <c r="P498" s="585">
        <f t="shared" si="86"/>
        <v>-6.5875138449646722E-2</v>
      </c>
      <c r="Q498" s="585">
        <f t="shared" si="87"/>
        <v>3.8413303875695748E-2</v>
      </c>
      <c r="R498" s="585">
        <f t="shared" si="88"/>
        <v>5.28E-2</v>
      </c>
      <c r="S498" s="586">
        <f t="shared" si="89"/>
        <v>-1.4386696124304252E-2</v>
      </c>
      <c r="U498" s="587"/>
      <c r="V498" s="587"/>
      <c r="W498" s="587"/>
      <c r="X498" s="587"/>
      <c r="Y498" s="587"/>
      <c r="Z498" s="587"/>
      <c r="AA498" s="587"/>
      <c r="AB498" s="587"/>
      <c r="AC498" s="587"/>
      <c r="AE498" s="587"/>
      <c r="AF498" s="587"/>
      <c r="AG498" s="587"/>
      <c r="AH498" s="587"/>
      <c r="AI498" s="587"/>
      <c r="AJ498" s="587"/>
      <c r="AK498" s="587"/>
      <c r="AL498" s="587"/>
      <c r="AM498" s="587"/>
      <c r="AO498" s="587"/>
      <c r="AP498" s="587"/>
      <c r="AQ498" s="587"/>
      <c r="AR498" s="587"/>
      <c r="AS498" s="587"/>
      <c r="AT498" s="587"/>
      <c r="AU498" s="587"/>
      <c r="AV498" s="587"/>
      <c r="AW498" s="587"/>
    </row>
    <row r="499" spans="1:49">
      <c r="A499" s="581">
        <v>24532</v>
      </c>
      <c r="B499" s="594">
        <v>4.0899999999999999E-2</v>
      </c>
      <c r="C499" s="577">
        <v>1.9700000000000002E-2</v>
      </c>
      <c r="D499" s="577">
        <v>3.8999999999999994E-3</v>
      </c>
      <c r="E499" s="577">
        <v>4.2750000000000002E-3</v>
      </c>
      <c r="F499" s="577">
        <v>4.3583333333333339E-3</v>
      </c>
      <c r="G499" s="577">
        <v>4.3166666666666666E-3</v>
      </c>
      <c r="H499" s="577">
        <v>4.5333333333333337E-3</v>
      </c>
      <c r="I499" s="577">
        <f t="shared" si="79"/>
        <v>3.6999999999999998E-2</v>
      </c>
      <c r="J499" s="577">
        <f t="shared" si="83"/>
        <v>3.6583333333333329E-2</v>
      </c>
      <c r="K499" s="577">
        <f t="shared" si="84"/>
        <v>1.5166666666666669E-2</v>
      </c>
      <c r="L499" s="585">
        <f t="shared" si="80"/>
        <v>4.6930590492866076E-2</v>
      </c>
      <c r="M499" s="585">
        <f t="shared" si="81"/>
        <v>4.6799999999999994E-2</v>
      </c>
      <c r="N499" s="585">
        <f t="shared" si="85"/>
        <v>5.1799999999999999E-2</v>
      </c>
      <c r="O499" s="586">
        <f t="shared" si="82"/>
        <v>1.3059049286608115E-4</v>
      </c>
      <c r="P499" s="585">
        <f t="shared" si="86"/>
        <v>-4.8694095071339233E-3</v>
      </c>
      <c r="Q499" s="585">
        <f t="shared" si="87"/>
        <v>6.3656500213005396E-2</v>
      </c>
      <c r="R499" s="585">
        <f t="shared" si="88"/>
        <v>5.4400000000000004E-2</v>
      </c>
      <c r="S499" s="586">
        <f t="shared" si="89"/>
        <v>9.2565002130053919E-3</v>
      </c>
      <c r="U499" s="587"/>
      <c r="V499" s="587"/>
      <c r="W499" s="587"/>
      <c r="X499" s="587"/>
      <c r="Y499" s="587"/>
      <c r="Z499" s="587"/>
      <c r="AA499" s="587"/>
      <c r="AB499" s="587"/>
      <c r="AC499" s="587"/>
      <c r="AE499" s="587"/>
      <c r="AF499" s="587"/>
      <c r="AG499" s="587"/>
      <c r="AH499" s="587"/>
      <c r="AI499" s="587"/>
      <c r="AJ499" s="587"/>
      <c r="AK499" s="587"/>
      <c r="AL499" s="587"/>
      <c r="AM499" s="587"/>
      <c r="AO499" s="587"/>
      <c r="AP499" s="587"/>
      <c r="AQ499" s="587"/>
      <c r="AR499" s="587"/>
      <c r="AS499" s="587"/>
      <c r="AT499" s="587"/>
      <c r="AU499" s="587"/>
      <c r="AV499" s="587"/>
      <c r="AW499" s="587"/>
    </row>
    <row r="500" spans="1:49">
      <c r="A500" s="581">
        <v>24563</v>
      </c>
      <c r="B500" s="594">
        <v>4.3700000000000003E-2</v>
      </c>
      <c r="C500" s="577">
        <v>2.0199999999999999E-2</v>
      </c>
      <c r="D500" s="577">
        <v>3.5000000000000005E-3</v>
      </c>
      <c r="E500" s="577">
        <v>4.2583333333333336E-3</v>
      </c>
      <c r="F500" s="577">
        <v>4.3833333333333328E-3</v>
      </c>
      <c r="G500" s="577">
        <v>4.3208333333333328E-3</v>
      </c>
      <c r="H500" s="577">
        <v>4.5166666666666662E-3</v>
      </c>
      <c r="I500" s="577">
        <f t="shared" si="79"/>
        <v>4.02E-2</v>
      </c>
      <c r="J500" s="577">
        <f t="shared" si="83"/>
        <v>3.9379166666666673E-2</v>
      </c>
      <c r="K500" s="577">
        <f t="shared" si="84"/>
        <v>1.5683333333333334E-2</v>
      </c>
      <c r="L500" s="585">
        <f t="shared" si="80"/>
        <v>6.9159938647167074E-2</v>
      </c>
      <c r="M500" s="585">
        <f t="shared" si="81"/>
        <v>4.200000000000001E-2</v>
      </c>
      <c r="N500" s="585">
        <f t="shared" si="85"/>
        <v>5.1849999999999993E-2</v>
      </c>
      <c r="O500" s="586">
        <f t="shared" si="82"/>
        <v>2.7159938647167065E-2</v>
      </c>
      <c r="P500" s="585">
        <f t="shared" si="86"/>
        <v>1.7309938647167081E-2</v>
      </c>
      <c r="Q500" s="585">
        <f t="shared" si="87"/>
        <v>6.6793513092123558E-2</v>
      </c>
      <c r="R500" s="585">
        <f t="shared" si="88"/>
        <v>5.4199999999999998E-2</v>
      </c>
      <c r="S500" s="586">
        <f t="shared" si="89"/>
        <v>1.2593513092123559E-2</v>
      </c>
      <c r="U500" s="587"/>
      <c r="V500" s="587"/>
      <c r="W500" s="587"/>
      <c r="X500" s="587"/>
      <c r="Y500" s="587"/>
      <c r="Z500" s="587"/>
      <c r="AA500" s="587"/>
      <c r="AB500" s="587"/>
      <c r="AC500" s="587"/>
      <c r="AE500" s="587"/>
      <c r="AF500" s="587"/>
      <c r="AG500" s="587"/>
      <c r="AH500" s="587"/>
      <c r="AI500" s="587"/>
      <c r="AJ500" s="587"/>
      <c r="AK500" s="587"/>
      <c r="AL500" s="587"/>
      <c r="AM500" s="587"/>
      <c r="AO500" s="587"/>
      <c r="AP500" s="587"/>
      <c r="AQ500" s="587"/>
      <c r="AR500" s="587"/>
      <c r="AS500" s="587"/>
      <c r="AT500" s="587"/>
      <c r="AU500" s="587"/>
      <c r="AV500" s="587"/>
      <c r="AW500" s="587"/>
    </row>
    <row r="501" spans="1:49">
      <c r="A501" s="581">
        <v>24593</v>
      </c>
      <c r="B501" s="594">
        <v>-4.7699999999999999E-2</v>
      </c>
      <c r="C501" s="577">
        <v>-5.0600000000000006E-2</v>
      </c>
      <c r="D501" s="577">
        <v>4.3E-3</v>
      </c>
      <c r="E501" s="577">
        <v>4.3666666666666671E-3</v>
      </c>
      <c r="F501" s="577">
        <v>4.5166666666666662E-3</v>
      </c>
      <c r="G501" s="577">
        <v>4.4416666666666667E-3</v>
      </c>
      <c r="H501" s="577">
        <v>4.7166666666666668E-3</v>
      </c>
      <c r="I501" s="577">
        <f t="shared" si="79"/>
        <v>-5.1999999999999998E-2</v>
      </c>
      <c r="J501" s="577">
        <f t="shared" si="83"/>
        <v>-5.2141666666666669E-2</v>
      </c>
      <c r="K501" s="577">
        <f t="shared" si="84"/>
        <v>-5.5316666666666674E-2</v>
      </c>
      <c r="L501" s="585">
        <f t="shared" si="80"/>
        <v>7.0846665517140694E-2</v>
      </c>
      <c r="M501" s="585">
        <f t="shared" si="81"/>
        <v>5.16E-2</v>
      </c>
      <c r="N501" s="585">
        <f t="shared" si="85"/>
        <v>5.33E-2</v>
      </c>
      <c r="O501" s="586">
        <f t="shared" si="82"/>
        <v>1.9246665517140694E-2</v>
      </c>
      <c r="P501" s="585">
        <f t="shared" si="86"/>
        <v>1.7546665517140694E-2</v>
      </c>
      <c r="Q501" s="585">
        <f t="shared" si="87"/>
        <v>4.3707503431226424E-2</v>
      </c>
      <c r="R501" s="585">
        <f t="shared" si="88"/>
        <v>5.6599999999999998E-2</v>
      </c>
      <c r="S501" s="586">
        <f t="shared" si="89"/>
        <v>-1.2892496568773573E-2</v>
      </c>
      <c r="U501" s="587"/>
      <c r="V501" s="587"/>
      <c r="W501" s="587"/>
      <c r="X501" s="587"/>
      <c r="Y501" s="587"/>
      <c r="Z501" s="587"/>
      <c r="AA501" s="587"/>
      <c r="AB501" s="587"/>
      <c r="AC501" s="587"/>
      <c r="AE501" s="587"/>
      <c r="AF501" s="587"/>
      <c r="AG501" s="587"/>
      <c r="AH501" s="587"/>
      <c r="AI501" s="587"/>
      <c r="AJ501" s="587"/>
      <c r="AK501" s="587"/>
      <c r="AL501" s="587"/>
      <c r="AM501" s="587"/>
      <c r="AO501" s="587"/>
      <c r="AP501" s="587"/>
      <c r="AQ501" s="587"/>
      <c r="AR501" s="587"/>
      <c r="AS501" s="587"/>
      <c r="AT501" s="587"/>
      <c r="AU501" s="587"/>
      <c r="AV501" s="587"/>
      <c r="AW501" s="587"/>
    </row>
    <row r="502" spans="1:49">
      <c r="A502" s="581">
        <v>24624</v>
      </c>
      <c r="B502" s="594">
        <v>1.9E-2</v>
      </c>
      <c r="C502" s="577">
        <v>-1.3100000000000001E-2</v>
      </c>
      <c r="D502" s="577">
        <v>3.8999999999999994E-3</v>
      </c>
      <c r="E502" s="577">
        <v>4.5333333333333337E-3</v>
      </c>
      <c r="F502" s="577">
        <v>4.6916666666666669E-3</v>
      </c>
      <c r="G502" s="577">
        <v>4.6125000000000003E-3</v>
      </c>
      <c r="H502" s="577">
        <v>4.8666666666666667E-3</v>
      </c>
      <c r="I502" s="577">
        <f t="shared" si="79"/>
        <v>1.5100000000000001E-2</v>
      </c>
      <c r="J502" s="577">
        <f t="shared" si="83"/>
        <v>1.4387499999999999E-2</v>
      </c>
      <c r="K502" s="577">
        <f t="shared" si="84"/>
        <v>-1.7966666666666666E-2</v>
      </c>
      <c r="L502" s="585">
        <f t="shared" si="80"/>
        <v>0.10736021124616002</v>
      </c>
      <c r="M502" s="585">
        <f t="shared" si="81"/>
        <v>4.6799999999999994E-2</v>
      </c>
      <c r="N502" s="585">
        <f t="shared" si="85"/>
        <v>5.5350000000000003E-2</v>
      </c>
      <c r="O502" s="586">
        <f t="shared" si="82"/>
        <v>6.0560211246160026E-2</v>
      </c>
      <c r="P502" s="585">
        <f t="shared" si="86"/>
        <v>5.2010211246160017E-2</v>
      </c>
      <c r="Q502" s="585">
        <f t="shared" si="87"/>
        <v>4.9022237637516675E-2</v>
      </c>
      <c r="R502" s="585">
        <f t="shared" si="88"/>
        <v>5.8400000000000001E-2</v>
      </c>
      <c r="S502" s="586">
        <f t="shared" si="89"/>
        <v>-9.3777623624833259E-3</v>
      </c>
      <c r="U502" s="587"/>
      <c r="V502" s="587"/>
      <c r="W502" s="587"/>
      <c r="X502" s="587"/>
      <c r="Y502" s="587"/>
      <c r="Z502" s="587"/>
      <c r="AA502" s="587"/>
      <c r="AB502" s="587"/>
      <c r="AC502" s="587"/>
      <c r="AE502" s="587"/>
      <c r="AF502" s="587"/>
      <c r="AG502" s="587"/>
      <c r="AH502" s="587"/>
      <c r="AI502" s="587"/>
      <c r="AJ502" s="587"/>
      <c r="AK502" s="587"/>
      <c r="AL502" s="587"/>
      <c r="AM502" s="587"/>
      <c r="AO502" s="587"/>
      <c r="AP502" s="587"/>
      <c r="AQ502" s="587"/>
      <c r="AR502" s="587"/>
      <c r="AS502" s="587"/>
      <c r="AT502" s="587"/>
      <c r="AU502" s="587"/>
      <c r="AV502" s="587"/>
      <c r="AW502" s="587"/>
    </row>
    <row r="503" spans="1:49">
      <c r="A503" s="581">
        <v>24654</v>
      </c>
      <c r="B503" s="594">
        <v>4.6800000000000001E-2</v>
      </c>
      <c r="C503" s="577">
        <v>2.0399999999999995E-2</v>
      </c>
      <c r="D503" s="577">
        <v>4.3E-3</v>
      </c>
      <c r="E503" s="577">
        <v>4.6500000000000005E-3</v>
      </c>
      <c r="F503" s="577">
        <v>4.7666666666666664E-3</v>
      </c>
      <c r="G503" s="577">
        <v>4.7083333333333335E-3</v>
      </c>
      <c r="H503" s="577">
        <v>4.9500000000000004E-3</v>
      </c>
      <c r="I503" s="577">
        <f t="shared" si="79"/>
        <v>4.2500000000000003E-2</v>
      </c>
      <c r="J503" s="577">
        <f t="shared" si="83"/>
        <v>4.2091666666666666E-2</v>
      </c>
      <c r="K503" s="577">
        <f t="shared" si="84"/>
        <v>1.5449999999999995E-2</v>
      </c>
      <c r="L503" s="585">
        <f t="shared" si="80"/>
        <v>0.17326383515433186</v>
      </c>
      <c r="M503" s="585">
        <f t="shared" si="81"/>
        <v>5.16E-2</v>
      </c>
      <c r="N503" s="585">
        <f t="shared" si="85"/>
        <v>5.6500000000000002E-2</v>
      </c>
      <c r="O503" s="586">
        <f t="shared" si="82"/>
        <v>0.12166383515433185</v>
      </c>
      <c r="P503" s="585">
        <f t="shared" si="86"/>
        <v>0.11676383515433186</v>
      </c>
      <c r="Q503" s="585">
        <f t="shared" si="87"/>
        <v>6.9459777485584739E-2</v>
      </c>
      <c r="R503" s="585">
        <f t="shared" si="88"/>
        <v>5.9400000000000008E-2</v>
      </c>
      <c r="S503" s="586">
        <f t="shared" si="89"/>
        <v>1.0059777485584731E-2</v>
      </c>
      <c r="U503" s="587"/>
      <c r="V503" s="587"/>
      <c r="W503" s="587"/>
      <c r="X503" s="587"/>
      <c r="Y503" s="587"/>
      <c r="Z503" s="587"/>
      <c r="AA503" s="587"/>
      <c r="AB503" s="587"/>
      <c r="AC503" s="587"/>
      <c r="AE503" s="587"/>
      <c r="AF503" s="587"/>
      <c r="AG503" s="587"/>
      <c r="AH503" s="587"/>
      <c r="AI503" s="587"/>
      <c r="AJ503" s="587"/>
      <c r="AK503" s="587"/>
      <c r="AL503" s="587"/>
      <c r="AM503" s="587"/>
      <c r="AO503" s="587"/>
      <c r="AP503" s="587"/>
      <c r="AQ503" s="587"/>
      <c r="AR503" s="587"/>
      <c r="AS503" s="587"/>
      <c r="AT503" s="587"/>
      <c r="AU503" s="587"/>
      <c r="AV503" s="587"/>
      <c r="AW503" s="587"/>
    </row>
    <row r="504" spans="1:49">
      <c r="A504" s="581">
        <v>24685</v>
      </c>
      <c r="B504" s="594">
        <v>-7.0000000000000001E-3</v>
      </c>
      <c r="C504" s="577">
        <v>-6.5000000000000006E-3</v>
      </c>
      <c r="D504" s="577">
        <v>4.1999999999999997E-3</v>
      </c>
      <c r="E504" s="577">
        <v>4.6833333333333336E-3</v>
      </c>
      <c r="F504" s="577">
        <v>4.7999999999999996E-3</v>
      </c>
      <c r="G504" s="577">
        <v>4.7416666666666666E-3</v>
      </c>
      <c r="H504" s="577">
        <v>4.9666666666666661E-3</v>
      </c>
      <c r="I504" s="577">
        <f t="shared" si="79"/>
        <v>-1.12E-2</v>
      </c>
      <c r="J504" s="577">
        <f t="shared" si="83"/>
        <v>-1.1741666666666668E-2</v>
      </c>
      <c r="K504" s="577">
        <f t="shared" si="84"/>
        <v>-1.1466666666666667E-2</v>
      </c>
      <c r="L504" s="585">
        <f t="shared" si="80"/>
        <v>0.25611966394420738</v>
      </c>
      <c r="M504" s="585">
        <f t="shared" si="81"/>
        <v>5.04E-2</v>
      </c>
      <c r="N504" s="585">
        <f t="shared" si="85"/>
        <v>5.6899999999999999E-2</v>
      </c>
      <c r="O504" s="586">
        <f t="shared" si="82"/>
        <v>0.20571966394420738</v>
      </c>
      <c r="P504" s="585">
        <f t="shared" si="86"/>
        <v>0.19921966394420737</v>
      </c>
      <c r="Q504" s="585">
        <f t="shared" si="87"/>
        <v>0.16439264540485321</v>
      </c>
      <c r="R504" s="585">
        <f t="shared" si="88"/>
        <v>5.9599999999999993E-2</v>
      </c>
      <c r="S504" s="586">
        <f t="shared" si="89"/>
        <v>0.10479264540485322</v>
      </c>
      <c r="U504" s="587"/>
      <c r="V504" s="587"/>
      <c r="W504" s="587"/>
      <c r="X504" s="587"/>
      <c r="Y504" s="587"/>
      <c r="Z504" s="587"/>
      <c r="AA504" s="587"/>
      <c r="AB504" s="587"/>
      <c r="AC504" s="587"/>
      <c r="AE504" s="587"/>
      <c r="AF504" s="587"/>
      <c r="AG504" s="587"/>
      <c r="AH504" s="587"/>
      <c r="AI504" s="587"/>
      <c r="AJ504" s="587"/>
      <c r="AK504" s="587"/>
      <c r="AL504" s="587"/>
      <c r="AM504" s="587"/>
      <c r="AO504" s="587"/>
      <c r="AP504" s="587"/>
      <c r="AQ504" s="587"/>
      <c r="AR504" s="587"/>
      <c r="AS504" s="587"/>
      <c r="AT504" s="587"/>
      <c r="AU504" s="587"/>
      <c r="AV504" s="587"/>
      <c r="AW504" s="587"/>
    </row>
    <row r="505" spans="1:49">
      <c r="A505" s="581">
        <v>24716</v>
      </c>
      <c r="B505" s="594">
        <v>3.4200000000000001E-2</v>
      </c>
      <c r="C505" s="577">
        <v>-3.7000000000000002E-3</v>
      </c>
      <c r="D505" s="577">
        <v>4.0000000000000001E-3</v>
      </c>
      <c r="E505" s="577">
        <v>4.7083333333333335E-3</v>
      </c>
      <c r="F505" s="577">
        <v>4.8916666666666666E-3</v>
      </c>
      <c r="G505" s="577">
        <v>4.8000000000000004E-3</v>
      </c>
      <c r="H505" s="577">
        <v>5.0416666666666665E-3</v>
      </c>
      <c r="I505" s="577">
        <f t="shared" si="79"/>
        <v>3.0200000000000001E-2</v>
      </c>
      <c r="J505" s="577">
        <f t="shared" si="83"/>
        <v>2.9400000000000003E-2</v>
      </c>
      <c r="K505" s="577">
        <f t="shared" si="84"/>
        <v>-8.7416666666666667E-3</v>
      </c>
      <c r="L505" s="585">
        <f t="shared" si="80"/>
        <v>0.30600076048165148</v>
      </c>
      <c r="M505" s="585">
        <f t="shared" si="81"/>
        <v>4.8000000000000001E-2</v>
      </c>
      <c r="N505" s="585">
        <f t="shared" si="85"/>
        <v>5.7600000000000005E-2</v>
      </c>
      <c r="O505" s="586">
        <f t="shared" si="82"/>
        <v>0.25800076048165149</v>
      </c>
      <c r="P505" s="585">
        <f t="shared" si="86"/>
        <v>0.24840076048165147</v>
      </c>
      <c r="Q505" s="585">
        <f t="shared" si="87"/>
        <v>0.10747913376310758</v>
      </c>
      <c r="R505" s="585">
        <f t="shared" si="88"/>
        <v>6.0499999999999998E-2</v>
      </c>
      <c r="S505" s="586">
        <f t="shared" si="89"/>
        <v>4.6979133763107583E-2</v>
      </c>
      <c r="U505" s="587"/>
      <c r="V505" s="587"/>
      <c r="W505" s="587"/>
      <c r="X505" s="587"/>
      <c r="Y505" s="587"/>
      <c r="Z505" s="587"/>
      <c r="AA505" s="587"/>
      <c r="AB505" s="587"/>
      <c r="AC505" s="587"/>
      <c r="AE505" s="587"/>
      <c r="AF505" s="587"/>
      <c r="AG505" s="587"/>
      <c r="AH505" s="587"/>
      <c r="AI505" s="587"/>
      <c r="AJ505" s="587"/>
      <c r="AK505" s="587"/>
      <c r="AL505" s="587"/>
      <c r="AM505" s="587"/>
      <c r="AO505" s="587"/>
      <c r="AP505" s="587"/>
      <c r="AQ505" s="587"/>
      <c r="AR505" s="587"/>
      <c r="AS505" s="587"/>
      <c r="AT505" s="587"/>
      <c r="AU505" s="587"/>
      <c r="AV505" s="587"/>
      <c r="AW505" s="587"/>
    </row>
    <row r="506" spans="1:49">
      <c r="A506" s="581">
        <v>24746</v>
      </c>
      <c r="B506" s="594">
        <v>-2.76E-2</v>
      </c>
      <c r="C506" s="577">
        <v>-5.7200000000000001E-2</v>
      </c>
      <c r="D506" s="577">
        <v>4.4999999999999997E-3</v>
      </c>
      <c r="E506" s="577">
        <v>4.8500000000000001E-3</v>
      </c>
      <c r="F506" s="577">
        <v>5.0083333333333334E-3</v>
      </c>
      <c r="G506" s="577">
        <v>4.9291666666666668E-3</v>
      </c>
      <c r="H506" s="577">
        <v>5.1500000000000001E-3</v>
      </c>
      <c r="I506" s="577">
        <f t="shared" si="79"/>
        <v>-3.2099999999999997E-2</v>
      </c>
      <c r="J506" s="577">
        <f t="shared" si="83"/>
        <v>-3.2529166666666665E-2</v>
      </c>
      <c r="K506" s="577">
        <f t="shared" si="84"/>
        <v>-6.2350000000000003E-2</v>
      </c>
      <c r="L506" s="585">
        <f t="shared" si="80"/>
        <v>0.21017261243792484</v>
      </c>
      <c r="M506" s="585">
        <f t="shared" si="81"/>
        <v>5.3999999999999992E-2</v>
      </c>
      <c r="N506" s="585">
        <f t="shared" si="85"/>
        <v>5.9150000000000001E-2</v>
      </c>
      <c r="O506" s="586">
        <f t="shared" si="82"/>
        <v>0.15617261243792485</v>
      </c>
      <c r="P506" s="585">
        <f t="shared" si="86"/>
        <v>0.15102261243792484</v>
      </c>
      <c r="Q506" s="585">
        <f t="shared" si="87"/>
        <v>-4.8193867537048352E-2</v>
      </c>
      <c r="R506" s="585">
        <f t="shared" si="88"/>
        <v>6.1800000000000001E-2</v>
      </c>
      <c r="S506" s="586">
        <f t="shared" si="89"/>
        <v>-0.10999386753704835</v>
      </c>
      <c r="U506" s="587"/>
      <c r="V506" s="587"/>
      <c r="W506" s="587"/>
      <c r="X506" s="587"/>
      <c r="Y506" s="587"/>
      <c r="Z506" s="587"/>
      <c r="AA506" s="587"/>
      <c r="AB506" s="587"/>
      <c r="AC506" s="587"/>
      <c r="AE506" s="587"/>
      <c r="AF506" s="587"/>
      <c r="AG506" s="587"/>
      <c r="AH506" s="587"/>
      <c r="AI506" s="587"/>
      <c r="AJ506" s="587"/>
      <c r="AK506" s="587"/>
      <c r="AL506" s="587"/>
      <c r="AM506" s="587"/>
      <c r="AO506" s="587"/>
      <c r="AP506" s="587"/>
      <c r="AQ506" s="587"/>
      <c r="AR506" s="587"/>
      <c r="AS506" s="587"/>
      <c r="AT506" s="587"/>
      <c r="AU506" s="587"/>
      <c r="AV506" s="587"/>
      <c r="AW506" s="587"/>
    </row>
    <row r="507" spans="1:49">
      <c r="A507" s="581">
        <v>24777</v>
      </c>
      <c r="B507" s="594">
        <v>6.4999999999999997E-3</v>
      </c>
      <c r="C507" s="577">
        <v>2.9300000000000003E-2</v>
      </c>
      <c r="D507" s="577">
        <v>4.4999999999999997E-3</v>
      </c>
      <c r="E507" s="577">
        <v>5.058333333333334E-3</v>
      </c>
      <c r="F507" s="577">
        <v>5.1916666666666665E-3</v>
      </c>
      <c r="G507" s="577">
        <v>5.1249999999999993E-3</v>
      </c>
      <c r="H507" s="577">
        <v>5.4000000000000003E-3</v>
      </c>
      <c r="I507" s="577">
        <f t="shared" si="79"/>
        <v>2E-3</v>
      </c>
      <c r="J507" s="577">
        <f t="shared" si="83"/>
        <v>1.3750000000000004E-3</v>
      </c>
      <c r="K507" s="577">
        <f t="shared" si="84"/>
        <v>2.3900000000000005E-2</v>
      </c>
      <c r="L507" s="585">
        <f t="shared" si="80"/>
        <v>0.2065762599492531</v>
      </c>
      <c r="M507" s="585">
        <f t="shared" si="81"/>
        <v>5.3999999999999992E-2</v>
      </c>
      <c r="N507" s="585">
        <f t="shared" si="85"/>
        <v>6.1499999999999992E-2</v>
      </c>
      <c r="O507" s="586">
        <f t="shared" si="82"/>
        <v>0.15257625994925311</v>
      </c>
      <c r="P507" s="585">
        <f t="shared" si="86"/>
        <v>0.14507625994925311</v>
      </c>
      <c r="Q507" s="585">
        <f t="shared" si="87"/>
        <v>-1.2803252575457336E-2</v>
      </c>
      <c r="R507" s="585">
        <f t="shared" si="88"/>
        <v>6.4799999999999996E-2</v>
      </c>
      <c r="S507" s="586">
        <f t="shared" si="89"/>
        <v>-7.7603252575457332E-2</v>
      </c>
      <c r="U507" s="587"/>
      <c r="V507" s="587"/>
      <c r="W507" s="587"/>
      <c r="X507" s="587"/>
      <c r="Y507" s="587"/>
      <c r="Z507" s="587"/>
      <c r="AA507" s="587"/>
      <c r="AB507" s="587"/>
      <c r="AC507" s="587"/>
      <c r="AE507" s="587"/>
      <c r="AF507" s="587"/>
      <c r="AG507" s="587"/>
      <c r="AH507" s="587"/>
      <c r="AI507" s="587"/>
      <c r="AJ507" s="587"/>
      <c r="AK507" s="587"/>
      <c r="AL507" s="587"/>
      <c r="AM507" s="587"/>
      <c r="AO507" s="587"/>
      <c r="AP507" s="587"/>
      <c r="AQ507" s="587"/>
      <c r="AR507" s="587"/>
      <c r="AS507" s="587"/>
      <c r="AT507" s="587"/>
      <c r="AU507" s="587"/>
      <c r="AV507" s="587"/>
      <c r="AW507" s="587"/>
    </row>
    <row r="508" spans="1:49">
      <c r="A508" s="581">
        <v>24807</v>
      </c>
      <c r="B508" s="594">
        <v>2.7799999999999998E-2</v>
      </c>
      <c r="C508" s="577">
        <v>2.86E-2</v>
      </c>
      <c r="D508" s="577">
        <v>4.4000000000000003E-3</v>
      </c>
      <c r="E508" s="577">
        <v>5.1583333333333333E-3</v>
      </c>
      <c r="F508" s="577">
        <v>5.2916666666666667E-3</v>
      </c>
      <c r="G508" s="577">
        <v>5.2249999999999996E-3</v>
      </c>
      <c r="H508" s="577">
        <v>5.5583333333333327E-3</v>
      </c>
      <c r="I508" s="577">
        <f t="shared" si="79"/>
        <v>2.3399999999999997E-2</v>
      </c>
      <c r="J508" s="577">
        <f t="shared" si="83"/>
        <v>2.2574999999999998E-2</v>
      </c>
      <c r="K508" s="577">
        <f t="shared" si="84"/>
        <v>2.3041666666666669E-2</v>
      </c>
      <c r="L508" s="585">
        <f t="shared" si="80"/>
        <v>0.23987110575469139</v>
      </c>
      <c r="M508" s="585">
        <f t="shared" si="81"/>
        <v>5.28E-2</v>
      </c>
      <c r="N508" s="585">
        <f t="shared" si="85"/>
        <v>6.2699999999999992E-2</v>
      </c>
      <c r="O508" s="586">
        <f t="shared" si="82"/>
        <v>0.18707110575469138</v>
      </c>
      <c r="P508" s="585">
        <f t="shared" si="86"/>
        <v>0.17717110575469142</v>
      </c>
      <c r="Q508" s="585">
        <f t="shared" si="87"/>
        <v>-6.5252182752328913E-3</v>
      </c>
      <c r="R508" s="585">
        <f t="shared" si="88"/>
        <v>6.6699999999999995E-2</v>
      </c>
      <c r="S508" s="586">
        <f t="shared" si="89"/>
        <v>-7.3225218275232887E-2</v>
      </c>
      <c r="U508" s="587"/>
      <c r="V508" s="587"/>
      <c r="W508" s="587"/>
      <c r="X508" s="587"/>
      <c r="Y508" s="587"/>
      <c r="Z508" s="587"/>
      <c r="AA508" s="587"/>
      <c r="AB508" s="587"/>
      <c r="AC508" s="587"/>
      <c r="AE508" s="587"/>
      <c r="AF508" s="587"/>
      <c r="AG508" s="587"/>
      <c r="AH508" s="587"/>
      <c r="AI508" s="587"/>
      <c r="AJ508" s="587"/>
      <c r="AK508" s="587"/>
      <c r="AL508" s="587"/>
      <c r="AM508" s="587"/>
      <c r="AO508" s="587"/>
      <c r="AP508" s="587"/>
      <c r="AQ508" s="587"/>
      <c r="AR508" s="587"/>
      <c r="AS508" s="587"/>
      <c r="AT508" s="587"/>
      <c r="AU508" s="587"/>
      <c r="AV508" s="587"/>
      <c r="AW508" s="587"/>
    </row>
    <row r="509" spans="1:49">
      <c r="A509" s="581">
        <v>24838</v>
      </c>
      <c r="B509" s="594">
        <v>-4.2500000000000003E-2</v>
      </c>
      <c r="C509" s="577">
        <v>8.199999999999999E-3</v>
      </c>
      <c r="D509" s="577">
        <v>5.0000000000000001E-3</v>
      </c>
      <c r="E509" s="577">
        <v>5.1416666666666668E-3</v>
      </c>
      <c r="F509" s="577">
        <v>5.241666666666667E-3</v>
      </c>
      <c r="G509" s="577">
        <v>5.1916666666666665E-3</v>
      </c>
      <c r="H509" s="577">
        <v>5.45E-3</v>
      </c>
      <c r="I509" s="577">
        <f t="shared" si="79"/>
        <v>-4.7500000000000001E-2</v>
      </c>
      <c r="J509" s="577">
        <f t="shared" si="83"/>
        <v>-4.7691666666666667E-2</v>
      </c>
      <c r="K509" s="577">
        <f t="shared" si="84"/>
        <v>2.749999999999999E-3</v>
      </c>
      <c r="L509" s="585">
        <f t="shared" si="80"/>
        <v>9.9441177773770262E-2</v>
      </c>
      <c r="M509" s="585">
        <f t="shared" si="81"/>
        <v>0.06</v>
      </c>
      <c r="N509" s="585">
        <f t="shared" si="85"/>
        <v>6.2299999999999994E-2</v>
      </c>
      <c r="O509" s="586">
        <f t="shared" si="82"/>
        <v>3.9441177773770264E-2</v>
      </c>
      <c r="P509" s="585">
        <f t="shared" si="86"/>
        <v>3.7141177773770268E-2</v>
      </c>
      <c r="Q509" s="585">
        <f t="shared" si="87"/>
        <v>-2.4806469735264014E-2</v>
      </c>
      <c r="R509" s="585">
        <f t="shared" si="88"/>
        <v>6.54E-2</v>
      </c>
      <c r="S509" s="586">
        <f t="shared" si="89"/>
        <v>-9.0206469735264014E-2</v>
      </c>
      <c r="U509" s="587"/>
      <c r="V509" s="587"/>
      <c r="W509" s="587"/>
      <c r="X509" s="587"/>
      <c r="Y509" s="587"/>
      <c r="Z509" s="587"/>
      <c r="AA509" s="587"/>
      <c r="AB509" s="587"/>
      <c r="AC509" s="587"/>
      <c r="AE509" s="587"/>
      <c r="AF509" s="587"/>
      <c r="AG509" s="587"/>
      <c r="AH509" s="587"/>
      <c r="AI509" s="587"/>
      <c r="AJ509" s="587"/>
      <c r="AK509" s="587"/>
      <c r="AL509" s="587"/>
      <c r="AM509" s="587"/>
      <c r="AO509" s="587"/>
      <c r="AP509" s="587"/>
      <c r="AQ509" s="587"/>
      <c r="AR509" s="587"/>
      <c r="AS509" s="587"/>
      <c r="AT509" s="587"/>
      <c r="AU509" s="587"/>
      <c r="AV509" s="587"/>
      <c r="AW509" s="587"/>
    </row>
    <row r="510" spans="1:49">
      <c r="A510" s="581">
        <v>24869</v>
      </c>
      <c r="B510" s="594">
        <v>-2.6100000000000002E-2</v>
      </c>
      <c r="C510" s="577">
        <v>-2.3300000000000001E-2</v>
      </c>
      <c r="D510" s="577">
        <v>4.1999999999999997E-3</v>
      </c>
      <c r="E510" s="577">
        <v>5.0833333333333329E-3</v>
      </c>
      <c r="F510" s="577">
        <v>5.2249999999999996E-3</v>
      </c>
      <c r="G510" s="577">
        <v>5.1541666666666663E-3</v>
      </c>
      <c r="H510" s="577">
        <v>5.3083333333333342E-3</v>
      </c>
      <c r="I510" s="577">
        <f t="shared" si="79"/>
        <v>-3.0300000000000001E-2</v>
      </c>
      <c r="J510" s="577">
        <f t="shared" si="83"/>
        <v>-3.1254166666666666E-2</v>
      </c>
      <c r="K510" s="577">
        <f t="shared" si="84"/>
        <v>-2.8608333333333336E-2</v>
      </c>
      <c r="L510" s="585">
        <f t="shared" si="80"/>
        <v>6.309150420360865E-2</v>
      </c>
      <c r="M510" s="585">
        <f t="shared" si="81"/>
        <v>5.04E-2</v>
      </c>
      <c r="N510" s="585">
        <f t="shared" si="85"/>
        <v>6.1849999999999995E-2</v>
      </c>
      <c r="O510" s="586">
        <f t="shared" si="82"/>
        <v>1.269150420360865E-2</v>
      </c>
      <c r="P510" s="585">
        <f t="shared" si="86"/>
        <v>1.2415042036086552E-3</v>
      </c>
      <c r="Q510" s="585">
        <f t="shared" si="87"/>
        <v>-3.233615664983458E-2</v>
      </c>
      <c r="R510" s="585">
        <f t="shared" si="88"/>
        <v>6.3700000000000007E-2</v>
      </c>
      <c r="S510" s="586">
        <f t="shared" si="89"/>
        <v>-9.6036156649834586E-2</v>
      </c>
      <c r="U510" s="587"/>
      <c r="V510" s="587"/>
      <c r="W510" s="587"/>
      <c r="X510" s="587"/>
      <c r="Y510" s="587"/>
      <c r="Z510" s="587"/>
      <c r="AA510" s="587"/>
      <c r="AB510" s="587"/>
      <c r="AC510" s="587"/>
      <c r="AE510" s="587"/>
      <c r="AF510" s="587"/>
      <c r="AG510" s="587"/>
      <c r="AH510" s="587"/>
      <c r="AI510" s="587"/>
      <c r="AJ510" s="587"/>
      <c r="AK510" s="587"/>
      <c r="AL510" s="587"/>
      <c r="AM510" s="587"/>
      <c r="AO510" s="587"/>
      <c r="AP510" s="587"/>
      <c r="AQ510" s="587"/>
      <c r="AR510" s="587"/>
      <c r="AS510" s="587"/>
      <c r="AT510" s="587"/>
      <c r="AU510" s="587"/>
      <c r="AV510" s="587"/>
      <c r="AW510" s="587"/>
    </row>
    <row r="511" spans="1:49">
      <c r="A511" s="581">
        <v>24898</v>
      </c>
      <c r="B511" s="594">
        <v>1.0999999999999999E-2</v>
      </c>
      <c r="C511" s="577">
        <v>-3.9900000000000005E-2</v>
      </c>
      <c r="D511" s="577">
        <v>4.3E-3</v>
      </c>
      <c r="E511" s="577">
        <v>5.0916666666666662E-3</v>
      </c>
      <c r="F511" s="577">
        <v>5.2333333333333329E-3</v>
      </c>
      <c r="G511" s="577">
        <v>5.1624999999999996E-3</v>
      </c>
      <c r="H511" s="577">
        <v>5.3416666666666664E-3</v>
      </c>
      <c r="I511" s="577">
        <f t="shared" si="79"/>
        <v>6.6999999999999994E-3</v>
      </c>
      <c r="J511" s="577">
        <f t="shared" si="83"/>
        <v>5.8374999999999998E-3</v>
      </c>
      <c r="K511" s="577">
        <f t="shared" si="84"/>
        <v>-4.5241666666666673E-2</v>
      </c>
      <c r="L511" s="585">
        <f t="shared" si="80"/>
        <v>3.2554050100728871E-2</v>
      </c>
      <c r="M511" s="585">
        <f t="shared" si="81"/>
        <v>5.16E-2</v>
      </c>
      <c r="N511" s="585">
        <f t="shared" si="85"/>
        <v>6.1949999999999991E-2</v>
      </c>
      <c r="O511" s="586">
        <f t="shared" si="82"/>
        <v>-1.9045949899271129E-2</v>
      </c>
      <c r="P511" s="585">
        <f t="shared" si="86"/>
        <v>-2.939594989927112E-2</v>
      </c>
      <c r="Q511" s="585">
        <f t="shared" si="87"/>
        <v>-8.8894718053845856E-2</v>
      </c>
      <c r="R511" s="585">
        <f t="shared" si="88"/>
        <v>6.409999999999999E-2</v>
      </c>
      <c r="S511" s="586">
        <f t="shared" si="89"/>
        <v>-0.15299471805384585</v>
      </c>
      <c r="U511" s="587"/>
      <c r="V511" s="587"/>
      <c r="W511" s="587"/>
      <c r="X511" s="587"/>
      <c r="Y511" s="587"/>
      <c r="Z511" s="587"/>
      <c r="AA511" s="587"/>
      <c r="AB511" s="587"/>
      <c r="AC511" s="587"/>
      <c r="AE511" s="587"/>
      <c r="AF511" s="587"/>
      <c r="AG511" s="587"/>
      <c r="AH511" s="587"/>
      <c r="AI511" s="587"/>
      <c r="AJ511" s="587"/>
      <c r="AK511" s="587"/>
      <c r="AL511" s="587"/>
      <c r="AM511" s="587"/>
      <c r="AO511" s="587"/>
      <c r="AP511" s="587"/>
      <c r="AQ511" s="587"/>
      <c r="AR511" s="587"/>
      <c r="AS511" s="587"/>
      <c r="AT511" s="587"/>
      <c r="AU511" s="587"/>
      <c r="AV511" s="587"/>
      <c r="AW511" s="587"/>
    </row>
    <row r="512" spans="1:49">
      <c r="A512" s="581">
        <v>24929</v>
      </c>
      <c r="B512" s="594">
        <v>8.3400000000000002E-2</v>
      </c>
      <c r="C512" s="577">
        <v>2.75E-2</v>
      </c>
      <c r="D512" s="577">
        <v>4.8999999999999998E-3</v>
      </c>
      <c r="E512" s="577">
        <v>5.1749999999999999E-3</v>
      </c>
      <c r="F512" s="577">
        <v>5.3166666666666666E-3</v>
      </c>
      <c r="G512" s="577">
        <v>5.2458333333333333E-3</v>
      </c>
      <c r="H512" s="577">
        <v>5.4833333333333331E-3</v>
      </c>
      <c r="I512" s="577">
        <f t="shared" si="79"/>
        <v>7.85E-2</v>
      </c>
      <c r="J512" s="577">
        <f t="shared" si="83"/>
        <v>7.8154166666666663E-2</v>
      </c>
      <c r="K512" s="577">
        <f t="shared" si="84"/>
        <v>2.2016666666666667E-2</v>
      </c>
      <c r="L512" s="585">
        <f t="shared" si="80"/>
        <v>7.1830083241476661E-2</v>
      </c>
      <c r="M512" s="585">
        <f t="shared" si="81"/>
        <v>5.8799999999999998E-2</v>
      </c>
      <c r="N512" s="585">
        <f t="shared" si="85"/>
        <v>6.2950000000000006E-2</v>
      </c>
      <c r="O512" s="586">
        <f t="shared" si="82"/>
        <v>1.3030083241476663E-2</v>
      </c>
      <c r="P512" s="585">
        <f t="shared" si="86"/>
        <v>8.8800832414766551E-3</v>
      </c>
      <c r="Q512" s="585">
        <f t="shared" si="87"/>
        <v>-8.2375340913866113E-2</v>
      </c>
      <c r="R512" s="585">
        <f t="shared" si="88"/>
        <v>6.5799999999999997E-2</v>
      </c>
      <c r="S512" s="586">
        <f t="shared" si="89"/>
        <v>-0.14817534091386611</v>
      </c>
      <c r="U512" s="587"/>
      <c r="V512" s="587"/>
      <c r="W512" s="587"/>
      <c r="X512" s="587"/>
      <c r="Y512" s="587"/>
      <c r="Z512" s="587"/>
      <c r="AA512" s="587"/>
      <c r="AB512" s="587"/>
      <c r="AC512" s="587"/>
      <c r="AE512" s="587"/>
      <c r="AF512" s="587"/>
      <c r="AG512" s="587"/>
      <c r="AH512" s="587"/>
      <c r="AI512" s="587"/>
      <c r="AJ512" s="587"/>
      <c r="AK512" s="587"/>
      <c r="AL512" s="587"/>
      <c r="AM512" s="587"/>
      <c r="AO512" s="587"/>
      <c r="AP512" s="587"/>
      <c r="AQ512" s="587"/>
      <c r="AR512" s="587"/>
      <c r="AS512" s="587"/>
      <c r="AT512" s="587"/>
      <c r="AU512" s="587"/>
      <c r="AV512" s="587"/>
      <c r="AW512" s="587"/>
    </row>
    <row r="513" spans="1:49">
      <c r="A513" s="581">
        <v>24959</v>
      </c>
      <c r="B513" s="594">
        <v>1.61E-2</v>
      </c>
      <c r="C513" s="577">
        <v>-6.1999999999999998E-3</v>
      </c>
      <c r="D513" s="577">
        <v>4.5999999999999999E-3</v>
      </c>
      <c r="E513" s="577">
        <v>5.2249999999999996E-3</v>
      </c>
      <c r="F513" s="577">
        <v>5.4000000000000003E-3</v>
      </c>
      <c r="G513" s="577">
        <v>5.3125000000000004E-3</v>
      </c>
      <c r="H513" s="577">
        <v>5.5166666666666662E-3</v>
      </c>
      <c r="I513" s="577">
        <f t="shared" si="79"/>
        <v>1.15E-2</v>
      </c>
      <c r="J513" s="577">
        <f t="shared" si="83"/>
        <v>1.0787499999999998E-2</v>
      </c>
      <c r="K513" s="577">
        <f t="shared" si="84"/>
        <v>-1.1716666666666667E-2</v>
      </c>
      <c r="L513" s="585">
        <f t="shared" si="80"/>
        <v>0.14363808419790436</v>
      </c>
      <c r="M513" s="585">
        <f t="shared" si="81"/>
        <v>5.5199999999999999E-2</v>
      </c>
      <c r="N513" s="585">
        <f t="shared" si="85"/>
        <v>6.3750000000000001E-2</v>
      </c>
      <c r="O513" s="586">
        <f t="shared" si="82"/>
        <v>8.843808419790436E-2</v>
      </c>
      <c r="P513" s="585">
        <f t="shared" si="86"/>
        <v>7.9888084197904358E-2</v>
      </c>
      <c r="Q513" s="585">
        <f t="shared" si="87"/>
        <v>-3.9461358542448144E-2</v>
      </c>
      <c r="R513" s="585">
        <f t="shared" si="88"/>
        <v>6.6199999999999995E-2</v>
      </c>
      <c r="S513" s="586">
        <f t="shared" si="89"/>
        <v>-0.10566135854244814</v>
      </c>
      <c r="U513" s="587"/>
      <c r="V513" s="587"/>
      <c r="W513" s="587"/>
      <c r="X513" s="587"/>
      <c r="Y513" s="587"/>
      <c r="Z513" s="587"/>
      <c r="AA513" s="587"/>
      <c r="AB513" s="587"/>
      <c r="AC513" s="587"/>
      <c r="AE513" s="587"/>
      <c r="AF513" s="587"/>
      <c r="AG513" s="587"/>
      <c r="AH513" s="587"/>
      <c r="AI513" s="587"/>
      <c r="AJ513" s="587"/>
      <c r="AK513" s="587"/>
      <c r="AL513" s="587"/>
      <c r="AM513" s="587"/>
      <c r="AO513" s="587"/>
      <c r="AP513" s="587"/>
      <c r="AQ513" s="587"/>
      <c r="AR513" s="587"/>
      <c r="AS513" s="587"/>
      <c r="AT513" s="587"/>
      <c r="AU513" s="587"/>
      <c r="AV513" s="587"/>
      <c r="AW513" s="587"/>
    </row>
    <row r="514" spans="1:49">
      <c r="A514" s="581">
        <v>24990</v>
      </c>
      <c r="B514" s="594">
        <v>1.0500000000000001E-2</v>
      </c>
      <c r="C514" s="577">
        <v>8.0700000000000008E-2</v>
      </c>
      <c r="D514" s="577">
        <v>4.1999999999999997E-3</v>
      </c>
      <c r="E514" s="577">
        <v>5.2333333333333329E-3</v>
      </c>
      <c r="F514" s="577">
        <v>5.416666666666666E-3</v>
      </c>
      <c r="G514" s="577">
        <v>5.3249999999999999E-3</v>
      </c>
      <c r="H514" s="577">
        <v>5.5166666666666662E-3</v>
      </c>
      <c r="I514" s="577">
        <f t="shared" si="79"/>
        <v>6.3000000000000009E-3</v>
      </c>
      <c r="J514" s="577">
        <f t="shared" si="83"/>
        <v>5.1750000000000008E-3</v>
      </c>
      <c r="K514" s="577">
        <f t="shared" si="84"/>
        <v>7.5183333333333338E-2</v>
      </c>
      <c r="L514" s="585">
        <f t="shared" si="80"/>
        <v>0.13409841421195567</v>
      </c>
      <c r="M514" s="585">
        <f t="shared" si="81"/>
        <v>5.04E-2</v>
      </c>
      <c r="N514" s="585">
        <f t="shared" si="85"/>
        <v>6.3899999999999998E-2</v>
      </c>
      <c r="O514" s="586">
        <f t="shared" si="82"/>
        <v>8.3698414211955674E-2</v>
      </c>
      <c r="P514" s="585">
        <f t="shared" si="86"/>
        <v>7.0198414211955676E-2</v>
      </c>
      <c r="Q514" s="585">
        <f t="shared" si="87"/>
        <v>5.1833123744225773E-2</v>
      </c>
      <c r="R514" s="585">
        <f t="shared" si="88"/>
        <v>6.6199999999999995E-2</v>
      </c>
      <c r="S514" s="586">
        <f t="shared" si="89"/>
        <v>-1.4366876255774222E-2</v>
      </c>
      <c r="U514" s="587"/>
      <c r="V514" s="587"/>
      <c r="W514" s="587"/>
      <c r="X514" s="587"/>
      <c r="Y514" s="587"/>
      <c r="Z514" s="587"/>
      <c r="AA514" s="587"/>
      <c r="AB514" s="587"/>
      <c r="AC514" s="587"/>
      <c r="AE514" s="587"/>
      <c r="AF514" s="587"/>
      <c r="AG514" s="587"/>
      <c r="AH514" s="587"/>
      <c r="AI514" s="587"/>
      <c r="AJ514" s="587"/>
      <c r="AK514" s="587"/>
      <c r="AL514" s="587"/>
      <c r="AM514" s="587"/>
      <c r="AO514" s="587"/>
      <c r="AP514" s="587"/>
      <c r="AQ514" s="587"/>
      <c r="AR514" s="587"/>
      <c r="AS514" s="587"/>
      <c r="AT514" s="587"/>
      <c r="AU514" s="587"/>
      <c r="AV514" s="587"/>
      <c r="AW514" s="587"/>
    </row>
    <row r="515" spans="1:49">
      <c r="A515" s="581">
        <v>25020</v>
      </c>
      <c r="B515" s="594">
        <v>-1.72E-2</v>
      </c>
      <c r="C515" s="577">
        <v>-6.9999999999999993E-3</v>
      </c>
      <c r="D515" s="577">
        <v>4.7999999999999996E-3</v>
      </c>
      <c r="E515" s="577">
        <v>5.1999999999999998E-3</v>
      </c>
      <c r="F515" s="577">
        <v>5.3749999999999996E-3</v>
      </c>
      <c r="G515" s="577">
        <v>5.2875000000000005E-3</v>
      </c>
      <c r="H515" s="577">
        <v>5.4416666666666667E-3</v>
      </c>
      <c r="I515" s="577">
        <f t="shared" si="79"/>
        <v>-2.1999999999999999E-2</v>
      </c>
      <c r="J515" s="577">
        <f t="shared" si="83"/>
        <v>-2.2487500000000001E-2</v>
      </c>
      <c r="K515" s="577">
        <f t="shared" si="84"/>
        <v>-1.2441666666666667E-2</v>
      </c>
      <c r="L515" s="585">
        <f t="shared" si="80"/>
        <v>6.4761101917758301E-2</v>
      </c>
      <c r="M515" s="585">
        <f t="shared" si="81"/>
        <v>5.7599999999999998E-2</v>
      </c>
      <c r="N515" s="585">
        <f t="shared" si="85"/>
        <v>6.3450000000000006E-2</v>
      </c>
      <c r="O515" s="586">
        <f t="shared" si="82"/>
        <v>7.161101917758303E-3</v>
      </c>
      <c r="P515" s="585">
        <f t="shared" si="86"/>
        <v>1.311101917758295E-3</v>
      </c>
      <c r="Q515" s="585">
        <f t="shared" si="87"/>
        <v>2.3589074753053829E-2</v>
      </c>
      <c r="R515" s="585">
        <f t="shared" si="88"/>
        <v>6.5299999999999997E-2</v>
      </c>
      <c r="S515" s="586">
        <f t="shared" si="89"/>
        <v>-4.1710925246946168E-2</v>
      </c>
      <c r="U515" s="587"/>
      <c r="V515" s="587"/>
      <c r="W515" s="587"/>
      <c r="X515" s="587"/>
      <c r="Y515" s="587"/>
      <c r="Z515" s="587"/>
      <c r="AA515" s="587"/>
      <c r="AB515" s="587"/>
      <c r="AC515" s="587"/>
      <c r="AE515" s="587"/>
      <c r="AF515" s="587"/>
      <c r="AG515" s="587"/>
      <c r="AH515" s="587"/>
      <c r="AI515" s="587"/>
      <c r="AJ515" s="587"/>
      <c r="AK515" s="587"/>
      <c r="AL515" s="587"/>
      <c r="AM515" s="587"/>
      <c r="AO515" s="587"/>
      <c r="AP515" s="587"/>
      <c r="AQ515" s="587"/>
      <c r="AR515" s="587"/>
      <c r="AS515" s="587"/>
      <c r="AT515" s="587"/>
      <c r="AU515" s="587"/>
      <c r="AV515" s="587"/>
      <c r="AW515" s="587"/>
    </row>
    <row r="516" spans="1:49">
      <c r="A516" s="581">
        <v>25051</v>
      </c>
      <c r="B516" s="594">
        <v>1.6400000000000001E-2</v>
      </c>
      <c r="C516" s="577">
        <v>4.0000000000000024E-4</v>
      </c>
      <c r="D516" s="577">
        <v>4.1999999999999997E-3</v>
      </c>
      <c r="E516" s="577">
        <v>5.0166666666666658E-3</v>
      </c>
      <c r="F516" s="577">
        <v>5.2083333333333339E-3</v>
      </c>
      <c r="G516" s="577">
        <v>5.1124999999999999E-3</v>
      </c>
      <c r="H516" s="577">
        <v>5.2250000000000005E-3</v>
      </c>
      <c r="I516" s="577">
        <f t="shared" si="79"/>
        <v>1.2200000000000003E-2</v>
      </c>
      <c r="J516" s="577">
        <f t="shared" si="83"/>
        <v>1.1287500000000002E-2</v>
      </c>
      <c r="K516" s="577">
        <f t="shared" si="84"/>
        <v>-4.8250000000000003E-3</v>
      </c>
      <c r="L516" s="585">
        <f t="shared" si="80"/>
        <v>8.9852149032436879E-2</v>
      </c>
      <c r="M516" s="585">
        <f t="shared" si="81"/>
        <v>5.04E-2</v>
      </c>
      <c r="N516" s="585">
        <f t="shared" si="85"/>
        <v>6.1350000000000002E-2</v>
      </c>
      <c r="O516" s="586">
        <f t="shared" si="82"/>
        <v>3.9452149032436878E-2</v>
      </c>
      <c r="P516" s="585">
        <f t="shared" si="86"/>
        <v>2.8502149032436877E-2</v>
      </c>
      <c r="Q516" s="585">
        <f t="shared" si="87"/>
        <v>3.069804769295903E-2</v>
      </c>
      <c r="R516" s="585">
        <f t="shared" si="88"/>
        <v>6.2700000000000006E-2</v>
      </c>
      <c r="S516" s="586">
        <f t="shared" si="89"/>
        <v>-3.2001952307040976E-2</v>
      </c>
      <c r="U516" s="587"/>
      <c r="V516" s="587"/>
      <c r="W516" s="587"/>
      <c r="X516" s="587"/>
      <c r="Y516" s="587"/>
      <c r="Z516" s="587"/>
      <c r="AA516" s="587"/>
      <c r="AB516" s="587"/>
      <c r="AC516" s="587"/>
      <c r="AE516" s="587"/>
      <c r="AF516" s="587"/>
      <c r="AG516" s="587"/>
      <c r="AH516" s="587"/>
      <c r="AI516" s="587"/>
      <c r="AJ516" s="587"/>
      <c r="AK516" s="587"/>
      <c r="AL516" s="587"/>
      <c r="AM516" s="587"/>
      <c r="AO516" s="587"/>
      <c r="AP516" s="587"/>
      <c r="AQ516" s="587"/>
      <c r="AR516" s="587"/>
      <c r="AS516" s="587"/>
      <c r="AT516" s="587"/>
      <c r="AU516" s="587"/>
      <c r="AV516" s="587"/>
      <c r="AW516" s="587"/>
    </row>
    <row r="517" spans="1:49">
      <c r="A517" s="581">
        <v>25082</v>
      </c>
      <c r="B517" s="594">
        <v>0.04</v>
      </c>
      <c r="C517" s="577">
        <v>0.01</v>
      </c>
      <c r="D517" s="577">
        <v>4.4000000000000003E-3</v>
      </c>
      <c r="E517" s="577">
        <v>4.9750000000000003E-3</v>
      </c>
      <c r="F517" s="577">
        <v>5.1916666666666665E-3</v>
      </c>
      <c r="G517" s="577">
        <v>5.0833333333333329E-3</v>
      </c>
      <c r="H517" s="577">
        <v>5.2250000000000005E-3</v>
      </c>
      <c r="I517" s="577">
        <f t="shared" si="79"/>
        <v>3.56E-2</v>
      </c>
      <c r="J517" s="577">
        <f t="shared" si="83"/>
        <v>3.4916666666666665E-2</v>
      </c>
      <c r="K517" s="577">
        <f t="shared" si="84"/>
        <v>4.7749999999999997E-3</v>
      </c>
      <c r="L517" s="585">
        <f t="shared" si="80"/>
        <v>9.5964257390962926E-2</v>
      </c>
      <c r="M517" s="585">
        <f t="shared" si="81"/>
        <v>5.28E-2</v>
      </c>
      <c r="N517" s="585">
        <f t="shared" si="85"/>
        <v>6.0999999999999999E-2</v>
      </c>
      <c r="O517" s="586">
        <f t="shared" si="82"/>
        <v>4.3164257390962926E-2</v>
      </c>
      <c r="P517" s="585">
        <f t="shared" si="86"/>
        <v>3.4964257390962927E-2</v>
      </c>
      <c r="Q517" s="585">
        <f t="shared" si="87"/>
        <v>4.4871051058806399E-2</v>
      </c>
      <c r="R517" s="585">
        <f t="shared" si="88"/>
        <v>6.2700000000000006E-2</v>
      </c>
      <c r="S517" s="586">
        <f t="shared" si="89"/>
        <v>-1.7828948941193606E-2</v>
      </c>
      <c r="U517" s="587"/>
      <c r="V517" s="587"/>
      <c r="W517" s="587"/>
      <c r="X517" s="587"/>
      <c r="Y517" s="587"/>
      <c r="Z517" s="587"/>
      <c r="AA517" s="587"/>
      <c r="AB517" s="587"/>
      <c r="AC517" s="587"/>
      <c r="AE517" s="587"/>
      <c r="AF517" s="587"/>
      <c r="AG517" s="587"/>
      <c r="AH517" s="587"/>
      <c r="AI517" s="587"/>
      <c r="AJ517" s="587"/>
      <c r="AK517" s="587"/>
      <c r="AL517" s="587"/>
      <c r="AM517" s="587"/>
      <c r="AO517" s="587"/>
      <c r="AP517" s="587"/>
      <c r="AQ517" s="587"/>
      <c r="AR517" s="587"/>
      <c r="AS517" s="587"/>
      <c r="AT517" s="587"/>
      <c r="AU517" s="587"/>
      <c r="AV517" s="587"/>
      <c r="AW517" s="587"/>
    </row>
    <row r="518" spans="1:49">
      <c r="A518" s="581">
        <v>25112</v>
      </c>
      <c r="B518" s="594">
        <v>8.6999999999999994E-3</v>
      </c>
      <c r="C518" s="577">
        <v>8.6E-3</v>
      </c>
      <c r="D518" s="577">
        <v>4.4999999999999997E-3</v>
      </c>
      <c r="E518" s="577">
        <v>5.0749999999999997E-3</v>
      </c>
      <c r="F518" s="577">
        <v>5.2666666666666669E-3</v>
      </c>
      <c r="G518" s="577">
        <v>5.1708333333333337E-3</v>
      </c>
      <c r="H518" s="577">
        <v>5.3333333333333332E-3</v>
      </c>
      <c r="I518" s="577">
        <f t="shared" ref="I518:I581" si="90">B518-D518</f>
        <v>4.1999999999999997E-3</v>
      </c>
      <c r="J518" s="577">
        <f t="shared" si="83"/>
        <v>3.5291666666666657E-3</v>
      </c>
      <c r="K518" s="577">
        <f t="shared" si="84"/>
        <v>3.2666666666666669E-3</v>
      </c>
      <c r="L518" s="585">
        <f t="shared" si="80"/>
        <v>0.1368769502573679</v>
      </c>
      <c r="M518" s="585">
        <f t="shared" si="81"/>
        <v>5.3999999999999992E-2</v>
      </c>
      <c r="N518" s="585">
        <f t="shared" si="85"/>
        <v>6.2050000000000008E-2</v>
      </c>
      <c r="O518" s="586">
        <f t="shared" si="82"/>
        <v>8.287695025736791E-2</v>
      </c>
      <c r="P518" s="585">
        <f t="shared" si="86"/>
        <v>7.4826950257367894E-2</v>
      </c>
      <c r="Q518" s="585">
        <f t="shared" si="87"/>
        <v>0.11779480494050931</v>
      </c>
      <c r="R518" s="585">
        <f t="shared" si="88"/>
        <v>6.4000000000000001E-2</v>
      </c>
      <c r="S518" s="586">
        <f t="shared" si="89"/>
        <v>5.3794804940509311E-2</v>
      </c>
      <c r="U518" s="587"/>
      <c r="V518" s="587"/>
      <c r="W518" s="587"/>
      <c r="X518" s="587"/>
      <c r="Y518" s="587"/>
      <c r="Z518" s="587"/>
      <c r="AA518" s="587"/>
      <c r="AB518" s="587"/>
      <c r="AC518" s="587"/>
      <c r="AE518" s="587"/>
      <c r="AF518" s="587"/>
      <c r="AG518" s="587"/>
      <c r="AH518" s="587"/>
      <c r="AI518" s="587"/>
      <c r="AJ518" s="587"/>
      <c r="AK518" s="587"/>
      <c r="AL518" s="587"/>
      <c r="AM518" s="587"/>
      <c r="AO518" s="587"/>
      <c r="AP518" s="587"/>
      <c r="AQ518" s="587"/>
      <c r="AR518" s="587"/>
      <c r="AS518" s="587"/>
      <c r="AT518" s="587"/>
      <c r="AU518" s="587"/>
      <c r="AV518" s="587"/>
      <c r="AW518" s="587"/>
    </row>
    <row r="519" spans="1:49">
      <c r="A519" s="581">
        <v>25143</v>
      </c>
      <c r="B519" s="594">
        <v>5.3100000000000001E-2</v>
      </c>
      <c r="C519" s="577">
        <v>7.8099999999999989E-2</v>
      </c>
      <c r="D519" s="577">
        <v>4.3E-3</v>
      </c>
      <c r="E519" s="577">
        <v>5.1583333333333333E-3</v>
      </c>
      <c r="F519" s="577">
        <v>5.3749999999999996E-3</v>
      </c>
      <c r="G519" s="577">
        <v>5.266666666666666E-3</v>
      </c>
      <c r="H519" s="577">
        <v>5.4916666666666673E-3</v>
      </c>
      <c r="I519" s="577">
        <f t="shared" si="90"/>
        <v>4.8800000000000003E-2</v>
      </c>
      <c r="J519" s="577">
        <f t="shared" si="83"/>
        <v>4.7833333333333339E-2</v>
      </c>
      <c r="K519" s="577">
        <f t="shared" si="84"/>
        <v>7.2608333333333316E-2</v>
      </c>
      <c r="L519" s="585">
        <f t="shared" si="80"/>
        <v>0.18951327999605971</v>
      </c>
      <c r="M519" s="585">
        <f t="shared" si="81"/>
        <v>5.16E-2</v>
      </c>
      <c r="N519" s="585">
        <f t="shared" si="85"/>
        <v>6.3199999999999992E-2</v>
      </c>
      <c r="O519" s="586">
        <f t="shared" si="82"/>
        <v>0.13791327999605971</v>
      </c>
      <c r="P519" s="585">
        <f t="shared" si="86"/>
        <v>0.12631327999605974</v>
      </c>
      <c r="Q519" s="585">
        <f t="shared" si="87"/>
        <v>0.17079041990319954</v>
      </c>
      <c r="R519" s="585">
        <f t="shared" si="88"/>
        <v>6.5900000000000014E-2</v>
      </c>
      <c r="S519" s="586">
        <f t="shared" si="89"/>
        <v>0.10489041990319953</v>
      </c>
      <c r="U519" s="587"/>
      <c r="V519" s="587"/>
      <c r="W519" s="587"/>
      <c r="X519" s="587"/>
      <c r="Y519" s="587"/>
      <c r="Z519" s="587"/>
      <c r="AA519" s="587"/>
      <c r="AB519" s="587"/>
      <c r="AC519" s="587"/>
      <c r="AE519" s="587"/>
      <c r="AF519" s="587"/>
      <c r="AG519" s="587"/>
      <c r="AH519" s="587"/>
      <c r="AI519" s="587"/>
      <c r="AJ519" s="587"/>
      <c r="AK519" s="587"/>
      <c r="AL519" s="587"/>
      <c r="AM519" s="587"/>
      <c r="AO519" s="587"/>
      <c r="AP519" s="587"/>
      <c r="AQ519" s="587"/>
      <c r="AR519" s="587"/>
      <c r="AS519" s="587"/>
      <c r="AT519" s="587"/>
      <c r="AU519" s="587"/>
      <c r="AV519" s="587"/>
      <c r="AW519" s="587"/>
    </row>
    <row r="520" spans="1:49">
      <c r="A520" s="581">
        <v>25173</v>
      </c>
      <c r="B520" s="594">
        <v>-4.02E-2</v>
      </c>
      <c r="C520" s="577">
        <v>-3.0899999999999997E-2</v>
      </c>
      <c r="D520" s="577">
        <v>4.8999999999999998E-3</v>
      </c>
      <c r="E520" s="577">
        <v>5.3749999999999996E-3</v>
      </c>
      <c r="F520" s="577">
        <v>5.5500000000000002E-3</v>
      </c>
      <c r="G520" s="577">
        <v>5.4625000000000003E-3</v>
      </c>
      <c r="H520" s="577">
        <v>5.7250000000000001E-3</v>
      </c>
      <c r="I520" s="577">
        <f t="shared" si="90"/>
        <v>-4.5100000000000001E-2</v>
      </c>
      <c r="J520" s="577">
        <f t="shared" si="83"/>
        <v>-4.5662500000000002E-2</v>
      </c>
      <c r="K520" s="577">
        <f t="shared" si="84"/>
        <v>-3.6624999999999998E-2</v>
      </c>
      <c r="L520" s="585">
        <f t="shared" si="80"/>
        <v>0.11081421107240508</v>
      </c>
      <c r="M520" s="585">
        <f t="shared" si="81"/>
        <v>5.8799999999999998E-2</v>
      </c>
      <c r="N520" s="585">
        <f t="shared" si="85"/>
        <v>6.5549999999999997E-2</v>
      </c>
      <c r="O520" s="586">
        <f t="shared" si="82"/>
        <v>5.201421107240508E-2</v>
      </c>
      <c r="P520" s="585">
        <f t="shared" si="86"/>
        <v>4.5264211072405081E-2</v>
      </c>
      <c r="Q520" s="585">
        <f t="shared" si="87"/>
        <v>0.10306532755997488</v>
      </c>
      <c r="R520" s="585">
        <f t="shared" si="88"/>
        <v>6.8699999999999997E-2</v>
      </c>
      <c r="S520" s="586">
        <f t="shared" si="89"/>
        <v>3.4365327559974887E-2</v>
      </c>
      <c r="U520" s="587"/>
      <c r="V520" s="587"/>
      <c r="W520" s="587"/>
      <c r="X520" s="587"/>
      <c r="Y520" s="587"/>
      <c r="Z520" s="587"/>
      <c r="AA520" s="587"/>
      <c r="AB520" s="587"/>
      <c r="AC520" s="587"/>
      <c r="AE520" s="587"/>
      <c r="AF520" s="587"/>
      <c r="AG520" s="587"/>
      <c r="AH520" s="587"/>
      <c r="AI520" s="587"/>
      <c r="AJ520" s="587"/>
      <c r="AK520" s="587"/>
      <c r="AL520" s="587"/>
      <c r="AM520" s="587"/>
      <c r="AO520" s="587"/>
      <c r="AP520" s="587"/>
      <c r="AQ520" s="587"/>
      <c r="AR520" s="587"/>
      <c r="AS520" s="587"/>
      <c r="AT520" s="587"/>
      <c r="AU520" s="587"/>
      <c r="AV520" s="587"/>
      <c r="AW520" s="587"/>
    </row>
    <row r="521" spans="1:49">
      <c r="A521" s="581">
        <v>25204</v>
      </c>
      <c r="B521" s="594">
        <v>-6.7999999999999996E-3</v>
      </c>
      <c r="C521" s="577">
        <v>1.6899999999999998E-2</v>
      </c>
      <c r="D521" s="577">
        <v>5.0000000000000001E-3</v>
      </c>
      <c r="E521" s="577">
        <v>5.4916666666666673E-3</v>
      </c>
      <c r="F521" s="577">
        <v>5.6083333333333341E-3</v>
      </c>
      <c r="G521" s="577">
        <v>5.5500000000000002E-3</v>
      </c>
      <c r="H521" s="577">
        <v>5.8666666666666667E-3</v>
      </c>
      <c r="I521" s="577">
        <f t="shared" si="90"/>
        <v>-1.18E-2</v>
      </c>
      <c r="J521" s="577">
        <f t="shared" si="83"/>
        <v>-1.235E-2</v>
      </c>
      <c r="K521" s="577">
        <f t="shared" si="84"/>
        <v>1.1033333333333332E-2</v>
      </c>
      <c r="L521" s="585">
        <f t="shared" si="80"/>
        <v>0.15223046938601881</v>
      </c>
      <c r="M521" s="585">
        <f t="shared" si="81"/>
        <v>0.06</v>
      </c>
      <c r="N521" s="585">
        <f t="shared" si="85"/>
        <v>6.6600000000000006E-2</v>
      </c>
      <c r="O521" s="586">
        <f t="shared" si="82"/>
        <v>9.223046938601881E-2</v>
      </c>
      <c r="P521" s="585">
        <f t="shared" si="86"/>
        <v>8.5630469386018801E-2</v>
      </c>
      <c r="Q521" s="585">
        <f t="shared" si="87"/>
        <v>0.11258394326099808</v>
      </c>
      <c r="R521" s="585">
        <f t="shared" si="88"/>
        <v>7.0400000000000004E-2</v>
      </c>
      <c r="S521" s="586">
        <f t="shared" si="89"/>
        <v>4.2183943260998072E-2</v>
      </c>
      <c r="U521" s="587"/>
      <c r="V521" s="587"/>
      <c r="W521" s="587"/>
      <c r="X521" s="587"/>
      <c r="Y521" s="587"/>
      <c r="Z521" s="587"/>
      <c r="AA521" s="587"/>
      <c r="AB521" s="587"/>
      <c r="AC521" s="587"/>
      <c r="AE521" s="587"/>
      <c r="AF521" s="587"/>
      <c r="AG521" s="587"/>
      <c r="AH521" s="587"/>
      <c r="AI521" s="587"/>
      <c r="AJ521" s="587"/>
      <c r="AK521" s="587"/>
      <c r="AL521" s="587"/>
      <c r="AM521" s="587"/>
      <c r="AO521" s="587"/>
      <c r="AP521" s="587"/>
      <c r="AQ521" s="587"/>
      <c r="AR521" s="587"/>
      <c r="AS521" s="587"/>
      <c r="AT521" s="587"/>
      <c r="AU521" s="587"/>
      <c r="AV521" s="587"/>
      <c r="AW521" s="587"/>
    </row>
    <row r="522" spans="1:49">
      <c r="A522" s="581">
        <v>25235</v>
      </c>
      <c r="B522" s="594">
        <v>-4.2599999999999999E-2</v>
      </c>
      <c r="C522" s="577">
        <v>-5.3200000000000004E-2</v>
      </c>
      <c r="D522" s="577">
        <v>4.5999999999999999E-3</v>
      </c>
      <c r="E522" s="577">
        <v>5.5500000000000002E-3</v>
      </c>
      <c r="F522" s="577">
        <v>5.6416666666666664E-3</v>
      </c>
      <c r="G522" s="577">
        <v>5.5958333333333329E-3</v>
      </c>
      <c r="H522" s="577">
        <v>5.9416666666666663E-3</v>
      </c>
      <c r="I522" s="577">
        <f t="shared" si="90"/>
        <v>-4.7199999999999999E-2</v>
      </c>
      <c r="J522" s="577">
        <f t="shared" si="83"/>
        <v>-4.8195833333333334E-2</v>
      </c>
      <c r="K522" s="577">
        <f t="shared" si="84"/>
        <v>-5.9141666666666669E-2</v>
      </c>
      <c r="L522" s="585">
        <f t="shared" si="80"/>
        <v>0.13270916047866765</v>
      </c>
      <c r="M522" s="585">
        <f t="shared" si="81"/>
        <v>5.5199999999999999E-2</v>
      </c>
      <c r="N522" s="585">
        <f t="shared" si="85"/>
        <v>6.7149999999999987E-2</v>
      </c>
      <c r="O522" s="586">
        <f t="shared" si="82"/>
        <v>7.7509160478667655E-2</v>
      </c>
      <c r="P522" s="585">
        <f t="shared" si="86"/>
        <v>6.5559160478667666E-2</v>
      </c>
      <c r="Q522" s="585">
        <f t="shared" si="87"/>
        <v>7.8524088747326193E-2</v>
      </c>
      <c r="R522" s="585">
        <f t="shared" si="88"/>
        <v>7.1300000000000002E-2</v>
      </c>
      <c r="S522" s="586">
        <f t="shared" si="89"/>
        <v>7.2240887473261906E-3</v>
      </c>
      <c r="U522" s="587"/>
      <c r="V522" s="587"/>
      <c r="W522" s="587"/>
      <c r="X522" s="587"/>
      <c r="Y522" s="587"/>
      <c r="Z522" s="587"/>
      <c r="AA522" s="587"/>
      <c r="AB522" s="587"/>
      <c r="AC522" s="587"/>
      <c r="AE522" s="587"/>
      <c r="AF522" s="587"/>
      <c r="AG522" s="587"/>
      <c r="AH522" s="587"/>
      <c r="AI522" s="587"/>
      <c r="AJ522" s="587"/>
      <c r="AK522" s="587"/>
      <c r="AL522" s="587"/>
      <c r="AM522" s="587"/>
      <c r="AO522" s="587"/>
      <c r="AP522" s="587"/>
      <c r="AQ522" s="587"/>
      <c r="AR522" s="587"/>
      <c r="AS522" s="587"/>
      <c r="AT522" s="587"/>
      <c r="AU522" s="587"/>
      <c r="AV522" s="587"/>
      <c r="AW522" s="587"/>
    </row>
    <row r="523" spans="1:49">
      <c r="A523" s="581">
        <v>25263</v>
      </c>
      <c r="B523" s="594">
        <v>3.5900000000000001E-2</v>
      </c>
      <c r="C523" s="577">
        <v>-9.6000000000000009E-3</v>
      </c>
      <c r="D523" s="577">
        <v>4.7000000000000002E-3</v>
      </c>
      <c r="E523" s="577">
        <v>5.7083333333333326E-3</v>
      </c>
      <c r="F523" s="577">
        <v>5.7916666666666672E-3</v>
      </c>
      <c r="G523" s="577">
        <v>5.7499999999999999E-3</v>
      </c>
      <c r="H523" s="577">
        <v>6.0583333333333331E-3</v>
      </c>
      <c r="I523" s="577">
        <f t="shared" si="90"/>
        <v>3.1200000000000002E-2</v>
      </c>
      <c r="J523" s="577">
        <f t="shared" si="83"/>
        <v>3.0150000000000003E-2</v>
      </c>
      <c r="K523" s="577">
        <f t="shared" si="84"/>
        <v>-1.5658333333333333E-2</v>
      </c>
      <c r="L523" s="585">
        <f t="shared" si="80"/>
        <v>0.16060674514327555</v>
      </c>
      <c r="M523" s="585">
        <f t="shared" si="81"/>
        <v>5.6400000000000006E-2</v>
      </c>
      <c r="N523" s="585">
        <f t="shared" si="85"/>
        <v>6.9000000000000006E-2</v>
      </c>
      <c r="O523" s="586">
        <f t="shared" si="82"/>
        <v>0.10420674514327555</v>
      </c>
      <c r="P523" s="585">
        <f t="shared" si="86"/>
        <v>9.1606745143275548E-2</v>
      </c>
      <c r="Q523" s="585">
        <f t="shared" si="87"/>
        <v>0.11256145973893505</v>
      </c>
      <c r="R523" s="585">
        <f t="shared" si="88"/>
        <v>7.2700000000000001E-2</v>
      </c>
      <c r="S523" s="586">
        <f t="shared" si="89"/>
        <v>3.9861459738935054E-2</v>
      </c>
      <c r="U523" s="587"/>
      <c r="V523" s="587"/>
      <c r="W523" s="587"/>
      <c r="X523" s="587"/>
      <c r="Y523" s="587"/>
      <c r="Z523" s="587"/>
      <c r="AA523" s="587"/>
      <c r="AB523" s="587"/>
      <c r="AC523" s="587"/>
      <c r="AE523" s="587"/>
      <c r="AF523" s="587"/>
      <c r="AG523" s="587"/>
      <c r="AH523" s="587"/>
      <c r="AI523" s="587"/>
      <c r="AJ523" s="587"/>
      <c r="AK523" s="587"/>
      <c r="AL523" s="587"/>
      <c r="AM523" s="587"/>
      <c r="AO523" s="587"/>
      <c r="AP523" s="587"/>
      <c r="AQ523" s="587"/>
      <c r="AR523" s="587"/>
      <c r="AS523" s="587"/>
      <c r="AT523" s="587"/>
      <c r="AU523" s="587"/>
      <c r="AV523" s="587"/>
      <c r="AW523" s="587"/>
    </row>
    <row r="524" spans="1:49">
      <c r="A524" s="581">
        <v>25294</v>
      </c>
      <c r="B524" s="594">
        <v>2.29E-2</v>
      </c>
      <c r="C524" s="577">
        <v>1.3899999999999999E-2</v>
      </c>
      <c r="D524" s="577">
        <v>5.4999999999999997E-3</v>
      </c>
      <c r="E524" s="577">
        <v>5.7416666666666658E-3</v>
      </c>
      <c r="F524" s="577">
        <v>5.8499999999999993E-3</v>
      </c>
      <c r="G524" s="577">
        <v>5.7958333333333334E-3</v>
      </c>
      <c r="H524" s="577">
        <v>6.083333333333333E-3</v>
      </c>
      <c r="I524" s="577">
        <f t="shared" si="90"/>
        <v>1.7399999999999999E-2</v>
      </c>
      <c r="J524" s="577">
        <f t="shared" si="83"/>
        <v>1.7104166666666667E-2</v>
      </c>
      <c r="K524" s="577">
        <f t="shared" si="84"/>
        <v>7.8166666666666662E-3</v>
      </c>
      <c r="L524" s="585">
        <f t="shared" si="80"/>
        <v>9.57953106950864E-2</v>
      </c>
      <c r="M524" s="585">
        <f t="shared" si="81"/>
        <v>6.6000000000000003E-2</v>
      </c>
      <c r="N524" s="585">
        <f t="shared" si="85"/>
        <v>6.9550000000000001E-2</v>
      </c>
      <c r="O524" s="586">
        <f t="shared" si="82"/>
        <v>2.9795310695086397E-2</v>
      </c>
      <c r="P524" s="585">
        <f t="shared" si="86"/>
        <v>2.6245310695086399E-2</v>
      </c>
      <c r="Q524" s="585">
        <f t="shared" si="87"/>
        <v>9.7835585429981942E-2</v>
      </c>
      <c r="R524" s="585">
        <f t="shared" si="88"/>
        <v>7.2999999999999995E-2</v>
      </c>
      <c r="S524" s="586">
        <f t="shared" si="89"/>
        <v>2.4835585429981946E-2</v>
      </c>
      <c r="U524" s="587"/>
      <c r="V524" s="587"/>
      <c r="W524" s="587"/>
      <c r="X524" s="587"/>
      <c r="Y524" s="587"/>
      <c r="Z524" s="587"/>
      <c r="AA524" s="587"/>
      <c r="AB524" s="587"/>
      <c r="AC524" s="587"/>
      <c r="AE524" s="587"/>
      <c r="AF524" s="587"/>
      <c r="AG524" s="587"/>
      <c r="AH524" s="587"/>
      <c r="AI524" s="587"/>
      <c r="AJ524" s="587"/>
      <c r="AK524" s="587"/>
      <c r="AL524" s="587"/>
      <c r="AM524" s="587"/>
      <c r="AO524" s="587"/>
      <c r="AP524" s="587"/>
      <c r="AQ524" s="587"/>
      <c r="AR524" s="587"/>
      <c r="AS524" s="587"/>
      <c r="AT524" s="587"/>
      <c r="AU524" s="587"/>
      <c r="AV524" s="587"/>
      <c r="AW524" s="587"/>
    </row>
    <row r="525" spans="1:49">
      <c r="A525" s="581">
        <v>25324</v>
      </c>
      <c r="B525" s="594">
        <v>2.5999999999999999E-3</v>
      </c>
      <c r="C525" s="577">
        <v>-5.9999999999999984E-4</v>
      </c>
      <c r="D525" s="577">
        <v>4.7000000000000002E-3</v>
      </c>
      <c r="E525" s="577">
        <v>5.6583333333333329E-3</v>
      </c>
      <c r="F525" s="577">
        <v>5.7999999999999996E-3</v>
      </c>
      <c r="G525" s="577">
        <v>5.7291666666666663E-3</v>
      </c>
      <c r="H525" s="577">
        <v>5.966666666666667E-3</v>
      </c>
      <c r="I525" s="577">
        <f t="shared" si="90"/>
        <v>-2.1000000000000003E-3</v>
      </c>
      <c r="J525" s="577">
        <f t="shared" si="83"/>
        <v>-3.1291666666666664E-3</v>
      </c>
      <c r="K525" s="577">
        <f t="shared" si="84"/>
        <v>-6.5666666666666668E-3</v>
      </c>
      <c r="L525" s="585">
        <f t="shared" si="80"/>
        <v>8.1236471314726666E-2</v>
      </c>
      <c r="M525" s="585">
        <f t="shared" si="81"/>
        <v>5.6400000000000006E-2</v>
      </c>
      <c r="N525" s="585">
        <f t="shared" si="85"/>
        <v>6.8749999999999992E-2</v>
      </c>
      <c r="O525" s="586">
        <f t="shared" si="82"/>
        <v>2.483647131472666E-2</v>
      </c>
      <c r="P525" s="585">
        <f t="shared" si="86"/>
        <v>1.2486471314726674E-2</v>
      </c>
      <c r="Q525" s="585">
        <f t="shared" si="87"/>
        <v>0.1040218193587481</v>
      </c>
      <c r="R525" s="585">
        <f t="shared" si="88"/>
        <v>7.1599999999999997E-2</v>
      </c>
      <c r="S525" s="586">
        <f t="shared" si="89"/>
        <v>3.2421819358748105E-2</v>
      </c>
      <c r="U525" s="587"/>
      <c r="V525" s="587"/>
      <c r="W525" s="587"/>
      <c r="X525" s="587"/>
      <c r="Y525" s="587"/>
      <c r="Z525" s="587"/>
      <c r="AA525" s="587"/>
      <c r="AB525" s="587"/>
      <c r="AC525" s="587"/>
      <c r="AE525" s="587"/>
      <c r="AF525" s="587"/>
      <c r="AG525" s="587"/>
      <c r="AH525" s="587"/>
      <c r="AI525" s="587"/>
      <c r="AJ525" s="587"/>
      <c r="AK525" s="587"/>
      <c r="AL525" s="587"/>
      <c r="AM525" s="587"/>
      <c r="AO525" s="587"/>
      <c r="AP525" s="587"/>
      <c r="AQ525" s="587"/>
      <c r="AR525" s="587"/>
      <c r="AS525" s="587"/>
      <c r="AT525" s="587"/>
      <c r="AU525" s="587"/>
      <c r="AV525" s="587"/>
      <c r="AW525" s="587"/>
    </row>
    <row r="526" spans="1:49">
      <c r="A526" s="581">
        <v>25355</v>
      </c>
      <c r="B526" s="594">
        <v>-5.4199999999999998E-2</v>
      </c>
      <c r="C526" s="577">
        <v>-5.16E-2</v>
      </c>
      <c r="D526" s="577">
        <v>5.4999999999999997E-3</v>
      </c>
      <c r="E526" s="577">
        <v>5.816666666666667E-3</v>
      </c>
      <c r="F526" s="577">
        <v>5.9333333333333339E-3</v>
      </c>
      <c r="G526" s="577">
        <v>5.875E-3</v>
      </c>
      <c r="H526" s="577">
        <v>6.1750000000000008E-3</v>
      </c>
      <c r="I526" s="577">
        <f t="shared" si="90"/>
        <v>-5.9699999999999996E-2</v>
      </c>
      <c r="J526" s="577">
        <f t="shared" si="83"/>
        <v>-6.0074999999999996E-2</v>
      </c>
      <c r="K526" s="577">
        <f t="shared" si="84"/>
        <v>-5.7775E-2</v>
      </c>
      <c r="L526" s="585">
        <f t="shared" si="80"/>
        <v>1.200737710981592E-2</v>
      </c>
      <c r="M526" s="585">
        <f t="shared" si="81"/>
        <v>6.6000000000000003E-2</v>
      </c>
      <c r="N526" s="585">
        <f t="shared" si="85"/>
        <v>7.0500000000000007E-2</v>
      </c>
      <c r="O526" s="586">
        <f t="shared" si="82"/>
        <v>-5.3992622890184083E-2</v>
      </c>
      <c r="P526" s="585">
        <f t="shared" si="86"/>
        <v>-5.8492622890184087E-2</v>
      </c>
      <c r="Q526" s="585">
        <f t="shared" si="87"/>
        <v>-3.1133253002834649E-2</v>
      </c>
      <c r="R526" s="585">
        <f t="shared" si="88"/>
        <v>7.4100000000000013E-2</v>
      </c>
      <c r="S526" s="586">
        <f t="shared" si="89"/>
        <v>-0.10523325300283466</v>
      </c>
      <c r="U526" s="587"/>
      <c r="V526" s="587"/>
      <c r="W526" s="587"/>
      <c r="X526" s="587"/>
      <c r="Y526" s="587"/>
      <c r="Z526" s="587"/>
      <c r="AA526" s="587"/>
      <c r="AB526" s="587"/>
      <c r="AC526" s="587"/>
      <c r="AE526" s="587"/>
      <c r="AF526" s="587"/>
      <c r="AG526" s="587"/>
      <c r="AH526" s="587"/>
      <c r="AI526" s="587"/>
      <c r="AJ526" s="587"/>
      <c r="AK526" s="587"/>
      <c r="AL526" s="587"/>
      <c r="AM526" s="587"/>
      <c r="AO526" s="587"/>
      <c r="AP526" s="587"/>
      <c r="AQ526" s="587"/>
      <c r="AR526" s="587"/>
      <c r="AS526" s="587"/>
      <c r="AT526" s="587"/>
      <c r="AU526" s="587"/>
      <c r="AV526" s="587"/>
      <c r="AW526" s="587"/>
    </row>
    <row r="527" spans="1:49">
      <c r="A527" s="581">
        <v>25385</v>
      </c>
      <c r="B527" s="594">
        <v>-5.8700000000000002E-2</v>
      </c>
      <c r="C527" s="577">
        <v>-3.6299999999999999E-2</v>
      </c>
      <c r="D527" s="577">
        <v>5.1999999999999998E-3</v>
      </c>
      <c r="E527" s="577">
        <v>5.8999999999999999E-3</v>
      </c>
      <c r="F527" s="577">
        <v>6.0333333333333341E-3</v>
      </c>
      <c r="G527" s="577">
        <v>5.966666666666667E-3</v>
      </c>
      <c r="H527" s="577">
        <v>6.2666666666666669E-3</v>
      </c>
      <c r="I527" s="577">
        <f t="shared" si="90"/>
        <v>-6.3899999999999998E-2</v>
      </c>
      <c r="J527" s="577">
        <f t="shared" si="83"/>
        <v>-6.4666666666666664E-2</v>
      </c>
      <c r="K527" s="577">
        <f t="shared" si="84"/>
        <v>-4.2566666666666669E-2</v>
      </c>
      <c r="L527" s="585">
        <f t="shared" si="80"/>
        <v>-3.0725942131187289E-2</v>
      </c>
      <c r="M527" s="585">
        <f t="shared" si="81"/>
        <v>6.2399999999999997E-2</v>
      </c>
      <c r="N527" s="585">
        <f t="shared" si="85"/>
        <v>7.1599999999999997E-2</v>
      </c>
      <c r="O527" s="586">
        <f t="shared" si="82"/>
        <v>-9.3125942131187286E-2</v>
      </c>
      <c r="P527" s="585">
        <f t="shared" si="86"/>
        <v>-0.10232594213118729</v>
      </c>
      <c r="Q527" s="585">
        <f t="shared" si="87"/>
        <v>-5.9721164067303212E-2</v>
      </c>
      <c r="R527" s="585">
        <f t="shared" si="88"/>
        <v>7.5200000000000003E-2</v>
      </c>
      <c r="S527" s="586">
        <f t="shared" si="89"/>
        <v>-0.1349211640673032</v>
      </c>
      <c r="U527" s="587"/>
      <c r="V527" s="587"/>
      <c r="W527" s="587"/>
      <c r="X527" s="587"/>
      <c r="Y527" s="587"/>
      <c r="Z527" s="587"/>
      <c r="AA527" s="587"/>
      <c r="AB527" s="587"/>
      <c r="AC527" s="587"/>
      <c r="AE527" s="587"/>
      <c r="AF527" s="587"/>
      <c r="AG527" s="587"/>
      <c r="AH527" s="587"/>
      <c r="AI527" s="587"/>
      <c r="AJ527" s="587"/>
      <c r="AK527" s="587"/>
      <c r="AL527" s="587"/>
      <c r="AM527" s="587"/>
      <c r="AO527" s="587"/>
      <c r="AP527" s="587"/>
      <c r="AQ527" s="587"/>
      <c r="AR527" s="587"/>
      <c r="AS527" s="587"/>
      <c r="AT527" s="587"/>
      <c r="AU527" s="587"/>
      <c r="AV527" s="587"/>
      <c r="AW527" s="587"/>
    </row>
    <row r="528" spans="1:49">
      <c r="A528" s="581">
        <v>25416</v>
      </c>
      <c r="B528" s="594">
        <v>4.5400000000000003E-2</v>
      </c>
      <c r="C528" s="577">
        <v>-1.1399999999999999E-2</v>
      </c>
      <c r="D528" s="577">
        <v>4.7999999999999996E-3</v>
      </c>
      <c r="E528" s="577">
        <v>5.8083333333333329E-3</v>
      </c>
      <c r="F528" s="577">
        <v>6.025E-3</v>
      </c>
      <c r="G528" s="577">
        <v>5.9166666666666664E-3</v>
      </c>
      <c r="H528" s="577">
        <v>6.1999999999999998E-3</v>
      </c>
      <c r="I528" s="577">
        <f t="shared" si="90"/>
        <v>4.0600000000000004E-2</v>
      </c>
      <c r="J528" s="577">
        <f t="shared" si="83"/>
        <v>3.9483333333333336E-2</v>
      </c>
      <c r="K528" s="577">
        <f t="shared" si="84"/>
        <v>-1.7599999999999998E-2</v>
      </c>
      <c r="L528" s="585">
        <f t="shared" ref="L528:L591" si="91">((1+B517)*(1+B518)*(1+B519)*(1+B520)*(1+B521)*(1+B522)*(1+B523)*(1+B524)*(1+B525)*(1+B526)*(1+B527)*(1+B528))-1</f>
        <v>-3.0705429987629707E-3</v>
      </c>
      <c r="M528" s="585">
        <f t="shared" ref="M528:M591" si="92">D528*12</f>
        <v>5.7599999999999998E-2</v>
      </c>
      <c r="N528" s="585">
        <f t="shared" si="85"/>
        <v>7.0999999999999994E-2</v>
      </c>
      <c r="O528" s="586">
        <f t="shared" ref="O528:O591" si="93">L528-M528</f>
        <v>-6.0670542998762969E-2</v>
      </c>
      <c r="P528" s="585">
        <f t="shared" si="86"/>
        <v>-7.4070542998762964E-2</v>
      </c>
      <c r="Q528" s="585">
        <f t="shared" si="87"/>
        <v>-7.0812017989739906E-2</v>
      </c>
      <c r="R528" s="585">
        <f t="shared" si="88"/>
        <v>7.4399999999999994E-2</v>
      </c>
      <c r="S528" s="586">
        <f t="shared" si="89"/>
        <v>-0.1452120179897399</v>
      </c>
      <c r="U528" s="587"/>
      <c r="V528" s="587"/>
      <c r="W528" s="587"/>
      <c r="X528" s="587"/>
      <c r="Y528" s="587"/>
      <c r="Z528" s="587"/>
      <c r="AA528" s="587"/>
      <c r="AB528" s="587"/>
      <c r="AC528" s="587"/>
      <c r="AE528" s="587"/>
      <c r="AF528" s="587"/>
      <c r="AG528" s="587"/>
      <c r="AH528" s="587"/>
      <c r="AI528" s="587"/>
      <c r="AJ528" s="587"/>
      <c r="AK528" s="587"/>
      <c r="AL528" s="587"/>
      <c r="AM528" s="587"/>
      <c r="AO528" s="587"/>
      <c r="AP528" s="587"/>
      <c r="AQ528" s="587"/>
      <c r="AR528" s="587"/>
      <c r="AS528" s="587"/>
      <c r="AT528" s="587"/>
      <c r="AU528" s="587"/>
      <c r="AV528" s="587"/>
      <c r="AW528" s="587"/>
    </row>
    <row r="529" spans="1:49">
      <c r="A529" s="581">
        <v>25447</v>
      </c>
      <c r="B529" s="594">
        <v>-2.3599999999999999E-2</v>
      </c>
      <c r="C529" s="577">
        <v>-3.7200000000000004E-2</v>
      </c>
      <c r="D529" s="577">
        <v>5.4999999999999997E-3</v>
      </c>
      <c r="E529" s="577">
        <v>5.9499999999999996E-3</v>
      </c>
      <c r="F529" s="577">
        <v>6.1333333333333344E-3</v>
      </c>
      <c r="G529" s="577">
        <v>6.0416666666666674E-3</v>
      </c>
      <c r="H529" s="577">
        <v>6.3583333333333339E-3</v>
      </c>
      <c r="I529" s="577">
        <f t="shared" si="90"/>
        <v>-2.9100000000000001E-2</v>
      </c>
      <c r="J529" s="577">
        <f t="shared" si="83"/>
        <v>-2.9641666666666667E-2</v>
      </c>
      <c r="K529" s="577">
        <f t="shared" si="84"/>
        <v>-4.3558333333333338E-2</v>
      </c>
      <c r="L529" s="585">
        <f t="shared" si="91"/>
        <v>-6.4036613638454032E-2</v>
      </c>
      <c r="M529" s="585">
        <f t="shared" si="92"/>
        <v>6.6000000000000003E-2</v>
      </c>
      <c r="N529" s="585">
        <f t="shared" si="85"/>
        <v>7.2500000000000009E-2</v>
      </c>
      <c r="O529" s="586">
        <f t="shared" si="93"/>
        <v>-0.13003661363845403</v>
      </c>
      <c r="P529" s="585">
        <f t="shared" si="86"/>
        <v>-0.13653661363845404</v>
      </c>
      <c r="Q529" s="585">
        <f t="shared" si="87"/>
        <v>-0.11423545635695187</v>
      </c>
      <c r="R529" s="585">
        <f t="shared" si="88"/>
        <v>7.6300000000000007E-2</v>
      </c>
      <c r="S529" s="586">
        <f t="shared" si="89"/>
        <v>-0.19053545635695188</v>
      </c>
      <c r="U529" s="587"/>
      <c r="V529" s="587"/>
      <c r="W529" s="587"/>
      <c r="X529" s="587"/>
      <c r="Y529" s="587"/>
      <c r="Z529" s="587"/>
      <c r="AA529" s="587"/>
      <c r="AB529" s="587"/>
      <c r="AC529" s="587"/>
      <c r="AE529" s="587"/>
      <c r="AF529" s="587"/>
      <c r="AG529" s="587"/>
      <c r="AH529" s="587"/>
      <c r="AI529" s="587"/>
      <c r="AJ529" s="587"/>
      <c r="AK529" s="587"/>
      <c r="AL529" s="587"/>
      <c r="AM529" s="587"/>
      <c r="AO529" s="587"/>
      <c r="AP529" s="587"/>
      <c r="AQ529" s="587"/>
      <c r="AR529" s="587"/>
      <c r="AS529" s="587"/>
      <c r="AT529" s="587"/>
      <c r="AU529" s="587"/>
      <c r="AV529" s="587"/>
      <c r="AW529" s="587"/>
    </row>
    <row r="530" spans="1:49">
      <c r="A530" s="581">
        <v>25477</v>
      </c>
      <c r="B530" s="594">
        <v>4.5900000000000003E-2</v>
      </c>
      <c r="C530" s="577">
        <v>7.980000000000001E-2</v>
      </c>
      <c r="D530" s="577">
        <v>5.7000000000000002E-3</v>
      </c>
      <c r="E530" s="577">
        <v>6.1083333333333337E-3</v>
      </c>
      <c r="F530" s="577">
        <v>6.2750000000000002E-3</v>
      </c>
      <c r="G530" s="577">
        <v>6.1916666666666665E-3</v>
      </c>
      <c r="H530" s="577">
        <v>6.6833333333333337E-3</v>
      </c>
      <c r="I530" s="577">
        <f t="shared" si="90"/>
        <v>4.02E-2</v>
      </c>
      <c r="J530" s="577">
        <f t="shared" si="83"/>
        <v>3.9708333333333339E-2</v>
      </c>
      <c r="K530" s="577">
        <f t="shared" si="84"/>
        <v>7.3116666666666677E-2</v>
      </c>
      <c r="L530" s="585">
        <f t="shared" si="91"/>
        <v>-2.9519078223911088E-2</v>
      </c>
      <c r="M530" s="585">
        <f t="shared" si="92"/>
        <v>6.8400000000000002E-2</v>
      </c>
      <c r="N530" s="585">
        <f t="shared" si="85"/>
        <v>7.4300000000000005E-2</v>
      </c>
      <c r="O530" s="586">
        <f t="shared" si="93"/>
        <v>-9.7919078223911091E-2</v>
      </c>
      <c r="P530" s="585">
        <f t="shared" si="86"/>
        <v>-0.10381907822391109</v>
      </c>
      <c r="Q530" s="585">
        <f t="shared" si="87"/>
        <v>-5.1706767573107881E-2</v>
      </c>
      <c r="R530" s="585">
        <f t="shared" si="88"/>
        <v>8.0200000000000007E-2</v>
      </c>
      <c r="S530" s="586">
        <f t="shared" si="89"/>
        <v>-0.13190676757310787</v>
      </c>
      <c r="U530" s="587"/>
      <c r="V530" s="587"/>
      <c r="W530" s="587"/>
      <c r="X530" s="587"/>
      <c r="Y530" s="587"/>
      <c r="Z530" s="587"/>
      <c r="AA530" s="587"/>
      <c r="AB530" s="587"/>
      <c r="AC530" s="587"/>
      <c r="AE530" s="587"/>
      <c r="AF530" s="587"/>
      <c r="AG530" s="587"/>
      <c r="AH530" s="587"/>
      <c r="AI530" s="587"/>
      <c r="AJ530" s="587"/>
      <c r="AK530" s="587"/>
      <c r="AL530" s="587"/>
      <c r="AM530" s="587"/>
      <c r="AO530" s="587"/>
      <c r="AP530" s="587"/>
      <c r="AQ530" s="587"/>
      <c r="AR530" s="587"/>
      <c r="AS530" s="587"/>
      <c r="AT530" s="587"/>
      <c r="AU530" s="587"/>
      <c r="AV530" s="587"/>
      <c r="AW530" s="587"/>
    </row>
    <row r="531" spans="1:49">
      <c r="A531" s="581">
        <v>25508</v>
      </c>
      <c r="B531" s="594">
        <v>-2.9700000000000001E-2</v>
      </c>
      <c r="C531" s="577">
        <v>-5.8800000000000005E-2</v>
      </c>
      <c r="D531" s="577">
        <v>4.8999999999999998E-3</v>
      </c>
      <c r="E531" s="577">
        <v>6.1249999999999994E-3</v>
      </c>
      <c r="F531" s="577">
        <v>6.3166666666666675E-3</v>
      </c>
      <c r="G531" s="577">
        <v>6.2208333333333334E-3</v>
      </c>
      <c r="H531" s="577">
        <v>6.6666666666666662E-3</v>
      </c>
      <c r="I531" s="577">
        <f t="shared" si="90"/>
        <v>-3.4599999999999999E-2</v>
      </c>
      <c r="J531" s="577">
        <f t="shared" si="83"/>
        <v>-3.5920833333333332E-2</v>
      </c>
      <c r="K531" s="577">
        <f t="shared" si="84"/>
        <v>-6.5466666666666673E-2</v>
      </c>
      <c r="L531" s="585">
        <f t="shared" si="91"/>
        <v>-0.10582315221789074</v>
      </c>
      <c r="M531" s="585">
        <f t="shared" si="92"/>
        <v>5.8799999999999998E-2</v>
      </c>
      <c r="N531" s="585">
        <f t="shared" si="85"/>
        <v>7.4649999999999994E-2</v>
      </c>
      <c r="O531" s="586">
        <f t="shared" si="93"/>
        <v>-0.16462315221789073</v>
      </c>
      <c r="P531" s="585">
        <f t="shared" si="86"/>
        <v>-0.18047315221789073</v>
      </c>
      <c r="Q531" s="585">
        <f t="shared" si="87"/>
        <v>-0.17212355963251003</v>
      </c>
      <c r="R531" s="585">
        <f t="shared" si="88"/>
        <v>7.9999999999999988E-2</v>
      </c>
      <c r="S531" s="586">
        <f t="shared" si="89"/>
        <v>-0.25212355963250999</v>
      </c>
      <c r="U531" s="587"/>
      <c r="V531" s="587"/>
      <c r="W531" s="587"/>
      <c r="X531" s="587"/>
      <c r="Y531" s="587"/>
      <c r="Z531" s="587"/>
      <c r="AA531" s="587"/>
      <c r="AB531" s="587"/>
      <c r="AC531" s="587"/>
      <c r="AE531" s="587"/>
      <c r="AF531" s="587"/>
      <c r="AG531" s="587"/>
      <c r="AH531" s="587"/>
      <c r="AI531" s="587"/>
      <c r="AJ531" s="587"/>
      <c r="AK531" s="587"/>
      <c r="AL531" s="587"/>
      <c r="AM531" s="587"/>
      <c r="AO531" s="587"/>
      <c r="AP531" s="587"/>
      <c r="AQ531" s="587"/>
      <c r="AR531" s="587"/>
      <c r="AS531" s="587"/>
      <c r="AT531" s="587"/>
      <c r="AU531" s="587"/>
      <c r="AV531" s="587"/>
      <c r="AW531" s="587"/>
    </row>
    <row r="532" spans="1:49">
      <c r="A532" s="581">
        <v>25538</v>
      </c>
      <c r="B532" s="594">
        <v>-1.77E-2</v>
      </c>
      <c r="C532" s="577">
        <v>-9.7000000000000003E-3</v>
      </c>
      <c r="D532" s="577">
        <v>6.0000000000000001E-3</v>
      </c>
      <c r="E532" s="577">
        <v>6.4333333333333334E-3</v>
      </c>
      <c r="F532" s="577">
        <v>6.6083333333333324E-3</v>
      </c>
      <c r="G532" s="577">
        <v>6.5208333333333333E-3</v>
      </c>
      <c r="H532" s="577">
        <v>7.1583333333333334E-3</v>
      </c>
      <c r="I532" s="577">
        <f t="shared" si="90"/>
        <v>-2.3699999999999999E-2</v>
      </c>
      <c r="J532" s="577">
        <f t="shared" si="83"/>
        <v>-2.4220833333333334E-2</v>
      </c>
      <c r="K532" s="577">
        <f t="shared" si="84"/>
        <v>-1.6858333333333333E-2</v>
      </c>
      <c r="L532" s="585">
        <f t="shared" si="91"/>
        <v>-8.4861515340314941E-2</v>
      </c>
      <c r="M532" s="585">
        <f t="shared" si="92"/>
        <v>7.2000000000000008E-2</v>
      </c>
      <c r="N532" s="585">
        <f t="shared" si="85"/>
        <v>7.825E-2</v>
      </c>
      <c r="O532" s="586">
        <f t="shared" si="93"/>
        <v>-0.15686151534031495</v>
      </c>
      <c r="P532" s="585">
        <f t="shared" si="86"/>
        <v>-0.16311151534031493</v>
      </c>
      <c r="Q532" s="585">
        <f t="shared" si="87"/>
        <v>-0.1540129616180731</v>
      </c>
      <c r="R532" s="585">
        <f t="shared" si="88"/>
        <v>8.5900000000000004E-2</v>
      </c>
      <c r="S532" s="586">
        <f t="shared" si="89"/>
        <v>-0.2399129616180731</v>
      </c>
      <c r="U532" s="587"/>
      <c r="V532" s="587"/>
      <c r="W532" s="587"/>
      <c r="X532" s="587"/>
      <c r="Y532" s="587"/>
      <c r="Z532" s="587"/>
      <c r="AA532" s="587"/>
      <c r="AB532" s="587"/>
      <c r="AC532" s="587"/>
      <c r="AE532" s="587"/>
      <c r="AF532" s="587"/>
      <c r="AG532" s="587"/>
      <c r="AH532" s="587"/>
      <c r="AI532" s="587"/>
      <c r="AJ532" s="587"/>
      <c r="AK532" s="587"/>
      <c r="AL532" s="587"/>
      <c r="AM532" s="587"/>
      <c r="AO532" s="587"/>
      <c r="AP532" s="587"/>
      <c r="AQ532" s="587"/>
      <c r="AR532" s="587"/>
      <c r="AS532" s="587"/>
      <c r="AT532" s="587"/>
      <c r="AU532" s="587"/>
      <c r="AV532" s="587"/>
      <c r="AW532" s="587"/>
    </row>
    <row r="533" spans="1:49">
      <c r="A533" s="581">
        <v>25569</v>
      </c>
      <c r="B533" s="594">
        <v>-7.4300000000000005E-2</v>
      </c>
      <c r="C533" s="577">
        <v>-4.53E-2</v>
      </c>
      <c r="D533" s="577">
        <v>5.5999999999999991E-3</v>
      </c>
      <c r="E533" s="577">
        <v>6.5916666666666667E-3</v>
      </c>
      <c r="F533" s="577">
        <v>6.7916666666666672E-3</v>
      </c>
      <c r="G533" s="577">
        <v>6.6916666666666669E-3</v>
      </c>
      <c r="H533" s="577">
        <v>7.2416666666666662E-3</v>
      </c>
      <c r="I533" s="577">
        <f t="shared" si="90"/>
        <v>-7.9899999999999999E-2</v>
      </c>
      <c r="J533" s="577">
        <f t="shared" si="83"/>
        <v>-8.099166666666667E-2</v>
      </c>
      <c r="K533" s="577">
        <f t="shared" si="84"/>
        <v>-5.2541666666666667E-2</v>
      </c>
      <c r="L533" s="585">
        <f t="shared" si="91"/>
        <v>-0.14705628750556732</v>
      </c>
      <c r="M533" s="585">
        <f t="shared" si="92"/>
        <v>6.7199999999999982E-2</v>
      </c>
      <c r="N533" s="585">
        <f t="shared" si="85"/>
        <v>8.030000000000001E-2</v>
      </c>
      <c r="O533" s="586">
        <f t="shared" si="93"/>
        <v>-0.2142562875055673</v>
      </c>
      <c r="P533" s="585">
        <f t="shared" si="86"/>
        <v>-0.22735628750556733</v>
      </c>
      <c r="Q533" s="585">
        <f t="shared" si="87"/>
        <v>-0.20575884989357307</v>
      </c>
      <c r="R533" s="585">
        <f t="shared" si="88"/>
        <v>8.6899999999999991E-2</v>
      </c>
      <c r="S533" s="586">
        <f t="shared" si="89"/>
        <v>-0.29265884989357305</v>
      </c>
      <c r="U533" s="587"/>
      <c r="V533" s="587"/>
      <c r="W533" s="587"/>
      <c r="X533" s="587"/>
      <c r="Y533" s="587"/>
      <c r="Z533" s="587"/>
      <c r="AA533" s="587"/>
      <c r="AB533" s="587"/>
      <c r="AC533" s="587"/>
      <c r="AE533" s="587"/>
      <c r="AF533" s="587"/>
      <c r="AG533" s="587"/>
      <c r="AH533" s="587"/>
      <c r="AI533" s="587"/>
      <c r="AJ533" s="587"/>
      <c r="AK533" s="587"/>
      <c r="AL533" s="587"/>
      <c r="AM533" s="587"/>
      <c r="AO533" s="587"/>
      <c r="AP533" s="587"/>
      <c r="AQ533" s="587"/>
      <c r="AR533" s="587"/>
      <c r="AS533" s="587"/>
      <c r="AT533" s="587"/>
      <c r="AU533" s="587"/>
      <c r="AV533" s="587"/>
      <c r="AW533" s="587"/>
    </row>
    <row r="534" spans="1:49">
      <c r="A534" s="581">
        <v>25600</v>
      </c>
      <c r="B534" s="594">
        <v>5.5800000000000002E-2</v>
      </c>
      <c r="C534" s="577">
        <v>0.1053</v>
      </c>
      <c r="D534" s="577">
        <v>5.1999999999999998E-3</v>
      </c>
      <c r="E534" s="577">
        <v>6.6083333333333324E-3</v>
      </c>
      <c r="F534" s="577">
        <v>6.7750000000000006E-3</v>
      </c>
      <c r="G534" s="577">
        <v>6.6916666666666669E-3</v>
      </c>
      <c r="H534" s="577">
        <v>7.0916666666666663E-3</v>
      </c>
      <c r="I534" s="577">
        <f t="shared" si="90"/>
        <v>5.0600000000000006E-2</v>
      </c>
      <c r="J534" s="577">
        <f t="shared" si="83"/>
        <v>4.9108333333333337E-2</v>
      </c>
      <c r="K534" s="577">
        <f t="shared" si="84"/>
        <v>9.8208333333333342E-2</v>
      </c>
      <c r="L534" s="585">
        <f t="shared" si="91"/>
        <v>-5.9392133223707955E-2</v>
      </c>
      <c r="M534" s="585">
        <f t="shared" si="92"/>
        <v>6.2399999999999997E-2</v>
      </c>
      <c r="N534" s="585">
        <f t="shared" si="85"/>
        <v>8.030000000000001E-2</v>
      </c>
      <c r="O534" s="586">
        <f t="shared" si="93"/>
        <v>-0.12179213322370795</v>
      </c>
      <c r="P534" s="585">
        <f t="shared" si="86"/>
        <v>-0.13969213322370796</v>
      </c>
      <c r="Q534" s="585">
        <f t="shared" si="87"/>
        <v>-7.2798116589951722E-2</v>
      </c>
      <c r="R534" s="585">
        <f t="shared" si="88"/>
        <v>8.5099999999999995E-2</v>
      </c>
      <c r="S534" s="586">
        <f t="shared" si="89"/>
        <v>-0.15789811658995173</v>
      </c>
      <c r="U534" s="587"/>
      <c r="V534" s="587"/>
      <c r="W534" s="587"/>
      <c r="X534" s="587"/>
      <c r="Y534" s="587"/>
      <c r="Z534" s="587"/>
      <c r="AA534" s="587"/>
      <c r="AB534" s="587"/>
      <c r="AC534" s="587"/>
      <c r="AE534" s="587"/>
      <c r="AF534" s="587"/>
      <c r="AG534" s="587"/>
      <c r="AH534" s="587"/>
      <c r="AI534" s="587"/>
      <c r="AJ534" s="587"/>
      <c r="AK534" s="587"/>
      <c r="AL534" s="587"/>
      <c r="AM534" s="587"/>
      <c r="AO534" s="587"/>
      <c r="AP534" s="587"/>
      <c r="AQ534" s="587"/>
      <c r="AR534" s="587"/>
      <c r="AS534" s="587"/>
      <c r="AT534" s="587"/>
      <c r="AU534" s="587"/>
      <c r="AV534" s="587"/>
      <c r="AW534" s="587"/>
    </row>
    <row r="535" spans="1:49">
      <c r="A535" s="581">
        <v>25628</v>
      </c>
      <c r="B535" s="594">
        <v>4.4000000000000003E-3</v>
      </c>
      <c r="C535" s="577">
        <v>2.3200000000000002E-2</v>
      </c>
      <c r="D535" s="577">
        <v>5.5999999999999991E-3</v>
      </c>
      <c r="E535" s="577">
        <v>6.5333333333333328E-3</v>
      </c>
      <c r="F535" s="577">
        <v>6.7166666666666677E-3</v>
      </c>
      <c r="G535" s="577">
        <v>6.6250000000000007E-3</v>
      </c>
      <c r="H535" s="577">
        <v>6.9249999999999997E-3</v>
      </c>
      <c r="I535" s="577">
        <f t="shared" si="90"/>
        <v>-1.1999999999999988E-3</v>
      </c>
      <c r="J535" s="577">
        <f t="shared" si="83"/>
        <v>-2.2250000000000004E-3</v>
      </c>
      <c r="K535" s="577">
        <f t="shared" si="84"/>
        <v>1.6275000000000001E-2</v>
      </c>
      <c r="L535" s="585">
        <f t="shared" si="91"/>
        <v>-8.7994457582674102E-2</v>
      </c>
      <c r="M535" s="585">
        <f t="shared" si="92"/>
        <v>6.7199999999999982E-2</v>
      </c>
      <c r="N535" s="585">
        <f t="shared" si="85"/>
        <v>7.9500000000000015E-2</v>
      </c>
      <c r="O535" s="586">
        <f t="shared" si="93"/>
        <v>-0.15519445758267408</v>
      </c>
      <c r="P535" s="585">
        <f t="shared" si="86"/>
        <v>-0.16749445758267412</v>
      </c>
      <c r="Q535" s="585">
        <f t="shared" si="87"/>
        <v>-4.2091107527098437E-2</v>
      </c>
      <c r="R535" s="585">
        <f t="shared" si="88"/>
        <v>8.3099999999999993E-2</v>
      </c>
      <c r="S535" s="586">
        <f t="shared" si="89"/>
        <v>-0.12519110752709844</v>
      </c>
      <c r="U535" s="587"/>
      <c r="V535" s="587"/>
      <c r="W535" s="587"/>
      <c r="X535" s="587"/>
      <c r="Y535" s="587"/>
      <c r="Z535" s="587"/>
      <c r="AA535" s="587"/>
      <c r="AB535" s="587"/>
      <c r="AC535" s="587"/>
      <c r="AE535" s="587"/>
      <c r="AF535" s="587"/>
      <c r="AG535" s="587"/>
      <c r="AH535" s="587"/>
      <c r="AI535" s="587"/>
      <c r="AJ535" s="587"/>
      <c r="AK535" s="587"/>
      <c r="AL535" s="587"/>
      <c r="AM535" s="587"/>
      <c r="AO535" s="587"/>
      <c r="AP535" s="587"/>
      <c r="AQ535" s="587"/>
      <c r="AR535" s="587"/>
      <c r="AS535" s="587"/>
      <c r="AT535" s="587"/>
      <c r="AU535" s="587"/>
      <c r="AV535" s="587"/>
      <c r="AW535" s="587"/>
    </row>
    <row r="536" spans="1:49">
      <c r="A536" s="581">
        <v>25659</v>
      </c>
      <c r="B536" s="594">
        <v>-8.7499999999999994E-2</v>
      </c>
      <c r="C536" s="577">
        <v>-9.2899999999999996E-2</v>
      </c>
      <c r="D536" s="577">
        <v>5.4000000000000003E-3</v>
      </c>
      <c r="E536" s="577">
        <v>6.5249999999999996E-3</v>
      </c>
      <c r="F536" s="577">
        <v>6.6916666666666661E-3</v>
      </c>
      <c r="G536" s="577">
        <v>6.6083333333333324E-3</v>
      </c>
      <c r="H536" s="577">
        <v>6.9249999999999997E-3</v>
      </c>
      <c r="I536" s="577">
        <f t="shared" si="90"/>
        <v>-9.2899999999999996E-2</v>
      </c>
      <c r="J536" s="577">
        <f t="shared" si="83"/>
        <v>-9.4108333333333322E-2</v>
      </c>
      <c r="K536" s="577">
        <f t="shared" si="84"/>
        <v>-9.9824999999999997E-2</v>
      </c>
      <c r="L536" s="585">
        <f t="shared" si="91"/>
        <v>-0.1864257919094634</v>
      </c>
      <c r="M536" s="585">
        <f t="shared" si="92"/>
        <v>6.4799999999999996E-2</v>
      </c>
      <c r="N536" s="585">
        <f t="shared" si="85"/>
        <v>7.9299999999999982E-2</v>
      </c>
      <c r="O536" s="586">
        <f t="shared" si="93"/>
        <v>-0.25122579190946337</v>
      </c>
      <c r="P536" s="585">
        <f t="shared" si="86"/>
        <v>-0.26572579190946338</v>
      </c>
      <c r="Q536" s="585">
        <f t="shared" si="87"/>
        <v>-0.14299323763470873</v>
      </c>
      <c r="R536" s="585">
        <f t="shared" si="88"/>
        <v>8.3099999999999993E-2</v>
      </c>
      <c r="S536" s="586">
        <f t="shared" si="89"/>
        <v>-0.22609323763470873</v>
      </c>
      <c r="U536" s="587"/>
      <c r="V536" s="587"/>
      <c r="W536" s="587"/>
      <c r="X536" s="587"/>
      <c r="Y536" s="587"/>
      <c r="Z536" s="587"/>
      <c r="AA536" s="587"/>
      <c r="AB536" s="587"/>
      <c r="AC536" s="587"/>
      <c r="AE536" s="587"/>
      <c r="AF536" s="587"/>
      <c r="AG536" s="587"/>
      <c r="AH536" s="587"/>
      <c r="AI536" s="587"/>
      <c r="AJ536" s="587"/>
      <c r="AK536" s="587"/>
      <c r="AL536" s="587"/>
      <c r="AM536" s="587"/>
      <c r="AO536" s="587"/>
      <c r="AP536" s="587"/>
      <c r="AQ536" s="587"/>
      <c r="AR536" s="587"/>
      <c r="AS536" s="587"/>
      <c r="AT536" s="587"/>
      <c r="AU536" s="587"/>
      <c r="AV536" s="587"/>
      <c r="AW536" s="587"/>
    </row>
    <row r="537" spans="1:49">
      <c r="A537" s="581">
        <v>25689</v>
      </c>
      <c r="B537" s="594">
        <v>-5.7799999999999997E-2</v>
      </c>
      <c r="C537" s="577">
        <v>-5.1499999999999997E-2</v>
      </c>
      <c r="D537" s="577">
        <v>5.4999999999999997E-3</v>
      </c>
      <c r="E537" s="577">
        <v>6.7583333333333332E-3</v>
      </c>
      <c r="F537" s="577">
        <v>6.8666666666666668E-3</v>
      </c>
      <c r="G537" s="577">
        <v>6.8124999999999991E-3</v>
      </c>
      <c r="H537" s="577">
        <v>7.2250000000000005E-3</v>
      </c>
      <c r="I537" s="577">
        <f t="shared" si="90"/>
        <v>-6.3299999999999995E-2</v>
      </c>
      <c r="J537" s="577">
        <f t="shared" si="83"/>
        <v>-6.4612499999999989E-2</v>
      </c>
      <c r="K537" s="577">
        <f t="shared" si="84"/>
        <v>-5.8724999999999999E-2</v>
      </c>
      <c r="L537" s="585">
        <f t="shared" si="91"/>
        <v>-0.23543824170865391</v>
      </c>
      <c r="M537" s="585">
        <f t="shared" si="92"/>
        <v>6.6000000000000003E-2</v>
      </c>
      <c r="N537" s="585">
        <f t="shared" si="85"/>
        <v>8.1749999999999989E-2</v>
      </c>
      <c r="O537" s="586">
        <f t="shared" si="93"/>
        <v>-0.30143824170865391</v>
      </c>
      <c r="P537" s="585">
        <f t="shared" si="86"/>
        <v>-0.3171882417086539</v>
      </c>
      <c r="Q537" s="585">
        <f t="shared" si="87"/>
        <v>-0.1866410705388446</v>
      </c>
      <c r="R537" s="585">
        <f t="shared" si="88"/>
        <v>8.6699999999999999E-2</v>
      </c>
      <c r="S537" s="586">
        <f t="shared" si="89"/>
        <v>-0.2733410705388446</v>
      </c>
      <c r="U537" s="587"/>
      <c r="V537" s="587"/>
      <c r="W537" s="587"/>
      <c r="X537" s="587"/>
      <c r="Y537" s="587"/>
      <c r="Z537" s="587"/>
      <c r="AA537" s="587"/>
      <c r="AB537" s="587"/>
      <c r="AC537" s="587"/>
      <c r="AE537" s="587"/>
      <c r="AF537" s="587"/>
      <c r="AG537" s="587"/>
      <c r="AH537" s="587"/>
      <c r="AI537" s="587"/>
      <c r="AJ537" s="587"/>
      <c r="AK537" s="587"/>
      <c r="AL537" s="587"/>
      <c r="AM537" s="587"/>
      <c r="AO537" s="587"/>
      <c r="AP537" s="587"/>
      <c r="AQ537" s="587"/>
      <c r="AR537" s="587"/>
      <c r="AS537" s="587"/>
      <c r="AT537" s="587"/>
      <c r="AU537" s="587"/>
      <c r="AV537" s="587"/>
      <c r="AW537" s="587"/>
    </row>
    <row r="538" spans="1:49">
      <c r="A538" s="581">
        <v>25720</v>
      </c>
      <c r="B538" s="594">
        <v>-4.6600000000000003E-2</v>
      </c>
      <c r="C538" s="577">
        <v>-5.8199999999999995E-2</v>
      </c>
      <c r="D538" s="577">
        <v>6.4000000000000003E-3</v>
      </c>
      <c r="E538" s="577">
        <v>7.0666666666666664E-3</v>
      </c>
      <c r="F538" s="577">
        <v>7.1500000000000001E-3</v>
      </c>
      <c r="G538" s="577">
        <v>7.1083333333333328E-3</v>
      </c>
      <c r="H538" s="577">
        <v>7.5333333333333329E-3</v>
      </c>
      <c r="I538" s="577">
        <f t="shared" si="90"/>
        <v>-5.3000000000000005E-2</v>
      </c>
      <c r="J538" s="577">
        <f t="shared" si="83"/>
        <v>-5.3708333333333337E-2</v>
      </c>
      <c r="K538" s="577">
        <f t="shared" si="84"/>
        <v>-6.5733333333333324E-2</v>
      </c>
      <c r="L538" s="585">
        <f t="shared" si="91"/>
        <v>-0.22929458621804877</v>
      </c>
      <c r="M538" s="585">
        <f t="shared" si="92"/>
        <v>7.6800000000000007E-2</v>
      </c>
      <c r="N538" s="585">
        <f t="shared" si="85"/>
        <v>8.5299999999999987E-2</v>
      </c>
      <c r="O538" s="586">
        <f t="shared" si="93"/>
        <v>-0.30609458621804875</v>
      </c>
      <c r="P538" s="585">
        <f t="shared" si="86"/>
        <v>-0.31459458621804876</v>
      </c>
      <c r="Q538" s="585">
        <f t="shared" si="87"/>
        <v>-0.19230130771139153</v>
      </c>
      <c r="R538" s="585">
        <f t="shared" si="88"/>
        <v>9.0399999999999994E-2</v>
      </c>
      <c r="S538" s="586">
        <f t="shared" si="89"/>
        <v>-0.28270130771139151</v>
      </c>
      <c r="U538" s="587"/>
      <c r="V538" s="587"/>
      <c r="W538" s="587"/>
      <c r="X538" s="587"/>
      <c r="Y538" s="587"/>
      <c r="Z538" s="587"/>
      <c r="AA538" s="587"/>
      <c r="AB538" s="587"/>
      <c r="AC538" s="587"/>
      <c r="AE538" s="587"/>
      <c r="AF538" s="587"/>
      <c r="AG538" s="587"/>
      <c r="AH538" s="587"/>
      <c r="AI538" s="587"/>
      <c r="AJ538" s="587"/>
      <c r="AK538" s="587"/>
      <c r="AL538" s="587"/>
      <c r="AM538" s="587"/>
      <c r="AO538" s="587"/>
      <c r="AP538" s="587"/>
      <c r="AQ538" s="587"/>
      <c r="AR538" s="587"/>
      <c r="AS538" s="587"/>
      <c r="AT538" s="587"/>
      <c r="AU538" s="587"/>
      <c r="AV538" s="587"/>
      <c r="AW538" s="587"/>
    </row>
    <row r="539" spans="1:49">
      <c r="A539" s="581">
        <v>25750</v>
      </c>
      <c r="B539" s="594">
        <v>7.6899999999999996E-2</v>
      </c>
      <c r="C539" s="577">
        <v>9.7299999999999998E-2</v>
      </c>
      <c r="D539" s="577">
        <v>5.8999999999999999E-3</v>
      </c>
      <c r="E539" s="577">
        <v>7.0333333333333324E-3</v>
      </c>
      <c r="F539" s="577">
        <v>7.2000000000000007E-3</v>
      </c>
      <c r="G539" s="577">
        <v>7.116666666666667E-3</v>
      </c>
      <c r="H539" s="577">
        <v>7.5500000000000003E-3</v>
      </c>
      <c r="I539" s="577">
        <f t="shared" si="90"/>
        <v>7.0999999999999994E-2</v>
      </c>
      <c r="J539" s="577">
        <f t="shared" si="83"/>
        <v>6.9783333333333336E-2</v>
      </c>
      <c r="K539" s="577">
        <f t="shared" si="84"/>
        <v>8.9749999999999996E-2</v>
      </c>
      <c r="L539" s="585">
        <f t="shared" si="91"/>
        <v>-0.11826977573379016</v>
      </c>
      <c r="M539" s="585">
        <f t="shared" si="92"/>
        <v>7.0800000000000002E-2</v>
      </c>
      <c r="N539" s="585">
        <f t="shared" si="85"/>
        <v>8.5400000000000004E-2</v>
      </c>
      <c r="O539" s="586">
        <f t="shared" si="93"/>
        <v>-0.18906977573379016</v>
      </c>
      <c r="P539" s="585">
        <f t="shared" si="86"/>
        <v>-0.20366977573379016</v>
      </c>
      <c r="Q539" s="585">
        <f t="shared" si="87"/>
        <v>-8.0328136299377406E-2</v>
      </c>
      <c r="R539" s="585">
        <f t="shared" si="88"/>
        <v>9.06E-2</v>
      </c>
      <c r="S539" s="586">
        <f t="shared" si="89"/>
        <v>-0.17092813629937742</v>
      </c>
      <c r="U539" s="587"/>
      <c r="V539" s="587"/>
      <c r="W539" s="587"/>
      <c r="X539" s="587"/>
      <c r="Y539" s="587"/>
      <c r="Z539" s="587"/>
      <c r="AA539" s="587"/>
      <c r="AB539" s="587"/>
      <c r="AC539" s="587"/>
      <c r="AE539" s="587"/>
      <c r="AF539" s="587"/>
      <c r="AG539" s="587"/>
      <c r="AH539" s="587"/>
      <c r="AI539" s="587"/>
      <c r="AJ539" s="587"/>
      <c r="AK539" s="587"/>
      <c r="AL539" s="587"/>
      <c r="AM539" s="587"/>
      <c r="AO539" s="587"/>
      <c r="AP539" s="587"/>
      <c r="AQ539" s="587"/>
      <c r="AR539" s="587"/>
      <c r="AS539" s="587"/>
      <c r="AT539" s="587"/>
      <c r="AU539" s="587"/>
      <c r="AV539" s="587"/>
      <c r="AW539" s="587"/>
    </row>
    <row r="540" spans="1:49">
      <c r="A540" s="581">
        <v>25781</v>
      </c>
      <c r="B540" s="594">
        <v>4.7800000000000002E-2</v>
      </c>
      <c r="C540" s="577">
        <v>5.8099999999999999E-2</v>
      </c>
      <c r="D540" s="577">
        <v>5.7000000000000002E-3</v>
      </c>
      <c r="E540" s="577">
        <v>6.7750000000000006E-3</v>
      </c>
      <c r="F540" s="577">
        <v>7.0750000000000006E-3</v>
      </c>
      <c r="G540" s="577">
        <v>6.9250000000000015E-3</v>
      </c>
      <c r="H540" s="577">
        <v>7.4000000000000012E-3</v>
      </c>
      <c r="I540" s="577">
        <f t="shared" si="90"/>
        <v>4.2099999999999999E-2</v>
      </c>
      <c r="J540" s="577">
        <f t="shared" si="83"/>
        <v>4.0875000000000002E-2</v>
      </c>
      <c r="K540" s="577">
        <f t="shared" si="84"/>
        <v>5.0699999999999995E-2</v>
      </c>
      <c r="L540" s="585">
        <f t="shared" si="91"/>
        <v>-0.11624552421452583</v>
      </c>
      <c r="M540" s="585">
        <f t="shared" si="92"/>
        <v>6.8400000000000002E-2</v>
      </c>
      <c r="N540" s="585">
        <f t="shared" si="85"/>
        <v>8.3100000000000021E-2</v>
      </c>
      <c r="O540" s="586">
        <f t="shared" si="93"/>
        <v>-0.18464552421452585</v>
      </c>
      <c r="P540" s="585">
        <f t="shared" si="86"/>
        <v>-0.19934552421452584</v>
      </c>
      <c r="Q540" s="585">
        <f t="shared" si="87"/>
        <v>-1.5673883287852686E-2</v>
      </c>
      <c r="R540" s="585">
        <f t="shared" si="88"/>
        <v>8.8800000000000018E-2</v>
      </c>
      <c r="S540" s="586">
        <f t="shared" si="89"/>
        <v>-0.1044738832878527</v>
      </c>
      <c r="U540" s="587"/>
      <c r="V540" s="587"/>
      <c r="W540" s="587"/>
      <c r="X540" s="587"/>
      <c r="Y540" s="587"/>
      <c r="Z540" s="587"/>
      <c r="AA540" s="587"/>
      <c r="AB540" s="587"/>
      <c r="AC540" s="587"/>
      <c r="AE540" s="587"/>
      <c r="AF540" s="587"/>
      <c r="AG540" s="587"/>
      <c r="AH540" s="587"/>
      <c r="AI540" s="587"/>
      <c r="AJ540" s="587"/>
      <c r="AK540" s="587"/>
      <c r="AL540" s="587"/>
      <c r="AM540" s="587"/>
      <c r="AO540" s="587"/>
      <c r="AP540" s="587"/>
      <c r="AQ540" s="587"/>
      <c r="AR540" s="587"/>
      <c r="AS540" s="587"/>
      <c r="AT540" s="587"/>
      <c r="AU540" s="587"/>
      <c r="AV540" s="587"/>
      <c r="AW540" s="587"/>
    </row>
    <row r="541" spans="1:49">
      <c r="A541" s="581">
        <v>25812</v>
      </c>
      <c r="B541" s="594">
        <v>3.6200000000000003E-2</v>
      </c>
      <c r="C541" s="577">
        <v>-1.14E-2</v>
      </c>
      <c r="D541" s="577">
        <v>5.5999999999999991E-3</v>
      </c>
      <c r="E541" s="577">
        <v>6.7416666666666666E-3</v>
      </c>
      <c r="F541" s="577">
        <v>7.058333333333334E-3</v>
      </c>
      <c r="G541" s="577">
        <v>6.9000000000000008E-3</v>
      </c>
      <c r="H541" s="577">
        <v>7.3499999999999998E-3</v>
      </c>
      <c r="I541" s="577">
        <f t="shared" si="90"/>
        <v>3.0600000000000002E-2</v>
      </c>
      <c r="J541" s="577">
        <f t="shared" ref="J541:J604" si="94">B541-G541</f>
        <v>2.9300000000000003E-2</v>
      </c>
      <c r="K541" s="577">
        <f t="shared" ref="K541:K604" si="95">$C541-H541</f>
        <v>-1.8749999999999999E-2</v>
      </c>
      <c r="L541" s="585">
        <f t="shared" si="91"/>
        <v>-6.2119635591040612E-2</v>
      </c>
      <c r="M541" s="585">
        <f t="shared" si="92"/>
        <v>6.7199999999999982E-2</v>
      </c>
      <c r="N541" s="585">
        <f t="shared" si="85"/>
        <v>8.2800000000000012E-2</v>
      </c>
      <c r="O541" s="586">
        <f t="shared" si="93"/>
        <v>-0.12931963559104059</v>
      </c>
      <c r="P541" s="585">
        <f t="shared" si="86"/>
        <v>-0.14491963559104062</v>
      </c>
      <c r="Q541" s="585">
        <f t="shared" si="87"/>
        <v>1.070294867223609E-2</v>
      </c>
      <c r="R541" s="585">
        <f t="shared" si="88"/>
        <v>8.8200000000000001E-2</v>
      </c>
      <c r="S541" s="586">
        <f t="shared" si="89"/>
        <v>-7.7497051327763911E-2</v>
      </c>
      <c r="U541" s="587"/>
      <c r="V541" s="587"/>
      <c r="W541" s="587"/>
      <c r="X541" s="587"/>
      <c r="Y541" s="587"/>
      <c r="Z541" s="587"/>
      <c r="AA541" s="587"/>
      <c r="AB541" s="587"/>
      <c r="AC541" s="587"/>
      <c r="AE541" s="587"/>
      <c r="AF541" s="587"/>
      <c r="AG541" s="587"/>
      <c r="AH541" s="587"/>
      <c r="AI541" s="587"/>
      <c r="AJ541" s="587"/>
      <c r="AK541" s="587"/>
      <c r="AL541" s="587"/>
      <c r="AM541" s="587"/>
      <c r="AO541" s="587"/>
      <c r="AP541" s="587"/>
      <c r="AQ541" s="587"/>
      <c r="AR541" s="587"/>
      <c r="AS541" s="587"/>
      <c r="AT541" s="587"/>
      <c r="AU541" s="587"/>
      <c r="AV541" s="587"/>
      <c r="AW541" s="587"/>
    </row>
    <row r="542" spans="1:49">
      <c r="A542" s="581">
        <v>25842</v>
      </c>
      <c r="B542" s="594">
        <v>-8.3000000000000001E-3</v>
      </c>
      <c r="C542" s="577">
        <v>-1.4900000000000002E-2</v>
      </c>
      <c r="D542" s="577">
        <v>5.4999999999999997E-3</v>
      </c>
      <c r="E542" s="577">
        <v>6.6916666666666661E-3</v>
      </c>
      <c r="F542" s="577">
        <v>7.0333333333333324E-3</v>
      </c>
      <c r="G542" s="577">
        <v>6.8624999999999988E-3</v>
      </c>
      <c r="H542" s="577">
        <v>7.3000000000000001E-3</v>
      </c>
      <c r="I542" s="577">
        <f t="shared" si="90"/>
        <v>-1.38E-2</v>
      </c>
      <c r="J542" s="577">
        <f t="shared" si="94"/>
        <v>-1.5162499999999999E-2</v>
      </c>
      <c r="K542" s="577">
        <f t="shared" si="95"/>
        <v>-2.2200000000000001E-2</v>
      </c>
      <c r="L542" s="585">
        <f t="shared" si="91"/>
        <v>-0.1107219070806339</v>
      </c>
      <c r="M542" s="585">
        <f t="shared" si="92"/>
        <v>6.6000000000000003E-2</v>
      </c>
      <c r="N542" s="585">
        <f t="shared" si="85"/>
        <v>8.2349999999999979E-2</v>
      </c>
      <c r="O542" s="586">
        <f t="shared" si="93"/>
        <v>-0.1767219070806339</v>
      </c>
      <c r="P542" s="585">
        <f t="shared" si="86"/>
        <v>-0.19307190708063388</v>
      </c>
      <c r="Q542" s="585">
        <f t="shared" si="87"/>
        <v>-7.7937141380792996E-2</v>
      </c>
      <c r="R542" s="585">
        <f t="shared" si="88"/>
        <v>8.7599999999999997E-2</v>
      </c>
      <c r="S542" s="586">
        <f t="shared" si="89"/>
        <v>-0.16553714138079301</v>
      </c>
      <c r="U542" s="587"/>
      <c r="V542" s="587"/>
      <c r="W542" s="587"/>
      <c r="X542" s="587"/>
      <c r="Y542" s="587"/>
      <c r="Z542" s="587"/>
      <c r="AA542" s="587"/>
      <c r="AB542" s="587"/>
      <c r="AC542" s="587"/>
      <c r="AE542" s="587"/>
      <c r="AF542" s="587"/>
      <c r="AG542" s="587"/>
      <c r="AH542" s="587"/>
      <c r="AI542" s="587"/>
      <c r="AJ542" s="587"/>
      <c r="AK542" s="587"/>
      <c r="AL542" s="587"/>
      <c r="AM542" s="587"/>
      <c r="AO542" s="587"/>
      <c r="AP542" s="587"/>
      <c r="AQ542" s="587"/>
      <c r="AR542" s="587"/>
      <c r="AS542" s="587"/>
      <c r="AT542" s="587"/>
      <c r="AU542" s="587"/>
      <c r="AV542" s="587"/>
      <c r="AW542" s="587"/>
    </row>
    <row r="543" spans="1:49">
      <c r="A543" s="581">
        <v>25873</v>
      </c>
      <c r="B543" s="594">
        <v>5.0599999999999999E-2</v>
      </c>
      <c r="C543" s="577">
        <v>9.7500000000000003E-2</v>
      </c>
      <c r="D543" s="577">
        <v>5.7999999999999996E-3</v>
      </c>
      <c r="E543" s="577">
        <v>6.7083333333333335E-3</v>
      </c>
      <c r="F543" s="577">
        <v>7.0166666666666667E-3</v>
      </c>
      <c r="G543" s="577">
        <v>6.8625000000000005E-3</v>
      </c>
      <c r="H543" s="577">
        <v>7.324999999999999E-3</v>
      </c>
      <c r="I543" s="577">
        <f t="shared" si="90"/>
        <v>4.48E-2</v>
      </c>
      <c r="J543" s="577">
        <f t="shared" si="94"/>
        <v>4.3737499999999999E-2</v>
      </c>
      <c r="K543" s="577">
        <f t="shared" si="95"/>
        <v>9.0175000000000005E-2</v>
      </c>
      <c r="L543" s="585">
        <f t="shared" si="91"/>
        <v>-3.712711076874553E-2</v>
      </c>
      <c r="M543" s="585">
        <f t="shared" si="92"/>
        <v>6.9599999999999995E-2</v>
      </c>
      <c r="N543" s="585">
        <f t="shared" si="85"/>
        <v>8.2350000000000007E-2</v>
      </c>
      <c r="O543" s="586">
        <f t="shared" si="93"/>
        <v>-0.10672711076874553</v>
      </c>
      <c r="P543" s="585">
        <f t="shared" si="86"/>
        <v>-0.11947711076874554</v>
      </c>
      <c r="Q543" s="585">
        <f t="shared" si="87"/>
        <v>7.5184856921567622E-2</v>
      </c>
      <c r="R543" s="585">
        <f t="shared" si="88"/>
        <v>8.7899999999999992E-2</v>
      </c>
      <c r="S543" s="586">
        <f t="shared" si="89"/>
        <v>-1.271514307843237E-2</v>
      </c>
      <c r="U543" s="587"/>
      <c r="V543" s="587"/>
      <c r="W543" s="587"/>
      <c r="X543" s="587"/>
      <c r="Y543" s="587"/>
      <c r="Z543" s="587"/>
      <c r="AA543" s="587"/>
      <c r="AB543" s="587"/>
      <c r="AC543" s="587"/>
      <c r="AE543" s="587"/>
      <c r="AF543" s="587"/>
      <c r="AG543" s="587"/>
      <c r="AH543" s="587"/>
      <c r="AI543" s="587"/>
      <c r="AJ543" s="587"/>
      <c r="AK543" s="587"/>
      <c r="AL543" s="587"/>
      <c r="AM543" s="587"/>
      <c r="AO543" s="587"/>
      <c r="AP543" s="587"/>
      <c r="AQ543" s="587"/>
      <c r="AR543" s="587"/>
      <c r="AS543" s="587"/>
      <c r="AT543" s="587"/>
      <c r="AU543" s="587"/>
      <c r="AV543" s="587"/>
      <c r="AW543" s="587"/>
    </row>
    <row r="544" spans="1:49">
      <c r="A544" s="581">
        <v>25903</v>
      </c>
      <c r="B544" s="594">
        <v>5.9700000000000003E-2</v>
      </c>
      <c r="C544" s="577">
        <v>7.350000000000001E-2</v>
      </c>
      <c r="D544" s="577">
        <v>5.3E-3</v>
      </c>
      <c r="E544" s="577">
        <v>6.3666666666666663E-3</v>
      </c>
      <c r="F544" s="577">
        <v>6.7750000000000006E-3</v>
      </c>
      <c r="G544" s="577">
        <v>6.5708333333333339E-3</v>
      </c>
      <c r="H544" s="577">
        <v>7.0666666666666664E-3</v>
      </c>
      <c r="I544" s="577">
        <f t="shared" si="90"/>
        <v>5.4400000000000004E-2</v>
      </c>
      <c r="J544" s="577">
        <f t="shared" si="94"/>
        <v>5.3129166666666672E-2</v>
      </c>
      <c r="K544" s="577">
        <f t="shared" si="95"/>
        <v>6.6433333333333344E-2</v>
      </c>
      <c r="L544" s="585">
        <f t="shared" si="91"/>
        <v>3.8742136535030225E-2</v>
      </c>
      <c r="M544" s="585">
        <f t="shared" si="92"/>
        <v>6.3600000000000004E-2</v>
      </c>
      <c r="N544" s="585">
        <f t="shared" si="85"/>
        <v>7.8850000000000003E-2</v>
      </c>
      <c r="O544" s="586">
        <f t="shared" si="93"/>
        <v>-2.4857863464969779E-2</v>
      </c>
      <c r="P544" s="585">
        <f t="shared" si="86"/>
        <v>-4.0107863464969778E-2</v>
      </c>
      <c r="Q544" s="585">
        <f t="shared" si="87"/>
        <v>0.16551645350429456</v>
      </c>
      <c r="R544" s="585">
        <f t="shared" si="88"/>
        <v>8.48E-2</v>
      </c>
      <c r="S544" s="586">
        <f t="shared" si="89"/>
        <v>8.0716453504294558E-2</v>
      </c>
      <c r="U544" s="587"/>
      <c r="V544" s="587"/>
      <c r="W544" s="587"/>
      <c r="X544" s="587"/>
      <c r="Y544" s="587"/>
      <c r="Z544" s="587"/>
      <c r="AA544" s="587"/>
      <c r="AB544" s="587"/>
      <c r="AC544" s="587"/>
      <c r="AE544" s="587"/>
      <c r="AF544" s="587"/>
      <c r="AG544" s="587"/>
      <c r="AH544" s="587"/>
      <c r="AI544" s="587"/>
      <c r="AJ544" s="587"/>
      <c r="AK544" s="587"/>
      <c r="AL544" s="587"/>
      <c r="AM544" s="587"/>
      <c r="AO544" s="587"/>
      <c r="AP544" s="587"/>
      <c r="AQ544" s="587"/>
      <c r="AR544" s="587"/>
      <c r="AS544" s="587"/>
      <c r="AT544" s="587"/>
      <c r="AU544" s="587"/>
      <c r="AV544" s="587"/>
      <c r="AW544" s="587"/>
    </row>
    <row r="545" spans="1:49">
      <c r="A545" s="581">
        <v>25934</v>
      </c>
      <c r="B545" s="594">
        <v>4.3200000000000002E-2</v>
      </c>
      <c r="C545" s="577">
        <v>2.5700000000000004E-2</v>
      </c>
      <c r="D545" s="577">
        <v>5.1000000000000004E-3</v>
      </c>
      <c r="E545" s="577">
        <v>6.1333333333333344E-3</v>
      </c>
      <c r="F545" s="577">
        <v>6.5833333333333334E-3</v>
      </c>
      <c r="G545" s="577">
        <v>6.3583333333333339E-3</v>
      </c>
      <c r="H545" s="577">
        <v>6.7916666666666672E-3</v>
      </c>
      <c r="I545" s="577">
        <f t="shared" si="90"/>
        <v>3.8100000000000002E-2</v>
      </c>
      <c r="J545" s="577">
        <f t="shared" si="94"/>
        <v>3.6841666666666668E-2</v>
      </c>
      <c r="K545" s="577">
        <f t="shared" si="95"/>
        <v>1.8908333333333336E-2</v>
      </c>
      <c r="L545" s="585">
        <f t="shared" si="91"/>
        <v>0.1705906847070795</v>
      </c>
      <c r="M545" s="585">
        <f t="shared" si="92"/>
        <v>6.1200000000000004E-2</v>
      </c>
      <c r="N545" s="585">
        <f t="shared" si="85"/>
        <v>7.6300000000000007E-2</v>
      </c>
      <c r="O545" s="586">
        <f t="shared" si="93"/>
        <v>0.10939068470707949</v>
      </c>
      <c r="P545" s="585">
        <f t="shared" si="86"/>
        <v>9.4290684707079492E-2</v>
      </c>
      <c r="Q545" s="585">
        <f t="shared" si="87"/>
        <v>0.252194643719865</v>
      </c>
      <c r="R545" s="585">
        <f t="shared" si="88"/>
        <v>8.1500000000000003E-2</v>
      </c>
      <c r="S545" s="586">
        <f t="shared" si="89"/>
        <v>0.17069464371986498</v>
      </c>
      <c r="U545" s="587"/>
      <c r="V545" s="587"/>
      <c r="W545" s="587"/>
      <c r="X545" s="587"/>
      <c r="Y545" s="587"/>
      <c r="Z545" s="587"/>
      <c r="AA545" s="587"/>
      <c r="AB545" s="587"/>
      <c r="AC545" s="587"/>
      <c r="AE545" s="587"/>
      <c r="AF545" s="587"/>
      <c r="AG545" s="587"/>
      <c r="AH545" s="587"/>
      <c r="AI545" s="587"/>
      <c r="AJ545" s="587"/>
      <c r="AK545" s="587"/>
      <c r="AL545" s="587"/>
      <c r="AM545" s="587"/>
      <c r="AO545" s="587"/>
      <c r="AP545" s="587"/>
      <c r="AQ545" s="587"/>
      <c r="AR545" s="587"/>
      <c r="AS545" s="587"/>
      <c r="AT545" s="587"/>
      <c r="AU545" s="587"/>
      <c r="AV545" s="587"/>
      <c r="AW545" s="587"/>
    </row>
    <row r="546" spans="1:49">
      <c r="A546" s="581">
        <v>25965</v>
      </c>
      <c r="B546" s="594">
        <v>1.17E-2</v>
      </c>
      <c r="C546" s="577">
        <v>-2.7699999999999999E-2</v>
      </c>
      <c r="D546" s="577">
        <v>4.5999999999999999E-3</v>
      </c>
      <c r="E546" s="577">
        <v>5.8999999999999999E-3</v>
      </c>
      <c r="F546" s="577">
        <v>6.391666666666667E-3</v>
      </c>
      <c r="G546" s="577">
        <v>6.145833333333333E-3</v>
      </c>
      <c r="H546" s="577">
        <v>6.575000000000001E-3</v>
      </c>
      <c r="I546" s="577">
        <f t="shared" si="90"/>
        <v>7.1000000000000004E-3</v>
      </c>
      <c r="J546" s="577">
        <f t="shared" si="94"/>
        <v>5.5541666666666673E-3</v>
      </c>
      <c r="K546" s="577">
        <f t="shared" si="95"/>
        <v>-3.4275E-2</v>
      </c>
      <c r="L546" s="585">
        <f t="shared" si="91"/>
        <v>0.1216959610893662</v>
      </c>
      <c r="M546" s="585">
        <f t="shared" si="92"/>
        <v>5.5199999999999999E-2</v>
      </c>
      <c r="N546" s="585">
        <f t="shared" si="85"/>
        <v>7.3749999999999996E-2</v>
      </c>
      <c r="O546" s="586">
        <f t="shared" si="93"/>
        <v>6.6495961089366201E-2</v>
      </c>
      <c r="P546" s="585">
        <f t="shared" si="86"/>
        <v>4.7945961089366204E-2</v>
      </c>
      <c r="Q546" s="585">
        <f t="shared" si="87"/>
        <v>0.10151891078333919</v>
      </c>
      <c r="R546" s="585">
        <f t="shared" si="88"/>
        <v>7.8900000000000012E-2</v>
      </c>
      <c r="S546" s="586">
        <f t="shared" si="89"/>
        <v>2.2618910783339177E-2</v>
      </c>
      <c r="U546" s="587"/>
      <c r="V546" s="587"/>
      <c r="W546" s="587"/>
      <c r="X546" s="587"/>
      <c r="Y546" s="587"/>
      <c r="Z546" s="587"/>
      <c r="AA546" s="587"/>
      <c r="AB546" s="587"/>
      <c r="AC546" s="587"/>
      <c r="AE546" s="587"/>
      <c r="AF546" s="587"/>
      <c r="AG546" s="587"/>
      <c r="AH546" s="587"/>
      <c r="AI546" s="587"/>
      <c r="AJ546" s="587"/>
      <c r="AK546" s="587"/>
      <c r="AL546" s="587"/>
      <c r="AM546" s="587"/>
      <c r="AO546" s="587"/>
      <c r="AP546" s="587"/>
      <c r="AQ546" s="587"/>
      <c r="AR546" s="587"/>
      <c r="AS546" s="587"/>
      <c r="AT546" s="587"/>
      <c r="AU546" s="587"/>
      <c r="AV546" s="587"/>
      <c r="AW546" s="587"/>
    </row>
    <row r="547" spans="1:49">
      <c r="A547" s="581">
        <v>25993</v>
      </c>
      <c r="B547" s="594">
        <v>3.9399999999999998E-2</v>
      </c>
      <c r="C547" s="577">
        <v>3.3099999999999997E-2</v>
      </c>
      <c r="D547" s="577">
        <v>5.5999999999999991E-3</v>
      </c>
      <c r="E547" s="577">
        <v>6.0083333333333334E-3</v>
      </c>
      <c r="F547" s="577">
        <v>6.4416666666666667E-3</v>
      </c>
      <c r="G547" s="577">
        <v>6.2250000000000005E-3</v>
      </c>
      <c r="H547" s="577">
        <v>6.7083333333333335E-3</v>
      </c>
      <c r="I547" s="577">
        <f t="shared" si="90"/>
        <v>3.3799999999999997E-2</v>
      </c>
      <c r="J547" s="577">
        <f t="shared" si="94"/>
        <v>3.3174999999999996E-2</v>
      </c>
      <c r="K547" s="577">
        <f t="shared" si="95"/>
        <v>2.6391666666666664E-2</v>
      </c>
      <c r="L547" s="585">
        <f t="shared" si="91"/>
        <v>0.1607833352810506</v>
      </c>
      <c r="M547" s="585">
        <f t="shared" si="92"/>
        <v>6.7199999999999982E-2</v>
      </c>
      <c r="N547" s="585">
        <f t="shared" si="85"/>
        <v>7.4700000000000003E-2</v>
      </c>
      <c r="O547" s="586">
        <f t="shared" si="93"/>
        <v>9.3583335281050617E-2</v>
      </c>
      <c r="P547" s="585">
        <f t="shared" si="86"/>
        <v>8.6083335281050596E-2</v>
      </c>
      <c r="Q547" s="585">
        <f t="shared" si="87"/>
        <v>0.11217668757844756</v>
      </c>
      <c r="R547" s="585">
        <f t="shared" si="88"/>
        <v>8.0500000000000002E-2</v>
      </c>
      <c r="S547" s="586">
        <f t="shared" si="89"/>
        <v>3.1676687578447563E-2</v>
      </c>
      <c r="U547" s="587"/>
      <c r="V547" s="587"/>
      <c r="W547" s="587"/>
      <c r="X547" s="587"/>
      <c r="Y547" s="587"/>
      <c r="Z547" s="587"/>
      <c r="AA547" s="587"/>
      <c r="AB547" s="587"/>
      <c r="AC547" s="587"/>
      <c r="AE547" s="587"/>
      <c r="AF547" s="587"/>
      <c r="AG547" s="587"/>
      <c r="AH547" s="587"/>
      <c r="AI547" s="587"/>
      <c r="AJ547" s="587"/>
      <c r="AK547" s="587"/>
      <c r="AL547" s="587"/>
      <c r="AM547" s="587"/>
      <c r="AO547" s="587"/>
      <c r="AP547" s="587"/>
      <c r="AQ547" s="587"/>
      <c r="AR547" s="587"/>
      <c r="AS547" s="587"/>
      <c r="AT547" s="587"/>
      <c r="AU547" s="587"/>
      <c r="AV547" s="587"/>
      <c r="AW547" s="587"/>
    </row>
    <row r="548" spans="1:49">
      <c r="A548" s="581">
        <v>26024</v>
      </c>
      <c r="B548" s="594">
        <v>3.8899999999999997E-2</v>
      </c>
      <c r="C548" s="577">
        <v>-3.49E-2</v>
      </c>
      <c r="D548" s="577">
        <v>4.7999999999999996E-3</v>
      </c>
      <c r="E548" s="577">
        <v>6.0416666666666665E-3</v>
      </c>
      <c r="F548" s="577">
        <v>6.45E-3</v>
      </c>
      <c r="G548" s="577">
        <v>6.2458333333333324E-3</v>
      </c>
      <c r="H548" s="577">
        <v>6.7250000000000001E-3</v>
      </c>
      <c r="I548" s="577">
        <f t="shared" si="90"/>
        <v>3.4099999999999998E-2</v>
      </c>
      <c r="J548" s="577">
        <f t="shared" si="94"/>
        <v>3.2654166666666665E-2</v>
      </c>
      <c r="K548" s="577">
        <f t="shared" si="95"/>
        <v>-4.1625000000000002E-2</v>
      </c>
      <c r="L548" s="585">
        <f t="shared" si="91"/>
        <v>0.32157567892984407</v>
      </c>
      <c r="M548" s="585">
        <f t="shared" si="92"/>
        <v>5.7599999999999998E-2</v>
      </c>
      <c r="N548" s="585">
        <f t="shared" si="85"/>
        <v>7.4949999999999989E-2</v>
      </c>
      <c r="O548" s="586">
        <f t="shared" si="93"/>
        <v>0.26397567892984408</v>
      </c>
      <c r="P548" s="585">
        <f t="shared" si="86"/>
        <v>0.24662567892984408</v>
      </c>
      <c r="Q548" s="585">
        <f t="shared" si="87"/>
        <v>0.18328929686027973</v>
      </c>
      <c r="R548" s="585">
        <f t="shared" si="88"/>
        <v>8.0699999999999994E-2</v>
      </c>
      <c r="S548" s="586">
        <f t="shared" si="89"/>
        <v>0.10258929686027973</v>
      </c>
      <c r="U548" s="587"/>
      <c r="V548" s="587"/>
      <c r="W548" s="587"/>
      <c r="X548" s="587"/>
      <c r="Y548" s="587"/>
      <c r="Z548" s="587"/>
      <c r="AA548" s="587"/>
      <c r="AB548" s="587"/>
      <c r="AC548" s="587"/>
      <c r="AE548" s="587"/>
      <c r="AF548" s="587"/>
      <c r="AG548" s="587"/>
      <c r="AH548" s="587"/>
      <c r="AI548" s="587"/>
      <c r="AJ548" s="587"/>
      <c r="AK548" s="587"/>
      <c r="AL548" s="587"/>
      <c r="AM548" s="587"/>
      <c r="AO548" s="587"/>
      <c r="AP548" s="587"/>
      <c r="AQ548" s="587"/>
      <c r="AR548" s="587"/>
      <c r="AS548" s="587"/>
      <c r="AT548" s="587"/>
      <c r="AU548" s="587"/>
      <c r="AV548" s="587"/>
      <c r="AW548" s="587"/>
    </row>
    <row r="549" spans="1:49">
      <c r="A549" s="581">
        <v>26054</v>
      </c>
      <c r="B549" s="594">
        <v>-3.9100000000000003E-2</v>
      </c>
      <c r="C549" s="577">
        <v>-3.5100000000000006E-2</v>
      </c>
      <c r="D549" s="577">
        <v>4.7000000000000002E-3</v>
      </c>
      <c r="E549" s="577">
        <v>6.2750000000000002E-3</v>
      </c>
      <c r="F549" s="577">
        <v>6.5333333333333328E-3</v>
      </c>
      <c r="G549" s="577">
        <v>6.4041666666666665E-3</v>
      </c>
      <c r="H549" s="577">
        <v>6.9499999999999996E-3</v>
      </c>
      <c r="I549" s="577">
        <f t="shared" si="90"/>
        <v>-4.3800000000000006E-2</v>
      </c>
      <c r="J549" s="577">
        <f t="shared" si="94"/>
        <v>-4.5504166666666672E-2</v>
      </c>
      <c r="K549" s="577">
        <f t="shared" si="95"/>
        <v>-4.2050000000000004E-2</v>
      </c>
      <c r="L549" s="585">
        <f t="shared" si="91"/>
        <v>0.34780521108436369</v>
      </c>
      <c r="M549" s="585">
        <f t="shared" si="92"/>
        <v>5.6400000000000006E-2</v>
      </c>
      <c r="N549" s="585">
        <f t="shared" si="85"/>
        <v>7.6850000000000002E-2</v>
      </c>
      <c r="O549" s="586">
        <f t="shared" si="93"/>
        <v>0.29140521108436368</v>
      </c>
      <c r="P549" s="585">
        <f t="shared" si="86"/>
        <v>0.27095521108436371</v>
      </c>
      <c r="Q549" s="585">
        <f t="shared" si="87"/>
        <v>0.2037489114817963</v>
      </c>
      <c r="R549" s="585">
        <f t="shared" si="88"/>
        <v>8.3400000000000002E-2</v>
      </c>
      <c r="S549" s="586">
        <f t="shared" si="89"/>
        <v>0.1203489114817963</v>
      </c>
      <c r="U549" s="587"/>
      <c r="V549" s="587"/>
      <c r="W549" s="587"/>
      <c r="X549" s="587"/>
      <c r="Y549" s="587"/>
      <c r="Z549" s="587"/>
      <c r="AA549" s="587"/>
      <c r="AB549" s="587"/>
      <c r="AC549" s="587"/>
      <c r="AE549" s="587"/>
      <c r="AF549" s="587"/>
      <c r="AG549" s="587"/>
      <c r="AH549" s="587"/>
      <c r="AI549" s="587"/>
      <c r="AJ549" s="587"/>
      <c r="AK549" s="587"/>
      <c r="AL549" s="587"/>
      <c r="AM549" s="587"/>
      <c r="AO549" s="587"/>
      <c r="AP549" s="587"/>
      <c r="AQ549" s="587"/>
      <c r="AR549" s="587"/>
      <c r="AS549" s="587"/>
      <c r="AT549" s="587"/>
      <c r="AU549" s="587"/>
      <c r="AV549" s="587"/>
      <c r="AW549" s="587"/>
    </row>
    <row r="550" spans="1:49">
      <c r="A550" s="581">
        <v>26085</v>
      </c>
      <c r="B550" s="594">
        <v>3.3E-3</v>
      </c>
      <c r="C550" s="577">
        <v>3.9800000000000002E-2</v>
      </c>
      <c r="D550" s="577">
        <v>5.5999999999999991E-3</v>
      </c>
      <c r="E550" s="577">
        <v>6.3666666666666663E-3</v>
      </c>
      <c r="F550" s="577">
        <v>6.6333333333333331E-3</v>
      </c>
      <c r="G550" s="577">
        <v>6.4999999999999988E-3</v>
      </c>
      <c r="H550" s="577">
        <v>7.0416666666666657E-3</v>
      </c>
      <c r="I550" s="577">
        <f t="shared" si="90"/>
        <v>-2.2999999999999991E-3</v>
      </c>
      <c r="J550" s="577">
        <f t="shared" si="94"/>
        <v>-3.1999999999999989E-3</v>
      </c>
      <c r="K550" s="577">
        <f t="shared" si="95"/>
        <v>3.2758333333333334E-2</v>
      </c>
      <c r="L550" s="585">
        <f t="shared" si="91"/>
        <v>0.41834798435173282</v>
      </c>
      <c r="M550" s="585">
        <f t="shared" si="92"/>
        <v>6.7199999999999982E-2</v>
      </c>
      <c r="N550" s="585">
        <f t="shared" si="85"/>
        <v>7.7999999999999986E-2</v>
      </c>
      <c r="O550" s="586">
        <f t="shared" si="93"/>
        <v>0.35114798435173283</v>
      </c>
      <c r="P550" s="585">
        <f t="shared" si="86"/>
        <v>0.34034798435173286</v>
      </c>
      <c r="Q550" s="585">
        <f t="shared" si="87"/>
        <v>0.32900628388062403</v>
      </c>
      <c r="R550" s="585">
        <f t="shared" si="88"/>
        <v>8.4499999999999992E-2</v>
      </c>
      <c r="S550" s="586">
        <f t="shared" si="89"/>
        <v>0.24450628388062404</v>
      </c>
      <c r="U550" s="587"/>
      <c r="V550" s="587"/>
      <c r="W550" s="587"/>
      <c r="X550" s="587"/>
      <c r="Y550" s="587"/>
      <c r="Z550" s="587"/>
      <c r="AA550" s="587"/>
      <c r="AB550" s="587"/>
      <c r="AC550" s="587"/>
      <c r="AE550" s="587"/>
      <c r="AF550" s="587"/>
      <c r="AG550" s="587"/>
      <c r="AH550" s="587"/>
      <c r="AI550" s="587"/>
      <c r="AJ550" s="587"/>
      <c r="AK550" s="587"/>
      <c r="AL550" s="587"/>
      <c r="AM550" s="587"/>
      <c r="AO550" s="587"/>
      <c r="AP550" s="587"/>
      <c r="AQ550" s="587"/>
      <c r="AR550" s="587"/>
      <c r="AS550" s="587"/>
      <c r="AT550" s="587"/>
      <c r="AU550" s="587"/>
      <c r="AV550" s="587"/>
      <c r="AW550" s="587"/>
    </row>
    <row r="551" spans="1:49">
      <c r="A551" s="581">
        <v>26115</v>
      </c>
      <c r="B551" s="594">
        <v>-3.8699999999999998E-2</v>
      </c>
      <c r="C551" s="577">
        <v>-2.2499999999999999E-2</v>
      </c>
      <c r="D551" s="577">
        <v>5.1999999999999998E-3</v>
      </c>
      <c r="E551" s="577">
        <v>6.3666666666666663E-3</v>
      </c>
      <c r="F551" s="577">
        <v>6.6333333333333331E-3</v>
      </c>
      <c r="G551" s="577">
        <v>6.4999999999999988E-3</v>
      </c>
      <c r="H551" s="577">
        <v>7.0416666666666657E-3</v>
      </c>
      <c r="I551" s="577">
        <f t="shared" si="90"/>
        <v>-4.3899999999999995E-2</v>
      </c>
      <c r="J551" s="577">
        <f t="shared" si="94"/>
        <v>-4.5199999999999997E-2</v>
      </c>
      <c r="K551" s="577">
        <f t="shared" si="95"/>
        <v>-2.9541666666666664E-2</v>
      </c>
      <c r="L551" s="585">
        <f t="shared" si="91"/>
        <v>0.26609519672887072</v>
      </c>
      <c r="M551" s="585">
        <f t="shared" si="92"/>
        <v>6.2399999999999997E-2</v>
      </c>
      <c r="N551" s="585">
        <f t="shared" si="85"/>
        <v>7.7999999999999986E-2</v>
      </c>
      <c r="O551" s="586">
        <f t="shared" si="93"/>
        <v>0.20369519672887071</v>
      </c>
      <c r="P551" s="585">
        <f t="shared" si="86"/>
        <v>0.18809519672887073</v>
      </c>
      <c r="Q551" s="585">
        <f t="shared" si="87"/>
        <v>0.1839092704759957</v>
      </c>
      <c r="R551" s="585">
        <f t="shared" si="88"/>
        <v>8.4499999999999992E-2</v>
      </c>
      <c r="S551" s="586">
        <f t="shared" si="89"/>
        <v>9.9409270475995709E-2</v>
      </c>
      <c r="U551" s="587"/>
      <c r="V551" s="587"/>
      <c r="W551" s="587"/>
      <c r="X551" s="587"/>
      <c r="Y551" s="587"/>
      <c r="Z551" s="587"/>
      <c r="AA551" s="587"/>
      <c r="AB551" s="587"/>
      <c r="AC551" s="587"/>
      <c r="AE551" s="587"/>
      <c r="AF551" s="587"/>
      <c r="AG551" s="587"/>
      <c r="AH551" s="587"/>
      <c r="AI551" s="587"/>
      <c r="AJ551" s="587"/>
      <c r="AK551" s="587"/>
      <c r="AL551" s="587"/>
      <c r="AM551" s="587"/>
      <c r="AO551" s="587"/>
      <c r="AP551" s="587"/>
      <c r="AQ551" s="587"/>
      <c r="AR551" s="587"/>
      <c r="AS551" s="587"/>
      <c r="AT551" s="587"/>
      <c r="AU551" s="587"/>
      <c r="AV551" s="587"/>
      <c r="AW551" s="587"/>
    </row>
    <row r="552" spans="1:49">
      <c r="A552" s="581">
        <v>26146</v>
      </c>
      <c r="B552" s="594">
        <v>3.8800000000000001E-2</v>
      </c>
      <c r="C552" s="577">
        <v>-2.4699999999999996E-2</v>
      </c>
      <c r="D552" s="577">
        <v>5.4999999999999997E-3</v>
      </c>
      <c r="E552" s="577">
        <v>6.3249999999999999E-3</v>
      </c>
      <c r="F552" s="577">
        <v>6.6083333333333324E-3</v>
      </c>
      <c r="G552" s="577">
        <v>6.4666666666666657E-3</v>
      </c>
      <c r="H552" s="577">
        <v>7.000000000000001E-3</v>
      </c>
      <c r="I552" s="577">
        <f t="shared" si="90"/>
        <v>3.3300000000000003E-2</v>
      </c>
      <c r="J552" s="577">
        <f t="shared" si="94"/>
        <v>3.2333333333333339E-2</v>
      </c>
      <c r="K552" s="577">
        <f t="shared" si="95"/>
        <v>-3.1699999999999999E-2</v>
      </c>
      <c r="L552" s="585">
        <f t="shared" si="91"/>
        <v>0.25522016640766476</v>
      </c>
      <c r="M552" s="585">
        <f t="shared" si="92"/>
        <v>6.6000000000000003E-2</v>
      </c>
      <c r="N552" s="585">
        <f t="shared" ref="N552:N615" si="96">G552*12</f>
        <v>7.7599999999999988E-2</v>
      </c>
      <c r="O552" s="586">
        <f t="shared" si="93"/>
        <v>0.18922016640766476</v>
      </c>
      <c r="P552" s="585">
        <f t="shared" ref="P552:P615" si="97">L552-N552</f>
        <v>0.17762016640766476</v>
      </c>
      <c r="Q552" s="585">
        <f t="shared" ref="Q552:Q615" si="98">((1+C541)*(1+C542)*(1+C543)*(1+C544)*(1+C545)*(1+C546)*(1+C547)*(1+C548)*(1+C549)*(1+C550)*(1+C551)*(1+C552))-1</f>
        <v>9.126425809964922E-2</v>
      </c>
      <c r="R552" s="585">
        <f t="shared" ref="R552:R615" si="99">H552*12</f>
        <v>8.4000000000000019E-2</v>
      </c>
      <c r="S552" s="586">
        <f t="shared" ref="S552:S615" si="100">Q552-R552</f>
        <v>7.2642580996492012E-3</v>
      </c>
      <c r="U552" s="587"/>
      <c r="V552" s="587"/>
      <c r="W552" s="587"/>
      <c r="X552" s="587"/>
      <c r="Y552" s="587"/>
      <c r="Z552" s="587"/>
      <c r="AA552" s="587"/>
      <c r="AB552" s="587"/>
      <c r="AC552" s="587"/>
      <c r="AE552" s="587"/>
      <c r="AF552" s="587"/>
      <c r="AG552" s="587"/>
      <c r="AH552" s="587"/>
      <c r="AI552" s="587"/>
      <c r="AJ552" s="587"/>
      <c r="AK552" s="587"/>
      <c r="AL552" s="587"/>
      <c r="AM552" s="587"/>
      <c r="AO552" s="587"/>
      <c r="AP552" s="587"/>
      <c r="AQ552" s="587"/>
      <c r="AR552" s="587"/>
      <c r="AS552" s="587"/>
      <c r="AT552" s="587"/>
      <c r="AU552" s="587"/>
      <c r="AV552" s="587"/>
      <c r="AW552" s="587"/>
    </row>
    <row r="553" spans="1:49">
      <c r="A553" s="581">
        <v>26177</v>
      </c>
      <c r="B553" s="594">
        <v>-4.4000000000000003E-3</v>
      </c>
      <c r="C553" s="577">
        <v>-1.4600000000000002E-2</v>
      </c>
      <c r="D553" s="577">
        <v>5.0000000000000001E-3</v>
      </c>
      <c r="E553" s="577">
        <v>6.1999999999999998E-3</v>
      </c>
      <c r="F553" s="577">
        <v>6.508333333333333E-3</v>
      </c>
      <c r="G553" s="577">
        <v>6.3541666666666659E-3</v>
      </c>
      <c r="H553" s="577">
        <v>6.8166666666666662E-3</v>
      </c>
      <c r="I553" s="577">
        <f t="shared" si="90"/>
        <v>-9.4000000000000004E-3</v>
      </c>
      <c r="J553" s="577">
        <f t="shared" si="94"/>
        <v>-1.0754166666666665E-2</v>
      </c>
      <c r="K553" s="577">
        <f t="shared" si="95"/>
        <v>-2.1416666666666667E-2</v>
      </c>
      <c r="L553" s="585">
        <f t="shared" si="91"/>
        <v>0.20603860034305232</v>
      </c>
      <c r="M553" s="585">
        <f t="shared" si="92"/>
        <v>0.06</v>
      </c>
      <c r="N553" s="585">
        <f t="shared" si="96"/>
        <v>7.6249999999999984E-2</v>
      </c>
      <c r="O553" s="586">
        <f t="shared" si="93"/>
        <v>0.14603860034305233</v>
      </c>
      <c r="P553" s="585">
        <f t="shared" si="97"/>
        <v>0.12978860034305234</v>
      </c>
      <c r="Q553" s="585">
        <f t="shared" si="98"/>
        <v>8.7731944094066705E-2</v>
      </c>
      <c r="R553" s="585">
        <f t="shared" si="99"/>
        <v>8.1799999999999998E-2</v>
      </c>
      <c r="S553" s="586">
        <f t="shared" si="100"/>
        <v>5.9319440940667073E-3</v>
      </c>
      <c r="U553" s="587"/>
      <c r="V553" s="587"/>
      <c r="W553" s="587"/>
      <c r="X553" s="587"/>
      <c r="Y553" s="587"/>
      <c r="Z553" s="587"/>
      <c r="AA553" s="587"/>
      <c r="AB553" s="587"/>
      <c r="AC553" s="587"/>
      <c r="AE553" s="587"/>
      <c r="AF553" s="587"/>
      <c r="AG553" s="587"/>
      <c r="AH553" s="587"/>
      <c r="AI553" s="587"/>
      <c r="AJ553" s="587"/>
      <c r="AK553" s="587"/>
      <c r="AL553" s="587"/>
      <c r="AM553" s="587"/>
      <c r="AO553" s="587"/>
      <c r="AP553" s="587"/>
      <c r="AQ553" s="587"/>
      <c r="AR553" s="587"/>
      <c r="AS553" s="587"/>
      <c r="AT553" s="587"/>
      <c r="AU553" s="587"/>
      <c r="AV553" s="587"/>
      <c r="AW553" s="587"/>
    </row>
    <row r="554" spans="1:49">
      <c r="A554" s="581">
        <v>26207</v>
      </c>
      <c r="B554" s="594">
        <v>-3.9199999999999999E-2</v>
      </c>
      <c r="C554" s="577">
        <v>1.7000000000000001E-2</v>
      </c>
      <c r="D554" s="577">
        <v>4.7000000000000002E-3</v>
      </c>
      <c r="E554" s="577">
        <v>6.1583333333333334E-3</v>
      </c>
      <c r="F554" s="577">
        <v>6.4083333333333336E-3</v>
      </c>
      <c r="G554" s="577">
        <v>6.2833333333333343E-3</v>
      </c>
      <c r="H554" s="577">
        <v>6.7499999999999991E-3</v>
      </c>
      <c r="I554" s="577">
        <f t="shared" si="90"/>
        <v>-4.3900000000000002E-2</v>
      </c>
      <c r="J554" s="577">
        <f t="shared" si="94"/>
        <v>-4.5483333333333334E-2</v>
      </c>
      <c r="K554" s="577">
        <f t="shared" si="95"/>
        <v>1.0250000000000002E-2</v>
      </c>
      <c r="L554" s="585">
        <f t="shared" si="91"/>
        <v>0.16846010609015272</v>
      </c>
      <c r="M554" s="585">
        <f t="shared" si="92"/>
        <v>5.6400000000000006E-2</v>
      </c>
      <c r="N554" s="585">
        <f t="shared" si="96"/>
        <v>7.5400000000000009E-2</v>
      </c>
      <c r="O554" s="586">
        <f t="shared" si="93"/>
        <v>0.11206010609015271</v>
      </c>
      <c r="P554" s="585">
        <f t="shared" si="97"/>
        <v>9.3060106090152708E-2</v>
      </c>
      <c r="Q554" s="585">
        <f t="shared" si="98"/>
        <v>0.12295542294555473</v>
      </c>
      <c r="R554" s="585">
        <f t="shared" si="99"/>
        <v>8.0999999999999989E-2</v>
      </c>
      <c r="S554" s="586">
        <f t="shared" si="100"/>
        <v>4.1955422945554738E-2</v>
      </c>
      <c r="U554" s="587"/>
      <c r="V554" s="587"/>
      <c r="W554" s="587"/>
      <c r="X554" s="587"/>
      <c r="Y554" s="587"/>
      <c r="Z554" s="587"/>
      <c r="AA554" s="587"/>
      <c r="AB554" s="587"/>
      <c r="AC554" s="587"/>
      <c r="AE554" s="587"/>
      <c r="AF554" s="587"/>
      <c r="AG554" s="587"/>
      <c r="AH554" s="587"/>
      <c r="AI554" s="587"/>
      <c r="AJ554" s="587"/>
      <c r="AK554" s="587"/>
      <c r="AL554" s="587"/>
      <c r="AM554" s="587"/>
      <c r="AO554" s="587"/>
      <c r="AP554" s="587"/>
      <c r="AQ554" s="587"/>
      <c r="AR554" s="587"/>
      <c r="AS554" s="587"/>
      <c r="AT554" s="587"/>
      <c r="AU554" s="587"/>
      <c r="AV554" s="587"/>
      <c r="AW554" s="587"/>
    </row>
    <row r="555" spans="1:49">
      <c r="A555" s="581">
        <v>26238</v>
      </c>
      <c r="B555" s="594">
        <v>2.0000000000000001E-4</v>
      </c>
      <c r="C555" s="577">
        <v>-5.5000000000000005E-3</v>
      </c>
      <c r="D555" s="577">
        <v>5.1000000000000004E-3</v>
      </c>
      <c r="E555" s="577">
        <v>6.0499999999999998E-3</v>
      </c>
      <c r="F555" s="577">
        <v>6.3E-3</v>
      </c>
      <c r="G555" s="577">
        <v>6.1749999999999991E-3</v>
      </c>
      <c r="H555" s="577">
        <v>6.6333333333333331E-3</v>
      </c>
      <c r="I555" s="577">
        <f t="shared" si="90"/>
        <v>-4.9000000000000007E-3</v>
      </c>
      <c r="J555" s="577">
        <f t="shared" si="94"/>
        <v>-5.9749999999999994E-3</v>
      </c>
      <c r="K555" s="577">
        <f t="shared" si="95"/>
        <v>-1.2133333333333333E-2</v>
      </c>
      <c r="L555" s="585">
        <f t="shared" si="91"/>
        <v>0.11240605188594244</v>
      </c>
      <c r="M555" s="585">
        <f t="shared" si="92"/>
        <v>6.1200000000000004E-2</v>
      </c>
      <c r="N555" s="585">
        <f t="shared" si="96"/>
        <v>7.4099999999999985E-2</v>
      </c>
      <c r="O555" s="586">
        <f t="shared" si="93"/>
        <v>5.1206051885942433E-2</v>
      </c>
      <c r="P555" s="585">
        <f t="shared" si="97"/>
        <v>3.8306051885942452E-2</v>
      </c>
      <c r="Q555" s="585">
        <f t="shared" si="98"/>
        <v>1.7566440199867195E-2</v>
      </c>
      <c r="R555" s="585">
        <f t="shared" si="99"/>
        <v>7.9600000000000004E-2</v>
      </c>
      <c r="S555" s="586">
        <f t="shared" si="100"/>
        <v>-6.2033559800132809E-2</v>
      </c>
      <c r="U555" s="587"/>
      <c r="V555" s="587"/>
      <c r="W555" s="587"/>
      <c r="X555" s="587"/>
      <c r="Y555" s="587"/>
      <c r="Z555" s="587"/>
      <c r="AA555" s="587"/>
      <c r="AB555" s="587"/>
      <c r="AC555" s="587"/>
      <c r="AE555" s="587"/>
      <c r="AF555" s="587"/>
      <c r="AG555" s="587"/>
      <c r="AH555" s="587"/>
      <c r="AI555" s="587"/>
      <c r="AJ555" s="587"/>
      <c r="AK555" s="587"/>
      <c r="AL555" s="587"/>
      <c r="AM555" s="587"/>
      <c r="AO555" s="587"/>
      <c r="AP555" s="587"/>
      <c r="AQ555" s="587"/>
      <c r="AR555" s="587"/>
      <c r="AS555" s="587"/>
      <c r="AT555" s="587"/>
      <c r="AU555" s="587"/>
      <c r="AV555" s="587"/>
      <c r="AW555" s="587"/>
    </row>
    <row r="556" spans="1:49">
      <c r="A556" s="581">
        <v>26268</v>
      </c>
      <c r="B556" s="594">
        <v>8.8800000000000004E-2</v>
      </c>
      <c r="C556" s="577">
        <v>8.0600000000000005E-2</v>
      </c>
      <c r="D556" s="577">
        <v>5.0000000000000001E-3</v>
      </c>
      <c r="E556" s="577">
        <v>6.0416666666666665E-3</v>
      </c>
      <c r="F556" s="577">
        <v>6.3083333333333333E-3</v>
      </c>
      <c r="G556" s="577">
        <v>6.1749999999999991E-3</v>
      </c>
      <c r="H556" s="577">
        <v>6.5833333333333334E-3</v>
      </c>
      <c r="I556" s="577">
        <f t="shared" si="90"/>
        <v>8.3799999999999999E-2</v>
      </c>
      <c r="J556" s="577">
        <f t="shared" si="94"/>
        <v>8.2625000000000004E-2</v>
      </c>
      <c r="K556" s="577">
        <f t="shared" si="95"/>
        <v>7.4016666666666675E-2</v>
      </c>
      <c r="L556" s="585">
        <f t="shared" si="91"/>
        <v>0.14295339180278721</v>
      </c>
      <c r="M556" s="585">
        <f t="shared" si="92"/>
        <v>0.06</v>
      </c>
      <c r="N556" s="585">
        <f t="shared" si="96"/>
        <v>7.4099999999999985E-2</v>
      </c>
      <c r="O556" s="586">
        <f t="shared" si="93"/>
        <v>8.2953391802787213E-2</v>
      </c>
      <c r="P556" s="585">
        <f t="shared" si="97"/>
        <v>6.8853391802787225E-2</v>
      </c>
      <c r="Q556" s="585">
        <f t="shared" si="98"/>
        <v>2.4296502356754734E-2</v>
      </c>
      <c r="R556" s="585">
        <f t="shared" si="99"/>
        <v>7.9000000000000001E-2</v>
      </c>
      <c r="S556" s="586">
        <f t="shared" si="100"/>
        <v>-5.4703497643245266E-2</v>
      </c>
      <c r="U556" s="587"/>
      <c r="V556" s="587"/>
      <c r="W556" s="587"/>
      <c r="X556" s="587"/>
      <c r="Y556" s="587"/>
      <c r="Z556" s="587"/>
      <c r="AA556" s="587"/>
      <c r="AB556" s="587"/>
      <c r="AC556" s="587"/>
      <c r="AE556" s="587"/>
      <c r="AF556" s="587"/>
      <c r="AG556" s="587"/>
      <c r="AH556" s="587"/>
      <c r="AI556" s="587"/>
      <c r="AJ556" s="587"/>
      <c r="AK556" s="587"/>
      <c r="AL556" s="587"/>
      <c r="AM556" s="587"/>
      <c r="AO556" s="587"/>
      <c r="AP556" s="587"/>
      <c r="AQ556" s="587"/>
      <c r="AR556" s="587"/>
      <c r="AS556" s="587"/>
      <c r="AT556" s="587"/>
      <c r="AU556" s="587"/>
      <c r="AV556" s="587"/>
      <c r="AW556" s="587"/>
    </row>
    <row r="557" spans="1:49">
      <c r="A557" s="581">
        <v>26299</v>
      </c>
      <c r="B557" s="594">
        <v>2.06E-2</v>
      </c>
      <c r="C557" s="577">
        <v>-7.4000000000000012E-3</v>
      </c>
      <c r="D557" s="577">
        <v>5.0000000000000001E-3</v>
      </c>
      <c r="E557" s="577">
        <v>5.9916666666666677E-3</v>
      </c>
      <c r="F557" s="577">
        <v>6.266666666666666E-3</v>
      </c>
      <c r="G557" s="577">
        <v>6.1291666666666664E-3</v>
      </c>
      <c r="H557" s="577">
        <v>6.4916666666666664E-3</v>
      </c>
      <c r="I557" s="577">
        <f t="shared" si="90"/>
        <v>1.5599999999999999E-2</v>
      </c>
      <c r="J557" s="577">
        <f t="shared" si="94"/>
        <v>1.4470833333333334E-2</v>
      </c>
      <c r="K557" s="577">
        <f t="shared" si="95"/>
        <v>-1.3891666666666667E-2</v>
      </c>
      <c r="L557" s="585">
        <f t="shared" si="91"/>
        <v>0.11819232330705987</v>
      </c>
      <c r="M557" s="585">
        <f t="shared" si="92"/>
        <v>0.06</v>
      </c>
      <c r="N557" s="585">
        <f t="shared" si="96"/>
        <v>7.3550000000000004E-2</v>
      </c>
      <c r="O557" s="586">
        <f t="shared" si="93"/>
        <v>5.8192323307059868E-2</v>
      </c>
      <c r="P557" s="585">
        <f t="shared" si="97"/>
        <v>4.4642323307059861E-2</v>
      </c>
      <c r="Q557" s="585">
        <f t="shared" si="98"/>
        <v>-8.7582058698308929E-3</v>
      </c>
      <c r="R557" s="585">
        <f t="shared" si="99"/>
        <v>7.7899999999999997E-2</v>
      </c>
      <c r="S557" s="586">
        <f t="shared" si="100"/>
        <v>-8.665820586983089E-2</v>
      </c>
      <c r="U557" s="587"/>
      <c r="V557" s="587"/>
      <c r="W557" s="587"/>
      <c r="X557" s="587"/>
      <c r="Y557" s="587"/>
      <c r="Z557" s="587"/>
      <c r="AA557" s="587"/>
      <c r="AB557" s="587"/>
      <c r="AC557" s="587"/>
      <c r="AE557" s="587"/>
      <c r="AF557" s="587"/>
      <c r="AG557" s="587"/>
      <c r="AH557" s="587"/>
      <c r="AI557" s="587"/>
      <c r="AJ557" s="587"/>
      <c r="AK557" s="587"/>
      <c r="AL557" s="587"/>
      <c r="AM557" s="587"/>
      <c r="AO557" s="587"/>
      <c r="AP557" s="587"/>
      <c r="AQ557" s="587"/>
      <c r="AR557" s="587"/>
      <c r="AS557" s="587"/>
      <c r="AT557" s="587"/>
      <c r="AU557" s="587"/>
      <c r="AV557" s="587"/>
      <c r="AW557" s="587"/>
    </row>
    <row r="558" spans="1:49">
      <c r="A558" s="581">
        <v>26330</v>
      </c>
      <c r="B558" s="594">
        <v>2.7699999999999999E-2</v>
      </c>
      <c r="C558" s="577">
        <v>-2.4E-2</v>
      </c>
      <c r="D558" s="577">
        <v>4.7000000000000002E-3</v>
      </c>
      <c r="E558" s="577">
        <v>6.0583333333333331E-3</v>
      </c>
      <c r="F558" s="577">
        <v>6.266666666666666E-3</v>
      </c>
      <c r="G558" s="577">
        <v>6.1624999999999996E-3</v>
      </c>
      <c r="H558" s="577">
        <v>6.4833333333333331E-3</v>
      </c>
      <c r="I558" s="577">
        <f t="shared" si="90"/>
        <v>2.3E-2</v>
      </c>
      <c r="J558" s="577">
        <f t="shared" si="94"/>
        <v>2.1537500000000001E-2</v>
      </c>
      <c r="K558" s="577">
        <f t="shared" si="95"/>
        <v>-3.0483333333333335E-2</v>
      </c>
      <c r="L558" s="585">
        <f t="shared" si="91"/>
        <v>0.13587649566340398</v>
      </c>
      <c r="M558" s="585">
        <f t="shared" si="92"/>
        <v>5.6400000000000006E-2</v>
      </c>
      <c r="N558" s="585">
        <f t="shared" si="96"/>
        <v>7.3949999999999988E-2</v>
      </c>
      <c r="O558" s="586">
        <f t="shared" si="93"/>
        <v>7.9476495663403979E-2</v>
      </c>
      <c r="P558" s="585">
        <f t="shared" si="97"/>
        <v>6.1926495663403996E-2</v>
      </c>
      <c r="Q558" s="585">
        <f t="shared" si="98"/>
        <v>-4.9861245798156206E-3</v>
      </c>
      <c r="R558" s="585">
        <f t="shared" si="99"/>
        <v>7.7799999999999994E-2</v>
      </c>
      <c r="S558" s="586">
        <f t="shared" si="100"/>
        <v>-8.2786124579815615E-2</v>
      </c>
      <c r="U558" s="587"/>
      <c r="V558" s="587"/>
      <c r="W558" s="587"/>
      <c r="X558" s="587"/>
      <c r="Y558" s="587"/>
      <c r="Z558" s="587"/>
      <c r="AA558" s="587"/>
      <c r="AB558" s="587"/>
      <c r="AC558" s="587"/>
      <c r="AE558" s="587"/>
      <c r="AF558" s="587"/>
      <c r="AG558" s="587"/>
      <c r="AH558" s="587"/>
      <c r="AI558" s="587"/>
      <c r="AJ558" s="587"/>
      <c r="AK558" s="587"/>
      <c r="AL558" s="587"/>
      <c r="AM558" s="587"/>
      <c r="AO558" s="587"/>
      <c r="AP558" s="587"/>
      <c r="AQ558" s="587"/>
      <c r="AR558" s="587"/>
      <c r="AS558" s="587"/>
      <c r="AT558" s="587"/>
      <c r="AU558" s="587"/>
      <c r="AV558" s="587"/>
      <c r="AW558" s="587"/>
    </row>
    <row r="559" spans="1:49">
      <c r="A559" s="581">
        <v>26359</v>
      </c>
      <c r="B559" s="594">
        <v>8.3000000000000001E-3</v>
      </c>
      <c r="C559" s="577">
        <v>-3.5999999999999999E-3</v>
      </c>
      <c r="D559" s="577">
        <v>4.8999999999999998E-3</v>
      </c>
      <c r="E559" s="577">
        <v>6.0333333333333341E-3</v>
      </c>
      <c r="F559" s="577">
        <v>6.2750000000000002E-3</v>
      </c>
      <c r="G559" s="577">
        <v>6.1541666666666672E-3</v>
      </c>
      <c r="H559" s="577">
        <v>6.4750000000000007E-3</v>
      </c>
      <c r="I559" s="577">
        <f t="shared" si="90"/>
        <v>3.4000000000000002E-3</v>
      </c>
      <c r="J559" s="577">
        <f t="shared" si="94"/>
        <v>2.1458333333333329E-3</v>
      </c>
      <c r="K559" s="577">
        <f t="shared" si="95"/>
        <v>-1.0075000000000001E-2</v>
      </c>
      <c r="L559" s="585">
        <f t="shared" si="91"/>
        <v>0.1018898119851932</v>
      </c>
      <c r="M559" s="585">
        <f t="shared" si="92"/>
        <v>5.8799999999999998E-2</v>
      </c>
      <c r="N559" s="585">
        <f t="shared" si="96"/>
        <v>7.3849999999999999E-2</v>
      </c>
      <c r="O559" s="586">
        <f t="shared" si="93"/>
        <v>4.3089811985193203E-2</v>
      </c>
      <c r="P559" s="585">
        <f t="shared" si="97"/>
        <v>2.8039811985193203E-2</v>
      </c>
      <c r="Q559" s="585">
        <f t="shared" si="98"/>
        <v>-4.0333147353913801E-2</v>
      </c>
      <c r="R559" s="585">
        <f t="shared" si="99"/>
        <v>7.7700000000000005E-2</v>
      </c>
      <c r="S559" s="586">
        <f t="shared" si="100"/>
        <v>-0.11803314735391381</v>
      </c>
      <c r="U559" s="587"/>
      <c r="V559" s="587"/>
      <c r="W559" s="587"/>
      <c r="X559" s="587"/>
      <c r="Y559" s="587"/>
      <c r="Z559" s="587"/>
      <c r="AA559" s="587"/>
      <c r="AB559" s="587"/>
      <c r="AC559" s="587"/>
      <c r="AE559" s="587"/>
      <c r="AF559" s="587"/>
      <c r="AG559" s="587"/>
      <c r="AH559" s="587"/>
      <c r="AI559" s="587"/>
      <c r="AJ559" s="587"/>
      <c r="AK559" s="587"/>
      <c r="AL559" s="587"/>
      <c r="AM559" s="587"/>
      <c r="AO559" s="587"/>
      <c r="AP559" s="587"/>
      <c r="AQ559" s="587"/>
      <c r="AR559" s="587"/>
      <c r="AS559" s="587"/>
      <c r="AT559" s="587"/>
      <c r="AU559" s="587"/>
      <c r="AV559" s="587"/>
      <c r="AW559" s="587"/>
    </row>
    <row r="560" spans="1:49">
      <c r="A560" s="581">
        <v>26390</v>
      </c>
      <c r="B560" s="594">
        <v>6.7999999999999996E-3</v>
      </c>
      <c r="C560" s="577">
        <v>-2.7700000000000006E-2</v>
      </c>
      <c r="D560" s="577">
        <v>4.7999999999999996E-3</v>
      </c>
      <c r="E560" s="577">
        <v>6.083333333333333E-3</v>
      </c>
      <c r="F560" s="577">
        <v>6.3083333333333333E-3</v>
      </c>
      <c r="G560" s="577">
        <v>6.1958333333333336E-3</v>
      </c>
      <c r="H560" s="577">
        <v>6.5166666666666671E-3</v>
      </c>
      <c r="I560" s="577">
        <f t="shared" si="90"/>
        <v>2E-3</v>
      </c>
      <c r="J560" s="577">
        <f t="shared" si="94"/>
        <v>6.0416666666666605E-4</v>
      </c>
      <c r="K560" s="577">
        <f t="shared" si="95"/>
        <v>-3.4216666666666673E-2</v>
      </c>
      <c r="L560" s="585">
        <f t="shared" si="91"/>
        <v>6.7843548663675257E-2</v>
      </c>
      <c r="M560" s="585">
        <f t="shared" si="92"/>
        <v>5.7599999999999998E-2</v>
      </c>
      <c r="N560" s="585">
        <f t="shared" si="96"/>
        <v>7.4349999999999999E-2</v>
      </c>
      <c r="O560" s="586">
        <f t="shared" si="93"/>
        <v>1.0243548663675259E-2</v>
      </c>
      <c r="P560" s="585">
        <f t="shared" si="97"/>
        <v>-6.5064513363247423E-3</v>
      </c>
      <c r="Q560" s="585">
        <f t="shared" si="98"/>
        <v>-3.3173680626060187E-2</v>
      </c>
      <c r="R560" s="585">
        <f t="shared" si="99"/>
        <v>7.8200000000000006E-2</v>
      </c>
      <c r="S560" s="586">
        <f t="shared" si="100"/>
        <v>-0.11137368062606019</v>
      </c>
      <c r="U560" s="587"/>
      <c r="V560" s="587"/>
      <c r="W560" s="587"/>
      <c r="X560" s="587"/>
      <c r="Y560" s="587"/>
      <c r="Z560" s="587"/>
      <c r="AA560" s="587"/>
      <c r="AB560" s="587"/>
      <c r="AC560" s="587"/>
      <c r="AE560" s="587"/>
      <c r="AF560" s="587"/>
      <c r="AG560" s="587"/>
      <c r="AH560" s="587"/>
      <c r="AI560" s="587"/>
      <c r="AJ560" s="587"/>
      <c r="AK560" s="587"/>
      <c r="AL560" s="587"/>
      <c r="AM560" s="587"/>
      <c r="AO560" s="587"/>
      <c r="AP560" s="587"/>
      <c r="AQ560" s="587"/>
      <c r="AR560" s="587"/>
      <c r="AS560" s="587"/>
      <c r="AT560" s="587"/>
      <c r="AU560" s="587"/>
      <c r="AV560" s="587"/>
      <c r="AW560" s="587"/>
    </row>
    <row r="561" spans="1:49">
      <c r="A561" s="581">
        <v>26420</v>
      </c>
      <c r="B561" s="594">
        <v>1.9699999999999999E-2</v>
      </c>
      <c r="C561" s="577">
        <v>-1.7000000000000001E-3</v>
      </c>
      <c r="D561" s="577">
        <v>5.4999999999999997E-3</v>
      </c>
      <c r="E561" s="577">
        <v>6.083333333333333E-3</v>
      </c>
      <c r="F561" s="577">
        <v>6.3E-3</v>
      </c>
      <c r="G561" s="577">
        <v>6.1916666666666665E-3</v>
      </c>
      <c r="H561" s="577">
        <v>6.5333333333333328E-3</v>
      </c>
      <c r="I561" s="577">
        <f t="shared" si="90"/>
        <v>1.4199999999999999E-2</v>
      </c>
      <c r="J561" s="577">
        <f t="shared" si="94"/>
        <v>1.3508333333333332E-2</v>
      </c>
      <c r="K561" s="577">
        <f t="shared" si="95"/>
        <v>-8.2333333333333321E-3</v>
      </c>
      <c r="L561" s="585">
        <f t="shared" si="91"/>
        <v>0.13318770587194284</v>
      </c>
      <c r="M561" s="585">
        <f t="shared" si="92"/>
        <v>6.6000000000000003E-2</v>
      </c>
      <c r="N561" s="585">
        <f t="shared" si="96"/>
        <v>7.4300000000000005E-2</v>
      </c>
      <c r="O561" s="586">
        <f t="shared" si="93"/>
        <v>6.7187705871942838E-2</v>
      </c>
      <c r="P561" s="585">
        <f t="shared" si="97"/>
        <v>5.8887705871942836E-2</v>
      </c>
      <c r="Q561" s="585">
        <f t="shared" si="98"/>
        <v>2.9299889211786834E-4</v>
      </c>
      <c r="R561" s="585">
        <f t="shared" si="99"/>
        <v>7.8399999999999997E-2</v>
      </c>
      <c r="S561" s="586">
        <f t="shared" si="100"/>
        <v>-7.8107001107882129E-2</v>
      </c>
      <c r="U561" s="587"/>
      <c r="V561" s="587"/>
      <c r="W561" s="587"/>
      <c r="X561" s="587"/>
      <c r="Y561" s="587"/>
      <c r="Z561" s="587"/>
      <c r="AA561" s="587"/>
      <c r="AB561" s="587"/>
      <c r="AC561" s="587"/>
      <c r="AE561" s="587"/>
      <c r="AF561" s="587"/>
      <c r="AG561" s="587"/>
      <c r="AH561" s="587"/>
      <c r="AI561" s="587"/>
      <c r="AJ561" s="587"/>
      <c r="AK561" s="587"/>
      <c r="AL561" s="587"/>
      <c r="AM561" s="587"/>
      <c r="AO561" s="587"/>
      <c r="AP561" s="587"/>
      <c r="AQ561" s="587"/>
      <c r="AR561" s="587"/>
      <c r="AS561" s="587"/>
      <c r="AT561" s="587"/>
      <c r="AU561" s="587"/>
      <c r="AV561" s="587"/>
      <c r="AW561" s="587"/>
    </row>
    <row r="562" spans="1:49">
      <c r="A562" s="581">
        <v>26451</v>
      </c>
      <c r="B562" s="594">
        <v>-1.9400000000000001E-2</v>
      </c>
      <c r="C562" s="577">
        <v>-2.1000000000000001E-2</v>
      </c>
      <c r="D562" s="577">
        <v>4.8999999999999998E-3</v>
      </c>
      <c r="E562" s="577">
        <v>6.025E-3</v>
      </c>
      <c r="F562" s="577">
        <v>6.2583333333333336E-3</v>
      </c>
      <c r="G562" s="577">
        <v>6.1416666666666677E-3</v>
      </c>
      <c r="H562" s="577">
        <v>6.4750000000000007E-3</v>
      </c>
      <c r="I562" s="577">
        <f t="shared" si="90"/>
        <v>-2.4300000000000002E-2</v>
      </c>
      <c r="J562" s="577">
        <f t="shared" si="94"/>
        <v>-2.5541666666666667E-2</v>
      </c>
      <c r="K562" s="577">
        <f t="shared" si="95"/>
        <v>-2.7475000000000003E-2</v>
      </c>
      <c r="L562" s="585">
        <f t="shared" si="91"/>
        <v>0.10754895283367594</v>
      </c>
      <c r="M562" s="585">
        <f t="shared" si="92"/>
        <v>5.8799999999999998E-2</v>
      </c>
      <c r="N562" s="585">
        <f t="shared" si="96"/>
        <v>7.3700000000000015E-2</v>
      </c>
      <c r="O562" s="586">
        <f t="shared" si="93"/>
        <v>4.8748952833675939E-2</v>
      </c>
      <c r="P562" s="585">
        <f t="shared" si="97"/>
        <v>3.3848952833675922E-2</v>
      </c>
      <c r="Q562" s="585">
        <f t="shared" si="98"/>
        <v>-5.8196916796130593E-2</v>
      </c>
      <c r="R562" s="585">
        <f t="shared" si="99"/>
        <v>7.7700000000000005E-2</v>
      </c>
      <c r="S562" s="586">
        <f t="shared" si="100"/>
        <v>-0.13589691679613058</v>
      </c>
      <c r="U562" s="587"/>
      <c r="V562" s="587"/>
      <c r="W562" s="587"/>
      <c r="X562" s="587"/>
      <c r="Y562" s="587"/>
      <c r="Z562" s="587"/>
      <c r="AA562" s="587"/>
      <c r="AB562" s="587"/>
      <c r="AC562" s="587"/>
      <c r="AE562" s="587"/>
      <c r="AF562" s="587"/>
      <c r="AG562" s="587"/>
      <c r="AH562" s="587"/>
      <c r="AI562" s="587"/>
      <c r="AJ562" s="587"/>
      <c r="AK562" s="587"/>
      <c r="AL562" s="587"/>
      <c r="AM562" s="587"/>
      <c r="AO562" s="587"/>
      <c r="AP562" s="587"/>
      <c r="AQ562" s="587"/>
      <c r="AR562" s="587"/>
      <c r="AS562" s="587"/>
      <c r="AT562" s="587"/>
      <c r="AU562" s="587"/>
      <c r="AV562" s="587"/>
      <c r="AW562" s="587"/>
    </row>
    <row r="563" spans="1:49">
      <c r="A563" s="581">
        <v>26481</v>
      </c>
      <c r="B563" s="594">
        <v>4.7999999999999996E-3</v>
      </c>
      <c r="C563" s="577">
        <v>-1.4000000000000002E-3</v>
      </c>
      <c r="D563" s="577">
        <v>5.1000000000000004E-3</v>
      </c>
      <c r="E563" s="577">
        <v>6.0083333333333334E-3</v>
      </c>
      <c r="F563" s="577">
        <v>6.2500000000000003E-3</v>
      </c>
      <c r="G563" s="577">
        <v>6.1291666666666664E-3</v>
      </c>
      <c r="H563" s="577">
        <v>6.5166666666666671E-3</v>
      </c>
      <c r="I563" s="577">
        <f t="shared" si="90"/>
        <v>-3.0000000000000079E-4</v>
      </c>
      <c r="J563" s="577">
        <f t="shared" si="94"/>
        <v>-1.3291666666666669E-3</v>
      </c>
      <c r="K563" s="577">
        <f t="shared" si="95"/>
        <v>-7.9166666666666673E-3</v>
      </c>
      <c r="L563" s="585">
        <f t="shared" si="91"/>
        <v>0.1576668967099526</v>
      </c>
      <c r="M563" s="585">
        <f t="shared" si="92"/>
        <v>6.1200000000000004E-2</v>
      </c>
      <c r="N563" s="585">
        <f t="shared" si="96"/>
        <v>7.3550000000000004E-2</v>
      </c>
      <c r="O563" s="586">
        <f t="shared" si="93"/>
        <v>9.6466896709952593E-2</v>
      </c>
      <c r="P563" s="585">
        <f t="shared" si="97"/>
        <v>8.4116896709952593E-2</v>
      </c>
      <c r="Q563" s="585">
        <f t="shared" si="98"/>
        <v>-3.7867458938737664E-2</v>
      </c>
      <c r="R563" s="585">
        <f t="shared" si="99"/>
        <v>7.8200000000000006E-2</v>
      </c>
      <c r="S563" s="586">
        <f t="shared" si="100"/>
        <v>-0.11606745893873767</v>
      </c>
      <c r="U563" s="587"/>
      <c r="V563" s="587"/>
      <c r="W563" s="587"/>
      <c r="X563" s="587"/>
      <c r="Y563" s="587"/>
      <c r="Z563" s="587"/>
      <c r="AA563" s="587"/>
      <c r="AB563" s="587"/>
      <c r="AC563" s="587"/>
      <c r="AE563" s="587"/>
      <c r="AF563" s="587"/>
      <c r="AG563" s="587"/>
      <c r="AH563" s="587"/>
      <c r="AI563" s="587"/>
      <c r="AJ563" s="587"/>
      <c r="AK563" s="587"/>
      <c r="AL563" s="587"/>
      <c r="AM563" s="587"/>
      <c r="AO563" s="587"/>
      <c r="AP563" s="587"/>
      <c r="AQ563" s="587"/>
      <c r="AR563" s="587"/>
      <c r="AS563" s="587"/>
      <c r="AT563" s="587"/>
      <c r="AU563" s="587"/>
      <c r="AV563" s="587"/>
      <c r="AW563" s="587"/>
    </row>
    <row r="564" spans="1:49">
      <c r="A564" s="581">
        <v>26512</v>
      </c>
      <c r="B564" s="594">
        <v>3.6900000000000002E-2</v>
      </c>
      <c r="C564" s="577">
        <v>5.74E-2</v>
      </c>
      <c r="D564" s="577">
        <v>4.8999999999999998E-3</v>
      </c>
      <c r="E564" s="577">
        <v>5.9916666666666677E-3</v>
      </c>
      <c r="F564" s="577">
        <v>6.1916666666666665E-3</v>
      </c>
      <c r="G564" s="577">
        <v>6.0916666666666662E-3</v>
      </c>
      <c r="H564" s="577">
        <v>6.3666666666666672E-3</v>
      </c>
      <c r="I564" s="577">
        <f t="shared" si="90"/>
        <v>3.2000000000000001E-2</v>
      </c>
      <c r="J564" s="577">
        <f t="shared" si="94"/>
        <v>3.0808333333333337E-2</v>
      </c>
      <c r="K564" s="577">
        <f t="shared" si="95"/>
        <v>5.1033333333333333E-2</v>
      </c>
      <c r="L564" s="585">
        <f t="shared" si="91"/>
        <v>0.1555494851738064</v>
      </c>
      <c r="M564" s="585">
        <f t="shared" si="92"/>
        <v>5.8799999999999998E-2</v>
      </c>
      <c r="N564" s="585">
        <f t="shared" si="96"/>
        <v>7.3099999999999998E-2</v>
      </c>
      <c r="O564" s="586">
        <f t="shared" si="93"/>
        <v>9.674948517380641E-2</v>
      </c>
      <c r="P564" s="585">
        <f t="shared" si="97"/>
        <v>8.2449485173806403E-2</v>
      </c>
      <c r="Q564" s="585">
        <f t="shared" si="98"/>
        <v>4.3124114547502312E-2</v>
      </c>
      <c r="R564" s="585">
        <f t="shared" si="99"/>
        <v>7.640000000000001E-2</v>
      </c>
      <c r="S564" s="586">
        <f t="shared" si="100"/>
        <v>-3.3275885452497697E-2</v>
      </c>
      <c r="U564" s="587"/>
      <c r="V564" s="587"/>
      <c r="W564" s="587"/>
      <c r="X564" s="587"/>
      <c r="Y564" s="587"/>
      <c r="Z564" s="587"/>
      <c r="AA564" s="587"/>
      <c r="AB564" s="587"/>
      <c r="AC564" s="587"/>
      <c r="AE564" s="587"/>
      <c r="AF564" s="587"/>
      <c r="AG564" s="587"/>
      <c r="AH564" s="587"/>
      <c r="AI564" s="587"/>
      <c r="AJ564" s="587"/>
      <c r="AK564" s="587"/>
      <c r="AL564" s="587"/>
      <c r="AM564" s="587"/>
      <c r="AO564" s="587"/>
      <c r="AP564" s="587"/>
      <c r="AQ564" s="587"/>
      <c r="AR564" s="587"/>
      <c r="AS564" s="587"/>
      <c r="AT564" s="587"/>
      <c r="AU564" s="587"/>
      <c r="AV564" s="587"/>
      <c r="AW564" s="587"/>
    </row>
    <row r="565" spans="1:49">
      <c r="A565" s="581">
        <v>26543</v>
      </c>
      <c r="B565" s="594">
        <v>-2.5000000000000001E-3</v>
      </c>
      <c r="C565" s="577">
        <v>2.7000000000000001E-3</v>
      </c>
      <c r="D565" s="577">
        <v>4.7000000000000002E-3</v>
      </c>
      <c r="E565" s="577">
        <v>6.0166666666666667E-3</v>
      </c>
      <c r="F565" s="577">
        <v>6.1750000000000008E-3</v>
      </c>
      <c r="G565" s="577">
        <v>6.0958333333333333E-3</v>
      </c>
      <c r="H565" s="577">
        <v>6.3416666666666665E-3</v>
      </c>
      <c r="I565" s="577">
        <f t="shared" si="90"/>
        <v>-7.1999999999999998E-3</v>
      </c>
      <c r="J565" s="577">
        <f t="shared" si="94"/>
        <v>-8.5958333333333338E-3</v>
      </c>
      <c r="K565" s="577">
        <f t="shared" si="95"/>
        <v>-3.6416666666666663E-3</v>
      </c>
      <c r="L565" s="585">
        <f t="shared" si="91"/>
        <v>0.15775473228291648</v>
      </c>
      <c r="M565" s="585">
        <f t="shared" si="92"/>
        <v>5.6400000000000006E-2</v>
      </c>
      <c r="N565" s="585">
        <f t="shared" si="96"/>
        <v>7.3149999999999993E-2</v>
      </c>
      <c r="O565" s="586">
        <f t="shared" si="93"/>
        <v>0.10135473228291647</v>
      </c>
      <c r="P565" s="585">
        <f t="shared" si="97"/>
        <v>8.4604732282916484E-2</v>
      </c>
      <c r="Q565" s="585">
        <f t="shared" si="98"/>
        <v>6.1437537707306422E-2</v>
      </c>
      <c r="R565" s="585">
        <f t="shared" si="99"/>
        <v>7.6100000000000001E-2</v>
      </c>
      <c r="S565" s="586">
        <f t="shared" si="100"/>
        <v>-1.4662462292693579E-2</v>
      </c>
      <c r="U565" s="587"/>
      <c r="V565" s="587"/>
      <c r="W565" s="587"/>
      <c r="X565" s="587"/>
      <c r="Y565" s="587"/>
      <c r="Z565" s="587"/>
      <c r="AA565" s="587"/>
      <c r="AB565" s="587"/>
      <c r="AC565" s="587"/>
      <c r="AE565" s="587"/>
      <c r="AF565" s="587"/>
      <c r="AG565" s="587"/>
      <c r="AH565" s="587"/>
      <c r="AI565" s="587"/>
      <c r="AJ565" s="587"/>
      <c r="AK565" s="587"/>
      <c r="AL565" s="587"/>
      <c r="AM565" s="587"/>
      <c r="AO565" s="587"/>
      <c r="AP565" s="587"/>
      <c r="AQ565" s="587"/>
      <c r="AR565" s="587"/>
      <c r="AS565" s="587"/>
      <c r="AT565" s="587"/>
      <c r="AU565" s="587"/>
      <c r="AV565" s="587"/>
      <c r="AW565" s="587"/>
    </row>
    <row r="566" spans="1:49">
      <c r="A566" s="581">
        <v>26573</v>
      </c>
      <c r="B566" s="594">
        <v>1.18E-2</v>
      </c>
      <c r="C566" s="577">
        <v>6.5100000000000005E-2</v>
      </c>
      <c r="D566" s="577">
        <v>5.1999999999999998E-3</v>
      </c>
      <c r="E566" s="577">
        <v>6.0083333333333334E-3</v>
      </c>
      <c r="F566" s="577">
        <v>6.2083333333333331E-3</v>
      </c>
      <c r="G566" s="577">
        <v>6.1083333333333337E-3</v>
      </c>
      <c r="H566" s="577">
        <v>6.3833333333333329E-3</v>
      </c>
      <c r="I566" s="577">
        <f t="shared" si="90"/>
        <v>6.6E-3</v>
      </c>
      <c r="J566" s="577">
        <f t="shared" si="94"/>
        <v>5.6916666666666661E-3</v>
      </c>
      <c r="K566" s="577">
        <f t="shared" si="95"/>
        <v>5.8716666666666674E-2</v>
      </c>
      <c r="L566" s="585">
        <f t="shared" si="91"/>
        <v>0.21920924034539446</v>
      </c>
      <c r="M566" s="585">
        <f t="shared" si="92"/>
        <v>6.2399999999999997E-2</v>
      </c>
      <c r="N566" s="585">
        <f t="shared" si="96"/>
        <v>7.3300000000000004E-2</v>
      </c>
      <c r="O566" s="586">
        <f t="shared" si="93"/>
        <v>0.15680924034539445</v>
      </c>
      <c r="P566" s="585">
        <f t="shared" si="97"/>
        <v>0.14590924034539446</v>
      </c>
      <c r="Q566" s="585">
        <f t="shared" si="98"/>
        <v>0.11163925409248021</v>
      </c>
      <c r="R566" s="585">
        <f t="shared" si="99"/>
        <v>7.6600000000000001E-2</v>
      </c>
      <c r="S566" s="586">
        <f t="shared" si="100"/>
        <v>3.503925409248021E-2</v>
      </c>
      <c r="U566" s="587"/>
      <c r="V566" s="587"/>
      <c r="W566" s="587"/>
      <c r="X566" s="587"/>
      <c r="Y566" s="587"/>
      <c r="Z566" s="587"/>
      <c r="AA566" s="587"/>
      <c r="AB566" s="587"/>
      <c r="AC566" s="587"/>
      <c r="AE566" s="587"/>
      <c r="AF566" s="587"/>
      <c r="AG566" s="587"/>
      <c r="AH566" s="587"/>
      <c r="AI566" s="587"/>
      <c r="AJ566" s="587"/>
      <c r="AK566" s="587"/>
      <c r="AL566" s="587"/>
      <c r="AM566" s="587"/>
      <c r="AO566" s="587"/>
      <c r="AP566" s="587"/>
      <c r="AQ566" s="587"/>
      <c r="AR566" s="587"/>
      <c r="AS566" s="587"/>
      <c r="AT566" s="587"/>
      <c r="AU566" s="587"/>
      <c r="AV566" s="587"/>
      <c r="AW566" s="587"/>
    </row>
    <row r="567" spans="1:49">
      <c r="A567" s="581">
        <v>26604</v>
      </c>
      <c r="B567" s="594">
        <v>4.8099999999999997E-2</v>
      </c>
      <c r="C567" s="577">
        <v>6.3899999999999998E-2</v>
      </c>
      <c r="D567" s="577">
        <v>4.7999999999999996E-3</v>
      </c>
      <c r="E567" s="577">
        <v>5.9333333333333339E-3</v>
      </c>
      <c r="F567" s="577">
        <v>6.1583333333333334E-3</v>
      </c>
      <c r="G567" s="577">
        <v>6.0458333333333336E-3</v>
      </c>
      <c r="H567" s="577">
        <v>6.333333333333334E-3</v>
      </c>
      <c r="I567" s="577">
        <f t="shared" si="90"/>
        <v>4.3299999999999998E-2</v>
      </c>
      <c r="J567" s="577">
        <f t="shared" si="94"/>
        <v>4.2054166666666663E-2</v>
      </c>
      <c r="K567" s="577">
        <f t="shared" si="95"/>
        <v>5.7566666666666662E-2</v>
      </c>
      <c r="L567" s="585">
        <f t="shared" si="91"/>
        <v>0.2775976852689539</v>
      </c>
      <c r="M567" s="585">
        <f t="shared" si="92"/>
        <v>5.7599999999999998E-2</v>
      </c>
      <c r="N567" s="585">
        <f t="shared" si="96"/>
        <v>7.2550000000000003E-2</v>
      </c>
      <c r="O567" s="586">
        <f t="shared" si="93"/>
        <v>0.21999768526895391</v>
      </c>
      <c r="P567" s="585">
        <f t="shared" si="97"/>
        <v>0.20504768526895389</v>
      </c>
      <c r="Q567" s="585">
        <f t="shared" si="98"/>
        <v>0.18921367765609798</v>
      </c>
      <c r="R567" s="585">
        <f t="shared" si="99"/>
        <v>7.6000000000000012E-2</v>
      </c>
      <c r="S567" s="586">
        <f t="shared" si="100"/>
        <v>0.11321367765609797</v>
      </c>
      <c r="U567" s="587"/>
      <c r="V567" s="587"/>
      <c r="W567" s="587"/>
      <c r="X567" s="587"/>
      <c r="Y567" s="587"/>
      <c r="Z567" s="587"/>
      <c r="AA567" s="587"/>
      <c r="AB567" s="587"/>
      <c r="AC567" s="587"/>
      <c r="AE567" s="587"/>
      <c r="AF567" s="587"/>
      <c r="AG567" s="587"/>
      <c r="AH567" s="587"/>
      <c r="AI567" s="587"/>
      <c r="AJ567" s="587"/>
      <c r="AK567" s="587"/>
      <c r="AL567" s="587"/>
      <c r="AM567" s="587"/>
      <c r="AO567" s="587"/>
      <c r="AP567" s="587"/>
      <c r="AQ567" s="587"/>
      <c r="AR567" s="587"/>
      <c r="AS567" s="587"/>
      <c r="AT567" s="587"/>
      <c r="AU567" s="587"/>
      <c r="AV567" s="587"/>
      <c r="AW567" s="587"/>
    </row>
    <row r="568" spans="1:49">
      <c r="A568" s="581">
        <v>26634</v>
      </c>
      <c r="B568" s="594">
        <v>1.4200000000000001E-2</v>
      </c>
      <c r="C568" s="577">
        <v>-1.7399999999999999E-2</v>
      </c>
      <c r="D568" s="577">
        <v>4.4999999999999997E-3</v>
      </c>
      <c r="E568" s="577">
        <v>5.8999999999999999E-3</v>
      </c>
      <c r="F568" s="577">
        <v>6.1333333333333344E-3</v>
      </c>
      <c r="G568" s="577">
        <v>6.0166666666666667E-3</v>
      </c>
      <c r="H568" s="577">
        <v>6.2333333333333338E-3</v>
      </c>
      <c r="I568" s="577">
        <f t="shared" si="90"/>
        <v>9.7000000000000003E-3</v>
      </c>
      <c r="J568" s="577">
        <f t="shared" si="94"/>
        <v>8.1833333333333341E-3</v>
      </c>
      <c r="K568" s="577">
        <f t="shared" si="95"/>
        <v>-2.3633333333333333E-2</v>
      </c>
      <c r="L568" s="585">
        <f t="shared" si="91"/>
        <v>0.1900620613517392</v>
      </c>
      <c r="M568" s="585">
        <f t="shared" si="92"/>
        <v>5.3999999999999992E-2</v>
      </c>
      <c r="N568" s="585">
        <f t="shared" si="96"/>
        <v>7.22E-2</v>
      </c>
      <c r="O568" s="586">
        <f t="shared" si="93"/>
        <v>0.13606206135173921</v>
      </c>
      <c r="P568" s="585">
        <f t="shared" si="97"/>
        <v>0.1178620613517392</v>
      </c>
      <c r="Q568" s="585">
        <f t="shared" si="98"/>
        <v>8.1363464431688071E-2</v>
      </c>
      <c r="R568" s="585">
        <f t="shared" si="99"/>
        <v>7.4800000000000005E-2</v>
      </c>
      <c r="S568" s="586">
        <f t="shared" si="100"/>
        <v>6.5634644316880653E-3</v>
      </c>
      <c r="U568" s="587"/>
      <c r="V568" s="587"/>
      <c r="W568" s="587"/>
      <c r="X568" s="587"/>
      <c r="Y568" s="587"/>
      <c r="Z568" s="587"/>
      <c r="AA568" s="587"/>
      <c r="AB568" s="587"/>
      <c r="AC568" s="587"/>
      <c r="AE568" s="587"/>
      <c r="AF568" s="587"/>
      <c r="AG568" s="587"/>
      <c r="AH568" s="587"/>
      <c r="AI568" s="587"/>
      <c r="AJ568" s="587"/>
      <c r="AK568" s="587"/>
      <c r="AL568" s="587"/>
      <c r="AM568" s="587"/>
      <c r="AO568" s="587"/>
      <c r="AP568" s="587"/>
      <c r="AQ568" s="587"/>
      <c r="AR568" s="587"/>
      <c r="AS568" s="587"/>
      <c r="AT568" s="587"/>
      <c r="AU568" s="587"/>
      <c r="AV568" s="587"/>
      <c r="AW568" s="587"/>
    </row>
    <row r="569" spans="1:49">
      <c r="A569" s="581">
        <v>26665</v>
      </c>
      <c r="B569" s="594">
        <v>-1.49E-2</v>
      </c>
      <c r="C569" s="577">
        <v>-4.3900000000000008E-2</v>
      </c>
      <c r="D569" s="577">
        <v>5.4000000000000003E-3</v>
      </c>
      <c r="E569" s="577">
        <v>5.9583333333333328E-3</v>
      </c>
      <c r="F569" s="577">
        <v>6.1416666666666668E-3</v>
      </c>
      <c r="G569" s="577">
        <v>6.0499999999999998E-3</v>
      </c>
      <c r="H569" s="577">
        <v>6.2666666666666669E-3</v>
      </c>
      <c r="I569" s="577">
        <f t="shared" si="90"/>
        <v>-2.0299999999999999E-2</v>
      </c>
      <c r="J569" s="577">
        <f t="shared" si="94"/>
        <v>-2.095E-2</v>
      </c>
      <c r="K569" s="577">
        <f t="shared" si="95"/>
        <v>-5.0166666666666679E-2</v>
      </c>
      <c r="L569" s="585">
        <f t="shared" si="91"/>
        <v>0.14866758439897931</v>
      </c>
      <c r="M569" s="585">
        <f t="shared" si="92"/>
        <v>6.4799999999999996E-2</v>
      </c>
      <c r="N569" s="585">
        <f t="shared" si="96"/>
        <v>7.2599999999999998E-2</v>
      </c>
      <c r="O569" s="586">
        <f t="shared" si="93"/>
        <v>8.3867584398979317E-2</v>
      </c>
      <c r="P569" s="585">
        <f t="shared" si="97"/>
        <v>7.6067584398979315E-2</v>
      </c>
      <c r="Q569" s="585">
        <f t="shared" si="98"/>
        <v>4.1599444230442151E-2</v>
      </c>
      <c r="R569" s="585">
        <f t="shared" si="99"/>
        <v>7.5200000000000003E-2</v>
      </c>
      <c r="S569" s="586">
        <f t="shared" si="100"/>
        <v>-3.3600555769557852E-2</v>
      </c>
      <c r="U569" s="587"/>
      <c r="V569" s="587"/>
      <c r="W569" s="587"/>
      <c r="X569" s="587"/>
      <c r="Y569" s="587"/>
      <c r="Z569" s="587"/>
      <c r="AA569" s="587"/>
      <c r="AB569" s="587"/>
      <c r="AC569" s="587"/>
      <c r="AE569" s="587"/>
      <c r="AF569" s="587"/>
      <c r="AG569" s="587"/>
      <c r="AH569" s="587"/>
      <c r="AI569" s="587"/>
      <c r="AJ569" s="587"/>
      <c r="AK569" s="587"/>
      <c r="AL569" s="587"/>
      <c r="AM569" s="587"/>
      <c r="AO569" s="587"/>
      <c r="AP569" s="587"/>
      <c r="AQ569" s="587"/>
      <c r="AR569" s="587"/>
      <c r="AS569" s="587"/>
      <c r="AT569" s="587"/>
      <c r="AU569" s="587"/>
      <c r="AV569" s="587"/>
      <c r="AW569" s="587"/>
    </row>
    <row r="570" spans="1:49">
      <c r="A570" s="581">
        <v>26696</v>
      </c>
      <c r="B570" s="594">
        <v>-3.5200000000000002E-2</v>
      </c>
      <c r="C570" s="577">
        <v>-2.3399999999999997E-2</v>
      </c>
      <c r="D570" s="577">
        <v>5.1000000000000004E-3</v>
      </c>
      <c r="E570" s="577">
        <v>6.0166666666666667E-3</v>
      </c>
      <c r="F570" s="577">
        <v>6.2249999999999996E-3</v>
      </c>
      <c r="G570" s="577">
        <v>6.1208333333333332E-3</v>
      </c>
      <c r="H570" s="577">
        <v>6.3499999999999997E-3</v>
      </c>
      <c r="I570" s="577">
        <f t="shared" si="90"/>
        <v>-4.0300000000000002E-2</v>
      </c>
      <c r="J570" s="577">
        <f t="shared" si="94"/>
        <v>-4.1320833333333334E-2</v>
      </c>
      <c r="K570" s="577">
        <f t="shared" si="95"/>
        <v>-2.9749999999999999E-2</v>
      </c>
      <c r="L570" s="585">
        <f t="shared" si="91"/>
        <v>7.8363807947976039E-2</v>
      </c>
      <c r="M570" s="585">
        <f t="shared" si="92"/>
        <v>6.1200000000000004E-2</v>
      </c>
      <c r="N570" s="585">
        <f t="shared" si="96"/>
        <v>7.3450000000000001E-2</v>
      </c>
      <c r="O570" s="586">
        <f t="shared" si="93"/>
        <v>1.7163807947976034E-2</v>
      </c>
      <c r="P570" s="585">
        <f t="shared" si="97"/>
        <v>4.9138079479760371E-3</v>
      </c>
      <c r="Q570" s="585">
        <f t="shared" si="98"/>
        <v>4.2239771757632827E-2</v>
      </c>
      <c r="R570" s="585">
        <f t="shared" si="99"/>
        <v>7.619999999999999E-2</v>
      </c>
      <c r="S570" s="586">
        <f t="shared" si="100"/>
        <v>-3.3960228242367163E-2</v>
      </c>
      <c r="U570" s="587"/>
      <c r="V570" s="587"/>
      <c r="W570" s="587"/>
      <c r="X570" s="587"/>
      <c r="Y570" s="587"/>
      <c r="Z570" s="587"/>
      <c r="AA570" s="587"/>
      <c r="AB570" s="587"/>
      <c r="AC570" s="587"/>
      <c r="AE570" s="587"/>
      <c r="AF570" s="587"/>
      <c r="AG570" s="587"/>
      <c r="AH570" s="587"/>
      <c r="AI570" s="587"/>
      <c r="AJ570" s="587"/>
      <c r="AK570" s="587"/>
      <c r="AL570" s="587"/>
      <c r="AM570" s="587"/>
      <c r="AO570" s="587"/>
      <c r="AP570" s="587"/>
      <c r="AQ570" s="587"/>
      <c r="AR570" s="587"/>
      <c r="AS570" s="587"/>
      <c r="AT570" s="587"/>
      <c r="AU570" s="587"/>
      <c r="AV570" s="587"/>
      <c r="AW570" s="587"/>
    </row>
    <row r="571" spans="1:49">
      <c r="A571" s="581">
        <v>26724</v>
      </c>
      <c r="B571" s="594">
        <v>8.0000000000000004E-4</v>
      </c>
      <c r="C571" s="577">
        <v>-1.3500000000000002E-2</v>
      </c>
      <c r="D571" s="577">
        <v>5.5999999999999991E-3</v>
      </c>
      <c r="E571" s="577">
        <v>6.0750000000000005E-3</v>
      </c>
      <c r="F571" s="577">
        <v>6.2416666666666662E-3</v>
      </c>
      <c r="G571" s="577">
        <v>6.1583333333333334E-3</v>
      </c>
      <c r="H571" s="577">
        <v>6.3833333333333329E-3</v>
      </c>
      <c r="I571" s="577">
        <f t="shared" si="90"/>
        <v>-4.7999999999999987E-3</v>
      </c>
      <c r="J571" s="577">
        <f t="shared" si="94"/>
        <v>-5.358333333333333E-3</v>
      </c>
      <c r="K571" s="577">
        <f t="shared" si="95"/>
        <v>-1.9883333333333336E-2</v>
      </c>
      <c r="L571" s="585">
        <f t="shared" si="91"/>
        <v>7.0342654958181372E-2</v>
      </c>
      <c r="M571" s="585">
        <f t="shared" si="92"/>
        <v>6.7199999999999982E-2</v>
      </c>
      <c r="N571" s="585">
        <f t="shared" si="96"/>
        <v>7.3899999999999993E-2</v>
      </c>
      <c r="O571" s="586">
        <f t="shared" si="93"/>
        <v>3.1426549581813901E-3</v>
      </c>
      <c r="P571" s="585">
        <f t="shared" si="97"/>
        <v>-3.5573450418186214E-3</v>
      </c>
      <c r="Q571" s="585">
        <f t="shared" si="98"/>
        <v>3.1884318385091648E-2</v>
      </c>
      <c r="R571" s="585">
        <f t="shared" si="99"/>
        <v>7.6600000000000001E-2</v>
      </c>
      <c r="S571" s="586">
        <f t="shared" si="100"/>
        <v>-4.4715681614908354E-2</v>
      </c>
      <c r="U571" s="587"/>
      <c r="V571" s="587"/>
      <c r="W571" s="587"/>
      <c r="X571" s="587"/>
      <c r="Y571" s="587"/>
      <c r="Z571" s="587"/>
      <c r="AA571" s="587"/>
      <c r="AB571" s="587"/>
      <c r="AC571" s="587"/>
      <c r="AE571" s="587"/>
      <c r="AF571" s="587"/>
      <c r="AG571" s="587"/>
      <c r="AH571" s="587"/>
      <c r="AI571" s="587"/>
      <c r="AJ571" s="587"/>
      <c r="AK571" s="587"/>
      <c r="AL571" s="587"/>
      <c r="AM571" s="587"/>
      <c r="AO571" s="587"/>
      <c r="AP571" s="587"/>
      <c r="AQ571" s="587"/>
      <c r="AR571" s="587"/>
      <c r="AS571" s="587"/>
      <c r="AT571" s="587"/>
      <c r="AU571" s="587"/>
      <c r="AV571" s="587"/>
      <c r="AW571" s="587"/>
    </row>
    <row r="572" spans="1:49">
      <c r="A572" s="581">
        <v>26755</v>
      </c>
      <c r="B572" s="594">
        <v>-3.8300000000000001E-2</v>
      </c>
      <c r="C572" s="577">
        <v>-4.9000000000000007E-3</v>
      </c>
      <c r="D572" s="577">
        <v>5.7000000000000002E-3</v>
      </c>
      <c r="E572" s="577">
        <v>6.0499999999999998E-3</v>
      </c>
      <c r="F572" s="577">
        <v>6.2416666666666662E-3</v>
      </c>
      <c r="G572" s="577">
        <v>6.145833333333333E-3</v>
      </c>
      <c r="H572" s="577">
        <v>6.3583333333333339E-3</v>
      </c>
      <c r="I572" s="577">
        <f t="shared" si="90"/>
        <v>-4.3999999999999997E-2</v>
      </c>
      <c r="J572" s="577">
        <f t="shared" si="94"/>
        <v>-4.4445833333333337E-2</v>
      </c>
      <c r="K572" s="577">
        <f t="shared" si="95"/>
        <v>-1.1258333333333335E-2</v>
      </c>
      <c r="L572" s="585">
        <f t="shared" si="91"/>
        <v>2.239623686261738E-2</v>
      </c>
      <c r="M572" s="585">
        <f t="shared" si="92"/>
        <v>6.8400000000000002E-2</v>
      </c>
      <c r="N572" s="585">
        <f t="shared" si="96"/>
        <v>7.3749999999999996E-2</v>
      </c>
      <c r="O572" s="586">
        <f t="shared" si="93"/>
        <v>-4.6003763137382622E-2</v>
      </c>
      <c r="P572" s="585">
        <f t="shared" si="97"/>
        <v>-5.1353763137382616E-2</v>
      </c>
      <c r="Q572" s="585">
        <f t="shared" si="98"/>
        <v>5.6081543993627969E-2</v>
      </c>
      <c r="R572" s="585">
        <f t="shared" si="99"/>
        <v>7.6300000000000007E-2</v>
      </c>
      <c r="S572" s="586">
        <f t="shared" si="100"/>
        <v>-2.0218456006372038E-2</v>
      </c>
      <c r="U572" s="587"/>
      <c r="V572" s="587"/>
      <c r="W572" s="587"/>
      <c r="X572" s="587"/>
      <c r="Y572" s="587"/>
      <c r="Z572" s="587"/>
      <c r="AA572" s="587"/>
      <c r="AB572" s="587"/>
      <c r="AC572" s="587"/>
      <c r="AE572" s="587"/>
      <c r="AF572" s="587"/>
      <c r="AG572" s="587"/>
      <c r="AH572" s="587"/>
      <c r="AI572" s="587"/>
      <c r="AJ572" s="587"/>
      <c r="AK572" s="587"/>
      <c r="AL572" s="587"/>
      <c r="AM572" s="587"/>
      <c r="AO572" s="587"/>
      <c r="AP572" s="587"/>
      <c r="AQ572" s="587"/>
      <c r="AR572" s="587"/>
      <c r="AS572" s="587"/>
      <c r="AT572" s="587"/>
      <c r="AU572" s="587"/>
      <c r="AV572" s="587"/>
      <c r="AW572" s="587"/>
    </row>
    <row r="573" spans="1:49">
      <c r="A573" s="581">
        <v>26785</v>
      </c>
      <c r="B573" s="594">
        <v>-1.6299999999999999E-2</v>
      </c>
      <c r="C573" s="577">
        <v>6.7000000000000002E-3</v>
      </c>
      <c r="D573" s="577">
        <v>5.7999999999999996E-3</v>
      </c>
      <c r="E573" s="577">
        <v>6.0750000000000005E-3</v>
      </c>
      <c r="F573" s="577">
        <v>6.2416666666666662E-3</v>
      </c>
      <c r="G573" s="577">
        <v>6.1583333333333334E-3</v>
      </c>
      <c r="H573" s="577">
        <v>6.3583333333333339E-3</v>
      </c>
      <c r="I573" s="577">
        <f t="shared" si="90"/>
        <v>-2.2099999999999998E-2</v>
      </c>
      <c r="J573" s="577">
        <f t="shared" si="94"/>
        <v>-2.245833333333333E-2</v>
      </c>
      <c r="K573" s="577">
        <f t="shared" si="95"/>
        <v>3.4166666666666633E-4</v>
      </c>
      <c r="L573" s="585">
        <f t="shared" si="91"/>
        <v>-1.3698952435268419E-2</v>
      </c>
      <c r="M573" s="585">
        <f t="shared" si="92"/>
        <v>6.9599999999999995E-2</v>
      </c>
      <c r="N573" s="585">
        <f t="shared" si="96"/>
        <v>7.3899999999999993E-2</v>
      </c>
      <c r="O573" s="586">
        <f t="shared" si="93"/>
        <v>-8.3298952435268414E-2</v>
      </c>
      <c r="P573" s="585">
        <f t="shared" si="97"/>
        <v>-8.7598952435268412E-2</v>
      </c>
      <c r="Q573" s="585">
        <f t="shared" si="98"/>
        <v>6.496773548871615E-2</v>
      </c>
      <c r="R573" s="585">
        <f t="shared" si="99"/>
        <v>7.6300000000000007E-2</v>
      </c>
      <c r="S573" s="586">
        <f t="shared" si="100"/>
        <v>-1.1332264511283857E-2</v>
      </c>
      <c r="U573" s="587"/>
      <c r="V573" s="587"/>
      <c r="W573" s="587"/>
      <c r="X573" s="587"/>
      <c r="Y573" s="587"/>
      <c r="Z573" s="587"/>
      <c r="AA573" s="587"/>
      <c r="AB573" s="587"/>
      <c r="AC573" s="587"/>
      <c r="AE573" s="587"/>
      <c r="AF573" s="587"/>
      <c r="AG573" s="587"/>
      <c r="AH573" s="587"/>
      <c r="AI573" s="587"/>
      <c r="AJ573" s="587"/>
      <c r="AK573" s="587"/>
      <c r="AL573" s="587"/>
      <c r="AM573" s="587"/>
      <c r="AO573" s="587"/>
      <c r="AP573" s="587"/>
      <c r="AQ573" s="587"/>
      <c r="AR573" s="587"/>
      <c r="AS573" s="587"/>
      <c r="AT573" s="587"/>
      <c r="AU573" s="587"/>
      <c r="AV573" s="587"/>
      <c r="AW573" s="587"/>
    </row>
    <row r="574" spans="1:49">
      <c r="A574" s="581">
        <v>26816</v>
      </c>
      <c r="B574" s="594">
        <v>-4.0000000000000001E-3</v>
      </c>
      <c r="C574" s="577">
        <v>-1.67E-2</v>
      </c>
      <c r="D574" s="577">
        <v>5.4999999999999997E-3</v>
      </c>
      <c r="E574" s="577">
        <v>6.1416666666666668E-3</v>
      </c>
      <c r="F574" s="577">
        <v>6.2916666666666668E-3</v>
      </c>
      <c r="G574" s="577">
        <v>6.2166666666666655E-3</v>
      </c>
      <c r="H574" s="577">
        <v>6.4249999999999993E-3</v>
      </c>
      <c r="I574" s="577">
        <f t="shared" si="90"/>
        <v>-9.4999999999999998E-3</v>
      </c>
      <c r="J574" s="577">
        <f t="shared" si="94"/>
        <v>-1.0216666666666666E-2</v>
      </c>
      <c r="K574" s="577">
        <f t="shared" si="95"/>
        <v>-2.3125E-2</v>
      </c>
      <c r="L574" s="585">
        <f t="shared" si="91"/>
        <v>1.7905806388665013E-3</v>
      </c>
      <c r="M574" s="585">
        <f t="shared" si="92"/>
        <v>6.6000000000000003E-2</v>
      </c>
      <c r="N574" s="585">
        <f t="shared" si="96"/>
        <v>7.4599999999999986E-2</v>
      </c>
      <c r="O574" s="586">
        <f t="shared" si="93"/>
        <v>-6.4209419361133502E-2</v>
      </c>
      <c r="P574" s="585">
        <f t="shared" si="97"/>
        <v>-7.2809419361133484E-2</v>
      </c>
      <c r="Q574" s="585">
        <f t="shared" si="98"/>
        <v>6.9645326155315823E-2</v>
      </c>
      <c r="R574" s="585">
        <f t="shared" si="99"/>
        <v>7.7099999999999988E-2</v>
      </c>
      <c r="S574" s="586">
        <f t="shared" si="100"/>
        <v>-7.4546738446841648E-3</v>
      </c>
      <c r="U574" s="587"/>
      <c r="V574" s="587"/>
      <c r="W574" s="587"/>
      <c r="X574" s="587"/>
      <c r="Y574" s="587"/>
      <c r="Z574" s="587"/>
      <c r="AA574" s="587"/>
      <c r="AB574" s="587"/>
      <c r="AC574" s="587"/>
      <c r="AE574" s="587"/>
      <c r="AF574" s="587"/>
      <c r="AG574" s="587"/>
      <c r="AH574" s="587"/>
      <c r="AI574" s="587"/>
      <c r="AJ574" s="587"/>
      <c r="AK574" s="587"/>
      <c r="AL574" s="587"/>
      <c r="AM574" s="587"/>
      <c r="AO574" s="587"/>
      <c r="AP574" s="587"/>
      <c r="AQ574" s="587"/>
      <c r="AR574" s="587"/>
      <c r="AS574" s="587"/>
      <c r="AT574" s="587"/>
      <c r="AU574" s="587"/>
      <c r="AV574" s="587"/>
      <c r="AW574" s="587"/>
    </row>
    <row r="575" spans="1:49">
      <c r="A575" s="581">
        <v>26846</v>
      </c>
      <c r="B575" s="594">
        <v>4.07E-2</v>
      </c>
      <c r="C575" s="577">
        <v>-1.9900000000000001E-2</v>
      </c>
      <c r="D575" s="577">
        <v>6.0999999999999995E-3</v>
      </c>
      <c r="E575" s="577">
        <v>6.2083333333333331E-3</v>
      </c>
      <c r="F575" s="577">
        <v>6.3666666666666663E-3</v>
      </c>
      <c r="G575" s="577">
        <v>6.2874999999999988E-3</v>
      </c>
      <c r="H575" s="577">
        <v>6.5166666666666671E-3</v>
      </c>
      <c r="I575" s="577">
        <f t="shared" si="90"/>
        <v>3.4599999999999999E-2</v>
      </c>
      <c r="J575" s="577">
        <f t="shared" si="94"/>
        <v>3.4412499999999999E-2</v>
      </c>
      <c r="K575" s="577">
        <f t="shared" si="95"/>
        <v>-2.6416666666666668E-2</v>
      </c>
      <c r="L575" s="585">
        <f t="shared" si="91"/>
        <v>3.7583058589637952E-2</v>
      </c>
      <c r="M575" s="585">
        <f t="shared" si="92"/>
        <v>7.3199999999999987E-2</v>
      </c>
      <c r="N575" s="585">
        <f t="shared" si="96"/>
        <v>7.5449999999999989E-2</v>
      </c>
      <c r="O575" s="586">
        <f t="shared" si="93"/>
        <v>-3.5616941410362035E-2</v>
      </c>
      <c r="P575" s="585">
        <f t="shared" si="97"/>
        <v>-3.7866941410362037E-2</v>
      </c>
      <c r="Q575" s="585">
        <f t="shared" si="98"/>
        <v>4.9829144967780348E-2</v>
      </c>
      <c r="R575" s="585">
        <f t="shared" si="99"/>
        <v>7.8200000000000006E-2</v>
      </c>
      <c r="S575" s="586">
        <f t="shared" si="100"/>
        <v>-2.8370855032219658E-2</v>
      </c>
      <c r="U575" s="587"/>
      <c r="V575" s="587"/>
      <c r="W575" s="587"/>
      <c r="X575" s="587"/>
      <c r="Y575" s="587"/>
      <c r="Z575" s="587"/>
      <c r="AA575" s="587"/>
      <c r="AB575" s="587"/>
      <c r="AC575" s="587"/>
      <c r="AE575" s="587"/>
      <c r="AF575" s="587"/>
      <c r="AG575" s="587"/>
      <c r="AH575" s="587"/>
      <c r="AI575" s="587"/>
      <c r="AJ575" s="587"/>
      <c r="AK575" s="587"/>
      <c r="AL575" s="587"/>
      <c r="AM575" s="587"/>
      <c r="AO575" s="587"/>
      <c r="AP575" s="587"/>
      <c r="AQ575" s="587"/>
      <c r="AR575" s="587"/>
      <c r="AS575" s="587"/>
      <c r="AT575" s="587"/>
      <c r="AU575" s="587"/>
      <c r="AV575" s="587"/>
      <c r="AW575" s="587"/>
    </row>
    <row r="576" spans="1:49">
      <c r="A576" s="581">
        <v>26877</v>
      </c>
      <c r="B576" s="594">
        <v>-3.4099999999999998E-2</v>
      </c>
      <c r="C576" s="577">
        <v>-2.8399999999999995E-2</v>
      </c>
      <c r="D576" s="577">
        <v>6.1999999999999998E-3</v>
      </c>
      <c r="E576" s="577">
        <v>6.4000000000000003E-3</v>
      </c>
      <c r="F576" s="577">
        <v>6.5333333333333328E-3</v>
      </c>
      <c r="G576" s="577">
        <v>6.4666666666666674E-3</v>
      </c>
      <c r="H576" s="577">
        <v>6.6999999999999994E-3</v>
      </c>
      <c r="I576" s="577">
        <f t="shared" si="90"/>
        <v>-4.0299999999999996E-2</v>
      </c>
      <c r="J576" s="577">
        <f t="shared" si="94"/>
        <v>-4.0566666666666668E-2</v>
      </c>
      <c r="K576" s="577">
        <f t="shared" si="95"/>
        <v>-3.5099999999999992E-2</v>
      </c>
      <c r="L576" s="585">
        <f t="shared" si="91"/>
        <v>-3.3463712709295379E-2</v>
      </c>
      <c r="M576" s="585">
        <f t="shared" si="92"/>
        <v>7.4399999999999994E-2</v>
      </c>
      <c r="N576" s="585">
        <f t="shared" si="96"/>
        <v>7.7600000000000002E-2</v>
      </c>
      <c r="O576" s="586">
        <f t="shared" si="93"/>
        <v>-0.10786371270929537</v>
      </c>
      <c r="P576" s="585">
        <f t="shared" si="97"/>
        <v>-0.11106371270929538</v>
      </c>
      <c r="Q576" s="585">
        <f t="shared" si="98"/>
        <v>-3.5356537496978313E-2</v>
      </c>
      <c r="R576" s="585">
        <f t="shared" si="99"/>
        <v>8.0399999999999999E-2</v>
      </c>
      <c r="S576" s="586">
        <f t="shared" si="100"/>
        <v>-0.11575653749697831</v>
      </c>
      <c r="U576" s="587"/>
      <c r="V576" s="587"/>
      <c r="W576" s="587"/>
      <c r="X576" s="587"/>
      <c r="Y576" s="587"/>
      <c r="Z576" s="587"/>
      <c r="AA576" s="587"/>
      <c r="AB576" s="587"/>
      <c r="AC576" s="587"/>
      <c r="AE576" s="587"/>
      <c r="AF576" s="587"/>
      <c r="AG576" s="587"/>
      <c r="AH576" s="587"/>
      <c r="AI576" s="587"/>
      <c r="AJ576" s="587"/>
      <c r="AK576" s="587"/>
      <c r="AL576" s="587"/>
      <c r="AM576" s="587"/>
      <c r="AO576" s="587"/>
      <c r="AP576" s="587"/>
      <c r="AQ576" s="587"/>
      <c r="AR576" s="587"/>
      <c r="AS576" s="587"/>
      <c r="AT576" s="587"/>
      <c r="AU576" s="587"/>
      <c r="AV576" s="587"/>
      <c r="AW576" s="587"/>
    </row>
    <row r="577" spans="1:49">
      <c r="A577" s="581">
        <v>26908</v>
      </c>
      <c r="B577" s="594">
        <v>4.2700000000000002E-2</v>
      </c>
      <c r="C577" s="577">
        <v>7.7099999999999988E-2</v>
      </c>
      <c r="D577" s="577">
        <v>5.4999999999999997E-3</v>
      </c>
      <c r="E577" s="577">
        <v>6.3583333333333339E-3</v>
      </c>
      <c r="F577" s="577">
        <v>6.5500000000000003E-3</v>
      </c>
      <c r="G577" s="577">
        <v>6.4541666666666671E-3</v>
      </c>
      <c r="H577" s="577">
        <v>6.6999999999999994E-3</v>
      </c>
      <c r="I577" s="577">
        <f t="shared" si="90"/>
        <v>3.7200000000000004E-2</v>
      </c>
      <c r="J577" s="577">
        <f t="shared" si="94"/>
        <v>3.6245833333333338E-2</v>
      </c>
      <c r="K577" s="577">
        <f t="shared" si="95"/>
        <v>7.039999999999999E-2</v>
      </c>
      <c r="L577" s="585">
        <f t="shared" si="91"/>
        <v>1.0333219807536542E-2</v>
      </c>
      <c r="M577" s="585">
        <f t="shared" si="92"/>
        <v>6.6000000000000003E-2</v>
      </c>
      <c r="N577" s="585">
        <f t="shared" si="96"/>
        <v>7.7450000000000005E-2</v>
      </c>
      <c r="O577" s="586">
        <f t="shared" si="93"/>
        <v>-5.5666780192463461E-2</v>
      </c>
      <c r="P577" s="585">
        <f t="shared" si="97"/>
        <v>-6.7116780192463463E-2</v>
      </c>
      <c r="Q577" s="585">
        <f t="shared" si="98"/>
        <v>3.6219680325127124E-2</v>
      </c>
      <c r="R577" s="585">
        <f t="shared" si="99"/>
        <v>8.0399999999999999E-2</v>
      </c>
      <c r="S577" s="586">
        <f t="shared" si="100"/>
        <v>-4.4180319674872875E-2</v>
      </c>
      <c r="U577" s="587"/>
      <c r="V577" s="587"/>
      <c r="W577" s="587"/>
      <c r="X577" s="587"/>
      <c r="Y577" s="587"/>
      <c r="Z577" s="587"/>
      <c r="AA577" s="587"/>
      <c r="AB577" s="587"/>
      <c r="AC577" s="587"/>
      <c r="AE577" s="587"/>
      <c r="AF577" s="587"/>
      <c r="AG577" s="587"/>
      <c r="AH577" s="587"/>
      <c r="AI577" s="587"/>
      <c r="AJ577" s="587"/>
      <c r="AK577" s="587"/>
      <c r="AL577" s="587"/>
      <c r="AM577" s="587"/>
      <c r="AO577" s="587"/>
      <c r="AP577" s="587"/>
      <c r="AQ577" s="587"/>
      <c r="AR577" s="587"/>
      <c r="AS577" s="587"/>
      <c r="AT577" s="587"/>
      <c r="AU577" s="587"/>
      <c r="AV577" s="587"/>
      <c r="AW577" s="587"/>
    </row>
    <row r="578" spans="1:49">
      <c r="A578" s="581">
        <v>26938</v>
      </c>
      <c r="B578" s="594">
        <v>1.6999999999999999E-3</v>
      </c>
      <c r="C578" s="577">
        <v>-3.8800000000000001E-2</v>
      </c>
      <c r="D578" s="577">
        <v>6.3E-3</v>
      </c>
      <c r="E578" s="577">
        <v>6.3333333333333332E-3</v>
      </c>
      <c r="F578" s="577">
        <v>6.5333333333333328E-3</v>
      </c>
      <c r="G578" s="577">
        <v>6.4333333333333334E-3</v>
      </c>
      <c r="H578" s="577">
        <v>6.6833333333333337E-3</v>
      </c>
      <c r="I578" s="577">
        <f t="shared" si="90"/>
        <v>-4.5999999999999999E-3</v>
      </c>
      <c r="J578" s="577">
        <f t="shared" si="94"/>
        <v>-4.7333333333333333E-3</v>
      </c>
      <c r="K578" s="577">
        <f t="shared" si="95"/>
        <v>-4.5483333333333334E-2</v>
      </c>
      <c r="L578" s="585">
        <f t="shared" si="91"/>
        <v>2.4786151532851797E-4</v>
      </c>
      <c r="M578" s="585">
        <f t="shared" si="92"/>
        <v>7.5600000000000001E-2</v>
      </c>
      <c r="N578" s="585">
        <f t="shared" si="96"/>
        <v>7.7200000000000005E-2</v>
      </c>
      <c r="O578" s="586">
        <f t="shared" si="93"/>
        <v>-7.5352138484671483E-2</v>
      </c>
      <c r="P578" s="585">
        <f t="shared" si="97"/>
        <v>-7.6952138484671487E-2</v>
      </c>
      <c r="Q578" s="585">
        <f t="shared" si="98"/>
        <v>-6.4863058183727174E-2</v>
      </c>
      <c r="R578" s="585">
        <f t="shared" si="99"/>
        <v>8.0200000000000007E-2</v>
      </c>
      <c r="S578" s="586">
        <f t="shared" si="100"/>
        <v>-0.14506305818372717</v>
      </c>
      <c r="U578" s="587"/>
      <c r="V578" s="587"/>
      <c r="W578" s="587"/>
      <c r="X578" s="587"/>
      <c r="Y578" s="587"/>
      <c r="Z578" s="587"/>
      <c r="AA578" s="587"/>
      <c r="AB578" s="587"/>
      <c r="AC578" s="587"/>
      <c r="AE578" s="587"/>
      <c r="AF578" s="587"/>
      <c r="AG578" s="587"/>
      <c r="AH578" s="587"/>
      <c r="AI578" s="587"/>
      <c r="AJ578" s="587"/>
      <c r="AK578" s="587"/>
      <c r="AL578" s="587"/>
      <c r="AM578" s="587"/>
      <c r="AO578" s="587"/>
      <c r="AP578" s="587"/>
      <c r="AQ578" s="587"/>
      <c r="AR578" s="587"/>
      <c r="AS578" s="587"/>
      <c r="AT578" s="587"/>
      <c r="AU578" s="587"/>
      <c r="AV578" s="587"/>
      <c r="AW578" s="587"/>
    </row>
    <row r="579" spans="1:49">
      <c r="A579" s="581">
        <v>26969</v>
      </c>
      <c r="B579" s="594">
        <v>-0.1109</v>
      </c>
      <c r="C579" s="577">
        <v>-0.11720000000000001</v>
      </c>
      <c r="D579" s="577">
        <v>5.5999999999999991E-3</v>
      </c>
      <c r="E579" s="577">
        <v>6.391666666666667E-3</v>
      </c>
      <c r="F579" s="577">
        <v>6.5833333333333334E-3</v>
      </c>
      <c r="G579" s="577">
        <v>6.4874999999999993E-3</v>
      </c>
      <c r="H579" s="577">
        <v>6.7916666666666672E-3</v>
      </c>
      <c r="I579" s="577">
        <f t="shared" si="90"/>
        <v>-0.11649999999999999</v>
      </c>
      <c r="J579" s="577">
        <f t="shared" si="94"/>
        <v>-0.11738749999999999</v>
      </c>
      <c r="K579" s="577">
        <f t="shared" si="95"/>
        <v>-0.12399166666666668</v>
      </c>
      <c r="L579" s="585">
        <f t="shared" si="91"/>
        <v>-0.15149282160740518</v>
      </c>
      <c r="M579" s="585">
        <f t="shared" si="92"/>
        <v>6.7199999999999982E-2</v>
      </c>
      <c r="N579" s="585">
        <f t="shared" si="96"/>
        <v>7.7849999999999989E-2</v>
      </c>
      <c r="O579" s="586">
        <f t="shared" si="93"/>
        <v>-0.21869282160740516</v>
      </c>
      <c r="P579" s="585">
        <f t="shared" si="97"/>
        <v>-0.22934282160740516</v>
      </c>
      <c r="Q579" s="585">
        <f t="shared" si="98"/>
        <v>-0.22404465435153142</v>
      </c>
      <c r="R579" s="585">
        <f t="shared" si="99"/>
        <v>8.1500000000000003E-2</v>
      </c>
      <c r="S579" s="586">
        <f t="shared" si="100"/>
        <v>-0.30554465435153144</v>
      </c>
      <c r="U579" s="587"/>
      <c r="V579" s="587"/>
      <c r="W579" s="587"/>
      <c r="X579" s="587"/>
      <c r="Y579" s="587"/>
      <c r="Z579" s="587"/>
      <c r="AA579" s="587"/>
      <c r="AB579" s="587"/>
      <c r="AC579" s="587"/>
      <c r="AE579" s="587"/>
      <c r="AF579" s="587"/>
      <c r="AG579" s="587"/>
      <c r="AH579" s="587"/>
      <c r="AI579" s="587"/>
      <c r="AJ579" s="587"/>
      <c r="AK579" s="587"/>
      <c r="AL579" s="587"/>
      <c r="AM579" s="587"/>
      <c r="AO579" s="587"/>
      <c r="AP579" s="587"/>
      <c r="AQ579" s="587"/>
      <c r="AR579" s="587"/>
      <c r="AS579" s="587"/>
      <c r="AT579" s="587"/>
      <c r="AU579" s="587"/>
      <c r="AV579" s="587"/>
      <c r="AW579" s="587"/>
    </row>
    <row r="580" spans="1:49">
      <c r="A580" s="581">
        <v>26999</v>
      </c>
      <c r="B580" s="594">
        <v>1.9800000000000002E-2</v>
      </c>
      <c r="C580" s="577">
        <v>3.7499999999999999E-2</v>
      </c>
      <c r="D580" s="577">
        <v>6.0000000000000001E-3</v>
      </c>
      <c r="E580" s="577">
        <v>6.4000000000000003E-3</v>
      </c>
      <c r="F580" s="577">
        <v>6.6E-3</v>
      </c>
      <c r="G580" s="577">
        <v>6.5000000000000006E-3</v>
      </c>
      <c r="H580" s="577">
        <v>6.8666666666666668E-3</v>
      </c>
      <c r="I580" s="577">
        <f t="shared" si="90"/>
        <v>1.3800000000000002E-2</v>
      </c>
      <c r="J580" s="577">
        <f t="shared" si="94"/>
        <v>1.3300000000000001E-2</v>
      </c>
      <c r="K580" s="577">
        <f t="shared" si="95"/>
        <v>3.0633333333333332E-2</v>
      </c>
      <c r="L580" s="585">
        <f t="shared" si="91"/>
        <v>-0.14680770999332649</v>
      </c>
      <c r="M580" s="585">
        <f t="shared" si="92"/>
        <v>7.2000000000000008E-2</v>
      </c>
      <c r="N580" s="585">
        <f t="shared" si="96"/>
        <v>7.8000000000000014E-2</v>
      </c>
      <c r="O580" s="586">
        <f t="shared" si="93"/>
        <v>-0.21880770999332649</v>
      </c>
      <c r="P580" s="585">
        <f t="shared" si="97"/>
        <v>-0.2248077099933265</v>
      </c>
      <c r="Q580" s="585">
        <f t="shared" si="98"/>
        <v>-0.18069034081998148</v>
      </c>
      <c r="R580" s="585">
        <f t="shared" si="99"/>
        <v>8.2400000000000001E-2</v>
      </c>
      <c r="S580" s="586">
        <f t="shared" si="100"/>
        <v>-0.26309034081998151</v>
      </c>
      <c r="U580" s="587"/>
      <c r="V580" s="587"/>
      <c r="W580" s="587"/>
      <c r="X580" s="587"/>
      <c r="Y580" s="587"/>
      <c r="Z580" s="587"/>
      <c r="AA580" s="587"/>
      <c r="AB580" s="587"/>
      <c r="AC580" s="587"/>
      <c r="AE580" s="587"/>
      <c r="AF580" s="587"/>
      <c r="AG580" s="587"/>
      <c r="AH580" s="587"/>
      <c r="AI580" s="587"/>
      <c r="AJ580" s="587"/>
      <c r="AK580" s="587"/>
      <c r="AL580" s="587"/>
      <c r="AM580" s="587"/>
      <c r="AO580" s="587"/>
      <c r="AP580" s="587"/>
      <c r="AQ580" s="587"/>
      <c r="AR580" s="587"/>
      <c r="AS580" s="587"/>
      <c r="AT580" s="587"/>
      <c r="AU580" s="587"/>
      <c r="AV580" s="587"/>
      <c r="AW580" s="587"/>
    </row>
    <row r="581" spans="1:49">
      <c r="A581" s="581">
        <v>27030</v>
      </c>
      <c r="B581" s="594">
        <v>-7.1999999999999998E-3</v>
      </c>
      <c r="C581" s="577">
        <v>4.1799999999999997E-2</v>
      </c>
      <c r="D581" s="577">
        <v>6.0999999999999995E-3</v>
      </c>
      <c r="E581" s="577">
        <v>6.5249999999999996E-3</v>
      </c>
      <c r="F581" s="577">
        <v>6.6666666666666662E-3</v>
      </c>
      <c r="G581" s="577">
        <v>6.5958333333333329E-3</v>
      </c>
      <c r="H581" s="577">
        <v>6.9666666666666661E-3</v>
      </c>
      <c r="I581" s="577">
        <f t="shared" si="90"/>
        <v>-1.3299999999999999E-2</v>
      </c>
      <c r="J581" s="577">
        <f t="shared" si="94"/>
        <v>-1.3795833333333334E-2</v>
      </c>
      <c r="K581" s="577">
        <f t="shared" si="95"/>
        <v>3.4833333333333327E-2</v>
      </c>
      <c r="L581" s="585">
        <f t="shared" si="91"/>
        <v>-0.14013876203570674</v>
      </c>
      <c r="M581" s="585">
        <f t="shared" si="92"/>
        <v>7.3199999999999987E-2</v>
      </c>
      <c r="N581" s="585">
        <f t="shared" si="96"/>
        <v>7.9149999999999998E-2</v>
      </c>
      <c r="O581" s="586">
        <f t="shared" si="93"/>
        <v>-0.21333876203570673</v>
      </c>
      <c r="P581" s="585">
        <f t="shared" si="97"/>
        <v>-0.21928876203570674</v>
      </c>
      <c r="Q581" s="585">
        <f t="shared" si="98"/>
        <v>-0.10725153965720813</v>
      </c>
      <c r="R581" s="585">
        <f t="shared" si="99"/>
        <v>8.3599999999999994E-2</v>
      </c>
      <c r="S581" s="586">
        <f t="shared" si="100"/>
        <v>-0.19085153965720814</v>
      </c>
      <c r="U581" s="587"/>
      <c r="V581" s="587"/>
      <c r="W581" s="587"/>
      <c r="X581" s="587"/>
      <c r="Y581" s="587"/>
      <c r="Z581" s="587"/>
      <c r="AA581" s="587"/>
      <c r="AB581" s="587"/>
      <c r="AC581" s="587"/>
      <c r="AE581" s="587"/>
      <c r="AF581" s="587"/>
      <c r="AG581" s="587"/>
      <c r="AH581" s="587"/>
      <c r="AI581" s="587"/>
      <c r="AJ581" s="587"/>
      <c r="AK581" s="587"/>
      <c r="AL581" s="587"/>
      <c r="AM581" s="587"/>
      <c r="AO581" s="587"/>
      <c r="AP581" s="587"/>
      <c r="AQ581" s="587"/>
      <c r="AR581" s="587"/>
      <c r="AS581" s="587"/>
      <c r="AT581" s="587"/>
      <c r="AU581" s="587"/>
      <c r="AV581" s="587"/>
      <c r="AW581" s="587"/>
    </row>
    <row r="582" spans="1:49">
      <c r="A582" s="581">
        <v>27061</v>
      </c>
      <c r="B582" s="594">
        <v>-6.9999999999999999E-4</v>
      </c>
      <c r="C582" s="577">
        <v>6.0000000000000001E-3</v>
      </c>
      <c r="D582" s="577">
        <v>5.4999999999999997E-3</v>
      </c>
      <c r="E582" s="577">
        <v>6.541666666666667E-3</v>
      </c>
      <c r="F582" s="577">
        <v>6.7083333333333335E-3</v>
      </c>
      <c r="G582" s="577">
        <v>6.6250000000000007E-3</v>
      </c>
      <c r="H582" s="577">
        <v>7.0166666666666667E-3</v>
      </c>
      <c r="I582" s="577">
        <f t="shared" ref="I582:I645" si="101">B582-D582</f>
        <v>-6.1999999999999998E-3</v>
      </c>
      <c r="J582" s="577">
        <f t="shared" si="94"/>
        <v>-7.3250000000000008E-3</v>
      </c>
      <c r="K582" s="577">
        <f t="shared" si="95"/>
        <v>-1.0166666666666666E-3</v>
      </c>
      <c r="L582" s="585">
        <f t="shared" si="91"/>
        <v>-0.10939123642442128</v>
      </c>
      <c r="M582" s="585">
        <f t="shared" si="92"/>
        <v>6.6000000000000003E-2</v>
      </c>
      <c r="N582" s="585">
        <f t="shared" si="96"/>
        <v>7.9500000000000015E-2</v>
      </c>
      <c r="O582" s="586">
        <f t="shared" si="93"/>
        <v>-0.17539123642442128</v>
      </c>
      <c r="P582" s="585">
        <f t="shared" si="97"/>
        <v>-0.18889123642442129</v>
      </c>
      <c r="Q582" s="585">
        <f t="shared" si="98"/>
        <v>-8.0375843636239175E-2</v>
      </c>
      <c r="R582" s="585">
        <f t="shared" si="99"/>
        <v>8.4199999999999997E-2</v>
      </c>
      <c r="S582" s="586">
        <f t="shared" si="100"/>
        <v>-0.16457584363623917</v>
      </c>
      <c r="U582" s="587"/>
      <c r="V582" s="587"/>
      <c r="W582" s="587"/>
      <c r="X582" s="587"/>
      <c r="Y582" s="587"/>
      <c r="Z582" s="587"/>
      <c r="AA582" s="587"/>
      <c r="AB582" s="587"/>
      <c r="AC582" s="587"/>
      <c r="AE582" s="587"/>
      <c r="AF582" s="587"/>
      <c r="AG582" s="587"/>
      <c r="AH582" s="587"/>
      <c r="AI582" s="587"/>
      <c r="AJ582" s="587"/>
      <c r="AK582" s="587"/>
      <c r="AL582" s="587"/>
      <c r="AM582" s="587"/>
      <c r="AO582" s="587"/>
      <c r="AP582" s="587"/>
      <c r="AQ582" s="587"/>
      <c r="AR582" s="587"/>
      <c r="AS582" s="587"/>
      <c r="AT582" s="587"/>
      <c r="AU582" s="587"/>
      <c r="AV582" s="587"/>
      <c r="AW582" s="587"/>
    </row>
    <row r="583" spans="1:49">
      <c r="A583" s="581">
        <v>27089</v>
      </c>
      <c r="B583" s="594">
        <v>-2.0500000000000001E-2</v>
      </c>
      <c r="C583" s="577">
        <v>-3.8900000000000004E-2</v>
      </c>
      <c r="D583" s="577">
        <v>5.8999999999999999E-3</v>
      </c>
      <c r="E583" s="577">
        <v>6.6749999999999995E-3</v>
      </c>
      <c r="F583" s="577">
        <v>6.8166666666666662E-3</v>
      </c>
      <c r="G583" s="577">
        <v>6.7458333333333328E-3</v>
      </c>
      <c r="H583" s="577">
        <v>7.0500000000000007E-3</v>
      </c>
      <c r="I583" s="577">
        <f t="shared" si="101"/>
        <v>-2.64E-2</v>
      </c>
      <c r="J583" s="577">
        <f t="shared" si="94"/>
        <v>-2.7245833333333334E-2</v>
      </c>
      <c r="K583" s="577">
        <f t="shared" si="95"/>
        <v>-4.5950000000000005E-2</v>
      </c>
      <c r="L583" s="585">
        <f t="shared" si="91"/>
        <v>-0.1283460392463236</v>
      </c>
      <c r="M583" s="585">
        <f t="shared" si="92"/>
        <v>7.0800000000000002E-2</v>
      </c>
      <c r="N583" s="585">
        <f t="shared" si="96"/>
        <v>8.0949999999999994E-2</v>
      </c>
      <c r="O583" s="586">
        <f t="shared" si="93"/>
        <v>-0.1991460392463236</v>
      </c>
      <c r="P583" s="585">
        <f t="shared" si="97"/>
        <v>-0.20929603924632359</v>
      </c>
      <c r="Q583" s="585">
        <f t="shared" si="98"/>
        <v>-0.10405395166628439</v>
      </c>
      <c r="R583" s="585">
        <f t="shared" si="99"/>
        <v>8.4600000000000009E-2</v>
      </c>
      <c r="S583" s="586">
        <f t="shared" si="100"/>
        <v>-0.1886539516662844</v>
      </c>
      <c r="U583" s="587"/>
      <c r="V583" s="587"/>
      <c r="W583" s="587"/>
      <c r="X583" s="587"/>
      <c r="Y583" s="587"/>
      <c r="Z583" s="587"/>
      <c r="AA583" s="587"/>
      <c r="AB583" s="587"/>
      <c r="AC583" s="587"/>
      <c r="AE583" s="587"/>
      <c r="AF583" s="587"/>
      <c r="AG583" s="587"/>
      <c r="AH583" s="587"/>
      <c r="AI583" s="587"/>
      <c r="AJ583" s="587"/>
      <c r="AK583" s="587"/>
      <c r="AL583" s="587"/>
      <c r="AM583" s="587"/>
      <c r="AO583" s="587"/>
      <c r="AP583" s="587"/>
      <c r="AQ583" s="587"/>
      <c r="AR583" s="587"/>
      <c r="AS583" s="587"/>
      <c r="AT583" s="587"/>
      <c r="AU583" s="587"/>
      <c r="AV583" s="587"/>
      <c r="AW583" s="587"/>
    </row>
    <row r="584" spans="1:49">
      <c r="A584" s="581">
        <v>27120</v>
      </c>
      <c r="B584" s="594">
        <v>-3.5900000000000001E-2</v>
      </c>
      <c r="C584" s="577">
        <v>-0.12959999999999999</v>
      </c>
      <c r="D584" s="577">
        <v>6.7999999999999996E-3</v>
      </c>
      <c r="E584" s="577">
        <v>6.875E-3</v>
      </c>
      <c r="F584" s="577">
        <v>7.025E-3</v>
      </c>
      <c r="G584" s="577">
        <v>6.9500000000000004E-3</v>
      </c>
      <c r="H584" s="577">
        <v>7.3083333333333333E-3</v>
      </c>
      <c r="I584" s="577">
        <f t="shared" si="101"/>
        <v>-4.2700000000000002E-2</v>
      </c>
      <c r="J584" s="577">
        <f t="shared" si="94"/>
        <v>-4.2849999999999999E-2</v>
      </c>
      <c r="K584" s="577">
        <f t="shared" si="95"/>
        <v>-0.13690833333333333</v>
      </c>
      <c r="L584" s="585">
        <f t="shared" si="91"/>
        <v>-0.12617075640779929</v>
      </c>
      <c r="M584" s="585">
        <f t="shared" si="92"/>
        <v>8.1599999999999992E-2</v>
      </c>
      <c r="N584" s="585">
        <f t="shared" si="96"/>
        <v>8.3400000000000002E-2</v>
      </c>
      <c r="O584" s="586">
        <f t="shared" si="93"/>
        <v>-0.2077707564077993</v>
      </c>
      <c r="P584" s="585">
        <f t="shared" si="97"/>
        <v>-0.20957075640779929</v>
      </c>
      <c r="Q584" s="585">
        <f t="shared" si="98"/>
        <v>-0.216328569520987</v>
      </c>
      <c r="R584" s="585">
        <f t="shared" si="99"/>
        <v>8.77E-2</v>
      </c>
      <c r="S584" s="586">
        <f t="shared" si="100"/>
        <v>-0.304028569520987</v>
      </c>
      <c r="U584" s="587"/>
      <c r="V584" s="587"/>
      <c r="W584" s="587"/>
      <c r="X584" s="587"/>
      <c r="Y584" s="587"/>
      <c r="Z584" s="587"/>
      <c r="AA584" s="587"/>
      <c r="AB584" s="587"/>
      <c r="AC584" s="587"/>
      <c r="AE584" s="587"/>
      <c r="AF584" s="587"/>
      <c r="AG584" s="587"/>
      <c r="AH584" s="587"/>
      <c r="AI584" s="587"/>
      <c r="AJ584" s="587"/>
      <c r="AK584" s="587"/>
      <c r="AL584" s="587"/>
      <c r="AM584" s="587"/>
      <c r="AO584" s="587"/>
      <c r="AP584" s="587"/>
      <c r="AQ584" s="587"/>
      <c r="AR584" s="587"/>
      <c r="AS584" s="587"/>
      <c r="AT584" s="587"/>
      <c r="AU584" s="587"/>
      <c r="AV584" s="587"/>
      <c r="AW584" s="587"/>
    </row>
    <row r="585" spans="1:49">
      <c r="A585" s="581">
        <v>27150</v>
      </c>
      <c r="B585" s="594">
        <v>-3.0200000000000001E-2</v>
      </c>
      <c r="C585" s="577">
        <v>-4.8399999999999999E-2</v>
      </c>
      <c r="D585" s="577">
        <v>6.7999999999999996E-3</v>
      </c>
      <c r="E585" s="577">
        <v>6.9749999999999986E-3</v>
      </c>
      <c r="F585" s="577">
        <v>7.1500000000000001E-3</v>
      </c>
      <c r="G585" s="577">
        <v>7.0624999999999993E-3</v>
      </c>
      <c r="H585" s="577">
        <v>7.4999999999999997E-3</v>
      </c>
      <c r="I585" s="577">
        <f t="shared" si="101"/>
        <v>-3.6999999999999998E-2</v>
      </c>
      <c r="J585" s="577">
        <f t="shared" si="94"/>
        <v>-3.7262500000000004E-2</v>
      </c>
      <c r="K585" s="577">
        <f t="shared" si="95"/>
        <v>-5.5899999999999998E-2</v>
      </c>
      <c r="L585" s="585">
        <f t="shared" si="91"/>
        <v>-0.13851824699022453</v>
      </c>
      <c r="M585" s="585">
        <f t="shared" si="92"/>
        <v>8.1599999999999992E-2</v>
      </c>
      <c r="N585" s="585">
        <f t="shared" si="96"/>
        <v>8.4749999999999992E-2</v>
      </c>
      <c r="O585" s="586">
        <f t="shared" si="93"/>
        <v>-0.22011824699022453</v>
      </c>
      <c r="P585" s="585">
        <f t="shared" si="97"/>
        <v>-0.22326824699022452</v>
      </c>
      <c r="Q585" s="585">
        <f t="shared" si="98"/>
        <v>-0.25922148282126856</v>
      </c>
      <c r="R585" s="585">
        <f t="shared" si="99"/>
        <v>0.09</v>
      </c>
      <c r="S585" s="586">
        <f t="shared" si="100"/>
        <v>-0.34922148282126853</v>
      </c>
      <c r="U585" s="587"/>
      <c r="V585" s="587"/>
      <c r="W585" s="587"/>
      <c r="X585" s="587"/>
      <c r="Y585" s="587"/>
      <c r="Z585" s="587"/>
      <c r="AA585" s="587"/>
      <c r="AB585" s="587"/>
      <c r="AC585" s="587"/>
      <c r="AE585" s="587"/>
      <c r="AF585" s="587"/>
      <c r="AG585" s="587"/>
      <c r="AH585" s="587"/>
      <c r="AI585" s="587"/>
      <c r="AJ585" s="587"/>
      <c r="AK585" s="587"/>
      <c r="AL585" s="587"/>
      <c r="AM585" s="587"/>
      <c r="AO585" s="587"/>
      <c r="AP585" s="587"/>
      <c r="AQ585" s="587"/>
      <c r="AR585" s="587"/>
      <c r="AS585" s="587"/>
      <c r="AT585" s="587"/>
      <c r="AU585" s="587"/>
      <c r="AV585" s="587"/>
      <c r="AW585" s="587"/>
    </row>
    <row r="586" spans="1:49">
      <c r="A586" s="581">
        <v>27181</v>
      </c>
      <c r="B586" s="594">
        <v>-1.1299999999999999E-2</v>
      </c>
      <c r="C586" s="577">
        <v>-5.6999999999999995E-2</v>
      </c>
      <c r="D586" s="577">
        <v>6.0999999999999995E-3</v>
      </c>
      <c r="E586" s="577">
        <v>7.058333333333334E-3</v>
      </c>
      <c r="F586" s="577">
        <v>7.2916666666666659E-3</v>
      </c>
      <c r="G586" s="577">
        <v>7.175E-3</v>
      </c>
      <c r="H586" s="577">
        <v>7.7666666666666674E-3</v>
      </c>
      <c r="I586" s="577">
        <f t="shared" si="101"/>
        <v>-1.7399999999999999E-2</v>
      </c>
      <c r="J586" s="577">
        <f t="shared" si="94"/>
        <v>-1.8474999999999998E-2</v>
      </c>
      <c r="K586" s="577">
        <f t="shared" si="95"/>
        <v>-6.4766666666666667E-2</v>
      </c>
      <c r="L586" s="585">
        <f t="shared" si="91"/>
        <v>-0.14483232007955305</v>
      </c>
      <c r="M586" s="585">
        <f t="shared" si="92"/>
        <v>7.3199999999999987E-2</v>
      </c>
      <c r="N586" s="585">
        <f t="shared" si="96"/>
        <v>8.6099999999999996E-2</v>
      </c>
      <c r="O586" s="586">
        <f t="shared" si="93"/>
        <v>-0.21803232007955303</v>
      </c>
      <c r="P586" s="585">
        <f t="shared" si="97"/>
        <v>-0.23093232007955306</v>
      </c>
      <c r="Q586" s="585">
        <f t="shared" si="98"/>
        <v>-0.28958187562336646</v>
      </c>
      <c r="R586" s="585">
        <f t="shared" si="99"/>
        <v>9.3200000000000005E-2</v>
      </c>
      <c r="S586" s="586">
        <f t="shared" si="100"/>
        <v>-0.38278187562336646</v>
      </c>
      <c r="U586" s="587"/>
      <c r="V586" s="587"/>
      <c r="W586" s="587"/>
      <c r="X586" s="587"/>
      <c r="Y586" s="587"/>
      <c r="Z586" s="587"/>
      <c r="AA586" s="587"/>
      <c r="AB586" s="587"/>
      <c r="AC586" s="587"/>
      <c r="AE586" s="587"/>
      <c r="AF586" s="587"/>
      <c r="AG586" s="587"/>
      <c r="AH586" s="587"/>
      <c r="AI586" s="587"/>
      <c r="AJ586" s="587"/>
      <c r="AK586" s="587"/>
      <c r="AL586" s="587"/>
      <c r="AM586" s="587"/>
      <c r="AO586" s="587"/>
      <c r="AP586" s="587"/>
      <c r="AQ586" s="587"/>
      <c r="AR586" s="587"/>
      <c r="AS586" s="587"/>
      <c r="AT586" s="587"/>
      <c r="AU586" s="587"/>
      <c r="AV586" s="587"/>
      <c r="AW586" s="587"/>
    </row>
    <row r="587" spans="1:49">
      <c r="A587" s="581">
        <v>27211</v>
      </c>
      <c r="B587" s="594">
        <v>-7.4200000000000002E-2</v>
      </c>
      <c r="C587" s="577">
        <v>-8.8999999999999982E-3</v>
      </c>
      <c r="D587" s="577">
        <v>7.1999999999999998E-3</v>
      </c>
      <c r="E587" s="577">
        <v>7.2666666666666669E-3</v>
      </c>
      <c r="F587" s="577">
        <v>7.5083333333333339E-3</v>
      </c>
      <c r="G587" s="577">
        <v>7.3875E-3</v>
      </c>
      <c r="H587" s="577">
        <v>8.0499999999999999E-3</v>
      </c>
      <c r="I587" s="577">
        <f t="shared" si="101"/>
        <v>-8.14E-2</v>
      </c>
      <c r="J587" s="577">
        <f t="shared" si="94"/>
        <v>-8.1587500000000007E-2</v>
      </c>
      <c r="K587" s="577">
        <f t="shared" si="95"/>
        <v>-1.695E-2</v>
      </c>
      <c r="L587" s="585">
        <f t="shared" si="91"/>
        <v>-0.23924835392490651</v>
      </c>
      <c r="M587" s="585">
        <f t="shared" si="92"/>
        <v>8.6400000000000005E-2</v>
      </c>
      <c r="N587" s="585">
        <f t="shared" si="96"/>
        <v>8.8650000000000007E-2</v>
      </c>
      <c r="O587" s="586">
        <f t="shared" si="93"/>
        <v>-0.32564835392490654</v>
      </c>
      <c r="P587" s="585">
        <f t="shared" si="97"/>
        <v>-0.32789835392490652</v>
      </c>
      <c r="Q587" s="585">
        <f t="shared" si="98"/>
        <v>-0.28160860823417866</v>
      </c>
      <c r="R587" s="585">
        <f t="shared" si="99"/>
        <v>9.6599999999999991E-2</v>
      </c>
      <c r="S587" s="586">
        <f t="shared" si="100"/>
        <v>-0.37820860823417868</v>
      </c>
      <c r="U587" s="587"/>
      <c r="V587" s="587"/>
      <c r="W587" s="587"/>
      <c r="X587" s="587"/>
      <c r="Y587" s="587"/>
      <c r="Z587" s="587"/>
      <c r="AA587" s="587"/>
      <c r="AB587" s="587"/>
      <c r="AC587" s="587"/>
      <c r="AE587" s="587"/>
      <c r="AF587" s="587"/>
      <c r="AG587" s="587"/>
      <c r="AH587" s="587"/>
      <c r="AI587" s="587"/>
      <c r="AJ587" s="587"/>
      <c r="AK587" s="587"/>
      <c r="AL587" s="587"/>
      <c r="AM587" s="587"/>
      <c r="AO587" s="587"/>
      <c r="AP587" s="587"/>
      <c r="AQ587" s="587"/>
      <c r="AR587" s="587"/>
      <c r="AS587" s="587"/>
      <c r="AT587" s="587"/>
      <c r="AU587" s="587"/>
      <c r="AV587" s="587"/>
      <c r="AW587" s="587"/>
    </row>
    <row r="588" spans="1:49">
      <c r="A588" s="581">
        <v>27242</v>
      </c>
      <c r="B588" s="594">
        <v>-8.6400000000000005E-2</v>
      </c>
      <c r="C588" s="577">
        <v>-8.7099999999999997E-2</v>
      </c>
      <c r="D588" s="577">
        <v>6.5000000000000006E-3</v>
      </c>
      <c r="E588" s="577">
        <v>7.4999999999999997E-3</v>
      </c>
      <c r="F588" s="577">
        <v>7.7333333333333334E-3</v>
      </c>
      <c r="G588" s="577">
        <v>7.6166666666666674E-3</v>
      </c>
      <c r="H588" s="577">
        <v>8.3583333333333339E-3</v>
      </c>
      <c r="I588" s="577">
        <f t="shared" si="101"/>
        <v>-9.290000000000001E-2</v>
      </c>
      <c r="J588" s="577">
        <f t="shared" si="94"/>
        <v>-9.4016666666666665E-2</v>
      </c>
      <c r="K588" s="577">
        <f t="shared" si="95"/>
        <v>-9.5458333333333326E-2</v>
      </c>
      <c r="L588" s="585">
        <f t="shared" si="91"/>
        <v>-0.2804403107421003</v>
      </c>
      <c r="M588" s="585">
        <f t="shared" si="92"/>
        <v>7.8000000000000014E-2</v>
      </c>
      <c r="N588" s="585">
        <f t="shared" si="96"/>
        <v>9.1400000000000009E-2</v>
      </c>
      <c r="O588" s="586">
        <f t="shared" si="93"/>
        <v>-0.35844031074210031</v>
      </c>
      <c r="P588" s="585">
        <f t="shared" si="97"/>
        <v>-0.37184031074210033</v>
      </c>
      <c r="Q588" s="585">
        <f t="shared" si="98"/>
        <v>-0.3250108053283054</v>
      </c>
      <c r="R588" s="585">
        <f t="shared" si="99"/>
        <v>0.1003</v>
      </c>
      <c r="S588" s="586">
        <f t="shared" si="100"/>
        <v>-0.4253108053283054</v>
      </c>
      <c r="U588" s="587"/>
      <c r="V588" s="587"/>
      <c r="W588" s="587"/>
      <c r="X588" s="587"/>
      <c r="Y588" s="587"/>
      <c r="Z588" s="587"/>
      <c r="AA588" s="587"/>
      <c r="AB588" s="587"/>
      <c r="AC588" s="587"/>
      <c r="AE588" s="587"/>
      <c r="AF588" s="587"/>
      <c r="AG588" s="587"/>
      <c r="AH588" s="587"/>
      <c r="AI588" s="587"/>
      <c r="AJ588" s="587"/>
      <c r="AK588" s="587"/>
      <c r="AL588" s="587"/>
      <c r="AM588" s="587"/>
      <c r="AO588" s="587"/>
      <c r="AP588" s="587"/>
      <c r="AQ588" s="587"/>
      <c r="AR588" s="587"/>
      <c r="AS588" s="587"/>
      <c r="AT588" s="587"/>
      <c r="AU588" s="587"/>
      <c r="AV588" s="587"/>
      <c r="AW588" s="587"/>
    </row>
    <row r="589" spans="1:49">
      <c r="A589" s="581">
        <v>27273</v>
      </c>
      <c r="B589" s="594">
        <v>-0.1152</v>
      </c>
      <c r="C589" s="577">
        <v>-8.6E-3</v>
      </c>
      <c r="D589" s="577">
        <v>7.1000000000000004E-3</v>
      </c>
      <c r="E589" s="577">
        <v>7.7000000000000002E-3</v>
      </c>
      <c r="F589" s="577">
        <v>8.0499999999999999E-3</v>
      </c>
      <c r="G589" s="577">
        <v>7.8750000000000001E-3</v>
      </c>
      <c r="H589" s="577">
        <v>8.7083333333333353E-3</v>
      </c>
      <c r="I589" s="577">
        <f t="shared" si="101"/>
        <v>-0.12229999999999999</v>
      </c>
      <c r="J589" s="577">
        <f t="shared" si="94"/>
        <v>-0.12307499999999999</v>
      </c>
      <c r="K589" s="577">
        <f t="shared" si="95"/>
        <v>-1.7308333333333335E-2</v>
      </c>
      <c r="L589" s="585">
        <f t="shared" si="91"/>
        <v>-0.38940595276168621</v>
      </c>
      <c r="M589" s="585">
        <f t="shared" si="92"/>
        <v>8.5199999999999998E-2</v>
      </c>
      <c r="N589" s="585">
        <f t="shared" si="96"/>
        <v>9.4500000000000001E-2</v>
      </c>
      <c r="O589" s="586">
        <f t="shared" si="93"/>
        <v>-0.47460595276168621</v>
      </c>
      <c r="P589" s="585">
        <f t="shared" si="97"/>
        <v>-0.48390595276168624</v>
      </c>
      <c r="Q589" s="585">
        <f t="shared" si="98"/>
        <v>-0.37871665806562249</v>
      </c>
      <c r="R589" s="585">
        <f t="shared" si="99"/>
        <v>0.10450000000000002</v>
      </c>
      <c r="S589" s="586">
        <f t="shared" si="100"/>
        <v>-0.48321665806562253</v>
      </c>
      <c r="U589" s="587"/>
      <c r="V589" s="587"/>
      <c r="W589" s="587"/>
      <c r="X589" s="587"/>
      <c r="Y589" s="587"/>
      <c r="Z589" s="587"/>
      <c r="AA589" s="587"/>
      <c r="AB589" s="587"/>
      <c r="AC589" s="587"/>
      <c r="AE589" s="587"/>
      <c r="AF589" s="587"/>
      <c r="AG589" s="587"/>
      <c r="AH589" s="587"/>
      <c r="AI589" s="587"/>
      <c r="AJ589" s="587"/>
      <c r="AK589" s="587"/>
      <c r="AL589" s="587"/>
      <c r="AM589" s="587"/>
      <c r="AO589" s="587"/>
      <c r="AP589" s="587"/>
      <c r="AQ589" s="587"/>
      <c r="AR589" s="587"/>
      <c r="AS589" s="587"/>
      <c r="AT589" s="587"/>
      <c r="AU589" s="587"/>
      <c r="AV589" s="587"/>
      <c r="AW589" s="587"/>
    </row>
    <row r="590" spans="1:49">
      <c r="A590" s="581">
        <v>27303</v>
      </c>
      <c r="B590" s="594">
        <v>0.1681</v>
      </c>
      <c r="C590" s="577">
        <v>0.11990000000000001</v>
      </c>
      <c r="D590" s="577">
        <v>7.000000000000001E-3</v>
      </c>
      <c r="E590" s="577">
        <v>7.7249999999999992E-3</v>
      </c>
      <c r="F590" s="577">
        <v>8.0333333333333333E-3</v>
      </c>
      <c r="G590" s="577">
        <v>7.8791666666666663E-3</v>
      </c>
      <c r="H590" s="577">
        <v>8.9833333333333328E-3</v>
      </c>
      <c r="I590" s="577">
        <f t="shared" si="101"/>
        <v>0.16109999999999999</v>
      </c>
      <c r="J590" s="577">
        <f t="shared" si="94"/>
        <v>0.16022083333333334</v>
      </c>
      <c r="K590" s="577">
        <f t="shared" si="95"/>
        <v>0.11091666666666668</v>
      </c>
      <c r="L590" s="585">
        <f t="shared" si="91"/>
        <v>-0.28797553501140638</v>
      </c>
      <c r="M590" s="585">
        <f t="shared" si="92"/>
        <v>8.4000000000000019E-2</v>
      </c>
      <c r="N590" s="585">
        <f t="shared" si="96"/>
        <v>9.4549999999999995E-2</v>
      </c>
      <c r="O590" s="586">
        <f t="shared" si="93"/>
        <v>-0.3719755350114064</v>
      </c>
      <c r="P590" s="585">
        <f t="shared" si="97"/>
        <v>-0.3825255350114064</v>
      </c>
      <c r="Q590" s="585">
        <f t="shared" si="98"/>
        <v>-0.27613897770254969</v>
      </c>
      <c r="R590" s="585">
        <f t="shared" si="99"/>
        <v>0.10779999999999999</v>
      </c>
      <c r="S590" s="586">
        <f t="shared" si="100"/>
        <v>-0.3839389777025497</v>
      </c>
      <c r="U590" s="587"/>
      <c r="V590" s="587"/>
      <c r="W590" s="587"/>
      <c r="X590" s="587"/>
      <c r="Y590" s="587"/>
      <c r="Z590" s="587"/>
      <c r="AA590" s="587"/>
      <c r="AB590" s="587"/>
      <c r="AC590" s="587"/>
      <c r="AE590" s="587"/>
      <c r="AF590" s="587"/>
      <c r="AG590" s="587"/>
      <c r="AH590" s="587"/>
      <c r="AI590" s="587"/>
      <c r="AJ590" s="587"/>
      <c r="AK590" s="587"/>
      <c r="AL590" s="587"/>
      <c r="AM590" s="587"/>
      <c r="AO590" s="587"/>
      <c r="AP590" s="587"/>
      <c r="AQ590" s="587"/>
      <c r="AR590" s="587"/>
      <c r="AS590" s="587"/>
      <c r="AT590" s="587"/>
      <c r="AU590" s="587"/>
      <c r="AV590" s="587"/>
      <c r="AW590" s="587"/>
    </row>
    <row r="591" spans="1:49">
      <c r="A591" s="581">
        <v>27334</v>
      </c>
      <c r="B591" s="594">
        <v>-4.8899999999999999E-2</v>
      </c>
      <c r="C591" s="577">
        <v>-1.1900000000000001E-2</v>
      </c>
      <c r="D591" s="577">
        <v>6.1999999999999998E-3</v>
      </c>
      <c r="E591" s="577">
        <v>7.4083333333333336E-3</v>
      </c>
      <c r="F591" s="577">
        <v>7.7833333333333331E-3</v>
      </c>
      <c r="G591" s="577">
        <v>7.5958333333333329E-3</v>
      </c>
      <c r="H591" s="577">
        <v>8.7166666666666677E-3</v>
      </c>
      <c r="I591" s="577">
        <f t="shared" si="101"/>
        <v>-5.5099999999999996E-2</v>
      </c>
      <c r="J591" s="577">
        <f t="shared" si="94"/>
        <v>-5.6495833333333328E-2</v>
      </c>
      <c r="K591" s="577">
        <f t="shared" si="95"/>
        <v>-2.0616666666666669E-2</v>
      </c>
      <c r="L591" s="585">
        <f t="shared" si="91"/>
        <v>-0.23832362090805137</v>
      </c>
      <c r="M591" s="585">
        <f t="shared" si="92"/>
        <v>7.4399999999999994E-2</v>
      </c>
      <c r="N591" s="585">
        <f t="shared" si="96"/>
        <v>9.1149999999999995E-2</v>
      </c>
      <c r="O591" s="586">
        <f t="shared" si="93"/>
        <v>-0.31272362090805139</v>
      </c>
      <c r="P591" s="585">
        <f t="shared" si="97"/>
        <v>-0.32947362090805138</v>
      </c>
      <c r="Q591" s="585">
        <f t="shared" si="98"/>
        <v>-0.18979714982769536</v>
      </c>
      <c r="R591" s="585">
        <f t="shared" si="99"/>
        <v>0.10460000000000001</v>
      </c>
      <c r="S591" s="586">
        <f t="shared" si="100"/>
        <v>-0.29439714982769538</v>
      </c>
      <c r="U591" s="587"/>
      <c r="V591" s="587"/>
      <c r="W591" s="587"/>
      <c r="X591" s="587"/>
      <c r="Y591" s="587"/>
      <c r="Z591" s="587"/>
      <c r="AA591" s="587"/>
      <c r="AB591" s="587"/>
      <c r="AC591" s="587"/>
      <c r="AE591" s="587"/>
      <c r="AF591" s="587"/>
      <c r="AG591" s="587"/>
      <c r="AH591" s="587"/>
      <c r="AI591" s="587"/>
      <c r="AJ591" s="587"/>
      <c r="AK591" s="587"/>
      <c r="AL591" s="587"/>
      <c r="AM591" s="587"/>
      <c r="AO591" s="587"/>
      <c r="AP591" s="587"/>
      <c r="AQ591" s="587"/>
      <c r="AR591" s="587"/>
      <c r="AS591" s="587"/>
      <c r="AT591" s="587"/>
      <c r="AU591" s="587"/>
      <c r="AV591" s="587"/>
      <c r="AW591" s="587"/>
    </row>
    <row r="592" spans="1:49">
      <c r="A592" s="581">
        <v>27364</v>
      </c>
      <c r="B592" s="594">
        <v>-1.5599999999999999E-2</v>
      </c>
      <c r="C592" s="577">
        <v>4.4000000000000003E-3</v>
      </c>
      <c r="D592" s="577">
        <v>6.7000000000000002E-3</v>
      </c>
      <c r="E592" s="577">
        <v>7.4083333333333336E-3</v>
      </c>
      <c r="F592" s="577">
        <v>7.6666666666666662E-3</v>
      </c>
      <c r="G592" s="577">
        <v>7.5374999999999991E-3</v>
      </c>
      <c r="H592" s="577">
        <v>8.5583333333333327E-3</v>
      </c>
      <c r="I592" s="577">
        <f t="shared" si="101"/>
        <v>-2.23E-2</v>
      </c>
      <c r="J592" s="577">
        <f t="shared" si="94"/>
        <v>-2.3137499999999998E-2</v>
      </c>
      <c r="K592" s="577">
        <f t="shared" si="95"/>
        <v>-4.1583333333333325E-3</v>
      </c>
      <c r="L592" s="585">
        <f t="shared" ref="L592:L655" si="102">((1+B581)*(1+B582)*(1+B583)*(1+B584)*(1+B585)*(1+B586)*(1+B587)*(1+B588)*(1+B589)*(1+B590)*(1+B591)*(1+B592))-1</f>
        <v>-0.26476345599322015</v>
      </c>
      <c r="M592" s="585">
        <f t="shared" ref="M592:M655" si="103">D592*12</f>
        <v>8.0399999999999999E-2</v>
      </c>
      <c r="N592" s="585">
        <f t="shared" si="96"/>
        <v>9.0449999999999989E-2</v>
      </c>
      <c r="O592" s="586">
        <f t="shared" ref="O592:O655" si="104">L592-M592</f>
        <v>-0.34516345599322018</v>
      </c>
      <c r="P592" s="585">
        <f t="shared" si="97"/>
        <v>-0.35521345599322013</v>
      </c>
      <c r="Q592" s="585">
        <f t="shared" si="98"/>
        <v>-0.21564554919222856</v>
      </c>
      <c r="R592" s="585">
        <f t="shared" si="99"/>
        <v>0.10269999999999999</v>
      </c>
      <c r="S592" s="586">
        <f t="shared" si="100"/>
        <v>-0.31834554919222857</v>
      </c>
      <c r="U592" s="587"/>
      <c r="V592" s="587"/>
      <c r="W592" s="587"/>
      <c r="X592" s="587"/>
      <c r="Y592" s="587"/>
      <c r="Z592" s="587"/>
      <c r="AA592" s="587"/>
      <c r="AB592" s="587"/>
      <c r="AC592" s="587"/>
      <c r="AE592" s="587"/>
      <c r="AF592" s="587"/>
      <c r="AG592" s="587"/>
      <c r="AH592" s="587"/>
      <c r="AI592" s="587"/>
      <c r="AJ592" s="587"/>
      <c r="AK592" s="587"/>
      <c r="AL592" s="587"/>
      <c r="AM592" s="587"/>
      <c r="AO592" s="587"/>
      <c r="AP592" s="587"/>
      <c r="AQ592" s="587"/>
      <c r="AR592" s="587"/>
      <c r="AS592" s="587"/>
      <c r="AT592" s="587"/>
      <c r="AU592" s="587"/>
      <c r="AV592" s="587"/>
      <c r="AW592" s="587"/>
    </row>
    <row r="593" spans="1:49">
      <c r="A593" s="581">
        <v>27395</v>
      </c>
      <c r="B593" s="594">
        <v>0.12720000000000001</v>
      </c>
      <c r="C593" s="577">
        <v>0.18969999999999998</v>
      </c>
      <c r="D593" s="577">
        <v>6.7999999999999996E-3</v>
      </c>
      <c r="E593" s="577">
        <v>7.358333333333333E-3</v>
      </c>
      <c r="F593" s="577">
        <v>7.6083333333333333E-3</v>
      </c>
      <c r="G593" s="577">
        <v>7.4833333333333332E-3</v>
      </c>
      <c r="H593" s="577">
        <v>8.6416666666666673E-3</v>
      </c>
      <c r="I593" s="577">
        <f t="shared" si="101"/>
        <v>0.12040000000000001</v>
      </c>
      <c r="J593" s="577">
        <f t="shared" si="94"/>
        <v>0.11971666666666668</v>
      </c>
      <c r="K593" s="577">
        <f t="shared" si="95"/>
        <v>0.18105833333333332</v>
      </c>
      <c r="L593" s="585">
        <f t="shared" si="102"/>
        <v>-0.1652310310188938</v>
      </c>
      <c r="M593" s="585">
        <f t="shared" si="103"/>
        <v>8.1599999999999992E-2</v>
      </c>
      <c r="N593" s="585">
        <f t="shared" si="96"/>
        <v>8.9799999999999991E-2</v>
      </c>
      <c r="O593" s="586">
        <f t="shared" si="104"/>
        <v>-0.24683103101889381</v>
      </c>
      <c r="P593" s="585">
        <f t="shared" si="97"/>
        <v>-0.25503103101889379</v>
      </c>
      <c r="Q593" s="585">
        <f t="shared" si="98"/>
        <v>-0.10429401984449438</v>
      </c>
      <c r="R593" s="585">
        <f t="shared" si="99"/>
        <v>0.10370000000000001</v>
      </c>
      <c r="S593" s="586">
        <f t="shared" si="100"/>
        <v>-0.20799401984449439</v>
      </c>
      <c r="U593" s="587"/>
      <c r="V593" s="587"/>
      <c r="W593" s="587"/>
      <c r="X593" s="587"/>
      <c r="Y593" s="587"/>
      <c r="Z593" s="587"/>
      <c r="AA593" s="587"/>
      <c r="AB593" s="587"/>
      <c r="AC593" s="587"/>
      <c r="AE593" s="587"/>
      <c r="AF593" s="587"/>
      <c r="AG593" s="587"/>
      <c r="AH593" s="587"/>
      <c r="AI593" s="587"/>
      <c r="AJ593" s="587"/>
      <c r="AK593" s="587"/>
      <c r="AL593" s="587"/>
      <c r="AM593" s="587"/>
      <c r="AO593" s="587"/>
      <c r="AP593" s="587"/>
      <c r="AQ593" s="587"/>
      <c r="AR593" s="587"/>
      <c r="AS593" s="587"/>
      <c r="AT593" s="587"/>
      <c r="AU593" s="587"/>
      <c r="AV593" s="587"/>
      <c r="AW593" s="587"/>
    </row>
    <row r="594" spans="1:49">
      <c r="A594" s="581">
        <v>27426</v>
      </c>
      <c r="B594" s="594">
        <v>6.3799999999999996E-2</v>
      </c>
      <c r="C594" s="577">
        <v>1.43E-2</v>
      </c>
      <c r="D594" s="577">
        <v>6.0000000000000001E-3</v>
      </c>
      <c r="E594" s="577">
        <v>7.1833333333333324E-3</v>
      </c>
      <c r="F594" s="577">
        <v>7.4250000000000002E-3</v>
      </c>
      <c r="G594" s="577">
        <v>7.3041666666666671E-3</v>
      </c>
      <c r="H594" s="577">
        <v>8.3250000000000008E-3</v>
      </c>
      <c r="I594" s="577">
        <f t="shared" si="101"/>
        <v>5.7799999999999997E-2</v>
      </c>
      <c r="J594" s="577">
        <f t="shared" si="94"/>
        <v>5.6495833333333328E-2</v>
      </c>
      <c r="K594" s="577">
        <f t="shared" si="95"/>
        <v>5.9749999999999994E-3</v>
      </c>
      <c r="L594" s="585">
        <f t="shared" si="102"/>
        <v>-0.11135071629930871</v>
      </c>
      <c r="M594" s="585">
        <f t="shared" si="103"/>
        <v>7.2000000000000008E-2</v>
      </c>
      <c r="N594" s="585">
        <f t="shared" si="96"/>
        <v>8.7650000000000006E-2</v>
      </c>
      <c r="O594" s="586">
        <f t="shared" si="104"/>
        <v>-0.18335071629930871</v>
      </c>
      <c r="P594" s="585">
        <f t="shared" si="97"/>
        <v>-0.19900071629930871</v>
      </c>
      <c r="Q594" s="585">
        <f t="shared" si="98"/>
        <v>-9.69040003263133E-2</v>
      </c>
      <c r="R594" s="585">
        <f t="shared" si="99"/>
        <v>9.9900000000000017E-2</v>
      </c>
      <c r="S594" s="586">
        <f t="shared" si="100"/>
        <v>-0.19680400032631332</v>
      </c>
      <c r="U594" s="587"/>
      <c r="V594" s="587"/>
      <c r="W594" s="587"/>
      <c r="X594" s="587"/>
      <c r="Y594" s="587"/>
      <c r="Z594" s="587"/>
      <c r="AA594" s="587"/>
      <c r="AB594" s="587"/>
      <c r="AC594" s="587"/>
      <c r="AE594" s="587"/>
      <c r="AF594" s="587"/>
      <c r="AG594" s="587"/>
      <c r="AH594" s="587"/>
      <c r="AI594" s="587"/>
      <c r="AJ594" s="587"/>
      <c r="AK594" s="587"/>
      <c r="AL594" s="587"/>
      <c r="AM594" s="587"/>
      <c r="AO594" s="587"/>
      <c r="AP594" s="587"/>
      <c r="AQ594" s="587"/>
      <c r="AR594" s="587"/>
      <c r="AS594" s="587"/>
      <c r="AT594" s="587"/>
      <c r="AU594" s="587"/>
      <c r="AV594" s="587"/>
      <c r="AW594" s="587"/>
    </row>
    <row r="595" spans="1:49">
      <c r="A595" s="581">
        <v>27454</v>
      </c>
      <c r="B595" s="594">
        <v>2.5399999999999999E-2</v>
      </c>
      <c r="C595" s="577">
        <v>-2.1600000000000001E-2</v>
      </c>
      <c r="D595" s="577">
        <v>6.6E-3</v>
      </c>
      <c r="E595" s="577">
        <v>7.2250000000000005E-3</v>
      </c>
      <c r="F595" s="577">
        <v>7.4333333333333326E-3</v>
      </c>
      <c r="G595" s="577">
        <v>7.329166666666667E-3</v>
      </c>
      <c r="H595" s="577">
        <v>8.1000000000000013E-3</v>
      </c>
      <c r="I595" s="577">
        <f t="shared" si="101"/>
        <v>1.8799999999999997E-2</v>
      </c>
      <c r="J595" s="577">
        <f t="shared" si="94"/>
        <v>1.8070833333333331E-2</v>
      </c>
      <c r="K595" s="577">
        <f t="shared" si="95"/>
        <v>-2.9700000000000004E-2</v>
      </c>
      <c r="L595" s="585">
        <f t="shared" si="102"/>
        <v>-6.9708039298939206E-2</v>
      </c>
      <c r="M595" s="585">
        <f t="shared" si="103"/>
        <v>7.9199999999999993E-2</v>
      </c>
      <c r="N595" s="585">
        <f t="shared" si="96"/>
        <v>8.795E-2</v>
      </c>
      <c r="O595" s="586">
        <f t="shared" si="104"/>
        <v>-0.1489080392989392</v>
      </c>
      <c r="P595" s="585">
        <f t="shared" si="97"/>
        <v>-0.15765803929893921</v>
      </c>
      <c r="Q595" s="585">
        <f t="shared" si="98"/>
        <v>-8.0648084402522469E-2</v>
      </c>
      <c r="R595" s="585">
        <f t="shared" si="99"/>
        <v>9.7200000000000009E-2</v>
      </c>
      <c r="S595" s="586">
        <f t="shared" si="100"/>
        <v>-0.17784808440252248</v>
      </c>
      <c r="U595" s="587"/>
      <c r="V595" s="587"/>
      <c r="W595" s="587"/>
      <c r="X595" s="587"/>
      <c r="Y595" s="587"/>
      <c r="Z595" s="587"/>
      <c r="AA595" s="587"/>
      <c r="AB595" s="587"/>
      <c r="AC595" s="587"/>
      <c r="AE595" s="587"/>
      <c r="AF595" s="587"/>
      <c r="AG595" s="587"/>
      <c r="AH595" s="587"/>
      <c r="AI595" s="587"/>
      <c r="AJ595" s="587"/>
      <c r="AK595" s="587"/>
      <c r="AL595" s="587"/>
      <c r="AM595" s="587"/>
      <c r="AO595" s="587"/>
      <c r="AP595" s="587"/>
      <c r="AQ595" s="587"/>
      <c r="AR595" s="587"/>
      <c r="AS595" s="587"/>
      <c r="AT595" s="587"/>
      <c r="AU595" s="587"/>
      <c r="AV595" s="587"/>
      <c r="AW595" s="587"/>
    </row>
    <row r="596" spans="1:49">
      <c r="A596" s="581">
        <v>27485</v>
      </c>
      <c r="B596" s="594">
        <v>5.0999999999999997E-2</v>
      </c>
      <c r="C596" s="577">
        <v>-1.4000000000000002E-2</v>
      </c>
      <c r="D596" s="577">
        <v>6.7000000000000002E-3</v>
      </c>
      <c r="E596" s="577">
        <v>7.4583333333333324E-3</v>
      </c>
      <c r="F596" s="577">
        <v>7.658333333333333E-3</v>
      </c>
      <c r="G596" s="577">
        <v>7.5583333333333327E-3</v>
      </c>
      <c r="H596" s="577">
        <v>8.3833333333333329E-3</v>
      </c>
      <c r="I596" s="577">
        <f t="shared" si="101"/>
        <v>4.4299999999999999E-2</v>
      </c>
      <c r="J596" s="577">
        <f t="shared" si="94"/>
        <v>4.3441666666666663E-2</v>
      </c>
      <c r="K596" s="577">
        <f t="shared" si="95"/>
        <v>-2.2383333333333335E-2</v>
      </c>
      <c r="L596" s="585">
        <f t="shared" si="102"/>
        <v>1.4144643394683909E-2</v>
      </c>
      <c r="M596" s="585">
        <f t="shared" si="103"/>
        <v>8.0399999999999999E-2</v>
      </c>
      <c r="N596" s="585">
        <f t="shared" si="96"/>
        <v>9.0699999999999989E-2</v>
      </c>
      <c r="O596" s="586">
        <f t="shared" si="104"/>
        <v>-6.625535660531609E-2</v>
      </c>
      <c r="P596" s="585">
        <f t="shared" si="97"/>
        <v>-7.655535660531608E-2</v>
      </c>
      <c r="Q596" s="585">
        <f t="shared" si="98"/>
        <v>4.1453341887767392E-2</v>
      </c>
      <c r="R596" s="585">
        <f t="shared" si="99"/>
        <v>0.10059999999999999</v>
      </c>
      <c r="S596" s="586">
        <f t="shared" si="100"/>
        <v>-5.9146658112232603E-2</v>
      </c>
      <c r="U596" s="587"/>
      <c r="V596" s="587"/>
      <c r="W596" s="587"/>
      <c r="X596" s="587"/>
      <c r="Y596" s="587"/>
      <c r="Z596" s="587"/>
      <c r="AA596" s="587"/>
      <c r="AB596" s="587"/>
      <c r="AC596" s="587"/>
      <c r="AE596" s="587"/>
      <c r="AF596" s="587"/>
      <c r="AG596" s="587"/>
      <c r="AH596" s="587"/>
      <c r="AI596" s="587"/>
      <c r="AJ596" s="587"/>
      <c r="AK596" s="587"/>
      <c r="AL596" s="587"/>
      <c r="AM596" s="587"/>
      <c r="AO596" s="587"/>
      <c r="AP596" s="587"/>
      <c r="AQ596" s="587"/>
      <c r="AR596" s="587"/>
      <c r="AS596" s="587"/>
      <c r="AT596" s="587"/>
      <c r="AU596" s="587"/>
      <c r="AV596" s="587"/>
      <c r="AW596" s="587"/>
    </row>
    <row r="597" spans="1:49">
      <c r="A597" s="581">
        <v>27515</v>
      </c>
      <c r="B597" s="594">
        <v>4.7600000000000003E-2</v>
      </c>
      <c r="C597" s="577">
        <v>8.6599999999999996E-2</v>
      </c>
      <c r="D597" s="577">
        <v>6.7000000000000002E-3</v>
      </c>
      <c r="E597" s="577">
        <v>7.4166666666666669E-3</v>
      </c>
      <c r="F597" s="577">
        <v>7.7000000000000002E-3</v>
      </c>
      <c r="G597" s="577">
        <v>7.5583333333333336E-3</v>
      </c>
      <c r="H597" s="577">
        <v>8.5249999999999996E-3</v>
      </c>
      <c r="I597" s="577">
        <f t="shared" si="101"/>
        <v>4.0900000000000006E-2</v>
      </c>
      <c r="J597" s="577">
        <f t="shared" si="94"/>
        <v>4.004166666666667E-2</v>
      </c>
      <c r="K597" s="577">
        <f t="shared" si="95"/>
        <v>7.8074999999999992E-2</v>
      </c>
      <c r="L597" s="585">
        <f t="shared" si="102"/>
        <v>9.550209158617351E-2</v>
      </c>
      <c r="M597" s="585">
        <f t="shared" si="103"/>
        <v>8.0399999999999999E-2</v>
      </c>
      <c r="N597" s="585">
        <f t="shared" si="96"/>
        <v>9.0700000000000003E-2</v>
      </c>
      <c r="O597" s="586">
        <f t="shared" si="104"/>
        <v>1.5102091586173511E-2</v>
      </c>
      <c r="P597" s="585">
        <f t="shared" si="97"/>
        <v>4.802091586173507E-3</v>
      </c>
      <c r="Q597" s="585">
        <f t="shared" si="98"/>
        <v>0.18920050577474568</v>
      </c>
      <c r="R597" s="585">
        <f t="shared" si="99"/>
        <v>0.1023</v>
      </c>
      <c r="S597" s="586">
        <f t="shared" si="100"/>
        <v>8.6900505774745673E-2</v>
      </c>
      <c r="U597" s="587"/>
      <c r="V597" s="587"/>
      <c r="W597" s="587"/>
      <c r="X597" s="587"/>
      <c r="Y597" s="587"/>
      <c r="Z597" s="587"/>
      <c r="AA597" s="587"/>
      <c r="AB597" s="587"/>
      <c r="AC597" s="587"/>
      <c r="AE597" s="587"/>
      <c r="AF597" s="587"/>
      <c r="AG597" s="587"/>
      <c r="AH597" s="587"/>
      <c r="AI597" s="587"/>
      <c r="AJ597" s="587"/>
      <c r="AK597" s="587"/>
      <c r="AL597" s="587"/>
      <c r="AM597" s="587"/>
      <c r="AO597" s="587"/>
      <c r="AP597" s="587"/>
      <c r="AQ597" s="587"/>
      <c r="AR597" s="587"/>
      <c r="AS597" s="587"/>
      <c r="AT597" s="587"/>
      <c r="AU597" s="587"/>
      <c r="AV597" s="587"/>
      <c r="AW597" s="587"/>
    </row>
    <row r="598" spans="1:49">
      <c r="A598" s="581">
        <v>27546</v>
      </c>
      <c r="B598" s="594">
        <v>4.7699999999999999E-2</v>
      </c>
      <c r="C598" s="577">
        <v>0.1067</v>
      </c>
      <c r="D598" s="577">
        <v>7.000000000000001E-3</v>
      </c>
      <c r="E598" s="577">
        <v>7.3083333333333333E-3</v>
      </c>
      <c r="F598" s="577">
        <v>7.6083333333333333E-3</v>
      </c>
      <c r="G598" s="577">
        <v>7.4583333333333333E-3</v>
      </c>
      <c r="H598" s="577">
        <v>8.416666666666666E-3</v>
      </c>
      <c r="I598" s="577">
        <f t="shared" si="101"/>
        <v>4.07E-2</v>
      </c>
      <c r="J598" s="577">
        <f t="shared" si="94"/>
        <v>4.0241666666666669E-2</v>
      </c>
      <c r="K598" s="577">
        <f t="shared" si="95"/>
        <v>9.8283333333333334E-2</v>
      </c>
      <c r="L598" s="585">
        <f t="shared" si="102"/>
        <v>0.16087543375627988</v>
      </c>
      <c r="M598" s="585">
        <f t="shared" si="103"/>
        <v>8.4000000000000019E-2</v>
      </c>
      <c r="N598" s="585">
        <f t="shared" si="96"/>
        <v>8.9499999999999996E-2</v>
      </c>
      <c r="O598" s="586">
        <f t="shared" si="104"/>
        <v>7.6875433756279865E-2</v>
      </c>
      <c r="P598" s="585">
        <f t="shared" si="97"/>
        <v>7.1375433756279888E-2</v>
      </c>
      <c r="Q598" s="585">
        <f t="shared" si="98"/>
        <v>0.39563966038272613</v>
      </c>
      <c r="R598" s="585">
        <f t="shared" si="99"/>
        <v>0.10099999999999999</v>
      </c>
      <c r="S598" s="586">
        <f t="shared" si="100"/>
        <v>0.29463966038272615</v>
      </c>
      <c r="U598" s="587"/>
      <c r="V598" s="587"/>
      <c r="W598" s="587"/>
      <c r="X598" s="587"/>
      <c r="Y598" s="587"/>
      <c r="Z598" s="587"/>
      <c r="AA598" s="587"/>
      <c r="AB598" s="587"/>
      <c r="AC598" s="587"/>
      <c r="AE598" s="587"/>
      <c r="AF598" s="587"/>
      <c r="AG598" s="587"/>
      <c r="AH598" s="587"/>
      <c r="AI598" s="587"/>
      <c r="AJ598" s="587"/>
      <c r="AK598" s="587"/>
      <c r="AL598" s="587"/>
      <c r="AM598" s="587"/>
      <c r="AO598" s="587"/>
      <c r="AP598" s="587"/>
      <c r="AQ598" s="587"/>
      <c r="AR598" s="587"/>
      <c r="AS598" s="587"/>
      <c r="AT598" s="587"/>
      <c r="AU598" s="587"/>
      <c r="AV598" s="587"/>
      <c r="AW598" s="587"/>
    </row>
    <row r="599" spans="1:49">
      <c r="A599" s="581">
        <v>27576</v>
      </c>
      <c r="B599" s="594">
        <v>-6.4399999999999999E-2</v>
      </c>
      <c r="C599" s="577">
        <v>-5.1000000000000004E-2</v>
      </c>
      <c r="D599" s="577">
        <v>6.7999999999999996E-3</v>
      </c>
      <c r="E599" s="577">
        <v>7.3666666666666672E-3</v>
      </c>
      <c r="F599" s="577">
        <v>7.6083333333333333E-3</v>
      </c>
      <c r="G599" s="577">
        <v>7.4875000000000002E-3</v>
      </c>
      <c r="H599" s="577">
        <v>8.3416666666666656E-3</v>
      </c>
      <c r="I599" s="577">
        <f t="shared" si="101"/>
        <v>-7.1199999999999999E-2</v>
      </c>
      <c r="J599" s="577">
        <f t="shared" si="94"/>
        <v>-7.1887499999999993E-2</v>
      </c>
      <c r="K599" s="577">
        <f t="shared" si="95"/>
        <v>-5.9341666666666668E-2</v>
      </c>
      <c r="L599" s="585">
        <f t="shared" si="102"/>
        <v>0.17316381056640262</v>
      </c>
      <c r="M599" s="585">
        <f t="shared" si="103"/>
        <v>8.1599999999999992E-2</v>
      </c>
      <c r="N599" s="585">
        <f t="shared" si="96"/>
        <v>8.9849999999999999E-2</v>
      </c>
      <c r="O599" s="586">
        <f t="shared" si="104"/>
        <v>9.1563810566402629E-2</v>
      </c>
      <c r="P599" s="585">
        <f t="shared" si="97"/>
        <v>8.3313810566402621E-2</v>
      </c>
      <c r="Q599" s="585">
        <f t="shared" si="98"/>
        <v>0.33635560256604435</v>
      </c>
      <c r="R599" s="585">
        <f t="shared" si="99"/>
        <v>0.10009999999999999</v>
      </c>
      <c r="S599" s="586">
        <f t="shared" si="100"/>
        <v>0.23625560256604436</v>
      </c>
      <c r="U599" s="587"/>
      <c r="V599" s="587"/>
      <c r="W599" s="587"/>
      <c r="X599" s="587"/>
      <c r="Y599" s="587"/>
      <c r="Z599" s="587"/>
      <c r="AA599" s="587"/>
      <c r="AB599" s="587"/>
      <c r="AC599" s="587"/>
      <c r="AE599" s="587"/>
      <c r="AF599" s="587"/>
      <c r="AG599" s="587"/>
      <c r="AH599" s="587"/>
      <c r="AI599" s="587"/>
      <c r="AJ599" s="587"/>
      <c r="AK599" s="587"/>
      <c r="AL599" s="587"/>
      <c r="AM599" s="587"/>
      <c r="AO599" s="587"/>
      <c r="AP599" s="587"/>
      <c r="AQ599" s="587"/>
      <c r="AR599" s="587"/>
      <c r="AS599" s="587"/>
      <c r="AT599" s="587"/>
      <c r="AU599" s="587"/>
      <c r="AV599" s="587"/>
      <c r="AW599" s="587"/>
    </row>
    <row r="600" spans="1:49">
      <c r="A600" s="581">
        <v>27607</v>
      </c>
      <c r="B600" s="594">
        <v>-1.7600000000000001E-2</v>
      </c>
      <c r="C600" s="577">
        <v>-2.1199999999999997E-2</v>
      </c>
      <c r="D600" s="577">
        <v>6.5000000000000006E-3</v>
      </c>
      <c r="E600" s="577">
        <v>7.4583333333333324E-3</v>
      </c>
      <c r="F600" s="577">
        <v>7.691666666666667E-3</v>
      </c>
      <c r="G600" s="577">
        <v>7.5749999999999993E-3</v>
      </c>
      <c r="H600" s="577">
        <v>8.4333333333333326E-3</v>
      </c>
      <c r="I600" s="577">
        <f t="shared" si="101"/>
        <v>-2.4100000000000003E-2</v>
      </c>
      <c r="J600" s="577">
        <f t="shared" si="94"/>
        <v>-2.5174999999999999E-2</v>
      </c>
      <c r="K600" s="577">
        <f t="shared" si="95"/>
        <v>-2.9633333333333331E-2</v>
      </c>
      <c r="L600" s="585">
        <f t="shared" si="102"/>
        <v>0.26151064743917929</v>
      </c>
      <c r="M600" s="585">
        <f t="shared" si="103"/>
        <v>7.8000000000000014E-2</v>
      </c>
      <c r="N600" s="585">
        <f t="shared" si="96"/>
        <v>9.0899999999999995E-2</v>
      </c>
      <c r="O600" s="586">
        <f t="shared" si="104"/>
        <v>0.18351064743917928</v>
      </c>
      <c r="P600" s="585">
        <f t="shared" si="97"/>
        <v>0.17061064743917931</v>
      </c>
      <c r="Q600" s="585">
        <f t="shared" si="98"/>
        <v>0.43282381837183115</v>
      </c>
      <c r="R600" s="585">
        <f t="shared" si="99"/>
        <v>0.10119999999999998</v>
      </c>
      <c r="S600" s="586">
        <f t="shared" si="100"/>
        <v>0.33162381837183119</v>
      </c>
      <c r="U600" s="587"/>
      <c r="V600" s="587"/>
      <c r="W600" s="587"/>
      <c r="X600" s="587"/>
      <c r="Y600" s="587"/>
      <c r="Z600" s="587"/>
      <c r="AA600" s="587"/>
      <c r="AB600" s="587"/>
      <c r="AC600" s="587"/>
      <c r="AE600" s="587"/>
      <c r="AF600" s="587"/>
      <c r="AG600" s="587"/>
      <c r="AH600" s="587"/>
      <c r="AI600" s="587"/>
      <c r="AJ600" s="587"/>
      <c r="AK600" s="587"/>
      <c r="AL600" s="587"/>
      <c r="AM600" s="587"/>
      <c r="AO600" s="587"/>
      <c r="AP600" s="587"/>
      <c r="AQ600" s="587"/>
      <c r="AR600" s="587"/>
      <c r="AS600" s="587"/>
      <c r="AT600" s="587"/>
      <c r="AU600" s="587"/>
      <c r="AV600" s="587"/>
      <c r="AW600" s="587"/>
    </row>
    <row r="601" spans="1:49">
      <c r="A601" s="581">
        <v>27638</v>
      </c>
      <c r="B601" s="594">
        <v>-3.1199999999999999E-2</v>
      </c>
      <c r="C601" s="577">
        <v>-4.9000000000000007E-3</v>
      </c>
      <c r="D601" s="577">
        <v>7.3000000000000001E-3</v>
      </c>
      <c r="E601" s="577">
        <v>7.4583333333333324E-3</v>
      </c>
      <c r="F601" s="577">
        <v>7.7916666666666664E-3</v>
      </c>
      <c r="G601" s="577">
        <v>7.6249999999999998E-3</v>
      </c>
      <c r="H601" s="577">
        <v>8.4916666666666665E-3</v>
      </c>
      <c r="I601" s="577">
        <f t="shared" si="101"/>
        <v>-3.85E-2</v>
      </c>
      <c r="J601" s="577">
        <f t="shared" si="94"/>
        <v>-3.8824999999999998E-2</v>
      </c>
      <c r="K601" s="577">
        <f t="shared" si="95"/>
        <v>-1.3391666666666666E-2</v>
      </c>
      <c r="L601" s="585">
        <f t="shared" si="102"/>
        <v>0.38127431649986065</v>
      </c>
      <c r="M601" s="585">
        <f t="shared" si="103"/>
        <v>8.7599999999999997E-2</v>
      </c>
      <c r="N601" s="585">
        <f t="shared" si="96"/>
        <v>9.1499999999999998E-2</v>
      </c>
      <c r="O601" s="586">
        <f t="shared" si="104"/>
        <v>0.29367431649986064</v>
      </c>
      <c r="P601" s="585">
        <f t="shared" si="97"/>
        <v>0.28977431649986063</v>
      </c>
      <c r="Q601" s="585">
        <f t="shared" si="98"/>
        <v>0.43817125445007998</v>
      </c>
      <c r="R601" s="585">
        <f t="shared" si="99"/>
        <v>0.10189999999999999</v>
      </c>
      <c r="S601" s="586">
        <f t="shared" si="100"/>
        <v>0.33627125445007999</v>
      </c>
      <c r="U601" s="587"/>
      <c r="V601" s="587"/>
      <c r="W601" s="587"/>
      <c r="X601" s="587"/>
      <c r="Y601" s="587"/>
      <c r="Z601" s="587"/>
      <c r="AA601" s="587"/>
      <c r="AB601" s="587"/>
      <c r="AC601" s="587"/>
      <c r="AE601" s="587"/>
      <c r="AF601" s="587"/>
      <c r="AG601" s="587"/>
      <c r="AH601" s="587"/>
      <c r="AI601" s="587"/>
      <c r="AJ601" s="587"/>
      <c r="AK601" s="587"/>
      <c r="AL601" s="587"/>
      <c r="AM601" s="587"/>
      <c r="AO601" s="587"/>
      <c r="AP601" s="587"/>
      <c r="AQ601" s="587"/>
      <c r="AR601" s="587"/>
      <c r="AS601" s="587"/>
      <c r="AT601" s="587"/>
      <c r="AU601" s="587"/>
      <c r="AV601" s="587"/>
      <c r="AW601" s="587"/>
    </row>
    <row r="602" spans="1:49">
      <c r="A602" s="581">
        <v>27668</v>
      </c>
      <c r="B602" s="594">
        <v>6.5299999999999997E-2</v>
      </c>
      <c r="C602" s="577">
        <v>7.0800000000000002E-2</v>
      </c>
      <c r="D602" s="577">
        <v>7.1999999999999998E-3</v>
      </c>
      <c r="E602" s="577">
        <v>7.3833333333333329E-3</v>
      </c>
      <c r="F602" s="577">
        <v>7.7666666666666674E-3</v>
      </c>
      <c r="G602" s="577">
        <v>7.575000000000001E-3</v>
      </c>
      <c r="H602" s="577">
        <v>8.4666666666666675E-3</v>
      </c>
      <c r="I602" s="577">
        <f t="shared" si="101"/>
        <v>5.8099999999999999E-2</v>
      </c>
      <c r="J602" s="577">
        <f t="shared" si="94"/>
        <v>5.7724999999999999E-2</v>
      </c>
      <c r="K602" s="577">
        <f t="shared" si="95"/>
        <v>6.2333333333333338E-2</v>
      </c>
      <c r="L602" s="585">
        <f t="shared" si="102"/>
        <v>0.25971366267211859</v>
      </c>
      <c r="M602" s="585">
        <f t="shared" si="103"/>
        <v>8.6400000000000005E-2</v>
      </c>
      <c r="N602" s="585">
        <f t="shared" si="96"/>
        <v>9.0900000000000009E-2</v>
      </c>
      <c r="O602" s="586">
        <f t="shared" si="104"/>
        <v>0.17331366267211859</v>
      </c>
      <c r="P602" s="585">
        <f t="shared" si="97"/>
        <v>0.16881366267211859</v>
      </c>
      <c r="Q602" s="585">
        <f t="shared" si="98"/>
        <v>0.37511722409603165</v>
      </c>
      <c r="R602" s="585">
        <f t="shared" si="99"/>
        <v>0.10160000000000001</v>
      </c>
      <c r="S602" s="586">
        <f t="shared" si="100"/>
        <v>0.27351722409603163</v>
      </c>
      <c r="U602" s="587"/>
      <c r="V602" s="587"/>
      <c r="W602" s="587"/>
      <c r="X602" s="587"/>
      <c r="Y602" s="587"/>
      <c r="Z602" s="587"/>
      <c r="AA602" s="587"/>
      <c r="AB602" s="587"/>
      <c r="AC602" s="587"/>
      <c r="AE602" s="587"/>
      <c r="AF602" s="587"/>
      <c r="AG602" s="587"/>
      <c r="AH602" s="587"/>
      <c r="AI602" s="587"/>
      <c r="AJ602" s="587"/>
      <c r="AK602" s="587"/>
      <c r="AL602" s="587"/>
      <c r="AM602" s="587"/>
      <c r="AO602" s="587"/>
      <c r="AP602" s="587"/>
      <c r="AQ602" s="587"/>
      <c r="AR602" s="587"/>
      <c r="AS602" s="587"/>
      <c r="AT602" s="587"/>
      <c r="AU602" s="587"/>
      <c r="AV602" s="587"/>
      <c r="AW602" s="587"/>
    </row>
    <row r="603" spans="1:49">
      <c r="A603" s="581">
        <v>27699</v>
      </c>
      <c r="B603" s="594">
        <v>2.8199999999999999E-2</v>
      </c>
      <c r="C603" s="577">
        <v>3.5000000000000003E-2</v>
      </c>
      <c r="D603" s="577">
        <v>6.0999999999999995E-3</v>
      </c>
      <c r="E603" s="577">
        <v>7.3166666666666658E-3</v>
      </c>
      <c r="F603" s="577">
        <v>7.691666666666667E-3</v>
      </c>
      <c r="G603" s="577">
        <v>7.5041666666666659E-3</v>
      </c>
      <c r="H603" s="577">
        <v>8.3666666666666663E-3</v>
      </c>
      <c r="I603" s="577">
        <f t="shared" si="101"/>
        <v>2.2100000000000002E-2</v>
      </c>
      <c r="J603" s="577">
        <f t="shared" si="94"/>
        <v>2.0695833333333333E-2</v>
      </c>
      <c r="K603" s="577">
        <f t="shared" si="95"/>
        <v>2.6633333333333335E-2</v>
      </c>
      <c r="L603" s="585">
        <f t="shared" si="102"/>
        <v>0.36183113022760183</v>
      </c>
      <c r="M603" s="585">
        <f t="shared" si="103"/>
        <v>7.3199999999999987E-2</v>
      </c>
      <c r="N603" s="585">
        <f t="shared" si="96"/>
        <v>9.0049999999999991E-2</v>
      </c>
      <c r="O603" s="586">
        <f t="shared" si="104"/>
        <v>0.28863113022760184</v>
      </c>
      <c r="P603" s="585">
        <f t="shared" si="97"/>
        <v>0.27178113022760186</v>
      </c>
      <c r="Q603" s="585">
        <f t="shared" si="98"/>
        <v>0.44038693142333041</v>
      </c>
      <c r="R603" s="585">
        <f t="shared" si="99"/>
        <v>0.10039999999999999</v>
      </c>
      <c r="S603" s="586">
        <f t="shared" si="100"/>
        <v>0.33998693142333042</v>
      </c>
      <c r="U603" s="587"/>
      <c r="V603" s="587"/>
      <c r="W603" s="587"/>
      <c r="X603" s="587"/>
      <c r="Y603" s="587"/>
      <c r="Z603" s="587"/>
      <c r="AA603" s="587"/>
      <c r="AB603" s="587"/>
      <c r="AC603" s="587"/>
      <c r="AE603" s="587"/>
      <c r="AF603" s="587"/>
      <c r="AG603" s="587"/>
      <c r="AH603" s="587"/>
      <c r="AI603" s="587"/>
      <c r="AJ603" s="587"/>
      <c r="AK603" s="587"/>
      <c r="AL603" s="587"/>
      <c r="AM603" s="587"/>
      <c r="AO603" s="587"/>
      <c r="AP603" s="587"/>
      <c r="AQ603" s="587"/>
      <c r="AR603" s="587"/>
      <c r="AS603" s="587"/>
      <c r="AT603" s="587"/>
      <c r="AU603" s="587"/>
      <c r="AV603" s="587"/>
      <c r="AW603" s="587"/>
    </row>
    <row r="604" spans="1:49">
      <c r="A604" s="581">
        <v>27729</v>
      </c>
      <c r="B604" s="594">
        <v>-8.0999999999999996E-3</v>
      </c>
      <c r="C604" s="577">
        <v>7.6999999999999994E-3</v>
      </c>
      <c r="D604" s="577">
        <v>7.4999999999999997E-3</v>
      </c>
      <c r="E604" s="577">
        <v>7.324999999999999E-3</v>
      </c>
      <c r="F604" s="577">
        <v>7.7125000000000006E-3</v>
      </c>
      <c r="G604" s="577">
        <v>7.5187500000000011E-3</v>
      </c>
      <c r="H604" s="577">
        <v>8.4249999999999985E-3</v>
      </c>
      <c r="I604" s="577">
        <f t="shared" si="101"/>
        <v>-1.5599999999999999E-2</v>
      </c>
      <c r="J604" s="577">
        <f t="shared" si="94"/>
        <v>-1.5618750000000001E-2</v>
      </c>
      <c r="K604" s="577">
        <f t="shared" si="95"/>
        <v>-7.2499999999999908E-4</v>
      </c>
      <c r="L604" s="585">
        <f t="shared" si="102"/>
        <v>0.37220672295079016</v>
      </c>
      <c r="M604" s="585">
        <f t="shared" si="103"/>
        <v>0.09</v>
      </c>
      <c r="N604" s="585">
        <f t="shared" si="96"/>
        <v>9.0225000000000014E-2</v>
      </c>
      <c r="O604" s="586">
        <f t="shared" si="104"/>
        <v>0.28220672295079019</v>
      </c>
      <c r="P604" s="585">
        <f t="shared" si="97"/>
        <v>0.28198172295079016</v>
      </c>
      <c r="Q604" s="585">
        <f t="shared" si="98"/>
        <v>0.44511938549909402</v>
      </c>
      <c r="R604" s="585">
        <f t="shared" si="99"/>
        <v>0.10109999999999998</v>
      </c>
      <c r="S604" s="586">
        <f t="shared" si="100"/>
        <v>0.34401938549909405</v>
      </c>
      <c r="U604" s="587"/>
      <c r="V604" s="587"/>
      <c r="W604" s="587"/>
      <c r="X604" s="587"/>
      <c r="Y604" s="587"/>
      <c r="Z604" s="587"/>
      <c r="AA604" s="587"/>
      <c r="AB604" s="587"/>
      <c r="AC604" s="587"/>
      <c r="AE604" s="587"/>
      <c r="AF604" s="587"/>
      <c r="AG604" s="587"/>
      <c r="AH604" s="587"/>
      <c r="AI604" s="587"/>
      <c r="AJ604" s="587"/>
      <c r="AK604" s="587"/>
      <c r="AL604" s="587"/>
      <c r="AM604" s="587"/>
      <c r="AO604" s="587"/>
      <c r="AP604" s="587"/>
      <c r="AQ604" s="587"/>
      <c r="AR604" s="587"/>
      <c r="AS604" s="587"/>
      <c r="AT604" s="587"/>
      <c r="AU604" s="587"/>
      <c r="AV604" s="587"/>
      <c r="AW604" s="587"/>
    </row>
    <row r="605" spans="1:49">
      <c r="A605" s="581">
        <v>27760</v>
      </c>
      <c r="B605" s="594">
        <v>0.1217</v>
      </c>
      <c r="C605" s="577">
        <v>8.9400000000000007E-2</v>
      </c>
      <c r="D605" s="577">
        <v>6.5000000000000006E-3</v>
      </c>
      <c r="E605" s="577">
        <v>7.1666666666666667E-3</v>
      </c>
      <c r="F605" s="577">
        <v>7.6083333333333333E-3</v>
      </c>
      <c r="G605" s="577">
        <v>7.3875E-3</v>
      </c>
      <c r="H605" s="577">
        <v>8.2500000000000004E-3</v>
      </c>
      <c r="I605" s="577">
        <f t="shared" si="101"/>
        <v>0.1152</v>
      </c>
      <c r="J605" s="577">
        <f t="shared" ref="J605:J668" si="105">B605-G605</f>
        <v>0.1143125</v>
      </c>
      <c r="K605" s="577">
        <f t="shared" ref="K605:K668" si="106">$C605-H605</f>
        <v>8.115E-2</v>
      </c>
      <c r="L605" s="585">
        <f t="shared" si="102"/>
        <v>0.36551125011879138</v>
      </c>
      <c r="M605" s="585">
        <f t="shared" si="103"/>
        <v>7.8000000000000014E-2</v>
      </c>
      <c r="N605" s="585">
        <f t="shared" si="96"/>
        <v>8.8650000000000007E-2</v>
      </c>
      <c r="O605" s="586">
        <f t="shared" si="104"/>
        <v>0.28751125011879136</v>
      </c>
      <c r="P605" s="585">
        <f t="shared" si="97"/>
        <v>0.27686125011879137</v>
      </c>
      <c r="Q605" s="585">
        <f t="shared" si="98"/>
        <v>0.32328575150265881</v>
      </c>
      <c r="R605" s="585">
        <f t="shared" si="99"/>
        <v>9.9000000000000005E-2</v>
      </c>
      <c r="S605" s="586">
        <f t="shared" si="100"/>
        <v>0.22428575150265881</v>
      </c>
      <c r="U605" s="587"/>
      <c r="V605" s="587"/>
      <c r="W605" s="587"/>
      <c r="X605" s="587"/>
      <c r="Y605" s="587"/>
      <c r="Z605" s="587"/>
      <c r="AA605" s="587"/>
      <c r="AB605" s="587"/>
      <c r="AC605" s="587"/>
      <c r="AE605" s="587"/>
      <c r="AF605" s="587"/>
      <c r="AG605" s="587"/>
      <c r="AH605" s="587"/>
      <c r="AI605" s="587"/>
      <c r="AJ605" s="587"/>
      <c r="AK605" s="587"/>
      <c r="AL605" s="587"/>
      <c r="AM605" s="587"/>
      <c r="AO605" s="587"/>
      <c r="AP605" s="587"/>
      <c r="AQ605" s="587"/>
      <c r="AR605" s="587"/>
      <c r="AS605" s="587"/>
      <c r="AT605" s="587"/>
      <c r="AU605" s="587"/>
      <c r="AV605" s="587"/>
      <c r="AW605" s="587"/>
    </row>
    <row r="606" spans="1:49">
      <c r="A606" s="581">
        <v>27791</v>
      </c>
      <c r="B606" s="594">
        <v>-8.3999999999999995E-3</v>
      </c>
      <c r="C606" s="577">
        <v>-3.56E-2</v>
      </c>
      <c r="D606" s="577">
        <v>6.1000000000000004E-3</v>
      </c>
      <c r="E606" s="577">
        <v>7.1250000000000003E-3</v>
      </c>
      <c r="F606" s="577">
        <v>7.5166666666666663E-3</v>
      </c>
      <c r="G606" s="577">
        <v>7.3208333333333328E-3</v>
      </c>
      <c r="H606" s="577">
        <v>8.0916666666666671E-3</v>
      </c>
      <c r="I606" s="577">
        <f t="shared" si="101"/>
        <v>-1.4499999999999999E-2</v>
      </c>
      <c r="J606" s="577">
        <f t="shared" si="105"/>
        <v>-1.5720833333333333E-2</v>
      </c>
      <c r="K606" s="577">
        <f t="shared" si="106"/>
        <v>-4.369166666666667E-2</v>
      </c>
      <c r="L606" s="585">
        <f t="shared" si="102"/>
        <v>0.27283413763658015</v>
      </c>
      <c r="M606" s="585">
        <f t="shared" si="103"/>
        <v>7.3200000000000001E-2</v>
      </c>
      <c r="N606" s="585">
        <f t="shared" si="96"/>
        <v>8.7849999999999998E-2</v>
      </c>
      <c r="O606" s="586">
        <f t="shared" si="104"/>
        <v>0.19963413763658017</v>
      </c>
      <c r="P606" s="585">
        <f t="shared" si="97"/>
        <v>0.18498413763658017</v>
      </c>
      <c r="Q606" s="585">
        <f t="shared" si="98"/>
        <v>0.25818473700992195</v>
      </c>
      <c r="R606" s="585">
        <f t="shared" si="99"/>
        <v>9.7100000000000006E-2</v>
      </c>
      <c r="S606" s="586">
        <f t="shared" si="100"/>
        <v>0.16108473700992193</v>
      </c>
      <c r="U606" s="587"/>
      <c r="V606" s="587"/>
      <c r="W606" s="587"/>
      <c r="X606" s="587"/>
      <c r="Y606" s="587"/>
      <c r="Z606" s="587"/>
      <c r="AA606" s="587"/>
      <c r="AB606" s="587"/>
      <c r="AC606" s="587"/>
      <c r="AE606" s="587"/>
      <c r="AF606" s="587"/>
      <c r="AG606" s="587"/>
      <c r="AH606" s="587"/>
      <c r="AI606" s="587"/>
      <c r="AJ606" s="587"/>
      <c r="AK606" s="587"/>
      <c r="AL606" s="587"/>
      <c r="AM606" s="587"/>
      <c r="AO606" s="587"/>
      <c r="AP606" s="587"/>
      <c r="AQ606" s="587"/>
      <c r="AR606" s="587"/>
      <c r="AS606" s="587"/>
      <c r="AT606" s="587"/>
      <c r="AU606" s="587"/>
      <c r="AV606" s="587"/>
      <c r="AW606" s="587"/>
    </row>
    <row r="607" spans="1:49">
      <c r="A607" s="581">
        <v>27820</v>
      </c>
      <c r="B607" s="594">
        <v>3.3700000000000001E-2</v>
      </c>
      <c r="C607" s="577">
        <v>0.01</v>
      </c>
      <c r="D607" s="577">
        <v>7.1000000000000004E-3</v>
      </c>
      <c r="E607" s="577">
        <v>7.0999999999999995E-3</v>
      </c>
      <c r="F607" s="577">
        <v>7.5083333333333339E-3</v>
      </c>
      <c r="G607" s="577">
        <v>7.3041666666666671E-3</v>
      </c>
      <c r="H607" s="577">
        <v>8.0583333333333323E-3</v>
      </c>
      <c r="I607" s="577">
        <f t="shared" si="101"/>
        <v>2.6599999999999999E-2</v>
      </c>
      <c r="J607" s="577">
        <f t="shared" si="105"/>
        <v>2.6395833333333334E-2</v>
      </c>
      <c r="K607" s="577">
        <f t="shared" si="106"/>
        <v>1.9416666666666679E-3</v>
      </c>
      <c r="L607" s="585">
        <f t="shared" si="102"/>
        <v>0.28313696906078833</v>
      </c>
      <c r="M607" s="585">
        <f t="shared" si="103"/>
        <v>8.5199999999999998E-2</v>
      </c>
      <c r="N607" s="585">
        <f t="shared" si="96"/>
        <v>8.7650000000000006E-2</v>
      </c>
      <c r="O607" s="586">
        <f t="shared" si="104"/>
        <v>0.19793696906078834</v>
      </c>
      <c r="P607" s="585">
        <f t="shared" si="97"/>
        <v>0.19548696906078833</v>
      </c>
      <c r="Q607" s="585">
        <f t="shared" si="98"/>
        <v>0.29882112058464982</v>
      </c>
      <c r="R607" s="585">
        <f t="shared" si="99"/>
        <v>9.669999999999998E-2</v>
      </c>
      <c r="S607" s="586">
        <f t="shared" si="100"/>
        <v>0.20212112058464984</v>
      </c>
      <c r="U607" s="587"/>
      <c r="V607" s="587"/>
      <c r="W607" s="587"/>
      <c r="X607" s="587"/>
      <c r="Y607" s="587"/>
      <c r="Z607" s="587"/>
      <c r="AA607" s="587"/>
      <c r="AB607" s="587"/>
      <c r="AC607" s="587"/>
      <c r="AE607" s="587"/>
      <c r="AF607" s="587"/>
      <c r="AG607" s="587"/>
      <c r="AH607" s="587"/>
      <c r="AI607" s="587"/>
      <c r="AJ607" s="587"/>
      <c r="AK607" s="587"/>
      <c r="AL607" s="587"/>
      <c r="AM607" s="587"/>
      <c r="AO607" s="587"/>
      <c r="AP607" s="587"/>
      <c r="AQ607" s="587"/>
      <c r="AR607" s="587"/>
      <c r="AS607" s="587"/>
      <c r="AT607" s="587"/>
      <c r="AU607" s="587"/>
      <c r="AV607" s="587"/>
      <c r="AW607" s="587"/>
    </row>
    <row r="608" spans="1:49">
      <c r="A608" s="581">
        <v>27851</v>
      </c>
      <c r="B608" s="594">
        <v>-7.7999999999999996E-3</v>
      </c>
      <c r="C608" s="577">
        <v>3.7000000000000002E-3</v>
      </c>
      <c r="D608" s="577">
        <v>6.4000000000000003E-3</v>
      </c>
      <c r="E608" s="577">
        <v>7.000000000000001E-3</v>
      </c>
      <c r="F608" s="577">
        <v>7.4083333333333336E-3</v>
      </c>
      <c r="G608" s="577">
        <v>7.2041666666666669E-3</v>
      </c>
      <c r="H608" s="577">
        <v>7.9416666666666663E-3</v>
      </c>
      <c r="I608" s="577">
        <f t="shared" si="101"/>
        <v>-1.4200000000000001E-2</v>
      </c>
      <c r="J608" s="577">
        <f t="shared" si="105"/>
        <v>-1.5004166666666666E-2</v>
      </c>
      <c r="K608" s="577">
        <f t="shared" si="106"/>
        <v>-4.2416666666666662E-3</v>
      </c>
      <c r="L608" s="585">
        <f t="shared" si="102"/>
        <v>0.21134966765186891</v>
      </c>
      <c r="M608" s="585">
        <f t="shared" si="103"/>
        <v>7.6800000000000007E-2</v>
      </c>
      <c r="N608" s="585">
        <f t="shared" si="96"/>
        <v>8.6449999999999999E-2</v>
      </c>
      <c r="O608" s="586">
        <f t="shared" si="104"/>
        <v>0.1345496676518689</v>
      </c>
      <c r="P608" s="585">
        <f t="shared" si="97"/>
        <v>0.12489966765186891</v>
      </c>
      <c r="Q608" s="585">
        <f t="shared" si="98"/>
        <v>0.3221366721407839</v>
      </c>
      <c r="R608" s="585">
        <f t="shared" si="99"/>
        <v>9.5299999999999996E-2</v>
      </c>
      <c r="S608" s="586">
        <f t="shared" si="100"/>
        <v>0.2268366721407839</v>
      </c>
      <c r="U608" s="587"/>
      <c r="V608" s="587"/>
      <c r="W608" s="587"/>
      <c r="X608" s="587"/>
      <c r="Y608" s="587"/>
      <c r="Z608" s="587"/>
      <c r="AA608" s="587"/>
      <c r="AB608" s="587"/>
      <c r="AC608" s="587"/>
      <c r="AE608" s="587"/>
      <c r="AF608" s="587"/>
      <c r="AG608" s="587"/>
      <c r="AH608" s="587"/>
      <c r="AI608" s="587"/>
      <c r="AJ608" s="587"/>
      <c r="AK608" s="587"/>
      <c r="AL608" s="587"/>
      <c r="AM608" s="587"/>
      <c r="AO608" s="587"/>
      <c r="AP608" s="587"/>
      <c r="AQ608" s="587"/>
      <c r="AR608" s="587"/>
      <c r="AS608" s="587"/>
      <c r="AT608" s="587"/>
      <c r="AU608" s="587"/>
      <c r="AV608" s="587"/>
      <c r="AW608" s="587"/>
    </row>
    <row r="609" spans="1:49">
      <c r="A609" s="581">
        <v>27881</v>
      </c>
      <c r="B609" s="594">
        <v>-1.11E-2</v>
      </c>
      <c r="C609" s="577">
        <v>-1.3899999999999999E-2</v>
      </c>
      <c r="D609" s="577">
        <v>5.8999999999999999E-3</v>
      </c>
      <c r="E609" s="577">
        <v>7.1500000000000001E-3</v>
      </c>
      <c r="F609" s="577">
        <v>7.4333333333333326E-3</v>
      </c>
      <c r="G609" s="577">
        <v>7.2916666666666659E-3</v>
      </c>
      <c r="H609" s="577">
        <v>7.9583333333333346E-3</v>
      </c>
      <c r="I609" s="577">
        <f t="shared" si="101"/>
        <v>-1.7000000000000001E-2</v>
      </c>
      <c r="J609" s="577">
        <f t="shared" si="105"/>
        <v>-1.8391666666666667E-2</v>
      </c>
      <c r="K609" s="577">
        <f t="shared" si="106"/>
        <v>-2.1858333333333334E-2</v>
      </c>
      <c r="L609" s="585">
        <f t="shared" si="102"/>
        <v>0.14347430922196747</v>
      </c>
      <c r="M609" s="585">
        <f t="shared" si="103"/>
        <v>7.0800000000000002E-2</v>
      </c>
      <c r="N609" s="585">
        <f t="shared" si="96"/>
        <v>8.7499999999999994E-2</v>
      </c>
      <c r="O609" s="586">
        <f t="shared" si="104"/>
        <v>7.2674309221967465E-2</v>
      </c>
      <c r="P609" s="585">
        <f t="shared" si="97"/>
        <v>5.5974309221967472E-2</v>
      </c>
      <c r="Q609" s="585">
        <f t="shared" si="98"/>
        <v>0.19985180599855212</v>
      </c>
      <c r="R609" s="585">
        <f t="shared" si="99"/>
        <v>9.5500000000000015E-2</v>
      </c>
      <c r="S609" s="586">
        <f t="shared" si="100"/>
        <v>0.10435180599855211</v>
      </c>
      <c r="U609" s="587"/>
      <c r="V609" s="587"/>
      <c r="W609" s="587"/>
      <c r="X609" s="587"/>
      <c r="Y609" s="587"/>
      <c r="Z609" s="587"/>
      <c r="AA609" s="587"/>
      <c r="AB609" s="587"/>
      <c r="AC609" s="587"/>
      <c r="AE609" s="587"/>
      <c r="AF609" s="587"/>
      <c r="AG609" s="587"/>
      <c r="AH609" s="587"/>
      <c r="AI609" s="587"/>
      <c r="AJ609" s="587"/>
      <c r="AK609" s="587"/>
      <c r="AL609" s="587"/>
      <c r="AM609" s="587"/>
      <c r="AO609" s="587"/>
      <c r="AP609" s="587"/>
      <c r="AQ609" s="587"/>
      <c r="AR609" s="587"/>
      <c r="AS609" s="587"/>
      <c r="AT609" s="587"/>
      <c r="AU609" s="587"/>
      <c r="AV609" s="587"/>
      <c r="AW609" s="587"/>
    </row>
    <row r="610" spans="1:49">
      <c r="A610" s="581">
        <v>27912</v>
      </c>
      <c r="B610" s="594">
        <v>4.4299999999999999E-2</v>
      </c>
      <c r="C610" s="577">
        <v>3.3700000000000001E-2</v>
      </c>
      <c r="D610" s="577">
        <v>7.3000000000000001E-3</v>
      </c>
      <c r="E610" s="577">
        <v>7.1833333333333324E-3</v>
      </c>
      <c r="F610" s="577">
        <v>7.4083333333333336E-3</v>
      </c>
      <c r="G610" s="577">
        <v>7.2958333333333321E-3</v>
      </c>
      <c r="H610" s="577">
        <v>7.9499999999999987E-3</v>
      </c>
      <c r="I610" s="577">
        <f t="shared" si="101"/>
        <v>3.6999999999999998E-2</v>
      </c>
      <c r="J610" s="577">
        <f t="shared" si="105"/>
        <v>3.7004166666666664E-2</v>
      </c>
      <c r="K610" s="577">
        <f t="shared" si="106"/>
        <v>2.5750000000000002E-2</v>
      </c>
      <c r="L610" s="585">
        <f t="shared" si="102"/>
        <v>0.1397635020716812</v>
      </c>
      <c r="M610" s="585">
        <f t="shared" si="103"/>
        <v>8.7599999999999997E-2</v>
      </c>
      <c r="N610" s="585">
        <f t="shared" si="96"/>
        <v>8.7549999999999989E-2</v>
      </c>
      <c r="O610" s="586">
        <f t="shared" si="104"/>
        <v>5.2163502071681203E-2</v>
      </c>
      <c r="P610" s="585">
        <f t="shared" si="97"/>
        <v>5.2213502071681211E-2</v>
      </c>
      <c r="Q610" s="585">
        <f t="shared" si="98"/>
        <v>0.12070733880970774</v>
      </c>
      <c r="R610" s="585">
        <f t="shared" si="99"/>
        <v>9.5399999999999985E-2</v>
      </c>
      <c r="S610" s="586">
        <f t="shared" si="100"/>
        <v>2.5307338809707758E-2</v>
      </c>
      <c r="U610" s="587"/>
      <c r="V610" s="587"/>
      <c r="W610" s="587"/>
      <c r="X610" s="587"/>
      <c r="Y610" s="587"/>
      <c r="Z610" s="587"/>
      <c r="AA610" s="587"/>
      <c r="AB610" s="587"/>
      <c r="AC610" s="587"/>
      <c r="AE610" s="587"/>
      <c r="AF610" s="587"/>
      <c r="AG610" s="587"/>
      <c r="AH610" s="587"/>
      <c r="AI610" s="587"/>
      <c r="AJ610" s="587"/>
      <c r="AK610" s="587"/>
      <c r="AL610" s="587"/>
      <c r="AM610" s="587"/>
      <c r="AO610" s="587"/>
      <c r="AP610" s="587"/>
      <c r="AQ610" s="587"/>
      <c r="AR610" s="587"/>
      <c r="AS610" s="587"/>
      <c r="AT610" s="587"/>
      <c r="AU610" s="587"/>
      <c r="AV610" s="587"/>
      <c r="AW610" s="587"/>
    </row>
    <row r="611" spans="1:49">
      <c r="A611" s="581">
        <v>27942</v>
      </c>
      <c r="B611" s="594">
        <v>-4.7999999999999996E-3</v>
      </c>
      <c r="C611" s="577">
        <v>3.4099999999999998E-2</v>
      </c>
      <c r="D611" s="577">
        <v>6.5000000000000006E-3</v>
      </c>
      <c r="E611" s="577">
        <v>7.1333333333333335E-3</v>
      </c>
      <c r="F611" s="577">
        <v>7.3416666666666673E-3</v>
      </c>
      <c r="G611" s="577">
        <v>7.2375000000000009E-3</v>
      </c>
      <c r="H611" s="577">
        <v>7.8083333333333329E-3</v>
      </c>
      <c r="I611" s="577">
        <f t="shared" si="101"/>
        <v>-1.1300000000000001E-2</v>
      </c>
      <c r="J611" s="577">
        <f t="shared" si="105"/>
        <v>-1.20375E-2</v>
      </c>
      <c r="K611" s="577">
        <f t="shared" si="106"/>
        <v>2.6291666666666665E-2</v>
      </c>
      <c r="L611" s="585">
        <f t="shared" si="102"/>
        <v>0.21236921468762016</v>
      </c>
      <c r="M611" s="585">
        <f t="shared" si="103"/>
        <v>7.8000000000000014E-2</v>
      </c>
      <c r="N611" s="585">
        <f t="shared" si="96"/>
        <v>8.6850000000000011E-2</v>
      </c>
      <c r="O611" s="586">
        <f t="shared" si="104"/>
        <v>0.13436921468762014</v>
      </c>
      <c r="P611" s="585">
        <f t="shared" si="97"/>
        <v>0.12551921468762015</v>
      </c>
      <c r="Q611" s="585">
        <f t="shared" si="98"/>
        <v>0.22120490944480364</v>
      </c>
      <c r="R611" s="585">
        <f t="shared" si="99"/>
        <v>9.3699999999999992E-2</v>
      </c>
      <c r="S611" s="586">
        <f t="shared" si="100"/>
        <v>0.12750490944480364</v>
      </c>
      <c r="U611" s="587"/>
      <c r="V611" s="587"/>
      <c r="W611" s="587"/>
      <c r="X611" s="587"/>
      <c r="Y611" s="587"/>
      <c r="Z611" s="587"/>
      <c r="AA611" s="587"/>
      <c r="AB611" s="587"/>
      <c r="AC611" s="587"/>
      <c r="AE611" s="587"/>
      <c r="AF611" s="587"/>
      <c r="AG611" s="587"/>
      <c r="AH611" s="587"/>
      <c r="AI611" s="587"/>
      <c r="AJ611" s="587"/>
      <c r="AK611" s="587"/>
      <c r="AL611" s="587"/>
      <c r="AM611" s="587"/>
      <c r="AO611" s="587"/>
      <c r="AP611" s="587"/>
      <c r="AQ611" s="587"/>
      <c r="AR611" s="587"/>
      <c r="AS611" s="587"/>
      <c r="AT611" s="587"/>
      <c r="AU611" s="587"/>
      <c r="AV611" s="587"/>
      <c r="AW611" s="587"/>
    </row>
    <row r="612" spans="1:49">
      <c r="A612" s="581">
        <v>27973</v>
      </c>
      <c r="B612" s="594">
        <v>-1.8E-3</v>
      </c>
      <c r="C612" s="577">
        <v>3.8300000000000001E-2</v>
      </c>
      <c r="D612" s="577">
        <v>6.8999999999999999E-3</v>
      </c>
      <c r="E612" s="577">
        <v>7.0416666666666657E-3</v>
      </c>
      <c r="F612" s="577">
        <v>7.2166666666666664E-3</v>
      </c>
      <c r="G612" s="577">
        <v>7.1291666666666665E-3</v>
      </c>
      <c r="H612" s="577">
        <v>7.6083333333333333E-3</v>
      </c>
      <c r="I612" s="577">
        <f t="shared" si="101"/>
        <v>-8.6999999999999994E-3</v>
      </c>
      <c r="J612" s="577">
        <f t="shared" si="105"/>
        <v>-8.9291666666666668E-3</v>
      </c>
      <c r="K612" s="577">
        <f t="shared" si="106"/>
        <v>3.0691666666666666E-2</v>
      </c>
      <c r="L612" s="585">
        <f t="shared" si="102"/>
        <v>0.23186782380006332</v>
      </c>
      <c r="M612" s="585">
        <f t="shared" si="103"/>
        <v>8.2799999999999999E-2</v>
      </c>
      <c r="N612" s="585">
        <f t="shared" si="96"/>
        <v>8.5550000000000001E-2</v>
      </c>
      <c r="O612" s="586">
        <f t="shared" si="104"/>
        <v>0.14906782380006334</v>
      </c>
      <c r="P612" s="585">
        <f t="shared" si="97"/>
        <v>0.14631782380006331</v>
      </c>
      <c r="Q612" s="585">
        <f t="shared" si="98"/>
        <v>0.29544039382564358</v>
      </c>
      <c r="R612" s="585">
        <f t="shared" si="99"/>
        <v>9.1299999999999992E-2</v>
      </c>
      <c r="S612" s="586">
        <f t="shared" si="100"/>
        <v>0.20414039382564358</v>
      </c>
      <c r="U612" s="587"/>
      <c r="V612" s="587"/>
      <c r="W612" s="587"/>
      <c r="X612" s="587"/>
      <c r="Y612" s="587"/>
      <c r="Z612" s="587"/>
      <c r="AA612" s="587"/>
      <c r="AB612" s="587"/>
      <c r="AC612" s="587"/>
      <c r="AE612" s="587"/>
      <c r="AF612" s="587"/>
      <c r="AG612" s="587"/>
      <c r="AH612" s="587"/>
      <c r="AI612" s="587"/>
      <c r="AJ612" s="587"/>
      <c r="AK612" s="587"/>
      <c r="AL612" s="587"/>
      <c r="AM612" s="587"/>
      <c r="AO612" s="587"/>
      <c r="AP612" s="587"/>
      <c r="AQ612" s="587"/>
      <c r="AR612" s="587"/>
      <c r="AS612" s="587"/>
      <c r="AT612" s="587"/>
      <c r="AU612" s="587"/>
      <c r="AV612" s="587"/>
      <c r="AW612" s="587"/>
    </row>
    <row r="613" spans="1:49">
      <c r="A613" s="581">
        <v>28004</v>
      </c>
      <c r="B613" s="594">
        <v>2.58E-2</v>
      </c>
      <c r="C613" s="577">
        <v>3.8100000000000002E-2</v>
      </c>
      <c r="D613" s="577">
        <v>6.4000000000000003E-3</v>
      </c>
      <c r="E613" s="577">
        <v>6.9833333333333336E-3</v>
      </c>
      <c r="F613" s="577">
        <v>7.1166666666666652E-3</v>
      </c>
      <c r="G613" s="577">
        <v>7.0499999999999998E-3</v>
      </c>
      <c r="H613" s="577">
        <v>7.4166666666666669E-3</v>
      </c>
      <c r="I613" s="577">
        <f t="shared" si="101"/>
        <v>1.9400000000000001E-2</v>
      </c>
      <c r="J613" s="577">
        <f t="shared" si="105"/>
        <v>1.8749999999999999E-2</v>
      </c>
      <c r="K613" s="577">
        <f t="shared" si="106"/>
        <v>3.0683333333333333E-2</v>
      </c>
      <c r="L613" s="585">
        <f t="shared" si="102"/>
        <v>0.30434559625733382</v>
      </c>
      <c r="M613" s="585">
        <f t="shared" si="103"/>
        <v>7.6800000000000007E-2</v>
      </c>
      <c r="N613" s="585">
        <f t="shared" si="96"/>
        <v>8.4599999999999995E-2</v>
      </c>
      <c r="O613" s="586">
        <f t="shared" si="104"/>
        <v>0.22754559625733381</v>
      </c>
      <c r="P613" s="585">
        <f t="shared" si="97"/>
        <v>0.21974559625733381</v>
      </c>
      <c r="Q613" s="585">
        <f t="shared" si="98"/>
        <v>0.35141862408843405</v>
      </c>
      <c r="R613" s="585">
        <f t="shared" si="99"/>
        <v>8.8999999999999996E-2</v>
      </c>
      <c r="S613" s="586">
        <f t="shared" si="100"/>
        <v>0.26241862408843408</v>
      </c>
      <c r="U613" s="587"/>
      <c r="V613" s="587"/>
      <c r="W613" s="587"/>
      <c r="X613" s="587"/>
      <c r="Y613" s="587"/>
      <c r="Z613" s="587"/>
      <c r="AA613" s="587"/>
      <c r="AB613" s="587"/>
      <c r="AC613" s="587"/>
      <c r="AE613" s="587"/>
      <c r="AF613" s="587"/>
      <c r="AG613" s="587"/>
      <c r="AH613" s="587"/>
      <c r="AI613" s="587"/>
      <c r="AJ613" s="587"/>
      <c r="AK613" s="587"/>
      <c r="AL613" s="587"/>
      <c r="AM613" s="587"/>
      <c r="AO613" s="587"/>
      <c r="AP613" s="587"/>
      <c r="AQ613" s="587"/>
      <c r="AR613" s="587"/>
      <c r="AS613" s="587"/>
      <c r="AT613" s="587"/>
      <c r="AU613" s="587"/>
      <c r="AV613" s="587"/>
      <c r="AW613" s="587"/>
    </row>
    <row r="614" spans="1:49">
      <c r="A614" s="581">
        <v>28034</v>
      </c>
      <c r="B614" s="594">
        <v>-1.8599999999999998E-2</v>
      </c>
      <c r="C614" s="577">
        <v>-2.1000000000000003E-3</v>
      </c>
      <c r="D614" s="577">
        <v>6.0999999999999995E-3</v>
      </c>
      <c r="E614" s="577">
        <v>6.9333333333333339E-3</v>
      </c>
      <c r="F614" s="577">
        <v>7.0666666666666664E-3</v>
      </c>
      <c r="G614" s="577">
        <v>6.9999999999999993E-3</v>
      </c>
      <c r="H614" s="577">
        <v>7.324999999999999E-3</v>
      </c>
      <c r="I614" s="577">
        <f t="shared" si="101"/>
        <v>-2.47E-2</v>
      </c>
      <c r="J614" s="577">
        <f t="shared" si="105"/>
        <v>-2.5599999999999998E-2</v>
      </c>
      <c r="K614" s="577">
        <f t="shared" si="106"/>
        <v>-9.4249999999999994E-3</v>
      </c>
      <c r="L614" s="585">
        <f t="shared" si="102"/>
        <v>0.20161904455735269</v>
      </c>
      <c r="M614" s="585">
        <f t="shared" si="103"/>
        <v>7.3199999999999987E-2</v>
      </c>
      <c r="N614" s="585">
        <f t="shared" si="96"/>
        <v>8.3999999999999991E-2</v>
      </c>
      <c r="O614" s="586">
        <f t="shared" si="104"/>
        <v>0.1284190445573527</v>
      </c>
      <c r="P614" s="585">
        <f t="shared" si="97"/>
        <v>0.1176190445573527</v>
      </c>
      <c r="Q614" s="585">
        <f t="shared" si="98"/>
        <v>0.25941412493261895</v>
      </c>
      <c r="R614" s="585">
        <f t="shared" si="99"/>
        <v>8.7899999999999992E-2</v>
      </c>
      <c r="S614" s="586">
        <f t="shared" si="100"/>
        <v>0.17151412493261897</v>
      </c>
      <c r="U614" s="587"/>
      <c r="V614" s="587"/>
      <c r="W614" s="587"/>
      <c r="X614" s="587"/>
      <c r="Y614" s="587"/>
      <c r="Z614" s="587"/>
      <c r="AA614" s="587"/>
      <c r="AB614" s="587"/>
      <c r="AC614" s="587"/>
      <c r="AE614" s="587"/>
      <c r="AF614" s="587"/>
      <c r="AG614" s="587"/>
      <c r="AH614" s="587"/>
      <c r="AI614" s="587"/>
      <c r="AJ614" s="587"/>
      <c r="AK614" s="587"/>
      <c r="AL614" s="587"/>
      <c r="AM614" s="587"/>
      <c r="AO614" s="587"/>
      <c r="AP614" s="587"/>
      <c r="AQ614" s="587"/>
      <c r="AR614" s="587"/>
      <c r="AS614" s="587"/>
      <c r="AT614" s="587"/>
      <c r="AU614" s="587"/>
      <c r="AV614" s="587"/>
      <c r="AW614" s="587"/>
    </row>
    <row r="615" spans="1:49">
      <c r="A615" s="581">
        <v>28065</v>
      </c>
      <c r="B615" s="594">
        <v>-4.1000000000000003E-3</v>
      </c>
      <c r="C615" s="577">
        <v>2.6800000000000001E-2</v>
      </c>
      <c r="D615" s="577">
        <v>6.6E-3</v>
      </c>
      <c r="E615" s="577">
        <v>6.875E-3</v>
      </c>
      <c r="F615" s="577">
        <v>7.0500000000000007E-3</v>
      </c>
      <c r="G615" s="577">
        <v>6.9624999999999999E-3</v>
      </c>
      <c r="H615" s="577">
        <v>7.3000000000000001E-3</v>
      </c>
      <c r="I615" s="577">
        <f t="shared" si="101"/>
        <v>-1.0700000000000001E-2</v>
      </c>
      <c r="J615" s="577">
        <f t="shared" si="105"/>
        <v>-1.1062499999999999E-2</v>
      </c>
      <c r="K615" s="577">
        <f t="shared" si="106"/>
        <v>1.95E-2</v>
      </c>
      <c r="L615" s="585">
        <f t="shared" si="102"/>
        <v>0.16387123757505062</v>
      </c>
      <c r="M615" s="585">
        <f t="shared" si="103"/>
        <v>7.9199999999999993E-2</v>
      </c>
      <c r="N615" s="585">
        <f t="shared" si="96"/>
        <v>8.3549999999999999E-2</v>
      </c>
      <c r="O615" s="586">
        <f t="shared" si="104"/>
        <v>8.4671237575050629E-2</v>
      </c>
      <c r="P615" s="585">
        <f t="shared" si="97"/>
        <v>8.0321237575050622E-2</v>
      </c>
      <c r="Q615" s="585">
        <f t="shared" si="98"/>
        <v>0.24943615795247664</v>
      </c>
      <c r="R615" s="585">
        <f t="shared" si="99"/>
        <v>8.7599999999999997E-2</v>
      </c>
      <c r="S615" s="586">
        <f t="shared" si="100"/>
        <v>0.16183615795247663</v>
      </c>
      <c r="U615" s="587"/>
      <c r="V615" s="587"/>
      <c r="W615" s="587"/>
      <c r="X615" s="587"/>
      <c r="Y615" s="587"/>
      <c r="Z615" s="587"/>
      <c r="AA615" s="587"/>
      <c r="AB615" s="587"/>
      <c r="AC615" s="587"/>
      <c r="AE615" s="587"/>
      <c r="AF615" s="587"/>
      <c r="AG615" s="587"/>
      <c r="AH615" s="587"/>
      <c r="AI615" s="587"/>
      <c r="AJ615" s="587"/>
      <c r="AK615" s="587"/>
      <c r="AL615" s="587"/>
      <c r="AM615" s="587"/>
      <c r="AO615" s="587"/>
      <c r="AP615" s="587"/>
      <c r="AQ615" s="587"/>
      <c r="AR615" s="587"/>
      <c r="AS615" s="587"/>
      <c r="AT615" s="587"/>
      <c r="AU615" s="587"/>
      <c r="AV615" s="587"/>
      <c r="AW615" s="587"/>
    </row>
    <row r="616" spans="1:49">
      <c r="A616" s="581">
        <v>28095</v>
      </c>
      <c r="B616" s="594">
        <v>5.6099999999999997E-2</v>
      </c>
      <c r="C616" s="577">
        <v>6.3100000000000003E-2</v>
      </c>
      <c r="D616" s="577">
        <v>6.3E-3</v>
      </c>
      <c r="E616" s="577">
        <v>6.6500000000000005E-3</v>
      </c>
      <c r="F616" s="577">
        <v>6.870833333333333E-3</v>
      </c>
      <c r="G616" s="577">
        <v>6.7604166666666663E-3</v>
      </c>
      <c r="H616" s="577">
        <v>7.1833333333333324E-3</v>
      </c>
      <c r="I616" s="577">
        <f t="shared" si="101"/>
        <v>4.9799999999999997E-2</v>
      </c>
      <c r="J616" s="577">
        <f t="shared" si="105"/>
        <v>4.9339583333333333E-2</v>
      </c>
      <c r="K616" s="577">
        <f t="shared" si="106"/>
        <v>5.591666666666667E-2</v>
      </c>
      <c r="L616" s="585">
        <f t="shared" si="102"/>
        <v>0.23920194979636178</v>
      </c>
      <c r="M616" s="585">
        <f t="shared" si="103"/>
        <v>7.5600000000000001E-2</v>
      </c>
      <c r="N616" s="585">
        <f t="shared" ref="N616:N679" si="107">G616*12</f>
        <v>8.1125000000000003E-2</v>
      </c>
      <c r="O616" s="586">
        <f t="shared" si="104"/>
        <v>0.16360194979636178</v>
      </c>
      <c r="P616" s="585">
        <f t="shared" ref="P616:P679" si="108">L616-N616</f>
        <v>0.15807694979636178</v>
      </c>
      <c r="Q616" s="585">
        <f t="shared" ref="Q616:Q679" si="109">((1+C605)*(1+C606)*(1+C607)*(1+C608)*(1+C609)*(1+C610)*(1+C611)*(1+C612)*(1+C613)*(1+C614)*(1+C615)*(1+C616))-1</f>
        <v>0.31812600924806733</v>
      </c>
      <c r="R616" s="585">
        <f t="shared" ref="R616:R679" si="110">H616*12</f>
        <v>8.6199999999999985E-2</v>
      </c>
      <c r="S616" s="586">
        <f t="shared" ref="S616:S679" si="111">Q616-R616</f>
        <v>0.23192600924806733</v>
      </c>
      <c r="U616" s="587"/>
      <c r="V616" s="587"/>
      <c r="W616" s="587"/>
      <c r="X616" s="587"/>
      <c r="Y616" s="587"/>
      <c r="Z616" s="587"/>
      <c r="AA616" s="587"/>
      <c r="AB616" s="587"/>
      <c r="AC616" s="587"/>
      <c r="AE616" s="587"/>
      <c r="AF616" s="587"/>
      <c r="AG616" s="587"/>
      <c r="AH616" s="587"/>
      <c r="AI616" s="587"/>
      <c r="AJ616" s="587"/>
      <c r="AK616" s="587"/>
      <c r="AL616" s="587"/>
      <c r="AM616" s="587"/>
      <c r="AO616" s="587"/>
      <c r="AP616" s="587"/>
      <c r="AQ616" s="587"/>
      <c r="AR616" s="587"/>
      <c r="AS616" s="587"/>
      <c r="AT616" s="587"/>
      <c r="AU616" s="587"/>
      <c r="AV616" s="587"/>
      <c r="AW616" s="587"/>
    </row>
    <row r="617" spans="1:49">
      <c r="A617" s="581">
        <v>28126</v>
      </c>
      <c r="B617" s="594">
        <v>-4.7300000000000002E-2</v>
      </c>
      <c r="C617" s="577">
        <v>3.5000000000000005E-3</v>
      </c>
      <c r="D617" s="577">
        <v>5.8999999999999999E-3</v>
      </c>
      <c r="E617" s="577">
        <v>6.6333333333333331E-3</v>
      </c>
      <c r="F617" s="577">
        <v>6.8000000000000005E-3</v>
      </c>
      <c r="G617" s="577">
        <v>6.7166666666666659E-3</v>
      </c>
      <c r="H617" s="577">
        <v>7.1749999999999991E-3</v>
      </c>
      <c r="I617" s="577">
        <f t="shared" si="101"/>
        <v>-5.3200000000000004E-2</v>
      </c>
      <c r="J617" s="577">
        <f t="shared" si="105"/>
        <v>-5.4016666666666671E-2</v>
      </c>
      <c r="K617" s="577">
        <f t="shared" si="106"/>
        <v>-3.6749999999999986E-3</v>
      </c>
      <c r="L617" s="585">
        <f t="shared" si="102"/>
        <v>5.2498616003382459E-2</v>
      </c>
      <c r="M617" s="585">
        <f t="shared" si="103"/>
        <v>7.0800000000000002E-2</v>
      </c>
      <c r="N617" s="585">
        <f t="shared" si="107"/>
        <v>8.0599999999999991E-2</v>
      </c>
      <c r="O617" s="586">
        <f t="shared" si="104"/>
        <v>-1.8301383996617543E-2</v>
      </c>
      <c r="P617" s="585">
        <f t="shared" si="108"/>
        <v>-2.8101383996617532E-2</v>
      </c>
      <c r="Q617" s="585">
        <f t="shared" si="109"/>
        <v>0.21419079335454017</v>
      </c>
      <c r="R617" s="585">
        <f t="shared" si="110"/>
        <v>8.6099999999999982E-2</v>
      </c>
      <c r="S617" s="586">
        <f t="shared" si="111"/>
        <v>0.12809079335454018</v>
      </c>
      <c r="U617" s="587"/>
      <c r="V617" s="587"/>
      <c r="W617" s="587"/>
      <c r="X617" s="587"/>
      <c r="Y617" s="587"/>
      <c r="Z617" s="587"/>
      <c r="AA617" s="587"/>
      <c r="AB617" s="587"/>
      <c r="AC617" s="587"/>
      <c r="AE617" s="587"/>
      <c r="AF617" s="587"/>
      <c r="AG617" s="587"/>
      <c r="AH617" s="587"/>
      <c r="AI617" s="587"/>
      <c r="AJ617" s="587"/>
      <c r="AK617" s="587"/>
      <c r="AL617" s="587"/>
      <c r="AM617" s="587"/>
      <c r="AO617" s="587"/>
      <c r="AP617" s="587"/>
      <c r="AQ617" s="587"/>
      <c r="AR617" s="587"/>
      <c r="AS617" s="587"/>
      <c r="AT617" s="587"/>
      <c r="AU617" s="587"/>
      <c r="AV617" s="587"/>
      <c r="AW617" s="587"/>
    </row>
    <row r="618" spans="1:49">
      <c r="A618" s="581">
        <v>28157</v>
      </c>
      <c r="B618" s="594">
        <v>-1.8200000000000001E-2</v>
      </c>
      <c r="C618" s="577">
        <v>-3.7200000000000004E-2</v>
      </c>
      <c r="D618" s="577">
        <v>5.7000000000000002E-3</v>
      </c>
      <c r="E618" s="577">
        <v>6.6999999999999994E-3</v>
      </c>
      <c r="F618" s="577">
        <v>6.8833333333333333E-3</v>
      </c>
      <c r="G618" s="577">
        <v>6.7916666666666672E-3</v>
      </c>
      <c r="H618" s="577">
        <v>7.2083333333333331E-3</v>
      </c>
      <c r="I618" s="577">
        <f t="shared" si="101"/>
        <v>-2.3900000000000001E-2</v>
      </c>
      <c r="J618" s="577">
        <f t="shared" si="105"/>
        <v>-2.4991666666666669E-2</v>
      </c>
      <c r="K618" s="577">
        <f t="shared" si="106"/>
        <v>-4.4408333333333334E-2</v>
      </c>
      <c r="L618" s="585">
        <f t="shared" si="102"/>
        <v>4.2096753925091157E-2</v>
      </c>
      <c r="M618" s="585">
        <f t="shared" si="103"/>
        <v>6.8400000000000002E-2</v>
      </c>
      <c r="N618" s="585">
        <f t="shared" si="107"/>
        <v>8.1500000000000003E-2</v>
      </c>
      <c r="O618" s="586">
        <f t="shared" si="104"/>
        <v>-2.6303246074908845E-2</v>
      </c>
      <c r="P618" s="585">
        <f t="shared" si="108"/>
        <v>-3.9403246074908846E-2</v>
      </c>
      <c r="Q618" s="585">
        <f t="shared" si="109"/>
        <v>0.21217637478406393</v>
      </c>
      <c r="R618" s="585">
        <f t="shared" si="110"/>
        <v>8.6499999999999994E-2</v>
      </c>
      <c r="S618" s="586">
        <f t="shared" si="111"/>
        <v>0.12567637478406393</v>
      </c>
      <c r="U618" s="587"/>
      <c r="V618" s="587"/>
      <c r="W618" s="587"/>
      <c r="X618" s="587"/>
      <c r="Y618" s="587"/>
      <c r="Z618" s="587"/>
      <c r="AA618" s="587"/>
      <c r="AB618" s="587"/>
      <c r="AC618" s="587"/>
      <c r="AE618" s="587"/>
      <c r="AF618" s="587"/>
      <c r="AG618" s="587"/>
      <c r="AH618" s="587"/>
      <c r="AI618" s="587"/>
      <c r="AJ618" s="587"/>
      <c r="AK618" s="587"/>
      <c r="AL618" s="587"/>
      <c r="AM618" s="587"/>
      <c r="AO618" s="587"/>
      <c r="AP618" s="587"/>
      <c r="AQ618" s="587"/>
      <c r="AR618" s="587"/>
      <c r="AS618" s="587"/>
      <c r="AT618" s="587"/>
      <c r="AU618" s="587"/>
      <c r="AV618" s="587"/>
      <c r="AW618" s="587"/>
    </row>
    <row r="619" spans="1:49">
      <c r="A619" s="581">
        <v>28185</v>
      </c>
      <c r="B619" s="594">
        <v>-1.0500000000000001E-2</v>
      </c>
      <c r="C619" s="577">
        <v>1.0200000000000001E-2</v>
      </c>
      <c r="D619" s="577">
        <v>6.5000000000000006E-3</v>
      </c>
      <c r="E619" s="577">
        <v>6.7499999999999991E-3</v>
      </c>
      <c r="F619" s="577">
        <v>6.8999999999999999E-3</v>
      </c>
      <c r="G619" s="577">
        <v>6.8249999999999986E-3</v>
      </c>
      <c r="H619" s="577">
        <v>7.2499999999999995E-3</v>
      </c>
      <c r="I619" s="577">
        <f t="shared" si="101"/>
        <v>-1.7000000000000001E-2</v>
      </c>
      <c r="J619" s="577">
        <f t="shared" si="105"/>
        <v>-1.7325E-2</v>
      </c>
      <c r="K619" s="577">
        <f t="shared" si="106"/>
        <v>2.9500000000000012E-3</v>
      </c>
      <c r="L619" s="585">
        <f t="shared" si="102"/>
        <v>-2.4622830522609274E-3</v>
      </c>
      <c r="M619" s="585">
        <f t="shared" si="103"/>
        <v>7.8000000000000014E-2</v>
      </c>
      <c r="N619" s="585">
        <f t="shared" si="107"/>
        <v>8.1899999999999987E-2</v>
      </c>
      <c r="O619" s="586">
        <f t="shared" si="104"/>
        <v>-8.0462283052260941E-2</v>
      </c>
      <c r="P619" s="585">
        <f t="shared" si="108"/>
        <v>-8.4362283052260914E-2</v>
      </c>
      <c r="Q619" s="585">
        <f t="shared" si="109"/>
        <v>0.21241640970976294</v>
      </c>
      <c r="R619" s="585">
        <f t="shared" si="110"/>
        <v>8.6999999999999994E-2</v>
      </c>
      <c r="S619" s="586">
        <f t="shared" si="111"/>
        <v>0.12541640970976295</v>
      </c>
      <c r="U619" s="587"/>
      <c r="V619" s="587"/>
      <c r="W619" s="587"/>
      <c r="X619" s="587"/>
      <c r="Y619" s="587"/>
      <c r="Z619" s="587"/>
      <c r="AA619" s="587"/>
      <c r="AB619" s="587"/>
      <c r="AC619" s="587"/>
      <c r="AE619" s="587"/>
      <c r="AF619" s="587"/>
      <c r="AG619" s="587"/>
      <c r="AH619" s="587"/>
      <c r="AI619" s="587"/>
      <c r="AJ619" s="587"/>
      <c r="AK619" s="587"/>
      <c r="AL619" s="587"/>
      <c r="AM619" s="587"/>
      <c r="AO619" s="587"/>
      <c r="AP619" s="587"/>
      <c r="AQ619" s="587"/>
      <c r="AR619" s="587"/>
      <c r="AS619" s="587"/>
      <c r="AT619" s="587"/>
      <c r="AU619" s="587"/>
      <c r="AV619" s="587"/>
      <c r="AW619" s="587"/>
    </row>
    <row r="620" spans="1:49">
      <c r="A620" s="581">
        <v>28216</v>
      </c>
      <c r="B620" s="594">
        <v>4.1999999999999997E-3</v>
      </c>
      <c r="C620" s="577">
        <v>2.0900000000000002E-2</v>
      </c>
      <c r="D620" s="577">
        <v>6.0999999999999995E-3</v>
      </c>
      <c r="E620" s="577">
        <v>6.6999999999999994E-3</v>
      </c>
      <c r="F620" s="577">
        <v>6.8999999999999999E-3</v>
      </c>
      <c r="G620" s="577">
        <v>6.7999999999999996E-3</v>
      </c>
      <c r="H620" s="577">
        <v>7.2583333333333345E-3</v>
      </c>
      <c r="I620" s="577">
        <f t="shared" si="101"/>
        <v>-1.8999999999999998E-3</v>
      </c>
      <c r="J620" s="577">
        <f t="shared" si="105"/>
        <v>-2.5999999999999999E-3</v>
      </c>
      <c r="K620" s="577">
        <f t="shared" si="106"/>
        <v>1.3641666666666667E-2</v>
      </c>
      <c r="L620" s="585">
        <f t="shared" si="102"/>
        <v>9.6022730890141794E-3</v>
      </c>
      <c r="M620" s="585">
        <f t="shared" si="103"/>
        <v>7.3199999999999987E-2</v>
      </c>
      <c r="N620" s="585">
        <f t="shared" si="107"/>
        <v>8.1599999999999992E-2</v>
      </c>
      <c r="O620" s="586">
        <f t="shared" si="104"/>
        <v>-6.3597726910985808E-2</v>
      </c>
      <c r="P620" s="585">
        <f t="shared" si="108"/>
        <v>-7.1997726910985813E-2</v>
      </c>
      <c r="Q620" s="585">
        <f t="shared" si="109"/>
        <v>0.23319309820932266</v>
      </c>
      <c r="R620" s="585">
        <f t="shared" si="110"/>
        <v>8.7100000000000011E-2</v>
      </c>
      <c r="S620" s="586">
        <f t="shared" si="111"/>
        <v>0.14609309820932265</v>
      </c>
      <c r="U620" s="587"/>
      <c r="V620" s="587"/>
      <c r="W620" s="587"/>
      <c r="X620" s="587"/>
      <c r="Y620" s="587"/>
      <c r="Z620" s="587"/>
      <c r="AA620" s="587"/>
      <c r="AB620" s="587"/>
      <c r="AC620" s="587"/>
      <c r="AE620" s="587"/>
      <c r="AF620" s="587"/>
      <c r="AG620" s="587"/>
      <c r="AH620" s="587"/>
      <c r="AI620" s="587"/>
      <c r="AJ620" s="587"/>
      <c r="AK620" s="587"/>
      <c r="AL620" s="587"/>
      <c r="AM620" s="587"/>
      <c r="AO620" s="587"/>
      <c r="AP620" s="587"/>
      <c r="AQ620" s="587"/>
      <c r="AR620" s="587"/>
      <c r="AS620" s="587"/>
      <c r="AT620" s="587"/>
      <c r="AU620" s="587"/>
      <c r="AV620" s="587"/>
      <c r="AW620" s="587"/>
    </row>
    <row r="621" spans="1:49">
      <c r="A621" s="581">
        <v>28246</v>
      </c>
      <c r="B621" s="594">
        <v>-1.9599999999999999E-2</v>
      </c>
      <c r="C621" s="577">
        <v>2.1099999999999997E-2</v>
      </c>
      <c r="D621" s="577">
        <v>6.7000000000000002E-3</v>
      </c>
      <c r="E621" s="577">
        <v>6.7083333333333335E-3</v>
      </c>
      <c r="F621" s="577">
        <v>6.8999999999999999E-3</v>
      </c>
      <c r="G621" s="577">
        <v>6.8041666666666667E-3</v>
      </c>
      <c r="H621" s="577">
        <v>7.2583333333333345E-3</v>
      </c>
      <c r="I621" s="577">
        <f t="shared" si="101"/>
        <v>-2.63E-2</v>
      </c>
      <c r="J621" s="577">
        <f t="shared" si="105"/>
        <v>-2.6404166666666666E-2</v>
      </c>
      <c r="K621" s="577">
        <f t="shared" si="106"/>
        <v>1.3841666666666662E-2</v>
      </c>
      <c r="L621" s="585">
        <f t="shared" si="102"/>
        <v>9.2432858374880134E-4</v>
      </c>
      <c r="M621" s="585">
        <f t="shared" si="103"/>
        <v>8.0399999999999999E-2</v>
      </c>
      <c r="N621" s="585">
        <f t="shared" si="107"/>
        <v>8.165E-2</v>
      </c>
      <c r="O621" s="586">
        <f t="shared" si="104"/>
        <v>-7.9475671416251198E-2</v>
      </c>
      <c r="P621" s="585">
        <f t="shared" si="108"/>
        <v>-8.0725671416251199E-2</v>
      </c>
      <c r="Q621" s="585">
        <f t="shared" si="109"/>
        <v>0.27696326192225884</v>
      </c>
      <c r="R621" s="585">
        <f t="shared" si="110"/>
        <v>8.7100000000000011E-2</v>
      </c>
      <c r="S621" s="586">
        <f t="shared" si="111"/>
        <v>0.18986326192225883</v>
      </c>
      <c r="U621" s="587"/>
      <c r="V621" s="587"/>
      <c r="W621" s="587"/>
      <c r="X621" s="587"/>
      <c r="Y621" s="587"/>
      <c r="Z621" s="587"/>
      <c r="AA621" s="587"/>
      <c r="AB621" s="587"/>
      <c r="AC621" s="587"/>
      <c r="AE621" s="587"/>
      <c r="AF621" s="587"/>
      <c r="AG621" s="587"/>
      <c r="AH621" s="587"/>
      <c r="AI621" s="587"/>
      <c r="AJ621" s="587"/>
      <c r="AK621" s="587"/>
      <c r="AL621" s="587"/>
      <c r="AM621" s="587"/>
      <c r="AO621" s="587"/>
      <c r="AP621" s="587"/>
      <c r="AQ621" s="587"/>
      <c r="AR621" s="587"/>
      <c r="AS621" s="587"/>
      <c r="AT621" s="587"/>
      <c r="AU621" s="587"/>
      <c r="AV621" s="587"/>
      <c r="AW621" s="587"/>
    </row>
    <row r="622" spans="1:49">
      <c r="A622" s="581">
        <v>28277</v>
      </c>
      <c r="B622" s="594">
        <v>4.9399999999999999E-2</v>
      </c>
      <c r="C622" s="577">
        <v>5.3099999999999994E-2</v>
      </c>
      <c r="D622" s="577">
        <v>6.1999999999999998E-3</v>
      </c>
      <c r="E622" s="577">
        <v>6.6249999999999998E-3</v>
      </c>
      <c r="F622" s="577">
        <v>6.8250000000000003E-3</v>
      </c>
      <c r="G622" s="577">
        <v>6.7250000000000001E-3</v>
      </c>
      <c r="H622" s="577">
        <v>7.1500000000000001E-3</v>
      </c>
      <c r="I622" s="577">
        <f t="shared" si="101"/>
        <v>4.3200000000000002E-2</v>
      </c>
      <c r="J622" s="577">
        <f t="shared" si="105"/>
        <v>4.2674999999999998E-2</v>
      </c>
      <c r="K622" s="577">
        <f t="shared" si="106"/>
        <v>4.5949999999999991E-2</v>
      </c>
      <c r="L622" s="585">
        <f t="shared" si="102"/>
        <v>5.8124968072261751E-3</v>
      </c>
      <c r="M622" s="585">
        <f t="shared" si="103"/>
        <v>7.4399999999999994E-2</v>
      </c>
      <c r="N622" s="585">
        <f t="shared" si="107"/>
        <v>8.0699999999999994E-2</v>
      </c>
      <c r="O622" s="586">
        <f t="shared" si="104"/>
        <v>-6.8587503192773819E-2</v>
      </c>
      <c r="P622" s="585">
        <f t="shared" si="108"/>
        <v>-7.4887503192773819E-2</v>
      </c>
      <c r="Q622" s="585">
        <f t="shared" si="109"/>
        <v>0.30092871348585692</v>
      </c>
      <c r="R622" s="585">
        <f t="shared" si="110"/>
        <v>8.5800000000000001E-2</v>
      </c>
      <c r="S622" s="586">
        <f t="shared" si="111"/>
        <v>0.21512871348585694</v>
      </c>
      <c r="U622" s="587"/>
      <c r="V622" s="587"/>
      <c r="W622" s="587"/>
      <c r="X622" s="587"/>
      <c r="Y622" s="587"/>
      <c r="Z622" s="587"/>
      <c r="AA622" s="587"/>
      <c r="AB622" s="587"/>
      <c r="AC622" s="587"/>
      <c r="AE622" s="587"/>
      <c r="AF622" s="587"/>
      <c r="AG622" s="587"/>
      <c r="AH622" s="587"/>
      <c r="AI622" s="587"/>
      <c r="AJ622" s="587"/>
      <c r="AK622" s="587"/>
      <c r="AL622" s="587"/>
      <c r="AM622" s="587"/>
      <c r="AO622" s="587"/>
      <c r="AP622" s="587"/>
      <c r="AQ622" s="587"/>
      <c r="AR622" s="587"/>
      <c r="AS622" s="587"/>
      <c r="AT622" s="587"/>
      <c r="AU622" s="587"/>
      <c r="AV622" s="587"/>
      <c r="AW622" s="587"/>
    </row>
    <row r="623" spans="1:49">
      <c r="A623" s="581">
        <v>28307</v>
      </c>
      <c r="B623" s="594">
        <v>-1.24E-2</v>
      </c>
      <c r="C623" s="577">
        <v>1.6399999999999998E-2</v>
      </c>
      <c r="D623" s="577">
        <v>5.8999999999999999E-3</v>
      </c>
      <c r="E623" s="577">
        <v>6.6166666666666674E-3</v>
      </c>
      <c r="F623" s="577">
        <v>6.7666666666666665E-3</v>
      </c>
      <c r="G623" s="577">
        <v>6.6916666666666669E-3</v>
      </c>
      <c r="H623" s="577">
        <v>7.0916666666666663E-3</v>
      </c>
      <c r="I623" s="577">
        <f t="shared" si="101"/>
        <v>-1.83E-2</v>
      </c>
      <c r="J623" s="577">
        <f t="shared" si="105"/>
        <v>-1.9091666666666667E-2</v>
      </c>
      <c r="K623" s="577">
        <f t="shared" si="106"/>
        <v>9.3083333333333317E-3</v>
      </c>
      <c r="L623" s="585">
        <f t="shared" si="102"/>
        <v>-1.8685471796455744E-3</v>
      </c>
      <c r="M623" s="585">
        <f t="shared" si="103"/>
        <v>7.0800000000000002E-2</v>
      </c>
      <c r="N623" s="585">
        <f t="shared" si="107"/>
        <v>8.030000000000001E-2</v>
      </c>
      <c r="O623" s="586">
        <f t="shared" si="104"/>
        <v>-7.2668547179645576E-2</v>
      </c>
      <c r="P623" s="585">
        <f t="shared" si="108"/>
        <v>-8.2168547179645585E-2</v>
      </c>
      <c r="Q623" s="585">
        <f t="shared" si="109"/>
        <v>0.2786615843603375</v>
      </c>
      <c r="R623" s="585">
        <f t="shared" si="110"/>
        <v>8.5099999999999995E-2</v>
      </c>
      <c r="S623" s="586">
        <f t="shared" si="111"/>
        <v>0.19356158436033749</v>
      </c>
      <c r="U623" s="587"/>
      <c r="V623" s="587"/>
      <c r="W623" s="587"/>
      <c r="X623" s="587"/>
      <c r="Y623" s="587"/>
      <c r="Z623" s="587"/>
      <c r="AA623" s="587"/>
      <c r="AB623" s="587"/>
      <c r="AC623" s="587"/>
      <c r="AE623" s="587"/>
      <c r="AF623" s="587"/>
      <c r="AG623" s="587"/>
      <c r="AH623" s="587"/>
      <c r="AI623" s="587"/>
      <c r="AJ623" s="587"/>
      <c r="AK623" s="587"/>
      <c r="AL623" s="587"/>
      <c r="AM623" s="587"/>
      <c r="AO623" s="587"/>
      <c r="AP623" s="587"/>
      <c r="AQ623" s="587"/>
      <c r="AR623" s="587"/>
      <c r="AS623" s="587"/>
      <c r="AT623" s="587"/>
      <c r="AU623" s="587"/>
      <c r="AV623" s="587"/>
      <c r="AW623" s="587"/>
    </row>
    <row r="624" spans="1:49">
      <c r="A624" s="581">
        <v>28338</v>
      </c>
      <c r="B624" s="594">
        <v>-1.72E-2</v>
      </c>
      <c r="C624" s="577">
        <v>-3.5300000000000005E-2</v>
      </c>
      <c r="D624" s="577">
        <v>6.7000000000000002E-3</v>
      </c>
      <c r="E624" s="577">
        <v>6.6500000000000005E-3</v>
      </c>
      <c r="F624" s="577">
        <v>6.8083333333333329E-3</v>
      </c>
      <c r="G624" s="577">
        <v>6.7291666666666663E-3</v>
      </c>
      <c r="H624" s="577">
        <v>7.0750000000000006E-3</v>
      </c>
      <c r="I624" s="577">
        <f t="shared" si="101"/>
        <v>-2.3900000000000001E-2</v>
      </c>
      <c r="J624" s="577">
        <f t="shared" si="105"/>
        <v>-2.3929166666666668E-2</v>
      </c>
      <c r="K624" s="577">
        <f t="shared" si="106"/>
        <v>-4.2375000000000003E-2</v>
      </c>
      <c r="L624" s="585">
        <f t="shared" si="102"/>
        <v>-1.7267489649525181E-2</v>
      </c>
      <c r="M624" s="585">
        <f t="shared" si="103"/>
        <v>8.0399999999999999E-2</v>
      </c>
      <c r="N624" s="585">
        <f t="shared" si="107"/>
        <v>8.0749999999999988E-2</v>
      </c>
      <c r="O624" s="586">
        <f t="shared" si="104"/>
        <v>-9.766748964952518E-2</v>
      </c>
      <c r="P624" s="585">
        <f t="shared" si="108"/>
        <v>-9.8017489649525169E-2</v>
      </c>
      <c r="Q624" s="585">
        <f t="shared" si="109"/>
        <v>0.18802352926169474</v>
      </c>
      <c r="R624" s="585">
        <f t="shared" si="110"/>
        <v>8.4900000000000003E-2</v>
      </c>
      <c r="S624" s="586">
        <f t="shared" si="111"/>
        <v>0.10312352926169474</v>
      </c>
      <c r="U624" s="587"/>
      <c r="V624" s="587"/>
      <c r="W624" s="587"/>
      <c r="X624" s="587"/>
      <c r="Y624" s="587"/>
      <c r="Z624" s="587"/>
      <c r="AA624" s="587"/>
      <c r="AB624" s="587"/>
      <c r="AC624" s="587"/>
      <c r="AE624" s="587"/>
      <c r="AF624" s="587"/>
      <c r="AG624" s="587"/>
      <c r="AH624" s="587"/>
      <c r="AI624" s="587"/>
      <c r="AJ624" s="587"/>
      <c r="AK624" s="587"/>
      <c r="AL624" s="587"/>
      <c r="AM624" s="587"/>
      <c r="AO624" s="587"/>
      <c r="AP624" s="587"/>
      <c r="AQ624" s="587"/>
      <c r="AR624" s="587"/>
      <c r="AS624" s="587"/>
      <c r="AT624" s="587"/>
      <c r="AU624" s="587"/>
      <c r="AV624" s="587"/>
      <c r="AW624" s="587"/>
    </row>
    <row r="625" spans="1:49">
      <c r="A625" s="581">
        <v>28369</v>
      </c>
      <c r="B625" s="594">
        <v>1.6000000000000001E-3</v>
      </c>
      <c r="C625" s="577">
        <v>2.4699999999999996E-2</v>
      </c>
      <c r="D625" s="577">
        <v>6.0999999999999995E-3</v>
      </c>
      <c r="E625" s="577">
        <v>6.6E-3</v>
      </c>
      <c r="F625" s="577">
        <v>6.7916666666666672E-3</v>
      </c>
      <c r="G625" s="577">
        <v>6.695833333333334E-3</v>
      </c>
      <c r="H625" s="577">
        <v>7.0500000000000007E-3</v>
      </c>
      <c r="I625" s="577">
        <f t="shared" si="101"/>
        <v>-4.4999999999999997E-3</v>
      </c>
      <c r="J625" s="577">
        <f t="shared" si="105"/>
        <v>-5.0958333333333342E-3</v>
      </c>
      <c r="K625" s="577">
        <f t="shared" si="106"/>
        <v>1.7649999999999996E-2</v>
      </c>
      <c r="L625" s="585">
        <f t="shared" si="102"/>
        <v>-4.0451469714334554E-2</v>
      </c>
      <c r="M625" s="585">
        <f t="shared" si="103"/>
        <v>7.3199999999999987E-2</v>
      </c>
      <c r="N625" s="585">
        <f t="shared" si="107"/>
        <v>8.0350000000000005E-2</v>
      </c>
      <c r="O625" s="586">
        <f t="shared" si="104"/>
        <v>-0.11365146971433454</v>
      </c>
      <c r="P625" s="585">
        <f t="shared" si="108"/>
        <v>-0.12080146971433456</v>
      </c>
      <c r="Q625" s="585">
        <f t="shared" si="109"/>
        <v>0.17268828671077774</v>
      </c>
      <c r="R625" s="585">
        <f t="shared" si="110"/>
        <v>8.4600000000000009E-2</v>
      </c>
      <c r="S625" s="586">
        <f t="shared" si="111"/>
        <v>8.808828671077773E-2</v>
      </c>
      <c r="U625" s="587"/>
      <c r="V625" s="587"/>
      <c r="W625" s="587"/>
      <c r="X625" s="587"/>
      <c r="Y625" s="587"/>
      <c r="Z625" s="587"/>
      <c r="AA625" s="587"/>
      <c r="AB625" s="587"/>
      <c r="AC625" s="587"/>
      <c r="AE625" s="587"/>
      <c r="AF625" s="587"/>
      <c r="AG625" s="587"/>
      <c r="AH625" s="587"/>
      <c r="AI625" s="587"/>
      <c r="AJ625" s="587"/>
      <c r="AK625" s="587"/>
      <c r="AL625" s="587"/>
      <c r="AM625" s="587"/>
      <c r="AO625" s="587"/>
      <c r="AP625" s="587"/>
      <c r="AQ625" s="587"/>
      <c r="AR625" s="587"/>
      <c r="AS625" s="587"/>
      <c r="AT625" s="587"/>
      <c r="AU625" s="587"/>
      <c r="AV625" s="587"/>
      <c r="AW625" s="587"/>
    </row>
    <row r="626" spans="1:49">
      <c r="A626" s="581">
        <v>28399</v>
      </c>
      <c r="B626" s="594">
        <v>-3.9E-2</v>
      </c>
      <c r="C626" s="577">
        <v>-2.9600000000000001E-2</v>
      </c>
      <c r="D626" s="577">
        <v>6.3E-3</v>
      </c>
      <c r="E626" s="577">
        <v>6.6999999999999994E-3</v>
      </c>
      <c r="F626" s="577">
        <v>6.8833333333333333E-3</v>
      </c>
      <c r="G626" s="577">
        <v>6.7916666666666672E-3</v>
      </c>
      <c r="H626" s="577">
        <v>7.1749999999999991E-3</v>
      </c>
      <c r="I626" s="577">
        <f t="shared" si="101"/>
        <v>-4.53E-2</v>
      </c>
      <c r="J626" s="577">
        <f t="shared" si="105"/>
        <v>-4.5791666666666668E-2</v>
      </c>
      <c r="K626" s="577">
        <f t="shared" si="106"/>
        <v>-3.6775000000000002E-2</v>
      </c>
      <c r="L626" s="585">
        <f t="shared" si="102"/>
        <v>-6.0397251269080132E-2</v>
      </c>
      <c r="M626" s="585">
        <f t="shared" si="103"/>
        <v>7.5600000000000001E-2</v>
      </c>
      <c r="N626" s="585">
        <f t="shared" si="107"/>
        <v>8.1500000000000003E-2</v>
      </c>
      <c r="O626" s="586">
        <f t="shared" si="104"/>
        <v>-0.13599725126908013</v>
      </c>
      <c r="P626" s="585">
        <f t="shared" si="108"/>
        <v>-0.14189725126908015</v>
      </c>
      <c r="Q626" s="585">
        <f t="shared" si="109"/>
        <v>0.14037149356061662</v>
      </c>
      <c r="R626" s="585">
        <f t="shared" si="110"/>
        <v>8.6099999999999982E-2</v>
      </c>
      <c r="S626" s="586">
        <f t="shared" si="111"/>
        <v>5.427149356061664E-2</v>
      </c>
      <c r="U626" s="587"/>
      <c r="V626" s="587"/>
      <c r="W626" s="587"/>
      <c r="X626" s="587"/>
      <c r="Y626" s="587"/>
      <c r="Z626" s="587"/>
      <c r="AA626" s="587"/>
      <c r="AB626" s="587"/>
      <c r="AC626" s="587"/>
      <c r="AE626" s="587"/>
      <c r="AF626" s="587"/>
      <c r="AG626" s="587"/>
      <c r="AH626" s="587"/>
      <c r="AI626" s="587"/>
      <c r="AJ626" s="587"/>
      <c r="AK626" s="587"/>
      <c r="AL626" s="587"/>
      <c r="AM626" s="587"/>
      <c r="AO626" s="587"/>
      <c r="AP626" s="587"/>
      <c r="AQ626" s="587"/>
      <c r="AR626" s="587"/>
      <c r="AS626" s="587"/>
      <c r="AT626" s="587"/>
      <c r="AU626" s="587"/>
      <c r="AV626" s="587"/>
      <c r="AW626" s="587"/>
    </row>
    <row r="627" spans="1:49">
      <c r="A627" s="581">
        <v>28430</v>
      </c>
      <c r="B627" s="594">
        <v>3.1600000000000003E-2</v>
      </c>
      <c r="C627" s="577">
        <v>3.8100000000000002E-2</v>
      </c>
      <c r="D627" s="577">
        <v>6.3E-3</v>
      </c>
      <c r="E627" s="577">
        <v>6.7333333333333334E-3</v>
      </c>
      <c r="F627" s="577">
        <v>6.9499999999999996E-3</v>
      </c>
      <c r="G627" s="577">
        <v>6.841666666666666E-3</v>
      </c>
      <c r="H627" s="577">
        <v>7.2000000000000007E-3</v>
      </c>
      <c r="I627" s="577">
        <f t="shared" si="101"/>
        <v>2.5300000000000003E-2</v>
      </c>
      <c r="J627" s="577">
        <f t="shared" si="105"/>
        <v>2.4758333333333337E-2</v>
      </c>
      <c r="K627" s="577">
        <f t="shared" si="106"/>
        <v>3.09E-2</v>
      </c>
      <c r="L627" s="585">
        <f t="shared" si="102"/>
        <v>-2.6715337292080865E-2</v>
      </c>
      <c r="M627" s="585">
        <f t="shared" si="103"/>
        <v>7.5600000000000001E-2</v>
      </c>
      <c r="N627" s="585">
        <f t="shared" si="107"/>
        <v>8.2099999999999992E-2</v>
      </c>
      <c r="O627" s="586">
        <f t="shared" si="104"/>
        <v>-0.10231533729208087</v>
      </c>
      <c r="P627" s="585">
        <f t="shared" si="108"/>
        <v>-0.10881533729208086</v>
      </c>
      <c r="Q627" s="585">
        <f t="shared" si="109"/>
        <v>0.15292135514732741</v>
      </c>
      <c r="R627" s="585">
        <f t="shared" si="110"/>
        <v>8.6400000000000005E-2</v>
      </c>
      <c r="S627" s="586">
        <f t="shared" si="111"/>
        <v>6.6521355147327405E-2</v>
      </c>
      <c r="U627" s="587"/>
      <c r="V627" s="587"/>
      <c r="W627" s="587"/>
      <c r="X627" s="587"/>
      <c r="Y627" s="587"/>
      <c r="Z627" s="587"/>
      <c r="AA627" s="587"/>
      <c r="AB627" s="587"/>
      <c r="AC627" s="587"/>
      <c r="AE627" s="587"/>
      <c r="AF627" s="587"/>
      <c r="AG627" s="587"/>
      <c r="AH627" s="587"/>
      <c r="AI627" s="587"/>
      <c r="AJ627" s="587"/>
      <c r="AK627" s="587"/>
      <c r="AL627" s="587"/>
      <c r="AM627" s="587"/>
      <c r="AO627" s="587"/>
      <c r="AP627" s="587"/>
      <c r="AQ627" s="587"/>
      <c r="AR627" s="587"/>
      <c r="AS627" s="587"/>
      <c r="AT627" s="587"/>
      <c r="AU627" s="587"/>
      <c r="AV627" s="587"/>
      <c r="AW627" s="587"/>
    </row>
    <row r="628" spans="1:49">
      <c r="A628" s="581">
        <v>28460</v>
      </c>
      <c r="B628" s="594">
        <v>7.4999999999999997E-3</v>
      </c>
      <c r="C628" s="577">
        <v>1.8999999999999998E-3</v>
      </c>
      <c r="D628" s="577">
        <v>6.1999999999999998E-3</v>
      </c>
      <c r="E628" s="577">
        <v>6.8250000000000003E-3</v>
      </c>
      <c r="F628" s="577">
        <v>7.0041666666666655E-3</v>
      </c>
      <c r="G628" s="577">
        <v>6.9145833333333325E-3</v>
      </c>
      <c r="H628" s="577">
        <v>7.2000000000000007E-3</v>
      </c>
      <c r="I628" s="577">
        <f t="shared" si="101"/>
        <v>1.2999999999999999E-3</v>
      </c>
      <c r="J628" s="577">
        <f t="shared" si="105"/>
        <v>5.8541666666666724E-4</v>
      </c>
      <c r="K628" s="577">
        <f t="shared" si="106"/>
        <v>-5.3000000000000009E-3</v>
      </c>
      <c r="L628" s="585">
        <f t="shared" si="102"/>
        <v>-7.1504310502576884E-2</v>
      </c>
      <c r="M628" s="585">
        <f t="shared" si="103"/>
        <v>7.4399999999999994E-2</v>
      </c>
      <c r="N628" s="585">
        <f t="shared" si="107"/>
        <v>8.2974999999999993E-2</v>
      </c>
      <c r="O628" s="586">
        <f t="shared" si="104"/>
        <v>-0.14590431050257688</v>
      </c>
      <c r="P628" s="585">
        <f t="shared" si="108"/>
        <v>-0.15447931050257688</v>
      </c>
      <c r="Q628" s="585">
        <f t="shared" si="109"/>
        <v>8.6550565066416452E-2</v>
      </c>
      <c r="R628" s="585">
        <f t="shared" si="110"/>
        <v>8.6400000000000005E-2</v>
      </c>
      <c r="S628" s="586">
        <f t="shared" si="111"/>
        <v>1.5056506641644707E-4</v>
      </c>
      <c r="U628" s="587"/>
      <c r="V628" s="587"/>
      <c r="W628" s="587"/>
      <c r="X628" s="587"/>
      <c r="Y628" s="587"/>
      <c r="Z628" s="587"/>
      <c r="AA628" s="587"/>
      <c r="AB628" s="587"/>
      <c r="AC628" s="587"/>
      <c r="AE628" s="587"/>
      <c r="AF628" s="587"/>
      <c r="AG628" s="587"/>
      <c r="AH628" s="587"/>
      <c r="AI628" s="587"/>
      <c r="AJ628" s="587"/>
      <c r="AK628" s="587"/>
      <c r="AL628" s="587"/>
      <c r="AM628" s="587"/>
      <c r="AO628" s="587"/>
      <c r="AP628" s="587"/>
      <c r="AQ628" s="587"/>
      <c r="AR628" s="587"/>
      <c r="AS628" s="587"/>
      <c r="AT628" s="587"/>
      <c r="AU628" s="587"/>
      <c r="AV628" s="587"/>
      <c r="AW628" s="587"/>
    </row>
    <row r="629" spans="1:49">
      <c r="A629" s="581">
        <v>28491</v>
      </c>
      <c r="B629" s="594">
        <v>-5.74E-2</v>
      </c>
      <c r="C629" s="577">
        <v>-5.33E-2</v>
      </c>
      <c r="D629" s="577">
        <v>6.8999999999999999E-3</v>
      </c>
      <c r="E629" s="577">
        <v>7.0083333333333334E-3</v>
      </c>
      <c r="F629" s="577">
        <v>7.1583333333333334E-3</v>
      </c>
      <c r="G629" s="577">
        <v>7.083333333333333E-3</v>
      </c>
      <c r="H629" s="577">
        <v>7.4333333333333326E-3</v>
      </c>
      <c r="I629" s="577">
        <f t="shared" si="101"/>
        <v>-6.4299999999999996E-2</v>
      </c>
      <c r="J629" s="577">
        <f t="shared" si="105"/>
        <v>-6.4483333333333337E-2</v>
      </c>
      <c r="K629" s="577">
        <f t="shared" si="106"/>
        <v>-6.0733333333333334E-2</v>
      </c>
      <c r="L629" s="585">
        <f t="shared" si="102"/>
        <v>-8.1347709750949071E-2</v>
      </c>
      <c r="M629" s="585">
        <f t="shared" si="103"/>
        <v>8.2799999999999999E-2</v>
      </c>
      <c r="N629" s="585">
        <f t="shared" si="107"/>
        <v>8.4999999999999992E-2</v>
      </c>
      <c r="O629" s="586">
        <f t="shared" si="104"/>
        <v>-0.16414770975094906</v>
      </c>
      <c r="P629" s="585">
        <f t="shared" si="108"/>
        <v>-0.16634770975094906</v>
      </c>
      <c r="Q629" s="585">
        <f t="shared" si="109"/>
        <v>2.5049745837943949E-2</v>
      </c>
      <c r="R629" s="585">
        <f t="shared" si="110"/>
        <v>8.9199999999999988E-2</v>
      </c>
      <c r="S629" s="586">
        <f t="shared" si="111"/>
        <v>-6.4150254162056039E-2</v>
      </c>
      <c r="U629" s="587"/>
      <c r="V629" s="587"/>
      <c r="W629" s="587"/>
      <c r="X629" s="587"/>
      <c r="Y629" s="587"/>
      <c r="Z629" s="587"/>
      <c r="AA629" s="587"/>
      <c r="AB629" s="587"/>
      <c r="AC629" s="587"/>
      <c r="AE629" s="587"/>
      <c r="AF629" s="587"/>
      <c r="AG629" s="587"/>
      <c r="AH629" s="587"/>
      <c r="AI629" s="587"/>
      <c r="AJ629" s="587"/>
      <c r="AK629" s="587"/>
      <c r="AL629" s="587"/>
      <c r="AM629" s="587"/>
      <c r="AO629" s="587"/>
      <c r="AP629" s="587"/>
      <c r="AQ629" s="587"/>
      <c r="AR629" s="587"/>
      <c r="AS629" s="587"/>
      <c r="AT629" s="587"/>
      <c r="AU629" s="587"/>
      <c r="AV629" s="587"/>
      <c r="AW629" s="587"/>
    </row>
    <row r="630" spans="1:49">
      <c r="A630" s="581">
        <v>28522</v>
      </c>
      <c r="B630" s="594">
        <v>-2.0299999999999999E-2</v>
      </c>
      <c r="C630" s="577">
        <v>-6.1999999999999998E-3</v>
      </c>
      <c r="D630" s="577">
        <v>6.0000000000000001E-3</v>
      </c>
      <c r="E630" s="577">
        <v>7.058333333333334E-3</v>
      </c>
      <c r="F630" s="577">
        <v>7.2083333333333331E-3</v>
      </c>
      <c r="G630" s="577">
        <v>7.1333333333333335E-3</v>
      </c>
      <c r="H630" s="577">
        <v>7.4750000000000007E-3</v>
      </c>
      <c r="I630" s="577">
        <f t="shared" si="101"/>
        <v>-2.6299999999999997E-2</v>
      </c>
      <c r="J630" s="577">
        <f t="shared" si="105"/>
        <v>-2.743333333333333E-2</v>
      </c>
      <c r="K630" s="577">
        <f t="shared" si="106"/>
        <v>-1.3675E-2</v>
      </c>
      <c r="L630" s="585">
        <f t="shared" si="102"/>
        <v>-8.3312641314936431E-2</v>
      </c>
      <c r="M630" s="585">
        <f t="shared" si="103"/>
        <v>7.2000000000000008E-2</v>
      </c>
      <c r="N630" s="585">
        <f t="shared" si="107"/>
        <v>8.5600000000000009E-2</v>
      </c>
      <c r="O630" s="586">
        <f t="shared" si="104"/>
        <v>-0.15531264131493644</v>
      </c>
      <c r="P630" s="585">
        <f t="shared" si="108"/>
        <v>-0.16891264131493644</v>
      </c>
      <c r="Q630" s="585">
        <f t="shared" si="109"/>
        <v>5.8054047999323233E-2</v>
      </c>
      <c r="R630" s="585">
        <f t="shared" si="110"/>
        <v>8.9700000000000002E-2</v>
      </c>
      <c r="S630" s="586">
        <f t="shared" si="111"/>
        <v>-3.1645952000676769E-2</v>
      </c>
      <c r="U630" s="587"/>
      <c r="V630" s="587"/>
      <c r="W630" s="587"/>
      <c r="X630" s="587"/>
      <c r="Y630" s="587"/>
      <c r="Z630" s="587"/>
      <c r="AA630" s="587"/>
      <c r="AB630" s="587"/>
      <c r="AC630" s="587"/>
      <c r="AE630" s="587"/>
      <c r="AF630" s="587"/>
      <c r="AG630" s="587"/>
      <c r="AH630" s="587"/>
      <c r="AI630" s="587"/>
      <c r="AJ630" s="587"/>
      <c r="AK630" s="587"/>
      <c r="AL630" s="587"/>
      <c r="AM630" s="587"/>
      <c r="AO630" s="587"/>
      <c r="AP630" s="587"/>
      <c r="AQ630" s="587"/>
      <c r="AR630" s="587"/>
      <c r="AS630" s="587"/>
      <c r="AT630" s="587"/>
      <c r="AU630" s="587"/>
      <c r="AV630" s="587"/>
      <c r="AW630" s="587"/>
    </row>
    <row r="631" spans="1:49">
      <c r="A631" s="581">
        <v>28550</v>
      </c>
      <c r="B631" s="594">
        <v>2.9399999999999999E-2</v>
      </c>
      <c r="C631" s="577">
        <v>3.0899999999999997E-2</v>
      </c>
      <c r="D631" s="577">
        <v>6.8999999999999999E-3</v>
      </c>
      <c r="E631" s="577">
        <v>7.058333333333334E-3</v>
      </c>
      <c r="F631" s="577">
        <v>7.2166666666666664E-3</v>
      </c>
      <c r="G631" s="577">
        <v>7.1375000000000015E-3</v>
      </c>
      <c r="H631" s="577">
        <v>7.483333333333334E-3</v>
      </c>
      <c r="I631" s="577">
        <f t="shared" si="101"/>
        <v>2.2499999999999999E-2</v>
      </c>
      <c r="J631" s="577">
        <f t="shared" si="105"/>
        <v>2.2262499999999998E-2</v>
      </c>
      <c r="K631" s="577">
        <f t="shared" si="106"/>
        <v>2.3416666666666662E-2</v>
      </c>
      <c r="L631" s="585">
        <f t="shared" si="102"/>
        <v>-4.6348694259318313E-2</v>
      </c>
      <c r="M631" s="585">
        <f t="shared" si="103"/>
        <v>8.2799999999999999E-2</v>
      </c>
      <c r="N631" s="585">
        <f t="shared" si="107"/>
        <v>8.5650000000000018E-2</v>
      </c>
      <c r="O631" s="586">
        <f t="shared" si="104"/>
        <v>-0.1291486942593183</v>
      </c>
      <c r="P631" s="585">
        <f t="shared" si="108"/>
        <v>-0.13199869425931832</v>
      </c>
      <c r="Q631" s="585">
        <f t="shared" si="109"/>
        <v>7.973462490843608E-2</v>
      </c>
      <c r="R631" s="585">
        <f t="shared" si="110"/>
        <v>8.9800000000000005E-2</v>
      </c>
      <c r="S631" s="586">
        <f t="shared" si="111"/>
        <v>-1.0065375091563925E-2</v>
      </c>
      <c r="U631" s="587"/>
      <c r="V631" s="587"/>
      <c r="W631" s="587"/>
      <c r="X631" s="587"/>
      <c r="Y631" s="587"/>
      <c r="Z631" s="587"/>
      <c r="AA631" s="587"/>
      <c r="AB631" s="587"/>
      <c r="AC631" s="587"/>
      <c r="AE631" s="587"/>
      <c r="AF631" s="587"/>
      <c r="AG631" s="587"/>
      <c r="AH631" s="587"/>
      <c r="AI631" s="587"/>
      <c r="AJ631" s="587"/>
      <c r="AK631" s="587"/>
      <c r="AL631" s="587"/>
      <c r="AM631" s="587"/>
      <c r="AO631" s="587"/>
      <c r="AP631" s="587"/>
      <c r="AQ631" s="587"/>
      <c r="AR631" s="587"/>
      <c r="AS631" s="587"/>
      <c r="AT631" s="587"/>
      <c r="AU631" s="587"/>
      <c r="AV631" s="587"/>
      <c r="AW631" s="587"/>
    </row>
    <row r="632" spans="1:49">
      <c r="A632" s="581">
        <v>28581</v>
      </c>
      <c r="B632" s="594">
        <v>9.0200000000000002E-2</v>
      </c>
      <c r="C632" s="577">
        <v>1.06E-2</v>
      </c>
      <c r="D632" s="577">
        <v>6.3E-3</v>
      </c>
      <c r="E632" s="577">
        <v>7.1333333333333335E-3</v>
      </c>
      <c r="F632" s="577">
        <v>7.2750000000000002E-3</v>
      </c>
      <c r="G632" s="577">
        <v>7.2041666666666669E-3</v>
      </c>
      <c r="H632" s="577">
        <v>7.5749999999999993E-3</v>
      </c>
      <c r="I632" s="577">
        <f t="shared" si="101"/>
        <v>8.3900000000000002E-2</v>
      </c>
      <c r="J632" s="577">
        <f t="shared" si="105"/>
        <v>8.2995833333333338E-2</v>
      </c>
      <c r="K632" s="577">
        <f t="shared" si="106"/>
        <v>3.0250000000000008E-3</v>
      </c>
      <c r="L632" s="585">
        <f t="shared" si="102"/>
        <v>3.5322299859083195E-2</v>
      </c>
      <c r="M632" s="585">
        <f t="shared" si="103"/>
        <v>7.5600000000000001E-2</v>
      </c>
      <c r="N632" s="585">
        <f t="shared" si="107"/>
        <v>8.6449999999999999E-2</v>
      </c>
      <c r="O632" s="586">
        <f t="shared" si="104"/>
        <v>-4.0277700140916806E-2</v>
      </c>
      <c r="P632" s="585">
        <f t="shared" si="108"/>
        <v>-5.1127700140916804E-2</v>
      </c>
      <c r="Q632" s="585">
        <f t="shared" si="109"/>
        <v>6.884103431527655E-2</v>
      </c>
      <c r="R632" s="585">
        <f t="shared" si="110"/>
        <v>9.0899999999999995E-2</v>
      </c>
      <c r="S632" s="586">
        <f t="shared" si="111"/>
        <v>-2.2058965684723444E-2</v>
      </c>
      <c r="U632" s="587"/>
      <c r="V632" s="587"/>
      <c r="W632" s="587"/>
      <c r="X632" s="587"/>
      <c r="Y632" s="587"/>
      <c r="Z632" s="587"/>
      <c r="AA632" s="587"/>
      <c r="AB632" s="587"/>
      <c r="AC632" s="587"/>
      <c r="AE632" s="587"/>
      <c r="AF632" s="587"/>
      <c r="AG632" s="587"/>
      <c r="AH632" s="587"/>
      <c r="AI632" s="587"/>
      <c r="AJ632" s="587"/>
      <c r="AK632" s="587"/>
      <c r="AL632" s="587"/>
      <c r="AM632" s="587"/>
      <c r="AO632" s="587"/>
      <c r="AP632" s="587"/>
      <c r="AQ632" s="587"/>
      <c r="AR632" s="587"/>
      <c r="AS632" s="587"/>
      <c r="AT632" s="587"/>
      <c r="AU632" s="587"/>
      <c r="AV632" s="587"/>
      <c r="AW632" s="587"/>
    </row>
    <row r="633" spans="1:49">
      <c r="A633" s="581">
        <v>28611</v>
      </c>
      <c r="B633" s="594">
        <v>9.1999999999999998E-3</v>
      </c>
      <c r="C633" s="577">
        <v>4.3E-3</v>
      </c>
      <c r="D633" s="577">
        <v>7.4999999999999997E-3</v>
      </c>
      <c r="E633" s="577">
        <v>7.2416666666666662E-3</v>
      </c>
      <c r="F633" s="577">
        <v>7.3666666666666672E-3</v>
      </c>
      <c r="G633" s="577">
        <v>7.3041666666666671E-3</v>
      </c>
      <c r="H633" s="577">
        <v>7.6833333333333345E-3</v>
      </c>
      <c r="I633" s="577">
        <f t="shared" si="101"/>
        <v>1.7000000000000001E-3</v>
      </c>
      <c r="J633" s="577">
        <f t="shared" si="105"/>
        <v>1.8958333333333327E-3</v>
      </c>
      <c r="K633" s="577">
        <f t="shared" si="106"/>
        <v>-3.3833333333333345E-3</v>
      </c>
      <c r="L633" s="585">
        <f t="shared" si="102"/>
        <v>6.5735684432666863E-2</v>
      </c>
      <c r="M633" s="585">
        <f t="shared" si="103"/>
        <v>0.09</v>
      </c>
      <c r="N633" s="585">
        <f t="shared" si="107"/>
        <v>8.7650000000000006E-2</v>
      </c>
      <c r="O633" s="586">
        <f t="shared" si="104"/>
        <v>-2.4264315567333133E-2</v>
      </c>
      <c r="P633" s="585">
        <f t="shared" si="108"/>
        <v>-2.1914315567333142E-2</v>
      </c>
      <c r="Q633" s="585">
        <f t="shared" si="109"/>
        <v>5.125555847892671E-2</v>
      </c>
      <c r="R633" s="585">
        <f t="shared" si="110"/>
        <v>9.2200000000000018E-2</v>
      </c>
      <c r="S633" s="586">
        <f t="shared" si="111"/>
        <v>-4.0944441521073308E-2</v>
      </c>
      <c r="U633" s="587"/>
      <c r="V633" s="587"/>
      <c r="W633" s="587"/>
      <c r="X633" s="587"/>
      <c r="Y633" s="587"/>
      <c r="Z633" s="587"/>
      <c r="AA633" s="587"/>
      <c r="AB633" s="587"/>
      <c r="AC633" s="587"/>
      <c r="AE633" s="587"/>
      <c r="AF633" s="587"/>
      <c r="AG633" s="587"/>
      <c r="AH633" s="587"/>
      <c r="AI633" s="587"/>
      <c r="AJ633" s="587"/>
      <c r="AK633" s="587"/>
      <c r="AL633" s="587"/>
      <c r="AM633" s="587"/>
      <c r="AO633" s="587"/>
      <c r="AP633" s="587"/>
      <c r="AQ633" s="587"/>
      <c r="AR633" s="587"/>
      <c r="AS633" s="587"/>
      <c r="AT633" s="587"/>
      <c r="AU633" s="587"/>
      <c r="AV633" s="587"/>
      <c r="AW633" s="587"/>
    </row>
    <row r="634" spans="1:49">
      <c r="A634" s="581">
        <v>28642</v>
      </c>
      <c r="B634" s="594">
        <v>-1.38E-2</v>
      </c>
      <c r="C634" s="577">
        <v>3.5999999999999999E-3</v>
      </c>
      <c r="D634" s="577">
        <v>6.8999999999999999E-3</v>
      </c>
      <c r="E634" s="577">
        <v>7.3000000000000001E-3</v>
      </c>
      <c r="F634" s="577">
        <v>7.4583333333333324E-3</v>
      </c>
      <c r="G634" s="577">
        <v>7.3791666666666658E-3</v>
      </c>
      <c r="H634" s="577">
        <v>7.8333333333333328E-3</v>
      </c>
      <c r="I634" s="577">
        <f t="shared" si="101"/>
        <v>-2.07E-2</v>
      </c>
      <c r="J634" s="577">
        <f t="shared" si="105"/>
        <v>-2.1179166666666666E-2</v>
      </c>
      <c r="K634" s="577">
        <f t="shared" si="106"/>
        <v>-4.2333333333333329E-3</v>
      </c>
      <c r="L634" s="585">
        <f t="shared" si="102"/>
        <v>1.551869627878899E-3</v>
      </c>
      <c r="M634" s="585">
        <f t="shared" si="103"/>
        <v>8.2799999999999999E-2</v>
      </c>
      <c r="N634" s="585">
        <f t="shared" si="107"/>
        <v>8.854999999999999E-2</v>
      </c>
      <c r="O634" s="586">
        <f t="shared" si="104"/>
        <v>-8.12481303721211E-2</v>
      </c>
      <c r="P634" s="585">
        <f t="shared" si="108"/>
        <v>-8.6998130372121091E-2</v>
      </c>
      <c r="Q634" s="585">
        <f t="shared" si="109"/>
        <v>1.8422547616097074E-3</v>
      </c>
      <c r="R634" s="585">
        <f t="shared" si="110"/>
        <v>9.4E-2</v>
      </c>
      <c r="S634" s="586">
        <f t="shared" si="111"/>
        <v>-9.2157745238390293E-2</v>
      </c>
      <c r="U634" s="587"/>
      <c r="V634" s="587"/>
      <c r="W634" s="587"/>
      <c r="X634" s="587"/>
      <c r="Y634" s="587"/>
      <c r="Z634" s="587"/>
      <c r="AA634" s="587"/>
      <c r="AB634" s="587"/>
      <c r="AC634" s="587"/>
      <c r="AE634" s="587"/>
      <c r="AF634" s="587"/>
      <c r="AG634" s="587"/>
      <c r="AH634" s="587"/>
      <c r="AI634" s="587"/>
      <c r="AJ634" s="587"/>
      <c r="AK634" s="587"/>
      <c r="AL634" s="587"/>
      <c r="AM634" s="587"/>
      <c r="AO634" s="587"/>
      <c r="AP634" s="587"/>
      <c r="AQ634" s="587"/>
      <c r="AR634" s="587"/>
      <c r="AS634" s="587"/>
      <c r="AT634" s="587"/>
      <c r="AU634" s="587"/>
      <c r="AV634" s="587"/>
      <c r="AW634" s="587"/>
    </row>
    <row r="635" spans="1:49">
      <c r="A635" s="581">
        <v>28672</v>
      </c>
      <c r="B635" s="594">
        <v>5.8299999999999998E-2</v>
      </c>
      <c r="C635" s="577">
        <v>3.1600000000000003E-2</v>
      </c>
      <c r="D635" s="577">
        <v>7.3000000000000001E-3</v>
      </c>
      <c r="E635" s="577">
        <v>7.4000000000000012E-3</v>
      </c>
      <c r="F635" s="577">
        <v>7.5583333333333336E-3</v>
      </c>
      <c r="G635" s="577">
        <v>7.4791666666666678E-3</v>
      </c>
      <c r="H635" s="577">
        <v>7.9249999999999998E-3</v>
      </c>
      <c r="I635" s="577">
        <f t="shared" si="101"/>
        <v>5.0999999999999997E-2</v>
      </c>
      <c r="J635" s="577">
        <f t="shared" si="105"/>
        <v>5.0820833333333329E-2</v>
      </c>
      <c r="K635" s="577">
        <f t="shared" si="106"/>
        <v>2.3675000000000002E-2</v>
      </c>
      <c r="L635" s="585">
        <f t="shared" si="102"/>
        <v>7.3250651708368419E-2</v>
      </c>
      <c r="M635" s="585">
        <f t="shared" si="103"/>
        <v>8.7599999999999997E-2</v>
      </c>
      <c r="N635" s="585">
        <f t="shared" si="107"/>
        <v>8.975000000000001E-2</v>
      </c>
      <c r="O635" s="586">
        <f t="shared" si="104"/>
        <v>-1.4349348291631578E-2</v>
      </c>
      <c r="P635" s="585">
        <f t="shared" si="108"/>
        <v>-1.6499348291631591E-2</v>
      </c>
      <c r="Q635" s="585">
        <f t="shared" si="109"/>
        <v>1.6824547434156623E-2</v>
      </c>
      <c r="R635" s="585">
        <f t="shared" si="110"/>
        <v>9.509999999999999E-2</v>
      </c>
      <c r="S635" s="586">
        <f t="shared" si="111"/>
        <v>-7.8275452565843368E-2</v>
      </c>
      <c r="U635" s="587"/>
      <c r="V635" s="587"/>
      <c r="W635" s="587"/>
      <c r="X635" s="587"/>
      <c r="Y635" s="587"/>
      <c r="Z635" s="587"/>
      <c r="AA635" s="587"/>
      <c r="AB635" s="587"/>
      <c r="AC635" s="587"/>
      <c r="AE635" s="587"/>
      <c r="AF635" s="587"/>
      <c r="AG635" s="587"/>
      <c r="AH635" s="587"/>
      <c r="AI635" s="587"/>
      <c r="AJ635" s="587"/>
      <c r="AK635" s="587"/>
      <c r="AL635" s="587"/>
      <c r="AM635" s="587"/>
      <c r="AO635" s="587"/>
      <c r="AP635" s="587"/>
      <c r="AQ635" s="587"/>
      <c r="AR635" s="587"/>
      <c r="AS635" s="587"/>
      <c r="AT635" s="587"/>
      <c r="AU635" s="587"/>
      <c r="AV635" s="587"/>
      <c r="AW635" s="587"/>
    </row>
    <row r="636" spans="1:49">
      <c r="A636" s="581">
        <v>28703</v>
      </c>
      <c r="B636" s="594">
        <v>3.0099999999999998E-2</v>
      </c>
      <c r="C636" s="577">
        <v>-3.0000000000000079E-4</v>
      </c>
      <c r="D636" s="577">
        <v>7.000000000000001E-3</v>
      </c>
      <c r="E636" s="577">
        <v>7.2416666666666662E-3</v>
      </c>
      <c r="F636" s="577">
        <v>7.4666666666666666E-3</v>
      </c>
      <c r="G636" s="577">
        <v>7.354166666666666E-3</v>
      </c>
      <c r="H636" s="577">
        <v>7.7666666666666674E-3</v>
      </c>
      <c r="I636" s="577">
        <f t="shared" si="101"/>
        <v>2.3099999999999996E-2</v>
      </c>
      <c r="J636" s="577">
        <f t="shared" si="105"/>
        <v>2.2745833333333333E-2</v>
      </c>
      <c r="K636" s="577">
        <f t="shared" si="106"/>
        <v>-8.0666666666666682E-3</v>
      </c>
      <c r="L636" s="585">
        <f t="shared" si="102"/>
        <v>0.12490384241431607</v>
      </c>
      <c r="M636" s="585">
        <f t="shared" si="103"/>
        <v>8.4000000000000019E-2</v>
      </c>
      <c r="N636" s="585">
        <f t="shared" si="107"/>
        <v>8.8249999999999995E-2</v>
      </c>
      <c r="O636" s="586">
        <f t="shared" si="104"/>
        <v>4.090384241431605E-2</v>
      </c>
      <c r="P636" s="585">
        <f t="shared" si="108"/>
        <v>3.6653842414316073E-2</v>
      </c>
      <c r="Q636" s="585">
        <f t="shared" si="109"/>
        <v>5.3715662972868339E-2</v>
      </c>
      <c r="R636" s="585">
        <f t="shared" si="110"/>
        <v>9.3200000000000005E-2</v>
      </c>
      <c r="S636" s="586">
        <f t="shared" si="111"/>
        <v>-3.9484337027131666E-2</v>
      </c>
      <c r="U636" s="587"/>
      <c r="V636" s="587"/>
      <c r="W636" s="587"/>
      <c r="X636" s="587"/>
      <c r="Y636" s="587"/>
      <c r="Z636" s="587"/>
      <c r="AA636" s="587"/>
      <c r="AB636" s="587"/>
      <c r="AC636" s="587"/>
      <c r="AE636" s="587"/>
      <c r="AF636" s="587"/>
      <c r="AG636" s="587"/>
      <c r="AH636" s="587"/>
      <c r="AI636" s="587"/>
      <c r="AJ636" s="587"/>
      <c r="AK636" s="587"/>
      <c r="AL636" s="587"/>
      <c r="AM636" s="587"/>
      <c r="AO636" s="587"/>
      <c r="AP636" s="587"/>
      <c r="AQ636" s="587"/>
      <c r="AR636" s="587"/>
      <c r="AS636" s="587"/>
      <c r="AT636" s="587"/>
      <c r="AU636" s="587"/>
      <c r="AV636" s="587"/>
      <c r="AW636" s="587"/>
    </row>
    <row r="637" spans="1:49">
      <c r="A637" s="581">
        <v>28734</v>
      </c>
      <c r="B637" s="594">
        <v>-3.2000000000000002E-3</v>
      </c>
      <c r="C637" s="577">
        <v>-5.6000000000000008E-3</v>
      </c>
      <c r="D637" s="577">
        <v>6.5000000000000006E-3</v>
      </c>
      <c r="E637" s="577">
        <v>7.2416666666666662E-3</v>
      </c>
      <c r="F637" s="577">
        <v>7.4333333333333326E-3</v>
      </c>
      <c r="G637" s="577">
        <v>7.3374999999999994E-3</v>
      </c>
      <c r="H637" s="577">
        <v>7.7333333333333334E-3</v>
      </c>
      <c r="I637" s="577">
        <f t="shared" si="101"/>
        <v>-9.7000000000000003E-3</v>
      </c>
      <c r="J637" s="577">
        <f t="shared" si="105"/>
        <v>-1.05375E-2</v>
      </c>
      <c r="K637" s="577">
        <f t="shared" si="106"/>
        <v>-1.3333333333333334E-2</v>
      </c>
      <c r="L637" s="585">
        <f t="shared" si="102"/>
        <v>0.11951292943150005</v>
      </c>
      <c r="M637" s="585">
        <f t="shared" si="103"/>
        <v>7.8000000000000014E-2</v>
      </c>
      <c r="N637" s="585">
        <f t="shared" si="107"/>
        <v>8.8049999999999989E-2</v>
      </c>
      <c r="O637" s="586">
        <f t="shared" si="104"/>
        <v>4.1512929431500034E-2</v>
      </c>
      <c r="P637" s="585">
        <f t="shared" si="108"/>
        <v>3.1462929431500058E-2</v>
      </c>
      <c r="Q637" s="585">
        <f t="shared" si="109"/>
        <v>2.2557680550620018E-2</v>
      </c>
      <c r="R637" s="585">
        <f t="shared" si="110"/>
        <v>9.2799999999999994E-2</v>
      </c>
      <c r="S637" s="586">
        <f t="shared" si="111"/>
        <v>-7.0242319449379975E-2</v>
      </c>
      <c r="U637" s="587"/>
      <c r="V637" s="587"/>
      <c r="W637" s="587"/>
      <c r="X637" s="587"/>
      <c r="Y637" s="587"/>
      <c r="Z637" s="587"/>
      <c r="AA637" s="587"/>
      <c r="AB637" s="587"/>
      <c r="AC637" s="587"/>
      <c r="AE637" s="587"/>
      <c r="AF637" s="587"/>
      <c r="AG637" s="587"/>
      <c r="AH637" s="587"/>
      <c r="AI637" s="587"/>
      <c r="AJ637" s="587"/>
      <c r="AK637" s="587"/>
      <c r="AL637" s="587"/>
      <c r="AM637" s="587"/>
      <c r="AO637" s="587"/>
      <c r="AP637" s="587"/>
      <c r="AQ637" s="587"/>
      <c r="AR637" s="587"/>
      <c r="AS637" s="587"/>
      <c r="AT637" s="587"/>
      <c r="AU637" s="587"/>
      <c r="AV637" s="587"/>
      <c r="AW637" s="587"/>
    </row>
    <row r="638" spans="1:49">
      <c r="A638" s="581">
        <v>28764</v>
      </c>
      <c r="B638" s="594">
        <v>-8.72E-2</v>
      </c>
      <c r="C638" s="577">
        <v>-6.8400000000000002E-2</v>
      </c>
      <c r="D638" s="577">
        <v>7.3000000000000001E-3</v>
      </c>
      <c r="E638" s="577">
        <v>7.4083333333333336E-3</v>
      </c>
      <c r="F638" s="577">
        <v>7.5583333333333336E-3</v>
      </c>
      <c r="G638" s="577">
        <v>7.4833333333333332E-3</v>
      </c>
      <c r="H638" s="577">
        <v>7.8833333333333342E-3</v>
      </c>
      <c r="I638" s="577">
        <f t="shared" si="101"/>
        <v>-9.4500000000000001E-2</v>
      </c>
      <c r="J638" s="577">
        <f t="shared" si="105"/>
        <v>-9.4683333333333328E-2</v>
      </c>
      <c r="K638" s="577">
        <f t="shared" si="106"/>
        <v>-7.6283333333333342E-2</v>
      </c>
      <c r="L638" s="585">
        <f t="shared" si="102"/>
        <v>6.3362541087485402E-2</v>
      </c>
      <c r="M638" s="585">
        <f t="shared" si="103"/>
        <v>8.7599999999999997E-2</v>
      </c>
      <c r="N638" s="585">
        <f t="shared" si="107"/>
        <v>8.9799999999999991E-2</v>
      </c>
      <c r="O638" s="586">
        <f t="shared" si="104"/>
        <v>-2.4237458912514595E-2</v>
      </c>
      <c r="P638" s="585">
        <f t="shared" si="108"/>
        <v>-2.6437458912514589E-2</v>
      </c>
      <c r="Q638" s="585">
        <f t="shared" si="109"/>
        <v>-1.8327766693160163E-2</v>
      </c>
      <c r="R638" s="585">
        <f t="shared" si="110"/>
        <v>9.4600000000000017E-2</v>
      </c>
      <c r="S638" s="586">
        <f t="shared" si="111"/>
        <v>-0.11292776669316018</v>
      </c>
      <c r="U638" s="587"/>
      <c r="V638" s="587"/>
      <c r="W638" s="587"/>
      <c r="X638" s="587"/>
      <c r="Y638" s="587"/>
      <c r="Z638" s="587"/>
      <c r="AA638" s="587"/>
      <c r="AB638" s="587"/>
      <c r="AC638" s="587"/>
      <c r="AE638" s="587"/>
      <c r="AF638" s="587"/>
      <c r="AG638" s="587"/>
      <c r="AH638" s="587"/>
      <c r="AI638" s="587"/>
      <c r="AJ638" s="587"/>
      <c r="AK638" s="587"/>
      <c r="AL638" s="587"/>
      <c r="AM638" s="587"/>
      <c r="AO638" s="587"/>
      <c r="AP638" s="587"/>
      <c r="AQ638" s="587"/>
      <c r="AR638" s="587"/>
      <c r="AS638" s="587"/>
      <c r="AT638" s="587"/>
      <c r="AU638" s="587"/>
      <c r="AV638" s="587"/>
      <c r="AW638" s="587"/>
    </row>
    <row r="639" spans="1:49">
      <c r="A639" s="581">
        <v>28795</v>
      </c>
      <c r="B639" s="594">
        <v>2.1499999999999998E-2</v>
      </c>
      <c r="C639" s="577">
        <v>3.56E-2</v>
      </c>
      <c r="D639" s="577">
        <v>7.1000000000000004E-3</v>
      </c>
      <c r="E639" s="577">
        <v>7.5249999999999996E-3</v>
      </c>
      <c r="F639" s="577">
        <v>7.7000000000000002E-3</v>
      </c>
      <c r="G639" s="577">
        <v>7.6124999999999995E-3</v>
      </c>
      <c r="H639" s="577">
        <v>8.0666666666666664E-3</v>
      </c>
      <c r="I639" s="577">
        <f t="shared" si="101"/>
        <v>1.4399999999999998E-2</v>
      </c>
      <c r="J639" s="577">
        <f t="shared" si="105"/>
        <v>1.3887499999999999E-2</v>
      </c>
      <c r="K639" s="577">
        <f t="shared" si="106"/>
        <v>2.7533333333333333E-2</v>
      </c>
      <c r="L639" s="585">
        <f t="shared" si="102"/>
        <v>5.2951566228059743E-2</v>
      </c>
      <c r="M639" s="585">
        <f t="shared" si="103"/>
        <v>8.5199999999999998E-2</v>
      </c>
      <c r="N639" s="585">
        <f t="shared" si="107"/>
        <v>9.1349999999999987E-2</v>
      </c>
      <c r="O639" s="586">
        <f t="shared" si="104"/>
        <v>-3.2248433771940255E-2</v>
      </c>
      <c r="P639" s="585">
        <f t="shared" si="108"/>
        <v>-3.8398433771940244E-2</v>
      </c>
      <c r="Q639" s="585">
        <f t="shared" si="109"/>
        <v>-2.069187475911427E-2</v>
      </c>
      <c r="R639" s="585">
        <f t="shared" si="110"/>
        <v>9.6799999999999997E-2</v>
      </c>
      <c r="S639" s="586">
        <f t="shared" si="111"/>
        <v>-0.11749187475911427</v>
      </c>
      <c r="U639" s="587"/>
      <c r="V639" s="587"/>
      <c r="W639" s="587"/>
      <c r="X639" s="587"/>
      <c r="Y639" s="587"/>
      <c r="Z639" s="587"/>
      <c r="AA639" s="587"/>
      <c r="AB639" s="587"/>
      <c r="AC639" s="587"/>
      <c r="AE639" s="587"/>
      <c r="AF639" s="587"/>
      <c r="AG639" s="587"/>
      <c r="AH639" s="587"/>
      <c r="AI639" s="587"/>
      <c r="AJ639" s="587"/>
      <c r="AK639" s="587"/>
      <c r="AL639" s="587"/>
      <c r="AM639" s="587"/>
      <c r="AO639" s="587"/>
      <c r="AP639" s="587"/>
      <c r="AQ639" s="587"/>
      <c r="AR639" s="587"/>
      <c r="AS639" s="587"/>
      <c r="AT639" s="587"/>
      <c r="AU639" s="587"/>
      <c r="AV639" s="587"/>
      <c r="AW639" s="587"/>
    </row>
    <row r="640" spans="1:49">
      <c r="A640" s="581">
        <v>28825</v>
      </c>
      <c r="B640" s="594">
        <v>1.9599999999999999E-2</v>
      </c>
      <c r="C640" s="577">
        <v>-1.49E-2</v>
      </c>
      <c r="D640" s="577">
        <v>6.7999999999999996E-3</v>
      </c>
      <c r="E640" s="577">
        <v>7.6333333333333331E-3</v>
      </c>
      <c r="F640" s="577">
        <v>7.7749999999999998E-3</v>
      </c>
      <c r="G640" s="577">
        <v>7.7041666666666665E-3</v>
      </c>
      <c r="H640" s="577">
        <v>8.083333333333333E-3</v>
      </c>
      <c r="I640" s="577">
        <f t="shared" si="101"/>
        <v>1.2799999999999999E-2</v>
      </c>
      <c r="J640" s="577">
        <f t="shared" si="105"/>
        <v>1.1895833333333333E-2</v>
      </c>
      <c r="K640" s="577">
        <f t="shared" si="106"/>
        <v>-2.2983333333333335E-2</v>
      </c>
      <c r="L640" s="585">
        <f t="shared" si="102"/>
        <v>6.5597436154967381E-2</v>
      </c>
      <c r="M640" s="585">
        <f t="shared" si="103"/>
        <v>8.1599999999999992E-2</v>
      </c>
      <c r="N640" s="585">
        <f t="shared" si="107"/>
        <v>9.2450000000000004E-2</v>
      </c>
      <c r="O640" s="586">
        <f t="shared" si="104"/>
        <v>-1.6002563845032611E-2</v>
      </c>
      <c r="P640" s="585">
        <f t="shared" si="108"/>
        <v>-2.6852563845032623E-2</v>
      </c>
      <c r="Q640" s="585">
        <f t="shared" si="109"/>
        <v>-3.7113051028249688E-2</v>
      </c>
      <c r="R640" s="585">
        <f t="shared" si="110"/>
        <v>9.7000000000000003E-2</v>
      </c>
      <c r="S640" s="586">
        <f t="shared" si="111"/>
        <v>-0.13411305102824969</v>
      </c>
      <c r="U640" s="587"/>
      <c r="V640" s="587"/>
      <c r="W640" s="587"/>
      <c r="X640" s="587"/>
      <c r="Y640" s="587"/>
      <c r="Z640" s="587"/>
      <c r="AA640" s="587"/>
      <c r="AB640" s="587"/>
      <c r="AC640" s="587"/>
      <c r="AE640" s="587"/>
      <c r="AF640" s="587"/>
      <c r="AG640" s="587"/>
      <c r="AH640" s="587"/>
      <c r="AI640" s="587"/>
      <c r="AJ640" s="587"/>
      <c r="AK640" s="587"/>
      <c r="AL640" s="587"/>
      <c r="AM640" s="587"/>
      <c r="AO640" s="587"/>
      <c r="AP640" s="587"/>
      <c r="AQ640" s="587"/>
      <c r="AR640" s="587"/>
      <c r="AS640" s="587"/>
      <c r="AT640" s="587"/>
      <c r="AU640" s="587"/>
      <c r="AV640" s="587"/>
      <c r="AW640" s="587"/>
    </row>
    <row r="641" spans="1:49">
      <c r="A641" s="581">
        <v>28856</v>
      </c>
      <c r="B641" s="594">
        <v>4.4299999999999999E-2</v>
      </c>
      <c r="C641" s="577">
        <v>6.9199999999999998E-2</v>
      </c>
      <c r="D641" s="577">
        <v>7.9000000000000008E-3</v>
      </c>
      <c r="E641" s="577">
        <v>7.7083333333333335E-3</v>
      </c>
      <c r="F641" s="577">
        <v>7.9000000000000008E-3</v>
      </c>
      <c r="G641" s="577">
        <v>7.8041666666666676E-3</v>
      </c>
      <c r="H641" s="577">
        <v>8.2500000000000004E-3</v>
      </c>
      <c r="I641" s="577">
        <f t="shared" si="101"/>
        <v>3.6400000000000002E-2</v>
      </c>
      <c r="J641" s="577">
        <f t="shared" si="105"/>
        <v>3.6495833333333332E-2</v>
      </c>
      <c r="K641" s="577">
        <f t="shared" si="106"/>
        <v>6.0949999999999997E-2</v>
      </c>
      <c r="L641" s="585">
        <f t="shared" si="102"/>
        <v>0.18056800612840274</v>
      </c>
      <c r="M641" s="585">
        <f t="shared" si="103"/>
        <v>9.4800000000000009E-2</v>
      </c>
      <c r="N641" s="585">
        <f t="shared" si="107"/>
        <v>9.3650000000000011E-2</v>
      </c>
      <c r="O641" s="586">
        <f t="shared" si="104"/>
        <v>8.5768006128402727E-2</v>
      </c>
      <c r="P641" s="585">
        <f t="shared" si="108"/>
        <v>8.6918006128402725E-2</v>
      </c>
      <c r="Q641" s="585">
        <f t="shared" si="109"/>
        <v>8.748148921579757E-2</v>
      </c>
      <c r="R641" s="585">
        <f t="shared" si="110"/>
        <v>9.9000000000000005E-2</v>
      </c>
      <c r="S641" s="586">
        <f t="shared" si="111"/>
        <v>-1.1518510784202435E-2</v>
      </c>
      <c r="U641" s="587"/>
      <c r="V641" s="587"/>
      <c r="W641" s="587"/>
      <c r="X641" s="587"/>
      <c r="Y641" s="587"/>
      <c r="Z641" s="587"/>
      <c r="AA641" s="587"/>
      <c r="AB641" s="587"/>
      <c r="AC641" s="587"/>
      <c r="AE641" s="587"/>
      <c r="AF641" s="587"/>
      <c r="AG641" s="587"/>
      <c r="AH641" s="587"/>
      <c r="AI641" s="587"/>
      <c r="AJ641" s="587"/>
      <c r="AK641" s="587"/>
      <c r="AL641" s="587"/>
      <c r="AM641" s="587"/>
      <c r="AO641" s="587"/>
      <c r="AP641" s="587"/>
      <c r="AQ641" s="587"/>
      <c r="AR641" s="587"/>
      <c r="AS641" s="587"/>
      <c r="AT641" s="587"/>
      <c r="AU641" s="587"/>
      <c r="AV641" s="587"/>
      <c r="AW641" s="587"/>
    </row>
    <row r="642" spans="1:49">
      <c r="A642" s="581">
        <v>28887</v>
      </c>
      <c r="B642" s="594">
        <v>-3.2099999999999997E-2</v>
      </c>
      <c r="C642" s="577">
        <v>-2.12E-2</v>
      </c>
      <c r="D642" s="577">
        <v>6.5000000000000006E-3</v>
      </c>
      <c r="E642" s="577">
        <v>7.7166666666666659E-3</v>
      </c>
      <c r="F642" s="577">
        <v>7.9166666666666656E-3</v>
      </c>
      <c r="G642" s="577">
        <v>7.8166666666666662E-3</v>
      </c>
      <c r="H642" s="577">
        <v>8.199999999999999E-3</v>
      </c>
      <c r="I642" s="577">
        <f t="shared" si="101"/>
        <v>-3.8599999999999995E-2</v>
      </c>
      <c r="J642" s="577">
        <f t="shared" si="105"/>
        <v>-3.9916666666666663E-2</v>
      </c>
      <c r="K642" s="577">
        <f t="shared" si="106"/>
        <v>-2.9399999999999999E-2</v>
      </c>
      <c r="L642" s="585">
        <f t="shared" si="102"/>
        <v>0.16634865074173799</v>
      </c>
      <c r="M642" s="585">
        <f t="shared" si="103"/>
        <v>7.8000000000000014E-2</v>
      </c>
      <c r="N642" s="585">
        <f t="shared" si="107"/>
        <v>9.3799999999999994E-2</v>
      </c>
      <c r="O642" s="586">
        <f t="shared" si="104"/>
        <v>8.8348650741737977E-2</v>
      </c>
      <c r="P642" s="585">
        <f t="shared" si="108"/>
        <v>7.2548650741737997E-2</v>
      </c>
      <c r="Q642" s="585">
        <f t="shared" si="109"/>
        <v>7.1067500145323814E-2</v>
      </c>
      <c r="R642" s="585">
        <f t="shared" si="110"/>
        <v>9.8399999999999987E-2</v>
      </c>
      <c r="S642" s="586">
        <f t="shared" si="111"/>
        <v>-2.7332499854676173E-2</v>
      </c>
      <c r="U642" s="587"/>
      <c r="V642" s="587"/>
      <c r="W642" s="587"/>
      <c r="X642" s="587"/>
      <c r="Y642" s="587"/>
      <c r="Z642" s="587"/>
      <c r="AA642" s="587"/>
      <c r="AB642" s="587"/>
      <c r="AC642" s="587"/>
      <c r="AE642" s="587"/>
      <c r="AF642" s="587"/>
      <c r="AG642" s="587"/>
      <c r="AH642" s="587"/>
      <c r="AI642" s="587"/>
      <c r="AJ642" s="587"/>
      <c r="AK642" s="587"/>
      <c r="AL642" s="587"/>
      <c r="AM642" s="587"/>
      <c r="AO642" s="587"/>
      <c r="AP642" s="587"/>
      <c r="AQ642" s="587"/>
      <c r="AR642" s="587"/>
      <c r="AS642" s="587"/>
      <c r="AT642" s="587"/>
      <c r="AU642" s="587"/>
      <c r="AV642" s="587"/>
      <c r="AW642" s="587"/>
    </row>
    <row r="643" spans="1:49">
      <c r="A643" s="581">
        <v>28915</v>
      </c>
      <c r="B643" s="594">
        <v>5.96E-2</v>
      </c>
      <c r="C643" s="577">
        <v>1.9599999999999999E-2</v>
      </c>
      <c r="D643" s="577">
        <v>7.4000000000000003E-3</v>
      </c>
      <c r="E643" s="577">
        <v>7.8083333333333329E-3</v>
      </c>
      <c r="F643" s="577">
        <v>8.0083333333333326E-3</v>
      </c>
      <c r="G643" s="577">
        <v>7.9083333333333332E-3</v>
      </c>
      <c r="H643" s="577">
        <v>8.3666666666666663E-3</v>
      </c>
      <c r="I643" s="577">
        <f t="shared" si="101"/>
        <v>5.2199999999999996E-2</v>
      </c>
      <c r="J643" s="577">
        <f t="shared" si="105"/>
        <v>5.1691666666666664E-2</v>
      </c>
      <c r="K643" s="577">
        <f t="shared" si="106"/>
        <v>1.1233333333333333E-2</v>
      </c>
      <c r="L643" s="585">
        <f t="shared" si="102"/>
        <v>0.20056637878953332</v>
      </c>
      <c r="M643" s="585">
        <f t="shared" si="103"/>
        <v>8.8800000000000004E-2</v>
      </c>
      <c r="N643" s="585">
        <f t="shared" si="107"/>
        <v>9.4899999999999998E-2</v>
      </c>
      <c r="O643" s="586">
        <f t="shared" si="104"/>
        <v>0.11176637878953331</v>
      </c>
      <c r="P643" s="585">
        <f t="shared" si="108"/>
        <v>0.10566637878953332</v>
      </c>
      <c r="Q643" s="585">
        <f t="shared" si="109"/>
        <v>5.9327212288458941E-2</v>
      </c>
      <c r="R643" s="585">
        <f t="shared" si="110"/>
        <v>0.10039999999999999</v>
      </c>
      <c r="S643" s="586">
        <f t="shared" si="111"/>
        <v>-4.1072787711541048E-2</v>
      </c>
      <c r="U643" s="587"/>
      <c r="V643" s="587"/>
      <c r="W643" s="587"/>
      <c r="X643" s="587"/>
      <c r="Y643" s="587"/>
      <c r="Z643" s="587"/>
      <c r="AA643" s="587"/>
      <c r="AB643" s="587"/>
      <c r="AC643" s="587"/>
      <c r="AE643" s="587"/>
      <c r="AF643" s="587"/>
      <c r="AG643" s="587"/>
      <c r="AH643" s="587"/>
      <c r="AI643" s="587"/>
      <c r="AJ643" s="587"/>
      <c r="AK643" s="587"/>
      <c r="AL643" s="587"/>
      <c r="AM643" s="587"/>
      <c r="AO643" s="587"/>
      <c r="AP643" s="587"/>
      <c r="AQ643" s="587"/>
      <c r="AR643" s="587"/>
      <c r="AS643" s="587"/>
      <c r="AT643" s="587"/>
      <c r="AU643" s="587"/>
      <c r="AV643" s="587"/>
      <c r="AW643" s="587"/>
    </row>
    <row r="644" spans="1:49">
      <c r="A644" s="581">
        <v>28946</v>
      </c>
      <c r="B644" s="594">
        <v>6.3E-3</v>
      </c>
      <c r="C644" s="577">
        <v>-2.4899999999999999E-2</v>
      </c>
      <c r="D644" s="577">
        <v>7.6E-3</v>
      </c>
      <c r="E644" s="577">
        <v>7.8166666666666679E-3</v>
      </c>
      <c r="F644" s="577">
        <v>8.0416666666666674E-3</v>
      </c>
      <c r="G644" s="577">
        <v>7.9291666666666677E-3</v>
      </c>
      <c r="H644" s="577">
        <v>8.416666666666666E-3</v>
      </c>
      <c r="I644" s="577">
        <f t="shared" si="101"/>
        <v>-1.2999999999999999E-3</v>
      </c>
      <c r="J644" s="577">
        <f t="shared" si="105"/>
        <v>-1.6291666666666677E-3</v>
      </c>
      <c r="K644" s="577">
        <f t="shared" si="106"/>
        <v>-3.3316666666666661E-2</v>
      </c>
      <c r="L644" s="585">
        <f t="shared" si="102"/>
        <v>0.10817276369098106</v>
      </c>
      <c r="M644" s="585">
        <f t="shared" si="103"/>
        <v>9.1200000000000003E-2</v>
      </c>
      <c r="N644" s="585">
        <f t="shared" si="107"/>
        <v>9.5150000000000012E-2</v>
      </c>
      <c r="O644" s="586">
        <f t="shared" si="104"/>
        <v>1.6972763690981052E-2</v>
      </c>
      <c r="P644" s="585">
        <f t="shared" si="108"/>
        <v>1.3022763690981043E-2</v>
      </c>
      <c r="Q644" s="585">
        <f t="shared" si="109"/>
        <v>2.2115539978702081E-2</v>
      </c>
      <c r="R644" s="585">
        <f t="shared" si="110"/>
        <v>0.10099999999999999</v>
      </c>
      <c r="S644" s="586">
        <f t="shared" si="111"/>
        <v>-7.8884460021297911E-2</v>
      </c>
      <c r="U644" s="587"/>
      <c r="V644" s="587"/>
      <c r="W644" s="587"/>
      <c r="X644" s="587"/>
      <c r="Y644" s="587"/>
      <c r="Z644" s="587"/>
      <c r="AA644" s="587"/>
      <c r="AB644" s="587"/>
      <c r="AC644" s="587"/>
      <c r="AE644" s="587"/>
      <c r="AF644" s="587"/>
      <c r="AG644" s="587"/>
      <c r="AH644" s="587"/>
      <c r="AI644" s="587"/>
      <c r="AJ644" s="587"/>
      <c r="AK644" s="587"/>
      <c r="AL644" s="587"/>
      <c r="AM644" s="587"/>
      <c r="AO644" s="587"/>
      <c r="AP644" s="587"/>
      <c r="AQ644" s="587"/>
      <c r="AR644" s="587"/>
      <c r="AS644" s="587"/>
      <c r="AT644" s="587"/>
      <c r="AU644" s="587"/>
      <c r="AV644" s="587"/>
      <c r="AW644" s="587"/>
    </row>
    <row r="645" spans="1:49">
      <c r="A645" s="581">
        <v>28976</v>
      </c>
      <c r="B645" s="594">
        <v>-2.1700000000000001E-2</v>
      </c>
      <c r="C645" s="577">
        <v>1.4999999999999999E-2</v>
      </c>
      <c r="D645" s="577">
        <v>7.7000000000000002E-3</v>
      </c>
      <c r="E645" s="577">
        <v>7.9166666666666656E-3</v>
      </c>
      <c r="F645" s="577">
        <v>8.2166666666666673E-3</v>
      </c>
      <c r="G645" s="577">
        <v>8.0666666666666664E-3</v>
      </c>
      <c r="H645" s="577">
        <v>8.5833333333333334E-3</v>
      </c>
      <c r="I645" s="577">
        <f t="shared" si="101"/>
        <v>-2.9400000000000003E-2</v>
      </c>
      <c r="J645" s="577">
        <f t="shared" si="105"/>
        <v>-2.9766666666666667E-2</v>
      </c>
      <c r="K645" s="577">
        <f t="shared" si="106"/>
        <v>6.416666666666666E-3</v>
      </c>
      <c r="L645" s="585">
        <f t="shared" si="102"/>
        <v>7.4242384778920645E-2</v>
      </c>
      <c r="M645" s="585">
        <f t="shared" si="103"/>
        <v>9.240000000000001E-2</v>
      </c>
      <c r="N645" s="585">
        <f t="shared" si="107"/>
        <v>9.6799999999999997E-2</v>
      </c>
      <c r="O645" s="586">
        <f t="shared" si="104"/>
        <v>-1.8157615221079365E-2</v>
      </c>
      <c r="P645" s="585">
        <f t="shared" si="108"/>
        <v>-2.2557615221079352E-2</v>
      </c>
      <c r="Q645" s="585">
        <f t="shared" si="109"/>
        <v>3.3005350073068485E-2</v>
      </c>
      <c r="R645" s="585">
        <f t="shared" si="110"/>
        <v>0.10300000000000001</v>
      </c>
      <c r="S645" s="586">
        <f t="shared" si="111"/>
        <v>-6.9994649926931524E-2</v>
      </c>
      <c r="U645" s="587"/>
      <c r="V645" s="587"/>
      <c r="W645" s="587"/>
      <c r="X645" s="587"/>
      <c r="Y645" s="587"/>
      <c r="Z645" s="587"/>
      <c r="AA645" s="587"/>
      <c r="AB645" s="587"/>
      <c r="AC645" s="587"/>
      <c r="AE645" s="587"/>
      <c r="AF645" s="587"/>
      <c r="AG645" s="587"/>
      <c r="AH645" s="587"/>
      <c r="AI645" s="587"/>
      <c r="AJ645" s="587"/>
      <c r="AK645" s="587"/>
      <c r="AL645" s="587"/>
      <c r="AM645" s="587"/>
      <c r="AO645" s="587"/>
      <c r="AP645" s="587"/>
      <c r="AQ645" s="587"/>
      <c r="AR645" s="587"/>
      <c r="AS645" s="587"/>
      <c r="AT645" s="587"/>
      <c r="AU645" s="587"/>
      <c r="AV645" s="587"/>
      <c r="AW645" s="587"/>
    </row>
    <row r="646" spans="1:49">
      <c r="A646" s="581">
        <v>29007</v>
      </c>
      <c r="B646" s="594">
        <v>4.3499999999999997E-2</v>
      </c>
      <c r="C646" s="577">
        <v>3.8600000000000002E-2</v>
      </c>
      <c r="D646" s="577">
        <v>7.1000000000000004E-3</v>
      </c>
      <c r="E646" s="577">
        <v>7.7416666666666658E-3</v>
      </c>
      <c r="F646" s="577">
        <v>8.0499999999999999E-3</v>
      </c>
      <c r="G646" s="577">
        <v>7.8958333333333328E-3</v>
      </c>
      <c r="H646" s="577">
        <v>8.4500000000000009E-3</v>
      </c>
      <c r="I646" s="577">
        <f t="shared" ref="I646:I709" si="112">B646-D646</f>
        <v>3.6399999999999995E-2</v>
      </c>
      <c r="J646" s="577">
        <f t="shared" si="105"/>
        <v>3.5604166666666666E-2</v>
      </c>
      <c r="K646" s="577">
        <f t="shared" si="106"/>
        <v>3.0150000000000003E-2</v>
      </c>
      <c r="L646" s="585">
        <f t="shared" si="102"/>
        <v>0.13665780624295598</v>
      </c>
      <c r="M646" s="585">
        <f t="shared" si="103"/>
        <v>8.5199999999999998E-2</v>
      </c>
      <c r="N646" s="585">
        <f t="shared" si="107"/>
        <v>9.4750000000000001E-2</v>
      </c>
      <c r="O646" s="586">
        <f t="shared" si="104"/>
        <v>5.1457806242955983E-2</v>
      </c>
      <c r="P646" s="585">
        <f t="shared" si="108"/>
        <v>4.1907806242955981E-2</v>
      </c>
      <c r="Q646" s="585">
        <f t="shared" si="109"/>
        <v>6.9030845541937724E-2</v>
      </c>
      <c r="R646" s="585">
        <f t="shared" si="110"/>
        <v>0.10140000000000002</v>
      </c>
      <c r="S646" s="586">
        <f t="shared" si="111"/>
        <v>-3.2369154458062294E-2</v>
      </c>
      <c r="U646" s="587"/>
      <c r="V646" s="587"/>
      <c r="W646" s="587"/>
      <c r="X646" s="587"/>
      <c r="Y646" s="587"/>
      <c r="Z646" s="587"/>
      <c r="AA646" s="587"/>
      <c r="AB646" s="587"/>
      <c r="AC646" s="587"/>
      <c r="AE646" s="587"/>
      <c r="AF646" s="587"/>
      <c r="AG646" s="587"/>
      <c r="AH646" s="587"/>
      <c r="AI646" s="587"/>
      <c r="AJ646" s="587"/>
      <c r="AK646" s="587"/>
      <c r="AL646" s="587"/>
      <c r="AM646" s="587"/>
      <c r="AO646" s="587"/>
      <c r="AP646" s="587"/>
      <c r="AQ646" s="587"/>
      <c r="AR646" s="587"/>
      <c r="AS646" s="587"/>
      <c r="AT646" s="587"/>
      <c r="AU646" s="587"/>
      <c r="AV646" s="587"/>
      <c r="AW646" s="587"/>
    </row>
    <row r="647" spans="1:49">
      <c r="A647" s="581">
        <v>29037</v>
      </c>
      <c r="B647" s="594">
        <v>1.34E-2</v>
      </c>
      <c r="C647" s="577">
        <v>3.4200000000000001E-2</v>
      </c>
      <c r="D647" s="577">
        <v>7.6E-3</v>
      </c>
      <c r="E647" s="577">
        <v>7.6666666666666662E-3</v>
      </c>
      <c r="F647" s="577">
        <v>7.9083333333333332E-3</v>
      </c>
      <c r="G647" s="577">
        <v>7.7875000000000002E-3</v>
      </c>
      <c r="H647" s="577">
        <v>8.3166666666666667E-3</v>
      </c>
      <c r="I647" s="577">
        <f t="shared" si="112"/>
        <v>5.8000000000000005E-3</v>
      </c>
      <c r="J647" s="577">
        <f t="shared" si="105"/>
        <v>5.6125000000000003E-3</v>
      </c>
      <c r="K647" s="577">
        <f t="shared" si="106"/>
        <v>2.5883333333333335E-2</v>
      </c>
      <c r="L647" s="585">
        <f t="shared" si="102"/>
        <v>8.8433356181245371E-2</v>
      </c>
      <c r="M647" s="585">
        <f t="shared" si="103"/>
        <v>9.1200000000000003E-2</v>
      </c>
      <c r="N647" s="585">
        <f t="shared" si="107"/>
        <v>9.3450000000000005E-2</v>
      </c>
      <c r="O647" s="586">
        <f t="shared" si="104"/>
        <v>-2.7666438187546327E-3</v>
      </c>
      <c r="P647" s="585">
        <f t="shared" si="108"/>
        <v>-5.0166438187546347E-3</v>
      </c>
      <c r="Q647" s="585">
        <f t="shared" si="109"/>
        <v>7.1725184625311744E-2</v>
      </c>
      <c r="R647" s="585">
        <f t="shared" si="110"/>
        <v>9.98E-2</v>
      </c>
      <c r="S647" s="586">
        <f t="shared" si="111"/>
        <v>-2.8074815374688256E-2</v>
      </c>
      <c r="U647" s="587"/>
      <c r="V647" s="587"/>
      <c r="W647" s="587"/>
      <c r="X647" s="587"/>
      <c r="Y647" s="587"/>
      <c r="Z647" s="587"/>
      <c r="AA647" s="587"/>
      <c r="AB647" s="587"/>
      <c r="AC647" s="587"/>
      <c r="AE647" s="587"/>
      <c r="AF647" s="587"/>
      <c r="AG647" s="587"/>
      <c r="AH647" s="587"/>
      <c r="AI647" s="587"/>
      <c r="AJ647" s="587"/>
      <c r="AK647" s="587"/>
      <c r="AL647" s="587"/>
      <c r="AM647" s="587"/>
      <c r="AO647" s="587"/>
      <c r="AP647" s="587"/>
      <c r="AQ647" s="587"/>
      <c r="AR647" s="587"/>
      <c r="AS647" s="587"/>
      <c r="AT647" s="587"/>
      <c r="AU647" s="587"/>
      <c r="AV647" s="587"/>
      <c r="AW647" s="587"/>
    </row>
    <row r="648" spans="1:49">
      <c r="A648" s="581">
        <v>29068</v>
      </c>
      <c r="B648" s="594">
        <v>5.7700000000000001E-2</v>
      </c>
      <c r="C648" s="577">
        <v>1.0200000000000001E-2</v>
      </c>
      <c r="D648" s="577">
        <v>7.3000000000000001E-3</v>
      </c>
      <c r="E648" s="577">
        <v>7.691666666666667E-3</v>
      </c>
      <c r="F648" s="577">
        <v>7.9416666666666663E-3</v>
      </c>
      <c r="G648" s="577">
        <v>7.8166666666666662E-3</v>
      </c>
      <c r="H648" s="577">
        <v>8.4500000000000009E-3</v>
      </c>
      <c r="I648" s="577">
        <f t="shared" si="112"/>
        <v>5.04E-2</v>
      </c>
      <c r="J648" s="577">
        <f t="shared" si="105"/>
        <v>4.9883333333333335E-2</v>
      </c>
      <c r="K648" s="577">
        <f t="shared" si="106"/>
        <v>1.7499999999999998E-3</v>
      </c>
      <c r="L648" s="585">
        <f t="shared" si="102"/>
        <v>0.11759631184632879</v>
      </c>
      <c r="M648" s="585">
        <f t="shared" si="103"/>
        <v>8.7599999999999997E-2</v>
      </c>
      <c r="N648" s="585">
        <f t="shared" si="107"/>
        <v>9.3799999999999994E-2</v>
      </c>
      <c r="O648" s="586">
        <f t="shared" si="104"/>
        <v>2.9996311846328796E-2</v>
      </c>
      <c r="P648" s="585">
        <f t="shared" si="108"/>
        <v>2.3796311846328799E-2</v>
      </c>
      <c r="Q648" s="585">
        <f t="shared" si="109"/>
        <v>8.2981676011293137E-2</v>
      </c>
      <c r="R648" s="585">
        <f t="shared" si="110"/>
        <v>0.10140000000000002</v>
      </c>
      <c r="S648" s="586">
        <f t="shared" si="111"/>
        <v>-1.8418323988706881E-2</v>
      </c>
      <c r="U648" s="587"/>
      <c r="V648" s="587"/>
      <c r="W648" s="587"/>
      <c r="X648" s="587"/>
      <c r="Y648" s="587"/>
      <c r="Z648" s="587"/>
      <c r="AA648" s="587"/>
      <c r="AB648" s="587"/>
      <c r="AC648" s="587"/>
      <c r="AE648" s="587"/>
      <c r="AF648" s="587"/>
      <c r="AG648" s="587"/>
      <c r="AH648" s="587"/>
      <c r="AI648" s="587"/>
      <c r="AJ648" s="587"/>
      <c r="AK648" s="587"/>
      <c r="AL648" s="587"/>
      <c r="AM648" s="587"/>
      <c r="AO648" s="587"/>
      <c r="AP648" s="587"/>
      <c r="AQ648" s="587"/>
      <c r="AR648" s="587"/>
      <c r="AS648" s="587"/>
      <c r="AT648" s="587"/>
      <c r="AU648" s="587"/>
      <c r="AV648" s="587"/>
      <c r="AW648" s="587"/>
    </row>
    <row r="649" spans="1:49">
      <c r="A649" s="581">
        <v>29099</v>
      </c>
      <c r="B649" s="594">
        <v>4.3E-3</v>
      </c>
      <c r="C649" s="577">
        <v>-1.77E-2</v>
      </c>
      <c r="D649" s="577">
        <v>6.7999999999999996E-3</v>
      </c>
      <c r="E649" s="577">
        <v>7.8666666666666659E-3</v>
      </c>
      <c r="F649" s="577">
        <v>8.083333333333333E-3</v>
      </c>
      <c r="G649" s="577">
        <v>7.9749999999999995E-3</v>
      </c>
      <c r="H649" s="577">
        <v>8.6333333333333331E-3</v>
      </c>
      <c r="I649" s="577">
        <f t="shared" si="112"/>
        <v>-2.4999999999999996E-3</v>
      </c>
      <c r="J649" s="577">
        <f t="shared" si="105"/>
        <v>-3.6749999999999994E-3</v>
      </c>
      <c r="K649" s="577">
        <f t="shared" si="106"/>
        <v>-2.6333333333333334E-2</v>
      </c>
      <c r="L649" s="585">
        <f t="shared" si="102"/>
        <v>0.12600519260359921</v>
      </c>
      <c r="M649" s="585">
        <f t="shared" si="103"/>
        <v>8.1599999999999992E-2</v>
      </c>
      <c r="N649" s="585">
        <f t="shared" si="107"/>
        <v>9.5699999999999993E-2</v>
      </c>
      <c r="O649" s="586">
        <f t="shared" si="104"/>
        <v>4.4405192603599222E-2</v>
      </c>
      <c r="P649" s="585">
        <f t="shared" si="108"/>
        <v>3.0305192603599221E-2</v>
      </c>
      <c r="Q649" s="585">
        <f t="shared" si="109"/>
        <v>6.9803801635049734E-2</v>
      </c>
      <c r="R649" s="585">
        <f t="shared" si="110"/>
        <v>0.1036</v>
      </c>
      <c r="S649" s="586">
        <f t="shared" si="111"/>
        <v>-3.3796198364950264E-2</v>
      </c>
      <c r="U649" s="587"/>
      <c r="V649" s="587"/>
      <c r="W649" s="587"/>
      <c r="X649" s="587"/>
      <c r="Y649" s="587"/>
      <c r="Z649" s="587"/>
      <c r="AA649" s="587"/>
      <c r="AB649" s="587"/>
      <c r="AC649" s="587"/>
      <c r="AE649" s="587"/>
      <c r="AF649" s="587"/>
      <c r="AG649" s="587"/>
      <c r="AH649" s="587"/>
      <c r="AI649" s="587"/>
      <c r="AJ649" s="587"/>
      <c r="AK649" s="587"/>
      <c r="AL649" s="587"/>
      <c r="AM649" s="587"/>
      <c r="AO649" s="587"/>
      <c r="AP649" s="587"/>
      <c r="AQ649" s="587"/>
      <c r="AR649" s="587"/>
      <c r="AS649" s="587"/>
      <c r="AT649" s="587"/>
      <c r="AU649" s="587"/>
      <c r="AV649" s="587"/>
      <c r="AW649" s="587"/>
    </row>
    <row r="650" spans="1:49">
      <c r="A650" s="581">
        <v>29129</v>
      </c>
      <c r="B650" s="594">
        <v>-6.4000000000000001E-2</v>
      </c>
      <c r="C650" s="577">
        <v>-5.0499999999999996E-2</v>
      </c>
      <c r="D650" s="577">
        <v>8.2000000000000007E-3</v>
      </c>
      <c r="E650" s="577">
        <v>8.4416666666666668E-3</v>
      </c>
      <c r="F650" s="577">
        <v>8.7166666666666677E-3</v>
      </c>
      <c r="G650" s="577">
        <v>8.5791666666666672E-3</v>
      </c>
      <c r="H650" s="577">
        <v>9.5000000000000015E-3</v>
      </c>
      <c r="I650" s="577">
        <f t="shared" si="112"/>
        <v>-7.22E-2</v>
      </c>
      <c r="J650" s="577">
        <f t="shared" si="105"/>
        <v>-7.2579166666666667E-2</v>
      </c>
      <c r="K650" s="577">
        <f t="shared" si="106"/>
        <v>-0.06</v>
      </c>
      <c r="L650" s="585">
        <f t="shared" si="102"/>
        <v>0.15462408005802919</v>
      </c>
      <c r="M650" s="585">
        <f t="shared" si="103"/>
        <v>9.8400000000000015E-2</v>
      </c>
      <c r="N650" s="585">
        <f t="shared" si="107"/>
        <v>0.10295000000000001</v>
      </c>
      <c r="O650" s="586">
        <f t="shared" si="104"/>
        <v>5.6224080058029174E-2</v>
      </c>
      <c r="P650" s="585">
        <f t="shared" si="108"/>
        <v>5.1674080058029176E-2</v>
      </c>
      <c r="Q650" s="585">
        <f t="shared" si="109"/>
        <v>9.0359284727865807E-2</v>
      </c>
      <c r="R650" s="585">
        <f t="shared" si="110"/>
        <v>0.11400000000000002</v>
      </c>
      <c r="S650" s="586">
        <f t="shared" si="111"/>
        <v>-2.3640715272134211E-2</v>
      </c>
      <c r="U650" s="587"/>
      <c r="V650" s="587"/>
      <c r="W650" s="587"/>
      <c r="X650" s="587"/>
      <c r="Y650" s="587"/>
      <c r="Z650" s="587"/>
      <c r="AA650" s="587"/>
      <c r="AB650" s="587"/>
      <c r="AC650" s="587"/>
      <c r="AE650" s="587"/>
      <c r="AF650" s="587"/>
      <c r="AG650" s="587"/>
      <c r="AH650" s="587"/>
      <c r="AI650" s="587"/>
      <c r="AJ650" s="587"/>
      <c r="AK650" s="587"/>
      <c r="AL650" s="587"/>
      <c r="AM650" s="587"/>
      <c r="AO650" s="587"/>
      <c r="AP650" s="587"/>
      <c r="AQ650" s="587"/>
      <c r="AR650" s="587"/>
      <c r="AS650" s="587"/>
      <c r="AT650" s="587"/>
      <c r="AU650" s="587"/>
      <c r="AV650" s="587"/>
      <c r="AW650" s="587"/>
    </row>
    <row r="651" spans="1:49">
      <c r="A651" s="581">
        <v>29160</v>
      </c>
      <c r="B651" s="594">
        <v>4.7500000000000001E-2</v>
      </c>
      <c r="C651" s="577">
        <v>6.0699999999999997E-2</v>
      </c>
      <c r="D651" s="577">
        <v>8.3000000000000001E-3</v>
      </c>
      <c r="E651" s="577">
        <v>8.9666666666666662E-3</v>
      </c>
      <c r="F651" s="577">
        <v>9.3500000000000007E-3</v>
      </c>
      <c r="G651" s="577">
        <v>9.1583333333333326E-3</v>
      </c>
      <c r="H651" s="577">
        <v>9.9083333333333332E-3</v>
      </c>
      <c r="I651" s="577">
        <f t="shared" si="112"/>
        <v>3.9199999999999999E-2</v>
      </c>
      <c r="J651" s="577">
        <f t="shared" si="105"/>
        <v>3.834166666666667E-2</v>
      </c>
      <c r="K651" s="577">
        <f t="shared" si="106"/>
        <v>5.0791666666666666E-2</v>
      </c>
      <c r="L651" s="585">
        <f t="shared" si="102"/>
        <v>0.18401245605559025</v>
      </c>
      <c r="M651" s="585">
        <f t="shared" si="103"/>
        <v>9.9599999999999994E-2</v>
      </c>
      <c r="N651" s="585">
        <f t="shared" si="107"/>
        <v>0.1099</v>
      </c>
      <c r="O651" s="586">
        <f t="shared" si="104"/>
        <v>8.4412456055590251E-2</v>
      </c>
      <c r="P651" s="585">
        <f t="shared" si="108"/>
        <v>7.4112456055590248E-2</v>
      </c>
      <c r="Q651" s="585">
        <f t="shared" si="109"/>
        <v>0.11678649412016884</v>
      </c>
      <c r="R651" s="585">
        <f t="shared" si="110"/>
        <v>0.11890000000000001</v>
      </c>
      <c r="S651" s="586">
        <f t="shared" si="111"/>
        <v>-2.1135058798311679E-3</v>
      </c>
      <c r="U651" s="587"/>
      <c r="V651" s="587"/>
      <c r="W651" s="587"/>
      <c r="X651" s="587"/>
      <c r="Y651" s="587"/>
      <c r="Z651" s="587"/>
      <c r="AA651" s="587"/>
      <c r="AB651" s="587"/>
      <c r="AC651" s="587"/>
      <c r="AE651" s="587"/>
      <c r="AF651" s="587"/>
      <c r="AG651" s="587"/>
      <c r="AH651" s="587"/>
      <c r="AI651" s="587"/>
      <c r="AJ651" s="587"/>
      <c r="AK651" s="587"/>
      <c r="AL651" s="587"/>
      <c r="AM651" s="587"/>
      <c r="AO651" s="587"/>
      <c r="AP651" s="587"/>
      <c r="AQ651" s="587"/>
      <c r="AR651" s="587"/>
      <c r="AS651" s="587"/>
      <c r="AT651" s="587"/>
      <c r="AU651" s="587"/>
      <c r="AV651" s="587"/>
      <c r="AW651" s="587"/>
    </row>
    <row r="652" spans="1:49">
      <c r="A652" s="581">
        <v>29190</v>
      </c>
      <c r="B652" s="594">
        <v>2.1399999999999999E-2</v>
      </c>
      <c r="C652" s="577">
        <v>2.2000000000000006E-3</v>
      </c>
      <c r="D652" s="577">
        <v>8.3000000000000001E-3</v>
      </c>
      <c r="E652" s="577">
        <v>8.9499999999999996E-3</v>
      </c>
      <c r="F652" s="577">
        <v>9.2916666666666668E-3</v>
      </c>
      <c r="G652" s="577">
        <v>9.1208333333333332E-3</v>
      </c>
      <c r="H652" s="577">
        <v>1.0125E-2</v>
      </c>
      <c r="I652" s="577">
        <f t="shared" si="112"/>
        <v>1.3099999999999999E-2</v>
      </c>
      <c r="J652" s="577">
        <f t="shared" si="105"/>
        <v>1.2279166666666666E-2</v>
      </c>
      <c r="K652" s="577">
        <f t="shared" si="106"/>
        <v>-7.9249999999999998E-3</v>
      </c>
      <c r="L652" s="585">
        <f t="shared" si="102"/>
        <v>0.18610270950880725</v>
      </c>
      <c r="M652" s="585">
        <f t="shared" si="103"/>
        <v>9.9599999999999994E-2</v>
      </c>
      <c r="N652" s="585">
        <f t="shared" si="107"/>
        <v>0.10944999999999999</v>
      </c>
      <c r="O652" s="586">
        <f t="shared" si="104"/>
        <v>8.6502709508807257E-2</v>
      </c>
      <c r="P652" s="585">
        <f t="shared" si="108"/>
        <v>7.665270950880726E-2</v>
      </c>
      <c r="Q652" s="585">
        <f t="shared" si="109"/>
        <v>0.1361723930638854</v>
      </c>
      <c r="R652" s="585">
        <f t="shared" si="110"/>
        <v>0.1215</v>
      </c>
      <c r="S652" s="586">
        <f t="shared" si="111"/>
        <v>1.4672393063885403E-2</v>
      </c>
      <c r="U652" s="587"/>
      <c r="V652" s="587"/>
      <c r="W652" s="587"/>
      <c r="X652" s="587"/>
      <c r="Y652" s="587"/>
      <c r="Z652" s="587"/>
      <c r="AA652" s="587"/>
      <c r="AB652" s="587"/>
      <c r="AC652" s="587"/>
      <c r="AE652" s="587"/>
      <c r="AF652" s="587"/>
      <c r="AG652" s="587"/>
      <c r="AH652" s="587"/>
      <c r="AI652" s="587"/>
      <c r="AJ652" s="587"/>
      <c r="AK652" s="587"/>
      <c r="AL652" s="587"/>
      <c r="AM652" s="587"/>
      <c r="AO652" s="587"/>
      <c r="AP652" s="587"/>
      <c r="AQ652" s="587"/>
      <c r="AR652" s="587"/>
      <c r="AS652" s="587"/>
      <c r="AT652" s="587"/>
      <c r="AU652" s="587"/>
      <c r="AV652" s="587"/>
      <c r="AW652" s="587"/>
    </row>
    <row r="653" spans="1:49">
      <c r="A653" s="581">
        <v>29221</v>
      </c>
      <c r="B653" s="594">
        <v>6.2199999999999998E-2</v>
      </c>
      <c r="C653" s="577">
        <v>-2.3E-3</v>
      </c>
      <c r="D653" s="577">
        <v>8.3000000000000001E-3</v>
      </c>
      <c r="E653" s="577">
        <v>9.2416666666666671E-3</v>
      </c>
      <c r="F653" s="577">
        <v>9.633333333333334E-3</v>
      </c>
      <c r="G653" s="577">
        <v>9.4375000000000014E-3</v>
      </c>
      <c r="H653" s="577">
        <v>1.0177083333333335E-2</v>
      </c>
      <c r="I653" s="577">
        <f t="shared" si="112"/>
        <v>5.3899999999999997E-2</v>
      </c>
      <c r="J653" s="577">
        <f t="shared" si="105"/>
        <v>5.2762499999999997E-2</v>
      </c>
      <c r="K653" s="577">
        <f t="shared" si="106"/>
        <v>-1.2477083333333335E-2</v>
      </c>
      <c r="L653" s="585">
        <f t="shared" si="102"/>
        <v>0.20643330272934546</v>
      </c>
      <c r="M653" s="585">
        <f t="shared" si="103"/>
        <v>9.9599999999999994E-2</v>
      </c>
      <c r="N653" s="585">
        <f t="shared" si="107"/>
        <v>0.11325000000000002</v>
      </c>
      <c r="O653" s="586">
        <f t="shared" si="104"/>
        <v>0.10683330272934546</v>
      </c>
      <c r="P653" s="585">
        <f t="shared" si="108"/>
        <v>9.3183302729345441E-2</v>
      </c>
      <c r="Q653" s="585">
        <f t="shared" si="109"/>
        <v>6.0193786531835825E-2</v>
      </c>
      <c r="R653" s="585">
        <f t="shared" si="110"/>
        <v>0.12212500000000001</v>
      </c>
      <c r="S653" s="586">
        <f t="shared" si="111"/>
        <v>-6.1931213468164187E-2</v>
      </c>
      <c r="U653" s="587"/>
      <c r="V653" s="587"/>
      <c r="W653" s="587"/>
      <c r="X653" s="587"/>
      <c r="Y653" s="587"/>
      <c r="Z653" s="587"/>
      <c r="AA653" s="587"/>
      <c r="AB653" s="587"/>
      <c r="AC653" s="587"/>
      <c r="AE653" s="587"/>
      <c r="AF653" s="587"/>
      <c r="AG653" s="587"/>
      <c r="AH653" s="587"/>
      <c r="AI653" s="587"/>
      <c r="AJ653" s="587"/>
      <c r="AK653" s="587"/>
      <c r="AL653" s="587"/>
      <c r="AM653" s="587"/>
      <c r="AO653" s="587"/>
      <c r="AP653" s="587"/>
      <c r="AQ653" s="587"/>
      <c r="AR653" s="587"/>
      <c r="AS653" s="587"/>
      <c r="AT653" s="587"/>
      <c r="AU653" s="587"/>
      <c r="AV653" s="587"/>
      <c r="AW653" s="587"/>
    </row>
    <row r="654" spans="1:49">
      <c r="A654" s="581">
        <v>29252</v>
      </c>
      <c r="B654" s="594">
        <v>-1E-4</v>
      </c>
      <c r="C654" s="577">
        <v>-2.4700000000000003E-2</v>
      </c>
      <c r="D654" s="577">
        <v>8.3999999999999995E-3</v>
      </c>
      <c r="E654" s="577">
        <v>1.0316666666666667E-2</v>
      </c>
      <c r="F654" s="577">
        <v>1.0608333333333332E-2</v>
      </c>
      <c r="G654" s="577">
        <v>1.0462500000000001E-2</v>
      </c>
      <c r="H654" s="577">
        <v>1.1028333333333333E-2</v>
      </c>
      <c r="I654" s="577">
        <f t="shared" si="112"/>
        <v>-8.4999999999999989E-3</v>
      </c>
      <c r="J654" s="577">
        <f t="shared" si="105"/>
        <v>-1.0562500000000001E-2</v>
      </c>
      <c r="K654" s="577">
        <f t="shared" si="106"/>
        <v>-3.5728333333333334E-2</v>
      </c>
      <c r="L654" s="585">
        <f t="shared" si="102"/>
        <v>0.24631951585811751</v>
      </c>
      <c r="M654" s="585">
        <f t="shared" si="103"/>
        <v>0.1008</v>
      </c>
      <c r="N654" s="585">
        <f t="shared" si="107"/>
        <v>0.12555000000000002</v>
      </c>
      <c r="O654" s="586">
        <f t="shared" si="104"/>
        <v>0.14551951585811751</v>
      </c>
      <c r="P654" s="585">
        <f t="shared" si="108"/>
        <v>0.12076951585811749</v>
      </c>
      <c r="Q654" s="585">
        <f t="shared" si="109"/>
        <v>5.6402738051183787E-2</v>
      </c>
      <c r="R654" s="585">
        <f t="shared" si="110"/>
        <v>0.13233999999999999</v>
      </c>
      <c r="S654" s="586">
        <f t="shared" si="111"/>
        <v>-7.5937261948816198E-2</v>
      </c>
      <c r="U654" s="587"/>
      <c r="V654" s="587"/>
      <c r="W654" s="587"/>
      <c r="X654" s="587"/>
      <c r="Y654" s="587"/>
      <c r="Z654" s="587"/>
      <c r="AA654" s="587"/>
      <c r="AB654" s="587"/>
      <c r="AC654" s="587"/>
      <c r="AE654" s="587"/>
      <c r="AF654" s="587"/>
      <c r="AG654" s="587"/>
      <c r="AH654" s="587"/>
      <c r="AI654" s="587"/>
      <c r="AJ654" s="587"/>
      <c r="AK654" s="587"/>
      <c r="AL654" s="587"/>
      <c r="AM654" s="587"/>
      <c r="AO654" s="587"/>
      <c r="AP654" s="587"/>
      <c r="AQ654" s="587"/>
      <c r="AR654" s="587"/>
      <c r="AS654" s="587"/>
      <c r="AT654" s="587"/>
      <c r="AU654" s="587"/>
      <c r="AV654" s="587"/>
      <c r="AW654" s="587"/>
    </row>
    <row r="655" spans="1:49">
      <c r="A655" s="581">
        <v>29281</v>
      </c>
      <c r="B655" s="594">
        <v>-9.7199999999999995E-2</v>
      </c>
      <c r="C655" s="577">
        <v>-5.2900000000000003E-2</v>
      </c>
      <c r="D655" s="577">
        <v>9.9000000000000008E-3</v>
      </c>
      <c r="E655" s="577">
        <v>1.0800000000000001E-2</v>
      </c>
      <c r="F655" s="577">
        <v>1.1258333333333332E-2</v>
      </c>
      <c r="G655" s="577">
        <v>1.1029166666666668E-2</v>
      </c>
      <c r="H655" s="577">
        <v>1.2158333333333333E-2</v>
      </c>
      <c r="I655" s="577">
        <f t="shared" si="112"/>
        <v>-0.1071</v>
      </c>
      <c r="J655" s="577">
        <f t="shared" si="105"/>
        <v>-0.10822916666666667</v>
      </c>
      <c r="K655" s="577">
        <f t="shared" si="106"/>
        <v>-6.5058333333333329E-2</v>
      </c>
      <c r="L655" s="585">
        <f t="shared" si="102"/>
        <v>6.1888692824376035E-2</v>
      </c>
      <c r="M655" s="585">
        <f t="shared" si="103"/>
        <v>0.11880000000000002</v>
      </c>
      <c r="N655" s="585">
        <f t="shared" si="107"/>
        <v>0.13235000000000002</v>
      </c>
      <c r="O655" s="586">
        <f t="shared" si="104"/>
        <v>-5.6911307175623982E-2</v>
      </c>
      <c r="P655" s="585">
        <f t="shared" si="108"/>
        <v>-7.0461307175623988E-2</v>
      </c>
      <c r="Q655" s="585">
        <f t="shared" si="109"/>
        <v>-1.8714169077798659E-2</v>
      </c>
      <c r="R655" s="585">
        <f t="shared" si="110"/>
        <v>0.1459</v>
      </c>
      <c r="S655" s="586">
        <f t="shared" si="111"/>
        <v>-0.16461416907779866</v>
      </c>
      <c r="U655" s="587"/>
      <c r="V655" s="587"/>
      <c r="W655" s="587"/>
      <c r="X655" s="587"/>
      <c r="Y655" s="587"/>
      <c r="Z655" s="587"/>
      <c r="AA655" s="587"/>
      <c r="AB655" s="587"/>
      <c r="AC655" s="587"/>
      <c r="AE655" s="587"/>
      <c r="AF655" s="587"/>
      <c r="AG655" s="587"/>
      <c r="AH655" s="587"/>
      <c r="AI655" s="587"/>
      <c r="AJ655" s="587"/>
      <c r="AK655" s="587"/>
      <c r="AL655" s="587"/>
      <c r="AM655" s="587"/>
      <c r="AO655" s="587"/>
      <c r="AP655" s="587"/>
      <c r="AQ655" s="587"/>
      <c r="AR655" s="587"/>
      <c r="AS655" s="587"/>
      <c r="AT655" s="587"/>
      <c r="AU655" s="587"/>
      <c r="AV655" s="587"/>
      <c r="AW655" s="587"/>
    </row>
    <row r="656" spans="1:49">
      <c r="A656" s="581">
        <v>29312</v>
      </c>
      <c r="B656" s="594">
        <v>4.6199999999999998E-2</v>
      </c>
      <c r="C656" s="577">
        <v>0.1186</v>
      </c>
      <c r="D656" s="577">
        <v>0.01</v>
      </c>
      <c r="E656" s="577">
        <v>1.0033333333333332E-2</v>
      </c>
      <c r="F656" s="577">
        <v>1.0883333333333333E-2</v>
      </c>
      <c r="G656" s="577">
        <v>1.0458333333333333E-2</v>
      </c>
      <c r="H656" s="577">
        <v>1.1908333333333333E-2</v>
      </c>
      <c r="I656" s="577">
        <f t="shared" si="112"/>
        <v>3.6199999999999996E-2</v>
      </c>
      <c r="J656" s="577">
        <f t="shared" si="105"/>
        <v>3.5741666666666665E-2</v>
      </c>
      <c r="K656" s="577">
        <f t="shared" si="106"/>
        <v>0.10669166666666666</v>
      </c>
      <c r="L656" s="585">
        <f t="shared" ref="L656:L719" si="113">((1+B645)*(1+B646)*(1+B647)*(1+B648)*(1+B649)*(1+B650)*(1+B651)*(1+B652)*(1+B653)*(1+B654)*(1+B655)*(1+B656))-1</f>
        <v>0.10399279581920129</v>
      </c>
      <c r="M656" s="585">
        <f t="shared" ref="M656:M719" si="114">D656*12</f>
        <v>0.12</v>
      </c>
      <c r="N656" s="585">
        <f t="shared" si="107"/>
        <v>0.1255</v>
      </c>
      <c r="O656" s="586">
        <f t="shared" ref="O656:O719" si="115">L656-M656</f>
        <v>-1.6007204180798706E-2</v>
      </c>
      <c r="P656" s="585">
        <f t="shared" si="108"/>
        <v>-2.1507204180798711E-2</v>
      </c>
      <c r="Q656" s="585">
        <f t="shared" si="109"/>
        <v>0.12569616497751457</v>
      </c>
      <c r="R656" s="585">
        <f t="shared" si="110"/>
        <v>0.1429</v>
      </c>
      <c r="S656" s="586">
        <f t="shared" si="111"/>
        <v>-1.7203835022485431E-2</v>
      </c>
      <c r="U656" s="587"/>
      <c r="V656" s="587"/>
      <c r="W656" s="587"/>
      <c r="X656" s="587"/>
      <c r="Y656" s="587"/>
      <c r="Z656" s="587"/>
      <c r="AA656" s="587"/>
      <c r="AB656" s="587"/>
      <c r="AC656" s="587"/>
      <c r="AE656" s="587"/>
      <c r="AF656" s="587"/>
      <c r="AG656" s="587"/>
      <c r="AH656" s="587"/>
      <c r="AI656" s="587"/>
      <c r="AJ656" s="587"/>
      <c r="AK656" s="587"/>
      <c r="AL656" s="587"/>
      <c r="AM656" s="587"/>
      <c r="AO656" s="587"/>
      <c r="AP656" s="587"/>
      <c r="AQ656" s="587"/>
      <c r="AR656" s="587"/>
      <c r="AS656" s="587"/>
      <c r="AT656" s="587"/>
      <c r="AU656" s="587"/>
      <c r="AV656" s="587"/>
      <c r="AW656" s="587"/>
    </row>
    <row r="657" spans="1:49">
      <c r="A657" s="581">
        <v>29342</v>
      </c>
      <c r="B657" s="594">
        <v>5.1499999999999997E-2</v>
      </c>
      <c r="C657" s="577">
        <v>3.2299999999999995E-2</v>
      </c>
      <c r="D657" s="577">
        <v>8.6999999999999994E-3</v>
      </c>
      <c r="E657" s="577">
        <v>9.1583333333333343E-3</v>
      </c>
      <c r="F657" s="577">
        <v>9.9249999999999998E-3</v>
      </c>
      <c r="G657" s="577">
        <v>9.541666666666667E-3</v>
      </c>
      <c r="H657" s="577">
        <v>1.0613333333333334E-2</v>
      </c>
      <c r="I657" s="577">
        <f t="shared" si="112"/>
        <v>4.2799999999999998E-2</v>
      </c>
      <c r="J657" s="577">
        <f t="shared" si="105"/>
        <v>4.1958333333333334E-2</v>
      </c>
      <c r="K657" s="577">
        <f t="shared" si="106"/>
        <v>2.168666666666666E-2</v>
      </c>
      <c r="L657" s="585">
        <f t="shared" si="113"/>
        <v>0.18659759256249631</v>
      </c>
      <c r="M657" s="585">
        <f t="shared" si="114"/>
        <v>0.10439999999999999</v>
      </c>
      <c r="N657" s="585">
        <f t="shared" si="107"/>
        <v>0.1145</v>
      </c>
      <c r="O657" s="586">
        <f t="shared" si="115"/>
        <v>8.2197592562496313E-2</v>
      </c>
      <c r="P657" s="585">
        <f t="shared" si="108"/>
        <v>7.2097592562496302E-2</v>
      </c>
      <c r="Q657" s="585">
        <f t="shared" si="109"/>
        <v>0.14488290749388066</v>
      </c>
      <c r="R657" s="585">
        <f t="shared" si="110"/>
        <v>0.12736</v>
      </c>
      <c r="S657" s="586">
        <f t="shared" si="111"/>
        <v>1.7522907493880663E-2</v>
      </c>
      <c r="U657" s="587"/>
      <c r="V657" s="587"/>
      <c r="W657" s="587"/>
      <c r="X657" s="587"/>
      <c r="Y657" s="587"/>
      <c r="Z657" s="587"/>
      <c r="AA657" s="587"/>
      <c r="AB657" s="587"/>
      <c r="AC657" s="587"/>
      <c r="AE657" s="587"/>
      <c r="AF657" s="587"/>
      <c r="AG657" s="587"/>
      <c r="AH657" s="587"/>
      <c r="AI657" s="587"/>
      <c r="AJ657" s="587"/>
      <c r="AK657" s="587"/>
      <c r="AL657" s="587"/>
      <c r="AM657" s="587"/>
      <c r="AO657" s="587"/>
      <c r="AP657" s="587"/>
      <c r="AQ657" s="587"/>
      <c r="AR657" s="587"/>
      <c r="AS657" s="587"/>
      <c r="AT657" s="587"/>
      <c r="AU657" s="587"/>
      <c r="AV657" s="587"/>
      <c r="AW657" s="587"/>
    </row>
    <row r="658" spans="1:49">
      <c r="A658" s="581">
        <v>29373</v>
      </c>
      <c r="B658" s="594">
        <v>3.1600000000000003E-2</v>
      </c>
      <c r="C658" s="577">
        <v>3.3700000000000001E-2</v>
      </c>
      <c r="D658" s="577">
        <v>8.6E-3</v>
      </c>
      <c r="E658" s="577">
        <v>8.8166666666666671E-3</v>
      </c>
      <c r="F658" s="577">
        <v>9.4916666666666673E-3</v>
      </c>
      <c r="G658" s="577">
        <v>9.1541666666666681E-3</v>
      </c>
      <c r="H658" s="577">
        <v>1.033125E-2</v>
      </c>
      <c r="I658" s="577">
        <f t="shared" si="112"/>
        <v>2.3000000000000003E-2</v>
      </c>
      <c r="J658" s="577">
        <f t="shared" si="105"/>
        <v>2.2445833333333335E-2</v>
      </c>
      <c r="K658" s="577">
        <f t="shared" si="106"/>
        <v>2.3368750000000001E-2</v>
      </c>
      <c r="L658" s="585">
        <f t="shared" si="113"/>
        <v>0.17306571776470658</v>
      </c>
      <c r="M658" s="585">
        <f t="shared" si="114"/>
        <v>0.1032</v>
      </c>
      <c r="N658" s="585">
        <f t="shared" si="107"/>
        <v>0.10985000000000002</v>
      </c>
      <c r="O658" s="586">
        <f t="shared" si="115"/>
        <v>6.9865717764706584E-2</v>
      </c>
      <c r="P658" s="585">
        <f t="shared" si="108"/>
        <v>6.3215717764706567E-2</v>
      </c>
      <c r="Q658" s="585">
        <f t="shared" si="109"/>
        <v>0.13948147648413611</v>
      </c>
      <c r="R658" s="585">
        <f t="shared" si="110"/>
        <v>0.123975</v>
      </c>
      <c r="S658" s="586">
        <f t="shared" si="111"/>
        <v>1.5506476484136111E-2</v>
      </c>
      <c r="U658" s="587"/>
      <c r="V658" s="587"/>
      <c r="W658" s="587"/>
      <c r="X658" s="587"/>
      <c r="Y658" s="587"/>
      <c r="Z658" s="587"/>
      <c r="AA658" s="587"/>
      <c r="AB658" s="587"/>
      <c r="AC658" s="587"/>
      <c r="AE658" s="587"/>
      <c r="AF658" s="587"/>
      <c r="AG658" s="587"/>
      <c r="AH658" s="587"/>
      <c r="AI658" s="587"/>
      <c r="AJ658" s="587"/>
      <c r="AK658" s="587"/>
      <c r="AL658" s="587"/>
      <c r="AM658" s="587"/>
      <c r="AO658" s="587"/>
      <c r="AP658" s="587"/>
      <c r="AQ658" s="587"/>
      <c r="AR658" s="587"/>
      <c r="AS658" s="587"/>
      <c r="AT658" s="587"/>
      <c r="AU658" s="587"/>
      <c r="AV658" s="587"/>
      <c r="AW658" s="587"/>
    </row>
    <row r="659" spans="1:49">
      <c r="A659" s="581">
        <v>29403</v>
      </c>
      <c r="B659" s="594">
        <v>6.9599999999999995E-2</v>
      </c>
      <c r="C659" s="577">
        <v>-4.0999999999999995E-3</v>
      </c>
      <c r="D659" s="577">
        <v>8.3999999999999995E-3</v>
      </c>
      <c r="E659" s="577">
        <v>9.2250000000000006E-3</v>
      </c>
      <c r="F659" s="577">
        <v>9.5250000000000005E-3</v>
      </c>
      <c r="G659" s="577">
        <v>9.3749999999999997E-3</v>
      </c>
      <c r="H659" s="577">
        <v>1.0127083333333333E-2</v>
      </c>
      <c r="I659" s="577">
        <f t="shared" si="112"/>
        <v>6.1199999999999997E-2</v>
      </c>
      <c r="J659" s="577">
        <f t="shared" si="105"/>
        <v>6.0224999999999994E-2</v>
      </c>
      <c r="K659" s="577">
        <f t="shared" si="106"/>
        <v>-1.4227083333333333E-2</v>
      </c>
      <c r="L659" s="585">
        <f t="shared" si="113"/>
        <v>0.23812027996953811</v>
      </c>
      <c r="M659" s="585">
        <f t="shared" si="114"/>
        <v>0.1008</v>
      </c>
      <c r="N659" s="585">
        <f t="shared" si="107"/>
        <v>0.11249999999999999</v>
      </c>
      <c r="O659" s="586">
        <f t="shared" si="115"/>
        <v>0.13732027996953811</v>
      </c>
      <c r="P659" s="585">
        <f t="shared" si="108"/>
        <v>0.12562027996953812</v>
      </c>
      <c r="Q659" s="585">
        <f t="shared" si="109"/>
        <v>9.7282539577017602E-2</v>
      </c>
      <c r="R659" s="585">
        <f t="shared" si="110"/>
        <v>0.12152499999999999</v>
      </c>
      <c r="S659" s="586">
        <f t="shared" si="111"/>
        <v>-2.4242460422982393E-2</v>
      </c>
      <c r="U659" s="587"/>
      <c r="V659" s="587"/>
      <c r="W659" s="587"/>
      <c r="X659" s="587"/>
      <c r="Y659" s="587"/>
      <c r="Z659" s="587"/>
      <c r="AA659" s="587"/>
      <c r="AB659" s="587"/>
      <c r="AC659" s="587"/>
      <c r="AE659" s="587"/>
      <c r="AF659" s="587"/>
      <c r="AG659" s="587"/>
      <c r="AH659" s="587"/>
      <c r="AI659" s="587"/>
      <c r="AJ659" s="587"/>
      <c r="AK659" s="587"/>
      <c r="AL659" s="587"/>
      <c r="AM659" s="587"/>
      <c r="AO659" s="587"/>
      <c r="AP659" s="587"/>
      <c r="AQ659" s="587"/>
      <c r="AR659" s="587"/>
      <c r="AS659" s="587"/>
      <c r="AT659" s="587"/>
      <c r="AU659" s="587"/>
      <c r="AV659" s="587"/>
      <c r="AW659" s="587"/>
    </row>
    <row r="660" spans="1:49">
      <c r="A660" s="581">
        <v>29434</v>
      </c>
      <c r="B660" s="594">
        <v>1.01E-2</v>
      </c>
      <c r="C660" s="577">
        <v>-1.3899999999999999E-2</v>
      </c>
      <c r="D660" s="577">
        <v>8.0999999999999996E-3</v>
      </c>
      <c r="E660" s="577">
        <v>9.7000000000000003E-3</v>
      </c>
      <c r="F660" s="577">
        <v>1.0075000000000001E-2</v>
      </c>
      <c r="G660" s="577">
        <v>9.8875000000000005E-3</v>
      </c>
      <c r="H660" s="577">
        <v>1.0549999999999999E-2</v>
      </c>
      <c r="I660" s="577">
        <f t="shared" si="112"/>
        <v>2E-3</v>
      </c>
      <c r="J660" s="577">
        <f t="shared" si="105"/>
        <v>2.1249999999999915E-4</v>
      </c>
      <c r="K660" s="577">
        <f t="shared" si="106"/>
        <v>-2.445E-2</v>
      </c>
      <c r="L660" s="585">
        <f t="shared" si="113"/>
        <v>0.18240077034814273</v>
      </c>
      <c r="M660" s="585">
        <f t="shared" si="114"/>
        <v>9.7199999999999995E-2</v>
      </c>
      <c r="N660" s="585">
        <f t="shared" si="107"/>
        <v>0.11865000000000001</v>
      </c>
      <c r="O660" s="586">
        <f t="shared" si="115"/>
        <v>8.5200770348142732E-2</v>
      </c>
      <c r="P660" s="585">
        <f t="shared" si="108"/>
        <v>6.3750770348142721E-2</v>
      </c>
      <c r="Q660" s="585">
        <f t="shared" si="109"/>
        <v>7.1105040860123703E-2</v>
      </c>
      <c r="R660" s="585">
        <f t="shared" si="110"/>
        <v>0.12659999999999999</v>
      </c>
      <c r="S660" s="586">
        <f t="shared" si="111"/>
        <v>-5.5494959139876288E-2</v>
      </c>
      <c r="U660" s="587"/>
      <c r="V660" s="587"/>
      <c r="W660" s="587"/>
      <c r="X660" s="587"/>
      <c r="Y660" s="587"/>
      <c r="Z660" s="587"/>
      <c r="AA660" s="587"/>
      <c r="AB660" s="587"/>
      <c r="AC660" s="587"/>
      <c r="AE660" s="587"/>
      <c r="AF660" s="587"/>
      <c r="AG660" s="587"/>
      <c r="AH660" s="587"/>
      <c r="AI660" s="587"/>
      <c r="AJ660" s="587"/>
      <c r="AK660" s="587"/>
      <c r="AL660" s="587"/>
      <c r="AM660" s="587"/>
      <c r="AO660" s="587"/>
      <c r="AP660" s="587"/>
      <c r="AQ660" s="587"/>
      <c r="AR660" s="587"/>
      <c r="AS660" s="587"/>
      <c r="AT660" s="587"/>
      <c r="AU660" s="587"/>
      <c r="AV660" s="587"/>
      <c r="AW660" s="587"/>
    </row>
    <row r="661" spans="1:49">
      <c r="A661" s="581">
        <v>29465</v>
      </c>
      <c r="B661" s="594">
        <v>2.9399999999999999E-2</v>
      </c>
      <c r="C661" s="577">
        <v>-1.14E-2</v>
      </c>
      <c r="D661" s="577">
        <v>9.7000000000000003E-3</v>
      </c>
      <c r="E661" s="577">
        <v>1.0016666666666667E-2</v>
      </c>
      <c r="F661" s="577">
        <v>1.0433333333333333E-2</v>
      </c>
      <c r="G661" s="577">
        <v>1.0225E-2</v>
      </c>
      <c r="H661" s="577">
        <v>1.1077083333333333E-2</v>
      </c>
      <c r="I661" s="577">
        <f t="shared" si="112"/>
        <v>1.9699999999999999E-2</v>
      </c>
      <c r="J661" s="577">
        <f t="shared" si="105"/>
        <v>1.9174999999999998E-2</v>
      </c>
      <c r="K661" s="577">
        <f t="shared" si="106"/>
        <v>-2.2477083333333335E-2</v>
      </c>
      <c r="L661" s="585">
        <f t="shared" si="113"/>
        <v>0.21195195957022617</v>
      </c>
      <c r="M661" s="585">
        <f t="shared" si="114"/>
        <v>0.1164</v>
      </c>
      <c r="N661" s="585">
        <f t="shared" si="107"/>
        <v>0.1227</v>
      </c>
      <c r="O661" s="586">
        <f t="shared" si="115"/>
        <v>9.5551959570226164E-2</v>
      </c>
      <c r="P661" s="585">
        <f t="shared" si="108"/>
        <v>8.9251959570226164E-2</v>
      </c>
      <c r="Q661" s="585">
        <f t="shared" si="109"/>
        <v>7.7974593702858863E-2</v>
      </c>
      <c r="R661" s="585">
        <f t="shared" si="110"/>
        <v>0.13292499999999999</v>
      </c>
      <c r="S661" s="586">
        <f t="shared" si="111"/>
        <v>-5.4950406297141124E-2</v>
      </c>
      <c r="U661" s="587"/>
      <c r="V661" s="587"/>
      <c r="W661" s="587"/>
      <c r="X661" s="587"/>
      <c r="Y661" s="587"/>
      <c r="Z661" s="587"/>
      <c r="AA661" s="587"/>
      <c r="AB661" s="587"/>
      <c r="AC661" s="587"/>
      <c r="AE661" s="587"/>
      <c r="AF661" s="587"/>
      <c r="AG661" s="587"/>
      <c r="AH661" s="587"/>
      <c r="AI661" s="587"/>
      <c r="AJ661" s="587"/>
      <c r="AK661" s="587"/>
      <c r="AL661" s="587"/>
      <c r="AM661" s="587"/>
      <c r="AO661" s="587"/>
      <c r="AP661" s="587"/>
      <c r="AQ661" s="587"/>
      <c r="AR661" s="587"/>
      <c r="AS661" s="587"/>
      <c r="AT661" s="587"/>
      <c r="AU661" s="587"/>
      <c r="AV661" s="587"/>
      <c r="AW661" s="587"/>
    </row>
    <row r="662" spans="1:49">
      <c r="A662" s="581">
        <v>29495</v>
      </c>
      <c r="B662" s="594">
        <v>2.0199999999999999E-2</v>
      </c>
      <c r="C662" s="577">
        <v>2.7400000000000001E-2</v>
      </c>
      <c r="D662" s="577">
        <v>9.7000000000000003E-3</v>
      </c>
      <c r="E662" s="577">
        <v>1.0258333333333335E-2</v>
      </c>
      <c r="F662" s="577">
        <v>1.0566666666666667E-2</v>
      </c>
      <c r="G662" s="577">
        <v>1.04125E-2</v>
      </c>
      <c r="H662" s="577">
        <v>1.1279999999999998E-2</v>
      </c>
      <c r="I662" s="577">
        <f t="shared" si="112"/>
        <v>1.0499999999999999E-2</v>
      </c>
      <c r="J662" s="577">
        <f t="shared" si="105"/>
        <v>9.7874999999999993E-3</v>
      </c>
      <c r="K662" s="577">
        <f t="shared" si="106"/>
        <v>1.6120000000000002E-2</v>
      </c>
      <c r="L662" s="585">
        <f t="shared" si="113"/>
        <v>0.32097584311276184</v>
      </c>
      <c r="M662" s="585">
        <f t="shared" si="114"/>
        <v>0.1164</v>
      </c>
      <c r="N662" s="585">
        <f t="shared" si="107"/>
        <v>0.12495000000000001</v>
      </c>
      <c r="O662" s="586">
        <f t="shared" si="115"/>
        <v>0.20457584311276183</v>
      </c>
      <c r="P662" s="585">
        <f t="shared" si="108"/>
        <v>0.19602584311276183</v>
      </c>
      <c r="Q662" s="585">
        <f t="shared" si="109"/>
        <v>0.16641505799928114</v>
      </c>
      <c r="R662" s="585">
        <f t="shared" si="110"/>
        <v>0.13535999999999998</v>
      </c>
      <c r="S662" s="586">
        <f t="shared" si="111"/>
        <v>3.1055057999281155E-2</v>
      </c>
      <c r="U662" s="587"/>
      <c r="V662" s="587"/>
      <c r="W662" s="587"/>
      <c r="X662" s="587"/>
      <c r="Y662" s="587"/>
      <c r="Z662" s="587"/>
      <c r="AA662" s="587"/>
      <c r="AB662" s="587"/>
      <c r="AC662" s="587"/>
      <c r="AE662" s="587"/>
      <c r="AF662" s="587"/>
      <c r="AG662" s="587"/>
      <c r="AH662" s="587"/>
      <c r="AI662" s="587"/>
      <c r="AJ662" s="587"/>
      <c r="AK662" s="587"/>
      <c r="AL662" s="587"/>
      <c r="AM662" s="587"/>
      <c r="AO662" s="587"/>
      <c r="AP662" s="587"/>
      <c r="AQ662" s="587"/>
      <c r="AR662" s="587"/>
      <c r="AS662" s="587"/>
      <c r="AT662" s="587"/>
      <c r="AU662" s="587"/>
      <c r="AV662" s="587"/>
      <c r="AW662" s="587"/>
    </row>
    <row r="663" spans="1:49">
      <c r="A663" s="581">
        <v>29526</v>
      </c>
      <c r="B663" s="594">
        <v>0.1065</v>
      </c>
      <c r="C663" s="577">
        <v>5.0099999999999999E-2</v>
      </c>
      <c r="D663" s="577">
        <v>9.1000000000000004E-3</v>
      </c>
      <c r="E663" s="577">
        <v>1.0808333333333333E-2</v>
      </c>
      <c r="F663" s="577">
        <v>1.1116666666666665E-2</v>
      </c>
      <c r="G663" s="577">
        <v>1.09625E-2</v>
      </c>
      <c r="H663" s="577">
        <v>1.1677083333333333E-2</v>
      </c>
      <c r="I663" s="577">
        <f t="shared" si="112"/>
        <v>9.74E-2</v>
      </c>
      <c r="J663" s="577">
        <f t="shared" si="105"/>
        <v>9.5537499999999997E-2</v>
      </c>
      <c r="K663" s="577">
        <f t="shared" si="106"/>
        <v>3.8422916666666668E-2</v>
      </c>
      <c r="L663" s="585">
        <f t="shared" si="113"/>
        <v>0.39537925575586663</v>
      </c>
      <c r="M663" s="585">
        <f t="shared" si="114"/>
        <v>0.10920000000000001</v>
      </c>
      <c r="N663" s="585">
        <f t="shared" si="107"/>
        <v>0.13155</v>
      </c>
      <c r="O663" s="586">
        <f t="shared" si="115"/>
        <v>0.28617925575586661</v>
      </c>
      <c r="P663" s="585">
        <f t="shared" si="108"/>
        <v>0.26382925575586663</v>
      </c>
      <c r="Q663" s="585">
        <f t="shared" si="109"/>
        <v>0.15475860507687855</v>
      </c>
      <c r="R663" s="585">
        <f t="shared" si="110"/>
        <v>0.140125</v>
      </c>
      <c r="S663" s="586">
        <f t="shared" si="111"/>
        <v>1.4633605076878553E-2</v>
      </c>
      <c r="U663" s="587"/>
      <c r="V663" s="587"/>
      <c r="W663" s="587"/>
      <c r="X663" s="587"/>
      <c r="Y663" s="587"/>
      <c r="Z663" s="587"/>
      <c r="AA663" s="587"/>
      <c r="AB663" s="587"/>
      <c r="AC663" s="587"/>
      <c r="AE663" s="587"/>
      <c r="AF663" s="587"/>
      <c r="AG663" s="587"/>
      <c r="AH663" s="587"/>
      <c r="AI663" s="587"/>
      <c r="AJ663" s="587"/>
      <c r="AK663" s="587"/>
      <c r="AL663" s="587"/>
      <c r="AM663" s="587"/>
      <c r="AO663" s="587"/>
      <c r="AP663" s="587"/>
      <c r="AQ663" s="587"/>
      <c r="AR663" s="587"/>
      <c r="AS663" s="587"/>
      <c r="AT663" s="587"/>
      <c r="AU663" s="587"/>
      <c r="AV663" s="587"/>
      <c r="AW663" s="587"/>
    </row>
    <row r="664" spans="1:49">
      <c r="A664" s="581">
        <v>29556</v>
      </c>
      <c r="B664" s="594">
        <v>-3.0200000000000001E-2</v>
      </c>
      <c r="C664" s="577">
        <v>-1.4000000000000002E-3</v>
      </c>
      <c r="D664" s="577">
        <v>1.0800000000000001E-2</v>
      </c>
      <c r="E664" s="577">
        <v>1.1008333333333334E-2</v>
      </c>
      <c r="F664" s="577">
        <v>1.1483333333333332E-2</v>
      </c>
      <c r="G664" s="577">
        <v>1.1245833333333333E-2</v>
      </c>
      <c r="H664" s="577">
        <v>1.2216666666666667E-2</v>
      </c>
      <c r="I664" s="577">
        <f t="shared" si="112"/>
        <v>-4.1000000000000002E-2</v>
      </c>
      <c r="J664" s="577">
        <f t="shared" si="105"/>
        <v>-4.1445833333333335E-2</v>
      </c>
      <c r="K664" s="577">
        <f t="shared" si="106"/>
        <v>-1.3616666666666668E-2</v>
      </c>
      <c r="L664" s="585">
        <f t="shared" si="113"/>
        <v>0.32488623676526296</v>
      </c>
      <c r="M664" s="585">
        <f t="shared" si="114"/>
        <v>0.12959999999999999</v>
      </c>
      <c r="N664" s="585">
        <f t="shared" si="107"/>
        <v>0.13495000000000001</v>
      </c>
      <c r="O664" s="586">
        <f t="shared" si="115"/>
        <v>0.19528623676526297</v>
      </c>
      <c r="P664" s="585">
        <f t="shared" si="108"/>
        <v>0.18993623676526294</v>
      </c>
      <c r="Q664" s="585">
        <f t="shared" si="109"/>
        <v>0.15061059971040835</v>
      </c>
      <c r="R664" s="585">
        <f t="shared" si="110"/>
        <v>0.14660000000000001</v>
      </c>
      <c r="S664" s="586">
        <f t="shared" si="111"/>
        <v>4.0105997104083468E-3</v>
      </c>
      <c r="U664" s="587"/>
      <c r="V664" s="587"/>
      <c r="W664" s="587"/>
      <c r="X664" s="587"/>
      <c r="Y664" s="587"/>
      <c r="Z664" s="587"/>
      <c r="AA664" s="587"/>
      <c r="AB664" s="587"/>
      <c r="AC664" s="587"/>
      <c r="AE664" s="587"/>
      <c r="AF664" s="587"/>
      <c r="AG664" s="587"/>
      <c r="AH664" s="587"/>
      <c r="AI664" s="587"/>
      <c r="AJ664" s="587"/>
      <c r="AK664" s="587"/>
      <c r="AL664" s="587"/>
      <c r="AM664" s="587"/>
      <c r="AO664" s="587"/>
      <c r="AP664" s="587"/>
      <c r="AQ664" s="587"/>
      <c r="AR664" s="587"/>
      <c r="AS664" s="587"/>
      <c r="AT664" s="587"/>
      <c r="AU664" s="587"/>
      <c r="AV664" s="587"/>
      <c r="AW664" s="587"/>
    </row>
    <row r="665" spans="1:49">
      <c r="A665" s="581">
        <v>29587</v>
      </c>
      <c r="B665" s="594">
        <v>-4.1799999999999997E-2</v>
      </c>
      <c r="C665" s="577">
        <v>-1.8600000000000002E-2</v>
      </c>
      <c r="D665" s="577">
        <v>9.4000000000000004E-3</v>
      </c>
      <c r="E665" s="577">
        <v>1.0675E-2</v>
      </c>
      <c r="F665" s="577">
        <v>1.1266666666666668E-2</v>
      </c>
      <c r="G665" s="577">
        <v>1.0970833333333334E-2</v>
      </c>
      <c r="H665" s="577">
        <v>1.1894999999999999E-2</v>
      </c>
      <c r="I665" s="577">
        <f t="shared" si="112"/>
        <v>-5.1199999999999996E-2</v>
      </c>
      <c r="J665" s="577">
        <f t="shared" si="105"/>
        <v>-5.2770833333333329E-2</v>
      </c>
      <c r="K665" s="577">
        <f t="shared" si="106"/>
        <v>-3.0495000000000001E-2</v>
      </c>
      <c r="L665" s="585">
        <f t="shared" si="113"/>
        <v>0.19516662781818406</v>
      </c>
      <c r="M665" s="585">
        <f t="shared" si="114"/>
        <v>0.11280000000000001</v>
      </c>
      <c r="N665" s="585">
        <f t="shared" si="107"/>
        <v>0.13165000000000002</v>
      </c>
      <c r="O665" s="586">
        <f t="shared" si="115"/>
        <v>8.2366627818184046E-2</v>
      </c>
      <c r="P665" s="585">
        <f t="shared" si="108"/>
        <v>6.351662781818404E-2</v>
      </c>
      <c r="Q665" s="585">
        <f t="shared" si="109"/>
        <v>0.13181241110132769</v>
      </c>
      <c r="R665" s="585">
        <f t="shared" si="110"/>
        <v>0.14273999999999998</v>
      </c>
      <c r="S665" s="586">
        <f t="shared" si="111"/>
        <v>-1.0927588898672291E-2</v>
      </c>
      <c r="U665" s="587"/>
      <c r="V665" s="587"/>
      <c r="W665" s="587"/>
      <c r="X665" s="587"/>
      <c r="Y665" s="587"/>
      <c r="Z665" s="587"/>
      <c r="AA665" s="587"/>
      <c r="AB665" s="587"/>
      <c r="AC665" s="587"/>
      <c r="AE665" s="587"/>
      <c r="AF665" s="587"/>
      <c r="AG665" s="587"/>
      <c r="AH665" s="587"/>
      <c r="AI665" s="587"/>
      <c r="AJ665" s="587"/>
      <c r="AK665" s="587"/>
      <c r="AL665" s="587"/>
      <c r="AM665" s="587"/>
      <c r="AO665" s="587"/>
      <c r="AP665" s="587"/>
      <c r="AQ665" s="587"/>
      <c r="AR665" s="587"/>
      <c r="AS665" s="587"/>
      <c r="AT665" s="587"/>
      <c r="AU665" s="587"/>
      <c r="AV665" s="587"/>
      <c r="AW665" s="587"/>
    </row>
    <row r="666" spans="1:49">
      <c r="A666" s="581">
        <v>29618</v>
      </c>
      <c r="B666" s="594">
        <v>1.7399999999999999E-2</v>
      </c>
      <c r="C666" s="577">
        <v>-2.2400000000000003E-2</v>
      </c>
      <c r="D666" s="577">
        <v>8.8000000000000005E-3</v>
      </c>
      <c r="E666" s="577">
        <v>1.1125000000000001E-2</v>
      </c>
      <c r="F666" s="577">
        <v>1.1575E-2</v>
      </c>
      <c r="G666" s="577">
        <v>1.1350000000000001E-2</v>
      </c>
      <c r="H666" s="577">
        <v>1.2233333333333334E-2</v>
      </c>
      <c r="I666" s="577">
        <f t="shared" si="112"/>
        <v>8.5999999999999983E-3</v>
      </c>
      <c r="J666" s="577">
        <f t="shared" si="105"/>
        <v>6.0499999999999981E-3</v>
      </c>
      <c r="K666" s="577">
        <f t="shared" si="106"/>
        <v>-3.4633333333333335E-2</v>
      </c>
      <c r="L666" s="585">
        <f t="shared" si="113"/>
        <v>0.21608413555577588</v>
      </c>
      <c r="M666" s="585">
        <f t="shared" si="114"/>
        <v>0.1056</v>
      </c>
      <c r="N666" s="585">
        <f t="shared" si="107"/>
        <v>0.13620000000000002</v>
      </c>
      <c r="O666" s="586">
        <f t="shared" si="115"/>
        <v>0.11048413555577588</v>
      </c>
      <c r="P666" s="585">
        <f t="shared" si="108"/>
        <v>7.9884135555775865E-2</v>
      </c>
      <c r="Q666" s="585">
        <f t="shared" si="109"/>
        <v>0.13448150629822408</v>
      </c>
      <c r="R666" s="585">
        <f t="shared" si="110"/>
        <v>0.14680000000000001</v>
      </c>
      <c r="S666" s="586">
        <f t="shared" si="111"/>
        <v>-1.2318493701775929E-2</v>
      </c>
      <c r="U666" s="587"/>
      <c r="V666" s="587"/>
      <c r="W666" s="587"/>
      <c r="X666" s="587"/>
      <c r="Y666" s="587"/>
      <c r="Z666" s="587"/>
      <c r="AA666" s="587"/>
      <c r="AB666" s="587"/>
      <c r="AC666" s="587"/>
      <c r="AE666" s="587"/>
      <c r="AF666" s="587"/>
      <c r="AG666" s="587"/>
      <c r="AH666" s="587"/>
      <c r="AI666" s="587"/>
      <c r="AJ666" s="587"/>
      <c r="AK666" s="587"/>
      <c r="AL666" s="587"/>
      <c r="AM666" s="587"/>
      <c r="AO666" s="587"/>
      <c r="AP666" s="587"/>
      <c r="AQ666" s="587"/>
      <c r="AR666" s="587"/>
      <c r="AS666" s="587"/>
      <c r="AT666" s="587"/>
      <c r="AU666" s="587"/>
      <c r="AV666" s="587"/>
      <c r="AW666" s="587"/>
    </row>
    <row r="667" spans="1:49">
      <c r="A667" s="581">
        <v>29646</v>
      </c>
      <c r="B667" s="594">
        <v>0.04</v>
      </c>
      <c r="C667" s="577">
        <v>4.2000000000000003E-2</v>
      </c>
      <c r="D667" s="577">
        <v>1.11E-2</v>
      </c>
      <c r="E667" s="577">
        <v>1.1108333333333333E-2</v>
      </c>
      <c r="F667" s="577">
        <v>1.1583333333333334E-2</v>
      </c>
      <c r="G667" s="577">
        <v>1.1345833333333335E-2</v>
      </c>
      <c r="H667" s="577">
        <v>1.2604166666666668E-2</v>
      </c>
      <c r="I667" s="577">
        <f t="shared" si="112"/>
        <v>2.8900000000000002E-2</v>
      </c>
      <c r="J667" s="577">
        <f t="shared" si="105"/>
        <v>2.8654166666666668E-2</v>
      </c>
      <c r="K667" s="577">
        <f t="shared" si="106"/>
        <v>2.9395833333333336E-2</v>
      </c>
      <c r="L667" s="585">
        <f t="shared" si="113"/>
        <v>0.40089444060479296</v>
      </c>
      <c r="M667" s="585">
        <f t="shared" si="114"/>
        <v>0.13320000000000001</v>
      </c>
      <c r="N667" s="585">
        <f t="shared" si="107"/>
        <v>0.13615000000000002</v>
      </c>
      <c r="O667" s="586">
        <f t="shared" si="115"/>
        <v>0.26769444060479297</v>
      </c>
      <c r="P667" s="585">
        <f t="shared" si="108"/>
        <v>0.26474444060479296</v>
      </c>
      <c r="Q667" s="585">
        <f t="shared" si="109"/>
        <v>0.24815724798094108</v>
      </c>
      <c r="R667" s="585">
        <f t="shared" si="110"/>
        <v>0.15125000000000002</v>
      </c>
      <c r="S667" s="586">
        <f t="shared" si="111"/>
        <v>9.6907247980941053E-2</v>
      </c>
      <c r="U667" s="587"/>
      <c r="V667" s="587"/>
      <c r="W667" s="587"/>
      <c r="X667" s="587"/>
      <c r="Y667" s="587"/>
      <c r="Z667" s="587"/>
      <c r="AA667" s="587"/>
      <c r="AB667" s="587"/>
      <c r="AC667" s="587"/>
      <c r="AE667" s="587"/>
      <c r="AF667" s="587"/>
      <c r="AG667" s="587"/>
      <c r="AH667" s="587"/>
      <c r="AI667" s="587"/>
      <c r="AJ667" s="587"/>
      <c r="AK667" s="587"/>
      <c r="AL667" s="587"/>
      <c r="AM667" s="587"/>
      <c r="AO667" s="587"/>
      <c r="AP667" s="587"/>
      <c r="AQ667" s="587"/>
      <c r="AR667" s="587"/>
      <c r="AS667" s="587"/>
      <c r="AT667" s="587"/>
      <c r="AU667" s="587"/>
      <c r="AV667" s="587"/>
      <c r="AW667" s="587"/>
    </row>
    <row r="668" spans="1:49">
      <c r="A668" s="581">
        <v>29677</v>
      </c>
      <c r="B668" s="594">
        <v>-1.9300000000000001E-2</v>
      </c>
      <c r="C668" s="577">
        <v>-9.5999999999999992E-3</v>
      </c>
      <c r="D668" s="577">
        <v>1.01E-2</v>
      </c>
      <c r="E668" s="577">
        <v>1.1566666666666668E-2</v>
      </c>
      <c r="F668" s="577">
        <v>1.1991666666666668E-2</v>
      </c>
      <c r="G668" s="577">
        <v>1.1779166666666667E-2</v>
      </c>
      <c r="H668" s="577">
        <v>1.2708333333333332E-2</v>
      </c>
      <c r="I668" s="577">
        <f t="shared" si="112"/>
        <v>-2.9400000000000003E-2</v>
      </c>
      <c r="J668" s="577">
        <f t="shared" si="105"/>
        <v>-3.1079166666666668E-2</v>
      </c>
      <c r="K668" s="577">
        <f t="shared" si="106"/>
        <v>-2.2308333333333333E-2</v>
      </c>
      <c r="L668" s="585">
        <f t="shared" si="113"/>
        <v>0.31318789705708339</v>
      </c>
      <c r="M668" s="585">
        <f t="shared" si="114"/>
        <v>0.1212</v>
      </c>
      <c r="N668" s="585">
        <f t="shared" si="107"/>
        <v>0.14135</v>
      </c>
      <c r="O668" s="586">
        <f t="shared" si="115"/>
        <v>0.19198789705708338</v>
      </c>
      <c r="P668" s="585">
        <f t="shared" si="108"/>
        <v>0.17183789705708338</v>
      </c>
      <c r="Q668" s="585">
        <f t="shared" si="109"/>
        <v>0.10510900983401039</v>
      </c>
      <c r="R668" s="585">
        <f t="shared" si="110"/>
        <v>0.15249999999999997</v>
      </c>
      <c r="S668" s="586">
        <f t="shared" si="111"/>
        <v>-4.7390990165989577E-2</v>
      </c>
      <c r="U668" s="587"/>
      <c r="V668" s="587"/>
      <c r="W668" s="587"/>
      <c r="X668" s="587"/>
      <c r="Y668" s="587"/>
      <c r="Z668" s="587"/>
      <c r="AA668" s="587"/>
      <c r="AB668" s="587"/>
      <c r="AC668" s="587"/>
      <c r="AE668" s="587"/>
      <c r="AF668" s="587"/>
      <c r="AG668" s="587"/>
      <c r="AH668" s="587"/>
      <c r="AI668" s="587"/>
      <c r="AJ668" s="587"/>
      <c r="AK668" s="587"/>
      <c r="AL668" s="587"/>
      <c r="AM668" s="587"/>
      <c r="AO668" s="587"/>
      <c r="AP668" s="587"/>
      <c r="AQ668" s="587"/>
      <c r="AR668" s="587"/>
      <c r="AS668" s="587"/>
      <c r="AT668" s="587"/>
      <c r="AU668" s="587"/>
      <c r="AV668" s="587"/>
      <c r="AW668" s="587"/>
    </row>
    <row r="669" spans="1:49">
      <c r="A669" s="581">
        <v>29707</v>
      </c>
      <c r="B669" s="594">
        <v>2.5999999999999999E-3</v>
      </c>
      <c r="C669" s="577">
        <v>2.9100000000000001E-2</v>
      </c>
      <c r="D669" s="577">
        <v>1.04E-2</v>
      </c>
      <c r="E669" s="577">
        <v>1.1933333333333334E-2</v>
      </c>
      <c r="F669" s="577">
        <v>1.24E-2</v>
      </c>
      <c r="G669" s="577">
        <v>1.2166666666666668E-2</v>
      </c>
      <c r="H669" s="577">
        <v>1.3429999999999999E-2</v>
      </c>
      <c r="I669" s="577">
        <f t="shared" si="112"/>
        <v>-7.7999999999999996E-3</v>
      </c>
      <c r="J669" s="577">
        <f t="shared" ref="J669:J732" si="116">B669-G669</f>
        <v>-9.5666666666666678E-3</v>
      </c>
      <c r="K669" s="577">
        <f t="shared" ref="K669:K732" si="117">$C669-H669</f>
        <v>1.5670000000000003E-2</v>
      </c>
      <c r="L669" s="585">
        <f t="shared" si="113"/>
        <v>0.25211810327097628</v>
      </c>
      <c r="M669" s="585">
        <f t="shared" si="114"/>
        <v>0.12479999999999999</v>
      </c>
      <c r="N669" s="585">
        <f t="shared" si="107"/>
        <v>0.14600000000000002</v>
      </c>
      <c r="O669" s="586">
        <f t="shared" si="115"/>
        <v>0.12731810327097628</v>
      </c>
      <c r="P669" s="585">
        <f t="shared" si="108"/>
        <v>0.10611810327097626</v>
      </c>
      <c r="Q669" s="585">
        <f t="shared" si="109"/>
        <v>0.10168331107253747</v>
      </c>
      <c r="R669" s="585">
        <f t="shared" si="110"/>
        <v>0.16116</v>
      </c>
      <c r="S669" s="586">
        <f t="shared" si="111"/>
        <v>-5.9476688927462523E-2</v>
      </c>
      <c r="U669" s="587"/>
      <c r="V669" s="587"/>
      <c r="W669" s="587"/>
      <c r="X669" s="587"/>
      <c r="Y669" s="587"/>
      <c r="Z669" s="587"/>
      <c r="AA669" s="587"/>
      <c r="AB669" s="587"/>
      <c r="AC669" s="587"/>
      <c r="AE669" s="587"/>
      <c r="AF669" s="587"/>
      <c r="AG669" s="587"/>
      <c r="AH669" s="587"/>
      <c r="AI669" s="587"/>
      <c r="AJ669" s="587"/>
      <c r="AK669" s="587"/>
      <c r="AL669" s="587"/>
      <c r="AM669" s="587"/>
      <c r="AO669" s="587"/>
      <c r="AP669" s="587"/>
      <c r="AQ669" s="587"/>
      <c r="AR669" s="587"/>
      <c r="AS669" s="587"/>
      <c r="AT669" s="587"/>
      <c r="AU669" s="587"/>
      <c r="AV669" s="587"/>
      <c r="AW669" s="587"/>
    </row>
    <row r="670" spans="1:49">
      <c r="A670" s="581">
        <v>29738</v>
      </c>
      <c r="B670" s="594">
        <v>-6.3E-3</v>
      </c>
      <c r="C670" s="577">
        <v>2.7200000000000002E-2</v>
      </c>
      <c r="D670" s="577">
        <v>1.09E-2</v>
      </c>
      <c r="E670" s="577">
        <v>1.1458333333333333E-2</v>
      </c>
      <c r="F670" s="577">
        <v>1.2008333333333334E-2</v>
      </c>
      <c r="G670" s="577">
        <v>1.1733333333333333E-2</v>
      </c>
      <c r="H670" s="577">
        <v>1.3160416666666667E-2</v>
      </c>
      <c r="I670" s="577">
        <f t="shared" si="112"/>
        <v>-1.72E-2</v>
      </c>
      <c r="J670" s="577">
        <f t="shared" si="116"/>
        <v>-1.8033333333333332E-2</v>
      </c>
      <c r="K670" s="577">
        <f t="shared" si="117"/>
        <v>1.4039583333333334E-2</v>
      </c>
      <c r="L670" s="585">
        <f t="shared" si="113"/>
        <v>0.20611647849977599</v>
      </c>
      <c r="M670" s="585">
        <f t="shared" si="114"/>
        <v>0.1308</v>
      </c>
      <c r="N670" s="585">
        <f t="shared" si="107"/>
        <v>0.14080000000000001</v>
      </c>
      <c r="O670" s="586">
        <f t="shared" si="115"/>
        <v>7.5316478499775991E-2</v>
      </c>
      <c r="P670" s="585">
        <f t="shared" si="108"/>
        <v>6.5316478499775982E-2</v>
      </c>
      <c r="Q670" s="585">
        <f t="shared" si="109"/>
        <v>9.4755825804111904E-2</v>
      </c>
      <c r="R670" s="585">
        <f t="shared" si="110"/>
        <v>0.15792500000000001</v>
      </c>
      <c r="S670" s="586">
        <f t="shared" si="111"/>
        <v>-6.3169174195888106E-2</v>
      </c>
      <c r="U670" s="587"/>
      <c r="V670" s="587"/>
      <c r="W670" s="587"/>
      <c r="X670" s="587"/>
      <c r="Y670" s="587"/>
      <c r="Z670" s="587"/>
      <c r="AA670" s="587"/>
      <c r="AB670" s="587"/>
      <c r="AC670" s="587"/>
      <c r="AE670" s="587"/>
      <c r="AF670" s="587"/>
      <c r="AG670" s="587"/>
      <c r="AH670" s="587"/>
      <c r="AI670" s="587"/>
      <c r="AJ670" s="587"/>
      <c r="AK670" s="587"/>
      <c r="AL670" s="587"/>
      <c r="AM670" s="587"/>
      <c r="AO670" s="587"/>
      <c r="AP670" s="587"/>
      <c r="AQ670" s="587"/>
      <c r="AR670" s="587"/>
      <c r="AS670" s="587"/>
      <c r="AT670" s="587"/>
      <c r="AU670" s="587"/>
      <c r="AV670" s="587"/>
      <c r="AW670" s="587"/>
    </row>
    <row r="671" spans="1:49">
      <c r="A671" s="581">
        <v>29768</v>
      </c>
      <c r="B671" s="594">
        <v>2.0999999999999999E-3</v>
      </c>
      <c r="C671" s="577">
        <v>3.4099999999999998E-2</v>
      </c>
      <c r="D671" s="577">
        <v>1.09E-2</v>
      </c>
      <c r="E671" s="577">
        <v>1.1983333333333335E-2</v>
      </c>
      <c r="F671" s="577">
        <v>1.2324999999999999E-2</v>
      </c>
      <c r="G671" s="577">
        <v>1.2154166666666666E-2</v>
      </c>
      <c r="H671" s="577">
        <v>1.3393333333333333E-2</v>
      </c>
      <c r="I671" s="577">
        <f t="shared" si="112"/>
        <v>-8.8000000000000005E-3</v>
      </c>
      <c r="J671" s="577">
        <f t="shared" si="116"/>
        <v>-1.0054166666666666E-2</v>
      </c>
      <c r="K671" s="577">
        <f t="shared" si="117"/>
        <v>2.0706666666666665E-2</v>
      </c>
      <c r="L671" s="585">
        <f t="shared" si="113"/>
        <v>0.13000123700881239</v>
      </c>
      <c r="M671" s="585">
        <f t="shared" si="114"/>
        <v>0.1308</v>
      </c>
      <c r="N671" s="585">
        <f t="shared" si="107"/>
        <v>0.14584999999999998</v>
      </c>
      <c r="O671" s="586">
        <f t="shared" si="115"/>
        <v>-7.9876299118761263E-4</v>
      </c>
      <c r="P671" s="585">
        <f t="shared" si="108"/>
        <v>-1.5848762991187593E-2</v>
      </c>
      <c r="Q671" s="585">
        <f t="shared" si="109"/>
        <v>0.13674766489008139</v>
      </c>
      <c r="R671" s="585">
        <f t="shared" si="110"/>
        <v>0.16072</v>
      </c>
      <c r="S671" s="586">
        <f t="shared" si="111"/>
        <v>-2.3972335109918613E-2</v>
      </c>
      <c r="U671" s="587"/>
      <c r="V671" s="587"/>
      <c r="W671" s="587"/>
      <c r="X671" s="587"/>
      <c r="Y671" s="587"/>
      <c r="Z671" s="587"/>
      <c r="AA671" s="587"/>
      <c r="AB671" s="587"/>
      <c r="AC671" s="587"/>
      <c r="AE671" s="587"/>
      <c r="AF671" s="587"/>
      <c r="AG671" s="587"/>
      <c r="AH671" s="587"/>
      <c r="AI671" s="587"/>
      <c r="AJ671" s="587"/>
      <c r="AK671" s="587"/>
      <c r="AL671" s="587"/>
      <c r="AM671" s="587"/>
      <c r="AO671" s="587"/>
      <c r="AP671" s="587"/>
      <c r="AQ671" s="587"/>
      <c r="AR671" s="587"/>
      <c r="AS671" s="587"/>
      <c r="AT671" s="587"/>
      <c r="AU671" s="587"/>
      <c r="AV671" s="587"/>
      <c r="AW671" s="587"/>
    </row>
    <row r="672" spans="1:49">
      <c r="A672" s="581">
        <v>29799</v>
      </c>
      <c r="B672" s="594">
        <v>-5.7700000000000001E-2</v>
      </c>
      <c r="C672" s="577">
        <v>-2.3999999999999994E-3</v>
      </c>
      <c r="D672" s="577">
        <v>1.0999999999999999E-2</v>
      </c>
      <c r="E672" s="577">
        <v>1.2408333333333334E-2</v>
      </c>
      <c r="F672" s="577">
        <v>1.2849999999999999E-2</v>
      </c>
      <c r="G672" s="577">
        <v>1.2629166666666667E-2</v>
      </c>
      <c r="H672" s="577">
        <v>1.3706250000000001E-2</v>
      </c>
      <c r="I672" s="577">
        <f t="shared" si="112"/>
        <v>-6.8699999999999997E-2</v>
      </c>
      <c r="J672" s="577">
        <f t="shared" si="116"/>
        <v>-7.0329166666666665E-2</v>
      </c>
      <c r="K672" s="577">
        <f t="shared" si="117"/>
        <v>-1.6106250000000003E-2</v>
      </c>
      <c r="L672" s="585">
        <f t="shared" si="113"/>
        <v>5.4153218130288172E-2</v>
      </c>
      <c r="M672" s="585">
        <f t="shared" si="114"/>
        <v>0.13200000000000001</v>
      </c>
      <c r="N672" s="585">
        <f t="shared" si="107"/>
        <v>0.15155000000000002</v>
      </c>
      <c r="O672" s="586">
        <f t="shared" si="115"/>
        <v>-7.7846781869711834E-2</v>
      </c>
      <c r="P672" s="585">
        <f t="shared" si="108"/>
        <v>-9.7396781869711846E-2</v>
      </c>
      <c r="Q672" s="585">
        <f t="shared" si="109"/>
        <v>0.15000453351013587</v>
      </c>
      <c r="R672" s="585">
        <f t="shared" si="110"/>
        <v>0.16447500000000001</v>
      </c>
      <c r="S672" s="586">
        <f t="shared" si="111"/>
        <v>-1.4470466489864137E-2</v>
      </c>
      <c r="U672" s="587"/>
      <c r="V672" s="587"/>
      <c r="W672" s="587"/>
      <c r="X672" s="587"/>
      <c r="Y672" s="587"/>
      <c r="Z672" s="587"/>
      <c r="AA672" s="587"/>
      <c r="AB672" s="587"/>
      <c r="AC672" s="587"/>
      <c r="AE672" s="587"/>
      <c r="AF672" s="587"/>
      <c r="AG672" s="587"/>
      <c r="AH672" s="587"/>
      <c r="AI672" s="587"/>
      <c r="AJ672" s="587"/>
      <c r="AK672" s="587"/>
      <c r="AL672" s="587"/>
      <c r="AM672" s="587"/>
      <c r="AO672" s="587"/>
      <c r="AP672" s="587"/>
      <c r="AQ672" s="587"/>
      <c r="AR672" s="587"/>
      <c r="AS672" s="587"/>
      <c r="AT672" s="587"/>
      <c r="AU672" s="587"/>
      <c r="AV672" s="587"/>
      <c r="AW672" s="587"/>
    </row>
    <row r="673" spans="1:49">
      <c r="A673" s="581">
        <v>29830</v>
      </c>
      <c r="B673" s="594">
        <v>-4.9299999999999997E-2</v>
      </c>
      <c r="C673" s="577">
        <v>-4.0899999999999999E-2</v>
      </c>
      <c r="D673" s="577">
        <v>1.14E-2</v>
      </c>
      <c r="E673" s="577">
        <v>1.2908333333333332E-2</v>
      </c>
      <c r="F673" s="577">
        <v>1.3291666666666667E-2</v>
      </c>
      <c r="G673" s="577">
        <v>1.3100000000000001E-2</v>
      </c>
      <c r="H673" s="577">
        <v>1.4191666666666667E-2</v>
      </c>
      <c r="I673" s="577">
        <f t="shared" si="112"/>
        <v>-6.0699999999999997E-2</v>
      </c>
      <c r="J673" s="577">
        <f t="shared" si="116"/>
        <v>-6.2399999999999997E-2</v>
      </c>
      <c r="K673" s="577">
        <f t="shared" si="117"/>
        <v>-5.5091666666666664E-2</v>
      </c>
      <c r="L673" s="585">
        <f t="shared" si="113"/>
        <v>-2.6439222385404415E-2</v>
      </c>
      <c r="M673" s="585">
        <f t="shared" si="114"/>
        <v>0.1368</v>
      </c>
      <c r="N673" s="585">
        <f t="shared" si="107"/>
        <v>0.15720000000000001</v>
      </c>
      <c r="O673" s="586">
        <f t="shared" si="115"/>
        <v>-0.16323922238540442</v>
      </c>
      <c r="P673" s="585">
        <f t="shared" si="108"/>
        <v>-0.18363922238540442</v>
      </c>
      <c r="Q673" s="585">
        <f t="shared" si="109"/>
        <v>0.11568819349541881</v>
      </c>
      <c r="R673" s="585">
        <f t="shared" si="110"/>
        <v>0.17030000000000001</v>
      </c>
      <c r="S673" s="586">
        <f t="shared" si="111"/>
        <v>-5.4611806504581195E-2</v>
      </c>
      <c r="U673" s="587"/>
      <c r="V673" s="587"/>
      <c r="W673" s="587"/>
      <c r="X673" s="587"/>
      <c r="Y673" s="587"/>
      <c r="Z673" s="587"/>
      <c r="AA673" s="587"/>
      <c r="AB673" s="587"/>
      <c r="AC673" s="587"/>
      <c r="AE673" s="587"/>
      <c r="AF673" s="587"/>
      <c r="AG673" s="587"/>
      <c r="AH673" s="587"/>
      <c r="AI673" s="587"/>
      <c r="AJ673" s="587"/>
      <c r="AK673" s="587"/>
      <c r="AL673" s="587"/>
      <c r="AM673" s="587"/>
      <c r="AO673" s="587"/>
      <c r="AP673" s="587"/>
      <c r="AQ673" s="587"/>
      <c r="AR673" s="587"/>
      <c r="AS673" s="587"/>
      <c r="AT673" s="587"/>
      <c r="AU673" s="587"/>
      <c r="AV673" s="587"/>
      <c r="AW673" s="587"/>
    </row>
    <row r="674" spans="1:49">
      <c r="A674" s="581">
        <v>29860</v>
      </c>
      <c r="B674" s="594">
        <v>5.3999999999999999E-2</v>
      </c>
      <c r="C674" s="577">
        <v>6.1699999999999998E-2</v>
      </c>
      <c r="D674" s="577">
        <v>1.1699999999999999E-2</v>
      </c>
      <c r="E674" s="577">
        <v>1.2833333333333334E-2</v>
      </c>
      <c r="F674" s="577">
        <v>1.3183333333333333E-2</v>
      </c>
      <c r="G674" s="577">
        <v>1.3008333333333334E-2</v>
      </c>
      <c r="H674" s="577">
        <v>1.4379166666666665E-2</v>
      </c>
      <c r="I674" s="577">
        <f t="shared" si="112"/>
        <v>4.2300000000000004E-2</v>
      </c>
      <c r="J674" s="577">
        <f t="shared" si="116"/>
        <v>4.0991666666666662E-2</v>
      </c>
      <c r="K674" s="577">
        <f t="shared" si="117"/>
        <v>4.7320833333333333E-2</v>
      </c>
      <c r="L674" s="585">
        <f t="shared" si="113"/>
        <v>5.8155847929657334E-3</v>
      </c>
      <c r="M674" s="585">
        <f t="shared" si="114"/>
        <v>0.14039999999999997</v>
      </c>
      <c r="N674" s="585">
        <f t="shared" si="107"/>
        <v>0.15610000000000002</v>
      </c>
      <c r="O674" s="586">
        <f t="shared" si="115"/>
        <v>-0.13458441520703424</v>
      </c>
      <c r="P674" s="585">
        <f t="shared" si="108"/>
        <v>-0.15028441520703428</v>
      </c>
      <c r="Q674" s="585">
        <f t="shared" si="109"/>
        <v>0.1529357164046008</v>
      </c>
      <c r="R674" s="585">
        <f t="shared" si="110"/>
        <v>0.17254999999999998</v>
      </c>
      <c r="S674" s="586">
        <f t="shared" si="111"/>
        <v>-1.9614283595399185E-2</v>
      </c>
      <c r="U674" s="587"/>
      <c r="V674" s="587"/>
      <c r="W674" s="587"/>
      <c r="X674" s="587"/>
      <c r="Y674" s="587"/>
      <c r="Z674" s="587"/>
      <c r="AA674" s="587"/>
      <c r="AB674" s="587"/>
      <c r="AC674" s="587"/>
      <c r="AE674" s="587"/>
      <c r="AF674" s="587"/>
      <c r="AG674" s="587"/>
      <c r="AH674" s="587"/>
      <c r="AI674" s="587"/>
      <c r="AJ674" s="587"/>
      <c r="AK674" s="587"/>
      <c r="AL674" s="587"/>
      <c r="AM674" s="587"/>
      <c r="AO674" s="587"/>
      <c r="AP674" s="587"/>
      <c r="AQ674" s="587"/>
      <c r="AR674" s="587"/>
      <c r="AS674" s="587"/>
      <c r="AT674" s="587"/>
      <c r="AU674" s="587"/>
      <c r="AV674" s="587"/>
      <c r="AW674" s="587"/>
    </row>
    <row r="675" spans="1:49">
      <c r="A675" s="581">
        <v>29891</v>
      </c>
      <c r="B675" s="594">
        <v>4.1300000000000003E-2</v>
      </c>
      <c r="C675" s="577">
        <v>4.8100000000000004E-2</v>
      </c>
      <c r="D675" s="577">
        <v>1.1299999999999999E-2</v>
      </c>
      <c r="E675" s="577">
        <v>1.1850000000000001E-2</v>
      </c>
      <c r="F675" s="577">
        <v>1.2475E-2</v>
      </c>
      <c r="G675" s="577">
        <v>1.21625E-2</v>
      </c>
      <c r="H675" s="577">
        <v>1.3679166666666666E-2</v>
      </c>
      <c r="I675" s="577">
        <f t="shared" si="112"/>
        <v>3.0000000000000006E-2</v>
      </c>
      <c r="J675" s="577">
        <f t="shared" si="116"/>
        <v>2.9137500000000004E-2</v>
      </c>
      <c r="K675" s="577">
        <f t="shared" si="117"/>
        <v>3.4420833333333338E-2</v>
      </c>
      <c r="L675" s="585">
        <f t="shared" si="113"/>
        <v>-5.3451632675178051E-2</v>
      </c>
      <c r="M675" s="585">
        <f t="shared" si="114"/>
        <v>0.1356</v>
      </c>
      <c r="N675" s="585">
        <f t="shared" si="107"/>
        <v>0.14595</v>
      </c>
      <c r="O675" s="586">
        <f t="shared" si="115"/>
        <v>-0.18905163267517805</v>
      </c>
      <c r="P675" s="585">
        <f t="shared" si="108"/>
        <v>-0.19940163267517805</v>
      </c>
      <c r="Q675" s="585">
        <f t="shared" si="109"/>
        <v>0.15073985750277274</v>
      </c>
      <c r="R675" s="585">
        <f t="shared" si="110"/>
        <v>0.16414999999999999</v>
      </c>
      <c r="S675" s="586">
        <f t="shared" si="111"/>
        <v>-1.3410142497227245E-2</v>
      </c>
      <c r="U675" s="587"/>
      <c r="V675" s="587"/>
      <c r="W675" s="587"/>
      <c r="X675" s="587"/>
      <c r="Y675" s="587"/>
      <c r="Z675" s="587"/>
      <c r="AA675" s="587"/>
      <c r="AB675" s="587"/>
      <c r="AC675" s="587"/>
      <c r="AE675" s="587"/>
      <c r="AF675" s="587"/>
      <c r="AG675" s="587"/>
      <c r="AH675" s="587"/>
      <c r="AI675" s="587"/>
      <c r="AJ675" s="587"/>
      <c r="AK675" s="587"/>
      <c r="AL675" s="587"/>
      <c r="AM675" s="587"/>
      <c r="AO675" s="587"/>
      <c r="AP675" s="587"/>
      <c r="AQ675" s="587"/>
      <c r="AR675" s="587"/>
      <c r="AS675" s="587"/>
      <c r="AT675" s="587"/>
      <c r="AU675" s="587"/>
      <c r="AV675" s="587"/>
      <c r="AW675" s="587"/>
    </row>
    <row r="676" spans="1:49">
      <c r="A676" s="581">
        <v>29921</v>
      </c>
      <c r="B676" s="594">
        <v>-2.5600000000000001E-2</v>
      </c>
      <c r="C676" s="577">
        <v>-3.0499999999999999E-2</v>
      </c>
      <c r="D676" s="577">
        <v>0.01</v>
      </c>
      <c r="E676" s="577">
        <v>1.1858333333333334E-2</v>
      </c>
      <c r="F676" s="577">
        <v>1.2500000000000001E-2</v>
      </c>
      <c r="G676" s="577">
        <v>1.2179166666666665E-2</v>
      </c>
      <c r="H676" s="577">
        <v>1.3468333333333334E-2</v>
      </c>
      <c r="I676" s="577">
        <f t="shared" si="112"/>
        <v>-3.56E-2</v>
      </c>
      <c r="J676" s="577">
        <f t="shared" si="116"/>
        <v>-3.7779166666666669E-2</v>
      </c>
      <c r="K676" s="577">
        <f t="shared" si="117"/>
        <v>-4.3968333333333331E-2</v>
      </c>
      <c r="L676" s="585">
        <f t="shared" si="113"/>
        <v>-4.8961920889558197E-2</v>
      </c>
      <c r="M676" s="585">
        <f t="shared" si="114"/>
        <v>0.12</v>
      </c>
      <c r="N676" s="585">
        <f t="shared" si="107"/>
        <v>0.14614999999999997</v>
      </c>
      <c r="O676" s="586">
        <f t="shared" si="115"/>
        <v>-0.16896192088955819</v>
      </c>
      <c r="P676" s="585">
        <f t="shared" si="108"/>
        <v>-0.19511192088955817</v>
      </c>
      <c r="Q676" s="585">
        <f t="shared" si="109"/>
        <v>0.11720638078203316</v>
      </c>
      <c r="R676" s="585">
        <f t="shared" si="110"/>
        <v>0.16162000000000001</v>
      </c>
      <c r="S676" s="586">
        <f t="shared" si="111"/>
        <v>-4.4413619217966854E-2</v>
      </c>
      <c r="U676" s="587"/>
      <c r="V676" s="587"/>
      <c r="W676" s="587"/>
      <c r="X676" s="587"/>
      <c r="Y676" s="587"/>
      <c r="Z676" s="587"/>
      <c r="AA676" s="587"/>
      <c r="AB676" s="587"/>
      <c r="AC676" s="587"/>
      <c r="AE676" s="587"/>
      <c r="AF676" s="587"/>
      <c r="AG676" s="587"/>
      <c r="AH676" s="587"/>
      <c r="AI676" s="587"/>
      <c r="AJ676" s="587"/>
      <c r="AK676" s="587"/>
      <c r="AL676" s="587"/>
      <c r="AM676" s="587"/>
      <c r="AO676" s="587"/>
      <c r="AP676" s="587"/>
      <c r="AQ676" s="587"/>
      <c r="AR676" s="587"/>
      <c r="AS676" s="587"/>
      <c r="AT676" s="587"/>
      <c r="AU676" s="587"/>
      <c r="AV676" s="587"/>
      <c r="AW676" s="587"/>
    </row>
    <row r="677" spans="1:49">
      <c r="A677" s="581">
        <v>29952</v>
      </c>
      <c r="B677" s="594">
        <v>-1.3100000000000001E-2</v>
      </c>
      <c r="C677" s="577">
        <v>3.7000000000000002E-3</v>
      </c>
      <c r="D677" s="577">
        <v>1.0800000000000001E-2</v>
      </c>
      <c r="E677" s="577">
        <v>1.265E-2</v>
      </c>
      <c r="F677" s="577">
        <v>1.3125E-2</v>
      </c>
      <c r="G677" s="577">
        <v>1.2887499999999998E-2</v>
      </c>
      <c r="H677" s="577">
        <v>1.4000000000000002E-2</v>
      </c>
      <c r="I677" s="577">
        <f t="shared" si="112"/>
        <v>-2.3900000000000001E-2</v>
      </c>
      <c r="J677" s="577">
        <f t="shared" si="116"/>
        <v>-2.5987499999999997E-2</v>
      </c>
      <c r="K677" s="577">
        <f t="shared" si="117"/>
        <v>-1.0300000000000002E-2</v>
      </c>
      <c r="L677" s="585">
        <f t="shared" si="113"/>
        <v>-2.0476434696206747E-2</v>
      </c>
      <c r="M677" s="585">
        <f t="shared" si="114"/>
        <v>0.12959999999999999</v>
      </c>
      <c r="N677" s="585">
        <f t="shared" si="107"/>
        <v>0.15464999999999998</v>
      </c>
      <c r="O677" s="586">
        <f t="shared" si="115"/>
        <v>-0.15007643469620674</v>
      </c>
      <c r="P677" s="585">
        <f t="shared" si="108"/>
        <v>-0.17512643469620673</v>
      </c>
      <c r="Q677" s="585">
        <f t="shared" si="109"/>
        <v>0.14259226043501805</v>
      </c>
      <c r="R677" s="585">
        <f t="shared" si="110"/>
        <v>0.16800000000000004</v>
      </c>
      <c r="S677" s="586">
        <f t="shared" si="111"/>
        <v>-2.540773956498199E-2</v>
      </c>
      <c r="U677" s="587"/>
      <c r="V677" s="587"/>
      <c r="W677" s="587"/>
      <c r="X677" s="587"/>
      <c r="Y677" s="587"/>
      <c r="Z677" s="587"/>
      <c r="AA677" s="587"/>
      <c r="AB677" s="587"/>
      <c r="AC677" s="587"/>
      <c r="AE677" s="587"/>
      <c r="AF677" s="587"/>
      <c r="AG677" s="587"/>
      <c r="AH677" s="587"/>
      <c r="AI677" s="587"/>
      <c r="AJ677" s="587"/>
      <c r="AK677" s="587"/>
      <c r="AL677" s="587"/>
      <c r="AM677" s="587"/>
      <c r="AO677" s="587"/>
      <c r="AP677" s="587"/>
      <c r="AQ677" s="587"/>
      <c r="AR677" s="587"/>
      <c r="AS677" s="587"/>
      <c r="AT677" s="587"/>
      <c r="AU677" s="587"/>
      <c r="AV677" s="587"/>
      <c r="AW677" s="587"/>
    </row>
    <row r="678" spans="1:49">
      <c r="A678" s="581">
        <v>29983</v>
      </c>
      <c r="B678" s="594">
        <v>-5.5899999999999998E-2</v>
      </c>
      <c r="C678" s="577">
        <v>-3.4999999999999996E-3</v>
      </c>
      <c r="D678" s="577">
        <v>1.03E-2</v>
      </c>
      <c r="E678" s="577">
        <v>1.2725E-2</v>
      </c>
      <c r="F678" s="577">
        <v>1.3100000000000001E-2</v>
      </c>
      <c r="G678" s="577">
        <v>1.29125E-2</v>
      </c>
      <c r="H678" s="577">
        <v>1.4095833333333332E-2</v>
      </c>
      <c r="I678" s="577">
        <f t="shared" si="112"/>
        <v>-6.6199999999999995E-2</v>
      </c>
      <c r="J678" s="577">
        <f t="shared" si="116"/>
        <v>-6.8812499999999999E-2</v>
      </c>
      <c r="K678" s="577">
        <f t="shared" si="117"/>
        <v>-1.7595833333333331E-2</v>
      </c>
      <c r="L678" s="585">
        <f t="shared" si="113"/>
        <v>-9.1047574205512904E-2</v>
      </c>
      <c r="M678" s="585">
        <f t="shared" si="114"/>
        <v>0.1236</v>
      </c>
      <c r="N678" s="585">
        <f t="shared" si="107"/>
        <v>0.15495</v>
      </c>
      <c r="O678" s="586">
        <f t="shared" si="115"/>
        <v>-0.21464757420551289</v>
      </c>
      <c r="P678" s="585">
        <f t="shared" si="108"/>
        <v>-0.24599757420551291</v>
      </c>
      <c r="Q678" s="585">
        <f t="shared" si="109"/>
        <v>0.16468206579735578</v>
      </c>
      <c r="R678" s="585">
        <f t="shared" si="110"/>
        <v>0.16914999999999997</v>
      </c>
      <c r="S678" s="586">
        <f t="shared" si="111"/>
        <v>-4.4679342026441859E-3</v>
      </c>
      <c r="U678" s="587"/>
      <c r="V678" s="587"/>
      <c r="W678" s="587"/>
      <c r="X678" s="587"/>
      <c r="Y678" s="587"/>
      <c r="Z678" s="587"/>
      <c r="AA678" s="587"/>
      <c r="AB678" s="587"/>
      <c r="AC678" s="587"/>
      <c r="AE678" s="587"/>
      <c r="AF678" s="587"/>
      <c r="AG678" s="587"/>
      <c r="AH678" s="587"/>
      <c r="AI678" s="587"/>
      <c r="AJ678" s="587"/>
      <c r="AK678" s="587"/>
      <c r="AL678" s="587"/>
      <c r="AM678" s="587"/>
      <c r="AO678" s="587"/>
      <c r="AP678" s="587"/>
      <c r="AQ678" s="587"/>
      <c r="AR678" s="587"/>
      <c r="AS678" s="587"/>
      <c r="AT678" s="587"/>
      <c r="AU678" s="587"/>
      <c r="AV678" s="587"/>
      <c r="AW678" s="587"/>
    </row>
    <row r="679" spans="1:49">
      <c r="A679" s="581">
        <v>30011</v>
      </c>
      <c r="B679" s="594">
        <v>-5.1999999999999998E-3</v>
      </c>
      <c r="C679" s="577">
        <v>1.6800000000000002E-2</v>
      </c>
      <c r="D679" s="577">
        <v>1.24E-2</v>
      </c>
      <c r="E679" s="577">
        <v>1.2150000000000001E-2</v>
      </c>
      <c r="F679" s="577">
        <v>1.2675000000000001E-2</v>
      </c>
      <c r="G679" s="577">
        <v>1.24125E-2</v>
      </c>
      <c r="H679" s="577">
        <v>1.3739999999999999E-2</v>
      </c>
      <c r="I679" s="577">
        <f t="shared" si="112"/>
        <v>-1.7599999999999998E-2</v>
      </c>
      <c r="J679" s="577">
        <f t="shared" si="116"/>
        <v>-1.76125E-2</v>
      </c>
      <c r="K679" s="577">
        <f t="shared" si="117"/>
        <v>3.0600000000000037E-3</v>
      </c>
      <c r="L679" s="585">
        <f t="shared" si="113"/>
        <v>-0.13055204501888851</v>
      </c>
      <c r="M679" s="585">
        <f t="shared" si="114"/>
        <v>0.14879999999999999</v>
      </c>
      <c r="N679" s="585">
        <f t="shared" si="107"/>
        <v>0.14895</v>
      </c>
      <c r="O679" s="586">
        <f t="shared" si="115"/>
        <v>-0.2793520450188885</v>
      </c>
      <c r="P679" s="585">
        <f t="shared" si="108"/>
        <v>-0.27950204501888853</v>
      </c>
      <c r="Q679" s="585">
        <f t="shared" si="109"/>
        <v>0.13651509069361967</v>
      </c>
      <c r="R679" s="585">
        <f t="shared" si="110"/>
        <v>0.16487999999999997</v>
      </c>
      <c r="S679" s="586">
        <f t="shared" si="111"/>
        <v>-2.8364909306380304E-2</v>
      </c>
      <c r="U679" s="587"/>
      <c r="V679" s="587"/>
      <c r="W679" s="587"/>
      <c r="X679" s="587"/>
      <c r="Y679" s="587"/>
      <c r="Z679" s="587"/>
      <c r="AA679" s="587"/>
      <c r="AB679" s="587"/>
      <c r="AC679" s="587"/>
      <c r="AE679" s="587"/>
      <c r="AF679" s="587"/>
      <c r="AG679" s="587"/>
      <c r="AH679" s="587"/>
      <c r="AI679" s="587"/>
      <c r="AJ679" s="587"/>
      <c r="AK679" s="587"/>
      <c r="AL679" s="587"/>
      <c r="AM679" s="587"/>
      <c r="AO679" s="587"/>
      <c r="AP679" s="587"/>
      <c r="AQ679" s="587"/>
      <c r="AR679" s="587"/>
      <c r="AS679" s="587"/>
      <c r="AT679" s="587"/>
      <c r="AU679" s="587"/>
      <c r="AV679" s="587"/>
      <c r="AW679" s="587"/>
    </row>
    <row r="680" spans="1:49">
      <c r="A680" s="581">
        <v>30042</v>
      </c>
      <c r="B680" s="594">
        <v>4.5199999999999997E-2</v>
      </c>
      <c r="C680" s="577">
        <v>5.4800000000000001E-2</v>
      </c>
      <c r="D680" s="577">
        <v>1.1199999999999998E-2</v>
      </c>
      <c r="E680" s="577">
        <v>1.205E-2</v>
      </c>
      <c r="F680" s="577">
        <v>1.2416666666666666E-2</v>
      </c>
      <c r="G680" s="577">
        <v>1.2233333333333334E-2</v>
      </c>
      <c r="H680" s="577">
        <v>1.3664583333333334E-2</v>
      </c>
      <c r="I680" s="577">
        <f t="shared" si="112"/>
        <v>3.4000000000000002E-2</v>
      </c>
      <c r="J680" s="577">
        <f t="shared" si="116"/>
        <v>3.2966666666666665E-2</v>
      </c>
      <c r="K680" s="577">
        <f t="shared" si="117"/>
        <v>4.1135416666666667E-2</v>
      </c>
      <c r="L680" s="585">
        <f t="shared" si="113"/>
        <v>-7.3369019530684643E-2</v>
      </c>
      <c r="M680" s="585">
        <f t="shared" si="114"/>
        <v>0.13439999999999996</v>
      </c>
      <c r="N680" s="585">
        <f t="shared" ref="N680:N743" si="118">G680*12</f>
        <v>0.14680000000000001</v>
      </c>
      <c r="O680" s="586">
        <f t="shared" si="115"/>
        <v>-0.20776901953068461</v>
      </c>
      <c r="P680" s="585">
        <f t="shared" ref="P680:P743" si="119">L680-N680</f>
        <v>-0.22016901953068466</v>
      </c>
      <c r="Q680" s="585">
        <f t="shared" ref="Q680:Q743" si="120">((1+C669)*(1+C670)*(1+C671)*(1+C672)*(1+C673)*(1+C674)*(1+C675)*(1+C676)*(1+C677)*(1+C678)*(1+C679)*(1+C680))-1</f>
        <v>0.21041611234211399</v>
      </c>
      <c r="R680" s="585">
        <f t="shared" ref="R680:R743" si="121">H680*12</f>
        <v>0.16397500000000001</v>
      </c>
      <c r="S680" s="586">
        <f t="shared" ref="S680:S743" si="122">Q680-R680</f>
        <v>4.6441112342113983E-2</v>
      </c>
      <c r="U680" s="587"/>
      <c r="V680" s="587"/>
      <c r="W680" s="587"/>
      <c r="X680" s="587"/>
      <c r="Y680" s="587"/>
      <c r="Z680" s="587"/>
      <c r="AA680" s="587"/>
      <c r="AB680" s="587"/>
      <c r="AC680" s="587"/>
      <c r="AE680" s="587"/>
      <c r="AF680" s="587"/>
      <c r="AG680" s="587"/>
      <c r="AH680" s="587"/>
      <c r="AI680" s="587"/>
      <c r="AJ680" s="587"/>
      <c r="AK680" s="587"/>
      <c r="AL680" s="587"/>
      <c r="AM680" s="587"/>
      <c r="AO680" s="587"/>
      <c r="AP680" s="587"/>
      <c r="AQ680" s="587"/>
      <c r="AR680" s="587"/>
      <c r="AS680" s="587"/>
      <c r="AT680" s="587"/>
      <c r="AU680" s="587"/>
      <c r="AV680" s="587"/>
      <c r="AW680" s="587"/>
    </row>
    <row r="681" spans="1:49">
      <c r="A681" s="581">
        <v>30072</v>
      </c>
      <c r="B681" s="594">
        <v>-3.4099999999999998E-2</v>
      </c>
      <c r="C681" s="577">
        <v>-1.8700000000000001E-2</v>
      </c>
      <c r="D681" s="577">
        <v>1.01E-2</v>
      </c>
      <c r="E681" s="577">
        <v>1.1883333333333333E-2</v>
      </c>
      <c r="F681" s="577">
        <v>1.2308333333333333E-2</v>
      </c>
      <c r="G681" s="577">
        <v>1.2095833333333332E-2</v>
      </c>
      <c r="H681" s="577">
        <v>1.3399999999999999E-2</v>
      </c>
      <c r="I681" s="577">
        <f t="shared" si="112"/>
        <v>-4.4199999999999996E-2</v>
      </c>
      <c r="J681" s="577">
        <f t="shared" si="116"/>
        <v>-4.6195833333333332E-2</v>
      </c>
      <c r="K681" s="577">
        <f t="shared" si="117"/>
        <v>-3.2100000000000004E-2</v>
      </c>
      <c r="L681" s="585">
        <f t="shared" si="113"/>
        <v>-0.10728818667932183</v>
      </c>
      <c r="M681" s="585">
        <f t="shared" si="114"/>
        <v>0.1212</v>
      </c>
      <c r="N681" s="585">
        <f t="shared" si="118"/>
        <v>0.14514999999999997</v>
      </c>
      <c r="O681" s="586">
        <f t="shared" si="115"/>
        <v>-0.22848818667932183</v>
      </c>
      <c r="P681" s="585">
        <f t="shared" si="119"/>
        <v>-0.25243818667932183</v>
      </c>
      <c r="Q681" s="585">
        <f t="shared" si="120"/>
        <v>0.15419427756419846</v>
      </c>
      <c r="R681" s="585">
        <f t="shared" si="121"/>
        <v>0.1608</v>
      </c>
      <c r="S681" s="586">
        <f t="shared" si="122"/>
        <v>-6.6057224358015421E-3</v>
      </c>
      <c r="U681" s="587"/>
      <c r="V681" s="587"/>
      <c r="W681" s="587"/>
      <c r="X681" s="587"/>
      <c r="Y681" s="587"/>
      <c r="Z681" s="587"/>
      <c r="AA681" s="587"/>
      <c r="AB681" s="587"/>
      <c r="AC681" s="587"/>
      <c r="AE681" s="587"/>
      <c r="AF681" s="587"/>
      <c r="AG681" s="587"/>
      <c r="AH681" s="587"/>
      <c r="AI681" s="587"/>
      <c r="AJ681" s="587"/>
      <c r="AK681" s="587"/>
      <c r="AL681" s="587"/>
      <c r="AM681" s="587"/>
      <c r="AO681" s="587"/>
      <c r="AP681" s="587"/>
      <c r="AQ681" s="587"/>
      <c r="AR681" s="587"/>
      <c r="AS681" s="587"/>
      <c r="AT681" s="587"/>
      <c r="AU681" s="587"/>
      <c r="AV681" s="587"/>
      <c r="AW681" s="587"/>
    </row>
    <row r="682" spans="1:49">
      <c r="A682" s="581">
        <v>30103</v>
      </c>
      <c r="B682" s="594">
        <v>-1.4999999999999999E-2</v>
      </c>
      <c r="C682" s="577">
        <v>-1.6099999999999996E-2</v>
      </c>
      <c r="D682" s="577">
        <v>1.2E-2</v>
      </c>
      <c r="E682" s="577">
        <v>1.2341666666666666E-2</v>
      </c>
      <c r="F682" s="577">
        <v>1.2716666666666668E-2</v>
      </c>
      <c r="G682" s="577">
        <v>1.2529166666666668E-2</v>
      </c>
      <c r="H682" s="577">
        <v>1.3616666666666666E-2</v>
      </c>
      <c r="I682" s="577">
        <f t="shared" si="112"/>
        <v>-2.7E-2</v>
      </c>
      <c r="J682" s="577">
        <f t="shared" si="116"/>
        <v>-2.7529166666666667E-2</v>
      </c>
      <c r="K682" s="577">
        <f t="shared" si="117"/>
        <v>-2.9716666666666662E-2</v>
      </c>
      <c r="L682" s="585">
        <f t="shared" si="113"/>
        <v>-0.11510401920009261</v>
      </c>
      <c r="M682" s="585">
        <f t="shared" si="114"/>
        <v>0.14400000000000002</v>
      </c>
      <c r="N682" s="585">
        <f t="shared" si="118"/>
        <v>0.15035000000000001</v>
      </c>
      <c r="O682" s="586">
        <f t="shared" si="115"/>
        <v>-0.25910401920009263</v>
      </c>
      <c r="P682" s="585">
        <f t="shared" si="119"/>
        <v>-0.26545401920009259</v>
      </c>
      <c r="Q682" s="585">
        <f t="shared" si="120"/>
        <v>0.10554103358198486</v>
      </c>
      <c r="R682" s="585">
        <f t="shared" si="121"/>
        <v>0.16339999999999999</v>
      </c>
      <c r="S682" s="586">
        <f t="shared" si="122"/>
        <v>-5.7858966418015134E-2</v>
      </c>
      <c r="U682" s="587"/>
      <c r="V682" s="587"/>
      <c r="W682" s="587"/>
      <c r="X682" s="587"/>
      <c r="Y682" s="587"/>
      <c r="Z682" s="587"/>
      <c r="AA682" s="587"/>
      <c r="AB682" s="587"/>
      <c r="AC682" s="587"/>
      <c r="AE682" s="587"/>
      <c r="AF682" s="587"/>
      <c r="AG682" s="587"/>
      <c r="AH682" s="587"/>
      <c r="AI682" s="587"/>
      <c r="AJ682" s="587"/>
      <c r="AK682" s="587"/>
      <c r="AL682" s="587"/>
      <c r="AM682" s="587"/>
      <c r="AO682" s="587"/>
      <c r="AP682" s="587"/>
      <c r="AQ682" s="587"/>
      <c r="AR682" s="587"/>
      <c r="AS682" s="587"/>
      <c r="AT682" s="587"/>
      <c r="AU682" s="587"/>
      <c r="AV682" s="587"/>
      <c r="AW682" s="587"/>
    </row>
    <row r="683" spans="1:49">
      <c r="A683" s="581">
        <v>30133</v>
      </c>
      <c r="B683" s="594">
        <v>-1.78E-2</v>
      </c>
      <c r="C683" s="577">
        <v>-1.9800000000000002E-2</v>
      </c>
      <c r="D683" s="577">
        <v>1.14E-2</v>
      </c>
      <c r="E683" s="577">
        <v>1.2175E-2</v>
      </c>
      <c r="F683" s="577">
        <v>1.2675000000000001E-2</v>
      </c>
      <c r="G683" s="577">
        <v>1.2425000000000002E-2</v>
      </c>
      <c r="H683" s="577">
        <v>1.3716666666666669E-2</v>
      </c>
      <c r="I683" s="577">
        <f t="shared" si="112"/>
        <v>-2.92E-2</v>
      </c>
      <c r="J683" s="577">
        <f t="shared" si="116"/>
        <v>-3.0225000000000002E-2</v>
      </c>
      <c r="K683" s="577">
        <f t="shared" si="117"/>
        <v>-3.3516666666666667E-2</v>
      </c>
      <c r="L683" s="585">
        <f t="shared" si="113"/>
        <v>-0.13267654690982034</v>
      </c>
      <c r="M683" s="585">
        <f t="shared" si="114"/>
        <v>0.1368</v>
      </c>
      <c r="N683" s="585">
        <f t="shared" si="118"/>
        <v>0.14910000000000001</v>
      </c>
      <c r="O683" s="586">
        <f t="shared" si="115"/>
        <v>-0.26947654690982037</v>
      </c>
      <c r="P683" s="585">
        <f t="shared" si="119"/>
        <v>-0.28177654690982035</v>
      </c>
      <c r="Q683" s="585">
        <f t="shared" si="120"/>
        <v>4.7917339828896122E-2</v>
      </c>
      <c r="R683" s="585">
        <f t="shared" si="121"/>
        <v>0.16460000000000002</v>
      </c>
      <c r="S683" s="586">
        <f t="shared" si="122"/>
        <v>-0.1166826601711039</v>
      </c>
      <c r="U683" s="587"/>
      <c r="V683" s="587"/>
      <c r="W683" s="587"/>
      <c r="X683" s="587"/>
      <c r="Y683" s="587"/>
      <c r="Z683" s="587"/>
      <c r="AA683" s="587"/>
      <c r="AB683" s="587"/>
      <c r="AC683" s="587"/>
      <c r="AE683" s="587"/>
      <c r="AF683" s="587"/>
      <c r="AG683" s="587"/>
      <c r="AH683" s="587"/>
      <c r="AI683" s="587"/>
      <c r="AJ683" s="587"/>
      <c r="AK683" s="587"/>
      <c r="AL683" s="587"/>
      <c r="AM683" s="587"/>
      <c r="AO683" s="587"/>
      <c r="AP683" s="587"/>
      <c r="AQ683" s="587"/>
      <c r="AR683" s="587"/>
      <c r="AS683" s="587"/>
      <c r="AT683" s="587"/>
      <c r="AU683" s="587"/>
      <c r="AV683" s="587"/>
      <c r="AW683" s="587"/>
    </row>
    <row r="684" spans="1:49">
      <c r="A684" s="581">
        <v>30164</v>
      </c>
      <c r="B684" s="594">
        <v>0.12139999999999999</v>
      </c>
      <c r="C684" s="577">
        <v>0.1211</v>
      </c>
      <c r="D684" s="577">
        <v>1.1199999999999998E-2</v>
      </c>
      <c r="E684" s="577">
        <v>1.1425000000000001E-2</v>
      </c>
      <c r="F684" s="577">
        <v>1.2066666666666668E-2</v>
      </c>
      <c r="G684" s="577">
        <v>1.1745833333333336E-2</v>
      </c>
      <c r="H684" s="577">
        <v>1.3266666666666666E-2</v>
      </c>
      <c r="I684" s="577">
        <f t="shared" si="112"/>
        <v>0.11019999999999999</v>
      </c>
      <c r="J684" s="577">
        <f t="shared" si="116"/>
        <v>0.10965416666666666</v>
      </c>
      <c r="K684" s="577">
        <f t="shared" si="117"/>
        <v>0.10783333333333334</v>
      </c>
      <c r="L684" s="585">
        <f t="shared" si="113"/>
        <v>3.2172896418685593E-2</v>
      </c>
      <c r="M684" s="585">
        <f t="shared" si="114"/>
        <v>0.13439999999999996</v>
      </c>
      <c r="N684" s="585">
        <f t="shared" si="118"/>
        <v>0.14095000000000002</v>
      </c>
      <c r="O684" s="586">
        <f t="shared" si="115"/>
        <v>-0.10222710358131437</v>
      </c>
      <c r="P684" s="585">
        <f t="shared" si="119"/>
        <v>-0.10877710358131443</v>
      </c>
      <c r="Q684" s="585">
        <f t="shared" si="120"/>
        <v>0.17764648123714455</v>
      </c>
      <c r="R684" s="585">
        <f t="shared" si="121"/>
        <v>0.15920000000000001</v>
      </c>
      <c r="S684" s="586">
        <f t="shared" si="122"/>
        <v>1.8446481237144541E-2</v>
      </c>
      <c r="U684" s="587"/>
      <c r="V684" s="587"/>
      <c r="W684" s="587"/>
      <c r="X684" s="587"/>
      <c r="Y684" s="587"/>
      <c r="Z684" s="587"/>
      <c r="AA684" s="587"/>
      <c r="AB684" s="587"/>
      <c r="AC684" s="587"/>
      <c r="AE684" s="587"/>
      <c r="AF684" s="587"/>
      <c r="AG684" s="587"/>
      <c r="AH684" s="587"/>
      <c r="AI684" s="587"/>
      <c r="AJ684" s="587"/>
      <c r="AK684" s="587"/>
      <c r="AL684" s="587"/>
      <c r="AM684" s="587"/>
      <c r="AO684" s="587"/>
      <c r="AP684" s="587"/>
      <c r="AQ684" s="587"/>
      <c r="AR684" s="587"/>
      <c r="AS684" s="587"/>
      <c r="AT684" s="587"/>
      <c r="AU684" s="587"/>
      <c r="AV684" s="587"/>
      <c r="AW684" s="587"/>
    </row>
    <row r="685" spans="1:49">
      <c r="A685" s="581">
        <v>30195</v>
      </c>
      <c r="B685" s="594">
        <v>1.2500000000000001E-2</v>
      </c>
      <c r="C685" s="577">
        <v>5.1999999999999998E-3</v>
      </c>
      <c r="D685" s="577">
        <v>0.01</v>
      </c>
      <c r="E685" s="577">
        <v>1.0783333333333334E-2</v>
      </c>
      <c r="F685" s="577">
        <v>1.1433333333333334E-2</v>
      </c>
      <c r="G685" s="577">
        <v>1.1108333333333333E-2</v>
      </c>
      <c r="H685" s="577">
        <v>1.2875000000000001E-2</v>
      </c>
      <c r="I685" s="577">
        <f t="shared" si="112"/>
        <v>2.5000000000000005E-3</v>
      </c>
      <c r="J685" s="577">
        <f t="shared" si="116"/>
        <v>1.3916666666666678E-3</v>
      </c>
      <c r="K685" s="577">
        <f t="shared" si="117"/>
        <v>-7.6750000000000013E-3</v>
      </c>
      <c r="L685" s="585">
        <f t="shared" si="113"/>
        <v>9.9269020325990276E-2</v>
      </c>
      <c r="M685" s="585">
        <f t="shared" si="114"/>
        <v>0.12</v>
      </c>
      <c r="N685" s="585">
        <f t="shared" si="118"/>
        <v>0.1333</v>
      </c>
      <c r="O685" s="586">
        <f t="shared" si="115"/>
        <v>-2.073097967400972E-2</v>
      </c>
      <c r="P685" s="585">
        <f t="shared" si="119"/>
        <v>-3.4030979674009726E-2</v>
      </c>
      <c r="Q685" s="585">
        <f t="shared" si="120"/>
        <v>0.2342511134809484</v>
      </c>
      <c r="R685" s="585">
        <f t="shared" si="121"/>
        <v>0.15450000000000003</v>
      </c>
      <c r="S685" s="586">
        <f t="shared" si="122"/>
        <v>7.9751113480948377E-2</v>
      </c>
      <c r="U685" s="587"/>
      <c r="V685" s="587"/>
      <c r="W685" s="587"/>
      <c r="X685" s="587"/>
      <c r="Y685" s="587"/>
      <c r="Z685" s="587"/>
      <c r="AA685" s="587"/>
      <c r="AB685" s="587"/>
      <c r="AC685" s="587"/>
      <c r="AE685" s="587"/>
      <c r="AF685" s="587"/>
      <c r="AG685" s="587"/>
      <c r="AH685" s="587"/>
      <c r="AI685" s="587"/>
      <c r="AJ685" s="587"/>
      <c r="AK685" s="587"/>
      <c r="AL685" s="587"/>
      <c r="AM685" s="587"/>
      <c r="AO685" s="587"/>
      <c r="AP685" s="587"/>
      <c r="AQ685" s="587"/>
      <c r="AR685" s="587"/>
      <c r="AS685" s="587"/>
      <c r="AT685" s="587"/>
      <c r="AU685" s="587"/>
      <c r="AV685" s="587"/>
      <c r="AW685" s="587"/>
    </row>
    <row r="686" spans="1:49">
      <c r="A686" s="581">
        <v>30225</v>
      </c>
      <c r="B686" s="594">
        <v>0.11509999999999999</v>
      </c>
      <c r="C686" s="577">
        <v>6.59E-2</v>
      </c>
      <c r="D686" s="577">
        <v>9.1000000000000004E-3</v>
      </c>
      <c r="E686" s="577">
        <v>1.01E-2</v>
      </c>
      <c r="F686" s="577">
        <v>1.0808333333333333E-2</v>
      </c>
      <c r="G686" s="577">
        <v>1.0454166666666667E-2</v>
      </c>
      <c r="H686" s="577">
        <v>1.2486666666666667E-2</v>
      </c>
      <c r="I686" s="577">
        <f t="shared" si="112"/>
        <v>0.106</v>
      </c>
      <c r="J686" s="577">
        <f t="shared" si="116"/>
        <v>0.10464583333333333</v>
      </c>
      <c r="K686" s="577">
        <f t="shared" si="117"/>
        <v>5.3413333333333333E-2</v>
      </c>
      <c r="L686" s="585">
        <f t="shared" si="113"/>
        <v>0.16299324911338875</v>
      </c>
      <c r="M686" s="585">
        <f t="shared" si="114"/>
        <v>0.10920000000000001</v>
      </c>
      <c r="N686" s="585">
        <f t="shared" si="118"/>
        <v>0.12545000000000001</v>
      </c>
      <c r="O686" s="586">
        <f t="shared" si="115"/>
        <v>5.3793249113388744E-2</v>
      </c>
      <c r="P686" s="585">
        <f t="shared" si="119"/>
        <v>3.7543249113388744E-2</v>
      </c>
      <c r="Q686" s="585">
        <f t="shared" si="120"/>
        <v>0.23913371183888388</v>
      </c>
      <c r="R686" s="585">
        <f t="shared" si="121"/>
        <v>0.14984</v>
      </c>
      <c r="S686" s="586">
        <f t="shared" si="122"/>
        <v>8.9293711838883877E-2</v>
      </c>
      <c r="U686" s="587"/>
      <c r="V686" s="587"/>
      <c r="W686" s="587"/>
      <c r="X686" s="587"/>
      <c r="Y686" s="587"/>
      <c r="Z686" s="587"/>
      <c r="AA686" s="587"/>
      <c r="AB686" s="587"/>
      <c r="AC686" s="587"/>
      <c r="AE686" s="587"/>
      <c r="AF686" s="587"/>
      <c r="AG686" s="587"/>
      <c r="AH686" s="587"/>
      <c r="AI686" s="587"/>
      <c r="AJ686" s="587"/>
      <c r="AK686" s="587"/>
      <c r="AL686" s="587"/>
      <c r="AM686" s="587"/>
      <c r="AO686" s="587"/>
      <c r="AP686" s="587"/>
      <c r="AQ686" s="587"/>
      <c r="AR686" s="587"/>
      <c r="AS686" s="587"/>
      <c r="AT686" s="587"/>
      <c r="AU686" s="587"/>
      <c r="AV686" s="587"/>
      <c r="AW686" s="587"/>
    </row>
    <row r="687" spans="1:49">
      <c r="A687" s="581">
        <v>30256</v>
      </c>
      <c r="B687" s="594">
        <v>4.0399999999999998E-2</v>
      </c>
      <c r="C687" s="577">
        <v>1.6999999999999993E-3</v>
      </c>
      <c r="D687" s="577">
        <v>9.4999999999999998E-3</v>
      </c>
      <c r="E687" s="577">
        <v>9.7333333333333334E-3</v>
      </c>
      <c r="F687" s="577">
        <v>1.0425E-2</v>
      </c>
      <c r="G687" s="577">
        <v>1.0079166666666665E-2</v>
      </c>
      <c r="H687" s="577">
        <v>1.2052083333333335E-2</v>
      </c>
      <c r="I687" s="577">
        <f t="shared" si="112"/>
        <v>3.0899999999999997E-2</v>
      </c>
      <c r="J687" s="577">
        <f t="shared" si="116"/>
        <v>3.0320833333333332E-2</v>
      </c>
      <c r="K687" s="577">
        <f t="shared" si="117"/>
        <v>-1.0352083333333335E-2</v>
      </c>
      <c r="L687" s="585">
        <f t="shared" si="113"/>
        <v>0.16198806912279773</v>
      </c>
      <c r="M687" s="585">
        <f t="shared" si="114"/>
        <v>0.11399999999999999</v>
      </c>
      <c r="N687" s="585">
        <f t="shared" si="118"/>
        <v>0.12094999999999997</v>
      </c>
      <c r="O687" s="586">
        <f t="shared" si="115"/>
        <v>4.7988069122797739E-2</v>
      </c>
      <c r="P687" s="585">
        <f t="shared" si="119"/>
        <v>4.1038069122797755E-2</v>
      </c>
      <c r="Q687" s="585">
        <f t="shared" si="120"/>
        <v>0.18427653768629915</v>
      </c>
      <c r="R687" s="585">
        <f t="shared" si="121"/>
        <v>0.144625</v>
      </c>
      <c r="S687" s="586">
        <f t="shared" si="122"/>
        <v>3.9651537686299143E-2</v>
      </c>
      <c r="U687" s="587"/>
      <c r="V687" s="587"/>
      <c r="W687" s="587"/>
      <c r="X687" s="587"/>
      <c r="Y687" s="587"/>
      <c r="Z687" s="587"/>
      <c r="AA687" s="587"/>
      <c r="AB687" s="587"/>
      <c r="AC687" s="587"/>
      <c r="AE687" s="587"/>
      <c r="AF687" s="587"/>
      <c r="AG687" s="587"/>
      <c r="AH687" s="587"/>
      <c r="AI687" s="587"/>
      <c r="AJ687" s="587"/>
      <c r="AK687" s="587"/>
      <c r="AL687" s="587"/>
      <c r="AM687" s="587"/>
      <c r="AO687" s="587"/>
      <c r="AP687" s="587"/>
      <c r="AQ687" s="587"/>
      <c r="AR687" s="587"/>
      <c r="AS687" s="587"/>
      <c r="AT687" s="587"/>
      <c r="AU687" s="587"/>
      <c r="AV687" s="587"/>
      <c r="AW687" s="587"/>
    </row>
    <row r="688" spans="1:49">
      <c r="A688" s="581">
        <v>30286</v>
      </c>
      <c r="B688" s="594">
        <v>1.9300000000000001E-2</v>
      </c>
      <c r="C688" s="577">
        <v>3.5999999999999997E-2</v>
      </c>
      <c r="D688" s="577">
        <v>9.2999999999999992E-3</v>
      </c>
      <c r="E688" s="577">
        <v>9.8583333333333335E-3</v>
      </c>
      <c r="F688" s="577">
        <v>1.0366666666666666E-2</v>
      </c>
      <c r="G688" s="577">
        <v>1.01125E-2</v>
      </c>
      <c r="H688" s="577">
        <v>1.2021333333333334E-2</v>
      </c>
      <c r="I688" s="577">
        <f t="shared" si="112"/>
        <v>1.0000000000000002E-2</v>
      </c>
      <c r="J688" s="577">
        <f t="shared" si="116"/>
        <v>9.1875000000000012E-3</v>
      </c>
      <c r="K688" s="577">
        <f t="shared" si="117"/>
        <v>2.3978666666666662E-2</v>
      </c>
      <c r="L688" s="585">
        <f t="shared" si="113"/>
        <v>0.21553205958217148</v>
      </c>
      <c r="M688" s="585">
        <f t="shared" si="114"/>
        <v>0.11159999999999999</v>
      </c>
      <c r="N688" s="585">
        <f t="shared" si="118"/>
        <v>0.12135</v>
      </c>
      <c r="O688" s="586">
        <f t="shared" si="115"/>
        <v>0.10393205958217148</v>
      </c>
      <c r="P688" s="585">
        <f t="shared" si="119"/>
        <v>9.4182059582171476E-2</v>
      </c>
      <c r="Q688" s="585">
        <f t="shared" si="120"/>
        <v>0.26550850236514245</v>
      </c>
      <c r="R688" s="585">
        <f t="shared" si="121"/>
        <v>0.144256</v>
      </c>
      <c r="S688" s="586">
        <f t="shared" si="122"/>
        <v>0.12125250236514246</v>
      </c>
      <c r="U688" s="587"/>
      <c r="V688" s="587"/>
      <c r="W688" s="587"/>
      <c r="X688" s="587"/>
      <c r="Y688" s="587"/>
      <c r="Z688" s="587"/>
      <c r="AA688" s="587"/>
      <c r="AB688" s="587"/>
      <c r="AC688" s="587"/>
      <c r="AE688" s="587"/>
      <c r="AF688" s="587"/>
      <c r="AG688" s="587"/>
      <c r="AH688" s="587"/>
      <c r="AI688" s="587"/>
      <c r="AJ688" s="587"/>
      <c r="AK688" s="587"/>
      <c r="AL688" s="587"/>
      <c r="AM688" s="587"/>
      <c r="AO688" s="587"/>
      <c r="AP688" s="587"/>
      <c r="AQ688" s="587"/>
      <c r="AR688" s="587"/>
      <c r="AS688" s="587"/>
      <c r="AT688" s="587"/>
      <c r="AU688" s="587"/>
      <c r="AV688" s="587"/>
      <c r="AW688" s="587"/>
    </row>
    <row r="689" spans="1:49">
      <c r="A689" s="581">
        <v>30317</v>
      </c>
      <c r="B689" s="594">
        <v>3.7199999999999997E-2</v>
      </c>
      <c r="C689" s="577">
        <v>3.7199999999999997E-2</v>
      </c>
      <c r="D689" s="577">
        <v>8.6999999999999994E-3</v>
      </c>
      <c r="E689" s="577">
        <v>9.8249999999999987E-3</v>
      </c>
      <c r="F689" s="577">
        <v>1.0291666666666666E-2</v>
      </c>
      <c r="G689" s="577">
        <v>1.0058333333333334E-2</v>
      </c>
      <c r="H689" s="577">
        <v>1.18675E-2</v>
      </c>
      <c r="I689" s="577">
        <f t="shared" si="112"/>
        <v>2.8499999999999998E-2</v>
      </c>
      <c r="J689" s="577">
        <f t="shared" si="116"/>
        <v>2.7141666666666661E-2</v>
      </c>
      <c r="K689" s="577">
        <f t="shared" si="117"/>
        <v>2.5332499999999997E-2</v>
      </c>
      <c r="L689" s="585">
        <f t="shared" si="113"/>
        <v>0.27748490444688256</v>
      </c>
      <c r="M689" s="585">
        <f t="shared" si="114"/>
        <v>0.10439999999999999</v>
      </c>
      <c r="N689" s="585">
        <f t="shared" si="118"/>
        <v>0.1207</v>
      </c>
      <c r="O689" s="586">
        <f t="shared" si="115"/>
        <v>0.17308490444688257</v>
      </c>
      <c r="P689" s="585">
        <f t="shared" si="119"/>
        <v>0.15678490444688256</v>
      </c>
      <c r="Q689" s="585">
        <f t="shared" si="120"/>
        <v>0.30774675565719423</v>
      </c>
      <c r="R689" s="585">
        <f t="shared" si="121"/>
        <v>0.14240999999999998</v>
      </c>
      <c r="S689" s="586">
        <f t="shared" si="122"/>
        <v>0.16533675565719425</v>
      </c>
      <c r="U689" s="587"/>
      <c r="V689" s="587"/>
      <c r="W689" s="587"/>
      <c r="X689" s="587"/>
      <c r="Y689" s="587"/>
      <c r="Z689" s="587"/>
      <c r="AA689" s="587"/>
      <c r="AB689" s="587"/>
      <c r="AC689" s="587"/>
      <c r="AE689" s="587"/>
      <c r="AF689" s="587"/>
      <c r="AG689" s="587"/>
      <c r="AH689" s="587"/>
      <c r="AI689" s="587"/>
      <c r="AJ689" s="587"/>
      <c r="AK689" s="587"/>
      <c r="AL689" s="587"/>
      <c r="AM689" s="587"/>
      <c r="AO689" s="587"/>
      <c r="AP689" s="587"/>
      <c r="AQ689" s="587"/>
      <c r="AR689" s="587"/>
      <c r="AS689" s="587"/>
      <c r="AT689" s="587"/>
      <c r="AU689" s="587"/>
      <c r="AV689" s="587"/>
      <c r="AW689" s="587"/>
    </row>
    <row r="690" spans="1:49">
      <c r="A690" s="581">
        <v>30348</v>
      </c>
      <c r="B690" s="594">
        <v>2.29E-2</v>
      </c>
      <c r="C690" s="577">
        <v>-4.9999999999999871E-4</v>
      </c>
      <c r="D690" s="577">
        <v>8.0999999999999996E-3</v>
      </c>
      <c r="E690" s="577">
        <v>1.0008333333333333E-2</v>
      </c>
      <c r="F690" s="577">
        <v>1.0483333333333334E-2</v>
      </c>
      <c r="G690" s="577">
        <v>1.0245833333333332E-2</v>
      </c>
      <c r="H690" s="577">
        <v>1.1898250000000001E-2</v>
      </c>
      <c r="I690" s="577">
        <f t="shared" si="112"/>
        <v>1.4800000000000001E-2</v>
      </c>
      <c r="J690" s="577">
        <f t="shared" si="116"/>
        <v>1.2654166666666668E-2</v>
      </c>
      <c r="K690" s="577">
        <f t="shared" si="117"/>
        <v>-1.239825E-2</v>
      </c>
      <c r="L690" s="585">
        <f t="shared" si="113"/>
        <v>0.38411112038842865</v>
      </c>
      <c r="M690" s="585">
        <f t="shared" si="114"/>
        <v>9.7199999999999995E-2</v>
      </c>
      <c r="N690" s="585">
        <f t="shared" si="118"/>
        <v>0.12294999999999999</v>
      </c>
      <c r="O690" s="586">
        <f t="shared" si="115"/>
        <v>0.28691112038842864</v>
      </c>
      <c r="P690" s="585">
        <f t="shared" si="119"/>
        <v>0.26116112038842865</v>
      </c>
      <c r="Q690" s="585">
        <f t="shared" si="120"/>
        <v>0.31168377549359283</v>
      </c>
      <c r="R690" s="585">
        <f t="shared" si="121"/>
        <v>0.14277900000000002</v>
      </c>
      <c r="S690" s="586">
        <f t="shared" si="122"/>
        <v>0.16890477549359281</v>
      </c>
      <c r="U690" s="587"/>
      <c r="V690" s="587"/>
      <c r="W690" s="587"/>
      <c r="X690" s="587"/>
      <c r="Y690" s="587"/>
      <c r="Z690" s="587"/>
      <c r="AA690" s="587"/>
      <c r="AB690" s="587"/>
      <c r="AC690" s="587"/>
      <c r="AE690" s="587"/>
      <c r="AF690" s="587"/>
      <c r="AG690" s="587"/>
      <c r="AH690" s="587"/>
      <c r="AI690" s="587"/>
      <c r="AJ690" s="587"/>
      <c r="AK690" s="587"/>
      <c r="AL690" s="587"/>
      <c r="AM690" s="587"/>
      <c r="AO690" s="587"/>
      <c r="AP690" s="587"/>
      <c r="AQ690" s="587"/>
      <c r="AR690" s="587"/>
      <c r="AS690" s="587"/>
      <c r="AT690" s="587"/>
      <c r="AU690" s="587"/>
      <c r="AV690" s="587"/>
      <c r="AW690" s="587"/>
    </row>
    <row r="691" spans="1:49">
      <c r="A691" s="581">
        <v>30376</v>
      </c>
      <c r="B691" s="594">
        <v>3.6900000000000002E-2</v>
      </c>
      <c r="C691" s="577">
        <v>1.7000000000000001E-3</v>
      </c>
      <c r="D691" s="577">
        <v>8.8999999999999999E-3</v>
      </c>
      <c r="E691" s="577">
        <v>9.7750000000000007E-3</v>
      </c>
      <c r="F691" s="577">
        <v>1.0266666666666667E-2</v>
      </c>
      <c r="G691" s="577">
        <v>1.0020833333333333E-2</v>
      </c>
      <c r="H691" s="577">
        <v>1.1689499999999999E-2</v>
      </c>
      <c r="I691" s="577">
        <f t="shared" si="112"/>
        <v>2.8000000000000004E-2</v>
      </c>
      <c r="J691" s="577">
        <f t="shared" si="116"/>
        <v>2.6879166666666669E-2</v>
      </c>
      <c r="K691" s="577">
        <f t="shared" si="117"/>
        <v>-9.9894999999999984E-3</v>
      </c>
      <c r="L691" s="585">
        <f t="shared" si="113"/>
        <v>0.44268679204941863</v>
      </c>
      <c r="M691" s="585">
        <f t="shared" si="114"/>
        <v>0.10680000000000001</v>
      </c>
      <c r="N691" s="585">
        <f t="shared" si="118"/>
        <v>0.12025</v>
      </c>
      <c r="O691" s="586">
        <f t="shared" si="115"/>
        <v>0.33588679204941863</v>
      </c>
      <c r="P691" s="585">
        <f t="shared" si="119"/>
        <v>0.32243679204941866</v>
      </c>
      <c r="Q691" s="585">
        <f t="shared" si="120"/>
        <v>0.29220460062149134</v>
      </c>
      <c r="R691" s="585">
        <f t="shared" si="121"/>
        <v>0.14027399999999998</v>
      </c>
      <c r="S691" s="586">
        <f t="shared" si="122"/>
        <v>0.15193060062149136</v>
      </c>
      <c r="U691" s="587"/>
      <c r="V691" s="587"/>
      <c r="W691" s="587"/>
      <c r="X691" s="587"/>
      <c r="Y691" s="587"/>
      <c r="Z691" s="587"/>
      <c r="AA691" s="587"/>
      <c r="AB691" s="587"/>
      <c r="AC691" s="587"/>
      <c r="AE691" s="587"/>
      <c r="AF691" s="587"/>
      <c r="AG691" s="587"/>
      <c r="AH691" s="587"/>
      <c r="AI691" s="587"/>
      <c r="AJ691" s="587"/>
      <c r="AK691" s="587"/>
      <c r="AL691" s="587"/>
      <c r="AM691" s="587"/>
      <c r="AO691" s="587"/>
      <c r="AP691" s="587"/>
      <c r="AQ691" s="587"/>
      <c r="AR691" s="587"/>
      <c r="AS691" s="587"/>
      <c r="AT691" s="587"/>
      <c r="AU691" s="587"/>
      <c r="AV691" s="587"/>
      <c r="AW691" s="587"/>
    </row>
    <row r="692" spans="1:49">
      <c r="A692" s="581">
        <v>30407</v>
      </c>
      <c r="B692" s="594">
        <v>7.8799999999999995E-2</v>
      </c>
      <c r="C692" s="577">
        <v>5.7099999999999998E-2</v>
      </c>
      <c r="D692" s="577">
        <v>8.5000000000000006E-3</v>
      </c>
      <c r="E692" s="577">
        <v>9.5916666666666667E-3</v>
      </c>
      <c r="F692" s="577">
        <v>1.0050000000000002E-2</v>
      </c>
      <c r="G692" s="577">
        <v>9.8208333333333342E-3</v>
      </c>
      <c r="H692" s="577">
        <v>1.1364583333333334E-2</v>
      </c>
      <c r="I692" s="577">
        <f t="shared" si="112"/>
        <v>7.0300000000000001E-2</v>
      </c>
      <c r="J692" s="577">
        <f t="shared" si="116"/>
        <v>6.8979166666666661E-2</v>
      </c>
      <c r="K692" s="577">
        <f t="shared" si="117"/>
        <v>4.5735416666666667E-2</v>
      </c>
      <c r="L692" s="585">
        <f t="shared" si="113"/>
        <v>0.48906478306822909</v>
      </c>
      <c r="M692" s="585">
        <f t="shared" si="114"/>
        <v>0.10200000000000001</v>
      </c>
      <c r="N692" s="585">
        <f t="shared" si="118"/>
        <v>0.11785000000000001</v>
      </c>
      <c r="O692" s="586">
        <f t="shared" si="115"/>
        <v>0.38706478306822911</v>
      </c>
      <c r="P692" s="585">
        <f t="shared" si="119"/>
        <v>0.37121478306822908</v>
      </c>
      <c r="Q692" s="585">
        <f t="shared" si="120"/>
        <v>0.29502226328875514</v>
      </c>
      <c r="R692" s="585">
        <f t="shared" si="121"/>
        <v>0.13637500000000002</v>
      </c>
      <c r="S692" s="586">
        <f t="shared" si="122"/>
        <v>0.15864726328875511</v>
      </c>
      <c r="U692" s="587"/>
      <c r="V692" s="587"/>
      <c r="W692" s="587"/>
      <c r="X692" s="587"/>
      <c r="Y692" s="587"/>
      <c r="Z692" s="587"/>
      <c r="AA692" s="587"/>
      <c r="AB692" s="587"/>
      <c r="AC692" s="587"/>
      <c r="AE692" s="587"/>
      <c r="AF692" s="587"/>
      <c r="AG692" s="587"/>
      <c r="AH692" s="587"/>
      <c r="AI692" s="587"/>
      <c r="AJ692" s="587"/>
      <c r="AK692" s="587"/>
      <c r="AL692" s="587"/>
      <c r="AM692" s="587"/>
      <c r="AO692" s="587"/>
      <c r="AP692" s="587"/>
      <c r="AQ692" s="587"/>
      <c r="AR692" s="587"/>
      <c r="AS692" s="587"/>
      <c r="AT692" s="587"/>
      <c r="AU692" s="587"/>
      <c r="AV692" s="587"/>
      <c r="AW692" s="587"/>
    </row>
    <row r="693" spans="1:49">
      <c r="A693" s="581">
        <v>30437</v>
      </c>
      <c r="B693" s="594">
        <v>-8.6999999999999994E-3</v>
      </c>
      <c r="C693" s="577">
        <v>1.2400000000000001E-2</v>
      </c>
      <c r="D693" s="577">
        <v>9.1000000000000004E-3</v>
      </c>
      <c r="E693" s="577">
        <v>9.5500000000000012E-3</v>
      </c>
      <c r="F693" s="577">
        <v>9.9583333333333329E-3</v>
      </c>
      <c r="G693" s="577">
        <v>9.7541666666666662E-3</v>
      </c>
      <c r="H693" s="577">
        <v>1.1242833333333334E-2</v>
      </c>
      <c r="I693" s="577">
        <f t="shared" si="112"/>
        <v>-1.78E-2</v>
      </c>
      <c r="J693" s="577">
        <f t="shared" si="116"/>
        <v>-1.8454166666666667E-2</v>
      </c>
      <c r="K693" s="577">
        <f t="shared" si="117"/>
        <v>1.1571666666666675E-3</v>
      </c>
      <c r="L693" s="585">
        <f t="shared" si="113"/>
        <v>0.52822229988149449</v>
      </c>
      <c r="M693" s="585">
        <f t="shared" si="114"/>
        <v>0.10920000000000001</v>
      </c>
      <c r="N693" s="585">
        <f t="shared" si="118"/>
        <v>0.11704999999999999</v>
      </c>
      <c r="O693" s="586">
        <f t="shared" si="115"/>
        <v>0.41902229988149448</v>
      </c>
      <c r="P693" s="585">
        <f t="shared" si="119"/>
        <v>0.41117229988149451</v>
      </c>
      <c r="Q693" s="585">
        <f t="shared" si="120"/>
        <v>0.33606495399320813</v>
      </c>
      <c r="R693" s="585">
        <f t="shared" si="121"/>
        <v>0.13491400000000001</v>
      </c>
      <c r="S693" s="586">
        <f t="shared" si="122"/>
        <v>0.20115095399320812</v>
      </c>
      <c r="U693" s="587"/>
      <c r="V693" s="587"/>
      <c r="W693" s="587"/>
      <c r="X693" s="587"/>
      <c r="Y693" s="587"/>
      <c r="Z693" s="587"/>
      <c r="AA693" s="587"/>
      <c r="AB693" s="587"/>
      <c r="AC693" s="587"/>
      <c r="AE693" s="587"/>
      <c r="AF693" s="587"/>
      <c r="AG693" s="587"/>
      <c r="AH693" s="587"/>
      <c r="AI693" s="587"/>
      <c r="AJ693" s="587"/>
      <c r="AK693" s="587"/>
      <c r="AL693" s="587"/>
      <c r="AM693" s="587"/>
      <c r="AO693" s="587"/>
      <c r="AP693" s="587"/>
      <c r="AQ693" s="587"/>
      <c r="AR693" s="587"/>
      <c r="AS693" s="587"/>
      <c r="AT693" s="587"/>
      <c r="AU693" s="587"/>
      <c r="AV693" s="587"/>
      <c r="AW693" s="587"/>
    </row>
    <row r="694" spans="1:49">
      <c r="A694" s="581">
        <v>30468</v>
      </c>
      <c r="B694" s="594">
        <v>3.8899999999999997E-2</v>
      </c>
      <c r="C694" s="577">
        <v>-1.23E-2</v>
      </c>
      <c r="D694" s="577">
        <v>8.9999999999999993E-3</v>
      </c>
      <c r="E694" s="577">
        <v>9.7833333333333331E-3</v>
      </c>
      <c r="F694" s="577">
        <v>1.0125E-2</v>
      </c>
      <c r="G694" s="577">
        <v>9.9541666666666667E-3</v>
      </c>
      <c r="H694" s="577">
        <v>1.1372750000000001E-2</v>
      </c>
      <c r="I694" s="577">
        <f t="shared" si="112"/>
        <v>2.9899999999999996E-2</v>
      </c>
      <c r="J694" s="577">
        <f t="shared" si="116"/>
        <v>2.894583333333333E-2</v>
      </c>
      <c r="K694" s="577">
        <f t="shared" si="117"/>
        <v>-2.3672749999999999E-2</v>
      </c>
      <c r="L694" s="585">
        <f t="shared" si="113"/>
        <v>0.6118478653267867</v>
      </c>
      <c r="M694" s="585">
        <f t="shared" si="114"/>
        <v>0.10799999999999998</v>
      </c>
      <c r="N694" s="585">
        <f t="shared" si="118"/>
        <v>0.11945</v>
      </c>
      <c r="O694" s="586">
        <f t="shared" si="115"/>
        <v>0.50384786532678671</v>
      </c>
      <c r="P694" s="585">
        <f t="shared" si="119"/>
        <v>0.4923978653267867</v>
      </c>
      <c r="Q694" s="585">
        <f t="shared" si="120"/>
        <v>0.3412250788282265</v>
      </c>
      <c r="R694" s="585">
        <f t="shared" si="121"/>
        <v>0.13647300000000001</v>
      </c>
      <c r="S694" s="586">
        <f t="shared" si="122"/>
        <v>0.20475207882822649</v>
      </c>
      <c r="U694" s="587"/>
      <c r="V694" s="587"/>
      <c r="W694" s="587"/>
      <c r="X694" s="587"/>
      <c r="Y694" s="587"/>
      <c r="Z694" s="587"/>
      <c r="AA694" s="587"/>
      <c r="AB694" s="587"/>
      <c r="AC694" s="587"/>
      <c r="AE694" s="587"/>
      <c r="AF694" s="587"/>
      <c r="AG694" s="587"/>
      <c r="AH694" s="587"/>
      <c r="AI694" s="587"/>
      <c r="AJ694" s="587"/>
      <c r="AK694" s="587"/>
      <c r="AL694" s="587"/>
      <c r="AM694" s="587"/>
      <c r="AO694" s="587"/>
      <c r="AP694" s="587"/>
      <c r="AQ694" s="587"/>
      <c r="AR694" s="587"/>
      <c r="AS694" s="587"/>
      <c r="AT694" s="587"/>
      <c r="AU694" s="587"/>
      <c r="AV694" s="587"/>
      <c r="AW694" s="587"/>
    </row>
    <row r="695" spans="1:49">
      <c r="A695" s="581">
        <v>30498</v>
      </c>
      <c r="B695" s="594">
        <v>-2.9499999999999998E-2</v>
      </c>
      <c r="C695" s="577">
        <v>3.39E-2</v>
      </c>
      <c r="D695" s="577">
        <v>8.8000000000000005E-3</v>
      </c>
      <c r="E695" s="577">
        <v>1.0125E-2</v>
      </c>
      <c r="F695" s="577">
        <v>1.0324999999999999E-2</v>
      </c>
      <c r="G695" s="577">
        <v>1.0225E-2</v>
      </c>
      <c r="H695" s="577">
        <v>1.1310000000000001E-2</v>
      </c>
      <c r="I695" s="577">
        <f t="shared" si="112"/>
        <v>-3.8300000000000001E-2</v>
      </c>
      <c r="J695" s="577">
        <f t="shared" si="116"/>
        <v>-3.9724999999999996E-2</v>
      </c>
      <c r="K695" s="577">
        <f t="shared" si="117"/>
        <v>2.2589999999999999E-2</v>
      </c>
      <c r="L695" s="585">
        <f t="shared" si="113"/>
        <v>0.59264747841544163</v>
      </c>
      <c r="M695" s="585">
        <f t="shared" si="114"/>
        <v>0.1056</v>
      </c>
      <c r="N695" s="585">
        <f t="shared" si="118"/>
        <v>0.1227</v>
      </c>
      <c r="O695" s="586">
        <f t="shared" si="115"/>
        <v>0.4870474784154416</v>
      </c>
      <c r="P695" s="585">
        <f t="shared" si="119"/>
        <v>0.4699474784154416</v>
      </c>
      <c r="Q695" s="585">
        <f t="shared" si="120"/>
        <v>0.4147037431141638</v>
      </c>
      <c r="R695" s="585">
        <f t="shared" si="121"/>
        <v>0.13572000000000001</v>
      </c>
      <c r="S695" s="586">
        <f t="shared" si="122"/>
        <v>0.2789837431141638</v>
      </c>
      <c r="U695" s="587"/>
      <c r="V695" s="587"/>
      <c r="W695" s="587"/>
      <c r="X695" s="587"/>
      <c r="Y695" s="587"/>
      <c r="Z695" s="587"/>
      <c r="AA695" s="587"/>
      <c r="AB695" s="587"/>
      <c r="AC695" s="587"/>
      <c r="AE695" s="587"/>
      <c r="AF695" s="587"/>
      <c r="AG695" s="587"/>
      <c r="AH695" s="587"/>
      <c r="AI695" s="587"/>
      <c r="AJ695" s="587"/>
      <c r="AK695" s="587"/>
      <c r="AL695" s="587"/>
      <c r="AM695" s="587"/>
      <c r="AO695" s="587"/>
      <c r="AP695" s="587"/>
      <c r="AQ695" s="587"/>
      <c r="AR695" s="587"/>
      <c r="AS695" s="587"/>
      <c r="AT695" s="587"/>
      <c r="AU695" s="587"/>
      <c r="AV695" s="587"/>
      <c r="AW695" s="587"/>
    </row>
    <row r="696" spans="1:49">
      <c r="A696" s="581">
        <v>30529</v>
      </c>
      <c r="B696" s="594">
        <v>1.4999999999999999E-2</v>
      </c>
      <c r="C696" s="577">
        <v>4.0000000000000001E-3</v>
      </c>
      <c r="D696" s="577">
        <v>1.03E-2</v>
      </c>
      <c r="E696" s="577">
        <v>1.0425E-2</v>
      </c>
      <c r="F696" s="577">
        <v>1.06E-2</v>
      </c>
      <c r="G696" s="577">
        <v>1.0512500000000001E-2</v>
      </c>
      <c r="H696" s="577">
        <v>1.1305833333333333E-2</v>
      </c>
      <c r="I696" s="577">
        <f t="shared" si="112"/>
        <v>4.6999999999999993E-3</v>
      </c>
      <c r="J696" s="577">
        <f t="shared" si="116"/>
        <v>4.4874999999999984E-3</v>
      </c>
      <c r="K696" s="577">
        <f t="shared" si="117"/>
        <v>-7.3058333333333326E-3</v>
      </c>
      <c r="L696" s="585">
        <f t="shared" si="113"/>
        <v>0.44153485874056764</v>
      </c>
      <c r="M696" s="585">
        <f t="shared" si="114"/>
        <v>0.1236</v>
      </c>
      <c r="N696" s="585">
        <f t="shared" si="118"/>
        <v>0.12615000000000001</v>
      </c>
      <c r="O696" s="586">
        <f t="shared" si="115"/>
        <v>0.31793485874056765</v>
      </c>
      <c r="P696" s="585">
        <f t="shared" si="119"/>
        <v>0.31538485874056765</v>
      </c>
      <c r="Q696" s="585">
        <f t="shared" si="120"/>
        <v>0.26693654275855905</v>
      </c>
      <c r="R696" s="585">
        <f t="shared" si="121"/>
        <v>0.13566999999999999</v>
      </c>
      <c r="S696" s="586">
        <f t="shared" si="122"/>
        <v>0.13126654275855906</v>
      </c>
      <c r="U696" s="587"/>
      <c r="V696" s="587"/>
      <c r="W696" s="587"/>
      <c r="X696" s="587"/>
      <c r="Y696" s="587"/>
      <c r="Z696" s="587"/>
      <c r="AA696" s="587"/>
      <c r="AB696" s="587"/>
      <c r="AC696" s="587"/>
      <c r="AE696" s="587"/>
      <c r="AF696" s="587"/>
      <c r="AG696" s="587"/>
      <c r="AH696" s="587"/>
      <c r="AI696" s="587"/>
      <c r="AJ696" s="587"/>
      <c r="AK696" s="587"/>
      <c r="AL696" s="587"/>
      <c r="AM696" s="587"/>
      <c r="AO696" s="587"/>
      <c r="AP696" s="587"/>
      <c r="AQ696" s="587"/>
      <c r="AR696" s="587"/>
      <c r="AS696" s="587"/>
      <c r="AT696" s="587"/>
      <c r="AU696" s="587"/>
      <c r="AV696" s="587"/>
      <c r="AW696" s="587"/>
    </row>
    <row r="697" spans="1:49">
      <c r="A697" s="581">
        <v>30560</v>
      </c>
      <c r="B697" s="594">
        <v>1.38E-2</v>
      </c>
      <c r="C697" s="577">
        <v>4.4500000000000005E-2</v>
      </c>
      <c r="D697" s="577">
        <v>9.5999999999999992E-3</v>
      </c>
      <c r="E697" s="577">
        <v>1.0308333333333333E-2</v>
      </c>
      <c r="F697" s="577">
        <v>1.0516666666666665E-2</v>
      </c>
      <c r="G697" s="577">
        <v>1.0412499999999998E-2</v>
      </c>
      <c r="H697" s="577">
        <v>1.1197250000000001E-2</v>
      </c>
      <c r="I697" s="577">
        <f t="shared" si="112"/>
        <v>4.2000000000000006E-3</v>
      </c>
      <c r="J697" s="577">
        <f t="shared" si="116"/>
        <v>3.3875000000000016E-3</v>
      </c>
      <c r="K697" s="577">
        <f t="shared" si="117"/>
        <v>3.3302750000000006E-2</v>
      </c>
      <c r="L697" s="585">
        <f t="shared" si="113"/>
        <v>0.44338571831228424</v>
      </c>
      <c r="M697" s="585">
        <f t="shared" si="114"/>
        <v>0.1152</v>
      </c>
      <c r="N697" s="585">
        <f t="shared" si="118"/>
        <v>0.12494999999999998</v>
      </c>
      <c r="O697" s="586">
        <f t="shared" si="115"/>
        <v>0.32818571831228427</v>
      </c>
      <c r="P697" s="585">
        <f t="shared" si="119"/>
        <v>0.31843571831228423</v>
      </c>
      <c r="Q697" s="585">
        <f t="shared" si="120"/>
        <v>0.31646957711034052</v>
      </c>
      <c r="R697" s="585">
        <f t="shared" si="121"/>
        <v>0.13436700000000001</v>
      </c>
      <c r="S697" s="586">
        <f t="shared" si="122"/>
        <v>0.1821025771103405</v>
      </c>
      <c r="U697" s="587"/>
      <c r="V697" s="587"/>
      <c r="W697" s="587"/>
      <c r="X697" s="587"/>
      <c r="Y697" s="587"/>
      <c r="Z697" s="587"/>
      <c r="AA697" s="587"/>
      <c r="AB697" s="587"/>
      <c r="AC697" s="587"/>
      <c r="AE697" s="587"/>
      <c r="AF697" s="587"/>
      <c r="AG697" s="587"/>
      <c r="AH697" s="587"/>
      <c r="AI697" s="587"/>
      <c r="AJ697" s="587"/>
      <c r="AK697" s="587"/>
      <c r="AL697" s="587"/>
      <c r="AM697" s="587"/>
      <c r="AO697" s="587"/>
      <c r="AP697" s="587"/>
      <c r="AQ697" s="587"/>
      <c r="AR697" s="587"/>
      <c r="AS697" s="587"/>
      <c r="AT697" s="587"/>
      <c r="AU697" s="587"/>
      <c r="AV697" s="587"/>
      <c r="AW697" s="587"/>
    </row>
    <row r="698" spans="1:49">
      <c r="A698" s="581">
        <v>30590</v>
      </c>
      <c r="B698" s="594">
        <v>-1.1599999999999999E-2</v>
      </c>
      <c r="C698" s="577">
        <v>5.3199999999999997E-2</v>
      </c>
      <c r="D698" s="577">
        <v>9.4999999999999998E-3</v>
      </c>
      <c r="E698" s="577">
        <v>1.0208333333333333E-2</v>
      </c>
      <c r="F698" s="577">
        <v>1.0408333333333332E-2</v>
      </c>
      <c r="G698" s="577">
        <v>1.0308333333333333E-2</v>
      </c>
      <c r="H698" s="577">
        <v>1.1043666666666667E-2</v>
      </c>
      <c r="I698" s="577">
        <f t="shared" si="112"/>
        <v>-2.1100000000000001E-2</v>
      </c>
      <c r="J698" s="577">
        <f t="shared" si="116"/>
        <v>-2.1908333333333332E-2</v>
      </c>
      <c r="K698" s="577">
        <f t="shared" si="117"/>
        <v>4.215633333333333E-2</v>
      </c>
      <c r="L698" s="585">
        <f t="shared" si="113"/>
        <v>0.27938520668985878</v>
      </c>
      <c r="M698" s="585">
        <f t="shared" si="114"/>
        <v>0.11399999999999999</v>
      </c>
      <c r="N698" s="585">
        <f t="shared" si="118"/>
        <v>0.12369999999999999</v>
      </c>
      <c r="O698" s="586">
        <f t="shared" si="115"/>
        <v>0.16538520668985879</v>
      </c>
      <c r="P698" s="585">
        <f t="shared" si="119"/>
        <v>0.1556852066898588</v>
      </c>
      <c r="Q698" s="585">
        <f t="shared" si="120"/>
        <v>0.3007840872620422</v>
      </c>
      <c r="R698" s="585">
        <f t="shared" si="121"/>
        <v>0.132524</v>
      </c>
      <c r="S698" s="586">
        <f t="shared" si="122"/>
        <v>0.1682600872620422</v>
      </c>
      <c r="U698" s="587"/>
      <c r="V698" s="587"/>
      <c r="W698" s="587"/>
      <c r="X698" s="587"/>
      <c r="Y698" s="587"/>
      <c r="Z698" s="587"/>
      <c r="AA698" s="587"/>
      <c r="AB698" s="587"/>
      <c r="AC698" s="587"/>
      <c r="AE698" s="587"/>
      <c r="AF698" s="587"/>
      <c r="AG698" s="587"/>
      <c r="AH698" s="587"/>
      <c r="AI698" s="587"/>
      <c r="AJ698" s="587"/>
      <c r="AK698" s="587"/>
      <c r="AL698" s="587"/>
      <c r="AM698" s="587"/>
      <c r="AO698" s="587"/>
      <c r="AP698" s="587"/>
      <c r="AQ698" s="587"/>
      <c r="AR698" s="587"/>
      <c r="AS698" s="587"/>
      <c r="AT698" s="587"/>
      <c r="AU698" s="587"/>
      <c r="AV698" s="587"/>
      <c r="AW698" s="587"/>
    </row>
    <row r="699" spans="1:49">
      <c r="A699" s="581">
        <v>30621</v>
      </c>
      <c r="B699" s="594">
        <v>2.1100000000000001E-2</v>
      </c>
      <c r="C699" s="577">
        <v>-2.0400000000000001E-2</v>
      </c>
      <c r="D699" s="577">
        <v>9.4000000000000004E-3</v>
      </c>
      <c r="E699" s="577">
        <v>1.0341666666666667E-2</v>
      </c>
      <c r="F699" s="577">
        <v>1.0508333333333333E-2</v>
      </c>
      <c r="G699" s="577">
        <v>1.0425E-2</v>
      </c>
      <c r="H699" s="577">
        <v>1.1152749999999999E-2</v>
      </c>
      <c r="I699" s="577">
        <f t="shared" si="112"/>
        <v>1.17E-2</v>
      </c>
      <c r="J699" s="577">
        <f t="shared" si="116"/>
        <v>1.0675E-2</v>
      </c>
      <c r="K699" s="577">
        <f t="shared" si="117"/>
        <v>-3.1552750000000004E-2</v>
      </c>
      <c r="L699" s="585">
        <f t="shared" si="113"/>
        <v>0.25565189787679232</v>
      </c>
      <c r="M699" s="585">
        <f t="shared" si="114"/>
        <v>0.11280000000000001</v>
      </c>
      <c r="N699" s="585">
        <f t="shared" si="118"/>
        <v>0.12509999999999999</v>
      </c>
      <c r="O699" s="586">
        <f t="shared" si="115"/>
        <v>0.14285189787679231</v>
      </c>
      <c r="P699" s="585">
        <f t="shared" si="119"/>
        <v>0.13055189787679233</v>
      </c>
      <c r="Q699" s="585">
        <f t="shared" si="120"/>
        <v>0.27208554645292704</v>
      </c>
      <c r="R699" s="585">
        <f t="shared" si="121"/>
        <v>0.13383299999999998</v>
      </c>
      <c r="S699" s="586">
        <f t="shared" si="122"/>
        <v>0.13825254645292706</v>
      </c>
      <c r="U699" s="587"/>
      <c r="V699" s="587"/>
      <c r="W699" s="587"/>
      <c r="X699" s="587"/>
      <c r="Y699" s="587"/>
      <c r="Z699" s="587"/>
      <c r="AA699" s="587"/>
      <c r="AB699" s="587"/>
      <c r="AC699" s="587"/>
      <c r="AE699" s="587"/>
      <c r="AF699" s="587"/>
      <c r="AG699" s="587"/>
      <c r="AH699" s="587"/>
      <c r="AI699" s="587"/>
      <c r="AJ699" s="587"/>
      <c r="AK699" s="587"/>
      <c r="AL699" s="587"/>
      <c r="AM699" s="587"/>
      <c r="AO699" s="587"/>
      <c r="AP699" s="587"/>
      <c r="AQ699" s="587"/>
      <c r="AR699" s="587"/>
      <c r="AS699" s="587"/>
      <c r="AT699" s="587"/>
      <c r="AU699" s="587"/>
      <c r="AV699" s="587"/>
      <c r="AW699" s="587"/>
    </row>
    <row r="700" spans="1:49">
      <c r="A700" s="581">
        <v>30651</v>
      </c>
      <c r="B700" s="594">
        <v>-5.1999999999999998E-3</v>
      </c>
      <c r="C700" s="577">
        <v>-2.2600000000000002E-2</v>
      </c>
      <c r="D700" s="577">
        <v>9.4000000000000004E-3</v>
      </c>
      <c r="E700" s="577">
        <v>1.0475000000000002E-2</v>
      </c>
      <c r="F700" s="577">
        <v>1.0633333333333333E-2</v>
      </c>
      <c r="G700" s="577">
        <v>1.0554166666666667E-2</v>
      </c>
      <c r="H700" s="577">
        <v>1.126425E-2</v>
      </c>
      <c r="I700" s="577">
        <f t="shared" si="112"/>
        <v>-1.46E-2</v>
      </c>
      <c r="J700" s="577">
        <f t="shared" si="116"/>
        <v>-1.5754166666666666E-2</v>
      </c>
      <c r="K700" s="577">
        <f t="shared" si="117"/>
        <v>-3.3864249999999999E-2</v>
      </c>
      <c r="L700" s="585">
        <f t="shared" si="113"/>
        <v>0.22547091926599894</v>
      </c>
      <c r="M700" s="585">
        <f t="shared" si="114"/>
        <v>0.11280000000000001</v>
      </c>
      <c r="N700" s="585">
        <f t="shared" si="118"/>
        <v>0.12664999999999998</v>
      </c>
      <c r="O700" s="586">
        <f t="shared" si="115"/>
        <v>0.11267091926599893</v>
      </c>
      <c r="P700" s="585">
        <f t="shared" si="119"/>
        <v>9.8820919265998952E-2</v>
      </c>
      <c r="Q700" s="585">
        <f t="shared" si="120"/>
        <v>0.2001316728794309</v>
      </c>
      <c r="R700" s="585">
        <f t="shared" si="121"/>
        <v>0.13517099999999999</v>
      </c>
      <c r="S700" s="586">
        <f t="shared" si="122"/>
        <v>6.4960672879430914E-2</v>
      </c>
      <c r="U700" s="587"/>
      <c r="V700" s="587"/>
      <c r="W700" s="587"/>
      <c r="X700" s="587"/>
      <c r="Y700" s="587"/>
      <c r="Z700" s="587"/>
      <c r="AA700" s="587"/>
      <c r="AB700" s="587"/>
      <c r="AC700" s="587"/>
      <c r="AE700" s="587"/>
      <c r="AF700" s="587"/>
      <c r="AG700" s="587"/>
      <c r="AH700" s="587"/>
      <c r="AI700" s="587"/>
      <c r="AJ700" s="587"/>
      <c r="AK700" s="587"/>
      <c r="AL700" s="587"/>
      <c r="AM700" s="587"/>
      <c r="AO700" s="587"/>
      <c r="AP700" s="587"/>
      <c r="AQ700" s="587"/>
      <c r="AR700" s="587"/>
      <c r="AS700" s="587"/>
      <c r="AT700" s="587"/>
      <c r="AU700" s="587"/>
      <c r="AV700" s="587"/>
      <c r="AW700" s="587"/>
    </row>
    <row r="701" spans="1:49">
      <c r="A701" s="581">
        <v>30682</v>
      </c>
      <c r="B701" s="594">
        <v>-5.5999999999999999E-3</v>
      </c>
      <c r="C701" s="577">
        <v>4.82E-2</v>
      </c>
      <c r="D701" s="577">
        <v>1.03E-2</v>
      </c>
      <c r="E701" s="577">
        <v>1.0166666666666666E-2</v>
      </c>
      <c r="F701" s="577">
        <v>1.0591666666666668E-2</v>
      </c>
      <c r="G701" s="577">
        <v>1.0379166666666668E-2</v>
      </c>
      <c r="H701" s="577">
        <v>1.1167083333333333E-2</v>
      </c>
      <c r="I701" s="577">
        <f t="shared" si="112"/>
        <v>-1.5900000000000001E-2</v>
      </c>
      <c r="J701" s="577">
        <f t="shared" si="116"/>
        <v>-1.5979166666666669E-2</v>
      </c>
      <c r="K701" s="577">
        <f t="shared" si="117"/>
        <v>3.7032916666666665E-2</v>
      </c>
      <c r="L701" s="585">
        <f t="shared" si="113"/>
        <v>0.17490193031055679</v>
      </c>
      <c r="M701" s="585">
        <f t="shared" si="114"/>
        <v>0.1236</v>
      </c>
      <c r="N701" s="585">
        <f t="shared" si="118"/>
        <v>0.12455000000000002</v>
      </c>
      <c r="O701" s="586">
        <f t="shared" si="115"/>
        <v>5.1301930310556784E-2</v>
      </c>
      <c r="P701" s="585">
        <f t="shared" si="119"/>
        <v>5.0351930310556764E-2</v>
      </c>
      <c r="Q701" s="585">
        <f t="shared" si="120"/>
        <v>0.21285964087178932</v>
      </c>
      <c r="R701" s="585">
        <f t="shared" si="121"/>
        <v>0.13400499999999999</v>
      </c>
      <c r="S701" s="586">
        <f t="shared" si="122"/>
        <v>7.8854640871789339E-2</v>
      </c>
      <c r="U701" s="587"/>
      <c r="V701" s="587"/>
      <c r="W701" s="587"/>
      <c r="X701" s="587"/>
      <c r="Y701" s="587"/>
      <c r="Z701" s="587"/>
      <c r="AA701" s="587"/>
      <c r="AB701" s="587"/>
      <c r="AC701" s="587"/>
      <c r="AE701" s="587"/>
      <c r="AF701" s="587"/>
      <c r="AG701" s="587"/>
      <c r="AH701" s="587"/>
      <c r="AI701" s="587"/>
      <c r="AJ701" s="587"/>
      <c r="AK701" s="587"/>
      <c r="AL701" s="587"/>
      <c r="AM701" s="587"/>
      <c r="AO701" s="587"/>
      <c r="AP701" s="587"/>
      <c r="AQ701" s="587"/>
      <c r="AR701" s="587"/>
      <c r="AS701" s="587"/>
      <c r="AT701" s="587"/>
      <c r="AU701" s="587"/>
      <c r="AV701" s="587"/>
      <c r="AW701" s="587"/>
    </row>
    <row r="702" spans="1:49">
      <c r="A702" s="581">
        <v>30713</v>
      </c>
      <c r="B702" s="594">
        <v>-3.5200000000000002E-2</v>
      </c>
      <c r="C702" s="577">
        <v>-4.1100000000000005E-2</v>
      </c>
      <c r="D702" s="577">
        <v>9.1999999999999998E-3</v>
      </c>
      <c r="E702" s="577">
        <v>1.0066666666666666E-2</v>
      </c>
      <c r="F702" s="577">
        <v>1.0583333333333333E-2</v>
      </c>
      <c r="G702" s="577">
        <v>1.0324999999999999E-2</v>
      </c>
      <c r="H702" s="577">
        <v>1.1164166666666666E-2</v>
      </c>
      <c r="I702" s="577">
        <f t="shared" si="112"/>
        <v>-4.4400000000000002E-2</v>
      </c>
      <c r="J702" s="577">
        <f t="shared" si="116"/>
        <v>-4.5525000000000003E-2</v>
      </c>
      <c r="K702" s="577">
        <f t="shared" si="117"/>
        <v>-5.2264166666666667E-2</v>
      </c>
      <c r="L702" s="585">
        <f t="shared" si="113"/>
        <v>0.10816832766020701</v>
      </c>
      <c r="M702" s="585">
        <f t="shared" si="114"/>
        <v>0.1104</v>
      </c>
      <c r="N702" s="585">
        <f t="shared" si="118"/>
        <v>0.12389999999999998</v>
      </c>
      <c r="O702" s="586">
        <f t="shared" si="115"/>
        <v>-2.2316723397929894E-3</v>
      </c>
      <c r="P702" s="585">
        <f t="shared" si="119"/>
        <v>-1.5731672339792974E-2</v>
      </c>
      <c r="Q702" s="585">
        <f t="shared" si="120"/>
        <v>0.16359290608500099</v>
      </c>
      <c r="R702" s="585">
        <f t="shared" si="121"/>
        <v>0.13396999999999998</v>
      </c>
      <c r="S702" s="586">
        <f t="shared" si="122"/>
        <v>2.9622906085001011E-2</v>
      </c>
      <c r="U702" s="587"/>
      <c r="V702" s="587"/>
      <c r="W702" s="587"/>
      <c r="X702" s="587"/>
      <c r="Y702" s="587"/>
      <c r="Z702" s="587"/>
      <c r="AA702" s="587"/>
      <c r="AB702" s="587"/>
      <c r="AC702" s="587"/>
      <c r="AE702" s="587"/>
      <c r="AF702" s="587"/>
      <c r="AG702" s="587"/>
      <c r="AH702" s="587"/>
      <c r="AI702" s="587"/>
      <c r="AJ702" s="587"/>
      <c r="AK702" s="587"/>
      <c r="AL702" s="587"/>
      <c r="AM702" s="587"/>
      <c r="AO702" s="587"/>
      <c r="AP702" s="587"/>
      <c r="AQ702" s="587"/>
      <c r="AR702" s="587"/>
      <c r="AS702" s="587"/>
      <c r="AT702" s="587"/>
      <c r="AU702" s="587"/>
      <c r="AV702" s="587"/>
      <c r="AW702" s="587"/>
    </row>
    <row r="703" spans="1:49">
      <c r="A703" s="581">
        <v>30742</v>
      </c>
      <c r="B703" s="594">
        <v>1.7299999999999999E-2</v>
      </c>
      <c r="C703" s="577">
        <v>-5.4999999999999997E-3</v>
      </c>
      <c r="D703" s="577">
        <v>9.7999999999999997E-3</v>
      </c>
      <c r="E703" s="577">
        <v>1.0475000000000002E-2</v>
      </c>
      <c r="F703" s="577">
        <v>1.1016666666666668E-2</v>
      </c>
      <c r="G703" s="577">
        <v>1.0745833333333335E-2</v>
      </c>
      <c r="H703" s="577">
        <v>1.1476916666666665E-2</v>
      </c>
      <c r="I703" s="577">
        <f t="shared" si="112"/>
        <v>7.4999999999999997E-3</v>
      </c>
      <c r="J703" s="577">
        <f t="shared" si="116"/>
        <v>6.5541666666666647E-3</v>
      </c>
      <c r="K703" s="577">
        <f t="shared" si="117"/>
        <v>-1.6976916666666664E-2</v>
      </c>
      <c r="L703" s="585">
        <f t="shared" si="113"/>
        <v>8.7221178251257303E-2</v>
      </c>
      <c r="M703" s="585">
        <f t="shared" si="114"/>
        <v>0.1176</v>
      </c>
      <c r="N703" s="585">
        <f t="shared" si="118"/>
        <v>0.12895000000000001</v>
      </c>
      <c r="O703" s="586">
        <f t="shared" si="115"/>
        <v>-3.0378821748742693E-2</v>
      </c>
      <c r="P703" s="585">
        <f t="shared" si="119"/>
        <v>-4.1728821748742706E-2</v>
      </c>
      <c r="Q703" s="585">
        <f t="shared" si="120"/>
        <v>0.15522925536740884</v>
      </c>
      <c r="R703" s="585">
        <f t="shared" si="121"/>
        <v>0.13772299999999998</v>
      </c>
      <c r="S703" s="586">
        <f t="shared" si="122"/>
        <v>1.7506255367408852E-2</v>
      </c>
      <c r="U703" s="587"/>
      <c r="V703" s="587"/>
      <c r="W703" s="587"/>
      <c r="X703" s="587"/>
      <c r="Y703" s="587"/>
      <c r="Z703" s="587"/>
      <c r="AA703" s="587"/>
      <c r="AB703" s="587"/>
      <c r="AC703" s="587"/>
      <c r="AE703" s="587"/>
      <c r="AF703" s="587"/>
      <c r="AG703" s="587"/>
      <c r="AH703" s="587"/>
      <c r="AI703" s="587"/>
      <c r="AJ703" s="587"/>
      <c r="AK703" s="587"/>
      <c r="AL703" s="587"/>
      <c r="AM703" s="587"/>
      <c r="AO703" s="587"/>
      <c r="AP703" s="587"/>
      <c r="AQ703" s="587"/>
      <c r="AR703" s="587"/>
      <c r="AS703" s="587"/>
      <c r="AT703" s="587"/>
      <c r="AU703" s="587"/>
      <c r="AV703" s="587"/>
      <c r="AW703" s="587"/>
    </row>
    <row r="704" spans="1:49">
      <c r="A704" s="581">
        <v>30773</v>
      </c>
      <c r="B704" s="594">
        <v>9.4999999999999998E-3</v>
      </c>
      <c r="C704" s="577">
        <v>1.5900000000000001E-2</v>
      </c>
      <c r="D704" s="577">
        <v>1.04E-2</v>
      </c>
      <c r="E704" s="577">
        <v>1.0675E-2</v>
      </c>
      <c r="F704" s="577">
        <v>1.1233333333333333E-2</v>
      </c>
      <c r="G704" s="577">
        <v>1.0954166666666668E-2</v>
      </c>
      <c r="H704" s="577">
        <v>1.1774166666666665E-2</v>
      </c>
      <c r="I704" s="577">
        <f t="shared" si="112"/>
        <v>-8.9999999999999976E-4</v>
      </c>
      <c r="J704" s="577">
        <f t="shared" si="116"/>
        <v>-1.4541666666666678E-3</v>
      </c>
      <c r="K704" s="577">
        <f t="shared" si="117"/>
        <v>4.1258333333333355E-3</v>
      </c>
      <c r="L704" s="585">
        <f t="shared" si="113"/>
        <v>1.7380218246796586E-2</v>
      </c>
      <c r="M704" s="585">
        <f t="shared" si="114"/>
        <v>0.12479999999999999</v>
      </c>
      <c r="N704" s="585">
        <f t="shared" si="118"/>
        <v>0.13145000000000001</v>
      </c>
      <c r="O704" s="586">
        <f t="shared" si="115"/>
        <v>-0.10741978175320341</v>
      </c>
      <c r="P704" s="585">
        <f t="shared" si="119"/>
        <v>-0.11406978175320343</v>
      </c>
      <c r="Q704" s="585">
        <f t="shared" si="120"/>
        <v>0.11020471150104139</v>
      </c>
      <c r="R704" s="585">
        <f t="shared" si="121"/>
        <v>0.14128999999999997</v>
      </c>
      <c r="S704" s="586">
        <f t="shared" si="122"/>
        <v>-3.1085288498958585E-2</v>
      </c>
      <c r="U704" s="587"/>
      <c r="V704" s="587"/>
      <c r="W704" s="587"/>
      <c r="X704" s="587"/>
      <c r="Y704" s="587"/>
      <c r="Z704" s="587"/>
      <c r="AA704" s="587"/>
      <c r="AB704" s="587"/>
      <c r="AC704" s="587"/>
      <c r="AE704" s="587"/>
      <c r="AF704" s="587"/>
      <c r="AG704" s="587"/>
      <c r="AH704" s="587"/>
      <c r="AI704" s="587"/>
      <c r="AJ704" s="587"/>
      <c r="AK704" s="587"/>
      <c r="AL704" s="587"/>
      <c r="AM704" s="587"/>
      <c r="AO704" s="587"/>
      <c r="AP704" s="587"/>
      <c r="AQ704" s="587"/>
      <c r="AR704" s="587"/>
      <c r="AS704" s="587"/>
      <c r="AT704" s="587"/>
      <c r="AU704" s="587"/>
      <c r="AV704" s="587"/>
      <c r="AW704" s="587"/>
    </row>
    <row r="705" spans="1:49">
      <c r="A705" s="581">
        <v>30803</v>
      </c>
      <c r="B705" s="594">
        <v>-5.5399999999999998E-2</v>
      </c>
      <c r="C705" s="577">
        <v>-2.3E-2</v>
      </c>
      <c r="D705" s="577">
        <v>1.03E-2</v>
      </c>
      <c r="E705" s="577">
        <v>1.1066666666666667E-2</v>
      </c>
      <c r="F705" s="577">
        <v>1.175E-2</v>
      </c>
      <c r="G705" s="577">
        <v>1.1408333333333333E-2</v>
      </c>
      <c r="H705" s="577">
        <v>1.2399583333333332E-2</v>
      </c>
      <c r="I705" s="577">
        <f t="shared" si="112"/>
        <v>-6.5699999999999995E-2</v>
      </c>
      <c r="J705" s="577">
        <f t="shared" si="116"/>
        <v>-6.6808333333333331E-2</v>
      </c>
      <c r="K705" s="577">
        <f t="shared" si="117"/>
        <v>-3.5399583333333332E-2</v>
      </c>
      <c r="L705" s="585">
        <f t="shared" si="113"/>
        <v>-3.0548417072608025E-2</v>
      </c>
      <c r="M705" s="585">
        <f t="shared" si="114"/>
        <v>0.1236</v>
      </c>
      <c r="N705" s="585">
        <f t="shared" si="118"/>
        <v>0.13689999999999999</v>
      </c>
      <c r="O705" s="586">
        <f t="shared" si="115"/>
        <v>-0.15414841707260801</v>
      </c>
      <c r="P705" s="585">
        <f t="shared" si="119"/>
        <v>-0.16744841707260802</v>
      </c>
      <c r="Q705" s="585">
        <f t="shared" si="120"/>
        <v>7.1384831229274415E-2</v>
      </c>
      <c r="R705" s="585">
        <f t="shared" si="121"/>
        <v>0.14879499999999998</v>
      </c>
      <c r="S705" s="586">
        <f t="shared" si="122"/>
        <v>-7.7410168770725568E-2</v>
      </c>
      <c r="U705" s="587"/>
      <c r="V705" s="587"/>
      <c r="W705" s="587"/>
      <c r="X705" s="587"/>
      <c r="Y705" s="587"/>
      <c r="Z705" s="587"/>
      <c r="AA705" s="587"/>
      <c r="AB705" s="587"/>
      <c r="AC705" s="587"/>
      <c r="AE705" s="587"/>
      <c r="AF705" s="587"/>
      <c r="AG705" s="587"/>
      <c r="AH705" s="587"/>
      <c r="AI705" s="587"/>
      <c r="AJ705" s="587"/>
      <c r="AK705" s="587"/>
      <c r="AL705" s="587"/>
      <c r="AM705" s="587"/>
      <c r="AO705" s="587"/>
      <c r="AP705" s="587"/>
      <c r="AQ705" s="587"/>
      <c r="AR705" s="587"/>
      <c r="AS705" s="587"/>
      <c r="AT705" s="587"/>
      <c r="AU705" s="587"/>
      <c r="AV705" s="587"/>
      <c r="AW705" s="587"/>
    </row>
    <row r="706" spans="1:49">
      <c r="A706" s="581">
        <v>30834</v>
      </c>
      <c r="B706" s="594">
        <v>2.1700000000000001E-2</v>
      </c>
      <c r="C706" s="577">
        <v>6.9000000000000008E-3</v>
      </c>
      <c r="D706" s="577">
        <v>1.06E-2</v>
      </c>
      <c r="E706" s="577">
        <v>1.1291666666666667E-2</v>
      </c>
      <c r="F706" s="577">
        <v>1.1941666666666666E-2</v>
      </c>
      <c r="G706" s="577">
        <v>1.1616666666666666E-2</v>
      </c>
      <c r="H706" s="577">
        <v>1.2580916666666666E-2</v>
      </c>
      <c r="I706" s="577">
        <f t="shared" si="112"/>
        <v>1.11E-2</v>
      </c>
      <c r="J706" s="577">
        <f t="shared" si="116"/>
        <v>1.0083333333333335E-2</v>
      </c>
      <c r="K706" s="577">
        <f t="shared" si="117"/>
        <v>-5.6809166666666648E-3</v>
      </c>
      <c r="L706" s="585">
        <f t="shared" si="113"/>
        <v>-4.6598630978037514E-2</v>
      </c>
      <c r="M706" s="585">
        <f t="shared" si="114"/>
        <v>0.12720000000000001</v>
      </c>
      <c r="N706" s="585">
        <f t="shared" si="118"/>
        <v>0.1394</v>
      </c>
      <c r="O706" s="586">
        <f t="shared" si="115"/>
        <v>-0.17379863097803752</v>
      </c>
      <c r="P706" s="585">
        <f t="shared" si="119"/>
        <v>-0.18599863097803751</v>
      </c>
      <c r="Q706" s="585">
        <f t="shared" si="120"/>
        <v>9.2211589110819059E-2</v>
      </c>
      <c r="R706" s="585">
        <f t="shared" si="121"/>
        <v>0.15097099999999999</v>
      </c>
      <c r="S706" s="586">
        <f t="shared" si="122"/>
        <v>-5.8759410889180935E-2</v>
      </c>
      <c r="U706" s="587"/>
      <c r="V706" s="587"/>
      <c r="W706" s="587"/>
      <c r="X706" s="587"/>
      <c r="Y706" s="587"/>
      <c r="Z706" s="587"/>
      <c r="AA706" s="587"/>
      <c r="AB706" s="587"/>
      <c r="AC706" s="587"/>
      <c r="AE706" s="587"/>
      <c r="AF706" s="587"/>
      <c r="AG706" s="587"/>
      <c r="AH706" s="587"/>
      <c r="AI706" s="587"/>
      <c r="AJ706" s="587"/>
      <c r="AK706" s="587"/>
      <c r="AL706" s="587"/>
      <c r="AM706" s="587"/>
      <c r="AO706" s="587"/>
      <c r="AP706" s="587"/>
      <c r="AQ706" s="587"/>
      <c r="AR706" s="587"/>
      <c r="AS706" s="587"/>
      <c r="AT706" s="587"/>
      <c r="AU706" s="587"/>
      <c r="AV706" s="587"/>
      <c r="AW706" s="587"/>
    </row>
    <row r="707" spans="1:49">
      <c r="A707" s="581">
        <v>30864</v>
      </c>
      <c r="B707" s="594">
        <v>-1.24E-2</v>
      </c>
      <c r="C707" s="577">
        <v>4.3299999999999998E-2</v>
      </c>
      <c r="D707" s="577">
        <v>1.1599999999999999E-2</v>
      </c>
      <c r="E707" s="577">
        <v>1.1199999999999998E-2</v>
      </c>
      <c r="F707" s="577">
        <v>1.1766666666666665E-2</v>
      </c>
      <c r="G707" s="577">
        <v>1.1483333333333332E-2</v>
      </c>
      <c r="H707" s="577">
        <v>1.2383750000000001E-2</v>
      </c>
      <c r="I707" s="577">
        <f t="shared" si="112"/>
        <v>-2.4E-2</v>
      </c>
      <c r="J707" s="577">
        <f t="shared" si="116"/>
        <v>-2.3883333333333333E-2</v>
      </c>
      <c r="K707" s="577">
        <f t="shared" si="117"/>
        <v>3.0916249999999999E-2</v>
      </c>
      <c r="L707" s="585">
        <f t="shared" si="113"/>
        <v>-2.9799905156011941E-2</v>
      </c>
      <c r="M707" s="585">
        <f t="shared" si="114"/>
        <v>0.13919999999999999</v>
      </c>
      <c r="N707" s="585">
        <f t="shared" si="118"/>
        <v>0.13779999999999998</v>
      </c>
      <c r="O707" s="586">
        <f t="shared" si="115"/>
        <v>-0.16899990515601193</v>
      </c>
      <c r="P707" s="585">
        <f t="shared" si="119"/>
        <v>-0.16759990515601192</v>
      </c>
      <c r="Q707" s="585">
        <f t="shared" si="120"/>
        <v>0.10214174573877344</v>
      </c>
      <c r="R707" s="585">
        <f t="shared" si="121"/>
        <v>0.14860500000000001</v>
      </c>
      <c r="S707" s="586">
        <f t="shared" si="122"/>
        <v>-4.6463254261226578E-2</v>
      </c>
      <c r="U707" s="587"/>
      <c r="V707" s="587"/>
      <c r="W707" s="587"/>
      <c r="X707" s="587"/>
      <c r="Y707" s="587"/>
      <c r="Z707" s="587"/>
      <c r="AA707" s="587"/>
      <c r="AB707" s="587"/>
      <c r="AC707" s="587"/>
      <c r="AE707" s="587"/>
      <c r="AF707" s="587"/>
      <c r="AG707" s="587"/>
      <c r="AH707" s="587"/>
      <c r="AI707" s="587"/>
      <c r="AJ707" s="587"/>
      <c r="AK707" s="587"/>
      <c r="AL707" s="587"/>
      <c r="AM707" s="587"/>
      <c r="AO707" s="587"/>
      <c r="AP707" s="587"/>
      <c r="AQ707" s="587"/>
      <c r="AR707" s="587"/>
      <c r="AS707" s="587"/>
      <c r="AT707" s="587"/>
      <c r="AU707" s="587"/>
      <c r="AV707" s="587"/>
      <c r="AW707" s="587"/>
    </row>
    <row r="708" spans="1:49">
      <c r="A708" s="581">
        <v>30895</v>
      </c>
      <c r="B708" s="594">
        <v>0.1104</v>
      </c>
      <c r="C708" s="577">
        <v>6.4600000000000005E-2</v>
      </c>
      <c r="D708" s="577">
        <v>1.06E-2</v>
      </c>
      <c r="E708" s="577">
        <v>1.0725E-2</v>
      </c>
      <c r="F708" s="577">
        <v>1.1225000000000001E-2</v>
      </c>
      <c r="G708" s="577">
        <v>1.0975000000000002E-2</v>
      </c>
      <c r="H708" s="577">
        <v>1.202425E-2</v>
      </c>
      <c r="I708" s="577">
        <f t="shared" si="112"/>
        <v>9.98E-2</v>
      </c>
      <c r="J708" s="577">
        <f t="shared" si="116"/>
        <v>9.9424999999999999E-2</v>
      </c>
      <c r="K708" s="577">
        <f t="shared" si="117"/>
        <v>5.2575750000000004E-2</v>
      </c>
      <c r="L708" s="585">
        <f t="shared" si="113"/>
        <v>6.1389345137698781E-2</v>
      </c>
      <c r="M708" s="585">
        <f t="shared" si="114"/>
        <v>0.12720000000000001</v>
      </c>
      <c r="N708" s="585">
        <f t="shared" si="118"/>
        <v>0.13170000000000004</v>
      </c>
      <c r="O708" s="586">
        <f t="shared" si="115"/>
        <v>-6.5810654862301227E-2</v>
      </c>
      <c r="P708" s="585">
        <f t="shared" si="119"/>
        <v>-7.0310654862301258E-2</v>
      </c>
      <c r="Q708" s="585">
        <f t="shared" si="120"/>
        <v>0.16866544075049617</v>
      </c>
      <c r="R708" s="585">
        <f t="shared" si="121"/>
        <v>0.144291</v>
      </c>
      <c r="S708" s="586">
        <f t="shared" si="122"/>
        <v>2.4374440750496162E-2</v>
      </c>
      <c r="U708" s="587"/>
      <c r="V708" s="587"/>
      <c r="W708" s="587"/>
      <c r="X708" s="587"/>
      <c r="Y708" s="587"/>
      <c r="Z708" s="587"/>
      <c r="AA708" s="587"/>
      <c r="AB708" s="587"/>
      <c r="AC708" s="587"/>
      <c r="AE708" s="587"/>
      <c r="AF708" s="587"/>
      <c r="AG708" s="587"/>
      <c r="AH708" s="587"/>
      <c r="AI708" s="587"/>
      <c r="AJ708" s="587"/>
      <c r="AK708" s="587"/>
      <c r="AL708" s="587"/>
      <c r="AM708" s="587"/>
      <c r="AO708" s="587"/>
      <c r="AP708" s="587"/>
      <c r="AQ708" s="587"/>
      <c r="AR708" s="587"/>
      <c r="AS708" s="587"/>
      <c r="AT708" s="587"/>
      <c r="AU708" s="587"/>
      <c r="AV708" s="587"/>
      <c r="AW708" s="587"/>
    </row>
    <row r="709" spans="1:49">
      <c r="A709" s="581">
        <v>30926</v>
      </c>
      <c r="B709" s="594">
        <v>2.0000000000000001E-4</v>
      </c>
      <c r="C709" s="577">
        <v>4.3800000000000006E-2</v>
      </c>
      <c r="D709" s="577">
        <v>9.4000000000000004E-3</v>
      </c>
      <c r="E709" s="577">
        <v>1.0549999999999999E-2</v>
      </c>
      <c r="F709" s="577">
        <v>1.1058333333333331E-2</v>
      </c>
      <c r="G709" s="577">
        <v>1.0804166666666665E-2</v>
      </c>
      <c r="H709" s="577">
        <v>1.1822833333333333E-2</v>
      </c>
      <c r="I709" s="577">
        <f t="shared" si="112"/>
        <v>-9.1999999999999998E-3</v>
      </c>
      <c r="J709" s="577">
        <f t="shared" si="116"/>
        <v>-1.0604166666666665E-2</v>
      </c>
      <c r="K709" s="577">
        <f t="shared" si="117"/>
        <v>3.1977166666666675E-2</v>
      </c>
      <c r="L709" s="585">
        <f t="shared" si="113"/>
        <v>4.7150940034253352E-2</v>
      </c>
      <c r="M709" s="585">
        <f t="shared" si="114"/>
        <v>0.11280000000000001</v>
      </c>
      <c r="N709" s="585">
        <f t="shared" si="118"/>
        <v>0.12964999999999999</v>
      </c>
      <c r="O709" s="586">
        <f t="shared" si="115"/>
        <v>-6.5649059965746659E-2</v>
      </c>
      <c r="P709" s="585">
        <f t="shared" si="119"/>
        <v>-8.2499059965746635E-2</v>
      </c>
      <c r="Q709" s="585">
        <f t="shared" si="120"/>
        <v>0.1678822279132286</v>
      </c>
      <c r="R709" s="585">
        <f t="shared" si="121"/>
        <v>0.141874</v>
      </c>
      <c r="S709" s="586">
        <f t="shared" si="122"/>
        <v>2.6008227913228599E-2</v>
      </c>
      <c r="U709" s="587"/>
      <c r="V709" s="587"/>
      <c r="W709" s="587"/>
      <c r="X709" s="587"/>
      <c r="Y709" s="587"/>
      <c r="Z709" s="587"/>
      <c r="AA709" s="587"/>
      <c r="AB709" s="587"/>
      <c r="AC709" s="587"/>
      <c r="AE709" s="587"/>
      <c r="AF709" s="587"/>
      <c r="AG709" s="587"/>
      <c r="AH709" s="587"/>
      <c r="AI709" s="587"/>
      <c r="AJ709" s="587"/>
      <c r="AK709" s="587"/>
      <c r="AL709" s="587"/>
      <c r="AM709" s="587"/>
      <c r="AO709" s="587"/>
      <c r="AP709" s="587"/>
      <c r="AQ709" s="587"/>
      <c r="AR709" s="587"/>
      <c r="AS709" s="587"/>
      <c r="AT709" s="587"/>
      <c r="AU709" s="587"/>
      <c r="AV709" s="587"/>
      <c r="AW709" s="587"/>
    </row>
    <row r="710" spans="1:49">
      <c r="A710" s="581">
        <v>30956</v>
      </c>
      <c r="B710" s="594">
        <v>3.8999999999999998E-3</v>
      </c>
      <c r="C710" s="577">
        <v>2.7199999999999998E-2</v>
      </c>
      <c r="D710" s="577">
        <v>1.0800000000000001E-2</v>
      </c>
      <c r="E710" s="577">
        <v>1.0525E-2</v>
      </c>
      <c r="F710" s="577">
        <v>1.0925000000000001E-2</v>
      </c>
      <c r="G710" s="577">
        <v>1.0725E-2</v>
      </c>
      <c r="H710" s="577">
        <v>1.1524666666666666E-2</v>
      </c>
      <c r="I710" s="577">
        <f t="shared" ref="I710:I773" si="123">B710-D710</f>
        <v>-6.9000000000000008E-3</v>
      </c>
      <c r="J710" s="577">
        <f t="shared" si="116"/>
        <v>-6.8250000000000003E-3</v>
      </c>
      <c r="K710" s="577">
        <f t="shared" si="117"/>
        <v>1.5675333333333333E-2</v>
      </c>
      <c r="L710" s="585">
        <f t="shared" si="113"/>
        <v>6.3572266997558691E-2</v>
      </c>
      <c r="M710" s="585">
        <f t="shared" si="114"/>
        <v>0.12959999999999999</v>
      </c>
      <c r="N710" s="585">
        <f t="shared" si="118"/>
        <v>0.12870000000000001</v>
      </c>
      <c r="O710" s="586">
        <f t="shared" si="115"/>
        <v>-6.6027733002441302E-2</v>
      </c>
      <c r="P710" s="585">
        <f t="shared" si="119"/>
        <v>-6.5127733002441318E-2</v>
      </c>
      <c r="Q710" s="585">
        <f t="shared" si="120"/>
        <v>0.13905110568977297</v>
      </c>
      <c r="R710" s="585">
        <f t="shared" si="121"/>
        <v>0.13829599999999997</v>
      </c>
      <c r="S710" s="586">
        <f t="shared" si="122"/>
        <v>7.5510568977299464E-4</v>
      </c>
      <c r="U710" s="587"/>
      <c r="V710" s="587"/>
      <c r="W710" s="587"/>
      <c r="X710" s="587"/>
      <c r="Y710" s="587"/>
      <c r="Z710" s="587"/>
      <c r="AA710" s="587"/>
      <c r="AB710" s="587"/>
      <c r="AC710" s="587"/>
      <c r="AE710" s="587"/>
      <c r="AF710" s="587"/>
      <c r="AG710" s="587"/>
      <c r="AH710" s="587"/>
      <c r="AI710" s="587"/>
      <c r="AJ710" s="587"/>
      <c r="AK710" s="587"/>
      <c r="AL710" s="587"/>
      <c r="AM710" s="587"/>
      <c r="AO710" s="587"/>
      <c r="AP710" s="587"/>
      <c r="AQ710" s="587"/>
      <c r="AR710" s="587"/>
      <c r="AS710" s="587"/>
      <c r="AT710" s="587"/>
      <c r="AU710" s="587"/>
      <c r="AV710" s="587"/>
      <c r="AW710" s="587"/>
    </row>
    <row r="711" spans="1:49">
      <c r="A711" s="581">
        <v>30987</v>
      </c>
      <c r="B711" s="594">
        <v>-1.12E-2</v>
      </c>
      <c r="C711" s="577">
        <v>2.7000000000000003E-2</v>
      </c>
      <c r="D711" s="577">
        <v>9.1000000000000004E-3</v>
      </c>
      <c r="E711" s="577">
        <v>1.0241666666666666E-2</v>
      </c>
      <c r="F711" s="577">
        <v>1.0549999999999999E-2</v>
      </c>
      <c r="G711" s="577">
        <v>1.0395833333333333E-2</v>
      </c>
      <c r="H711" s="577">
        <v>1.1038916666666667E-2</v>
      </c>
      <c r="I711" s="577">
        <f t="shared" si="123"/>
        <v>-2.0299999999999999E-2</v>
      </c>
      <c r="J711" s="577">
        <f t="shared" si="116"/>
        <v>-2.1595833333333335E-2</v>
      </c>
      <c r="K711" s="577">
        <f t="shared" si="117"/>
        <v>1.5961083333333334E-2</v>
      </c>
      <c r="L711" s="585">
        <f t="shared" si="113"/>
        <v>2.9928760755250305E-2</v>
      </c>
      <c r="M711" s="585">
        <f t="shared" si="114"/>
        <v>0.10920000000000001</v>
      </c>
      <c r="N711" s="585">
        <f t="shared" si="118"/>
        <v>0.12475</v>
      </c>
      <c r="O711" s="586">
        <f t="shared" si="115"/>
        <v>-7.92712392447497E-2</v>
      </c>
      <c r="P711" s="585">
        <f t="shared" si="119"/>
        <v>-9.4821239244749694E-2</v>
      </c>
      <c r="Q711" s="585">
        <f t="shared" si="120"/>
        <v>0.19416648177153628</v>
      </c>
      <c r="R711" s="585">
        <f t="shared" si="121"/>
        <v>0.132467</v>
      </c>
      <c r="S711" s="586">
        <f t="shared" si="122"/>
        <v>6.169948177153628E-2</v>
      </c>
      <c r="U711" s="587"/>
      <c r="V711" s="587"/>
      <c r="W711" s="587"/>
      <c r="X711" s="587"/>
      <c r="Y711" s="587"/>
      <c r="Z711" s="587"/>
      <c r="AA711" s="587"/>
      <c r="AB711" s="587"/>
      <c r="AC711" s="587"/>
      <c r="AE711" s="587"/>
      <c r="AF711" s="587"/>
      <c r="AG711" s="587"/>
      <c r="AH711" s="587"/>
      <c r="AI711" s="587"/>
      <c r="AJ711" s="587"/>
      <c r="AK711" s="587"/>
      <c r="AL711" s="587"/>
      <c r="AM711" s="587"/>
      <c r="AO711" s="587"/>
      <c r="AP711" s="587"/>
      <c r="AQ711" s="587"/>
      <c r="AR711" s="587"/>
      <c r="AS711" s="587"/>
      <c r="AT711" s="587"/>
      <c r="AU711" s="587"/>
      <c r="AV711" s="587"/>
      <c r="AW711" s="587"/>
    </row>
    <row r="712" spans="1:49">
      <c r="A712" s="581">
        <v>31017</v>
      </c>
      <c r="B712" s="594">
        <v>2.63E-2</v>
      </c>
      <c r="C712" s="577">
        <v>3.1599999999999996E-2</v>
      </c>
      <c r="D712" s="577">
        <v>9.7999999999999997E-3</v>
      </c>
      <c r="E712" s="577">
        <v>1.0108333333333335E-2</v>
      </c>
      <c r="F712" s="577">
        <v>1.0416666666666668E-2</v>
      </c>
      <c r="G712" s="577">
        <v>1.0262500000000001E-2</v>
      </c>
      <c r="H712" s="577">
        <v>1.0891249999999998E-2</v>
      </c>
      <c r="I712" s="577">
        <f t="shared" si="123"/>
        <v>1.6500000000000001E-2</v>
      </c>
      <c r="J712" s="577">
        <f t="shared" si="116"/>
        <v>1.60375E-2</v>
      </c>
      <c r="K712" s="577">
        <f t="shared" si="117"/>
        <v>2.0708749999999998E-2</v>
      </c>
      <c r="L712" s="585">
        <f t="shared" si="113"/>
        <v>6.2541100887729906E-2</v>
      </c>
      <c r="M712" s="585">
        <f t="shared" si="114"/>
        <v>0.1176</v>
      </c>
      <c r="N712" s="585">
        <f t="shared" si="118"/>
        <v>0.12315000000000001</v>
      </c>
      <c r="O712" s="586">
        <f t="shared" si="115"/>
        <v>-5.505889911227009E-2</v>
      </c>
      <c r="P712" s="585">
        <f t="shared" si="119"/>
        <v>-6.0608899112270104E-2</v>
      </c>
      <c r="Q712" s="585">
        <f t="shared" si="120"/>
        <v>0.26038688622418338</v>
      </c>
      <c r="R712" s="585">
        <f t="shared" si="121"/>
        <v>0.13069499999999998</v>
      </c>
      <c r="S712" s="586">
        <f t="shared" si="122"/>
        <v>0.1296918862241834</v>
      </c>
      <c r="U712" s="587"/>
      <c r="V712" s="587"/>
      <c r="W712" s="587"/>
      <c r="X712" s="587"/>
      <c r="Y712" s="587"/>
      <c r="Z712" s="587"/>
      <c r="AA712" s="587"/>
      <c r="AB712" s="587"/>
      <c r="AC712" s="587"/>
      <c r="AE712" s="587"/>
      <c r="AF712" s="587"/>
      <c r="AG712" s="587"/>
      <c r="AH712" s="587"/>
      <c r="AI712" s="587"/>
      <c r="AJ712" s="587"/>
      <c r="AK712" s="587"/>
      <c r="AL712" s="587"/>
      <c r="AM712" s="587"/>
      <c r="AO712" s="587"/>
      <c r="AP712" s="587"/>
      <c r="AQ712" s="587"/>
      <c r="AR712" s="587"/>
      <c r="AS712" s="587"/>
      <c r="AT712" s="587"/>
      <c r="AU712" s="587"/>
      <c r="AV712" s="587"/>
      <c r="AW712" s="587"/>
    </row>
    <row r="713" spans="1:49">
      <c r="A713" s="581">
        <v>31048</v>
      </c>
      <c r="B713" s="594">
        <v>7.7899999999999997E-2</v>
      </c>
      <c r="C713" s="577">
        <v>2.35E-2</v>
      </c>
      <c r="D713" s="577">
        <v>9.5999999999999992E-3</v>
      </c>
      <c r="E713" s="577">
        <v>1.0066666666666666E-2</v>
      </c>
      <c r="F713" s="577">
        <v>1.0358333333333334E-2</v>
      </c>
      <c r="G713" s="577">
        <v>1.0212499999999999E-2</v>
      </c>
      <c r="H713" s="577">
        <v>1.0821583333333334E-2</v>
      </c>
      <c r="I713" s="577">
        <f t="shared" si="123"/>
        <v>6.83E-2</v>
      </c>
      <c r="J713" s="577">
        <f t="shared" si="116"/>
        <v>6.7687499999999998E-2</v>
      </c>
      <c r="K713" s="577">
        <f t="shared" si="117"/>
        <v>1.2678416666666666E-2</v>
      </c>
      <c r="L713" s="585">
        <f t="shared" si="113"/>
        <v>0.15176292502703559</v>
      </c>
      <c r="M713" s="585">
        <f t="shared" si="114"/>
        <v>0.1152</v>
      </c>
      <c r="N713" s="585">
        <f t="shared" si="118"/>
        <v>0.12254999999999999</v>
      </c>
      <c r="O713" s="586">
        <f t="shared" si="115"/>
        <v>3.6562925027035592E-2</v>
      </c>
      <c r="P713" s="585">
        <f t="shared" si="119"/>
        <v>2.9212925027035597E-2</v>
      </c>
      <c r="Q713" s="585">
        <f t="shared" si="120"/>
        <v>0.23068687087430995</v>
      </c>
      <c r="R713" s="585">
        <f t="shared" si="121"/>
        <v>0.129859</v>
      </c>
      <c r="S713" s="586">
        <f t="shared" si="122"/>
        <v>0.10082787087430994</v>
      </c>
      <c r="U713" s="587"/>
      <c r="V713" s="587"/>
      <c r="W713" s="587"/>
      <c r="X713" s="587"/>
      <c r="Y713" s="587"/>
      <c r="Z713" s="587"/>
      <c r="AA713" s="587"/>
      <c r="AB713" s="587"/>
      <c r="AC713" s="587"/>
      <c r="AE713" s="587"/>
      <c r="AF713" s="587"/>
      <c r="AG713" s="587"/>
      <c r="AH713" s="587"/>
      <c r="AI713" s="587"/>
      <c r="AJ713" s="587"/>
      <c r="AK713" s="587"/>
      <c r="AL713" s="587"/>
      <c r="AM713" s="587"/>
      <c r="AO713" s="587"/>
      <c r="AP713" s="587"/>
      <c r="AQ713" s="587"/>
      <c r="AR713" s="587"/>
      <c r="AS713" s="587"/>
      <c r="AT713" s="587"/>
      <c r="AU713" s="587"/>
      <c r="AV713" s="587"/>
      <c r="AW713" s="587"/>
    </row>
    <row r="714" spans="1:49">
      <c r="A714" s="581">
        <v>31079</v>
      </c>
      <c r="B714" s="594">
        <v>1.2200000000000001E-2</v>
      </c>
      <c r="C714" s="577">
        <v>1.9300000000000001E-2</v>
      </c>
      <c r="D714" s="577">
        <v>8.2000000000000007E-3</v>
      </c>
      <c r="E714" s="577">
        <v>1.0108333333333335E-2</v>
      </c>
      <c r="F714" s="577">
        <v>1.0408333333333332E-2</v>
      </c>
      <c r="G714" s="577">
        <v>1.0258333333333335E-2</v>
      </c>
      <c r="H714" s="577">
        <v>1.0861833333333333E-2</v>
      </c>
      <c r="I714" s="577">
        <f t="shared" si="123"/>
        <v>4.0000000000000001E-3</v>
      </c>
      <c r="J714" s="577">
        <f t="shared" si="116"/>
        <v>1.9416666666666662E-3</v>
      </c>
      <c r="K714" s="577">
        <f t="shared" si="117"/>
        <v>8.4381666666666685E-3</v>
      </c>
      <c r="L714" s="585">
        <f t="shared" si="113"/>
        <v>0.2083482926123188</v>
      </c>
      <c r="M714" s="585">
        <f t="shared" si="114"/>
        <v>9.8400000000000015E-2</v>
      </c>
      <c r="N714" s="585">
        <f t="shared" si="118"/>
        <v>0.12310000000000001</v>
      </c>
      <c r="O714" s="586">
        <f t="shared" si="115"/>
        <v>0.10994829261231878</v>
      </c>
      <c r="P714" s="585">
        <f t="shared" si="119"/>
        <v>8.5248292612318782E-2</v>
      </c>
      <c r="Q714" s="585">
        <f t="shared" si="120"/>
        <v>0.30820641097318235</v>
      </c>
      <c r="R714" s="585">
        <f t="shared" si="121"/>
        <v>0.13034199999999999</v>
      </c>
      <c r="S714" s="586">
        <f t="shared" si="122"/>
        <v>0.17786441097318237</v>
      </c>
      <c r="U714" s="587"/>
      <c r="V714" s="587"/>
      <c r="W714" s="587"/>
      <c r="X714" s="587"/>
      <c r="Y714" s="587"/>
      <c r="Z714" s="587"/>
      <c r="AA714" s="587"/>
      <c r="AB714" s="587"/>
      <c r="AC714" s="587"/>
      <c r="AE714" s="587"/>
      <c r="AF714" s="587"/>
      <c r="AG714" s="587"/>
      <c r="AH714" s="587"/>
      <c r="AI714" s="587"/>
      <c r="AJ714" s="587"/>
      <c r="AK714" s="587"/>
      <c r="AL714" s="587"/>
      <c r="AM714" s="587"/>
      <c r="AO714" s="587"/>
      <c r="AP714" s="587"/>
      <c r="AQ714" s="587"/>
      <c r="AR714" s="587"/>
      <c r="AS714" s="587"/>
      <c r="AT714" s="587"/>
      <c r="AU714" s="587"/>
      <c r="AV714" s="587"/>
      <c r="AW714" s="587"/>
    </row>
    <row r="715" spans="1:49">
      <c r="A715" s="581">
        <v>31107</v>
      </c>
      <c r="B715" s="594">
        <v>6.9999999999999999E-4</v>
      </c>
      <c r="C715" s="577">
        <v>3.6200000000000003E-2</v>
      </c>
      <c r="D715" s="577">
        <v>9.4000000000000004E-3</v>
      </c>
      <c r="E715" s="577">
        <v>1.0466666666666666E-2</v>
      </c>
      <c r="F715" s="577">
        <v>1.0758333333333335E-2</v>
      </c>
      <c r="G715" s="577">
        <v>1.06125E-2</v>
      </c>
      <c r="H715" s="577">
        <v>1.1501166666666666E-2</v>
      </c>
      <c r="I715" s="577">
        <f t="shared" si="123"/>
        <v>-8.7000000000000011E-3</v>
      </c>
      <c r="J715" s="577">
        <f t="shared" si="116"/>
        <v>-9.9125000000000012E-3</v>
      </c>
      <c r="K715" s="577">
        <f t="shared" si="117"/>
        <v>2.4698833333333337E-2</v>
      </c>
      <c r="L715" s="585">
        <f t="shared" si="113"/>
        <v>0.18863082317619906</v>
      </c>
      <c r="M715" s="585">
        <f t="shared" si="114"/>
        <v>0.11280000000000001</v>
      </c>
      <c r="N715" s="585">
        <f t="shared" si="118"/>
        <v>0.12735000000000002</v>
      </c>
      <c r="O715" s="586">
        <f t="shared" si="115"/>
        <v>7.5830823176199047E-2</v>
      </c>
      <c r="P715" s="585">
        <f t="shared" si="119"/>
        <v>6.128082317619904E-2</v>
      </c>
      <c r="Q715" s="585">
        <f t="shared" si="120"/>
        <v>0.36306031478171108</v>
      </c>
      <c r="R715" s="585">
        <f t="shared" si="121"/>
        <v>0.138014</v>
      </c>
      <c r="S715" s="586">
        <f t="shared" si="122"/>
        <v>0.22504631478171108</v>
      </c>
      <c r="U715" s="587"/>
      <c r="V715" s="587"/>
      <c r="W715" s="587"/>
      <c r="X715" s="587"/>
      <c r="Y715" s="587"/>
      <c r="Z715" s="587"/>
      <c r="AA715" s="587"/>
      <c r="AB715" s="587"/>
      <c r="AC715" s="587"/>
      <c r="AE715" s="587"/>
      <c r="AF715" s="587"/>
      <c r="AG715" s="587"/>
      <c r="AH715" s="587"/>
      <c r="AI715" s="587"/>
      <c r="AJ715" s="587"/>
      <c r="AK715" s="587"/>
      <c r="AL715" s="587"/>
      <c r="AM715" s="587"/>
      <c r="AO715" s="587"/>
      <c r="AP715" s="587"/>
      <c r="AQ715" s="587"/>
      <c r="AR715" s="587"/>
      <c r="AS715" s="587"/>
      <c r="AT715" s="587"/>
      <c r="AU715" s="587"/>
      <c r="AV715" s="587"/>
      <c r="AW715" s="587"/>
    </row>
    <row r="716" spans="1:49">
      <c r="A716" s="581">
        <v>31138</v>
      </c>
      <c r="B716" s="594">
        <v>-8.9999999999999998E-4</v>
      </c>
      <c r="C716" s="577">
        <v>2.07E-2</v>
      </c>
      <c r="D716" s="577">
        <v>1.0200000000000001E-2</v>
      </c>
      <c r="E716" s="577">
        <v>1.0191666666666668E-2</v>
      </c>
      <c r="F716" s="577">
        <v>1.0574999999999999E-2</v>
      </c>
      <c r="G716" s="577">
        <v>1.0383333333333333E-2</v>
      </c>
      <c r="H716" s="577">
        <v>1.1322250000000001E-2</v>
      </c>
      <c r="I716" s="577">
        <f t="shared" si="123"/>
        <v>-1.11E-2</v>
      </c>
      <c r="J716" s="577">
        <f t="shared" si="116"/>
        <v>-1.1283333333333333E-2</v>
      </c>
      <c r="K716" s="577">
        <f t="shared" si="117"/>
        <v>9.3777499999999989E-3</v>
      </c>
      <c r="L716" s="585">
        <f t="shared" si="113"/>
        <v>0.17638539419053023</v>
      </c>
      <c r="M716" s="585">
        <f t="shared" si="114"/>
        <v>0.12240000000000001</v>
      </c>
      <c r="N716" s="585">
        <f t="shared" si="118"/>
        <v>0.12459999999999999</v>
      </c>
      <c r="O716" s="586">
        <f t="shared" si="115"/>
        <v>5.3985394190530223E-2</v>
      </c>
      <c r="P716" s="585">
        <f t="shared" si="119"/>
        <v>5.1785394190530243E-2</v>
      </c>
      <c r="Q716" s="585">
        <f t="shared" si="120"/>
        <v>0.36950060369888016</v>
      </c>
      <c r="R716" s="585">
        <f t="shared" si="121"/>
        <v>0.13586700000000002</v>
      </c>
      <c r="S716" s="586">
        <f t="shared" si="122"/>
        <v>0.23363360369888014</v>
      </c>
      <c r="U716" s="587"/>
      <c r="V716" s="587"/>
      <c r="W716" s="587"/>
      <c r="X716" s="587"/>
      <c r="Y716" s="587"/>
      <c r="Z716" s="587"/>
      <c r="AA716" s="587"/>
      <c r="AB716" s="587"/>
      <c r="AC716" s="587"/>
      <c r="AE716" s="587"/>
      <c r="AF716" s="587"/>
      <c r="AG716" s="587"/>
      <c r="AH716" s="587"/>
      <c r="AI716" s="587"/>
      <c r="AJ716" s="587"/>
      <c r="AK716" s="587"/>
      <c r="AL716" s="587"/>
      <c r="AM716" s="587"/>
      <c r="AO716" s="587"/>
      <c r="AP716" s="587"/>
      <c r="AQ716" s="587"/>
      <c r="AR716" s="587"/>
      <c r="AS716" s="587"/>
      <c r="AT716" s="587"/>
      <c r="AU716" s="587"/>
      <c r="AV716" s="587"/>
      <c r="AW716" s="587"/>
    </row>
    <row r="717" spans="1:49">
      <c r="A717" s="581">
        <v>31168</v>
      </c>
      <c r="B717" s="594">
        <v>5.7799999999999997E-2</v>
      </c>
      <c r="C717" s="577">
        <v>6.0600000000000008E-2</v>
      </c>
      <c r="D717" s="577">
        <v>9.7000000000000003E-3</v>
      </c>
      <c r="E717" s="577">
        <v>9.7666666666666666E-3</v>
      </c>
      <c r="F717" s="577">
        <v>1.0250000000000002E-2</v>
      </c>
      <c r="G717" s="577">
        <v>1.0008333333333334E-2</v>
      </c>
      <c r="H717" s="577">
        <v>1.0978416666666666E-2</v>
      </c>
      <c r="I717" s="577">
        <f t="shared" si="123"/>
        <v>4.8099999999999997E-2</v>
      </c>
      <c r="J717" s="577">
        <f t="shared" si="116"/>
        <v>4.7791666666666663E-2</v>
      </c>
      <c r="K717" s="577">
        <f t="shared" si="117"/>
        <v>4.9621583333333344E-2</v>
      </c>
      <c r="L717" s="585">
        <f t="shared" si="113"/>
        <v>0.31736234382251016</v>
      </c>
      <c r="M717" s="585">
        <f t="shared" si="114"/>
        <v>0.1164</v>
      </c>
      <c r="N717" s="585">
        <f t="shared" si="118"/>
        <v>0.12010000000000001</v>
      </c>
      <c r="O717" s="586">
        <f t="shared" si="115"/>
        <v>0.20096234382251016</v>
      </c>
      <c r="P717" s="585">
        <f t="shared" si="119"/>
        <v>0.19726234382251015</v>
      </c>
      <c r="Q717" s="585">
        <f t="shared" si="120"/>
        <v>0.48668612106758635</v>
      </c>
      <c r="R717" s="585">
        <f t="shared" si="121"/>
        <v>0.131741</v>
      </c>
      <c r="S717" s="586">
        <f t="shared" si="122"/>
        <v>0.35494512106758636</v>
      </c>
      <c r="U717" s="587"/>
      <c r="V717" s="587"/>
      <c r="W717" s="587"/>
      <c r="X717" s="587"/>
      <c r="Y717" s="587"/>
      <c r="Z717" s="587"/>
      <c r="AA717" s="587"/>
      <c r="AB717" s="587"/>
      <c r="AC717" s="587"/>
      <c r="AE717" s="587"/>
      <c r="AF717" s="587"/>
      <c r="AG717" s="587"/>
      <c r="AH717" s="587"/>
      <c r="AI717" s="587"/>
      <c r="AJ717" s="587"/>
      <c r="AK717" s="587"/>
      <c r="AL717" s="587"/>
      <c r="AM717" s="587"/>
      <c r="AO717" s="587"/>
      <c r="AP717" s="587"/>
      <c r="AQ717" s="587"/>
      <c r="AR717" s="587"/>
      <c r="AS717" s="587"/>
      <c r="AT717" s="587"/>
      <c r="AU717" s="587"/>
      <c r="AV717" s="587"/>
      <c r="AW717" s="587"/>
    </row>
    <row r="718" spans="1:49">
      <c r="A718" s="581">
        <v>31199</v>
      </c>
      <c r="B718" s="594">
        <v>1.5699999999999999E-2</v>
      </c>
      <c r="C718" s="577">
        <v>2.7900000000000001E-2</v>
      </c>
      <c r="D718" s="577">
        <v>8.0000000000000002E-3</v>
      </c>
      <c r="E718" s="577">
        <v>9.116666666666667E-3</v>
      </c>
      <c r="F718" s="577">
        <v>9.5500000000000012E-3</v>
      </c>
      <c r="G718" s="577">
        <v>9.3333333333333341E-3</v>
      </c>
      <c r="H718" s="577">
        <v>1.0119583333333333E-2</v>
      </c>
      <c r="I718" s="577">
        <f t="shared" si="123"/>
        <v>7.6999999999999985E-3</v>
      </c>
      <c r="J718" s="577">
        <f t="shared" si="116"/>
        <v>6.3666666666666646E-3</v>
      </c>
      <c r="K718" s="577">
        <f t="shared" si="117"/>
        <v>1.7780416666666667E-2</v>
      </c>
      <c r="L718" s="585">
        <f t="shared" si="113"/>
        <v>0.30962604739211508</v>
      </c>
      <c r="M718" s="585">
        <f t="shared" si="114"/>
        <v>9.6000000000000002E-2</v>
      </c>
      <c r="N718" s="585">
        <f t="shared" si="118"/>
        <v>0.11200000000000002</v>
      </c>
      <c r="O718" s="586">
        <f t="shared" si="115"/>
        <v>0.21362604739211508</v>
      </c>
      <c r="P718" s="585">
        <f t="shared" si="119"/>
        <v>0.19762604739211506</v>
      </c>
      <c r="Q718" s="585">
        <f t="shared" si="120"/>
        <v>0.51769258500881121</v>
      </c>
      <c r="R718" s="585">
        <f t="shared" si="121"/>
        <v>0.12143499999999999</v>
      </c>
      <c r="S718" s="586">
        <f t="shared" si="122"/>
        <v>0.39625758500881125</v>
      </c>
      <c r="U718" s="587"/>
      <c r="V718" s="587"/>
      <c r="W718" s="587"/>
      <c r="X718" s="587"/>
      <c r="Y718" s="587"/>
      <c r="Z718" s="587"/>
      <c r="AA718" s="587"/>
      <c r="AB718" s="587"/>
      <c r="AC718" s="587"/>
      <c r="AE718" s="587"/>
      <c r="AF718" s="587"/>
      <c r="AG718" s="587"/>
      <c r="AH718" s="587"/>
      <c r="AI718" s="587"/>
      <c r="AJ718" s="587"/>
      <c r="AK718" s="587"/>
      <c r="AL718" s="587"/>
      <c r="AM718" s="587"/>
      <c r="AO718" s="587"/>
      <c r="AP718" s="587"/>
      <c r="AQ718" s="587"/>
      <c r="AR718" s="587"/>
      <c r="AS718" s="587"/>
      <c r="AT718" s="587"/>
      <c r="AU718" s="587"/>
      <c r="AV718" s="587"/>
      <c r="AW718" s="587"/>
    </row>
    <row r="719" spans="1:49">
      <c r="A719" s="581">
        <v>31229</v>
      </c>
      <c r="B719" s="594">
        <v>-1.5E-3</v>
      </c>
      <c r="C719" s="577">
        <v>-4.2700000000000002E-2</v>
      </c>
      <c r="D719" s="577">
        <v>9.4000000000000004E-3</v>
      </c>
      <c r="E719" s="577">
        <v>9.141666666666666E-3</v>
      </c>
      <c r="F719" s="577">
        <v>9.5166666666666663E-3</v>
      </c>
      <c r="G719" s="577">
        <v>9.3291666666666662E-3</v>
      </c>
      <c r="H719" s="577">
        <v>1.0053750000000002E-2</v>
      </c>
      <c r="I719" s="577">
        <f t="shared" si="123"/>
        <v>-1.09E-2</v>
      </c>
      <c r="J719" s="577">
        <f t="shared" si="116"/>
        <v>-1.0829166666666666E-2</v>
      </c>
      <c r="K719" s="577">
        <f t="shared" si="117"/>
        <v>-5.2753750000000002E-2</v>
      </c>
      <c r="L719" s="585">
        <f t="shared" si="113"/>
        <v>0.3240802028361951</v>
      </c>
      <c r="M719" s="585">
        <f t="shared" si="114"/>
        <v>0.11280000000000001</v>
      </c>
      <c r="N719" s="585">
        <f t="shared" si="118"/>
        <v>0.11194999999999999</v>
      </c>
      <c r="O719" s="586">
        <f t="shared" si="115"/>
        <v>0.21128020283619509</v>
      </c>
      <c r="P719" s="585">
        <f t="shared" si="119"/>
        <v>0.2121302028361951</v>
      </c>
      <c r="Q719" s="585">
        <f t="shared" si="120"/>
        <v>0.39258804910278511</v>
      </c>
      <c r="R719" s="585">
        <f t="shared" si="121"/>
        <v>0.12064500000000003</v>
      </c>
      <c r="S719" s="586">
        <f t="shared" si="122"/>
        <v>0.27194304910278511</v>
      </c>
      <c r="U719" s="587"/>
      <c r="V719" s="587"/>
      <c r="W719" s="587"/>
      <c r="X719" s="587"/>
      <c r="Y719" s="587"/>
      <c r="Z719" s="587"/>
      <c r="AA719" s="587"/>
      <c r="AB719" s="587"/>
      <c r="AC719" s="587"/>
      <c r="AE719" s="587"/>
      <c r="AF719" s="587"/>
      <c r="AG719" s="587"/>
      <c r="AH719" s="587"/>
      <c r="AI719" s="587"/>
      <c r="AJ719" s="587"/>
      <c r="AK719" s="587"/>
      <c r="AL719" s="587"/>
      <c r="AM719" s="587"/>
      <c r="AO719" s="587"/>
      <c r="AP719" s="587"/>
      <c r="AQ719" s="587"/>
      <c r="AR719" s="587"/>
      <c r="AS719" s="587"/>
      <c r="AT719" s="587"/>
      <c r="AU719" s="587"/>
      <c r="AV719" s="587"/>
      <c r="AW719" s="587"/>
    </row>
    <row r="720" spans="1:49">
      <c r="A720" s="581">
        <v>31260</v>
      </c>
      <c r="B720" s="594">
        <v>-8.5000000000000006E-3</v>
      </c>
      <c r="C720" s="577">
        <v>1.8099999999999998E-2</v>
      </c>
      <c r="D720" s="577">
        <v>8.5000000000000006E-3</v>
      </c>
      <c r="E720" s="577">
        <v>9.208333333333334E-3</v>
      </c>
      <c r="F720" s="577">
        <v>9.5583333333333336E-3</v>
      </c>
      <c r="G720" s="577">
        <v>9.3833333333333338E-3</v>
      </c>
      <c r="H720" s="577">
        <v>1.0114416666666666E-2</v>
      </c>
      <c r="I720" s="577">
        <f t="shared" si="123"/>
        <v>-1.7000000000000001E-2</v>
      </c>
      <c r="J720" s="577">
        <f t="shared" si="116"/>
        <v>-1.7883333333333334E-2</v>
      </c>
      <c r="K720" s="577">
        <f t="shared" si="117"/>
        <v>7.9855833333333324E-3</v>
      </c>
      <c r="L720" s="585">
        <f t="shared" ref="L720:L783" si="124">((1+B709)*(1+B710)*(1+B711)*(1+B712)*(1+B713)*(1+B714)*(1+B715)*(1+B716)*(1+B717)*(1+B718)*(1+B719)*(1+B720))-1</f>
        <v>0.18229964077097249</v>
      </c>
      <c r="M720" s="585">
        <f t="shared" ref="M720:M783" si="125">D720*12</f>
        <v>0.10200000000000001</v>
      </c>
      <c r="N720" s="585">
        <f t="shared" si="118"/>
        <v>0.11260000000000001</v>
      </c>
      <c r="O720" s="586">
        <f t="shared" ref="O720:O783" si="126">L720-M720</f>
        <v>8.0299640770972486E-2</v>
      </c>
      <c r="P720" s="585">
        <f t="shared" si="119"/>
        <v>6.9699640770972487E-2</v>
      </c>
      <c r="Q720" s="585">
        <f t="shared" si="120"/>
        <v>0.33176206349008575</v>
      </c>
      <c r="R720" s="585">
        <f t="shared" si="121"/>
        <v>0.12137299999999998</v>
      </c>
      <c r="S720" s="586">
        <f t="shared" si="122"/>
        <v>0.21038906349008576</v>
      </c>
      <c r="U720" s="587"/>
      <c r="V720" s="587"/>
      <c r="W720" s="587"/>
      <c r="X720" s="587"/>
      <c r="Y720" s="587"/>
      <c r="Z720" s="587"/>
      <c r="AA720" s="587"/>
      <c r="AB720" s="587"/>
      <c r="AC720" s="587"/>
      <c r="AE720" s="587"/>
      <c r="AF720" s="587"/>
      <c r="AG720" s="587"/>
      <c r="AH720" s="587"/>
      <c r="AI720" s="587"/>
      <c r="AJ720" s="587"/>
      <c r="AK720" s="587"/>
      <c r="AL720" s="587"/>
      <c r="AM720" s="587"/>
      <c r="AO720" s="587"/>
      <c r="AP720" s="587"/>
      <c r="AQ720" s="587"/>
      <c r="AR720" s="587"/>
      <c r="AS720" s="587"/>
      <c r="AT720" s="587"/>
      <c r="AU720" s="587"/>
      <c r="AV720" s="587"/>
      <c r="AW720" s="587"/>
    </row>
    <row r="721" spans="1:49">
      <c r="A721" s="581">
        <v>31291</v>
      </c>
      <c r="B721" s="594">
        <v>-3.1300000000000001E-2</v>
      </c>
      <c r="C721" s="577">
        <v>-5.21E-2</v>
      </c>
      <c r="D721" s="577">
        <v>8.8000000000000005E-3</v>
      </c>
      <c r="E721" s="577">
        <v>9.2250000000000006E-3</v>
      </c>
      <c r="F721" s="577">
        <v>9.5500000000000012E-3</v>
      </c>
      <c r="G721" s="577">
        <v>9.3875E-3</v>
      </c>
      <c r="H721" s="577">
        <v>1.0110083333333332E-2</v>
      </c>
      <c r="I721" s="577">
        <f t="shared" si="123"/>
        <v>-4.0100000000000004E-2</v>
      </c>
      <c r="J721" s="577">
        <f t="shared" si="116"/>
        <v>-4.0687500000000001E-2</v>
      </c>
      <c r="K721" s="577">
        <f t="shared" si="117"/>
        <v>-6.2210083333333333E-2</v>
      </c>
      <c r="L721" s="585">
        <f t="shared" si="124"/>
        <v>0.14506464908502381</v>
      </c>
      <c r="M721" s="585">
        <f t="shared" si="125"/>
        <v>0.1056</v>
      </c>
      <c r="N721" s="585">
        <f t="shared" si="118"/>
        <v>0.11265</v>
      </c>
      <c r="O721" s="586">
        <f t="shared" si="126"/>
        <v>3.9464649085023812E-2</v>
      </c>
      <c r="P721" s="585">
        <f t="shared" si="119"/>
        <v>3.2414649085023811E-2</v>
      </c>
      <c r="Q721" s="585">
        <f t="shared" si="120"/>
        <v>0.20940530751317499</v>
      </c>
      <c r="R721" s="585">
        <f t="shared" si="121"/>
        <v>0.12132099999999998</v>
      </c>
      <c r="S721" s="586">
        <f t="shared" si="122"/>
        <v>8.8084307513175003E-2</v>
      </c>
      <c r="U721" s="587"/>
      <c r="V721" s="587"/>
      <c r="W721" s="587"/>
      <c r="X721" s="587"/>
      <c r="Y721" s="587"/>
      <c r="Z721" s="587"/>
      <c r="AA721" s="587"/>
      <c r="AB721" s="587"/>
      <c r="AC721" s="587"/>
      <c r="AE721" s="587"/>
      <c r="AF721" s="587"/>
      <c r="AG721" s="587"/>
      <c r="AH721" s="587"/>
      <c r="AI721" s="587"/>
      <c r="AJ721" s="587"/>
      <c r="AK721" s="587"/>
      <c r="AL721" s="587"/>
      <c r="AM721" s="587"/>
      <c r="AO721" s="587"/>
      <c r="AP721" s="587"/>
      <c r="AQ721" s="587"/>
      <c r="AR721" s="587"/>
      <c r="AS721" s="587"/>
      <c r="AT721" s="587"/>
      <c r="AU721" s="587"/>
      <c r="AV721" s="587"/>
      <c r="AW721" s="587"/>
    </row>
    <row r="722" spans="1:49">
      <c r="A722" s="581">
        <v>31321</v>
      </c>
      <c r="B722" s="594">
        <v>4.6199999999999998E-2</v>
      </c>
      <c r="C722" s="577">
        <v>6.3799999999999996E-2</v>
      </c>
      <c r="D722" s="577">
        <v>8.8999999999999999E-3</v>
      </c>
      <c r="E722" s="577">
        <v>9.1833333333333333E-3</v>
      </c>
      <c r="F722" s="577">
        <v>9.5416666666666653E-3</v>
      </c>
      <c r="G722" s="577">
        <v>9.362500000000001E-3</v>
      </c>
      <c r="H722" s="577">
        <v>1.0011583333333334E-2</v>
      </c>
      <c r="I722" s="577">
        <f t="shared" si="123"/>
        <v>3.73E-2</v>
      </c>
      <c r="J722" s="577">
        <f t="shared" si="116"/>
        <v>3.6837499999999995E-2</v>
      </c>
      <c r="K722" s="577">
        <f t="shared" si="117"/>
        <v>5.3788416666666658E-2</v>
      </c>
      <c r="L722" s="585">
        <f t="shared" si="124"/>
        <v>0.19331271627926272</v>
      </c>
      <c r="M722" s="585">
        <f t="shared" si="125"/>
        <v>0.10680000000000001</v>
      </c>
      <c r="N722" s="585">
        <f t="shared" si="118"/>
        <v>0.11235000000000001</v>
      </c>
      <c r="O722" s="586">
        <f t="shared" si="126"/>
        <v>8.6512716279262714E-2</v>
      </c>
      <c r="P722" s="585">
        <f t="shared" si="119"/>
        <v>8.0962716279262714E-2</v>
      </c>
      <c r="Q722" s="585">
        <f t="shared" si="120"/>
        <v>0.25249743587667028</v>
      </c>
      <c r="R722" s="585">
        <f t="shared" si="121"/>
        <v>0.12013900000000001</v>
      </c>
      <c r="S722" s="586">
        <f t="shared" si="122"/>
        <v>0.13235843587667029</v>
      </c>
      <c r="U722" s="587"/>
      <c r="V722" s="587"/>
      <c r="W722" s="587"/>
      <c r="X722" s="587"/>
      <c r="Y722" s="587"/>
      <c r="Z722" s="587"/>
      <c r="AA722" s="587"/>
      <c r="AB722" s="587"/>
      <c r="AC722" s="587"/>
      <c r="AE722" s="587"/>
      <c r="AF722" s="587"/>
      <c r="AG722" s="587"/>
      <c r="AH722" s="587"/>
      <c r="AI722" s="587"/>
      <c r="AJ722" s="587"/>
      <c r="AK722" s="587"/>
      <c r="AL722" s="587"/>
      <c r="AM722" s="587"/>
      <c r="AO722" s="587"/>
      <c r="AP722" s="587"/>
      <c r="AQ722" s="587"/>
      <c r="AR722" s="587"/>
      <c r="AS722" s="587"/>
      <c r="AT722" s="587"/>
      <c r="AU722" s="587"/>
      <c r="AV722" s="587"/>
      <c r="AW722" s="587"/>
    </row>
    <row r="723" spans="1:49">
      <c r="A723" s="581">
        <v>31352</v>
      </c>
      <c r="B723" s="594">
        <v>6.8599999999999994E-2</v>
      </c>
      <c r="C723" s="577">
        <v>5.2200000000000003E-2</v>
      </c>
      <c r="D723" s="577">
        <v>8.0999999999999996E-3</v>
      </c>
      <c r="E723" s="577">
        <v>8.7916666666666681E-3</v>
      </c>
      <c r="F723" s="577">
        <v>9.2250000000000006E-3</v>
      </c>
      <c r="G723" s="577">
        <v>9.0083333333333335E-3</v>
      </c>
      <c r="H723" s="577">
        <v>9.5949999999999994E-3</v>
      </c>
      <c r="I723" s="577">
        <f t="shared" si="123"/>
        <v>6.0499999999999998E-2</v>
      </c>
      <c r="J723" s="577">
        <f t="shared" si="116"/>
        <v>5.9591666666666661E-2</v>
      </c>
      <c r="K723" s="577">
        <f t="shared" si="117"/>
        <v>4.2605000000000004E-2</v>
      </c>
      <c r="L723" s="585">
        <f t="shared" si="124"/>
        <v>0.2896176867071405</v>
      </c>
      <c r="M723" s="585">
        <f t="shared" si="125"/>
        <v>9.7199999999999995E-2</v>
      </c>
      <c r="N723" s="585">
        <f t="shared" si="118"/>
        <v>0.1081</v>
      </c>
      <c r="O723" s="586">
        <f t="shared" si="126"/>
        <v>0.19241768670714049</v>
      </c>
      <c r="P723" s="585">
        <f t="shared" si="119"/>
        <v>0.1815176867071405</v>
      </c>
      <c r="Q723" s="585">
        <f t="shared" si="120"/>
        <v>0.28323057646488103</v>
      </c>
      <c r="R723" s="585">
        <f t="shared" si="121"/>
        <v>0.11513999999999999</v>
      </c>
      <c r="S723" s="586">
        <f t="shared" si="122"/>
        <v>0.16809057646488104</v>
      </c>
      <c r="U723" s="587"/>
      <c r="V723" s="587"/>
      <c r="W723" s="587"/>
      <c r="X723" s="587"/>
      <c r="Y723" s="587"/>
      <c r="Z723" s="587"/>
      <c r="AA723" s="587"/>
      <c r="AB723" s="587"/>
      <c r="AC723" s="587"/>
      <c r="AE723" s="587"/>
      <c r="AF723" s="587"/>
      <c r="AG723" s="587"/>
      <c r="AH723" s="587"/>
      <c r="AI723" s="587"/>
      <c r="AJ723" s="587"/>
      <c r="AK723" s="587"/>
      <c r="AL723" s="587"/>
      <c r="AM723" s="587"/>
      <c r="AO723" s="587"/>
      <c r="AP723" s="587"/>
      <c r="AQ723" s="587"/>
      <c r="AR723" s="587"/>
      <c r="AS723" s="587"/>
      <c r="AT723" s="587"/>
      <c r="AU723" s="587"/>
      <c r="AV723" s="587"/>
      <c r="AW723" s="587"/>
    </row>
    <row r="724" spans="1:49">
      <c r="A724" s="581">
        <v>31382</v>
      </c>
      <c r="B724" s="594">
        <v>4.8399999999999999E-2</v>
      </c>
      <c r="C724" s="577">
        <v>6.9400000000000003E-2</v>
      </c>
      <c r="D724" s="577">
        <v>8.6E-3</v>
      </c>
      <c r="E724" s="577">
        <v>8.4666666666666675E-3</v>
      </c>
      <c r="F724" s="577">
        <v>8.8583333333333344E-3</v>
      </c>
      <c r="G724" s="577">
        <v>8.6625000000000001E-3</v>
      </c>
      <c r="H724" s="577">
        <v>9.173333333333332E-3</v>
      </c>
      <c r="I724" s="577">
        <f t="shared" si="123"/>
        <v>3.9800000000000002E-2</v>
      </c>
      <c r="J724" s="577">
        <f t="shared" si="116"/>
        <v>3.9737499999999995E-2</v>
      </c>
      <c r="K724" s="577">
        <f t="shared" si="117"/>
        <v>6.0226666666666671E-2</v>
      </c>
      <c r="L724" s="585">
        <f t="shared" si="124"/>
        <v>0.31738788146133268</v>
      </c>
      <c r="M724" s="585">
        <f t="shared" si="125"/>
        <v>0.1032</v>
      </c>
      <c r="N724" s="585">
        <f t="shared" si="118"/>
        <v>0.10395</v>
      </c>
      <c r="O724" s="586">
        <f t="shared" si="126"/>
        <v>0.21418788146133266</v>
      </c>
      <c r="P724" s="585">
        <f t="shared" si="119"/>
        <v>0.21343788146133269</v>
      </c>
      <c r="Q724" s="585">
        <f t="shared" si="120"/>
        <v>0.33025085156217893</v>
      </c>
      <c r="R724" s="585">
        <f t="shared" si="121"/>
        <v>0.11007999999999998</v>
      </c>
      <c r="S724" s="586">
        <f t="shared" si="122"/>
        <v>0.22017085156217894</v>
      </c>
      <c r="U724" s="587"/>
      <c r="V724" s="587"/>
      <c r="W724" s="587"/>
      <c r="X724" s="587"/>
      <c r="Y724" s="587"/>
      <c r="Z724" s="587"/>
      <c r="AA724" s="587"/>
      <c r="AB724" s="587"/>
      <c r="AC724" s="587"/>
      <c r="AE724" s="587"/>
      <c r="AF724" s="587"/>
      <c r="AG724" s="587"/>
      <c r="AH724" s="587"/>
      <c r="AI724" s="587"/>
      <c r="AJ724" s="587"/>
      <c r="AK724" s="587"/>
      <c r="AL724" s="587"/>
      <c r="AM724" s="587"/>
      <c r="AO724" s="587"/>
      <c r="AP724" s="587"/>
      <c r="AQ724" s="587"/>
      <c r="AR724" s="587"/>
      <c r="AS724" s="587"/>
      <c r="AT724" s="587"/>
      <c r="AU724" s="587"/>
      <c r="AV724" s="587"/>
      <c r="AW724" s="587"/>
    </row>
    <row r="725" spans="1:49">
      <c r="A725" s="581">
        <v>31413</v>
      </c>
      <c r="B725" s="594">
        <v>5.5999999999999999E-3</v>
      </c>
      <c r="C725" s="577">
        <v>2.9300000000000003E-2</v>
      </c>
      <c r="D725" s="577">
        <v>7.9000000000000008E-3</v>
      </c>
      <c r="E725" s="577">
        <v>8.3750000000000005E-3</v>
      </c>
      <c r="F725" s="577">
        <v>8.7166666666666677E-3</v>
      </c>
      <c r="G725" s="577">
        <v>8.5458333333333341E-3</v>
      </c>
      <c r="H725" s="577">
        <v>8.9988333333333344E-3</v>
      </c>
      <c r="I725" s="577">
        <f t="shared" si="123"/>
        <v>-2.3000000000000008E-3</v>
      </c>
      <c r="J725" s="577">
        <f t="shared" si="116"/>
        <v>-2.9458333333333342E-3</v>
      </c>
      <c r="K725" s="577">
        <f t="shared" si="117"/>
        <v>2.0301166666666669E-2</v>
      </c>
      <c r="L725" s="585">
        <f t="shared" si="124"/>
        <v>0.22902426347297222</v>
      </c>
      <c r="M725" s="585">
        <f t="shared" si="125"/>
        <v>9.4800000000000009E-2</v>
      </c>
      <c r="N725" s="585">
        <f t="shared" si="118"/>
        <v>0.10255</v>
      </c>
      <c r="O725" s="586">
        <f t="shared" si="126"/>
        <v>0.13422426347297223</v>
      </c>
      <c r="P725" s="585">
        <f t="shared" si="119"/>
        <v>0.12647426347297222</v>
      </c>
      <c r="Q725" s="585">
        <f t="shared" si="120"/>
        <v>0.33778915633898454</v>
      </c>
      <c r="R725" s="585">
        <f t="shared" si="121"/>
        <v>0.10798600000000001</v>
      </c>
      <c r="S725" s="586">
        <f t="shared" si="122"/>
        <v>0.22980315633898452</v>
      </c>
      <c r="U725" s="587"/>
      <c r="V725" s="587"/>
      <c r="W725" s="587"/>
      <c r="X725" s="587"/>
      <c r="Y725" s="587"/>
      <c r="Z725" s="587"/>
      <c r="AA725" s="587"/>
      <c r="AB725" s="587"/>
      <c r="AC725" s="587"/>
      <c r="AE725" s="587"/>
      <c r="AF725" s="587"/>
      <c r="AG725" s="587"/>
      <c r="AH725" s="587"/>
      <c r="AI725" s="587"/>
      <c r="AJ725" s="587"/>
      <c r="AK725" s="587"/>
      <c r="AL725" s="587"/>
      <c r="AM725" s="587"/>
      <c r="AO725" s="587"/>
      <c r="AP725" s="587"/>
      <c r="AQ725" s="587"/>
      <c r="AR725" s="587"/>
      <c r="AS725" s="587"/>
      <c r="AT725" s="587"/>
      <c r="AU725" s="587"/>
      <c r="AV725" s="587"/>
      <c r="AW725" s="587"/>
    </row>
    <row r="726" spans="1:49">
      <c r="A726" s="581">
        <v>31444</v>
      </c>
      <c r="B726" s="594">
        <v>7.4700000000000003E-2</v>
      </c>
      <c r="C726" s="577">
        <v>6.2300000000000001E-2</v>
      </c>
      <c r="D726" s="577">
        <v>7.3000000000000001E-3</v>
      </c>
      <c r="E726" s="577">
        <v>8.0583333333333323E-3</v>
      </c>
      <c r="F726" s="577">
        <v>8.4416666666666668E-3</v>
      </c>
      <c r="G726" s="577">
        <v>8.2500000000000004E-3</v>
      </c>
      <c r="H726" s="577">
        <v>8.5969166666666659E-3</v>
      </c>
      <c r="I726" s="577">
        <f t="shared" si="123"/>
        <v>6.7400000000000002E-2</v>
      </c>
      <c r="J726" s="577">
        <f t="shared" si="116"/>
        <v>6.6450000000000009E-2</v>
      </c>
      <c r="K726" s="577">
        <f t="shared" si="117"/>
        <v>5.3703083333333332E-2</v>
      </c>
      <c r="L726" s="585">
        <f t="shared" si="124"/>
        <v>0.30491244413594454</v>
      </c>
      <c r="M726" s="585">
        <f t="shared" si="125"/>
        <v>8.7599999999999997E-2</v>
      </c>
      <c r="N726" s="585">
        <f t="shared" si="118"/>
        <v>9.9000000000000005E-2</v>
      </c>
      <c r="O726" s="586">
        <f t="shared" si="126"/>
        <v>0.21731244413594453</v>
      </c>
      <c r="P726" s="585">
        <f t="shared" si="119"/>
        <v>0.20591244413594453</v>
      </c>
      <c r="Q726" s="585">
        <f t="shared" si="120"/>
        <v>0.39422488058363925</v>
      </c>
      <c r="R726" s="585">
        <f t="shared" si="121"/>
        <v>0.10316299999999999</v>
      </c>
      <c r="S726" s="586">
        <f t="shared" si="122"/>
        <v>0.29106188058363924</v>
      </c>
      <c r="U726" s="587"/>
      <c r="V726" s="587"/>
      <c r="W726" s="587"/>
      <c r="X726" s="587"/>
      <c r="Y726" s="587"/>
      <c r="Z726" s="587"/>
      <c r="AA726" s="587"/>
      <c r="AB726" s="587"/>
      <c r="AC726" s="587"/>
      <c r="AE726" s="587"/>
      <c r="AF726" s="587"/>
      <c r="AG726" s="587"/>
      <c r="AH726" s="587"/>
      <c r="AI726" s="587"/>
      <c r="AJ726" s="587"/>
      <c r="AK726" s="587"/>
      <c r="AL726" s="587"/>
      <c r="AM726" s="587"/>
      <c r="AO726" s="587"/>
      <c r="AP726" s="587"/>
      <c r="AQ726" s="587"/>
      <c r="AR726" s="587"/>
      <c r="AS726" s="587"/>
      <c r="AT726" s="587"/>
      <c r="AU726" s="587"/>
      <c r="AV726" s="587"/>
      <c r="AW726" s="587"/>
    </row>
    <row r="727" spans="1:49">
      <c r="A727" s="581">
        <v>31472</v>
      </c>
      <c r="B727" s="594">
        <v>5.5800000000000002E-2</v>
      </c>
      <c r="C727" s="577">
        <v>5.1400000000000008E-2</v>
      </c>
      <c r="D727" s="577">
        <v>7.1000000000000004E-3</v>
      </c>
      <c r="E727" s="577">
        <v>7.4999999999999997E-3</v>
      </c>
      <c r="F727" s="577">
        <v>7.9083333333333332E-3</v>
      </c>
      <c r="G727" s="577">
        <v>7.7041666666666673E-3</v>
      </c>
      <c r="H727" s="577">
        <v>7.9274999999999988E-3</v>
      </c>
      <c r="I727" s="577">
        <f t="shared" si="123"/>
        <v>4.87E-2</v>
      </c>
      <c r="J727" s="577">
        <f t="shared" si="116"/>
        <v>4.8095833333333338E-2</v>
      </c>
      <c r="K727" s="577">
        <f t="shared" si="117"/>
        <v>4.3472500000000011E-2</v>
      </c>
      <c r="L727" s="585">
        <f t="shared" si="124"/>
        <v>0.37676282454155108</v>
      </c>
      <c r="M727" s="585">
        <f t="shared" si="125"/>
        <v>8.5199999999999998E-2</v>
      </c>
      <c r="N727" s="585">
        <f t="shared" si="118"/>
        <v>9.2450000000000004E-2</v>
      </c>
      <c r="O727" s="586">
        <f t="shared" si="126"/>
        <v>0.29156282454155108</v>
      </c>
      <c r="P727" s="585">
        <f t="shared" si="119"/>
        <v>0.28431282454155105</v>
      </c>
      <c r="Q727" s="585">
        <f t="shared" si="120"/>
        <v>0.41467674140671495</v>
      </c>
      <c r="R727" s="585">
        <f t="shared" si="121"/>
        <v>9.5129999999999992E-2</v>
      </c>
      <c r="S727" s="586">
        <f t="shared" si="122"/>
        <v>0.31954674140671496</v>
      </c>
      <c r="U727" s="587"/>
      <c r="V727" s="587"/>
      <c r="W727" s="587"/>
      <c r="X727" s="587"/>
      <c r="Y727" s="587"/>
      <c r="Z727" s="587"/>
      <c r="AA727" s="587"/>
      <c r="AB727" s="587"/>
      <c r="AC727" s="587"/>
      <c r="AE727" s="587"/>
      <c r="AF727" s="587"/>
      <c r="AG727" s="587"/>
      <c r="AH727" s="587"/>
      <c r="AI727" s="587"/>
      <c r="AJ727" s="587"/>
      <c r="AK727" s="587"/>
      <c r="AL727" s="587"/>
      <c r="AM727" s="587"/>
      <c r="AO727" s="587"/>
      <c r="AP727" s="587"/>
      <c r="AQ727" s="587"/>
      <c r="AR727" s="587"/>
      <c r="AS727" s="587"/>
      <c r="AT727" s="587"/>
      <c r="AU727" s="587"/>
      <c r="AV727" s="587"/>
      <c r="AW727" s="587"/>
    </row>
    <row r="728" spans="1:49">
      <c r="A728" s="581">
        <v>31503</v>
      </c>
      <c r="B728" s="594">
        <v>-1.1299999999999999E-2</v>
      </c>
      <c r="C728" s="577">
        <v>-3.3300000000000003E-2</v>
      </c>
      <c r="D728" s="577">
        <v>6.3E-3</v>
      </c>
      <c r="E728" s="577">
        <v>7.324999999999999E-3</v>
      </c>
      <c r="F728" s="577">
        <v>7.6750000000000004E-3</v>
      </c>
      <c r="G728" s="577">
        <v>7.4999999999999997E-3</v>
      </c>
      <c r="H728" s="577">
        <v>7.609083333333334E-3</v>
      </c>
      <c r="I728" s="577">
        <f t="shared" si="123"/>
        <v>-1.7599999999999998E-2</v>
      </c>
      <c r="J728" s="577">
        <f t="shared" si="116"/>
        <v>-1.8799999999999997E-2</v>
      </c>
      <c r="K728" s="577">
        <f t="shared" si="117"/>
        <v>-4.0909083333333339E-2</v>
      </c>
      <c r="L728" s="585">
        <f t="shared" si="124"/>
        <v>0.362431593057984</v>
      </c>
      <c r="M728" s="585">
        <f t="shared" si="125"/>
        <v>7.5600000000000001E-2</v>
      </c>
      <c r="N728" s="585">
        <f t="shared" si="118"/>
        <v>0.09</v>
      </c>
      <c r="O728" s="586">
        <f t="shared" si="126"/>
        <v>0.286831593057984</v>
      </c>
      <c r="P728" s="585">
        <f t="shared" si="119"/>
        <v>0.27243159305798403</v>
      </c>
      <c r="Q728" s="585">
        <f t="shared" si="120"/>
        <v>0.33983345343183236</v>
      </c>
      <c r="R728" s="585">
        <f t="shared" si="121"/>
        <v>9.1309000000000001E-2</v>
      </c>
      <c r="S728" s="586">
        <f t="shared" si="122"/>
        <v>0.24852445343183235</v>
      </c>
      <c r="U728" s="587"/>
      <c r="V728" s="587"/>
      <c r="W728" s="587"/>
      <c r="X728" s="587"/>
      <c r="Y728" s="587"/>
      <c r="Z728" s="587"/>
      <c r="AA728" s="587"/>
      <c r="AB728" s="587"/>
      <c r="AC728" s="587"/>
      <c r="AE728" s="587"/>
      <c r="AF728" s="587"/>
      <c r="AG728" s="587"/>
      <c r="AH728" s="587"/>
      <c r="AI728" s="587"/>
      <c r="AJ728" s="587"/>
      <c r="AK728" s="587"/>
      <c r="AL728" s="587"/>
      <c r="AM728" s="587"/>
      <c r="AO728" s="587"/>
      <c r="AP728" s="587"/>
      <c r="AQ728" s="587"/>
      <c r="AR728" s="587"/>
      <c r="AS728" s="587"/>
      <c r="AT728" s="587"/>
      <c r="AU728" s="587"/>
      <c r="AV728" s="587"/>
      <c r="AW728" s="587"/>
    </row>
    <row r="729" spans="1:49">
      <c r="A729" s="581">
        <v>31533</v>
      </c>
      <c r="B729" s="594">
        <v>5.3199999999999997E-2</v>
      </c>
      <c r="C729" s="577">
        <v>5.2500000000000012E-2</v>
      </c>
      <c r="D729" s="577">
        <v>6.1999999999999998E-3</v>
      </c>
      <c r="E729" s="577">
        <v>7.5749999999999993E-3</v>
      </c>
      <c r="F729" s="577">
        <v>7.8583333333333335E-3</v>
      </c>
      <c r="G729" s="577">
        <v>7.7166666666666659E-3</v>
      </c>
      <c r="H729" s="577">
        <v>7.9722500000000002E-3</v>
      </c>
      <c r="I729" s="577">
        <f t="shared" si="123"/>
        <v>4.7E-2</v>
      </c>
      <c r="J729" s="577">
        <f t="shared" si="116"/>
        <v>4.5483333333333334E-2</v>
      </c>
      <c r="K729" s="577">
        <f t="shared" si="117"/>
        <v>4.4527750000000012E-2</v>
      </c>
      <c r="L729" s="585">
        <f t="shared" si="124"/>
        <v>0.35650685744816468</v>
      </c>
      <c r="M729" s="585">
        <f t="shared" si="125"/>
        <v>7.4399999999999994E-2</v>
      </c>
      <c r="N729" s="585">
        <f t="shared" si="118"/>
        <v>9.2599999999999988E-2</v>
      </c>
      <c r="O729" s="586">
        <f t="shared" si="126"/>
        <v>0.28210685744816466</v>
      </c>
      <c r="P729" s="585">
        <f t="shared" si="119"/>
        <v>0.26390685744816467</v>
      </c>
      <c r="Q729" s="585">
        <f t="shared" si="120"/>
        <v>0.3296008954714349</v>
      </c>
      <c r="R729" s="585">
        <f t="shared" si="121"/>
        <v>9.5667000000000002E-2</v>
      </c>
      <c r="S729" s="586">
        <f t="shared" si="122"/>
        <v>0.23393389547143489</v>
      </c>
      <c r="U729" s="587"/>
      <c r="V729" s="587"/>
      <c r="W729" s="587"/>
      <c r="X729" s="587"/>
      <c r="Y729" s="587"/>
      <c r="Z729" s="587"/>
      <c r="AA729" s="587"/>
      <c r="AB729" s="587"/>
      <c r="AC729" s="587"/>
      <c r="AE729" s="587"/>
      <c r="AF729" s="587"/>
      <c r="AG729" s="587"/>
      <c r="AH729" s="587"/>
      <c r="AI729" s="587"/>
      <c r="AJ729" s="587"/>
      <c r="AK729" s="587"/>
      <c r="AL729" s="587"/>
      <c r="AM729" s="587"/>
      <c r="AO729" s="587"/>
      <c r="AP729" s="587"/>
      <c r="AQ729" s="587"/>
      <c r="AR729" s="587"/>
      <c r="AS729" s="587"/>
      <c r="AT729" s="587"/>
      <c r="AU729" s="587"/>
      <c r="AV729" s="587"/>
      <c r="AW729" s="587"/>
    </row>
    <row r="730" spans="1:49">
      <c r="A730" s="581">
        <v>31564</v>
      </c>
      <c r="B730" s="594">
        <v>1.6899999999999998E-2</v>
      </c>
      <c r="C730" s="577">
        <v>5.9699999999999996E-2</v>
      </c>
      <c r="D730" s="577">
        <v>7.000000000000001E-3</v>
      </c>
      <c r="E730" s="577">
        <v>7.6083333333333333E-3</v>
      </c>
      <c r="F730" s="577">
        <v>7.9083333333333332E-3</v>
      </c>
      <c r="G730" s="577">
        <v>7.7583333333333341E-3</v>
      </c>
      <c r="H730" s="577">
        <v>8.0456666666666662E-3</v>
      </c>
      <c r="I730" s="577">
        <f t="shared" si="123"/>
        <v>9.8999999999999973E-3</v>
      </c>
      <c r="J730" s="577">
        <f t="shared" si="116"/>
        <v>9.1416666666666643E-3</v>
      </c>
      <c r="K730" s="577">
        <f t="shared" si="117"/>
        <v>5.165433333333333E-2</v>
      </c>
      <c r="L730" s="585">
        <f t="shared" si="124"/>
        <v>0.35810950412428655</v>
      </c>
      <c r="M730" s="585">
        <f t="shared" si="125"/>
        <v>8.4000000000000019E-2</v>
      </c>
      <c r="N730" s="585">
        <f t="shared" si="118"/>
        <v>9.3100000000000016E-2</v>
      </c>
      <c r="O730" s="586">
        <f t="shared" si="126"/>
        <v>0.27410950412428653</v>
      </c>
      <c r="P730" s="585">
        <f t="shared" si="119"/>
        <v>0.26500950412428653</v>
      </c>
      <c r="Q730" s="585">
        <f t="shared" si="120"/>
        <v>0.37073457430788936</v>
      </c>
      <c r="R730" s="585">
        <f t="shared" si="121"/>
        <v>9.6547999999999995E-2</v>
      </c>
      <c r="S730" s="586">
        <f t="shared" si="122"/>
        <v>0.2741865743078894</v>
      </c>
      <c r="U730" s="587"/>
      <c r="V730" s="587"/>
      <c r="W730" s="587"/>
      <c r="X730" s="587"/>
      <c r="Y730" s="587"/>
      <c r="Z730" s="587"/>
      <c r="AA730" s="587"/>
      <c r="AB730" s="587"/>
      <c r="AC730" s="587"/>
      <c r="AE730" s="587"/>
      <c r="AF730" s="587"/>
      <c r="AG730" s="587"/>
      <c r="AH730" s="587"/>
      <c r="AI730" s="587"/>
      <c r="AJ730" s="587"/>
      <c r="AK730" s="587"/>
      <c r="AL730" s="587"/>
      <c r="AM730" s="587"/>
      <c r="AO730" s="587"/>
      <c r="AP730" s="587"/>
      <c r="AQ730" s="587"/>
      <c r="AR730" s="587"/>
      <c r="AS730" s="587"/>
      <c r="AT730" s="587"/>
      <c r="AU730" s="587"/>
      <c r="AV730" s="587"/>
      <c r="AW730" s="587"/>
    </row>
    <row r="731" spans="1:49">
      <c r="A731" s="581">
        <v>31594</v>
      </c>
      <c r="B731" s="594">
        <v>-5.5899999999999998E-2</v>
      </c>
      <c r="C731" s="577">
        <v>2.8300000000000002E-2</v>
      </c>
      <c r="D731" s="577">
        <v>6.6E-3</v>
      </c>
      <c r="E731" s="577">
        <v>7.4000000000000012E-3</v>
      </c>
      <c r="F731" s="577">
        <v>7.7333333333333334E-3</v>
      </c>
      <c r="G731" s="577">
        <v>7.5666666666666669E-3</v>
      </c>
      <c r="H731" s="577">
        <v>7.7954166666666666E-3</v>
      </c>
      <c r="I731" s="577">
        <f t="shared" si="123"/>
        <v>-6.25E-2</v>
      </c>
      <c r="J731" s="577">
        <f t="shared" si="116"/>
        <v>-6.3466666666666671E-2</v>
      </c>
      <c r="K731" s="577">
        <f t="shared" si="117"/>
        <v>2.0504583333333336E-2</v>
      </c>
      <c r="L731" s="585">
        <f t="shared" si="124"/>
        <v>0.28411735888206291</v>
      </c>
      <c r="M731" s="585">
        <f t="shared" si="125"/>
        <v>7.9199999999999993E-2</v>
      </c>
      <c r="N731" s="585">
        <f t="shared" si="118"/>
        <v>9.0800000000000006E-2</v>
      </c>
      <c r="O731" s="586">
        <f t="shared" si="126"/>
        <v>0.20491735888206292</v>
      </c>
      <c r="P731" s="585">
        <f t="shared" si="119"/>
        <v>0.19331735888206292</v>
      </c>
      <c r="Q731" s="585">
        <f t="shared" si="120"/>
        <v>0.47239774653797428</v>
      </c>
      <c r="R731" s="585">
        <f t="shared" si="121"/>
        <v>9.3545000000000003E-2</v>
      </c>
      <c r="S731" s="586">
        <f t="shared" si="122"/>
        <v>0.37885274653797429</v>
      </c>
      <c r="U731" s="587"/>
      <c r="V731" s="587"/>
      <c r="W731" s="587"/>
      <c r="X731" s="587"/>
      <c r="Y731" s="587"/>
      <c r="Z731" s="587"/>
      <c r="AA731" s="587"/>
      <c r="AB731" s="587"/>
      <c r="AC731" s="587"/>
      <c r="AE731" s="587"/>
      <c r="AF731" s="587"/>
      <c r="AG731" s="587"/>
      <c r="AH731" s="587"/>
      <c r="AI731" s="587"/>
      <c r="AJ731" s="587"/>
      <c r="AK731" s="587"/>
      <c r="AL731" s="587"/>
      <c r="AM731" s="587"/>
      <c r="AO731" s="587"/>
      <c r="AP731" s="587"/>
      <c r="AQ731" s="587"/>
      <c r="AR731" s="587"/>
      <c r="AS731" s="587"/>
      <c r="AT731" s="587"/>
      <c r="AU731" s="587"/>
      <c r="AV731" s="587"/>
      <c r="AW731" s="587"/>
    </row>
    <row r="732" spans="1:49">
      <c r="A732" s="581">
        <v>31625</v>
      </c>
      <c r="B732" s="594">
        <v>7.4200000000000002E-2</v>
      </c>
      <c r="C732" s="577">
        <v>8.8399999999999992E-2</v>
      </c>
      <c r="D732" s="577">
        <v>6.3E-3</v>
      </c>
      <c r="E732" s="577">
        <v>7.2666666666666669E-3</v>
      </c>
      <c r="F732" s="577">
        <v>7.6833333333333345E-3</v>
      </c>
      <c r="G732" s="577">
        <v>7.4750000000000007E-3</v>
      </c>
      <c r="H732" s="577">
        <v>7.7555833333333322E-3</v>
      </c>
      <c r="I732" s="577">
        <f t="shared" si="123"/>
        <v>6.7900000000000002E-2</v>
      </c>
      <c r="J732" s="577">
        <f t="shared" si="116"/>
        <v>6.6725000000000007E-2</v>
      </c>
      <c r="K732" s="577">
        <f t="shared" si="117"/>
        <v>8.0644416666666663E-2</v>
      </c>
      <c r="L732" s="585">
        <f t="shared" si="124"/>
        <v>0.3912242732335971</v>
      </c>
      <c r="M732" s="585">
        <f t="shared" si="125"/>
        <v>7.5600000000000001E-2</v>
      </c>
      <c r="N732" s="585">
        <f t="shared" si="118"/>
        <v>8.9700000000000002E-2</v>
      </c>
      <c r="O732" s="586">
        <f t="shared" si="126"/>
        <v>0.3156242732335971</v>
      </c>
      <c r="P732" s="585">
        <f t="shared" si="119"/>
        <v>0.3015242732335971</v>
      </c>
      <c r="Q732" s="585">
        <f t="shared" si="120"/>
        <v>0.57406709294954394</v>
      </c>
      <c r="R732" s="585">
        <f t="shared" si="121"/>
        <v>9.3066999999999983E-2</v>
      </c>
      <c r="S732" s="586">
        <f t="shared" si="122"/>
        <v>0.48100009294954393</v>
      </c>
      <c r="U732" s="587"/>
      <c r="V732" s="587"/>
      <c r="W732" s="587"/>
      <c r="X732" s="587"/>
      <c r="Y732" s="587"/>
      <c r="Z732" s="587"/>
      <c r="AA732" s="587"/>
      <c r="AB732" s="587"/>
      <c r="AC732" s="587"/>
      <c r="AE732" s="587"/>
      <c r="AF732" s="587"/>
      <c r="AG732" s="587"/>
      <c r="AH732" s="587"/>
      <c r="AI732" s="587"/>
      <c r="AJ732" s="587"/>
      <c r="AK732" s="587"/>
      <c r="AL732" s="587"/>
      <c r="AM732" s="587"/>
      <c r="AO732" s="587"/>
      <c r="AP732" s="587"/>
      <c r="AQ732" s="587"/>
      <c r="AR732" s="587"/>
      <c r="AS732" s="587"/>
      <c r="AT732" s="587"/>
      <c r="AU732" s="587"/>
      <c r="AV732" s="587"/>
      <c r="AW732" s="587"/>
    </row>
    <row r="733" spans="1:49">
      <c r="A733" s="581">
        <v>31656</v>
      </c>
      <c r="B733" s="594">
        <v>-8.2699999999999996E-2</v>
      </c>
      <c r="C733" s="577">
        <v>-0.11370000000000001</v>
      </c>
      <c r="D733" s="577">
        <v>6.5000000000000006E-3</v>
      </c>
      <c r="E733" s="577">
        <v>7.4083333333333336E-3</v>
      </c>
      <c r="F733" s="577">
        <v>7.7999999999999988E-3</v>
      </c>
      <c r="G733" s="577">
        <v>7.6041666666666662E-3</v>
      </c>
      <c r="H733" s="577">
        <v>7.9194166666666666E-3</v>
      </c>
      <c r="I733" s="577">
        <f t="shared" si="123"/>
        <v>-8.9200000000000002E-2</v>
      </c>
      <c r="J733" s="577">
        <f t="shared" ref="J733:J796" si="127">B733-G733</f>
        <v>-9.0304166666666658E-2</v>
      </c>
      <c r="K733" s="577">
        <f t="shared" ref="K733:K796" si="128">$C733-H733</f>
        <v>-0.12161941666666667</v>
      </c>
      <c r="L733" s="585">
        <f t="shared" si="124"/>
        <v>0.31740479595042714</v>
      </c>
      <c r="M733" s="585">
        <f t="shared" si="125"/>
        <v>7.8000000000000014E-2</v>
      </c>
      <c r="N733" s="585">
        <f t="shared" si="118"/>
        <v>9.1249999999999998E-2</v>
      </c>
      <c r="O733" s="586">
        <f t="shared" si="126"/>
        <v>0.23940479595042713</v>
      </c>
      <c r="P733" s="585">
        <f t="shared" si="119"/>
        <v>0.22615479595042715</v>
      </c>
      <c r="Q733" s="585">
        <f t="shared" si="120"/>
        <v>0.47177514978497825</v>
      </c>
      <c r="R733" s="585">
        <f t="shared" si="121"/>
        <v>9.5033000000000006E-2</v>
      </c>
      <c r="S733" s="586">
        <f t="shared" si="122"/>
        <v>0.37674214978497822</v>
      </c>
      <c r="U733" s="587"/>
      <c r="V733" s="587"/>
      <c r="W733" s="587"/>
      <c r="X733" s="587"/>
      <c r="Y733" s="587"/>
      <c r="Z733" s="587"/>
      <c r="AA733" s="587"/>
      <c r="AB733" s="587"/>
      <c r="AC733" s="587"/>
      <c r="AE733" s="587"/>
      <c r="AF733" s="587"/>
      <c r="AG733" s="587"/>
      <c r="AH733" s="587"/>
      <c r="AI733" s="587"/>
      <c r="AJ733" s="587"/>
      <c r="AK733" s="587"/>
      <c r="AL733" s="587"/>
      <c r="AM733" s="587"/>
      <c r="AO733" s="587"/>
      <c r="AP733" s="587"/>
      <c r="AQ733" s="587"/>
      <c r="AR733" s="587"/>
      <c r="AS733" s="587"/>
      <c r="AT733" s="587"/>
      <c r="AU733" s="587"/>
      <c r="AV733" s="587"/>
      <c r="AW733" s="587"/>
    </row>
    <row r="734" spans="1:49">
      <c r="A734" s="581">
        <v>31686</v>
      </c>
      <c r="B734" s="594">
        <v>5.7700000000000001E-2</v>
      </c>
      <c r="C734" s="577">
        <v>5.050000000000001E-2</v>
      </c>
      <c r="D734" s="577">
        <v>6.8999999999999999E-3</v>
      </c>
      <c r="E734" s="577">
        <v>7.3833333333333329E-3</v>
      </c>
      <c r="F734" s="577">
        <v>7.7749999999999998E-3</v>
      </c>
      <c r="G734" s="577">
        <v>7.5791666666666655E-3</v>
      </c>
      <c r="H734" s="577">
        <v>7.9395000000000004E-3</v>
      </c>
      <c r="I734" s="577">
        <f t="shared" si="123"/>
        <v>5.0799999999999998E-2</v>
      </c>
      <c r="J734" s="577">
        <f t="shared" si="127"/>
        <v>5.0120833333333337E-2</v>
      </c>
      <c r="K734" s="577">
        <f t="shared" si="128"/>
        <v>4.2560500000000008E-2</v>
      </c>
      <c r="L734" s="585">
        <f t="shared" si="124"/>
        <v>0.33188592303265807</v>
      </c>
      <c r="M734" s="585">
        <f t="shared" si="125"/>
        <v>8.2799999999999999E-2</v>
      </c>
      <c r="N734" s="585">
        <f t="shared" si="118"/>
        <v>9.0949999999999989E-2</v>
      </c>
      <c r="O734" s="586">
        <f t="shared" si="126"/>
        <v>0.24908592303265809</v>
      </c>
      <c r="P734" s="585">
        <f t="shared" si="119"/>
        <v>0.24093592303265809</v>
      </c>
      <c r="Q734" s="585">
        <f t="shared" si="120"/>
        <v>0.45337450164421833</v>
      </c>
      <c r="R734" s="585">
        <f t="shared" si="121"/>
        <v>9.5273999999999998E-2</v>
      </c>
      <c r="S734" s="586">
        <f t="shared" si="122"/>
        <v>0.35810050164421836</v>
      </c>
      <c r="U734" s="587"/>
      <c r="V734" s="587"/>
      <c r="W734" s="587"/>
      <c r="X734" s="587"/>
      <c r="Y734" s="587"/>
      <c r="Z734" s="587"/>
      <c r="AA734" s="587"/>
      <c r="AB734" s="587"/>
      <c r="AC734" s="587"/>
      <c r="AE734" s="587"/>
      <c r="AF734" s="587"/>
      <c r="AG734" s="587"/>
      <c r="AH734" s="587"/>
      <c r="AI734" s="587"/>
      <c r="AJ734" s="587"/>
      <c r="AK734" s="587"/>
      <c r="AL734" s="587"/>
      <c r="AM734" s="587"/>
      <c r="AO734" s="587"/>
      <c r="AP734" s="587"/>
      <c r="AQ734" s="587"/>
      <c r="AR734" s="587"/>
      <c r="AS734" s="587"/>
      <c r="AT734" s="587"/>
      <c r="AU734" s="587"/>
      <c r="AV734" s="587"/>
      <c r="AW734" s="587"/>
    </row>
    <row r="735" spans="1:49">
      <c r="A735" s="581">
        <v>31717</v>
      </c>
      <c r="B735" s="594">
        <v>2.4299999999999999E-2</v>
      </c>
      <c r="C735" s="577">
        <v>2.1099999999999997E-2</v>
      </c>
      <c r="D735" s="577">
        <v>5.8999999999999999E-3</v>
      </c>
      <c r="E735" s="577">
        <v>7.2333333333333329E-3</v>
      </c>
      <c r="F735" s="577">
        <v>7.6666666666666662E-3</v>
      </c>
      <c r="G735" s="577">
        <v>7.4499999999999992E-3</v>
      </c>
      <c r="H735" s="577">
        <v>7.744749999999999E-3</v>
      </c>
      <c r="I735" s="577">
        <f t="shared" si="123"/>
        <v>1.84E-2</v>
      </c>
      <c r="J735" s="577">
        <f t="shared" si="127"/>
        <v>1.685E-2</v>
      </c>
      <c r="K735" s="577">
        <f t="shared" si="128"/>
        <v>1.3355249999999999E-2</v>
      </c>
      <c r="L735" s="585">
        <f t="shared" si="124"/>
        <v>0.27667111263555233</v>
      </c>
      <c r="M735" s="585">
        <f t="shared" si="125"/>
        <v>7.0800000000000002E-2</v>
      </c>
      <c r="N735" s="585">
        <f t="shared" si="118"/>
        <v>8.9399999999999993E-2</v>
      </c>
      <c r="O735" s="586">
        <f t="shared" si="126"/>
        <v>0.20587111263555233</v>
      </c>
      <c r="P735" s="585">
        <f t="shared" si="119"/>
        <v>0.18727111263555235</v>
      </c>
      <c r="Q735" s="585">
        <f t="shared" si="120"/>
        <v>0.41041693939261692</v>
      </c>
      <c r="R735" s="585">
        <f t="shared" si="121"/>
        <v>9.2936999999999992E-2</v>
      </c>
      <c r="S735" s="586">
        <f t="shared" si="122"/>
        <v>0.31747993939261693</v>
      </c>
      <c r="U735" s="587"/>
      <c r="V735" s="587"/>
      <c r="W735" s="587"/>
      <c r="X735" s="587"/>
      <c r="Y735" s="587"/>
      <c r="Z735" s="587"/>
      <c r="AA735" s="587"/>
      <c r="AB735" s="587"/>
      <c r="AC735" s="587"/>
      <c r="AE735" s="587"/>
      <c r="AF735" s="587"/>
      <c r="AG735" s="587"/>
      <c r="AH735" s="587"/>
      <c r="AI735" s="587"/>
      <c r="AJ735" s="587"/>
      <c r="AK735" s="587"/>
      <c r="AL735" s="587"/>
      <c r="AM735" s="587"/>
      <c r="AO735" s="587"/>
      <c r="AP735" s="587"/>
      <c r="AQ735" s="587"/>
      <c r="AR735" s="587"/>
      <c r="AS735" s="587"/>
      <c r="AT735" s="587"/>
      <c r="AU735" s="587"/>
      <c r="AV735" s="587"/>
      <c r="AW735" s="587"/>
    </row>
    <row r="736" spans="1:49">
      <c r="A736" s="581">
        <v>31747</v>
      </c>
      <c r="B736" s="594">
        <v>-2.5499999999999998E-2</v>
      </c>
      <c r="C736" s="577">
        <v>-2.5399999999999999E-2</v>
      </c>
      <c r="D736" s="577">
        <v>7.000000000000001E-3</v>
      </c>
      <c r="E736" s="577">
        <v>7.0750000000000006E-3</v>
      </c>
      <c r="F736" s="577">
        <v>7.5166666666666663E-3</v>
      </c>
      <c r="G736" s="577">
        <v>7.2958333333333321E-3</v>
      </c>
      <c r="H736" s="577">
        <v>7.5995833333333341E-3</v>
      </c>
      <c r="I736" s="577">
        <f t="shared" si="123"/>
        <v>-3.2500000000000001E-2</v>
      </c>
      <c r="J736" s="577">
        <f t="shared" si="127"/>
        <v>-3.279583333333333E-2</v>
      </c>
      <c r="K736" s="577">
        <f t="shared" si="128"/>
        <v>-3.2999583333333332E-2</v>
      </c>
      <c r="L736" s="585">
        <f t="shared" si="124"/>
        <v>0.18668065553543101</v>
      </c>
      <c r="M736" s="585">
        <f t="shared" si="125"/>
        <v>8.4000000000000019E-2</v>
      </c>
      <c r="N736" s="585">
        <f t="shared" si="118"/>
        <v>8.7549999999999989E-2</v>
      </c>
      <c r="O736" s="586">
        <f t="shared" si="126"/>
        <v>0.10268065553543099</v>
      </c>
      <c r="P736" s="585">
        <f t="shared" si="119"/>
        <v>9.9130655535431017E-2</v>
      </c>
      <c r="Q736" s="585">
        <f t="shared" si="120"/>
        <v>0.28538652434266387</v>
      </c>
      <c r="R736" s="585">
        <f t="shared" si="121"/>
        <v>9.1195000000000012E-2</v>
      </c>
      <c r="S736" s="586">
        <f t="shared" si="122"/>
        <v>0.19419152434266385</v>
      </c>
      <c r="U736" s="587"/>
      <c r="V736" s="587"/>
      <c r="W736" s="587"/>
      <c r="X736" s="587"/>
      <c r="Y736" s="587"/>
      <c r="Z736" s="587"/>
      <c r="AA736" s="587"/>
      <c r="AB736" s="587"/>
      <c r="AC736" s="587"/>
      <c r="AE736" s="587"/>
      <c r="AF736" s="587"/>
      <c r="AG736" s="587"/>
      <c r="AH736" s="587"/>
      <c r="AI736" s="587"/>
      <c r="AJ736" s="587"/>
      <c r="AK736" s="587"/>
      <c r="AL736" s="587"/>
      <c r="AM736" s="587"/>
      <c r="AO736" s="587"/>
      <c r="AP736" s="587"/>
      <c r="AQ736" s="587"/>
      <c r="AR736" s="587"/>
      <c r="AS736" s="587"/>
      <c r="AT736" s="587"/>
      <c r="AU736" s="587"/>
      <c r="AV736" s="587"/>
      <c r="AW736" s="587"/>
    </row>
    <row r="737" spans="1:49">
      <c r="A737" s="581">
        <v>31778</v>
      </c>
      <c r="B737" s="594">
        <v>0.13469999999999999</v>
      </c>
      <c r="C737" s="577">
        <v>9.8400000000000001E-2</v>
      </c>
      <c r="D737" s="577">
        <v>6.4000000000000003E-3</v>
      </c>
      <c r="E737" s="577">
        <v>6.9666666666666661E-3</v>
      </c>
      <c r="F737" s="577">
        <v>7.3833333333333329E-3</v>
      </c>
      <c r="G737" s="577">
        <v>7.175E-3</v>
      </c>
      <c r="H737" s="577">
        <v>7.4537500000000003E-3</v>
      </c>
      <c r="I737" s="577">
        <f t="shared" si="123"/>
        <v>0.1283</v>
      </c>
      <c r="J737" s="577">
        <f t="shared" si="127"/>
        <v>0.127525</v>
      </c>
      <c r="K737" s="577">
        <f t="shared" si="128"/>
        <v>9.0946250000000006E-2</v>
      </c>
      <c r="L737" s="585">
        <f t="shared" si="124"/>
        <v>0.33902798313052274</v>
      </c>
      <c r="M737" s="585">
        <f t="shared" si="125"/>
        <v>7.6800000000000007E-2</v>
      </c>
      <c r="N737" s="585">
        <f t="shared" si="118"/>
        <v>8.6099999999999996E-2</v>
      </c>
      <c r="O737" s="586">
        <f t="shared" si="126"/>
        <v>0.26222798313052276</v>
      </c>
      <c r="P737" s="585">
        <f t="shared" si="119"/>
        <v>0.25292798313052273</v>
      </c>
      <c r="Q737" s="585">
        <f t="shared" si="120"/>
        <v>0.37167838175262924</v>
      </c>
      <c r="R737" s="585">
        <f t="shared" si="121"/>
        <v>8.9444999999999997E-2</v>
      </c>
      <c r="S737" s="586">
        <f t="shared" si="122"/>
        <v>0.28223338175262924</v>
      </c>
      <c r="U737" s="587"/>
      <c r="V737" s="587"/>
      <c r="W737" s="587"/>
      <c r="X737" s="587"/>
      <c r="Y737" s="587"/>
      <c r="Z737" s="587"/>
      <c r="AA737" s="587"/>
      <c r="AB737" s="587"/>
      <c r="AC737" s="587"/>
      <c r="AE737" s="587"/>
      <c r="AF737" s="587"/>
      <c r="AG737" s="587"/>
      <c r="AH737" s="587"/>
      <c r="AI737" s="587"/>
      <c r="AJ737" s="587"/>
      <c r="AK737" s="587"/>
      <c r="AL737" s="587"/>
      <c r="AM737" s="587"/>
      <c r="AO737" s="587"/>
      <c r="AP737" s="587"/>
      <c r="AQ737" s="587"/>
      <c r="AR737" s="587"/>
      <c r="AS737" s="587"/>
      <c r="AT737" s="587"/>
      <c r="AU737" s="587"/>
      <c r="AV737" s="587"/>
      <c r="AW737" s="587"/>
    </row>
    <row r="738" spans="1:49">
      <c r="A738" s="581">
        <v>31809</v>
      </c>
      <c r="B738" s="594">
        <v>3.95E-2</v>
      </c>
      <c r="C738" s="577">
        <v>-3.0100000000000002E-2</v>
      </c>
      <c r="D738" s="577">
        <v>5.8999999999999999E-3</v>
      </c>
      <c r="E738" s="577">
        <v>6.9833333333333336E-3</v>
      </c>
      <c r="F738" s="577">
        <v>7.4000000000000012E-3</v>
      </c>
      <c r="G738" s="577">
        <v>7.1916666666666674E-3</v>
      </c>
      <c r="H738" s="577">
        <v>7.5030833333333338E-3</v>
      </c>
      <c r="I738" s="577">
        <f t="shared" si="123"/>
        <v>3.3599999999999998E-2</v>
      </c>
      <c r="J738" s="577">
        <f t="shared" si="127"/>
        <v>3.2308333333333335E-2</v>
      </c>
      <c r="K738" s="577">
        <f t="shared" si="128"/>
        <v>-3.7603083333333336E-2</v>
      </c>
      <c r="L738" s="585">
        <f t="shared" si="124"/>
        <v>0.29517036239339212</v>
      </c>
      <c r="M738" s="585">
        <f t="shared" si="125"/>
        <v>7.0800000000000002E-2</v>
      </c>
      <c r="N738" s="585">
        <f t="shared" si="118"/>
        <v>8.6300000000000016E-2</v>
      </c>
      <c r="O738" s="586">
        <f t="shared" si="126"/>
        <v>0.22437036239339211</v>
      </c>
      <c r="P738" s="585">
        <f t="shared" si="119"/>
        <v>0.2088703623933921</v>
      </c>
      <c r="Q738" s="585">
        <f t="shared" si="120"/>
        <v>0.25236831635307855</v>
      </c>
      <c r="R738" s="585">
        <f t="shared" si="121"/>
        <v>9.0037000000000006E-2</v>
      </c>
      <c r="S738" s="586">
        <f t="shared" si="122"/>
        <v>0.16233131635307854</v>
      </c>
      <c r="U738" s="587"/>
      <c r="V738" s="587"/>
      <c r="W738" s="587"/>
      <c r="X738" s="587"/>
      <c r="Y738" s="587"/>
      <c r="Z738" s="587"/>
      <c r="AA738" s="587"/>
      <c r="AB738" s="587"/>
      <c r="AC738" s="587"/>
      <c r="AE738" s="587"/>
      <c r="AF738" s="587"/>
      <c r="AG738" s="587"/>
      <c r="AH738" s="587"/>
      <c r="AI738" s="587"/>
      <c r="AJ738" s="587"/>
      <c r="AK738" s="587"/>
      <c r="AL738" s="587"/>
      <c r="AM738" s="587"/>
      <c r="AO738" s="587"/>
      <c r="AP738" s="587"/>
      <c r="AQ738" s="587"/>
      <c r="AR738" s="587"/>
      <c r="AS738" s="587"/>
      <c r="AT738" s="587"/>
      <c r="AU738" s="587"/>
      <c r="AV738" s="587"/>
      <c r="AW738" s="587"/>
    </row>
    <row r="739" spans="1:49">
      <c r="A739" s="581">
        <v>31837</v>
      </c>
      <c r="B739" s="594">
        <v>2.8899999999999999E-2</v>
      </c>
      <c r="C739" s="577">
        <v>-1.89E-2</v>
      </c>
      <c r="D739" s="577">
        <v>6.6E-3</v>
      </c>
      <c r="E739" s="577">
        <v>6.9666666666666661E-3</v>
      </c>
      <c r="F739" s="577">
        <v>7.3666666666666672E-3</v>
      </c>
      <c r="G739" s="577">
        <v>7.1666666666666667E-3</v>
      </c>
      <c r="H739" s="577">
        <v>7.4409166666666669E-3</v>
      </c>
      <c r="I739" s="577">
        <f t="shared" si="123"/>
        <v>2.23E-2</v>
      </c>
      <c r="J739" s="577">
        <f t="shared" si="127"/>
        <v>2.1733333333333334E-2</v>
      </c>
      <c r="K739" s="577">
        <f t="shared" si="128"/>
        <v>-2.6340916666666665E-2</v>
      </c>
      <c r="L739" s="585">
        <f t="shared" si="124"/>
        <v>0.26217161002705169</v>
      </c>
      <c r="M739" s="585">
        <f t="shared" si="125"/>
        <v>7.9199999999999993E-2</v>
      </c>
      <c r="N739" s="585">
        <f t="shared" si="118"/>
        <v>8.5999999999999993E-2</v>
      </c>
      <c r="O739" s="586">
        <f t="shared" si="126"/>
        <v>0.1829716100270517</v>
      </c>
      <c r="P739" s="585">
        <f t="shared" si="119"/>
        <v>0.1761716100270517</v>
      </c>
      <c r="Q739" s="585">
        <f t="shared" si="120"/>
        <v>0.16863092559825499</v>
      </c>
      <c r="R739" s="585">
        <f t="shared" si="121"/>
        <v>8.9291000000000009E-2</v>
      </c>
      <c r="S739" s="586">
        <f t="shared" si="122"/>
        <v>7.9339925598254979E-2</v>
      </c>
      <c r="U739" s="587"/>
      <c r="V739" s="587"/>
      <c r="W739" s="587"/>
      <c r="X739" s="587"/>
      <c r="Y739" s="587"/>
      <c r="Z739" s="587"/>
      <c r="AA739" s="587"/>
      <c r="AB739" s="587"/>
      <c r="AC739" s="587"/>
      <c r="AE739" s="587"/>
      <c r="AF739" s="587"/>
      <c r="AG739" s="587"/>
      <c r="AH739" s="587"/>
      <c r="AI739" s="587"/>
      <c r="AJ739" s="587"/>
      <c r="AK739" s="587"/>
      <c r="AL739" s="587"/>
      <c r="AM739" s="587"/>
      <c r="AO739" s="587"/>
      <c r="AP739" s="587"/>
      <c r="AQ739" s="587"/>
      <c r="AR739" s="587"/>
      <c r="AS739" s="587"/>
      <c r="AT739" s="587"/>
      <c r="AU739" s="587"/>
      <c r="AV739" s="587"/>
      <c r="AW739" s="587"/>
    </row>
    <row r="740" spans="1:49">
      <c r="A740" s="581">
        <v>31868</v>
      </c>
      <c r="B740" s="594">
        <v>-8.8999999999999999E-3</v>
      </c>
      <c r="C740" s="577">
        <v>-4.1399999999999999E-2</v>
      </c>
      <c r="D740" s="577">
        <v>6.5000000000000006E-3</v>
      </c>
      <c r="E740" s="577">
        <v>7.3749999999999996E-3</v>
      </c>
      <c r="F740" s="577">
        <v>7.6250000000000007E-3</v>
      </c>
      <c r="G740" s="577">
        <v>7.4999999999999997E-3</v>
      </c>
      <c r="H740" s="577">
        <v>7.7940833333333334E-3</v>
      </c>
      <c r="I740" s="577">
        <f t="shared" si="123"/>
        <v>-1.54E-2</v>
      </c>
      <c r="J740" s="577">
        <f t="shared" si="127"/>
        <v>-1.6399999999999998E-2</v>
      </c>
      <c r="K740" s="577">
        <f t="shared" si="128"/>
        <v>-4.9194083333333333E-2</v>
      </c>
      <c r="L740" s="585">
        <f t="shared" si="124"/>
        <v>0.26523544320603887</v>
      </c>
      <c r="M740" s="585">
        <f t="shared" si="125"/>
        <v>7.8000000000000014E-2</v>
      </c>
      <c r="N740" s="585">
        <f t="shared" si="118"/>
        <v>0.09</v>
      </c>
      <c r="O740" s="586">
        <f t="shared" si="126"/>
        <v>0.18723544320603885</v>
      </c>
      <c r="P740" s="585">
        <f t="shared" si="119"/>
        <v>0.17523544320603887</v>
      </c>
      <c r="Q740" s="585">
        <f t="shared" si="120"/>
        <v>0.15883894204870885</v>
      </c>
      <c r="R740" s="585">
        <f t="shared" si="121"/>
        <v>9.3529000000000001E-2</v>
      </c>
      <c r="S740" s="586">
        <f t="shared" si="122"/>
        <v>6.5309942048708852E-2</v>
      </c>
      <c r="U740" s="587"/>
      <c r="V740" s="587"/>
      <c r="W740" s="587"/>
      <c r="X740" s="587"/>
      <c r="Y740" s="587"/>
      <c r="Z740" s="587"/>
      <c r="AA740" s="587"/>
      <c r="AB740" s="587"/>
      <c r="AC740" s="587"/>
      <c r="AE740" s="587"/>
      <c r="AF740" s="587"/>
      <c r="AG740" s="587"/>
      <c r="AH740" s="587"/>
      <c r="AI740" s="587"/>
      <c r="AJ740" s="587"/>
      <c r="AK740" s="587"/>
      <c r="AL740" s="587"/>
      <c r="AM740" s="587"/>
      <c r="AO740" s="587"/>
      <c r="AP740" s="587"/>
      <c r="AQ740" s="587"/>
      <c r="AR740" s="587"/>
      <c r="AS740" s="587"/>
      <c r="AT740" s="587"/>
      <c r="AU740" s="587"/>
      <c r="AV740" s="587"/>
      <c r="AW740" s="587"/>
    </row>
    <row r="741" spans="1:49">
      <c r="A741" s="581">
        <v>31898</v>
      </c>
      <c r="B741" s="594">
        <v>8.6999999999999994E-3</v>
      </c>
      <c r="C741" s="577">
        <v>-6.4000000000000003E-3</v>
      </c>
      <c r="D741" s="577">
        <v>6.6E-3</v>
      </c>
      <c r="E741" s="577">
        <v>7.7749999999999998E-3</v>
      </c>
      <c r="F741" s="577">
        <v>7.9916666666666678E-3</v>
      </c>
      <c r="G741" s="577">
        <v>7.8833333333333325E-3</v>
      </c>
      <c r="H741" s="577">
        <v>8.2208333333333335E-3</v>
      </c>
      <c r="I741" s="577">
        <f t="shared" si="123"/>
        <v>2.0999999999999994E-3</v>
      </c>
      <c r="J741" s="577">
        <f t="shared" si="127"/>
        <v>8.1666666666666693E-4</v>
      </c>
      <c r="K741" s="577">
        <f t="shared" si="128"/>
        <v>-1.4620833333333333E-2</v>
      </c>
      <c r="L741" s="585">
        <f t="shared" si="124"/>
        <v>0.21177648268318627</v>
      </c>
      <c r="M741" s="585">
        <f t="shared" si="125"/>
        <v>7.9199999999999993E-2</v>
      </c>
      <c r="N741" s="585">
        <f t="shared" si="118"/>
        <v>9.459999999999999E-2</v>
      </c>
      <c r="O741" s="586">
        <f t="shared" si="126"/>
        <v>0.13257648268318628</v>
      </c>
      <c r="P741" s="585">
        <f t="shared" si="119"/>
        <v>0.11717648268318628</v>
      </c>
      <c r="Q741" s="585">
        <f t="shared" si="120"/>
        <v>9.3988002678952576E-2</v>
      </c>
      <c r="R741" s="585">
        <f t="shared" si="121"/>
        <v>9.8650000000000002E-2</v>
      </c>
      <c r="S741" s="586">
        <f t="shared" si="122"/>
        <v>-4.6619973210474258E-3</v>
      </c>
      <c r="U741" s="587"/>
      <c r="V741" s="587"/>
      <c r="W741" s="587"/>
      <c r="X741" s="587"/>
      <c r="Y741" s="587"/>
      <c r="Z741" s="587"/>
      <c r="AA741" s="587"/>
      <c r="AB741" s="587"/>
      <c r="AC741" s="587"/>
      <c r="AE741" s="587"/>
      <c r="AF741" s="587"/>
      <c r="AG741" s="587"/>
      <c r="AH741" s="587"/>
      <c r="AI741" s="587"/>
      <c r="AJ741" s="587"/>
      <c r="AK741" s="587"/>
      <c r="AL741" s="587"/>
      <c r="AM741" s="587"/>
      <c r="AO741" s="587"/>
      <c r="AP741" s="587"/>
      <c r="AQ741" s="587"/>
      <c r="AR741" s="587"/>
      <c r="AS741" s="587"/>
      <c r="AT741" s="587"/>
      <c r="AU741" s="587"/>
      <c r="AV741" s="587"/>
      <c r="AW741" s="587"/>
    </row>
    <row r="742" spans="1:49">
      <c r="A742" s="581">
        <v>31929</v>
      </c>
      <c r="B742" s="594">
        <v>5.0500000000000003E-2</v>
      </c>
      <c r="C742" s="577">
        <v>4.3899999999999995E-2</v>
      </c>
      <c r="D742" s="577">
        <v>7.4999999999999997E-3</v>
      </c>
      <c r="E742" s="577">
        <v>7.7666666666666674E-3</v>
      </c>
      <c r="F742" s="577">
        <v>8.0416666666666674E-3</v>
      </c>
      <c r="G742" s="577">
        <v>7.904166666666667E-3</v>
      </c>
      <c r="H742" s="577">
        <v>8.3485E-3</v>
      </c>
      <c r="I742" s="577">
        <f t="shared" si="123"/>
        <v>4.3000000000000003E-2</v>
      </c>
      <c r="J742" s="577">
        <f t="shared" si="127"/>
        <v>4.2595833333333333E-2</v>
      </c>
      <c r="K742" s="577">
        <f t="shared" si="128"/>
        <v>3.5551499999999993E-2</v>
      </c>
      <c r="L742" s="585">
        <f t="shared" si="124"/>
        <v>0.25181551289083171</v>
      </c>
      <c r="M742" s="585">
        <f t="shared" si="125"/>
        <v>0.09</v>
      </c>
      <c r="N742" s="585">
        <f t="shared" si="118"/>
        <v>9.4850000000000004E-2</v>
      </c>
      <c r="O742" s="586">
        <f t="shared" si="126"/>
        <v>0.16181551289083171</v>
      </c>
      <c r="P742" s="585">
        <f t="shared" si="119"/>
        <v>0.15696551289083172</v>
      </c>
      <c r="Q742" s="585">
        <f t="shared" si="120"/>
        <v>7.7676772668263228E-2</v>
      </c>
      <c r="R742" s="585">
        <f t="shared" si="121"/>
        <v>0.10018199999999999</v>
      </c>
      <c r="S742" s="586">
        <f t="shared" si="122"/>
        <v>-2.2505227331736766E-2</v>
      </c>
      <c r="U742" s="587"/>
      <c r="V742" s="587"/>
      <c r="W742" s="587"/>
      <c r="X742" s="587"/>
      <c r="Y742" s="587"/>
      <c r="Z742" s="587"/>
      <c r="AA742" s="587"/>
      <c r="AB742" s="587"/>
      <c r="AC742" s="587"/>
      <c r="AE742" s="587"/>
      <c r="AF742" s="587"/>
      <c r="AG742" s="587"/>
      <c r="AH742" s="587"/>
      <c r="AI742" s="587"/>
      <c r="AJ742" s="587"/>
      <c r="AK742" s="587"/>
      <c r="AL742" s="587"/>
      <c r="AM742" s="587"/>
      <c r="AO742" s="587"/>
      <c r="AP742" s="587"/>
      <c r="AQ742" s="587"/>
      <c r="AR742" s="587"/>
      <c r="AS742" s="587"/>
      <c r="AT742" s="587"/>
      <c r="AU742" s="587"/>
      <c r="AV742" s="587"/>
      <c r="AW742" s="587"/>
    </row>
    <row r="743" spans="1:49">
      <c r="A743" s="581">
        <v>31959</v>
      </c>
      <c r="B743" s="594">
        <v>5.0700000000000002E-2</v>
      </c>
      <c r="C743" s="577">
        <v>-2.5000000000000005E-3</v>
      </c>
      <c r="D743" s="577">
        <v>7.3000000000000001E-3</v>
      </c>
      <c r="E743" s="577">
        <v>7.8500000000000011E-3</v>
      </c>
      <c r="F743" s="577">
        <v>8.0416666666666674E-3</v>
      </c>
      <c r="G743" s="577">
        <v>7.9458333333333343E-3</v>
      </c>
      <c r="H743" s="577">
        <v>8.445833333333333E-3</v>
      </c>
      <c r="I743" s="577">
        <f t="shared" si="123"/>
        <v>4.3400000000000001E-2</v>
      </c>
      <c r="J743" s="577">
        <f t="shared" si="127"/>
        <v>4.2754166666666669E-2</v>
      </c>
      <c r="K743" s="577">
        <f t="shared" si="128"/>
        <v>-1.0945833333333333E-2</v>
      </c>
      <c r="L743" s="585">
        <f t="shared" si="124"/>
        <v>0.39316021543734481</v>
      </c>
      <c r="M743" s="585">
        <f t="shared" si="125"/>
        <v>8.7599999999999997E-2</v>
      </c>
      <c r="N743" s="585">
        <f t="shared" si="118"/>
        <v>9.5350000000000018E-2</v>
      </c>
      <c r="O743" s="586">
        <f t="shared" si="126"/>
        <v>0.3055602154373448</v>
      </c>
      <c r="P743" s="585">
        <f t="shared" si="119"/>
        <v>0.29781021543734476</v>
      </c>
      <c r="Q743" s="585">
        <f t="shared" si="120"/>
        <v>4.5397822363700158E-2</v>
      </c>
      <c r="R743" s="585">
        <f t="shared" si="121"/>
        <v>0.10135</v>
      </c>
      <c r="S743" s="586">
        <f t="shared" si="122"/>
        <v>-5.5952177636299838E-2</v>
      </c>
      <c r="U743" s="587"/>
      <c r="V743" s="587"/>
      <c r="W743" s="587"/>
      <c r="X743" s="587"/>
      <c r="Y743" s="587"/>
      <c r="Z743" s="587"/>
      <c r="AA743" s="587"/>
      <c r="AB743" s="587"/>
      <c r="AC743" s="587"/>
      <c r="AE743" s="587"/>
      <c r="AF743" s="587"/>
      <c r="AG743" s="587"/>
      <c r="AH743" s="587"/>
      <c r="AI743" s="587"/>
      <c r="AJ743" s="587"/>
      <c r="AK743" s="587"/>
      <c r="AL743" s="587"/>
      <c r="AM743" s="587"/>
      <c r="AO743" s="587"/>
      <c r="AP743" s="587"/>
      <c r="AQ743" s="587"/>
      <c r="AR743" s="587"/>
      <c r="AS743" s="587"/>
      <c r="AT743" s="587"/>
      <c r="AU743" s="587"/>
      <c r="AV743" s="587"/>
      <c r="AW743" s="587"/>
    </row>
    <row r="744" spans="1:49">
      <c r="A744" s="581">
        <v>31990</v>
      </c>
      <c r="B744" s="594">
        <v>3.73E-2</v>
      </c>
      <c r="C744" s="577">
        <v>5.2699999999999997E-2</v>
      </c>
      <c r="D744" s="577">
        <v>7.4999999999999997E-3</v>
      </c>
      <c r="E744" s="577">
        <v>8.0583333333333323E-3</v>
      </c>
      <c r="F744" s="577">
        <v>8.2166666666666673E-3</v>
      </c>
      <c r="G744" s="577">
        <v>8.1374999999999989E-3</v>
      </c>
      <c r="H744" s="577">
        <v>8.7027500000000004E-3</v>
      </c>
      <c r="I744" s="577">
        <f t="shared" si="123"/>
        <v>2.98E-2</v>
      </c>
      <c r="J744" s="577">
        <f t="shared" si="127"/>
        <v>2.9162500000000001E-2</v>
      </c>
      <c r="K744" s="577">
        <f t="shared" si="128"/>
        <v>4.3997249999999995E-2</v>
      </c>
      <c r="L744" s="585">
        <f t="shared" si="124"/>
        <v>0.34530356681545116</v>
      </c>
      <c r="M744" s="585">
        <f t="shared" si="125"/>
        <v>0.09</v>
      </c>
      <c r="N744" s="585">
        <f t="shared" ref="N744:N807" si="129">G744*12</f>
        <v>9.7649999999999987E-2</v>
      </c>
      <c r="O744" s="586">
        <f t="shared" si="126"/>
        <v>0.25530356681545119</v>
      </c>
      <c r="P744" s="585">
        <f t="shared" ref="P744:P807" si="130">L744-N744</f>
        <v>0.24765356681545117</v>
      </c>
      <c r="Q744" s="585">
        <f t="shared" ref="Q744:Q807" si="131">((1+C733)*(1+C734)*(1+C735)*(1+C736)*(1+C737)*(1+C738)*(1+C739)*(1+C740)*(1+C741)*(1+C742)*(1+C743)*(1+C744))-1</f>
        <v>1.1108312754746663E-2</v>
      </c>
      <c r="R744" s="585">
        <f t="shared" ref="R744:R807" si="132">H744*12</f>
        <v>0.104433</v>
      </c>
      <c r="S744" s="586">
        <f t="shared" ref="S744:S807" si="133">Q744-R744</f>
        <v>-9.3324687245253335E-2</v>
      </c>
      <c r="U744" s="587"/>
      <c r="V744" s="587"/>
      <c r="W744" s="587"/>
      <c r="X744" s="587"/>
      <c r="Y744" s="587"/>
      <c r="Z744" s="587"/>
      <c r="AA744" s="587"/>
      <c r="AB744" s="587"/>
      <c r="AC744" s="587"/>
      <c r="AE744" s="587"/>
      <c r="AF744" s="587"/>
      <c r="AG744" s="587"/>
      <c r="AH744" s="587"/>
      <c r="AI744" s="587"/>
      <c r="AJ744" s="587"/>
      <c r="AK744" s="587"/>
      <c r="AL744" s="587"/>
      <c r="AM744" s="587"/>
      <c r="AO744" s="587"/>
      <c r="AP744" s="587"/>
      <c r="AQ744" s="587"/>
      <c r="AR744" s="587"/>
      <c r="AS744" s="587"/>
      <c r="AT744" s="587"/>
      <c r="AU744" s="587"/>
      <c r="AV744" s="587"/>
      <c r="AW744" s="587"/>
    </row>
    <row r="745" spans="1:49">
      <c r="A745" s="581">
        <v>32021</v>
      </c>
      <c r="B745" s="594">
        <v>-2.1899999999999999E-2</v>
      </c>
      <c r="C745" s="577">
        <v>2.0999999999999999E-3</v>
      </c>
      <c r="D745" s="577">
        <v>7.4999999999999997E-3</v>
      </c>
      <c r="E745" s="577">
        <v>8.4833333333333323E-3</v>
      </c>
      <c r="F745" s="577">
        <v>8.624999999999999E-3</v>
      </c>
      <c r="G745" s="577">
        <v>8.5541666666666665E-3</v>
      </c>
      <c r="H745" s="577">
        <v>9.3135000000000006E-3</v>
      </c>
      <c r="I745" s="577">
        <f t="shared" si="123"/>
        <v>-2.9399999999999999E-2</v>
      </c>
      <c r="J745" s="577">
        <f t="shared" si="127"/>
        <v>-3.0454166666666664E-2</v>
      </c>
      <c r="K745" s="577">
        <f t="shared" si="128"/>
        <v>-7.2135000000000012E-3</v>
      </c>
      <c r="L745" s="585">
        <f t="shared" si="124"/>
        <v>0.43447227592084703</v>
      </c>
      <c r="M745" s="585">
        <f t="shared" si="125"/>
        <v>0.09</v>
      </c>
      <c r="N745" s="585">
        <f t="shared" si="129"/>
        <v>0.10264999999999999</v>
      </c>
      <c r="O745" s="586">
        <f t="shared" si="126"/>
        <v>0.34447227592084706</v>
      </c>
      <c r="P745" s="585">
        <f t="shared" si="130"/>
        <v>0.33182227592084701</v>
      </c>
      <c r="Q745" s="585">
        <f t="shared" si="131"/>
        <v>0.14321520953574685</v>
      </c>
      <c r="R745" s="585">
        <f t="shared" si="132"/>
        <v>0.111762</v>
      </c>
      <c r="S745" s="586">
        <f t="shared" si="133"/>
        <v>3.1453209535746846E-2</v>
      </c>
      <c r="U745" s="587"/>
      <c r="V745" s="587"/>
      <c r="W745" s="587"/>
      <c r="X745" s="587"/>
      <c r="Y745" s="587"/>
      <c r="Z745" s="587"/>
      <c r="AA745" s="587"/>
      <c r="AB745" s="587"/>
      <c r="AC745" s="587"/>
      <c r="AE745" s="587"/>
      <c r="AF745" s="587"/>
      <c r="AG745" s="587"/>
      <c r="AH745" s="587"/>
      <c r="AI745" s="587"/>
      <c r="AJ745" s="587"/>
      <c r="AK745" s="587"/>
      <c r="AL745" s="587"/>
      <c r="AM745" s="587"/>
      <c r="AO745" s="587"/>
      <c r="AP745" s="587"/>
      <c r="AQ745" s="587"/>
      <c r="AR745" s="587"/>
      <c r="AS745" s="587"/>
      <c r="AT745" s="587"/>
      <c r="AU745" s="587"/>
      <c r="AV745" s="587"/>
      <c r="AW745" s="587"/>
    </row>
    <row r="746" spans="1:49">
      <c r="A746" s="581">
        <v>32051</v>
      </c>
      <c r="B746" s="594">
        <v>-0.21540000000000001</v>
      </c>
      <c r="C746" s="577">
        <v>-7.0500000000000007E-2</v>
      </c>
      <c r="D746" s="577">
        <v>7.9000000000000008E-3</v>
      </c>
      <c r="E746" s="577">
        <v>8.7666666666666657E-3</v>
      </c>
      <c r="F746" s="577">
        <v>8.9499999999999996E-3</v>
      </c>
      <c r="G746" s="577">
        <v>8.8583333333333326E-3</v>
      </c>
      <c r="H746" s="577">
        <v>9.4654999999999982E-3</v>
      </c>
      <c r="I746" s="577">
        <f t="shared" si="123"/>
        <v>-0.2233</v>
      </c>
      <c r="J746" s="577">
        <f t="shared" si="127"/>
        <v>-0.22425833333333334</v>
      </c>
      <c r="K746" s="577">
        <f t="shared" si="128"/>
        <v>-7.9965500000000009E-2</v>
      </c>
      <c r="L746" s="585">
        <f t="shared" si="124"/>
        <v>6.4089011711729427E-2</v>
      </c>
      <c r="M746" s="585">
        <f t="shared" si="125"/>
        <v>9.4800000000000009E-2</v>
      </c>
      <c r="N746" s="585">
        <f t="shared" si="129"/>
        <v>0.10629999999999999</v>
      </c>
      <c r="O746" s="586">
        <f t="shared" si="126"/>
        <v>-3.0710988288270583E-2</v>
      </c>
      <c r="P746" s="585">
        <f t="shared" si="130"/>
        <v>-4.2210988288270565E-2</v>
      </c>
      <c r="Q746" s="585">
        <f t="shared" si="131"/>
        <v>1.153597074105317E-2</v>
      </c>
      <c r="R746" s="585">
        <f t="shared" si="132"/>
        <v>0.11358599999999998</v>
      </c>
      <c r="S746" s="586">
        <f t="shared" si="133"/>
        <v>-0.10205002925894681</v>
      </c>
      <c r="U746" s="587"/>
      <c r="V746" s="587"/>
      <c r="W746" s="587"/>
      <c r="X746" s="587"/>
      <c r="Y746" s="587"/>
      <c r="Z746" s="587"/>
      <c r="AA746" s="587"/>
      <c r="AB746" s="587"/>
      <c r="AC746" s="587"/>
      <c r="AE746" s="587"/>
      <c r="AF746" s="587"/>
      <c r="AG746" s="587"/>
      <c r="AH746" s="587"/>
      <c r="AI746" s="587"/>
      <c r="AJ746" s="587"/>
      <c r="AK746" s="587"/>
      <c r="AL746" s="587"/>
      <c r="AM746" s="587"/>
      <c r="AO746" s="587"/>
      <c r="AP746" s="587"/>
      <c r="AQ746" s="587"/>
      <c r="AR746" s="587"/>
      <c r="AS746" s="587"/>
      <c r="AT746" s="587"/>
      <c r="AU746" s="587"/>
      <c r="AV746" s="587"/>
      <c r="AW746" s="587"/>
    </row>
    <row r="747" spans="1:49">
      <c r="A747" s="581">
        <v>32082</v>
      </c>
      <c r="B747" s="594">
        <v>-8.2400000000000001E-2</v>
      </c>
      <c r="C747" s="577">
        <v>-5.5499999999999987E-2</v>
      </c>
      <c r="D747" s="577">
        <v>7.4999999999999997E-3</v>
      </c>
      <c r="E747" s="577">
        <v>8.3416666666666656E-3</v>
      </c>
      <c r="F747" s="577">
        <v>8.5583333333333327E-3</v>
      </c>
      <c r="G747" s="577">
        <v>8.4499999999999992E-3</v>
      </c>
      <c r="H747" s="577">
        <v>9.0204166666666679E-3</v>
      </c>
      <c r="I747" s="577">
        <f t="shared" si="123"/>
        <v>-8.9900000000000008E-2</v>
      </c>
      <c r="J747" s="577">
        <f t="shared" si="127"/>
        <v>-9.085E-2</v>
      </c>
      <c r="K747" s="577">
        <f t="shared" si="128"/>
        <v>-6.452041666666665E-2</v>
      </c>
      <c r="L747" s="585">
        <f t="shared" si="124"/>
        <v>-4.675575793548481E-2</v>
      </c>
      <c r="M747" s="585">
        <f t="shared" si="125"/>
        <v>0.09</v>
      </c>
      <c r="N747" s="585">
        <f t="shared" si="129"/>
        <v>0.10139999999999999</v>
      </c>
      <c r="O747" s="586">
        <f t="shared" si="126"/>
        <v>-0.13675575793548481</v>
      </c>
      <c r="P747" s="585">
        <f t="shared" si="130"/>
        <v>-0.1481557579354848</v>
      </c>
      <c r="Q747" s="585">
        <f t="shared" si="131"/>
        <v>-6.4346563152556269E-2</v>
      </c>
      <c r="R747" s="585">
        <f t="shared" si="132"/>
        <v>0.10824500000000001</v>
      </c>
      <c r="S747" s="586">
        <f t="shared" si="133"/>
        <v>-0.17259156315255628</v>
      </c>
      <c r="U747" s="587"/>
      <c r="V747" s="587"/>
      <c r="W747" s="587"/>
      <c r="X747" s="587"/>
      <c r="Y747" s="587"/>
      <c r="Z747" s="587"/>
      <c r="AA747" s="587"/>
      <c r="AB747" s="587"/>
      <c r="AC747" s="587"/>
      <c r="AE747" s="587"/>
      <c r="AF747" s="587"/>
      <c r="AG747" s="587"/>
      <c r="AH747" s="587"/>
      <c r="AI747" s="587"/>
      <c r="AJ747" s="587"/>
      <c r="AK747" s="587"/>
      <c r="AL747" s="587"/>
      <c r="AM747" s="587"/>
      <c r="AO747" s="587"/>
      <c r="AP747" s="587"/>
      <c r="AQ747" s="587"/>
      <c r="AR747" s="587"/>
      <c r="AS747" s="587"/>
      <c r="AT747" s="587"/>
      <c r="AU747" s="587"/>
      <c r="AV747" s="587"/>
      <c r="AW747" s="587"/>
    </row>
    <row r="748" spans="1:49">
      <c r="A748" s="581">
        <v>32112</v>
      </c>
      <c r="B748" s="594">
        <v>7.6100000000000001E-2</v>
      </c>
      <c r="C748" s="577">
        <v>1.0800000000000001E-2</v>
      </c>
      <c r="D748" s="577">
        <v>7.7999999999999988E-3</v>
      </c>
      <c r="E748" s="577">
        <v>8.4249999999999985E-3</v>
      </c>
      <c r="F748" s="577">
        <v>8.6083333333333342E-3</v>
      </c>
      <c r="G748" s="577">
        <v>8.5166666666666654E-3</v>
      </c>
      <c r="H748" s="577">
        <v>9.1140000000000006E-3</v>
      </c>
      <c r="I748" s="577">
        <f t="shared" si="123"/>
        <v>6.83E-2</v>
      </c>
      <c r="J748" s="577">
        <f t="shared" si="127"/>
        <v>6.7583333333333329E-2</v>
      </c>
      <c r="K748" s="577">
        <f t="shared" si="128"/>
        <v>1.686E-3</v>
      </c>
      <c r="L748" s="585">
        <f t="shared" si="124"/>
        <v>5.262814662455062E-2</v>
      </c>
      <c r="M748" s="585">
        <f t="shared" si="125"/>
        <v>9.3599999999999989E-2</v>
      </c>
      <c r="N748" s="585">
        <f t="shared" si="129"/>
        <v>0.10219999999999999</v>
      </c>
      <c r="O748" s="586">
        <f t="shared" si="126"/>
        <v>-4.0971853375449369E-2</v>
      </c>
      <c r="P748" s="585">
        <f t="shared" si="130"/>
        <v>-4.9571853375449365E-2</v>
      </c>
      <c r="Q748" s="585">
        <f t="shared" si="131"/>
        <v>-2.959317261912997E-2</v>
      </c>
      <c r="R748" s="585">
        <f t="shared" si="132"/>
        <v>0.10936800000000001</v>
      </c>
      <c r="S748" s="586">
        <f t="shared" si="133"/>
        <v>-0.13896117261912999</v>
      </c>
      <c r="U748" s="587"/>
      <c r="V748" s="587"/>
      <c r="W748" s="587"/>
      <c r="X748" s="587"/>
      <c r="Y748" s="587"/>
      <c r="Z748" s="587"/>
      <c r="AA748" s="587"/>
      <c r="AB748" s="587"/>
      <c r="AC748" s="587"/>
      <c r="AE748" s="587"/>
      <c r="AF748" s="587"/>
      <c r="AG748" s="587"/>
      <c r="AH748" s="587"/>
      <c r="AI748" s="587"/>
      <c r="AJ748" s="587"/>
      <c r="AK748" s="587"/>
      <c r="AL748" s="587"/>
      <c r="AM748" s="587"/>
      <c r="AO748" s="587"/>
      <c r="AP748" s="587"/>
      <c r="AQ748" s="587"/>
      <c r="AR748" s="587"/>
      <c r="AS748" s="587"/>
      <c r="AT748" s="587"/>
      <c r="AU748" s="587"/>
      <c r="AV748" s="587"/>
      <c r="AW748" s="587"/>
    </row>
    <row r="749" spans="1:49">
      <c r="A749" s="581">
        <v>32143</v>
      </c>
      <c r="B749" s="594">
        <v>4.2099999999999999E-2</v>
      </c>
      <c r="C749" s="577">
        <v>0.1153</v>
      </c>
      <c r="D749" s="577">
        <v>7.1999999999999998E-3</v>
      </c>
      <c r="E749" s="577">
        <v>8.2333333333333338E-3</v>
      </c>
      <c r="F749" s="577">
        <v>8.4083333333333336E-3</v>
      </c>
      <c r="G749" s="577">
        <v>8.3208333333333329E-3</v>
      </c>
      <c r="H749" s="577">
        <v>8.9983333333333339E-3</v>
      </c>
      <c r="I749" s="577">
        <f t="shared" si="123"/>
        <v>3.49E-2</v>
      </c>
      <c r="J749" s="577">
        <f t="shared" si="127"/>
        <v>3.3779166666666666E-2</v>
      </c>
      <c r="K749" s="577">
        <f t="shared" si="128"/>
        <v>0.10630166666666667</v>
      </c>
      <c r="L749" s="585">
        <f t="shared" si="124"/>
        <v>-3.3274176789067966E-2</v>
      </c>
      <c r="M749" s="585">
        <f t="shared" si="125"/>
        <v>8.6400000000000005E-2</v>
      </c>
      <c r="N749" s="585">
        <f t="shared" si="129"/>
        <v>9.9849999999999994E-2</v>
      </c>
      <c r="O749" s="586">
        <f t="shared" si="126"/>
        <v>-0.11967417678906797</v>
      </c>
      <c r="P749" s="585">
        <f t="shared" si="130"/>
        <v>-0.13312417678906796</v>
      </c>
      <c r="Q749" s="585">
        <f t="shared" si="131"/>
        <v>-1.4662477623921588E-2</v>
      </c>
      <c r="R749" s="585">
        <f t="shared" si="132"/>
        <v>0.10798000000000001</v>
      </c>
      <c r="S749" s="586">
        <f t="shared" si="133"/>
        <v>-0.12264247762392159</v>
      </c>
      <c r="U749" s="587"/>
      <c r="V749" s="587"/>
      <c r="W749" s="587"/>
      <c r="X749" s="587"/>
      <c r="Y749" s="587"/>
      <c r="Z749" s="587"/>
      <c r="AA749" s="587"/>
      <c r="AB749" s="587"/>
      <c r="AC749" s="587"/>
      <c r="AE749" s="587"/>
      <c r="AF749" s="587"/>
      <c r="AG749" s="587"/>
      <c r="AH749" s="587"/>
      <c r="AI749" s="587"/>
      <c r="AJ749" s="587"/>
      <c r="AK749" s="587"/>
      <c r="AL749" s="587"/>
      <c r="AM749" s="587"/>
      <c r="AO749" s="587"/>
      <c r="AP749" s="587"/>
      <c r="AQ749" s="587"/>
      <c r="AR749" s="587"/>
      <c r="AS749" s="587"/>
      <c r="AT749" s="587"/>
      <c r="AU749" s="587"/>
      <c r="AV749" s="587"/>
      <c r="AW749" s="587"/>
    </row>
    <row r="750" spans="1:49">
      <c r="A750" s="581">
        <v>32174</v>
      </c>
      <c r="B750" s="594">
        <v>4.6600000000000003E-2</v>
      </c>
      <c r="C750" s="577">
        <v>-1.7500000000000002E-2</v>
      </c>
      <c r="D750" s="577">
        <v>7.1000000000000004E-3</v>
      </c>
      <c r="E750" s="577">
        <v>7.8333333333333328E-3</v>
      </c>
      <c r="F750" s="577">
        <v>8.0000000000000002E-3</v>
      </c>
      <c r="G750" s="577">
        <v>7.9166666666666656E-3</v>
      </c>
      <c r="H750" s="577">
        <v>8.4295833333333341E-3</v>
      </c>
      <c r="I750" s="577">
        <f t="shared" si="123"/>
        <v>3.95E-2</v>
      </c>
      <c r="J750" s="577">
        <f t="shared" si="127"/>
        <v>3.8683333333333333E-2</v>
      </c>
      <c r="K750" s="577">
        <f t="shared" si="128"/>
        <v>-2.5929583333333336E-2</v>
      </c>
      <c r="L750" s="585">
        <f t="shared" si="124"/>
        <v>-2.6671239468435526E-2</v>
      </c>
      <c r="M750" s="585">
        <f t="shared" si="125"/>
        <v>8.5199999999999998E-2</v>
      </c>
      <c r="N750" s="585">
        <f t="shared" si="129"/>
        <v>9.4999999999999987E-2</v>
      </c>
      <c r="O750" s="586">
        <f t="shared" si="126"/>
        <v>-0.11187123946843552</v>
      </c>
      <c r="P750" s="585">
        <f t="shared" si="130"/>
        <v>-0.12167123946843551</v>
      </c>
      <c r="Q750" s="585">
        <f t="shared" si="131"/>
        <v>-1.8619283075606008E-3</v>
      </c>
      <c r="R750" s="585">
        <f t="shared" si="132"/>
        <v>0.10115500000000001</v>
      </c>
      <c r="S750" s="586">
        <f t="shared" si="133"/>
        <v>-0.10301692830756061</v>
      </c>
      <c r="U750" s="587"/>
      <c r="V750" s="587"/>
      <c r="W750" s="587"/>
      <c r="X750" s="587"/>
      <c r="Y750" s="587"/>
      <c r="Z750" s="587"/>
      <c r="AA750" s="587"/>
      <c r="AB750" s="587"/>
      <c r="AC750" s="587"/>
      <c r="AE750" s="587"/>
      <c r="AF750" s="587"/>
      <c r="AG750" s="587"/>
      <c r="AH750" s="587"/>
      <c r="AI750" s="587"/>
      <c r="AJ750" s="587"/>
      <c r="AK750" s="587"/>
      <c r="AL750" s="587"/>
      <c r="AM750" s="587"/>
      <c r="AO750" s="587"/>
      <c r="AP750" s="587"/>
      <c r="AQ750" s="587"/>
      <c r="AR750" s="587"/>
      <c r="AS750" s="587"/>
      <c r="AT750" s="587"/>
      <c r="AU750" s="587"/>
      <c r="AV750" s="587"/>
      <c r="AW750" s="587"/>
    </row>
    <row r="751" spans="1:49">
      <c r="A751" s="581">
        <v>32203</v>
      </c>
      <c r="B751" s="594">
        <v>-3.09E-2</v>
      </c>
      <c r="C751" s="577">
        <v>-5.2699999999999997E-2</v>
      </c>
      <c r="D751" s="577">
        <v>7.1999999999999998E-3</v>
      </c>
      <c r="E751" s="577">
        <v>7.8250000000000004E-3</v>
      </c>
      <c r="F751" s="577">
        <v>7.9916666666666678E-3</v>
      </c>
      <c r="G751" s="577">
        <v>7.9083333333333332E-3</v>
      </c>
      <c r="H751" s="577">
        <v>8.3956666666666676E-3</v>
      </c>
      <c r="I751" s="577">
        <f t="shared" si="123"/>
        <v>-3.8100000000000002E-2</v>
      </c>
      <c r="J751" s="577">
        <f t="shared" si="127"/>
        <v>-3.8808333333333334E-2</v>
      </c>
      <c r="K751" s="577">
        <f t="shared" si="128"/>
        <v>-6.1095666666666666E-2</v>
      </c>
      <c r="L751" s="585">
        <f t="shared" si="124"/>
        <v>-8.3241421099096824E-2</v>
      </c>
      <c r="M751" s="585">
        <f t="shared" si="125"/>
        <v>8.6400000000000005E-2</v>
      </c>
      <c r="N751" s="585">
        <f t="shared" si="129"/>
        <v>9.4899999999999998E-2</v>
      </c>
      <c r="O751" s="586">
        <f t="shared" si="126"/>
        <v>-0.16964142109909683</v>
      </c>
      <c r="P751" s="585">
        <f t="shared" si="130"/>
        <v>-0.17814142109909681</v>
      </c>
      <c r="Q751" s="585">
        <f t="shared" si="131"/>
        <v>-3.6248909067120749E-2</v>
      </c>
      <c r="R751" s="585">
        <f t="shared" si="132"/>
        <v>0.100748</v>
      </c>
      <c r="S751" s="586">
        <f t="shared" si="133"/>
        <v>-0.13699690906712075</v>
      </c>
      <c r="U751" s="587"/>
      <c r="V751" s="587"/>
      <c r="W751" s="587"/>
      <c r="X751" s="587"/>
      <c r="Y751" s="587"/>
      <c r="Z751" s="587"/>
      <c r="AA751" s="587"/>
      <c r="AB751" s="587"/>
      <c r="AC751" s="587"/>
      <c r="AE751" s="587"/>
      <c r="AF751" s="587"/>
      <c r="AG751" s="587"/>
      <c r="AH751" s="587"/>
      <c r="AI751" s="587"/>
      <c r="AJ751" s="587"/>
      <c r="AK751" s="587"/>
      <c r="AL751" s="587"/>
      <c r="AM751" s="587"/>
      <c r="AO751" s="587"/>
      <c r="AP751" s="587"/>
      <c r="AQ751" s="587"/>
      <c r="AR751" s="587"/>
      <c r="AS751" s="587"/>
      <c r="AT751" s="587"/>
      <c r="AU751" s="587"/>
      <c r="AV751" s="587"/>
      <c r="AW751" s="587"/>
    </row>
    <row r="752" spans="1:49">
      <c r="A752" s="581">
        <v>32234</v>
      </c>
      <c r="B752" s="594">
        <v>1.11E-2</v>
      </c>
      <c r="C752" s="577">
        <v>1.9000000000000006E-3</v>
      </c>
      <c r="D752" s="577">
        <v>7.000000000000001E-3</v>
      </c>
      <c r="E752" s="577">
        <v>8.0583333333333323E-3</v>
      </c>
      <c r="F752" s="577">
        <v>8.2166666666666673E-3</v>
      </c>
      <c r="G752" s="577">
        <v>8.1374999999999989E-3</v>
      </c>
      <c r="H752" s="577">
        <v>8.7683333333333328E-3</v>
      </c>
      <c r="I752" s="577">
        <f t="shared" si="123"/>
        <v>4.0999999999999995E-3</v>
      </c>
      <c r="J752" s="577">
        <f t="shared" si="127"/>
        <v>2.9625000000000016E-3</v>
      </c>
      <c r="K752" s="577">
        <f t="shared" si="128"/>
        <v>-6.8683333333333322E-3</v>
      </c>
      <c r="L752" s="585">
        <f t="shared" si="124"/>
        <v>-6.4741601123294412E-2</v>
      </c>
      <c r="M752" s="585">
        <f t="shared" si="125"/>
        <v>8.4000000000000019E-2</v>
      </c>
      <c r="N752" s="585">
        <f t="shared" si="129"/>
        <v>9.7649999999999987E-2</v>
      </c>
      <c r="O752" s="586">
        <f t="shared" si="126"/>
        <v>-0.14874160112329443</v>
      </c>
      <c r="P752" s="585">
        <f t="shared" si="130"/>
        <v>-0.1623916011232944</v>
      </c>
      <c r="Q752" s="585">
        <f t="shared" si="131"/>
        <v>7.2837659145126299E-3</v>
      </c>
      <c r="R752" s="585">
        <f t="shared" si="132"/>
        <v>0.10521999999999999</v>
      </c>
      <c r="S752" s="586">
        <f t="shared" si="133"/>
        <v>-9.7936234085487364E-2</v>
      </c>
      <c r="U752" s="587"/>
      <c r="V752" s="587"/>
      <c r="W752" s="587"/>
      <c r="X752" s="587"/>
      <c r="Y752" s="587"/>
      <c r="Z752" s="587"/>
      <c r="AA752" s="587"/>
      <c r="AB752" s="587"/>
      <c r="AC752" s="587"/>
      <c r="AE752" s="587"/>
      <c r="AF752" s="587"/>
      <c r="AG752" s="587"/>
      <c r="AH752" s="587"/>
      <c r="AI752" s="587"/>
      <c r="AJ752" s="587"/>
      <c r="AK752" s="587"/>
      <c r="AL752" s="587"/>
      <c r="AM752" s="587"/>
      <c r="AO752" s="587"/>
      <c r="AP752" s="587"/>
      <c r="AQ752" s="587"/>
      <c r="AR752" s="587"/>
      <c r="AS752" s="587"/>
      <c r="AT752" s="587"/>
      <c r="AU752" s="587"/>
      <c r="AV752" s="587"/>
      <c r="AW752" s="587"/>
    </row>
    <row r="753" spans="1:49">
      <c r="A753" s="581">
        <v>32264</v>
      </c>
      <c r="B753" s="594">
        <v>8.6E-3</v>
      </c>
      <c r="C753" s="577">
        <v>4.5999999999999999E-2</v>
      </c>
      <c r="D753" s="577">
        <v>7.7999999999999988E-3</v>
      </c>
      <c r="E753" s="577">
        <v>8.2500000000000004E-3</v>
      </c>
      <c r="F753" s="577">
        <v>8.416666666666666E-3</v>
      </c>
      <c r="G753" s="577">
        <v>8.3333333333333332E-3</v>
      </c>
      <c r="H753" s="577">
        <v>8.9932500000000012E-3</v>
      </c>
      <c r="I753" s="577">
        <f t="shared" si="123"/>
        <v>8.0000000000000123E-4</v>
      </c>
      <c r="J753" s="577">
        <f t="shared" si="127"/>
        <v>2.6666666666666679E-4</v>
      </c>
      <c r="K753" s="577">
        <f t="shared" si="128"/>
        <v>3.7006749999999998E-2</v>
      </c>
      <c r="L753" s="585">
        <f t="shared" si="124"/>
        <v>-6.4834320306289772E-2</v>
      </c>
      <c r="M753" s="585">
        <f t="shared" si="125"/>
        <v>9.3599999999999989E-2</v>
      </c>
      <c r="N753" s="585">
        <f t="shared" si="129"/>
        <v>0.1</v>
      </c>
      <c r="O753" s="586">
        <f t="shared" si="126"/>
        <v>-0.15843432030628976</v>
      </c>
      <c r="P753" s="585">
        <f t="shared" si="130"/>
        <v>-0.16483432030628978</v>
      </c>
      <c r="Q753" s="585">
        <f t="shared" si="131"/>
        <v>6.0405413794867302E-2</v>
      </c>
      <c r="R753" s="585">
        <f t="shared" si="132"/>
        <v>0.10791900000000001</v>
      </c>
      <c r="S753" s="586">
        <f t="shared" si="133"/>
        <v>-4.7513586205132713E-2</v>
      </c>
      <c r="U753" s="587"/>
      <c r="V753" s="587"/>
      <c r="W753" s="587"/>
      <c r="X753" s="587"/>
      <c r="Y753" s="587"/>
      <c r="Z753" s="587"/>
      <c r="AA753" s="587"/>
      <c r="AB753" s="587"/>
      <c r="AC753" s="587"/>
      <c r="AE753" s="587"/>
      <c r="AF753" s="587"/>
      <c r="AG753" s="587"/>
      <c r="AH753" s="587"/>
      <c r="AI753" s="587"/>
      <c r="AJ753" s="587"/>
      <c r="AK753" s="587"/>
      <c r="AL753" s="587"/>
      <c r="AM753" s="587"/>
      <c r="AO753" s="587"/>
      <c r="AP753" s="587"/>
      <c r="AQ753" s="587"/>
      <c r="AR753" s="587"/>
      <c r="AS753" s="587"/>
      <c r="AT753" s="587"/>
      <c r="AU753" s="587"/>
      <c r="AV753" s="587"/>
      <c r="AW753" s="587"/>
    </row>
    <row r="754" spans="1:49">
      <c r="A754" s="581">
        <v>32295</v>
      </c>
      <c r="B754" s="594">
        <v>4.5900000000000003E-2</v>
      </c>
      <c r="C754" s="577">
        <v>3.15E-2</v>
      </c>
      <c r="D754" s="577">
        <v>7.6E-3</v>
      </c>
      <c r="E754" s="577">
        <v>8.2166666666666673E-3</v>
      </c>
      <c r="F754" s="577">
        <v>8.4416666666666668E-3</v>
      </c>
      <c r="G754" s="577">
        <v>8.329166666666667E-3</v>
      </c>
      <c r="H754" s="577">
        <v>9.0045833333333332E-3</v>
      </c>
      <c r="I754" s="577">
        <f t="shared" si="123"/>
        <v>3.8300000000000001E-2</v>
      </c>
      <c r="J754" s="577">
        <f t="shared" si="127"/>
        <v>3.7570833333333338E-2</v>
      </c>
      <c r="K754" s="577">
        <f t="shared" si="128"/>
        <v>2.2495416666666667E-2</v>
      </c>
      <c r="L754" s="585">
        <f t="shared" si="124"/>
        <v>-6.8929286633363507E-2</v>
      </c>
      <c r="M754" s="585">
        <f t="shared" si="125"/>
        <v>9.1200000000000003E-2</v>
      </c>
      <c r="N754" s="585">
        <f t="shared" si="129"/>
        <v>9.9950000000000011E-2</v>
      </c>
      <c r="O754" s="586">
        <f t="shared" si="126"/>
        <v>-0.16012928663336351</v>
      </c>
      <c r="P754" s="585">
        <f t="shared" si="130"/>
        <v>-0.16887928663336352</v>
      </c>
      <c r="Q754" s="585">
        <f t="shared" si="131"/>
        <v>4.7809353701892432E-2</v>
      </c>
      <c r="R754" s="585">
        <f t="shared" si="132"/>
        <v>0.108055</v>
      </c>
      <c r="S754" s="586">
        <f t="shared" si="133"/>
        <v>-6.0245646298107566E-2</v>
      </c>
      <c r="U754" s="587"/>
      <c r="V754" s="587"/>
      <c r="W754" s="587"/>
      <c r="X754" s="587"/>
      <c r="Y754" s="587"/>
      <c r="Z754" s="587"/>
      <c r="AA754" s="587"/>
      <c r="AB754" s="587"/>
      <c r="AC754" s="587"/>
      <c r="AE754" s="587"/>
      <c r="AF754" s="587"/>
      <c r="AG754" s="587"/>
      <c r="AH754" s="587"/>
      <c r="AI754" s="587"/>
      <c r="AJ754" s="587"/>
      <c r="AK754" s="587"/>
      <c r="AL754" s="587"/>
      <c r="AM754" s="587"/>
      <c r="AO754" s="587"/>
      <c r="AP754" s="587"/>
      <c r="AQ754" s="587"/>
      <c r="AR754" s="587"/>
      <c r="AS754" s="587"/>
      <c r="AT754" s="587"/>
      <c r="AU754" s="587"/>
      <c r="AV754" s="587"/>
      <c r="AW754" s="587"/>
    </row>
    <row r="755" spans="1:49">
      <c r="A755" s="581">
        <v>32325</v>
      </c>
      <c r="B755" s="594">
        <v>-3.8E-3</v>
      </c>
      <c r="C755" s="577">
        <v>1.6999999999999993E-3</v>
      </c>
      <c r="D755" s="577">
        <v>7.1000000000000004E-3</v>
      </c>
      <c r="E755" s="577">
        <v>8.3000000000000001E-3</v>
      </c>
      <c r="F755" s="577">
        <v>8.5500000000000003E-3</v>
      </c>
      <c r="G755" s="577">
        <v>8.4250000000000002E-3</v>
      </c>
      <c r="H755" s="577">
        <v>9.1866666666666659E-3</v>
      </c>
      <c r="I755" s="577">
        <f t="shared" si="123"/>
        <v>-1.09E-2</v>
      </c>
      <c r="J755" s="577">
        <f t="shared" si="127"/>
        <v>-1.2225E-2</v>
      </c>
      <c r="K755" s="577">
        <f t="shared" si="128"/>
        <v>-7.4866666666666666E-3</v>
      </c>
      <c r="L755" s="585">
        <f t="shared" si="124"/>
        <v>-0.11722409378905185</v>
      </c>
      <c r="M755" s="585">
        <f t="shared" si="125"/>
        <v>8.5199999999999998E-2</v>
      </c>
      <c r="N755" s="585">
        <f t="shared" si="129"/>
        <v>0.1011</v>
      </c>
      <c r="O755" s="586">
        <f t="shared" si="126"/>
        <v>-0.20242409378905185</v>
      </c>
      <c r="P755" s="585">
        <f t="shared" si="130"/>
        <v>-0.21832409378905185</v>
      </c>
      <c r="Q755" s="585">
        <f t="shared" si="131"/>
        <v>5.2221182559584634E-2</v>
      </c>
      <c r="R755" s="585">
        <f t="shared" si="132"/>
        <v>0.11023999999999999</v>
      </c>
      <c r="S755" s="586">
        <f t="shared" si="133"/>
        <v>-5.8018817440415357E-2</v>
      </c>
      <c r="U755" s="587"/>
      <c r="V755" s="587"/>
      <c r="W755" s="587"/>
      <c r="X755" s="587"/>
      <c r="Y755" s="587"/>
      <c r="Z755" s="587"/>
      <c r="AA755" s="587"/>
      <c r="AB755" s="587"/>
      <c r="AC755" s="587"/>
      <c r="AE755" s="587"/>
      <c r="AF755" s="587"/>
      <c r="AG755" s="587"/>
      <c r="AH755" s="587"/>
      <c r="AI755" s="587"/>
      <c r="AJ755" s="587"/>
      <c r="AK755" s="587"/>
      <c r="AL755" s="587"/>
      <c r="AM755" s="587"/>
      <c r="AO755" s="587"/>
      <c r="AP755" s="587"/>
      <c r="AQ755" s="587"/>
      <c r="AR755" s="587"/>
      <c r="AS755" s="587"/>
      <c r="AT755" s="587"/>
      <c r="AU755" s="587"/>
      <c r="AV755" s="587"/>
      <c r="AW755" s="587"/>
    </row>
    <row r="756" spans="1:49">
      <c r="A756" s="581">
        <v>32356</v>
      </c>
      <c r="B756" s="594">
        <v>-3.39E-2</v>
      </c>
      <c r="C756" s="577">
        <v>-1.37E-2</v>
      </c>
      <c r="D756" s="577">
        <v>8.3000000000000001E-3</v>
      </c>
      <c r="E756" s="577">
        <v>8.4249999999999985E-3</v>
      </c>
      <c r="F756" s="577">
        <v>8.6416666666666656E-3</v>
      </c>
      <c r="G756" s="577">
        <v>8.533333333333332E-3</v>
      </c>
      <c r="H756" s="577">
        <v>9.3080000000000003E-3</v>
      </c>
      <c r="I756" s="577">
        <f t="shared" si="123"/>
        <v>-4.2200000000000001E-2</v>
      </c>
      <c r="J756" s="577">
        <f t="shared" si="127"/>
        <v>-4.243333333333333E-2</v>
      </c>
      <c r="K756" s="577">
        <f t="shared" si="128"/>
        <v>-2.3008000000000001E-2</v>
      </c>
      <c r="L756" s="585">
        <f t="shared" si="124"/>
        <v>-0.17781760051055917</v>
      </c>
      <c r="M756" s="585">
        <f t="shared" si="125"/>
        <v>9.9599999999999994E-2</v>
      </c>
      <c r="N756" s="585">
        <f t="shared" si="129"/>
        <v>0.10239999999999999</v>
      </c>
      <c r="O756" s="586">
        <f t="shared" si="126"/>
        <v>-0.27741760051055919</v>
      </c>
      <c r="P756" s="585">
        <f t="shared" si="130"/>
        <v>-0.28021760051055916</v>
      </c>
      <c r="Q756" s="585">
        <f t="shared" si="131"/>
        <v>-1.414861559939351E-2</v>
      </c>
      <c r="R756" s="585">
        <f t="shared" si="132"/>
        <v>0.111696</v>
      </c>
      <c r="S756" s="586">
        <f t="shared" si="133"/>
        <v>-0.12584461559939353</v>
      </c>
      <c r="U756" s="587"/>
      <c r="V756" s="587"/>
      <c r="W756" s="587"/>
      <c r="X756" s="587"/>
      <c r="Y756" s="587"/>
      <c r="Z756" s="587"/>
      <c r="AA756" s="587"/>
      <c r="AB756" s="587"/>
      <c r="AC756" s="587"/>
      <c r="AE756" s="587"/>
      <c r="AF756" s="587"/>
      <c r="AG756" s="587"/>
      <c r="AH756" s="587"/>
      <c r="AI756" s="587"/>
      <c r="AJ756" s="587"/>
      <c r="AK756" s="587"/>
      <c r="AL756" s="587"/>
      <c r="AM756" s="587"/>
      <c r="AO756" s="587"/>
      <c r="AP756" s="587"/>
      <c r="AQ756" s="587"/>
      <c r="AR756" s="587"/>
      <c r="AS756" s="587"/>
      <c r="AT756" s="587"/>
      <c r="AU756" s="587"/>
      <c r="AV756" s="587"/>
      <c r="AW756" s="587"/>
    </row>
    <row r="757" spans="1:49">
      <c r="A757" s="581">
        <v>32387</v>
      </c>
      <c r="B757" s="594">
        <v>4.2599999999999999E-2</v>
      </c>
      <c r="C757" s="577">
        <v>4.1299999999999996E-2</v>
      </c>
      <c r="D757" s="577">
        <v>7.6E-3</v>
      </c>
      <c r="E757" s="577">
        <v>8.1833333333333341E-3</v>
      </c>
      <c r="F757" s="577">
        <v>8.3833333333333329E-3</v>
      </c>
      <c r="G757" s="577">
        <v>8.2833333333333335E-3</v>
      </c>
      <c r="H757" s="577">
        <v>8.8885000000000006E-3</v>
      </c>
      <c r="I757" s="577">
        <f t="shared" si="123"/>
        <v>3.4999999999999996E-2</v>
      </c>
      <c r="J757" s="577">
        <f t="shared" si="127"/>
        <v>3.4316666666666662E-2</v>
      </c>
      <c r="K757" s="577">
        <f t="shared" si="128"/>
        <v>3.2411499999999996E-2</v>
      </c>
      <c r="L757" s="585">
        <f t="shared" si="124"/>
        <v>-0.12359945843196918</v>
      </c>
      <c r="M757" s="585">
        <f t="shared" si="125"/>
        <v>9.1200000000000003E-2</v>
      </c>
      <c r="N757" s="585">
        <f t="shared" si="129"/>
        <v>9.9400000000000002E-2</v>
      </c>
      <c r="O757" s="586">
        <f t="shared" si="126"/>
        <v>-0.21479945843196918</v>
      </c>
      <c r="P757" s="585">
        <f t="shared" si="130"/>
        <v>-0.22299945843196917</v>
      </c>
      <c r="Q757" s="585">
        <f t="shared" si="131"/>
        <v>2.4415773452101996E-2</v>
      </c>
      <c r="R757" s="585">
        <f t="shared" si="132"/>
        <v>0.10666200000000001</v>
      </c>
      <c r="S757" s="586">
        <f t="shared" si="133"/>
        <v>-8.224622654789801E-2</v>
      </c>
      <c r="U757" s="587"/>
      <c r="V757" s="587"/>
      <c r="W757" s="587"/>
      <c r="X757" s="587"/>
      <c r="Y757" s="587"/>
      <c r="Z757" s="587"/>
      <c r="AA757" s="587"/>
      <c r="AB757" s="587"/>
      <c r="AC757" s="587"/>
      <c r="AE757" s="587"/>
      <c r="AF757" s="587"/>
      <c r="AG757" s="587"/>
      <c r="AH757" s="587"/>
      <c r="AI757" s="587"/>
      <c r="AJ757" s="587"/>
      <c r="AK757" s="587"/>
      <c r="AL757" s="587"/>
      <c r="AM757" s="587"/>
      <c r="AO757" s="587"/>
      <c r="AP757" s="587"/>
      <c r="AQ757" s="587"/>
      <c r="AR757" s="587"/>
      <c r="AS757" s="587"/>
      <c r="AT757" s="587"/>
      <c r="AU757" s="587"/>
      <c r="AV757" s="587"/>
      <c r="AW757" s="587"/>
    </row>
    <row r="758" spans="1:49">
      <c r="A758" s="581">
        <v>32417</v>
      </c>
      <c r="B758" s="594">
        <v>2.7799999999999998E-2</v>
      </c>
      <c r="C758" s="577">
        <v>2.6199999999999998E-2</v>
      </c>
      <c r="D758" s="577">
        <v>7.6E-3</v>
      </c>
      <c r="E758" s="577">
        <v>7.9166666666666656E-3</v>
      </c>
      <c r="F758" s="577">
        <v>8.083333333333333E-3</v>
      </c>
      <c r="G758" s="577">
        <v>8.0000000000000002E-3</v>
      </c>
      <c r="H758" s="577">
        <v>8.3178333333333351E-3</v>
      </c>
      <c r="I758" s="577">
        <f t="shared" si="123"/>
        <v>2.0199999999999999E-2</v>
      </c>
      <c r="J758" s="577">
        <f t="shared" si="127"/>
        <v>1.9799999999999998E-2</v>
      </c>
      <c r="K758" s="577">
        <f t="shared" si="128"/>
        <v>1.7882166666666664E-2</v>
      </c>
      <c r="L758" s="585">
        <f t="shared" si="124"/>
        <v>0.14805566737652609</v>
      </c>
      <c r="M758" s="585">
        <f t="shared" si="125"/>
        <v>9.1200000000000003E-2</v>
      </c>
      <c r="N758" s="585">
        <f t="shared" si="129"/>
        <v>9.6000000000000002E-2</v>
      </c>
      <c r="O758" s="586">
        <f t="shared" si="126"/>
        <v>5.6855667376526087E-2</v>
      </c>
      <c r="P758" s="585">
        <f t="shared" si="130"/>
        <v>5.2055667376526088E-2</v>
      </c>
      <c r="Q758" s="585">
        <f t="shared" si="131"/>
        <v>0.13099028156702208</v>
      </c>
      <c r="R758" s="585">
        <f t="shared" si="132"/>
        <v>9.9814000000000014E-2</v>
      </c>
      <c r="S758" s="586">
        <f t="shared" si="133"/>
        <v>3.1176281567022068E-2</v>
      </c>
      <c r="U758" s="587"/>
      <c r="V758" s="587"/>
      <c r="W758" s="587"/>
      <c r="X758" s="587"/>
      <c r="Y758" s="587"/>
      <c r="Z758" s="587"/>
      <c r="AA758" s="587"/>
      <c r="AB758" s="587"/>
      <c r="AC758" s="587"/>
      <c r="AE758" s="587"/>
      <c r="AF758" s="587"/>
      <c r="AG758" s="587"/>
      <c r="AH758" s="587"/>
      <c r="AI758" s="587"/>
      <c r="AJ758" s="587"/>
      <c r="AK758" s="587"/>
      <c r="AL758" s="587"/>
      <c r="AM758" s="587"/>
      <c r="AO758" s="587"/>
      <c r="AP758" s="587"/>
      <c r="AQ758" s="587"/>
      <c r="AR758" s="587"/>
      <c r="AS758" s="587"/>
      <c r="AT758" s="587"/>
      <c r="AU758" s="587"/>
      <c r="AV758" s="587"/>
      <c r="AW758" s="587"/>
    </row>
    <row r="759" spans="1:49">
      <c r="A759" s="581">
        <v>32448</v>
      </c>
      <c r="B759" s="594">
        <v>-1.43E-2</v>
      </c>
      <c r="C759" s="577">
        <v>-7.899999999999999E-3</v>
      </c>
      <c r="D759" s="577">
        <v>7.000000000000001E-3</v>
      </c>
      <c r="E759" s="577">
        <v>7.8750000000000001E-3</v>
      </c>
      <c r="F759" s="577">
        <v>8.1000000000000013E-3</v>
      </c>
      <c r="G759" s="577">
        <v>7.9875000000000015E-3</v>
      </c>
      <c r="H759" s="577">
        <v>8.241666666666668E-3</v>
      </c>
      <c r="I759" s="577">
        <f t="shared" si="123"/>
        <v>-2.1299999999999999E-2</v>
      </c>
      <c r="J759" s="577">
        <f t="shared" si="127"/>
        <v>-2.2287500000000002E-2</v>
      </c>
      <c r="K759" s="577">
        <f t="shared" si="128"/>
        <v>-1.6141666666666665E-2</v>
      </c>
      <c r="L759" s="585">
        <f t="shared" si="124"/>
        <v>0.23325901409442218</v>
      </c>
      <c r="M759" s="585">
        <f t="shared" si="125"/>
        <v>8.4000000000000019E-2</v>
      </c>
      <c r="N759" s="585">
        <f t="shared" si="129"/>
        <v>9.5850000000000019E-2</v>
      </c>
      <c r="O759" s="586">
        <f t="shared" si="126"/>
        <v>0.14925901409442216</v>
      </c>
      <c r="P759" s="585">
        <f t="shared" si="130"/>
        <v>0.13740901409442216</v>
      </c>
      <c r="Q759" s="585">
        <f t="shared" si="131"/>
        <v>0.18798883890168594</v>
      </c>
      <c r="R759" s="585">
        <f t="shared" si="132"/>
        <v>9.8900000000000016E-2</v>
      </c>
      <c r="S759" s="586">
        <f t="shared" si="133"/>
        <v>8.9088838901685924E-2</v>
      </c>
      <c r="U759" s="587"/>
      <c r="V759" s="587"/>
      <c r="W759" s="587"/>
      <c r="X759" s="587"/>
      <c r="Y759" s="587"/>
      <c r="Z759" s="587"/>
      <c r="AA759" s="587"/>
      <c r="AB759" s="587"/>
      <c r="AC759" s="587"/>
      <c r="AE759" s="587"/>
      <c r="AF759" s="587"/>
      <c r="AG759" s="587"/>
      <c r="AH759" s="587"/>
      <c r="AI759" s="587"/>
      <c r="AJ759" s="587"/>
      <c r="AK759" s="587"/>
      <c r="AL759" s="587"/>
      <c r="AM759" s="587"/>
      <c r="AO759" s="587"/>
      <c r="AP759" s="587"/>
      <c r="AQ759" s="587"/>
      <c r="AR759" s="587"/>
      <c r="AS759" s="587"/>
      <c r="AT759" s="587"/>
      <c r="AU759" s="587"/>
      <c r="AV759" s="587"/>
      <c r="AW759" s="587"/>
    </row>
    <row r="760" spans="1:49">
      <c r="A760" s="581">
        <v>32478</v>
      </c>
      <c r="B760" s="594">
        <v>1.7399999999999999E-2</v>
      </c>
      <c r="C760" s="577">
        <v>6.3E-3</v>
      </c>
      <c r="D760" s="577">
        <v>7.4999999999999997E-3</v>
      </c>
      <c r="E760" s="577">
        <v>7.9749999999999995E-3</v>
      </c>
      <c r="F760" s="577">
        <v>8.175E-3</v>
      </c>
      <c r="G760" s="577">
        <v>8.0750000000000006E-3</v>
      </c>
      <c r="H760" s="577">
        <v>8.3765833333333331E-3</v>
      </c>
      <c r="I760" s="577">
        <f t="shared" si="123"/>
        <v>9.8999999999999991E-3</v>
      </c>
      <c r="J760" s="577">
        <f t="shared" si="127"/>
        <v>9.3249999999999982E-3</v>
      </c>
      <c r="K760" s="577">
        <f t="shared" si="128"/>
        <v>-2.0765833333333331E-3</v>
      </c>
      <c r="L760" s="585">
        <f t="shared" si="124"/>
        <v>0.16598617316203401</v>
      </c>
      <c r="M760" s="585">
        <f t="shared" si="125"/>
        <v>0.09</v>
      </c>
      <c r="N760" s="585">
        <f t="shared" si="129"/>
        <v>9.6900000000000014E-2</v>
      </c>
      <c r="O760" s="586">
        <f t="shared" si="126"/>
        <v>7.5986173162034015E-2</v>
      </c>
      <c r="P760" s="585">
        <f t="shared" si="130"/>
        <v>6.9086173162033998E-2</v>
      </c>
      <c r="Q760" s="585">
        <f t="shared" si="131"/>
        <v>0.18270000849502033</v>
      </c>
      <c r="R760" s="585">
        <f t="shared" si="132"/>
        <v>0.100519</v>
      </c>
      <c r="S760" s="586">
        <f t="shared" si="133"/>
        <v>8.218100849502033E-2</v>
      </c>
      <c r="U760" s="587"/>
      <c r="V760" s="587"/>
      <c r="W760" s="587"/>
      <c r="X760" s="587"/>
      <c r="Y760" s="587"/>
      <c r="Z760" s="587"/>
      <c r="AA760" s="587"/>
      <c r="AB760" s="587"/>
      <c r="AC760" s="587"/>
      <c r="AE760" s="587"/>
      <c r="AF760" s="587"/>
      <c r="AG760" s="587"/>
      <c r="AH760" s="587"/>
      <c r="AI760" s="587"/>
      <c r="AJ760" s="587"/>
      <c r="AK760" s="587"/>
      <c r="AL760" s="587"/>
      <c r="AM760" s="587"/>
      <c r="AO760" s="587"/>
      <c r="AP760" s="587"/>
      <c r="AQ760" s="587"/>
      <c r="AR760" s="587"/>
      <c r="AS760" s="587"/>
      <c r="AT760" s="587"/>
      <c r="AU760" s="587"/>
      <c r="AV760" s="587"/>
      <c r="AW760" s="587"/>
    </row>
    <row r="761" spans="1:49">
      <c r="A761" s="581">
        <v>32509</v>
      </c>
      <c r="B761" s="594">
        <v>7.3200000000000001E-2</v>
      </c>
      <c r="C761" s="577">
        <v>5.7100000000000012E-2</v>
      </c>
      <c r="D761" s="577">
        <v>8.0000000000000002E-3</v>
      </c>
      <c r="E761" s="577">
        <v>8.0166666666666667E-3</v>
      </c>
      <c r="F761" s="577">
        <v>8.175E-3</v>
      </c>
      <c r="G761" s="577">
        <v>8.0958333333333334E-3</v>
      </c>
      <c r="H761" s="577">
        <v>8.404E-3</v>
      </c>
      <c r="I761" s="577">
        <f t="shared" si="123"/>
        <v>6.5200000000000008E-2</v>
      </c>
      <c r="J761" s="577">
        <f t="shared" si="127"/>
        <v>6.5104166666666671E-2</v>
      </c>
      <c r="K761" s="577">
        <f t="shared" si="128"/>
        <v>4.869600000000001E-2</v>
      </c>
      <c r="L761" s="585">
        <f t="shared" si="124"/>
        <v>0.20078338070962021</v>
      </c>
      <c r="M761" s="585">
        <f t="shared" si="125"/>
        <v>9.6000000000000002E-2</v>
      </c>
      <c r="N761" s="585">
        <f t="shared" si="129"/>
        <v>9.715E-2</v>
      </c>
      <c r="O761" s="586">
        <f t="shared" si="126"/>
        <v>0.10478338070962021</v>
      </c>
      <c r="P761" s="585">
        <f t="shared" si="130"/>
        <v>0.10363338070962021</v>
      </c>
      <c r="Q761" s="585">
        <f t="shared" si="131"/>
        <v>0.12098285571602796</v>
      </c>
      <c r="R761" s="585">
        <f t="shared" si="132"/>
        <v>0.10084799999999999</v>
      </c>
      <c r="S761" s="586">
        <f t="shared" si="133"/>
        <v>2.0134855716027966E-2</v>
      </c>
      <c r="U761" s="587"/>
      <c r="V761" s="587"/>
      <c r="W761" s="587"/>
      <c r="X761" s="587"/>
      <c r="Y761" s="587"/>
      <c r="Z761" s="587"/>
      <c r="AA761" s="587"/>
      <c r="AB761" s="587"/>
      <c r="AC761" s="587"/>
      <c r="AE761" s="587"/>
      <c r="AF761" s="587"/>
      <c r="AG761" s="587"/>
      <c r="AH761" s="587"/>
      <c r="AI761" s="587"/>
      <c r="AJ761" s="587"/>
      <c r="AK761" s="587"/>
      <c r="AL761" s="587"/>
      <c r="AM761" s="587"/>
      <c r="AO761" s="587"/>
      <c r="AP761" s="587"/>
      <c r="AQ761" s="587"/>
      <c r="AR761" s="587"/>
      <c r="AS761" s="587"/>
      <c r="AT761" s="587"/>
      <c r="AU761" s="587"/>
      <c r="AV761" s="587"/>
      <c r="AW761" s="587"/>
    </row>
    <row r="762" spans="1:49">
      <c r="A762" s="581">
        <v>32540</v>
      </c>
      <c r="B762" s="594">
        <v>-2.4899999999999999E-2</v>
      </c>
      <c r="C762" s="577">
        <v>-2.1499999999999998E-2</v>
      </c>
      <c r="D762" s="577">
        <v>6.8999999999999999E-3</v>
      </c>
      <c r="E762" s="577">
        <v>8.0333333333333333E-3</v>
      </c>
      <c r="F762" s="577">
        <v>8.1916666666666665E-3</v>
      </c>
      <c r="G762" s="577">
        <v>8.1124999999999999E-3</v>
      </c>
      <c r="H762" s="577">
        <v>8.382916666666667E-3</v>
      </c>
      <c r="I762" s="577">
        <f t="shared" si="123"/>
        <v>-3.1799999999999995E-2</v>
      </c>
      <c r="J762" s="577">
        <f t="shared" si="127"/>
        <v>-3.30125E-2</v>
      </c>
      <c r="K762" s="577">
        <f t="shared" si="128"/>
        <v>-2.9882916666666665E-2</v>
      </c>
      <c r="L762" s="585">
        <f t="shared" si="124"/>
        <v>0.11875011898523802</v>
      </c>
      <c r="M762" s="585">
        <f t="shared" si="125"/>
        <v>8.2799999999999999E-2</v>
      </c>
      <c r="N762" s="585">
        <f t="shared" si="129"/>
        <v>9.7349999999999992E-2</v>
      </c>
      <c r="O762" s="586">
        <f t="shared" si="126"/>
        <v>3.5950118985238019E-2</v>
      </c>
      <c r="P762" s="585">
        <f t="shared" si="130"/>
        <v>2.1400118985238026E-2</v>
      </c>
      <c r="Q762" s="585">
        <f t="shared" si="131"/>
        <v>0.1164190578301616</v>
      </c>
      <c r="R762" s="585">
        <f t="shared" si="132"/>
        <v>0.100595</v>
      </c>
      <c r="S762" s="586">
        <f t="shared" si="133"/>
        <v>1.5824057830161595E-2</v>
      </c>
      <c r="U762" s="587"/>
      <c r="V762" s="587"/>
      <c r="W762" s="587"/>
      <c r="X762" s="587"/>
      <c r="Y762" s="587"/>
      <c r="Z762" s="587"/>
      <c r="AA762" s="587"/>
      <c r="AB762" s="587"/>
      <c r="AC762" s="587"/>
      <c r="AE762" s="587"/>
      <c r="AF762" s="587"/>
      <c r="AG762" s="587"/>
      <c r="AH762" s="587"/>
      <c r="AI762" s="587"/>
      <c r="AJ762" s="587"/>
      <c r="AK762" s="587"/>
      <c r="AL762" s="587"/>
      <c r="AM762" s="587"/>
      <c r="AO762" s="587"/>
      <c r="AP762" s="587"/>
      <c r="AQ762" s="587"/>
      <c r="AR762" s="587"/>
      <c r="AS762" s="587"/>
      <c r="AT762" s="587"/>
      <c r="AU762" s="587"/>
      <c r="AV762" s="587"/>
      <c r="AW762" s="587"/>
    </row>
    <row r="763" spans="1:49">
      <c r="A763" s="581">
        <v>32568</v>
      </c>
      <c r="B763" s="594">
        <v>2.3300000000000001E-2</v>
      </c>
      <c r="C763" s="577">
        <v>2.69E-2</v>
      </c>
      <c r="D763" s="577">
        <v>7.9000000000000008E-3</v>
      </c>
      <c r="E763" s="577">
        <v>8.1666666666666676E-3</v>
      </c>
      <c r="F763" s="577">
        <v>8.3166666666666667E-3</v>
      </c>
      <c r="G763" s="577">
        <v>8.241666666666668E-3</v>
      </c>
      <c r="H763" s="577">
        <v>8.5345000000000004E-3</v>
      </c>
      <c r="I763" s="577">
        <f t="shared" si="123"/>
        <v>1.54E-2</v>
      </c>
      <c r="J763" s="577">
        <f t="shared" si="127"/>
        <v>1.5058333333333333E-2</v>
      </c>
      <c r="K763" s="577">
        <f t="shared" si="128"/>
        <v>1.83655E-2</v>
      </c>
      <c r="L763" s="585">
        <f t="shared" si="124"/>
        <v>0.18131977789453591</v>
      </c>
      <c r="M763" s="585">
        <f t="shared" si="125"/>
        <v>9.4800000000000009E-2</v>
      </c>
      <c r="N763" s="585">
        <f t="shared" si="129"/>
        <v>9.8900000000000016E-2</v>
      </c>
      <c r="O763" s="586">
        <f t="shared" si="126"/>
        <v>8.6519777894535896E-2</v>
      </c>
      <c r="P763" s="585">
        <f t="shared" si="130"/>
        <v>8.2419777894535889E-2</v>
      </c>
      <c r="Q763" s="585">
        <f t="shared" si="131"/>
        <v>0.21022984322368043</v>
      </c>
      <c r="R763" s="585">
        <f t="shared" si="132"/>
        <v>0.10241400000000001</v>
      </c>
      <c r="S763" s="586">
        <f t="shared" si="133"/>
        <v>0.10781584322368043</v>
      </c>
      <c r="U763" s="587"/>
      <c r="V763" s="587"/>
      <c r="W763" s="587"/>
      <c r="X763" s="587"/>
      <c r="Y763" s="587"/>
      <c r="Z763" s="587"/>
      <c r="AA763" s="587"/>
      <c r="AB763" s="587"/>
      <c r="AC763" s="587"/>
      <c r="AE763" s="587"/>
      <c r="AF763" s="587"/>
      <c r="AG763" s="587"/>
      <c r="AH763" s="587"/>
      <c r="AI763" s="587"/>
      <c r="AJ763" s="587"/>
      <c r="AK763" s="587"/>
      <c r="AL763" s="587"/>
      <c r="AM763" s="587"/>
      <c r="AO763" s="587"/>
      <c r="AP763" s="587"/>
      <c r="AQ763" s="587"/>
      <c r="AR763" s="587"/>
      <c r="AS763" s="587"/>
      <c r="AT763" s="587"/>
      <c r="AU763" s="587"/>
      <c r="AV763" s="587"/>
      <c r="AW763" s="587"/>
    </row>
    <row r="764" spans="1:49">
      <c r="A764" s="581">
        <v>32599</v>
      </c>
      <c r="B764" s="594">
        <v>5.1900000000000002E-2</v>
      </c>
      <c r="C764" s="577">
        <v>6.3399999999999998E-2</v>
      </c>
      <c r="D764" s="577">
        <v>7.000000000000001E-3</v>
      </c>
      <c r="E764" s="577">
        <v>8.1583333333333334E-3</v>
      </c>
      <c r="F764" s="577">
        <v>8.2833333333333318E-3</v>
      </c>
      <c r="G764" s="577">
        <v>8.2208333333333335E-3</v>
      </c>
      <c r="H764" s="577">
        <v>8.4920833333333341E-3</v>
      </c>
      <c r="I764" s="577">
        <f t="shared" si="123"/>
        <v>4.4900000000000002E-2</v>
      </c>
      <c r="J764" s="577">
        <f t="shared" si="127"/>
        <v>4.3679166666666672E-2</v>
      </c>
      <c r="K764" s="577">
        <f t="shared" si="128"/>
        <v>5.4907916666666667E-2</v>
      </c>
      <c r="L764" s="585">
        <f t="shared" si="124"/>
        <v>0.22898850199511567</v>
      </c>
      <c r="M764" s="585">
        <f t="shared" si="125"/>
        <v>8.4000000000000019E-2</v>
      </c>
      <c r="N764" s="585">
        <f t="shared" si="129"/>
        <v>9.8650000000000002E-2</v>
      </c>
      <c r="O764" s="586">
        <f t="shared" si="126"/>
        <v>0.14498850199511565</v>
      </c>
      <c r="P764" s="585">
        <f t="shared" si="130"/>
        <v>0.13033850199511565</v>
      </c>
      <c r="Q764" s="585">
        <f t="shared" si="131"/>
        <v>0.28451783140439302</v>
      </c>
      <c r="R764" s="585">
        <f t="shared" si="132"/>
        <v>0.10190500000000001</v>
      </c>
      <c r="S764" s="586">
        <f t="shared" si="133"/>
        <v>0.18261283140439299</v>
      </c>
      <c r="U764" s="587"/>
      <c r="V764" s="587"/>
      <c r="W764" s="587"/>
      <c r="X764" s="587"/>
      <c r="Y764" s="587"/>
      <c r="Z764" s="587"/>
      <c r="AA764" s="587"/>
      <c r="AB764" s="587"/>
      <c r="AC764" s="587"/>
      <c r="AE764" s="587"/>
      <c r="AF764" s="587"/>
      <c r="AG764" s="587"/>
      <c r="AH764" s="587"/>
      <c r="AI764" s="587"/>
      <c r="AJ764" s="587"/>
      <c r="AK764" s="587"/>
      <c r="AL764" s="587"/>
      <c r="AM764" s="587"/>
      <c r="AO764" s="587"/>
      <c r="AP764" s="587"/>
      <c r="AQ764" s="587"/>
      <c r="AR764" s="587"/>
      <c r="AS764" s="587"/>
      <c r="AT764" s="587"/>
      <c r="AU764" s="587"/>
      <c r="AV764" s="587"/>
      <c r="AW764" s="587"/>
    </row>
    <row r="765" spans="1:49">
      <c r="A765" s="581">
        <v>32629</v>
      </c>
      <c r="B765" s="594">
        <v>4.0500000000000001E-2</v>
      </c>
      <c r="C765" s="577">
        <v>5.7999999999999996E-2</v>
      </c>
      <c r="D765" s="577">
        <v>8.0000000000000002E-3</v>
      </c>
      <c r="E765" s="577">
        <v>7.9749999999999995E-3</v>
      </c>
      <c r="F765" s="577">
        <v>8.1250000000000003E-3</v>
      </c>
      <c r="G765" s="577">
        <v>8.0499999999999999E-3</v>
      </c>
      <c r="H765" s="577">
        <v>8.3340833333333322E-3</v>
      </c>
      <c r="I765" s="577">
        <f t="shared" si="123"/>
        <v>3.2500000000000001E-2</v>
      </c>
      <c r="J765" s="577">
        <f t="shared" si="127"/>
        <v>3.245E-2</v>
      </c>
      <c r="K765" s="577">
        <f t="shared" si="128"/>
        <v>4.9665916666666664E-2</v>
      </c>
      <c r="L765" s="585">
        <f t="shared" si="124"/>
        <v>0.2678589493614103</v>
      </c>
      <c r="M765" s="585">
        <f t="shared" si="125"/>
        <v>9.6000000000000002E-2</v>
      </c>
      <c r="N765" s="585">
        <f t="shared" si="129"/>
        <v>9.6599999999999991E-2</v>
      </c>
      <c r="O765" s="586">
        <f t="shared" si="126"/>
        <v>0.1718589493614103</v>
      </c>
      <c r="P765" s="585">
        <f t="shared" si="130"/>
        <v>0.17125894936141031</v>
      </c>
      <c r="Q765" s="585">
        <f t="shared" si="131"/>
        <v>0.29925417363847839</v>
      </c>
      <c r="R765" s="585">
        <f t="shared" si="132"/>
        <v>0.10000899999999999</v>
      </c>
      <c r="S765" s="586">
        <f t="shared" si="133"/>
        <v>0.19924517363847841</v>
      </c>
      <c r="U765" s="587"/>
      <c r="V765" s="587"/>
      <c r="W765" s="587"/>
      <c r="X765" s="587"/>
      <c r="Y765" s="587"/>
      <c r="Z765" s="587"/>
      <c r="AA765" s="587"/>
      <c r="AB765" s="587"/>
      <c r="AC765" s="587"/>
      <c r="AE765" s="587"/>
      <c r="AF765" s="587"/>
      <c r="AG765" s="587"/>
      <c r="AH765" s="587"/>
      <c r="AI765" s="587"/>
      <c r="AJ765" s="587"/>
      <c r="AK765" s="587"/>
      <c r="AL765" s="587"/>
      <c r="AM765" s="587"/>
      <c r="AO765" s="587"/>
      <c r="AP765" s="587"/>
      <c r="AQ765" s="587"/>
      <c r="AR765" s="587"/>
      <c r="AS765" s="587"/>
      <c r="AT765" s="587"/>
      <c r="AU765" s="587"/>
      <c r="AV765" s="587"/>
      <c r="AW765" s="587"/>
    </row>
    <row r="766" spans="1:49">
      <c r="A766" s="581">
        <v>32660</v>
      </c>
      <c r="B766" s="594">
        <v>-5.7000000000000002E-3</v>
      </c>
      <c r="C766" s="577">
        <v>1.61E-2</v>
      </c>
      <c r="D766" s="577">
        <v>7.000000000000001E-3</v>
      </c>
      <c r="E766" s="577">
        <v>7.5833333333333334E-3</v>
      </c>
      <c r="F766" s="577">
        <v>7.7416666666666658E-3</v>
      </c>
      <c r="G766" s="577">
        <v>7.6624999999999992E-3</v>
      </c>
      <c r="H766" s="577">
        <v>8.0485000000000001E-3</v>
      </c>
      <c r="I766" s="577">
        <f t="shared" si="123"/>
        <v>-1.2700000000000001E-2</v>
      </c>
      <c r="J766" s="577">
        <f t="shared" si="127"/>
        <v>-1.3362499999999999E-2</v>
      </c>
      <c r="K766" s="577">
        <f t="shared" si="128"/>
        <v>8.0514999999999996E-3</v>
      </c>
      <c r="L766" s="585">
        <f t="shared" si="124"/>
        <v>0.20530849349847058</v>
      </c>
      <c r="M766" s="585">
        <f t="shared" si="125"/>
        <v>8.4000000000000019E-2</v>
      </c>
      <c r="N766" s="585">
        <f t="shared" si="129"/>
        <v>9.194999999999999E-2</v>
      </c>
      <c r="O766" s="586">
        <f t="shared" si="126"/>
        <v>0.12130849349847056</v>
      </c>
      <c r="P766" s="585">
        <f t="shared" si="130"/>
        <v>0.11335849349847059</v>
      </c>
      <c r="Q766" s="585">
        <f t="shared" si="131"/>
        <v>0.27985668040141309</v>
      </c>
      <c r="R766" s="585">
        <f t="shared" si="132"/>
        <v>9.6582000000000001E-2</v>
      </c>
      <c r="S766" s="586">
        <f t="shared" si="133"/>
        <v>0.18327468040141309</v>
      </c>
      <c r="U766" s="587"/>
      <c r="V766" s="587"/>
      <c r="W766" s="587"/>
      <c r="X766" s="587"/>
      <c r="Y766" s="587"/>
      <c r="Z766" s="587"/>
      <c r="AA766" s="587"/>
      <c r="AB766" s="587"/>
      <c r="AC766" s="587"/>
      <c r="AE766" s="587"/>
      <c r="AF766" s="587"/>
      <c r="AG766" s="587"/>
      <c r="AH766" s="587"/>
      <c r="AI766" s="587"/>
      <c r="AJ766" s="587"/>
      <c r="AK766" s="587"/>
      <c r="AL766" s="587"/>
      <c r="AM766" s="587"/>
      <c r="AO766" s="587"/>
      <c r="AP766" s="587"/>
      <c r="AQ766" s="587"/>
      <c r="AR766" s="587"/>
      <c r="AS766" s="587"/>
      <c r="AT766" s="587"/>
      <c r="AU766" s="587"/>
      <c r="AV766" s="587"/>
      <c r="AW766" s="587"/>
    </row>
    <row r="767" spans="1:49">
      <c r="A767" s="581">
        <v>32690</v>
      </c>
      <c r="B767" s="594">
        <v>9.0300000000000005E-2</v>
      </c>
      <c r="C767" s="577">
        <v>8.0399999999999985E-2</v>
      </c>
      <c r="D767" s="577">
        <v>6.7999999999999996E-3</v>
      </c>
      <c r="E767" s="577">
        <v>7.4416666666666667E-3</v>
      </c>
      <c r="F767" s="577">
        <v>7.6166666666666674E-3</v>
      </c>
      <c r="G767" s="577">
        <v>7.5291666666666666E-3</v>
      </c>
      <c r="H767" s="577">
        <v>7.9204166666666659E-3</v>
      </c>
      <c r="I767" s="577">
        <f t="shared" si="123"/>
        <v>8.3500000000000005E-2</v>
      </c>
      <c r="J767" s="577">
        <f t="shared" si="127"/>
        <v>8.2770833333333335E-2</v>
      </c>
      <c r="K767" s="577">
        <f t="shared" si="128"/>
        <v>7.2479583333333319E-2</v>
      </c>
      <c r="L767" s="585">
        <f t="shared" si="124"/>
        <v>0.31916066097307993</v>
      </c>
      <c r="M767" s="585">
        <f t="shared" si="125"/>
        <v>8.1599999999999992E-2</v>
      </c>
      <c r="N767" s="585">
        <f t="shared" si="129"/>
        <v>9.035E-2</v>
      </c>
      <c r="O767" s="586">
        <f t="shared" si="126"/>
        <v>0.23756066097307993</v>
      </c>
      <c r="P767" s="585">
        <f t="shared" si="130"/>
        <v>0.22881066097307995</v>
      </c>
      <c r="Q767" s="585">
        <f t="shared" si="131"/>
        <v>0.38041045972415577</v>
      </c>
      <c r="R767" s="585">
        <f t="shared" si="132"/>
        <v>9.5044999999999991E-2</v>
      </c>
      <c r="S767" s="586">
        <f t="shared" si="133"/>
        <v>0.28536545972415578</v>
      </c>
      <c r="U767" s="587"/>
      <c r="V767" s="587"/>
      <c r="W767" s="587"/>
      <c r="X767" s="587"/>
      <c r="Y767" s="587"/>
      <c r="Z767" s="587"/>
      <c r="AA767" s="587"/>
      <c r="AB767" s="587"/>
      <c r="AC767" s="587"/>
      <c r="AE767" s="587"/>
      <c r="AF767" s="587"/>
      <c r="AG767" s="587"/>
      <c r="AH767" s="587"/>
      <c r="AI767" s="587"/>
      <c r="AJ767" s="587"/>
      <c r="AK767" s="587"/>
      <c r="AL767" s="587"/>
      <c r="AM767" s="587"/>
      <c r="AO767" s="587"/>
      <c r="AP767" s="587"/>
      <c r="AQ767" s="587"/>
      <c r="AR767" s="587"/>
      <c r="AS767" s="587"/>
      <c r="AT767" s="587"/>
      <c r="AU767" s="587"/>
      <c r="AV767" s="587"/>
      <c r="AW767" s="587"/>
    </row>
    <row r="768" spans="1:49">
      <c r="A768" s="581">
        <v>32721</v>
      </c>
      <c r="B768" s="594">
        <v>1.95E-2</v>
      </c>
      <c r="C768" s="577">
        <v>-5.6999999999999993E-3</v>
      </c>
      <c r="D768" s="577">
        <v>6.6E-3</v>
      </c>
      <c r="E768" s="577">
        <v>7.4666666666666666E-3</v>
      </c>
      <c r="F768" s="577">
        <v>7.6166666666666674E-3</v>
      </c>
      <c r="G768" s="577">
        <v>7.5416666666666661E-3</v>
      </c>
      <c r="H768" s="577">
        <v>7.9289999999999985E-3</v>
      </c>
      <c r="I768" s="577">
        <f t="shared" si="123"/>
        <v>1.29E-2</v>
      </c>
      <c r="J768" s="577">
        <f t="shared" si="127"/>
        <v>1.1958333333333335E-2</v>
      </c>
      <c r="K768" s="577">
        <f t="shared" si="128"/>
        <v>-1.3628999999999999E-2</v>
      </c>
      <c r="L768" s="585">
        <f t="shared" si="124"/>
        <v>0.3920756586917038</v>
      </c>
      <c r="M768" s="585">
        <f t="shared" si="125"/>
        <v>7.9199999999999993E-2</v>
      </c>
      <c r="N768" s="585">
        <f t="shared" si="129"/>
        <v>9.0499999999999997E-2</v>
      </c>
      <c r="O768" s="586">
        <f t="shared" si="126"/>
        <v>0.31287565869170381</v>
      </c>
      <c r="P768" s="585">
        <f t="shared" si="130"/>
        <v>0.30157565869170377</v>
      </c>
      <c r="Q768" s="585">
        <f t="shared" si="131"/>
        <v>0.3916071378928605</v>
      </c>
      <c r="R768" s="585">
        <f t="shared" si="132"/>
        <v>9.5147999999999983E-2</v>
      </c>
      <c r="S768" s="586">
        <f t="shared" si="133"/>
        <v>0.29645913789286049</v>
      </c>
      <c r="U768" s="587"/>
      <c r="V768" s="587"/>
      <c r="W768" s="587"/>
      <c r="X768" s="587"/>
      <c r="Y768" s="587"/>
      <c r="Z768" s="587"/>
      <c r="AA768" s="587"/>
      <c r="AB768" s="587"/>
      <c r="AC768" s="587"/>
      <c r="AE768" s="587"/>
      <c r="AF768" s="587"/>
      <c r="AG768" s="587"/>
      <c r="AH768" s="587"/>
      <c r="AI768" s="587"/>
      <c r="AJ768" s="587"/>
      <c r="AK768" s="587"/>
      <c r="AL768" s="587"/>
      <c r="AM768" s="587"/>
      <c r="AO768" s="587"/>
      <c r="AP768" s="587"/>
      <c r="AQ768" s="587"/>
      <c r="AR768" s="587"/>
      <c r="AS768" s="587"/>
      <c r="AT768" s="587"/>
      <c r="AU768" s="587"/>
      <c r="AV768" s="587"/>
      <c r="AW768" s="587"/>
    </row>
    <row r="769" spans="1:49">
      <c r="A769" s="581">
        <v>32752</v>
      </c>
      <c r="B769" s="594">
        <v>-4.1000000000000003E-3</v>
      </c>
      <c r="C769" s="577">
        <v>1.7000000000000001E-2</v>
      </c>
      <c r="D769" s="577">
        <v>6.5000000000000006E-3</v>
      </c>
      <c r="E769" s="577">
        <v>7.5083333333333339E-3</v>
      </c>
      <c r="F769" s="577">
        <v>7.691666666666667E-3</v>
      </c>
      <c r="G769" s="577">
        <v>7.6E-3</v>
      </c>
      <c r="H769" s="577">
        <v>7.9866666666666662E-3</v>
      </c>
      <c r="I769" s="577">
        <f t="shared" si="123"/>
        <v>-1.0600000000000002E-2</v>
      </c>
      <c r="J769" s="577">
        <f t="shared" si="127"/>
        <v>-1.17E-2</v>
      </c>
      <c r="K769" s="577">
        <f t="shared" si="128"/>
        <v>9.013333333333335E-3</v>
      </c>
      <c r="L769" s="585">
        <f t="shared" si="124"/>
        <v>0.32972199164690941</v>
      </c>
      <c r="M769" s="585">
        <f t="shared" si="125"/>
        <v>7.8000000000000014E-2</v>
      </c>
      <c r="N769" s="585">
        <f t="shared" si="129"/>
        <v>9.1200000000000003E-2</v>
      </c>
      <c r="O769" s="586">
        <f t="shared" si="126"/>
        <v>0.25172199164690939</v>
      </c>
      <c r="P769" s="585">
        <f t="shared" si="130"/>
        <v>0.2385219916469094</v>
      </c>
      <c r="Q769" s="585">
        <f t="shared" si="131"/>
        <v>0.3591322954355507</v>
      </c>
      <c r="R769" s="585">
        <f t="shared" si="132"/>
        <v>9.5839999999999995E-2</v>
      </c>
      <c r="S769" s="586">
        <f t="shared" si="133"/>
        <v>0.26329229543555072</v>
      </c>
      <c r="U769" s="587"/>
      <c r="V769" s="587"/>
      <c r="W769" s="587"/>
      <c r="X769" s="587"/>
      <c r="Y769" s="587"/>
      <c r="Z769" s="587"/>
      <c r="AA769" s="587"/>
      <c r="AB769" s="587"/>
      <c r="AC769" s="587"/>
      <c r="AE769" s="587"/>
      <c r="AF769" s="587"/>
      <c r="AG769" s="587"/>
      <c r="AH769" s="587"/>
      <c r="AI769" s="587"/>
      <c r="AJ769" s="587"/>
      <c r="AK769" s="587"/>
      <c r="AL769" s="587"/>
      <c r="AM769" s="587"/>
      <c r="AO769" s="587"/>
      <c r="AP769" s="587"/>
      <c r="AQ769" s="587"/>
      <c r="AR769" s="587"/>
      <c r="AS769" s="587"/>
      <c r="AT769" s="587"/>
      <c r="AU769" s="587"/>
      <c r="AV769" s="587"/>
      <c r="AW769" s="587"/>
    </row>
    <row r="770" spans="1:49">
      <c r="A770" s="581">
        <v>32782</v>
      </c>
      <c r="B770" s="594">
        <v>-2.3199999999999998E-2</v>
      </c>
      <c r="C770" s="577">
        <v>4.5000000000000005E-3</v>
      </c>
      <c r="D770" s="577">
        <v>7.1999999999999998E-3</v>
      </c>
      <c r="E770" s="577">
        <v>7.4333333333333326E-3</v>
      </c>
      <c r="F770" s="577">
        <v>7.658333333333333E-3</v>
      </c>
      <c r="G770" s="577">
        <v>7.5458333333333323E-3</v>
      </c>
      <c r="H770" s="577">
        <v>7.948499999999999E-3</v>
      </c>
      <c r="I770" s="577">
        <f t="shared" si="123"/>
        <v>-3.0399999999999996E-2</v>
      </c>
      <c r="J770" s="577">
        <f t="shared" si="127"/>
        <v>-3.074583333333333E-2</v>
      </c>
      <c r="K770" s="577">
        <f t="shared" si="128"/>
        <v>-3.4484999999999984E-3</v>
      </c>
      <c r="L770" s="585">
        <f t="shared" si="124"/>
        <v>0.26374045674323932</v>
      </c>
      <c r="M770" s="585">
        <f t="shared" si="125"/>
        <v>8.6400000000000005E-2</v>
      </c>
      <c r="N770" s="585">
        <f t="shared" si="129"/>
        <v>9.0549999999999992E-2</v>
      </c>
      <c r="O770" s="586">
        <f t="shared" si="126"/>
        <v>0.17734045674323931</v>
      </c>
      <c r="P770" s="585">
        <f t="shared" si="130"/>
        <v>0.17319045674323932</v>
      </c>
      <c r="Q770" s="585">
        <f t="shared" si="131"/>
        <v>0.33039211729196127</v>
      </c>
      <c r="R770" s="585">
        <f t="shared" si="132"/>
        <v>9.5381999999999995E-2</v>
      </c>
      <c r="S770" s="586">
        <f t="shared" si="133"/>
        <v>0.23501011729196128</v>
      </c>
      <c r="U770" s="587"/>
      <c r="V770" s="587"/>
      <c r="W770" s="587"/>
      <c r="X770" s="587"/>
      <c r="Y770" s="587"/>
      <c r="Z770" s="587"/>
      <c r="AA770" s="587"/>
      <c r="AB770" s="587"/>
      <c r="AC770" s="587"/>
      <c r="AE770" s="587"/>
      <c r="AF770" s="587"/>
      <c r="AG770" s="587"/>
      <c r="AH770" s="587"/>
      <c r="AI770" s="587"/>
      <c r="AJ770" s="587"/>
      <c r="AK770" s="587"/>
      <c r="AL770" s="587"/>
      <c r="AM770" s="587"/>
      <c r="AO770" s="587"/>
      <c r="AP770" s="587"/>
      <c r="AQ770" s="587"/>
      <c r="AR770" s="587"/>
      <c r="AS770" s="587"/>
      <c r="AT770" s="587"/>
      <c r="AU770" s="587"/>
      <c r="AV770" s="587"/>
      <c r="AW770" s="587"/>
    </row>
    <row r="771" spans="1:49">
      <c r="A771" s="581">
        <v>32813</v>
      </c>
      <c r="B771" s="594">
        <v>2.0400000000000001E-2</v>
      </c>
      <c r="C771" s="577">
        <v>3.3599999999999998E-2</v>
      </c>
      <c r="D771" s="577">
        <v>6.4000000000000003E-3</v>
      </c>
      <c r="E771" s="577">
        <v>7.4083333333333336E-3</v>
      </c>
      <c r="F771" s="577">
        <v>7.6166666666666674E-3</v>
      </c>
      <c r="G771" s="577">
        <v>7.5125000000000001E-3</v>
      </c>
      <c r="H771" s="577">
        <v>7.929750000000001E-3</v>
      </c>
      <c r="I771" s="577">
        <f t="shared" si="123"/>
        <v>1.4000000000000002E-2</v>
      </c>
      <c r="J771" s="577">
        <f t="shared" si="127"/>
        <v>1.2887500000000001E-2</v>
      </c>
      <c r="K771" s="577">
        <f t="shared" si="128"/>
        <v>2.5670249999999999E-2</v>
      </c>
      <c r="L771" s="585">
        <f t="shared" si="124"/>
        <v>0.30822842858963306</v>
      </c>
      <c r="M771" s="585">
        <f t="shared" si="125"/>
        <v>7.6800000000000007E-2</v>
      </c>
      <c r="N771" s="585">
        <f t="shared" si="129"/>
        <v>9.0150000000000008E-2</v>
      </c>
      <c r="O771" s="586">
        <f t="shared" si="126"/>
        <v>0.23142842858963306</v>
      </c>
      <c r="P771" s="585">
        <f t="shared" si="130"/>
        <v>0.21807842858963306</v>
      </c>
      <c r="Q771" s="585">
        <f t="shared" si="131"/>
        <v>0.38604303238884374</v>
      </c>
      <c r="R771" s="585">
        <f t="shared" si="132"/>
        <v>9.5157000000000019E-2</v>
      </c>
      <c r="S771" s="586">
        <f t="shared" si="133"/>
        <v>0.2908860323888437</v>
      </c>
      <c r="U771" s="587"/>
      <c r="V771" s="587"/>
      <c r="W771" s="587"/>
      <c r="X771" s="587"/>
      <c r="Y771" s="587"/>
      <c r="Z771" s="587"/>
      <c r="AA771" s="587"/>
      <c r="AB771" s="587"/>
      <c r="AC771" s="587"/>
      <c r="AE771" s="587"/>
      <c r="AF771" s="587"/>
      <c r="AG771" s="587"/>
      <c r="AH771" s="587"/>
      <c r="AI771" s="587"/>
      <c r="AJ771" s="587"/>
      <c r="AK771" s="587"/>
      <c r="AL771" s="587"/>
      <c r="AM771" s="587"/>
      <c r="AO771" s="587"/>
      <c r="AP771" s="587"/>
      <c r="AQ771" s="587"/>
      <c r="AR771" s="587"/>
      <c r="AS771" s="587"/>
      <c r="AT771" s="587"/>
      <c r="AU771" s="587"/>
      <c r="AV771" s="587"/>
      <c r="AW771" s="587"/>
    </row>
    <row r="772" spans="1:49">
      <c r="A772" s="581">
        <v>32843</v>
      </c>
      <c r="B772" s="594">
        <v>2.4E-2</v>
      </c>
      <c r="C772" s="577">
        <v>7.3099999999999998E-2</v>
      </c>
      <c r="D772" s="577">
        <v>6.4000000000000003E-3</v>
      </c>
      <c r="E772" s="577">
        <v>7.3833333333333329E-3</v>
      </c>
      <c r="F772" s="577">
        <v>7.5916666666666667E-3</v>
      </c>
      <c r="G772" s="577">
        <v>7.4875000000000002E-3</v>
      </c>
      <c r="H772" s="577">
        <v>7.8612500000000002E-3</v>
      </c>
      <c r="I772" s="577">
        <f t="shared" si="123"/>
        <v>1.7600000000000001E-2</v>
      </c>
      <c r="J772" s="577">
        <f t="shared" si="127"/>
        <v>1.6512499999999999E-2</v>
      </c>
      <c r="K772" s="577">
        <f t="shared" si="128"/>
        <v>6.5238749999999998E-2</v>
      </c>
      <c r="L772" s="585">
        <f t="shared" si="124"/>
        <v>0.31671506868073918</v>
      </c>
      <c r="M772" s="585">
        <f t="shared" si="125"/>
        <v>7.6800000000000007E-2</v>
      </c>
      <c r="N772" s="585">
        <f t="shared" si="129"/>
        <v>8.9849999999999999E-2</v>
      </c>
      <c r="O772" s="586">
        <f t="shared" si="126"/>
        <v>0.23991506868073917</v>
      </c>
      <c r="P772" s="585">
        <f t="shared" si="130"/>
        <v>0.22686506868073919</v>
      </c>
      <c r="Q772" s="585">
        <f t="shared" si="131"/>
        <v>0.47805105640114021</v>
      </c>
      <c r="R772" s="585">
        <f t="shared" si="132"/>
        <v>9.4335000000000002E-2</v>
      </c>
      <c r="S772" s="586">
        <f t="shared" si="133"/>
        <v>0.3837160564011402</v>
      </c>
      <c r="U772" s="587"/>
      <c r="V772" s="587"/>
      <c r="W772" s="587"/>
      <c r="X772" s="587"/>
      <c r="Y772" s="587"/>
      <c r="Z772" s="587"/>
      <c r="AA772" s="587"/>
      <c r="AB772" s="587"/>
      <c r="AC772" s="587"/>
      <c r="AE772" s="587"/>
      <c r="AF772" s="587"/>
      <c r="AG772" s="587"/>
      <c r="AH772" s="587"/>
      <c r="AI772" s="587"/>
      <c r="AJ772" s="587"/>
      <c r="AK772" s="587"/>
      <c r="AL772" s="587"/>
      <c r="AM772" s="587"/>
      <c r="AO772" s="587"/>
      <c r="AP772" s="587"/>
      <c r="AQ772" s="587"/>
      <c r="AR772" s="587"/>
      <c r="AS772" s="587"/>
      <c r="AT772" s="587"/>
      <c r="AU772" s="587"/>
      <c r="AV772" s="587"/>
      <c r="AW772" s="587"/>
    </row>
    <row r="773" spans="1:49">
      <c r="A773" s="581">
        <v>32874</v>
      </c>
      <c r="B773" s="594">
        <v>-6.7100000000000007E-2</v>
      </c>
      <c r="C773" s="577">
        <v>-8.09E-2</v>
      </c>
      <c r="D773" s="577">
        <v>7.3000000000000001E-3</v>
      </c>
      <c r="E773" s="577">
        <v>7.4916666666666664E-3</v>
      </c>
      <c r="F773" s="577">
        <v>7.7249999999999992E-3</v>
      </c>
      <c r="G773" s="577">
        <v>7.6083333333333324E-3</v>
      </c>
      <c r="H773" s="577">
        <v>7.9564166666666672E-3</v>
      </c>
      <c r="I773" s="577">
        <f t="shared" si="123"/>
        <v>-7.4400000000000008E-2</v>
      </c>
      <c r="J773" s="577">
        <f t="shared" si="127"/>
        <v>-7.4708333333333335E-2</v>
      </c>
      <c r="K773" s="577">
        <f t="shared" si="128"/>
        <v>-8.885641666666666E-2</v>
      </c>
      <c r="L773" s="585">
        <f t="shared" si="124"/>
        <v>0.14458021577735902</v>
      </c>
      <c r="M773" s="585">
        <f t="shared" si="125"/>
        <v>8.7599999999999997E-2</v>
      </c>
      <c r="N773" s="585">
        <f t="shared" si="129"/>
        <v>9.1299999999999992E-2</v>
      </c>
      <c r="O773" s="586">
        <f t="shared" si="126"/>
        <v>5.6980215777359025E-2</v>
      </c>
      <c r="P773" s="585">
        <f t="shared" si="130"/>
        <v>5.328021577735903E-2</v>
      </c>
      <c r="Q773" s="585">
        <f t="shared" si="131"/>
        <v>0.28509765011662869</v>
      </c>
      <c r="R773" s="585">
        <f t="shared" si="132"/>
        <v>9.5477000000000006E-2</v>
      </c>
      <c r="S773" s="586">
        <f t="shared" si="133"/>
        <v>0.18962065011662868</v>
      </c>
      <c r="U773" s="587"/>
      <c r="V773" s="587"/>
      <c r="W773" s="587"/>
      <c r="X773" s="587"/>
      <c r="Y773" s="587"/>
      <c r="Z773" s="587"/>
      <c r="AA773" s="587"/>
      <c r="AB773" s="587"/>
      <c r="AC773" s="587"/>
      <c r="AE773" s="587"/>
      <c r="AF773" s="587"/>
      <c r="AG773" s="587"/>
      <c r="AH773" s="587"/>
      <c r="AI773" s="587"/>
      <c r="AJ773" s="587"/>
      <c r="AK773" s="587"/>
      <c r="AL773" s="587"/>
      <c r="AM773" s="587"/>
      <c r="AO773" s="587"/>
      <c r="AP773" s="587"/>
      <c r="AQ773" s="587"/>
      <c r="AR773" s="587"/>
      <c r="AS773" s="587"/>
      <c r="AT773" s="587"/>
      <c r="AU773" s="587"/>
      <c r="AV773" s="587"/>
      <c r="AW773" s="587"/>
    </row>
    <row r="774" spans="1:49">
      <c r="A774" s="581">
        <v>32905</v>
      </c>
      <c r="B774" s="594">
        <v>1.29E-2</v>
      </c>
      <c r="C774" s="577">
        <v>-1.09E-2</v>
      </c>
      <c r="D774" s="577">
        <v>6.6E-3</v>
      </c>
      <c r="E774" s="577">
        <v>7.6833333333333345E-3</v>
      </c>
      <c r="F774" s="577">
        <v>7.8666666666666659E-3</v>
      </c>
      <c r="G774" s="577">
        <v>7.7750000000000007E-3</v>
      </c>
      <c r="H774" s="577">
        <v>8.1302500000000003E-3</v>
      </c>
      <c r="I774" s="577">
        <f t="shared" ref="I774:I837" si="134">B774-D774</f>
        <v>6.3E-3</v>
      </c>
      <c r="J774" s="577">
        <f t="shared" si="127"/>
        <v>5.1249999999999993E-3</v>
      </c>
      <c r="K774" s="577">
        <f t="shared" si="128"/>
        <v>-1.9030249999999999E-2</v>
      </c>
      <c r="L774" s="585">
        <f t="shared" si="124"/>
        <v>0.18895015953326499</v>
      </c>
      <c r="M774" s="585">
        <f t="shared" si="125"/>
        <v>7.9199999999999993E-2</v>
      </c>
      <c r="N774" s="585">
        <f t="shared" si="129"/>
        <v>9.3300000000000008E-2</v>
      </c>
      <c r="O774" s="586">
        <f t="shared" si="126"/>
        <v>0.109750159533265</v>
      </c>
      <c r="P774" s="585">
        <f t="shared" si="130"/>
        <v>9.5650159533264986E-2</v>
      </c>
      <c r="Q774" s="585">
        <f t="shared" si="131"/>
        <v>0.29901899410358435</v>
      </c>
      <c r="R774" s="585">
        <f t="shared" si="132"/>
        <v>9.7563000000000011E-2</v>
      </c>
      <c r="S774" s="586">
        <f t="shared" si="133"/>
        <v>0.20145599410358433</v>
      </c>
      <c r="U774" s="587"/>
      <c r="V774" s="587"/>
      <c r="W774" s="587"/>
      <c r="X774" s="587"/>
      <c r="Y774" s="587"/>
      <c r="Z774" s="587"/>
      <c r="AA774" s="587"/>
      <c r="AB774" s="587"/>
      <c r="AC774" s="587"/>
      <c r="AE774" s="587"/>
      <c r="AF774" s="587"/>
      <c r="AG774" s="587"/>
      <c r="AH774" s="587"/>
      <c r="AI774" s="587"/>
      <c r="AJ774" s="587"/>
      <c r="AK774" s="587"/>
      <c r="AL774" s="587"/>
      <c r="AM774" s="587"/>
      <c r="AO774" s="587"/>
      <c r="AP774" s="587"/>
      <c r="AQ774" s="587"/>
      <c r="AR774" s="587"/>
      <c r="AS774" s="587"/>
      <c r="AT774" s="587"/>
      <c r="AU774" s="587"/>
      <c r="AV774" s="587"/>
      <c r="AW774" s="587"/>
    </row>
    <row r="775" spans="1:49">
      <c r="A775" s="581">
        <v>32933</v>
      </c>
      <c r="B775" s="594">
        <v>2.6499999999999999E-2</v>
      </c>
      <c r="C775" s="577">
        <v>1.8700000000000001E-2</v>
      </c>
      <c r="D775" s="577">
        <v>7.1000000000000004E-3</v>
      </c>
      <c r="E775" s="577">
        <v>7.8083333333333329E-3</v>
      </c>
      <c r="F775" s="577">
        <v>7.9249999999999998E-3</v>
      </c>
      <c r="G775" s="577">
        <v>7.8666666666666659E-3</v>
      </c>
      <c r="H775" s="577">
        <v>8.2053333333333318E-3</v>
      </c>
      <c r="I775" s="577">
        <f t="shared" si="134"/>
        <v>1.9400000000000001E-2</v>
      </c>
      <c r="J775" s="577">
        <f t="shared" si="127"/>
        <v>1.8633333333333335E-2</v>
      </c>
      <c r="K775" s="577">
        <f t="shared" si="128"/>
        <v>1.049466666666667E-2</v>
      </c>
      <c r="L775" s="585">
        <f t="shared" si="124"/>
        <v>0.19266817039079087</v>
      </c>
      <c r="M775" s="585">
        <f t="shared" si="125"/>
        <v>8.5199999999999998E-2</v>
      </c>
      <c r="N775" s="585">
        <f t="shared" si="129"/>
        <v>9.4399999999999984E-2</v>
      </c>
      <c r="O775" s="586">
        <f t="shared" si="126"/>
        <v>0.10746817039079087</v>
      </c>
      <c r="P775" s="585">
        <f t="shared" si="130"/>
        <v>9.8268170390790888E-2</v>
      </c>
      <c r="Q775" s="585">
        <f t="shared" si="131"/>
        <v>0.28864607001005127</v>
      </c>
      <c r="R775" s="585">
        <f t="shared" si="132"/>
        <v>9.8463999999999982E-2</v>
      </c>
      <c r="S775" s="586">
        <f t="shared" si="133"/>
        <v>0.19018207001005127</v>
      </c>
      <c r="U775" s="587"/>
      <c r="V775" s="587"/>
      <c r="W775" s="587"/>
      <c r="X775" s="587"/>
      <c r="Y775" s="587"/>
      <c r="Z775" s="587"/>
      <c r="AA775" s="587"/>
      <c r="AB775" s="587"/>
      <c r="AC775" s="587"/>
      <c r="AE775" s="587"/>
      <c r="AF775" s="587"/>
      <c r="AG775" s="587"/>
      <c r="AH775" s="587"/>
      <c r="AI775" s="587"/>
      <c r="AJ775" s="587"/>
      <c r="AK775" s="587"/>
      <c r="AL775" s="587"/>
      <c r="AM775" s="587"/>
      <c r="AO775" s="587"/>
      <c r="AP775" s="587"/>
      <c r="AQ775" s="587"/>
      <c r="AR775" s="587"/>
      <c r="AS775" s="587"/>
      <c r="AT775" s="587"/>
      <c r="AU775" s="587"/>
      <c r="AV775" s="587"/>
      <c r="AW775" s="587"/>
    </row>
    <row r="776" spans="1:49">
      <c r="A776" s="581">
        <v>32964</v>
      </c>
      <c r="B776" s="594">
        <v>-2.4899999999999999E-2</v>
      </c>
      <c r="C776" s="577">
        <v>-3.85E-2</v>
      </c>
      <c r="D776" s="577">
        <v>7.4999999999999997E-3</v>
      </c>
      <c r="E776" s="577">
        <v>7.8833333333333342E-3</v>
      </c>
      <c r="F776" s="577">
        <v>8.0333333333333333E-3</v>
      </c>
      <c r="G776" s="577">
        <v>7.9583333333333346E-3</v>
      </c>
      <c r="H776" s="577">
        <v>8.2587500000000005E-3</v>
      </c>
      <c r="I776" s="577">
        <f t="shared" si="134"/>
        <v>-3.2399999999999998E-2</v>
      </c>
      <c r="J776" s="577">
        <f t="shared" si="127"/>
        <v>-3.2858333333333337E-2</v>
      </c>
      <c r="K776" s="577">
        <f t="shared" si="128"/>
        <v>-4.6758750000000002E-2</v>
      </c>
      <c r="L776" s="585">
        <f t="shared" si="124"/>
        <v>0.10559058175497715</v>
      </c>
      <c r="M776" s="585">
        <f t="shared" si="125"/>
        <v>0.09</v>
      </c>
      <c r="N776" s="585">
        <f t="shared" si="129"/>
        <v>9.5500000000000015E-2</v>
      </c>
      <c r="O776" s="586">
        <f t="shared" si="126"/>
        <v>1.5590581754977156E-2</v>
      </c>
      <c r="P776" s="585">
        <f t="shared" si="130"/>
        <v>1.0090581754977138E-2</v>
      </c>
      <c r="Q776" s="585">
        <f t="shared" si="131"/>
        <v>0.16516192995548651</v>
      </c>
      <c r="R776" s="585">
        <f t="shared" si="132"/>
        <v>9.9104999999999999E-2</v>
      </c>
      <c r="S776" s="586">
        <f t="shared" si="133"/>
        <v>6.605692995548651E-2</v>
      </c>
      <c r="U776" s="587"/>
      <c r="V776" s="587"/>
      <c r="W776" s="587"/>
      <c r="X776" s="587"/>
      <c r="Y776" s="587"/>
      <c r="Z776" s="587"/>
      <c r="AA776" s="587"/>
      <c r="AB776" s="587"/>
      <c r="AC776" s="587"/>
      <c r="AE776" s="587"/>
      <c r="AF776" s="587"/>
      <c r="AG776" s="587"/>
      <c r="AH776" s="587"/>
      <c r="AI776" s="587"/>
      <c r="AJ776" s="587"/>
      <c r="AK776" s="587"/>
      <c r="AL776" s="587"/>
      <c r="AM776" s="587"/>
      <c r="AO776" s="587"/>
      <c r="AP776" s="587"/>
      <c r="AQ776" s="587"/>
      <c r="AR776" s="587"/>
      <c r="AS776" s="587"/>
      <c r="AT776" s="587"/>
      <c r="AU776" s="587"/>
      <c r="AV776" s="587"/>
      <c r="AW776" s="587"/>
    </row>
    <row r="777" spans="1:49">
      <c r="A777" s="581">
        <v>32994</v>
      </c>
      <c r="B777" s="594">
        <v>9.7500000000000003E-2</v>
      </c>
      <c r="C777" s="577">
        <v>6.8200000000000011E-2</v>
      </c>
      <c r="D777" s="577">
        <v>7.4999999999999997E-3</v>
      </c>
      <c r="E777" s="577">
        <v>7.8916666666666666E-3</v>
      </c>
      <c r="F777" s="577">
        <v>8.083333333333333E-3</v>
      </c>
      <c r="G777" s="577">
        <v>7.9874999999999998E-3</v>
      </c>
      <c r="H777" s="577">
        <v>8.3382500000000002E-3</v>
      </c>
      <c r="I777" s="577">
        <f t="shared" si="134"/>
        <v>0.09</v>
      </c>
      <c r="J777" s="577">
        <f t="shared" si="127"/>
        <v>8.9512500000000009E-2</v>
      </c>
      <c r="K777" s="577">
        <f t="shared" si="128"/>
        <v>5.9861750000000012E-2</v>
      </c>
      <c r="L777" s="585">
        <f t="shared" si="124"/>
        <v>0.16615633202891611</v>
      </c>
      <c r="M777" s="585">
        <f t="shared" si="125"/>
        <v>0.09</v>
      </c>
      <c r="N777" s="585">
        <f t="shared" si="129"/>
        <v>9.5849999999999991E-2</v>
      </c>
      <c r="O777" s="586">
        <f t="shared" si="126"/>
        <v>7.6156332028916113E-2</v>
      </c>
      <c r="P777" s="585">
        <f t="shared" si="130"/>
        <v>7.0306332028916119E-2</v>
      </c>
      <c r="Q777" s="585">
        <f t="shared" si="131"/>
        <v>0.17639506009305328</v>
      </c>
      <c r="R777" s="585">
        <f t="shared" si="132"/>
        <v>0.10005900000000001</v>
      </c>
      <c r="S777" s="586">
        <f t="shared" si="133"/>
        <v>7.6336060093053271E-2</v>
      </c>
      <c r="U777" s="587"/>
      <c r="V777" s="587"/>
      <c r="W777" s="587"/>
      <c r="X777" s="587"/>
      <c r="Y777" s="587"/>
      <c r="Z777" s="587"/>
      <c r="AA777" s="587"/>
      <c r="AB777" s="587"/>
      <c r="AC777" s="587"/>
      <c r="AE777" s="587"/>
      <c r="AF777" s="587"/>
      <c r="AG777" s="587"/>
      <c r="AH777" s="587"/>
      <c r="AI777" s="587"/>
      <c r="AJ777" s="587"/>
      <c r="AK777" s="587"/>
      <c r="AL777" s="587"/>
      <c r="AM777" s="587"/>
      <c r="AO777" s="587"/>
      <c r="AP777" s="587"/>
      <c r="AQ777" s="587"/>
      <c r="AR777" s="587"/>
      <c r="AS777" s="587"/>
      <c r="AT777" s="587"/>
      <c r="AU777" s="587"/>
      <c r="AV777" s="587"/>
      <c r="AW777" s="587"/>
    </row>
    <row r="778" spans="1:49">
      <c r="A778" s="581">
        <v>33025</v>
      </c>
      <c r="B778" s="594">
        <v>-6.7000000000000002E-3</v>
      </c>
      <c r="C778" s="577">
        <v>-2.1099999999999997E-2</v>
      </c>
      <c r="D778" s="577">
        <v>6.7999999999999996E-3</v>
      </c>
      <c r="E778" s="577">
        <v>7.7166666666666659E-3</v>
      </c>
      <c r="F778" s="577">
        <v>7.9083333333333332E-3</v>
      </c>
      <c r="G778" s="577">
        <v>7.8125E-3</v>
      </c>
      <c r="H778" s="577">
        <v>8.175E-3</v>
      </c>
      <c r="I778" s="577">
        <f t="shared" si="134"/>
        <v>-1.35E-2</v>
      </c>
      <c r="J778" s="577">
        <f t="shared" si="127"/>
        <v>-1.4512500000000001E-2</v>
      </c>
      <c r="K778" s="577">
        <f t="shared" si="128"/>
        <v>-2.9274999999999995E-2</v>
      </c>
      <c r="L778" s="585">
        <f t="shared" si="124"/>
        <v>0.16498349050017347</v>
      </c>
      <c r="M778" s="585">
        <f t="shared" si="125"/>
        <v>8.1599999999999992E-2</v>
      </c>
      <c r="N778" s="585">
        <f t="shared" si="129"/>
        <v>9.375E-2</v>
      </c>
      <c r="O778" s="586">
        <f t="shared" si="126"/>
        <v>8.3383490500173477E-2</v>
      </c>
      <c r="P778" s="585">
        <f t="shared" si="130"/>
        <v>7.1233490500173469E-2</v>
      </c>
      <c r="Q778" s="585">
        <f t="shared" si="131"/>
        <v>0.13332656660278563</v>
      </c>
      <c r="R778" s="585">
        <f t="shared" si="132"/>
        <v>9.8099999999999993E-2</v>
      </c>
      <c r="S778" s="586">
        <f t="shared" si="133"/>
        <v>3.5226566602785642E-2</v>
      </c>
      <c r="U778" s="587"/>
      <c r="V778" s="587"/>
      <c r="W778" s="587"/>
      <c r="X778" s="587"/>
      <c r="Y778" s="587"/>
      <c r="Z778" s="587"/>
      <c r="AA778" s="587"/>
      <c r="AB778" s="587"/>
      <c r="AC778" s="587"/>
      <c r="AE778" s="587"/>
      <c r="AF778" s="587"/>
      <c r="AG778" s="587"/>
      <c r="AH778" s="587"/>
      <c r="AI778" s="587"/>
      <c r="AJ778" s="587"/>
      <c r="AK778" s="587"/>
      <c r="AL778" s="587"/>
      <c r="AM778" s="587"/>
      <c r="AO778" s="587"/>
      <c r="AP778" s="587"/>
      <c r="AQ778" s="587"/>
      <c r="AR778" s="587"/>
      <c r="AS778" s="587"/>
      <c r="AT778" s="587"/>
      <c r="AU778" s="587"/>
      <c r="AV778" s="587"/>
      <c r="AW778" s="587"/>
    </row>
    <row r="779" spans="1:49">
      <c r="A779" s="581">
        <v>33055</v>
      </c>
      <c r="B779" s="594">
        <v>-3.2000000000000002E-3</v>
      </c>
      <c r="C779" s="577">
        <v>-3.1999999999999997E-3</v>
      </c>
      <c r="D779" s="577">
        <v>7.4000000000000003E-3</v>
      </c>
      <c r="E779" s="577">
        <v>7.7000000000000002E-3</v>
      </c>
      <c r="F779" s="577">
        <v>7.8916666666666666E-3</v>
      </c>
      <c r="G779" s="577">
        <v>7.7958333333333326E-3</v>
      </c>
      <c r="H779" s="577">
        <v>8.1317500000000001E-3</v>
      </c>
      <c r="I779" s="577">
        <f t="shared" si="134"/>
        <v>-1.06E-2</v>
      </c>
      <c r="J779" s="577">
        <f t="shared" si="127"/>
        <v>-1.0995833333333333E-2</v>
      </c>
      <c r="K779" s="577">
        <f t="shared" si="128"/>
        <v>-1.133175E-2</v>
      </c>
      <c r="L779" s="585">
        <f t="shared" si="124"/>
        <v>6.5078917115080959E-2</v>
      </c>
      <c r="M779" s="585">
        <f t="shared" si="125"/>
        <v>8.8800000000000004E-2</v>
      </c>
      <c r="N779" s="585">
        <f t="shared" si="129"/>
        <v>9.3549999999999994E-2</v>
      </c>
      <c r="O779" s="586">
        <f t="shared" si="126"/>
        <v>-2.3721082884919045E-2</v>
      </c>
      <c r="P779" s="585">
        <f t="shared" si="130"/>
        <v>-2.8471082884919036E-2</v>
      </c>
      <c r="Q779" s="585">
        <f t="shared" si="131"/>
        <v>4.5631175110752098E-2</v>
      </c>
      <c r="R779" s="585">
        <f t="shared" si="132"/>
        <v>9.7581000000000001E-2</v>
      </c>
      <c r="S779" s="586">
        <f t="shared" si="133"/>
        <v>-5.1949824889247903E-2</v>
      </c>
      <c r="U779" s="587"/>
      <c r="V779" s="587"/>
      <c r="W779" s="587"/>
      <c r="X779" s="587"/>
      <c r="Y779" s="587"/>
      <c r="Z779" s="587"/>
      <c r="AA779" s="587"/>
      <c r="AB779" s="587"/>
      <c r="AC779" s="587"/>
      <c r="AE779" s="587"/>
      <c r="AF779" s="587"/>
      <c r="AG779" s="587"/>
      <c r="AH779" s="587"/>
      <c r="AI779" s="587"/>
      <c r="AJ779" s="587"/>
      <c r="AK779" s="587"/>
      <c r="AL779" s="587"/>
      <c r="AM779" s="587"/>
      <c r="AO779" s="587"/>
      <c r="AP779" s="587"/>
      <c r="AQ779" s="587"/>
      <c r="AR779" s="587"/>
      <c r="AS779" s="587"/>
      <c r="AT779" s="587"/>
      <c r="AU779" s="587"/>
      <c r="AV779" s="587"/>
      <c r="AW779" s="587"/>
    </row>
    <row r="780" spans="1:49">
      <c r="A780" s="581">
        <v>33086</v>
      </c>
      <c r="B780" s="594">
        <v>-9.0399999999999994E-2</v>
      </c>
      <c r="C780" s="577">
        <v>-7.9199999999999993E-2</v>
      </c>
      <c r="D780" s="577">
        <v>7.1000000000000004E-3</v>
      </c>
      <c r="E780" s="577">
        <v>7.8416666666666669E-3</v>
      </c>
      <c r="F780" s="577">
        <v>8.0250000000000009E-3</v>
      </c>
      <c r="G780" s="577">
        <v>7.9333333333333339E-3</v>
      </c>
      <c r="H780" s="577">
        <v>8.2464166666666658E-3</v>
      </c>
      <c r="I780" s="577">
        <f t="shared" si="134"/>
        <v>-9.7499999999999989E-2</v>
      </c>
      <c r="J780" s="577">
        <f t="shared" si="127"/>
        <v>-9.8333333333333328E-2</v>
      </c>
      <c r="K780" s="577">
        <f t="shared" si="128"/>
        <v>-8.7446416666666665E-2</v>
      </c>
      <c r="L780" s="585">
        <f t="shared" si="124"/>
        <v>-4.9734396264956016E-2</v>
      </c>
      <c r="M780" s="585">
        <f t="shared" si="125"/>
        <v>8.5199999999999998E-2</v>
      </c>
      <c r="N780" s="585">
        <f t="shared" si="129"/>
        <v>9.5200000000000007E-2</v>
      </c>
      <c r="O780" s="586">
        <f t="shared" si="126"/>
        <v>-0.13493439626495601</v>
      </c>
      <c r="P780" s="585">
        <f t="shared" si="130"/>
        <v>-0.14493439626495602</v>
      </c>
      <c r="Q780" s="585">
        <f t="shared" si="131"/>
        <v>-3.1663294738026315E-2</v>
      </c>
      <c r="R780" s="585">
        <f t="shared" si="132"/>
        <v>9.8956999999999989E-2</v>
      </c>
      <c r="S780" s="586">
        <f t="shared" si="133"/>
        <v>-0.1306202947380263</v>
      </c>
      <c r="U780" s="587"/>
      <c r="V780" s="587"/>
      <c r="W780" s="587"/>
      <c r="X780" s="587"/>
      <c r="Y780" s="587"/>
      <c r="Z780" s="587"/>
      <c r="AA780" s="587"/>
      <c r="AB780" s="587"/>
      <c r="AC780" s="587"/>
      <c r="AE780" s="587"/>
      <c r="AF780" s="587"/>
      <c r="AG780" s="587"/>
      <c r="AH780" s="587"/>
      <c r="AI780" s="587"/>
      <c r="AJ780" s="587"/>
      <c r="AK780" s="587"/>
      <c r="AL780" s="587"/>
      <c r="AM780" s="587"/>
      <c r="AO780" s="587"/>
      <c r="AP780" s="587"/>
      <c r="AQ780" s="587"/>
      <c r="AR780" s="587"/>
      <c r="AS780" s="587"/>
      <c r="AT780" s="587"/>
      <c r="AU780" s="587"/>
      <c r="AV780" s="587"/>
      <c r="AW780" s="587"/>
    </row>
    <row r="781" spans="1:49">
      <c r="A781" s="581">
        <v>33117</v>
      </c>
      <c r="B781" s="594">
        <v>-4.87E-2</v>
      </c>
      <c r="C781" s="577">
        <v>4.1100000000000005E-2</v>
      </c>
      <c r="D781" s="577">
        <v>6.8999999999999999E-3</v>
      </c>
      <c r="E781" s="577">
        <v>7.966666666666667E-3</v>
      </c>
      <c r="F781" s="577">
        <v>8.1416666666666651E-3</v>
      </c>
      <c r="G781" s="577">
        <v>8.0541666666666661E-3</v>
      </c>
      <c r="H781" s="577">
        <v>8.4306666666666662E-3</v>
      </c>
      <c r="I781" s="577">
        <f t="shared" si="134"/>
        <v>-5.5599999999999997E-2</v>
      </c>
      <c r="J781" s="577">
        <f t="shared" si="127"/>
        <v>-5.6754166666666668E-2</v>
      </c>
      <c r="K781" s="577">
        <f t="shared" si="128"/>
        <v>3.2669333333333342E-2</v>
      </c>
      <c r="L781" s="585">
        <f t="shared" si="124"/>
        <v>-9.2290723131692509E-2</v>
      </c>
      <c r="M781" s="585">
        <f t="shared" si="125"/>
        <v>8.2799999999999999E-2</v>
      </c>
      <c r="N781" s="585">
        <f t="shared" si="129"/>
        <v>9.6649999999999986E-2</v>
      </c>
      <c r="O781" s="586">
        <f t="shared" si="126"/>
        <v>-0.17509072313169249</v>
      </c>
      <c r="P781" s="585">
        <f t="shared" si="130"/>
        <v>-0.1889407231316925</v>
      </c>
      <c r="Q781" s="585">
        <f t="shared" si="131"/>
        <v>-8.7164760587603585E-3</v>
      </c>
      <c r="R781" s="585">
        <f t="shared" si="132"/>
        <v>0.10116799999999999</v>
      </c>
      <c r="S781" s="586">
        <f t="shared" si="133"/>
        <v>-0.10988447605876035</v>
      </c>
      <c r="U781" s="587"/>
      <c r="V781" s="587"/>
      <c r="W781" s="587"/>
      <c r="X781" s="587"/>
      <c r="Y781" s="587"/>
      <c r="Z781" s="587"/>
      <c r="AA781" s="587"/>
      <c r="AB781" s="587"/>
      <c r="AC781" s="587"/>
      <c r="AE781" s="587"/>
      <c r="AF781" s="587"/>
      <c r="AG781" s="587"/>
      <c r="AH781" s="587"/>
      <c r="AI781" s="587"/>
      <c r="AJ781" s="587"/>
      <c r="AK781" s="587"/>
      <c r="AL781" s="587"/>
      <c r="AM781" s="587"/>
      <c r="AO781" s="587"/>
      <c r="AP781" s="587"/>
      <c r="AQ781" s="587"/>
      <c r="AR781" s="587"/>
      <c r="AS781" s="587"/>
      <c r="AT781" s="587"/>
      <c r="AU781" s="587"/>
      <c r="AV781" s="587"/>
      <c r="AW781" s="587"/>
    </row>
    <row r="782" spans="1:49">
      <c r="A782" s="581">
        <v>33147</v>
      </c>
      <c r="B782" s="594">
        <v>-4.3E-3</v>
      </c>
      <c r="C782" s="577">
        <v>6.5299999999999997E-2</v>
      </c>
      <c r="D782" s="577">
        <v>8.0999999999999996E-3</v>
      </c>
      <c r="E782" s="577">
        <v>7.9416666666666663E-3</v>
      </c>
      <c r="F782" s="577">
        <v>8.1416666666666651E-3</v>
      </c>
      <c r="G782" s="577">
        <v>8.0416666666666657E-3</v>
      </c>
      <c r="H782" s="577">
        <v>8.3855000000000006E-3</v>
      </c>
      <c r="I782" s="577">
        <f t="shared" si="134"/>
        <v>-1.24E-2</v>
      </c>
      <c r="J782" s="577">
        <f t="shared" si="127"/>
        <v>-1.2341666666666666E-2</v>
      </c>
      <c r="K782" s="577">
        <f t="shared" si="128"/>
        <v>5.6914499999999993E-2</v>
      </c>
      <c r="L782" s="585">
        <f t="shared" si="124"/>
        <v>-7.4727552234056138E-2</v>
      </c>
      <c r="M782" s="585">
        <f t="shared" si="125"/>
        <v>9.7199999999999995E-2</v>
      </c>
      <c r="N782" s="585">
        <f t="shared" si="129"/>
        <v>9.6499999999999989E-2</v>
      </c>
      <c r="O782" s="586">
        <f t="shared" si="126"/>
        <v>-0.17192755223405615</v>
      </c>
      <c r="P782" s="585">
        <f t="shared" si="130"/>
        <v>-0.17122755223405611</v>
      </c>
      <c r="Q782" s="585">
        <f t="shared" si="131"/>
        <v>5.1283562025487894E-2</v>
      </c>
      <c r="R782" s="585">
        <f t="shared" si="132"/>
        <v>0.10062600000000001</v>
      </c>
      <c r="S782" s="586">
        <f t="shared" si="133"/>
        <v>-4.9342437974512113E-2</v>
      </c>
      <c r="U782" s="587"/>
      <c r="V782" s="587"/>
      <c r="W782" s="587"/>
      <c r="X782" s="587"/>
      <c r="Y782" s="587"/>
      <c r="Z782" s="587"/>
      <c r="AA782" s="587"/>
      <c r="AB782" s="587"/>
      <c r="AC782" s="587"/>
      <c r="AE782" s="587"/>
      <c r="AF782" s="587"/>
      <c r="AG782" s="587"/>
      <c r="AH782" s="587"/>
      <c r="AI782" s="587"/>
      <c r="AJ782" s="587"/>
      <c r="AK782" s="587"/>
      <c r="AL782" s="587"/>
      <c r="AM782" s="587"/>
      <c r="AO782" s="587"/>
      <c r="AP782" s="587"/>
      <c r="AQ782" s="587"/>
      <c r="AR782" s="587"/>
      <c r="AS782" s="587"/>
      <c r="AT782" s="587"/>
      <c r="AU782" s="587"/>
      <c r="AV782" s="587"/>
      <c r="AW782" s="587"/>
    </row>
    <row r="783" spans="1:49">
      <c r="A783" s="581">
        <v>33178</v>
      </c>
      <c r="B783" s="594">
        <v>6.4600000000000005E-2</v>
      </c>
      <c r="C783" s="577">
        <v>1.9299999999999998E-2</v>
      </c>
      <c r="D783" s="577">
        <v>7.1000000000000004E-3</v>
      </c>
      <c r="E783" s="577">
        <v>7.7499999999999999E-3</v>
      </c>
      <c r="F783" s="577">
        <v>7.9916666666666678E-3</v>
      </c>
      <c r="G783" s="577">
        <v>7.8708333333333338E-3</v>
      </c>
      <c r="H783" s="577">
        <v>8.2603333333333331E-3</v>
      </c>
      <c r="I783" s="577">
        <f t="shared" si="134"/>
        <v>5.7500000000000002E-2</v>
      </c>
      <c r="J783" s="577">
        <f t="shared" si="127"/>
        <v>5.6729166666666671E-2</v>
      </c>
      <c r="K783" s="577">
        <f t="shared" si="128"/>
        <v>1.1039666666666665E-2</v>
      </c>
      <c r="L783" s="585">
        <f t="shared" si="124"/>
        <v>-3.4648130251250575E-2</v>
      </c>
      <c r="M783" s="585">
        <f t="shared" si="125"/>
        <v>8.5199999999999998E-2</v>
      </c>
      <c r="N783" s="585">
        <f t="shared" si="129"/>
        <v>9.4450000000000006E-2</v>
      </c>
      <c r="O783" s="586">
        <f t="shared" si="126"/>
        <v>-0.11984813025125057</v>
      </c>
      <c r="P783" s="585">
        <f t="shared" si="130"/>
        <v>-0.12909813025125058</v>
      </c>
      <c r="Q783" s="585">
        <f t="shared" si="131"/>
        <v>3.6738907481211225E-2</v>
      </c>
      <c r="R783" s="585">
        <f t="shared" si="132"/>
        <v>9.912399999999999E-2</v>
      </c>
      <c r="S783" s="586">
        <f t="shared" si="133"/>
        <v>-6.2385092518788765E-2</v>
      </c>
      <c r="U783" s="587"/>
      <c r="V783" s="587"/>
      <c r="W783" s="587"/>
      <c r="X783" s="587"/>
      <c r="Y783" s="587"/>
      <c r="Z783" s="587"/>
      <c r="AA783" s="587"/>
      <c r="AB783" s="587"/>
      <c r="AC783" s="587"/>
      <c r="AE783" s="587"/>
      <c r="AF783" s="587"/>
      <c r="AG783" s="587"/>
      <c r="AH783" s="587"/>
      <c r="AI783" s="587"/>
      <c r="AJ783" s="587"/>
      <c r="AK783" s="587"/>
      <c r="AL783" s="587"/>
      <c r="AM783" s="587"/>
      <c r="AO783" s="587"/>
      <c r="AP783" s="587"/>
      <c r="AQ783" s="587"/>
      <c r="AR783" s="587"/>
      <c r="AS783" s="587"/>
      <c r="AT783" s="587"/>
      <c r="AU783" s="587"/>
      <c r="AV783" s="587"/>
      <c r="AW783" s="587"/>
    </row>
    <row r="784" spans="1:49">
      <c r="A784" s="581">
        <v>33208</v>
      </c>
      <c r="B784" s="594">
        <v>2.7900000000000001E-2</v>
      </c>
      <c r="C784" s="577">
        <v>8.6E-3</v>
      </c>
      <c r="D784" s="577">
        <v>7.1999999999999998E-3</v>
      </c>
      <c r="E784" s="577">
        <v>7.5416666666666679E-3</v>
      </c>
      <c r="F784" s="577">
        <v>7.8250000000000004E-3</v>
      </c>
      <c r="G784" s="577">
        <v>7.6833333333333345E-3</v>
      </c>
      <c r="H784" s="577">
        <v>8.1091666666666656E-3</v>
      </c>
      <c r="I784" s="577">
        <f t="shared" si="134"/>
        <v>2.0700000000000003E-2</v>
      </c>
      <c r="J784" s="577">
        <f t="shared" si="127"/>
        <v>2.0216666666666668E-2</v>
      </c>
      <c r="K784" s="577">
        <f t="shared" si="128"/>
        <v>4.9083333333333444E-4</v>
      </c>
      <c r="L784" s="585">
        <f t="shared" ref="L784:L847" si="135">((1+B773)*(1+B774)*(1+B775)*(1+B776)*(1+B777)*(1+B778)*(1+B779)*(1+B780)*(1+B781)*(1+B782)*(1+B783)*(1+B784))-1</f>
        <v>-3.0971497153574834E-2</v>
      </c>
      <c r="M784" s="585">
        <f t="shared" ref="M784:M847" si="136">D784*12</f>
        <v>8.6400000000000005E-2</v>
      </c>
      <c r="N784" s="585">
        <f t="shared" si="129"/>
        <v>9.2200000000000018E-2</v>
      </c>
      <c r="O784" s="586">
        <f t="shared" ref="O784:O847" si="137">L784-M784</f>
        <v>-0.11737149715357484</v>
      </c>
      <c r="P784" s="585">
        <f t="shared" si="130"/>
        <v>-0.12317149715357485</v>
      </c>
      <c r="Q784" s="585">
        <f t="shared" si="131"/>
        <v>-2.5575564173376586E-2</v>
      </c>
      <c r="R784" s="585">
        <f t="shared" si="132"/>
        <v>9.730999999999998E-2</v>
      </c>
      <c r="S784" s="586">
        <f t="shared" si="133"/>
        <v>-0.12288556417337657</v>
      </c>
      <c r="U784" s="587"/>
      <c r="V784" s="587"/>
      <c r="W784" s="587"/>
      <c r="X784" s="587"/>
      <c r="Y784" s="587"/>
      <c r="Z784" s="587"/>
      <c r="AA784" s="587"/>
      <c r="AB784" s="587"/>
      <c r="AC784" s="587"/>
      <c r="AE784" s="587"/>
      <c r="AF784" s="587"/>
      <c r="AG784" s="587"/>
      <c r="AH784" s="587"/>
      <c r="AI784" s="587"/>
      <c r="AJ784" s="587"/>
      <c r="AK784" s="587"/>
      <c r="AL784" s="587"/>
      <c r="AM784" s="587"/>
      <c r="AO784" s="587"/>
      <c r="AP784" s="587"/>
      <c r="AQ784" s="587"/>
      <c r="AR784" s="587"/>
      <c r="AS784" s="587"/>
      <c r="AT784" s="587"/>
      <c r="AU784" s="587"/>
      <c r="AV784" s="587"/>
      <c r="AW784" s="587"/>
    </row>
    <row r="785" spans="1:49">
      <c r="A785" s="581">
        <v>33239</v>
      </c>
      <c r="B785" s="594">
        <v>4.36E-2</v>
      </c>
      <c r="C785" s="577">
        <v>-3.0100000000000002E-2</v>
      </c>
      <c r="D785" s="577">
        <v>7.1000000000000004E-3</v>
      </c>
      <c r="E785" s="577">
        <v>7.5333333333333329E-3</v>
      </c>
      <c r="F785" s="577">
        <v>7.8083333333333329E-3</v>
      </c>
      <c r="G785" s="577">
        <v>7.6708333333333333E-3</v>
      </c>
      <c r="H785" s="577">
        <v>8.0939166666666659E-3</v>
      </c>
      <c r="I785" s="577">
        <f t="shared" si="134"/>
        <v>3.6499999999999998E-2</v>
      </c>
      <c r="J785" s="577">
        <f t="shared" si="127"/>
        <v>3.5929166666666665E-2</v>
      </c>
      <c r="K785" s="577">
        <f t="shared" si="128"/>
        <v>-3.8193916666666668E-2</v>
      </c>
      <c r="L785" s="585">
        <f t="shared" si="135"/>
        <v>8.4015591778893617E-2</v>
      </c>
      <c r="M785" s="585">
        <f t="shared" si="136"/>
        <v>8.5199999999999998E-2</v>
      </c>
      <c r="N785" s="585">
        <f t="shared" si="129"/>
        <v>9.2049999999999993E-2</v>
      </c>
      <c r="O785" s="586">
        <f t="shared" si="137"/>
        <v>-1.1844082211063811E-3</v>
      </c>
      <c r="P785" s="585">
        <f t="shared" si="130"/>
        <v>-8.0344082211063761E-3</v>
      </c>
      <c r="Q785" s="585">
        <f t="shared" si="131"/>
        <v>2.8282298235493331E-2</v>
      </c>
      <c r="R785" s="585">
        <f t="shared" si="132"/>
        <v>9.7126999999999991E-2</v>
      </c>
      <c r="S785" s="586">
        <f t="shared" si="133"/>
        <v>-6.8844701764506661E-2</v>
      </c>
      <c r="U785" s="587"/>
      <c r="V785" s="587"/>
      <c r="W785" s="587"/>
      <c r="X785" s="587"/>
      <c r="Y785" s="587"/>
      <c r="Z785" s="587"/>
      <c r="AA785" s="587"/>
      <c r="AB785" s="587"/>
      <c r="AC785" s="587"/>
      <c r="AE785" s="587"/>
      <c r="AF785" s="587"/>
      <c r="AG785" s="587"/>
      <c r="AH785" s="587"/>
      <c r="AI785" s="587"/>
      <c r="AJ785" s="587"/>
      <c r="AK785" s="587"/>
      <c r="AL785" s="587"/>
      <c r="AM785" s="587"/>
      <c r="AO785" s="587"/>
      <c r="AP785" s="587"/>
      <c r="AQ785" s="587"/>
      <c r="AR785" s="587"/>
      <c r="AS785" s="587"/>
      <c r="AT785" s="587"/>
      <c r="AU785" s="587"/>
      <c r="AV785" s="587"/>
      <c r="AW785" s="587"/>
    </row>
    <row r="786" spans="1:49">
      <c r="A786" s="581">
        <v>33270</v>
      </c>
      <c r="B786" s="594">
        <v>7.1499999999999994E-2</v>
      </c>
      <c r="C786" s="577">
        <v>3.49E-2</v>
      </c>
      <c r="D786" s="577">
        <v>6.4000000000000003E-3</v>
      </c>
      <c r="E786" s="577">
        <v>7.358333333333333E-3</v>
      </c>
      <c r="F786" s="577">
        <v>7.6333333333333331E-3</v>
      </c>
      <c r="G786" s="577">
        <v>7.4958333333333326E-3</v>
      </c>
      <c r="H786" s="577">
        <v>7.8978333333333331E-3</v>
      </c>
      <c r="I786" s="577">
        <f t="shared" si="134"/>
        <v>6.5099999999999991E-2</v>
      </c>
      <c r="J786" s="577">
        <f t="shared" si="127"/>
        <v>6.4004166666666668E-2</v>
      </c>
      <c r="K786" s="577">
        <f t="shared" si="128"/>
        <v>2.7002166666666667E-2</v>
      </c>
      <c r="L786" s="585">
        <f t="shared" si="135"/>
        <v>0.14672989099721989</v>
      </c>
      <c r="M786" s="585">
        <f t="shared" si="136"/>
        <v>7.6800000000000007E-2</v>
      </c>
      <c r="N786" s="585">
        <f t="shared" si="129"/>
        <v>8.9949999999999988E-2</v>
      </c>
      <c r="O786" s="586">
        <f t="shared" si="137"/>
        <v>6.9929890997219885E-2</v>
      </c>
      <c r="P786" s="585">
        <f t="shared" si="130"/>
        <v>5.6779890997219903E-2</v>
      </c>
      <c r="Q786" s="585">
        <f t="shared" si="131"/>
        <v>7.5896623641605654E-2</v>
      </c>
      <c r="R786" s="585">
        <f t="shared" si="132"/>
        <v>9.4773999999999997E-2</v>
      </c>
      <c r="S786" s="586">
        <f t="shared" si="133"/>
        <v>-1.8877376358394343E-2</v>
      </c>
      <c r="U786" s="587"/>
      <c r="V786" s="587"/>
      <c r="W786" s="587"/>
      <c r="X786" s="587"/>
      <c r="Y786" s="587"/>
      <c r="Z786" s="587"/>
      <c r="AA786" s="587"/>
      <c r="AB786" s="587"/>
      <c r="AC786" s="587"/>
      <c r="AE786" s="587"/>
      <c r="AF786" s="587"/>
      <c r="AG786" s="587"/>
      <c r="AH786" s="587"/>
      <c r="AI786" s="587"/>
      <c r="AJ786" s="587"/>
      <c r="AK786" s="587"/>
      <c r="AL786" s="587"/>
      <c r="AM786" s="587"/>
      <c r="AO786" s="587"/>
      <c r="AP786" s="587"/>
      <c r="AQ786" s="587"/>
      <c r="AR786" s="587"/>
      <c r="AS786" s="587"/>
      <c r="AT786" s="587"/>
      <c r="AU786" s="587"/>
      <c r="AV786" s="587"/>
      <c r="AW786" s="587"/>
    </row>
    <row r="787" spans="1:49">
      <c r="A787" s="581">
        <v>33298</v>
      </c>
      <c r="B787" s="594">
        <v>2.4199999999999999E-2</v>
      </c>
      <c r="C787" s="577">
        <v>1.9799999999999998E-2</v>
      </c>
      <c r="D787" s="577">
        <v>6.4000000000000003E-3</v>
      </c>
      <c r="E787" s="577">
        <v>7.4416666666666667E-3</v>
      </c>
      <c r="F787" s="577">
        <v>7.6750000000000004E-3</v>
      </c>
      <c r="G787" s="577">
        <v>7.5583333333333336E-3</v>
      </c>
      <c r="H787" s="577">
        <v>7.9608333333333337E-3</v>
      </c>
      <c r="I787" s="577">
        <f t="shared" si="134"/>
        <v>1.78E-2</v>
      </c>
      <c r="J787" s="577">
        <f t="shared" si="127"/>
        <v>1.6641666666666666E-2</v>
      </c>
      <c r="K787" s="577">
        <f t="shared" si="128"/>
        <v>1.1839166666666665E-2</v>
      </c>
      <c r="L787" s="585">
        <f t="shared" si="135"/>
        <v>0.14416050108071388</v>
      </c>
      <c r="M787" s="585">
        <f t="shared" si="136"/>
        <v>7.6800000000000007E-2</v>
      </c>
      <c r="N787" s="585">
        <f t="shared" si="129"/>
        <v>9.0700000000000003E-2</v>
      </c>
      <c r="O787" s="586">
        <f t="shared" si="137"/>
        <v>6.7360501080713869E-2</v>
      </c>
      <c r="P787" s="585">
        <f t="shared" si="130"/>
        <v>5.3460501080713874E-2</v>
      </c>
      <c r="Q787" s="585">
        <f t="shared" si="131"/>
        <v>7.7058384990389195E-2</v>
      </c>
      <c r="R787" s="585">
        <f t="shared" si="132"/>
        <v>9.5530000000000004E-2</v>
      </c>
      <c r="S787" s="586">
        <f t="shared" si="133"/>
        <v>-1.8471615009610809E-2</v>
      </c>
      <c r="U787" s="587"/>
      <c r="V787" s="587"/>
      <c r="W787" s="587"/>
      <c r="X787" s="587"/>
      <c r="Y787" s="587"/>
      <c r="Z787" s="587"/>
      <c r="AA787" s="587"/>
      <c r="AB787" s="587"/>
      <c r="AC787" s="587"/>
      <c r="AE787" s="587"/>
      <c r="AF787" s="587"/>
      <c r="AG787" s="587"/>
      <c r="AH787" s="587"/>
      <c r="AI787" s="587"/>
      <c r="AJ787" s="587"/>
      <c r="AK787" s="587"/>
      <c r="AL787" s="587"/>
      <c r="AM787" s="587"/>
      <c r="AO787" s="587"/>
      <c r="AP787" s="587"/>
      <c r="AQ787" s="587"/>
      <c r="AR787" s="587"/>
      <c r="AS787" s="587"/>
      <c r="AT787" s="587"/>
      <c r="AU787" s="587"/>
      <c r="AV787" s="587"/>
      <c r="AW787" s="587"/>
    </row>
    <row r="788" spans="1:49">
      <c r="A788" s="581">
        <v>33329</v>
      </c>
      <c r="B788" s="594">
        <v>2.3999999999999998E-3</v>
      </c>
      <c r="C788" s="577">
        <v>-1.6200000000000003E-2</v>
      </c>
      <c r="D788" s="577">
        <v>7.6E-3</v>
      </c>
      <c r="E788" s="577">
        <v>7.3833333333333329E-3</v>
      </c>
      <c r="F788" s="577">
        <v>7.5999999999999991E-3</v>
      </c>
      <c r="G788" s="577">
        <v>7.4916666666666656E-3</v>
      </c>
      <c r="H788" s="577">
        <v>7.8870833333333328E-3</v>
      </c>
      <c r="I788" s="577">
        <f t="shared" si="134"/>
        <v>-5.1999999999999998E-3</v>
      </c>
      <c r="J788" s="577">
        <f t="shared" si="127"/>
        <v>-5.0916666666666662E-3</v>
      </c>
      <c r="K788" s="577">
        <f t="shared" si="128"/>
        <v>-2.4087083333333335E-2</v>
      </c>
      <c r="L788" s="585">
        <f t="shared" si="135"/>
        <v>0.17619370965368431</v>
      </c>
      <c r="M788" s="585">
        <f t="shared" si="136"/>
        <v>9.1200000000000003E-2</v>
      </c>
      <c r="N788" s="585">
        <f t="shared" si="129"/>
        <v>8.989999999999998E-2</v>
      </c>
      <c r="O788" s="586">
        <f t="shared" si="137"/>
        <v>8.4993709653684302E-2</v>
      </c>
      <c r="P788" s="585">
        <f t="shared" si="130"/>
        <v>8.6293709653684325E-2</v>
      </c>
      <c r="Q788" s="585">
        <f t="shared" si="131"/>
        <v>0.1020385222605773</v>
      </c>
      <c r="R788" s="585">
        <f t="shared" si="132"/>
        <v>9.4644999999999993E-2</v>
      </c>
      <c r="S788" s="586">
        <f t="shared" si="133"/>
        <v>7.3935222605773093E-3</v>
      </c>
      <c r="U788" s="587"/>
      <c r="V788" s="587"/>
      <c r="W788" s="587"/>
      <c r="X788" s="587"/>
      <c r="Y788" s="587"/>
      <c r="Z788" s="587"/>
      <c r="AA788" s="587"/>
      <c r="AB788" s="587"/>
      <c r="AC788" s="587"/>
      <c r="AE788" s="587"/>
      <c r="AF788" s="587"/>
      <c r="AG788" s="587"/>
      <c r="AH788" s="587"/>
      <c r="AI788" s="587"/>
      <c r="AJ788" s="587"/>
      <c r="AK788" s="587"/>
      <c r="AL788" s="587"/>
      <c r="AM788" s="587"/>
      <c r="AO788" s="587"/>
      <c r="AP788" s="587"/>
      <c r="AQ788" s="587"/>
      <c r="AR788" s="587"/>
      <c r="AS788" s="587"/>
      <c r="AT788" s="587"/>
      <c r="AU788" s="587"/>
      <c r="AV788" s="587"/>
      <c r="AW788" s="587"/>
    </row>
    <row r="789" spans="1:49">
      <c r="A789" s="581">
        <v>33359</v>
      </c>
      <c r="B789" s="594">
        <v>4.3099999999999999E-2</v>
      </c>
      <c r="C789" s="577">
        <v>-1.2999999999999998E-2</v>
      </c>
      <c r="D789" s="577">
        <v>6.7999999999999996E-3</v>
      </c>
      <c r="E789" s="577">
        <v>7.3833333333333329E-3</v>
      </c>
      <c r="F789" s="577">
        <v>7.6250000000000007E-3</v>
      </c>
      <c r="G789" s="577">
        <v>7.5041666666666677E-3</v>
      </c>
      <c r="H789" s="577">
        <v>7.8602499999999992E-3</v>
      </c>
      <c r="I789" s="577">
        <f t="shared" si="134"/>
        <v>3.6299999999999999E-2</v>
      </c>
      <c r="J789" s="577">
        <f t="shared" si="127"/>
        <v>3.5595833333333333E-2</v>
      </c>
      <c r="K789" s="577">
        <f t="shared" si="128"/>
        <v>-2.0860249999999997E-2</v>
      </c>
      <c r="L789" s="585">
        <f t="shared" si="135"/>
        <v>0.11789308295194334</v>
      </c>
      <c r="M789" s="585">
        <f t="shared" si="136"/>
        <v>8.1599999999999992E-2</v>
      </c>
      <c r="N789" s="585">
        <f t="shared" si="129"/>
        <v>9.0050000000000019E-2</v>
      </c>
      <c r="O789" s="586">
        <f t="shared" si="137"/>
        <v>3.6293082951943348E-2</v>
      </c>
      <c r="P789" s="585">
        <f t="shared" si="130"/>
        <v>2.7843082951943321E-2</v>
      </c>
      <c r="Q789" s="585">
        <f t="shared" si="131"/>
        <v>1.826626237707285E-2</v>
      </c>
      <c r="R789" s="585">
        <f t="shared" si="132"/>
        <v>9.432299999999999E-2</v>
      </c>
      <c r="S789" s="586">
        <f t="shared" si="133"/>
        <v>-7.605673762292714E-2</v>
      </c>
      <c r="U789" s="587"/>
      <c r="V789" s="587"/>
      <c r="W789" s="587"/>
      <c r="X789" s="587"/>
      <c r="Y789" s="587"/>
      <c r="Z789" s="587"/>
      <c r="AA789" s="587"/>
      <c r="AB789" s="587"/>
      <c r="AC789" s="587"/>
      <c r="AE789" s="587"/>
      <c r="AF789" s="587"/>
      <c r="AG789" s="587"/>
      <c r="AH789" s="587"/>
      <c r="AI789" s="587"/>
      <c r="AJ789" s="587"/>
      <c r="AK789" s="587"/>
      <c r="AL789" s="587"/>
      <c r="AM789" s="587"/>
      <c r="AO789" s="587"/>
      <c r="AP789" s="587"/>
      <c r="AQ789" s="587"/>
      <c r="AR789" s="587"/>
      <c r="AS789" s="587"/>
      <c r="AT789" s="587"/>
      <c r="AU789" s="587"/>
      <c r="AV789" s="587"/>
      <c r="AW789" s="587"/>
    </row>
    <row r="790" spans="1:49">
      <c r="A790" s="581">
        <v>33390</v>
      </c>
      <c r="B790" s="594">
        <v>-4.58E-2</v>
      </c>
      <c r="C790" s="577">
        <v>-1.3899999999999999E-2</v>
      </c>
      <c r="D790" s="577">
        <v>6.3E-3</v>
      </c>
      <c r="E790" s="577">
        <v>7.5083333333333339E-3</v>
      </c>
      <c r="F790" s="577">
        <v>7.7333333333333334E-3</v>
      </c>
      <c r="G790" s="577">
        <v>7.6208333333333336E-3</v>
      </c>
      <c r="H790" s="577">
        <v>7.9862500000000003E-3</v>
      </c>
      <c r="I790" s="577">
        <f t="shared" si="134"/>
        <v>-5.21E-2</v>
      </c>
      <c r="J790" s="577">
        <f t="shared" si="127"/>
        <v>-5.3420833333333334E-2</v>
      </c>
      <c r="K790" s="577">
        <f t="shared" si="128"/>
        <v>-2.1886249999999999E-2</v>
      </c>
      <c r="L790" s="585">
        <f t="shared" si="135"/>
        <v>7.3888633597850362E-2</v>
      </c>
      <c r="M790" s="585">
        <f t="shared" si="136"/>
        <v>7.5600000000000001E-2</v>
      </c>
      <c r="N790" s="585">
        <f t="shared" si="129"/>
        <v>9.1450000000000004E-2</v>
      </c>
      <c r="O790" s="586">
        <f t="shared" si="137"/>
        <v>-1.7113664021496389E-3</v>
      </c>
      <c r="P790" s="585">
        <f t="shared" si="130"/>
        <v>-1.7561366402149642E-2</v>
      </c>
      <c r="Q790" s="585">
        <f t="shared" si="131"/>
        <v>2.5755808897774957E-2</v>
      </c>
      <c r="R790" s="585">
        <f t="shared" si="132"/>
        <v>9.5835000000000004E-2</v>
      </c>
      <c r="S790" s="586">
        <f t="shared" si="133"/>
        <v>-7.0079191102225047E-2</v>
      </c>
      <c r="U790" s="587"/>
      <c r="V790" s="587"/>
      <c r="W790" s="587"/>
      <c r="X790" s="587"/>
      <c r="Y790" s="587"/>
      <c r="Z790" s="587"/>
      <c r="AA790" s="587"/>
      <c r="AB790" s="587"/>
      <c r="AC790" s="587"/>
      <c r="AE790" s="587"/>
      <c r="AF790" s="587"/>
      <c r="AG790" s="587"/>
      <c r="AH790" s="587"/>
      <c r="AI790" s="587"/>
      <c r="AJ790" s="587"/>
      <c r="AK790" s="587"/>
      <c r="AL790" s="587"/>
      <c r="AM790" s="587"/>
      <c r="AO790" s="587"/>
      <c r="AP790" s="587"/>
      <c r="AQ790" s="587"/>
      <c r="AR790" s="587"/>
      <c r="AS790" s="587"/>
      <c r="AT790" s="587"/>
      <c r="AU790" s="587"/>
      <c r="AV790" s="587"/>
      <c r="AW790" s="587"/>
    </row>
    <row r="791" spans="1:49">
      <c r="A791" s="581">
        <v>33420</v>
      </c>
      <c r="B791" s="594">
        <v>4.6600000000000003E-2</v>
      </c>
      <c r="C791" s="577">
        <v>3.0700000000000002E-2</v>
      </c>
      <c r="D791" s="577">
        <v>7.6E-3</v>
      </c>
      <c r="E791" s="577">
        <v>7.4999999999999997E-3</v>
      </c>
      <c r="F791" s="577">
        <v>7.7083333333333335E-3</v>
      </c>
      <c r="G791" s="577">
        <v>7.6041666666666671E-3</v>
      </c>
      <c r="H791" s="577">
        <v>7.9564166666666672E-3</v>
      </c>
      <c r="I791" s="577">
        <f t="shared" si="134"/>
        <v>3.9E-2</v>
      </c>
      <c r="J791" s="577">
        <f t="shared" si="127"/>
        <v>3.8995833333333334E-2</v>
      </c>
      <c r="K791" s="577">
        <f t="shared" si="128"/>
        <v>2.2743583333333334E-2</v>
      </c>
      <c r="L791" s="585">
        <f t="shared" si="135"/>
        <v>0.12753997183337673</v>
      </c>
      <c r="M791" s="585">
        <f t="shared" si="136"/>
        <v>9.1200000000000003E-2</v>
      </c>
      <c r="N791" s="585">
        <f t="shared" si="129"/>
        <v>9.1249999999999998E-2</v>
      </c>
      <c r="O791" s="586">
        <f t="shared" si="137"/>
        <v>3.6339971833376727E-2</v>
      </c>
      <c r="P791" s="585">
        <f t="shared" si="130"/>
        <v>3.6289971833376733E-2</v>
      </c>
      <c r="Q791" s="585">
        <f t="shared" si="131"/>
        <v>6.06405620294308E-2</v>
      </c>
      <c r="R791" s="585">
        <f t="shared" si="132"/>
        <v>9.5477000000000006E-2</v>
      </c>
      <c r="S791" s="586">
        <f t="shared" si="133"/>
        <v>-3.4836437970569206E-2</v>
      </c>
      <c r="U791" s="587"/>
      <c r="V791" s="587"/>
      <c r="W791" s="587"/>
      <c r="X791" s="587"/>
      <c r="Y791" s="587"/>
      <c r="Z791" s="587"/>
      <c r="AA791" s="587"/>
      <c r="AB791" s="587"/>
      <c r="AC791" s="587"/>
      <c r="AE791" s="587"/>
      <c r="AF791" s="587"/>
      <c r="AG791" s="587"/>
      <c r="AH791" s="587"/>
      <c r="AI791" s="587"/>
      <c r="AJ791" s="587"/>
      <c r="AK791" s="587"/>
      <c r="AL791" s="587"/>
      <c r="AM791" s="587"/>
      <c r="AO791" s="587"/>
      <c r="AP791" s="587"/>
      <c r="AQ791" s="587"/>
      <c r="AR791" s="587"/>
      <c r="AS791" s="587"/>
      <c r="AT791" s="587"/>
      <c r="AU791" s="587"/>
      <c r="AV791" s="587"/>
      <c r="AW791" s="587"/>
    </row>
    <row r="792" spans="1:49">
      <c r="A792" s="581">
        <v>33451</v>
      </c>
      <c r="B792" s="594">
        <v>2.3699999999999999E-2</v>
      </c>
      <c r="C792" s="577">
        <v>2.58E-2</v>
      </c>
      <c r="D792" s="577">
        <v>6.7999999999999996E-3</v>
      </c>
      <c r="E792" s="577">
        <v>7.2916666666666659E-3</v>
      </c>
      <c r="F792" s="577">
        <v>7.4916666666666664E-3</v>
      </c>
      <c r="G792" s="577">
        <v>7.3916666666666662E-3</v>
      </c>
      <c r="H792" s="577">
        <v>7.7541666666666662E-3</v>
      </c>
      <c r="I792" s="577">
        <f t="shared" si="134"/>
        <v>1.6899999999999998E-2</v>
      </c>
      <c r="J792" s="577">
        <f t="shared" si="127"/>
        <v>1.6308333333333334E-2</v>
      </c>
      <c r="K792" s="577">
        <f t="shared" si="128"/>
        <v>1.8045833333333334E-2</v>
      </c>
      <c r="L792" s="585">
        <f t="shared" si="135"/>
        <v>0.26897830822980207</v>
      </c>
      <c r="M792" s="585">
        <f t="shared" si="136"/>
        <v>8.1599999999999992E-2</v>
      </c>
      <c r="N792" s="585">
        <f t="shared" si="129"/>
        <v>8.8700000000000001E-2</v>
      </c>
      <c r="O792" s="586">
        <f t="shared" si="137"/>
        <v>0.18737830822980206</v>
      </c>
      <c r="P792" s="585">
        <f t="shared" si="130"/>
        <v>0.18027830822980206</v>
      </c>
      <c r="Q792" s="585">
        <f t="shared" si="131"/>
        <v>0.18158675991506312</v>
      </c>
      <c r="R792" s="585">
        <f t="shared" si="132"/>
        <v>9.3049999999999994E-2</v>
      </c>
      <c r="S792" s="586">
        <f t="shared" si="133"/>
        <v>8.8536759915063129E-2</v>
      </c>
      <c r="U792" s="587"/>
      <c r="V792" s="587"/>
      <c r="W792" s="587"/>
      <c r="X792" s="587"/>
      <c r="Y792" s="587"/>
      <c r="Z792" s="587"/>
      <c r="AA792" s="587"/>
      <c r="AB792" s="587"/>
      <c r="AC792" s="587"/>
      <c r="AE792" s="587"/>
      <c r="AF792" s="587"/>
      <c r="AG792" s="587"/>
      <c r="AH792" s="587"/>
      <c r="AI792" s="587"/>
      <c r="AJ792" s="587"/>
      <c r="AK792" s="587"/>
      <c r="AL792" s="587"/>
      <c r="AM792" s="587"/>
      <c r="AO792" s="587"/>
      <c r="AP792" s="587"/>
      <c r="AQ792" s="587"/>
      <c r="AR792" s="587"/>
      <c r="AS792" s="587"/>
      <c r="AT792" s="587"/>
      <c r="AU792" s="587"/>
      <c r="AV792" s="587"/>
      <c r="AW792" s="587"/>
    </row>
    <row r="793" spans="1:49">
      <c r="A793" s="581">
        <v>33482</v>
      </c>
      <c r="B793" s="594">
        <v>-1.67E-2</v>
      </c>
      <c r="C793" s="577">
        <v>2.0199999999999999E-2</v>
      </c>
      <c r="D793" s="577">
        <v>6.7999999999999996E-3</v>
      </c>
      <c r="E793" s="577">
        <v>7.1749999999999991E-3</v>
      </c>
      <c r="F793" s="577">
        <v>7.3833333333333329E-3</v>
      </c>
      <c r="G793" s="577">
        <v>7.2791666666666656E-3</v>
      </c>
      <c r="H793" s="577">
        <v>7.6383333333333338E-3</v>
      </c>
      <c r="I793" s="577">
        <f t="shared" si="134"/>
        <v>-2.35E-2</v>
      </c>
      <c r="J793" s="577">
        <f t="shared" si="127"/>
        <v>-2.3979166666666666E-2</v>
      </c>
      <c r="K793" s="577">
        <f t="shared" si="128"/>
        <v>1.2561666666666665E-2</v>
      </c>
      <c r="L793" s="585">
        <f t="shared" si="135"/>
        <v>0.31166442813241257</v>
      </c>
      <c r="M793" s="585">
        <f t="shared" si="136"/>
        <v>8.1599999999999992E-2</v>
      </c>
      <c r="N793" s="585">
        <f t="shared" si="129"/>
        <v>8.7349999999999983E-2</v>
      </c>
      <c r="O793" s="586">
        <f t="shared" si="137"/>
        <v>0.23006442813241257</v>
      </c>
      <c r="P793" s="585">
        <f t="shared" si="130"/>
        <v>0.22431442813241259</v>
      </c>
      <c r="Q793" s="585">
        <f t="shared" si="131"/>
        <v>0.15786649934237529</v>
      </c>
      <c r="R793" s="585">
        <f t="shared" si="132"/>
        <v>9.1660000000000005E-2</v>
      </c>
      <c r="S793" s="586">
        <f t="shared" si="133"/>
        <v>6.6206499342375283E-2</v>
      </c>
      <c r="U793" s="587"/>
      <c r="V793" s="587"/>
      <c r="W793" s="587"/>
      <c r="X793" s="587"/>
      <c r="Y793" s="587"/>
      <c r="Z793" s="587"/>
      <c r="AA793" s="587"/>
      <c r="AB793" s="587"/>
      <c r="AC793" s="587"/>
      <c r="AE793" s="587"/>
      <c r="AF793" s="587"/>
      <c r="AG793" s="587"/>
      <c r="AH793" s="587"/>
      <c r="AI793" s="587"/>
      <c r="AJ793" s="587"/>
      <c r="AK793" s="587"/>
      <c r="AL793" s="587"/>
      <c r="AM793" s="587"/>
      <c r="AO793" s="587"/>
      <c r="AP793" s="587"/>
      <c r="AQ793" s="587"/>
      <c r="AR793" s="587"/>
      <c r="AS793" s="587"/>
      <c r="AT793" s="587"/>
      <c r="AU793" s="587"/>
      <c r="AV793" s="587"/>
      <c r="AW793" s="587"/>
    </row>
    <row r="794" spans="1:49">
      <c r="A794" s="581">
        <v>33512</v>
      </c>
      <c r="B794" s="594">
        <v>1.34E-2</v>
      </c>
      <c r="C794" s="577">
        <v>0.02</v>
      </c>
      <c r="D794" s="577">
        <v>6.5000000000000006E-3</v>
      </c>
      <c r="E794" s="577">
        <v>7.1250000000000003E-3</v>
      </c>
      <c r="F794" s="577">
        <v>7.358333333333333E-3</v>
      </c>
      <c r="G794" s="577">
        <v>7.2416666666666662E-3</v>
      </c>
      <c r="H794" s="577">
        <v>7.6007500000000007E-3</v>
      </c>
      <c r="I794" s="577">
        <f t="shared" si="134"/>
        <v>6.8999999999999999E-3</v>
      </c>
      <c r="J794" s="577">
        <f t="shared" si="127"/>
        <v>6.1583333333333342E-3</v>
      </c>
      <c r="K794" s="577">
        <f t="shared" si="128"/>
        <v>1.2399250000000001E-2</v>
      </c>
      <c r="L794" s="585">
        <f t="shared" si="135"/>
        <v>0.33498115041617682</v>
      </c>
      <c r="M794" s="585">
        <f t="shared" si="136"/>
        <v>7.8000000000000014E-2</v>
      </c>
      <c r="N794" s="585">
        <f t="shared" si="129"/>
        <v>8.6899999999999991E-2</v>
      </c>
      <c r="O794" s="586">
        <f t="shared" si="137"/>
        <v>0.25698115041617681</v>
      </c>
      <c r="P794" s="585">
        <f t="shared" si="130"/>
        <v>0.24808115041617684</v>
      </c>
      <c r="Q794" s="585">
        <f t="shared" si="131"/>
        <v>0.10863027253282964</v>
      </c>
      <c r="R794" s="585">
        <f t="shared" si="132"/>
        <v>9.1209000000000012E-2</v>
      </c>
      <c r="S794" s="586">
        <f t="shared" si="133"/>
        <v>1.7421272532829629E-2</v>
      </c>
      <c r="U794" s="587"/>
      <c r="V794" s="587"/>
      <c r="W794" s="587"/>
      <c r="X794" s="587"/>
      <c r="Y794" s="587"/>
      <c r="Z794" s="587"/>
      <c r="AA794" s="587"/>
      <c r="AB794" s="587"/>
      <c r="AC794" s="587"/>
      <c r="AE794" s="587"/>
      <c r="AF794" s="587"/>
      <c r="AG794" s="587"/>
      <c r="AH794" s="587"/>
      <c r="AI794" s="587"/>
      <c r="AJ794" s="587"/>
      <c r="AK794" s="587"/>
      <c r="AL794" s="587"/>
      <c r="AM794" s="587"/>
      <c r="AO794" s="587"/>
      <c r="AP794" s="587"/>
      <c r="AQ794" s="587"/>
      <c r="AR794" s="587"/>
      <c r="AS794" s="587"/>
      <c r="AT794" s="587"/>
      <c r="AU794" s="587"/>
      <c r="AV794" s="587"/>
      <c r="AW794" s="587"/>
    </row>
    <row r="795" spans="1:49">
      <c r="A795" s="581">
        <v>33543</v>
      </c>
      <c r="B795" s="594">
        <v>-4.0300000000000002E-2</v>
      </c>
      <c r="C795" s="577">
        <v>-9.7999999999999997E-3</v>
      </c>
      <c r="D795" s="577">
        <v>6.0000000000000001E-3</v>
      </c>
      <c r="E795" s="577">
        <v>7.0666666666666664E-3</v>
      </c>
      <c r="F795" s="577">
        <v>7.3166666666666658E-3</v>
      </c>
      <c r="G795" s="577">
        <v>7.1916666666666665E-3</v>
      </c>
      <c r="H795" s="577">
        <v>7.5445833333333337E-3</v>
      </c>
      <c r="I795" s="577">
        <f t="shared" si="134"/>
        <v>-4.6300000000000001E-2</v>
      </c>
      <c r="J795" s="577">
        <f t="shared" si="127"/>
        <v>-4.7491666666666668E-2</v>
      </c>
      <c r="K795" s="577">
        <f t="shared" si="128"/>
        <v>-1.7344583333333333E-2</v>
      </c>
      <c r="L795" s="585">
        <f t="shared" si="135"/>
        <v>0.20343923544467857</v>
      </c>
      <c r="M795" s="585">
        <f t="shared" si="136"/>
        <v>7.2000000000000008E-2</v>
      </c>
      <c r="N795" s="585">
        <f t="shared" si="129"/>
        <v>8.6300000000000002E-2</v>
      </c>
      <c r="O795" s="586">
        <f t="shared" si="137"/>
        <v>0.13143923544467856</v>
      </c>
      <c r="P795" s="585">
        <f t="shared" si="130"/>
        <v>0.11713923544467857</v>
      </c>
      <c r="Q795" s="585">
        <f t="shared" si="131"/>
        <v>7.6979982205443109E-2</v>
      </c>
      <c r="R795" s="585">
        <f t="shared" si="132"/>
        <v>9.0535000000000004E-2</v>
      </c>
      <c r="S795" s="586">
        <f t="shared" si="133"/>
        <v>-1.3555017794556895E-2</v>
      </c>
      <c r="U795" s="587"/>
      <c r="V795" s="587"/>
      <c r="W795" s="587"/>
      <c r="X795" s="587"/>
      <c r="Y795" s="587"/>
      <c r="Z795" s="587"/>
      <c r="AA795" s="587"/>
      <c r="AB795" s="587"/>
      <c r="AC795" s="587"/>
      <c r="AE795" s="587"/>
      <c r="AF795" s="587"/>
      <c r="AG795" s="587"/>
      <c r="AH795" s="587"/>
      <c r="AI795" s="587"/>
      <c r="AJ795" s="587"/>
      <c r="AK795" s="587"/>
      <c r="AL795" s="587"/>
      <c r="AM795" s="587"/>
      <c r="AO795" s="587"/>
      <c r="AP795" s="587"/>
      <c r="AQ795" s="587"/>
      <c r="AR795" s="587"/>
      <c r="AS795" s="587"/>
      <c r="AT795" s="587"/>
      <c r="AU795" s="587"/>
      <c r="AV795" s="587"/>
      <c r="AW795" s="587"/>
    </row>
    <row r="796" spans="1:49">
      <c r="A796" s="581">
        <v>33573</v>
      </c>
      <c r="B796" s="594">
        <v>0.1144</v>
      </c>
      <c r="C796" s="577">
        <v>7.3300000000000004E-2</v>
      </c>
      <c r="D796" s="577">
        <v>6.7999999999999996E-3</v>
      </c>
      <c r="E796" s="577">
        <v>6.9249999999999997E-3</v>
      </c>
      <c r="F796" s="577">
        <v>7.1749999999999991E-3</v>
      </c>
      <c r="G796" s="577">
        <v>7.0499999999999998E-3</v>
      </c>
      <c r="H796" s="577">
        <v>7.4162500000000001E-3</v>
      </c>
      <c r="I796" s="577">
        <f t="shared" si="134"/>
        <v>0.1076</v>
      </c>
      <c r="J796" s="577">
        <f t="shared" si="127"/>
        <v>0.10735</v>
      </c>
      <c r="K796" s="577">
        <f t="shared" si="128"/>
        <v>6.5883750000000005E-2</v>
      </c>
      <c r="L796" s="585">
        <f t="shared" si="135"/>
        <v>0.30471124037313913</v>
      </c>
      <c r="M796" s="585">
        <f t="shared" si="136"/>
        <v>8.1599999999999992E-2</v>
      </c>
      <c r="N796" s="585">
        <f t="shared" si="129"/>
        <v>8.4599999999999995E-2</v>
      </c>
      <c r="O796" s="586">
        <f t="shared" si="137"/>
        <v>0.22311124037313912</v>
      </c>
      <c r="P796" s="585">
        <f t="shared" si="130"/>
        <v>0.22011124037313912</v>
      </c>
      <c r="Q796" s="585">
        <f t="shared" si="131"/>
        <v>0.1460664434871124</v>
      </c>
      <c r="R796" s="585">
        <f t="shared" si="132"/>
        <v>8.8995000000000005E-2</v>
      </c>
      <c r="S796" s="586">
        <f t="shared" si="133"/>
        <v>5.7071443487112392E-2</v>
      </c>
      <c r="U796" s="587"/>
      <c r="V796" s="587"/>
      <c r="W796" s="587"/>
      <c r="X796" s="587"/>
      <c r="Y796" s="587"/>
      <c r="Z796" s="587"/>
      <c r="AA796" s="587"/>
      <c r="AB796" s="587"/>
      <c r="AC796" s="587"/>
      <c r="AE796" s="587"/>
      <c r="AF796" s="587"/>
      <c r="AG796" s="587"/>
      <c r="AH796" s="587"/>
      <c r="AI796" s="587"/>
      <c r="AJ796" s="587"/>
      <c r="AK796" s="587"/>
      <c r="AL796" s="587"/>
      <c r="AM796" s="587"/>
      <c r="AO796" s="587"/>
      <c r="AP796" s="587"/>
      <c r="AQ796" s="587"/>
      <c r="AR796" s="587"/>
      <c r="AS796" s="587"/>
      <c r="AT796" s="587"/>
      <c r="AU796" s="587"/>
      <c r="AV796" s="587"/>
      <c r="AW796" s="587"/>
    </row>
    <row r="797" spans="1:49">
      <c r="A797" s="581">
        <v>33604</v>
      </c>
      <c r="B797" s="594">
        <v>-1.8599999999999998E-2</v>
      </c>
      <c r="C797" s="577">
        <v>-5.3600000000000002E-2</v>
      </c>
      <c r="D797" s="577">
        <v>6.0999999999999995E-3</v>
      </c>
      <c r="E797" s="577">
        <v>6.8333333333333328E-3</v>
      </c>
      <c r="F797" s="577">
        <v>7.0916666666666663E-3</v>
      </c>
      <c r="G797" s="577">
        <v>6.9624999999999991E-3</v>
      </c>
      <c r="H797" s="577">
        <v>7.3602500000000005E-3</v>
      </c>
      <c r="I797" s="577">
        <f t="shared" si="134"/>
        <v>-2.47E-2</v>
      </c>
      <c r="J797" s="577">
        <f t="shared" ref="J797:J860" si="138">B797-G797</f>
        <v>-2.5562499999999998E-2</v>
      </c>
      <c r="K797" s="577">
        <f t="shared" ref="K797:K860" si="139">$C797-H797</f>
        <v>-6.0960250000000001E-2</v>
      </c>
      <c r="L797" s="585">
        <f t="shared" si="135"/>
        <v>0.22694865015542232</v>
      </c>
      <c r="M797" s="585">
        <f t="shared" si="136"/>
        <v>7.3199999999999987E-2</v>
      </c>
      <c r="N797" s="585">
        <f t="shared" si="129"/>
        <v>8.3549999999999985E-2</v>
      </c>
      <c r="O797" s="586">
        <f t="shared" si="137"/>
        <v>0.15374865015542233</v>
      </c>
      <c r="P797" s="585">
        <f t="shared" si="130"/>
        <v>0.14339865015542233</v>
      </c>
      <c r="Q797" s="585">
        <f t="shared" si="131"/>
        <v>0.11829805352737721</v>
      </c>
      <c r="R797" s="585">
        <f t="shared" si="132"/>
        <v>8.8323000000000013E-2</v>
      </c>
      <c r="S797" s="586">
        <f t="shared" si="133"/>
        <v>2.9975053527377199E-2</v>
      </c>
      <c r="U797" s="587"/>
      <c r="V797" s="587"/>
      <c r="W797" s="587"/>
      <c r="X797" s="587"/>
      <c r="Y797" s="587"/>
      <c r="Z797" s="587"/>
      <c r="AA797" s="587"/>
      <c r="AB797" s="587"/>
      <c r="AC797" s="587"/>
      <c r="AE797" s="587"/>
      <c r="AF797" s="587"/>
      <c r="AG797" s="587"/>
      <c r="AH797" s="587"/>
      <c r="AI797" s="587"/>
      <c r="AJ797" s="587"/>
      <c r="AK797" s="587"/>
      <c r="AL797" s="587"/>
      <c r="AM797" s="587"/>
      <c r="AO797" s="587"/>
      <c r="AP797" s="587"/>
      <c r="AQ797" s="587"/>
      <c r="AR797" s="587"/>
      <c r="AS797" s="587"/>
      <c r="AT797" s="587"/>
      <c r="AU797" s="587"/>
      <c r="AV797" s="587"/>
      <c r="AW797" s="587"/>
    </row>
    <row r="798" spans="1:49">
      <c r="A798" s="581">
        <v>33635</v>
      </c>
      <c r="B798" s="594">
        <v>1.2999999999999999E-2</v>
      </c>
      <c r="C798" s="577">
        <v>-2.7300000000000001E-2</v>
      </c>
      <c r="D798" s="577">
        <v>5.8999999999999999E-3</v>
      </c>
      <c r="E798" s="577">
        <v>6.9083333333333332E-3</v>
      </c>
      <c r="F798" s="577">
        <v>7.2250000000000005E-3</v>
      </c>
      <c r="G798" s="577">
        <v>7.0666666666666664E-3</v>
      </c>
      <c r="H798" s="577">
        <v>7.4420833333333335E-3</v>
      </c>
      <c r="I798" s="577">
        <f t="shared" si="134"/>
        <v>7.0999999999999995E-3</v>
      </c>
      <c r="J798" s="577">
        <f t="shared" si="138"/>
        <v>5.933333333333333E-3</v>
      </c>
      <c r="K798" s="577">
        <f t="shared" si="139"/>
        <v>-3.4742083333333333E-2</v>
      </c>
      <c r="L798" s="585">
        <f t="shared" si="135"/>
        <v>0.1599617196523031</v>
      </c>
      <c r="M798" s="585">
        <f t="shared" si="136"/>
        <v>7.0800000000000002E-2</v>
      </c>
      <c r="N798" s="585">
        <f t="shared" si="129"/>
        <v>8.48E-2</v>
      </c>
      <c r="O798" s="586">
        <f t="shared" si="137"/>
        <v>8.9161719652303101E-2</v>
      </c>
      <c r="P798" s="585">
        <f t="shared" si="130"/>
        <v>7.5161719652303102E-2</v>
      </c>
      <c r="Q798" s="585">
        <f t="shared" si="131"/>
        <v>5.1085628240486791E-2</v>
      </c>
      <c r="R798" s="585">
        <f t="shared" si="132"/>
        <v>8.9304999999999995E-2</v>
      </c>
      <c r="S798" s="586">
        <f t="shared" si="133"/>
        <v>-3.8219371759513204E-2</v>
      </c>
      <c r="U798" s="587"/>
      <c r="V798" s="587"/>
      <c r="W798" s="587"/>
      <c r="X798" s="587"/>
      <c r="Y798" s="587"/>
      <c r="Z798" s="587"/>
      <c r="AA798" s="587"/>
      <c r="AB798" s="587"/>
      <c r="AC798" s="587"/>
      <c r="AE798" s="587"/>
      <c r="AF798" s="587"/>
      <c r="AG798" s="587"/>
      <c r="AH798" s="587"/>
      <c r="AI798" s="587"/>
      <c r="AJ798" s="587"/>
      <c r="AK798" s="587"/>
      <c r="AL798" s="587"/>
      <c r="AM798" s="587"/>
      <c r="AO798" s="587"/>
      <c r="AP798" s="587"/>
      <c r="AQ798" s="587"/>
      <c r="AR798" s="587"/>
      <c r="AS798" s="587"/>
      <c r="AT798" s="587"/>
      <c r="AU798" s="587"/>
      <c r="AV798" s="587"/>
      <c r="AW798" s="587"/>
    </row>
    <row r="799" spans="1:49">
      <c r="A799" s="581">
        <v>33664</v>
      </c>
      <c r="B799" s="594">
        <v>-1.9400000000000001E-2</v>
      </c>
      <c r="C799" s="577">
        <v>-1.43E-2</v>
      </c>
      <c r="D799" s="577">
        <v>6.7000000000000002E-3</v>
      </c>
      <c r="E799" s="577">
        <v>6.9583333333333329E-3</v>
      </c>
      <c r="F799" s="577">
        <v>7.2750000000000002E-3</v>
      </c>
      <c r="G799" s="577">
        <v>7.116666666666667E-3</v>
      </c>
      <c r="H799" s="577">
        <v>7.4727500000000002E-3</v>
      </c>
      <c r="I799" s="577">
        <f t="shared" si="134"/>
        <v>-2.6100000000000002E-2</v>
      </c>
      <c r="J799" s="577">
        <f t="shared" si="138"/>
        <v>-2.6516666666666668E-2</v>
      </c>
      <c r="K799" s="577">
        <f t="shared" si="139"/>
        <v>-2.177275E-2</v>
      </c>
      <c r="L799" s="585">
        <f t="shared" si="135"/>
        <v>0.11058236896216411</v>
      </c>
      <c r="M799" s="585">
        <f t="shared" si="136"/>
        <v>8.0399999999999999E-2</v>
      </c>
      <c r="N799" s="585">
        <f t="shared" si="129"/>
        <v>8.5400000000000004E-2</v>
      </c>
      <c r="O799" s="586">
        <f t="shared" si="137"/>
        <v>3.0182368962164113E-2</v>
      </c>
      <c r="P799" s="585">
        <f t="shared" si="130"/>
        <v>2.5182368962164109E-2</v>
      </c>
      <c r="Q799" s="585">
        <f t="shared" si="131"/>
        <v>1.5939501624482988E-2</v>
      </c>
      <c r="R799" s="585">
        <f t="shared" si="132"/>
        <v>8.9673000000000003E-2</v>
      </c>
      <c r="S799" s="586">
        <f t="shared" si="133"/>
        <v>-7.3733498375517015E-2</v>
      </c>
      <c r="U799" s="587"/>
      <c r="V799" s="587"/>
      <c r="W799" s="587"/>
      <c r="X799" s="587"/>
      <c r="Y799" s="587"/>
      <c r="Z799" s="587"/>
      <c r="AA799" s="587"/>
      <c r="AB799" s="587"/>
      <c r="AC799" s="587"/>
      <c r="AE799" s="587"/>
      <c r="AF799" s="587"/>
      <c r="AG799" s="587"/>
      <c r="AH799" s="587"/>
      <c r="AI799" s="587"/>
      <c r="AJ799" s="587"/>
      <c r="AK799" s="587"/>
      <c r="AL799" s="587"/>
      <c r="AM799" s="587"/>
      <c r="AO799" s="587"/>
      <c r="AP799" s="587"/>
      <c r="AQ799" s="587"/>
      <c r="AR799" s="587"/>
      <c r="AS799" s="587"/>
      <c r="AT799" s="587"/>
      <c r="AU799" s="587"/>
      <c r="AV799" s="587"/>
      <c r="AW799" s="587"/>
    </row>
    <row r="800" spans="1:49">
      <c r="A800" s="581">
        <v>33695</v>
      </c>
      <c r="B800" s="594">
        <v>2.9399999999999999E-2</v>
      </c>
      <c r="C800" s="577">
        <v>6.4500000000000002E-2</v>
      </c>
      <c r="D800" s="577">
        <v>6.5000000000000006E-3</v>
      </c>
      <c r="E800" s="577">
        <v>6.9416666666666672E-3</v>
      </c>
      <c r="F800" s="577">
        <v>7.2416666666666662E-3</v>
      </c>
      <c r="G800" s="577">
        <v>7.0916666666666671E-3</v>
      </c>
      <c r="H800" s="577">
        <v>7.4380833333333339E-3</v>
      </c>
      <c r="I800" s="577">
        <f t="shared" si="134"/>
        <v>2.2899999999999997E-2</v>
      </c>
      <c r="J800" s="577">
        <f t="shared" si="138"/>
        <v>2.2308333333333333E-2</v>
      </c>
      <c r="K800" s="577">
        <f t="shared" si="139"/>
        <v>5.7061916666666671E-2</v>
      </c>
      <c r="L800" s="585">
        <f t="shared" si="135"/>
        <v>0.14049629949087361</v>
      </c>
      <c r="M800" s="585">
        <f t="shared" si="136"/>
        <v>7.8000000000000014E-2</v>
      </c>
      <c r="N800" s="585">
        <f t="shared" si="129"/>
        <v>8.5100000000000009E-2</v>
      </c>
      <c r="O800" s="586">
        <f t="shared" si="137"/>
        <v>6.2496299490873597E-2</v>
      </c>
      <c r="P800" s="585">
        <f t="shared" si="130"/>
        <v>5.5396299490873602E-2</v>
      </c>
      <c r="Q800" s="585">
        <f t="shared" si="131"/>
        <v>9.9275868549768775E-2</v>
      </c>
      <c r="R800" s="585">
        <f t="shared" si="132"/>
        <v>8.9257000000000003E-2</v>
      </c>
      <c r="S800" s="586">
        <f t="shared" si="133"/>
        <v>1.0018868549768772E-2</v>
      </c>
      <c r="U800" s="587"/>
      <c r="V800" s="587"/>
      <c r="W800" s="587"/>
      <c r="X800" s="587"/>
      <c r="Y800" s="587"/>
      <c r="Z800" s="587"/>
      <c r="AA800" s="587"/>
      <c r="AB800" s="587"/>
      <c r="AC800" s="587"/>
      <c r="AE800" s="587"/>
      <c r="AF800" s="587"/>
      <c r="AG800" s="587"/>
      <c r="AH800" s="587"/>
      <c r="AI800" s="587"/>
      <c r="AJ800" s="587"/>
      <c r="AK800" s="587"/>
      <c r="AL800" s="587"/>
      <c r="AM800" s="587"/>
      <c r="AO800" s="587"/>
      <c r="AP800" s="587"/>
      <c r="AQ800" s="587"/>
      <c r="AR800" s="587"/>
      <c r="AS800" s="587"/>
      <c r="AT800" s="587"/>
      <c r="AU800" s="587"/>
      <c r="AV800" s="587"/>
      <c r="AW800" s="587"/>
    </row>
    <row r="801" spans="1:49">
      <c r="A801" s="581">
        <v>33725</v>
      </c>
      <c r="B801" s="594">
        <v>4.8999999999999998E-3</v>
      </c>
      <c r="C801" s="577">
        <v>-1.5000000000000005E-3</v>
      </c>
      <c r="D801" s="577">
        <v>6.0999999999999995E-3</v>
      </c>
      <c r="E801" s="577">
        <v>6.8999999999999999E-3</v>
      </c>
      <c r="F801" s="577">
        <v>7.1916666666666674E-3</v>
      </c>
      <c r="G801" s="577">
        <v>7.0458333333333336E-3</v>
      </c>
      <c r="H801" s="577">
        <v>7.3995833333333335E-3</v>
      </c>
      <c r="I801" s="577">
        <f t="shared" si="134"/>
        <v>-1.1999999999999997E-3</v>
      </c>
      <c r="J801" s="577">
        <f t="shared" si="138"/>
        <v>-2.1458333333333338E-3</v>
      </c>
      <c r="K801" s="577">
        <f t="shared" si="139"/>
        <v>-8.899583333333334E-3</v>
      </c>
      <c r="L801" s="585">
        <f t="shared" si="135"/>
        <v>9.872949032535594E-2</v>
      </c>
      <c r="M801" s="585">
        <f t="shared" si="136"/>
        <v>7.3199999999999987E-2</v>
      </c>
      <c r="N801" s="585">
        <f t="shared" si="129"/>
        <v>8.455E-2</v>
      </c>
      <c r="O801" s="586">
        <f t="shared" si="137"/>
        <v>2.5529490325355952E-2</v>
      </c>
      <c r="P801" s="585">
        <f t="shared" si="130"/>
        <v>1.417949032535594E-2</v>
      </c>
      <c r="Q801" s="585">
        <f t="shared" si="131"/>
        <v>0.11208404736265853</v>
      </c>
      <c r="R801" s="585">
        <f t="shared" si="132"/>
        <v>8.8794999999999999E-2</v>
      </c>
      <c r="S801" s="586">
        <f t="shared" si="133"/>
        <v>2.3289047362658535E-2</v>
      </c>
      <c r="U801" s="587"/>
      <c r="V801" s="587"/>
      <c r="W801" s="587"/>
      <c r="X801" s="587"/>
      <c r="Y801" s="587"/>
      <c r="Z801" s="587"/>
      <c r="AA801" s="587"/>
      <c r="AB801" s="587"/>
      <c r="AC801" s="587"/>
      <c r="AE801" s="587"/>
      <c r="AF801" s="587"/>
      <c r="AG801" s="587"/>
      <c r="AH801" s="587"/>
      <c r="AI801" s="587"/>
      <c r="AJ801" s="587"/>
      <c r="AK801" s="587"/>
      <c r="AL801" s="587"/>
      <c r="AM801" s="587"/>
      <c r="AO801" s="587"/>
      <c r="AP801" s="587"/>
      <c r="AQ801" s="587"/>
      <c r="AR801" s="587"/>
      <c r="AS801" s="587"/>
      <c r="AT801" s="587"/>
      <c r="AU801" s="587"/>
      <c r="AV801" s="587"/>
      <c r="AW801" s="587"/>
    </row>
    <row r="802" spans="1:49">
      <c r="A802" s="581">
        <v>33756</v>
      </c>
      <c r="B802" s="594">
        <v>-1.49E-2</v>
      </c>
      <c r="C802" s="577">
        <v>1.41E-2</v>
      </c>
      <c r="D802" s="577">
        <v>6.7000000000000002E-3</v>
      </c>
      <c r="E802" s="577">
        <v>6.8500000000000002E-3</v>
      </c>
      <c r="F802" s="577">
        <v>7.1333333333333335E-3</v>
      </c>
      <c r="G802" s="577">
        <v>6.9916666666666669E-3</v>
      </c>
      <c r="H802" s="577">
        <v>7.3230833333333325E-3</v>
      </c>
      <c r="I802" s="577">
        <f t="shared" si="134"/>
        <v>-2.1600000000000001E-2</v>
      </c>
      <c r="J802" s="577">
        <f t="shared" si="138"/>
        <v>-2.1891666666666667E-2</v>
      </c>
      <c r="K802" s="577">
        <f t="shared" si="139"/>
        <v>6.7769166666666672E-3</v>
      </c>
      <c r="L802" s="585">
        <f t="shared" si="135"/>
        <v>0.13430981022794874</v>
      </c>
      <c r="M802" s="585">
        <f t="shared" si="136"/>
        <v>8.0399999999999999E-2</v>
      </c>
      <c r="N802" s="585">
        <f t="shared" si="129"/>
        <v>8.3900000000000002E-2</v>
      </c>
      <c r="O802" s="586">
        <f t="shared" si="137"/>
        <v>5.3909810227948746E-2</v>
      </c>
      <c r="P802" s="585">
        <f t="shared" si="130"/>
        <v>5.0409810227948743E-2</v>
      </c>
      <c r="Q802" s="585">
        <f t="shared" si="131"/>
        <v>0.14366132484582916</v>
      </c>
      <c r="R802" s="585">
        <f t="shared" si="132"/>
        <v>8.7876999999999983E-2</v>
      </c>
      <c r="S802" s="586">
        <f t="shared" si="133"/>
        <v>5.5784324845829181E-2</v>
      </c>
      <c r="U802" s="587"/>
      <c r="V802" s="587"/>
      <c r="W802" s="587"/>
      <c r="X802" s="587"/>
      <c r="Y802" s="587"/>
      <c r="Z802" s="587"/>
      <c r="AA802" s="587"/>
      <c r="AB802" s="587"/>
      <c r="AC802" s="587"/>
      <c r="AE802" s="587"/>
      <c r="AF802" s="587"/>
      <c r="AG802" s="587"/>
      <c r="AH802" s="587"/>
      <c r="AI802" s="587"/>
      <c r="AJ802" s="587"/>
      <c r="AK802" s="587"/>
      <c r="AL802" s="587"/>
      <c r="AM802" s="587"/>
      <c r="AO802" s="587"/>
      <c r="AP802" s="587"/>
      <c r="AQ802" s="587"/>
      <c r="AR802" s="587"/>
      <c r="AS802" s="587"/>
      <c r="AT802" s="587"/>
      <c r="AU802" s="587"/>
      <c r="AV802" s="587"/>
      <c r="AW802" s="587"/>
    </row>
    <row r="803" spans="1:49">
      <c r="A803" s="581">
        <v>33786</v>
      </c>
      <c r="B803" s="594">
        <v>4.0899999999999999E-2</v>
      </c>
      <c r="C803" s="577">
        <v>7.9000000000000001E-2</v>
      </c>
      <c r="D803" s="577">
        <v>6.3E-3</v>
      </c>
      <c r="E803" s="577">
        <v>6.7250000000000001E-3</v>
      </c>
      <c r="F803" s="577">
        <v>6.9749999999999986E-3</v>
      </c>
      <c r="G803" s="577">
        <v>6.8499999999999993E-3</v>
      </c>
      <c r="H803" s="577">
        <v>7.1492500000000002E-3</v>
      </c>
      <c r="I803" s="577">
        <f t="shared" si="134"/>
        <v>3.4599999999999999E-2</v>
      </c>
      <c r="J803" s="577">
        <f t="shared" si="138"/>
        <v>3.4049999999999997E-2</v>
      </c>
      <c r="K803" s="577">
        <f t="shared" si="139"/>
        <v>7.1850750000000005E-2</v>
      </c>
      <c r="L803" s="585">
        <f t="shared" si="135"/>
        <v>0.12813212446614908</v>
      </c>
      <c r="M803" s="585">
        <f t="shared" si="136"/>
        <v>7.5600000000000001E-2</v>
      </c>
      <c r="N803" s="585">
        <f t="shared" si="129"/>
        <v>8.2199999999999995E-2</v>
      </c>
      <c r="O803" s="586">
        <f t="shared" si="137"/>
        <v>5.2532124466149077E-2</v>
      </c>
      <c r="P803" s="585">
        <f t="shared" si="130"/>
        <v>4.5932124466149082E-2</v>
      </c>
      <c r="Q803" s="585">
        <f t="shared" si="131"/>
        <v>0.19725484574429974</v>
      </c>
      <c r="R803" s="585">
        <f t="shared" si="132"/>
        <v>8.5791000000000006E-2</v>
      </c>
      <c r="S803" s="586">
        <f t="shared" si="133"/>
        <v>0.11146384574429974</v>
      </c>
      <c r="U803" s="587"/>
      <c r="V803" s="587"/>
      <c r="W803" s="587"/>
      <c r="X803" s="587"/>
      <c r="Y803" s="587"/>
      <c r="Z803" s="587"/>
      <c r="AA803" s="587"/>
      <c r="AB803" s="587"/>
      <c r="AC803" s="587"/>
      <c r="AE803" s="587"/>
      <c r="AF803" s="587"/>
      <c r="AG803" s="587"/>
      <c r="AH803" s="587"/>
      <c r="AI803" s="587"/>
      <c r="AJ803" s="587"/>
      <c r="AK803" s="587"/>
      <c r="AL803" s="587"/>
      <c r="AM803" s="587"/>
      <c r="AO803" s="587"/>
      <c r="AP803" s="587"/>
      <c r="AQ803" s="587"/>
      <c r="AR803" s="587"/>
      <c r="AS803" s="587"/>
      <c r="AT803" s="587"/>
      <c r="AU803" s="587"/>
      <c r="AV803" s="587"/>
      <c r="AW803" s="587"/>
    </row>
    <row r="804" spans="1:49">
      <c r="A804" s="581">
        <v>33817</v>
      </c>
      <c r="B804" s="594">
        <v>-2.0500000000000001E-2</v>
      </c>
      <c r="C804" s="577">
        <v>-7.4000000000000012E-3</v>
      </c>
      <c r="D804" s="577">
        <v>6.0000000000000001E-3</v>
      </c>
      <c r="E804" s="577">
        <v>6.6249999999999998E-3</v>
      </c>
      <c r="F804" s="577">
        <v>6.8416666666666669E-3</v>
      </c>
      <c r="G804" s="577">
        <v>6.7333333333333334E-3</v>
      </c>
      <c r="H804" s="577">
        <v>7.031333333333333E-3</v>
      </c>
      <c r="I804" s="577">
        <f t="shared" si="134"/>
        <v>-2.6500000000000003E-2</v>
      </c>
      <c r="J804" s="577">
        <f t="shared" si="138"/>
        <v>-2.7233333333333335E-2</v>
      </c>
      <c r="K804" s="577">
        <f t="shared" si="139"/>
        <v>-1.4431333333333334E-2</v>
      </c>
      <c r="L804" s="585">
        <f t="shared" si="135"/>
        <v>7.9423088712115675E-2</v>
      </c>
      <c r="M804" s="585">
        <f t="shared" si="136"/>
        <v>7.2000000000000008E-2</v>
      </c>
      <c r="N804" s="585">
        <f t="shared" si="129"/>
        <v>8.0799999999999997E-2</v>
      </c>
      <c r="O804" s="586">
        <f t="shared" si="137"/>
        <v>7.4230887121156663E-3</v>
      </c>
      <c r="P804" s="585">
        <f t="shared" si="130"/>
        <v>-1.376911287884322E-3</v>
      </c>
      <c r="Q804" s="585">
        <f t="shared" si="131"/>
        <v>0.158505712503209</v>
      </c>
      <c r="R804" s="585">
        <f t="shared" si="132"/>
        <v>8.4375999999999993E-2</v>
      </c>
      <c r="S804" s="586">
        <f t="shared" si="133"/>
        <v>7.4129712503209003E-2</v>
      </c>
      <c r="U804" s="587"/>
      <c r="V804" s="587"/>
      <c r="W804" s="587"/>
      <c r="X804" s="587"/>
      <c r="Y804" s="587"/>
      <c r="Z804" s="587"/>
      <c r="AA804" s="587"/>
      <c r="AB804" s="587"/>
      <c r="AC804" s="587"/>
      <c r="AE804" s="587"/>
      <c r="AF804" s="587"/>
      <c r="AG804" s="587"/>
      <c r="AH804" s="587"/>
      <c r="AI804" s="587"/>
      <c r="AJ804" s="587"/>
      <c r="AK804" s="587"/>
      <c r="AL804" s="587"/>
      <c r="AM804" s="587"/>
      <c r="AO804" s="587"/>
      <c r="AP804" s="587"/>
      <c r="AQ804" s="587"/>
      <c r="AR804" s="587"/>
      <c r="AS804" s="587"/>
      <c r="AT804" s="587"/>
      <c r="AU804" s="587"/>
      <c r="AV804" s="587"/>
      <c r="AW804" s="587"/>
    </row>
    <row r="805" spans="1:49">
      <c r="A805" s="581">
        <v>33848</v>
      </c>
      <c r="B805" s="594">
        <v>1.18E-2</v>
      </c>
      <c r="C805" s="577">
        <v>7.2999999999999983E-3</v>
      </c>
      <c r="D805" s="577">
        <v>5.7999999999999996E-3</v>
      </c>
      <c r="E805" s="577">
        <v>6.6E-3</v>
      </c>
      <c r="F805" s="577">
        <v>6.8083333333333329E-3</v>
      </c>
      <c r="G805" s="577">
        <v>6.7041666666666664E-3</v>
      </c>
      <c r="H805" s="577">
        <v>7.0059166666666664E-3</v>
      </c>
      <c r="I805" s="577">
        <f t="shared" si="134"/>
        <v>6.0000000000000001E-3</v>
      </c>
      <c r="J805" s="577">
        <f t="shared" si="138"/>
        <v>5.0958333333333333E-3</v>
      </c>
      <c r="K805" s="577">
        <f t="shared" si="139"/>
        <v>2.9408333333333196E-4</v>
      </c>
      <c r="L805" s="585">
        <f t="shared" si="135"/>
        <v>0.11070912352173168</v>
      </c>
      <c r="M805" s="585">
        <f t="shared" si="136"/>
        <v>6.9599999999999995E-2</v>
      </c>
      <c r="N805" s="585">
        <f t="shared" si="129"/>
        <v>8.0449999999999994E-2</v>
      </c>
      <c r="O805" s="586">
        <f t="shared" si="137"/>
        <v>4.1109123521731683E-2</v>
      </c>
      <c r="P805" s="585">
        <f t="shared" si="130"/>
        <v>3.0259123521731685E-2</v>
      </c>
      <c r="Q805" s="585">
        <f t="shared" si="131"/>
        <v>0.14385689492695786</v>
      </c>
      <c r="R805" s="585">
        <f t="shared" si="132"/>
        <v>8.4070999999999993E-2</v>
      </c>
      <c r="S805" s="586">
        <f t="shared" si="133"/>
        <v>5.9785894926957864E-2</v>
      </c>
      <c r="U805" s="587"/>
      <c r="V805" s="587"/>
      <c r="W805" s="587"/>
      <c r="X805" s="587"/>
      <c r="Y805" s="587"/>
      <c r="Z805" s="587"/>
      <c r="AA805" s="587"/>
      <c r="AB805" s="587"/>
      <c r="AC805" s="587"/>
      <c r="AE805" s="587"/>
      <c r="AF805" s="587"/>
      <c r="AG805" s="587"/>
      <c r="AH805" s="587"/>
      <c r="AI805" s="587"/>
      <c r="AJ805" s="587"/>
      <c r="AK805" s="587"/>
      <c r="AL805" s="587"/>
      <c r="AM805" s="587"/>
      <c r="AO805" s="587"/>
      <c r="AP805" s="587"/>
      <c r="AQ805" s="587"/>
      <c r="AR805" s="587"/>
      <c r="AS805" s="587"/>
      <c r="AT805" s="587"/>
      <c r="AU805" s="587"/>
      <c r="AV805" s="587"/>
      <c r="AW805" s="587"/>
    </row>
    <row r="806" spans="1:49">
      <c r="A806" s="581">
        <v>33878</v>
      </c>
      <c r="B806" s="594">
        <v>3.5000000000000001E-3</v>
      </c>
      <c r="C806" s="577">
        <v>-9.3999999999999986E-3</v>
      </c>
      <c r="D806" s="577">
        <v>5.7000000000000002E-3</v>
      </c>
      <c r="E806" s="577">
        <v>6.6583333333333338E-3</v>
      </c>
      <c r="F806" s="577">
        <v>6.9333333333333339E-3</v>
      </c>
      <c r="G806" s="577">
        <v>6.7958333333333343E-3</v>
      </c>
      <c r="H806" s="577">
        <v>7.1056666666666664E-3</v>
      </c>
      <c r="I806" s="577">
        <f t="shared" si="134"/>
        <v>-2.2000000000000001E-3</v>
      </c>
      <c r="J806" s="577">
        <f t="shared" si="138"/>
        <v>-3.2958333333333342E-3</v>
      </c>
      <c r="K806" s="577">
        <f t="shared" si="139"/>
        <v>-1.6505666666666665E-2</v>
      </c>
      <c r="L806" s="585">
        <f t="shared" si="135"/>
        <v>9.9858501533508726E-2</v>
      </c>
      <c r="M806" s="585">
        <f t="shared" si="136"/>
        <v>6.8400000000000002E-2</v>
      </c>
      <c r="N806" s="585">
        <f t="shared" si="129"/>
        <v>8.1550000000000011E-2</v>
      </c>
      <c r="O806" s="586">
        <f t="shared" si="137"/>
        <v>3.1458501533508723E-2</v>
      </c>
      <c r="P806" s="585">
        <f t="shared" si="130"/>
        <v>1.8308501533508714E-2</v>
      </c>
      <c r="Q806" s="585">
        <f t="shared" si="131"/>
        <v>0.11088690207318086</v>
      </c>
      <c r="R806" s="585">
        <f t="shared" si="132"/>
        <v>8.5267999999999997E-2</v>
      </c>
      <c r="S806" s="586">
        <f t="shared" si="133"/>
        <v>2.5618902073180863E-2</v>
      </c>
      <c r="U806" s="587"/>
      <c r="V806" s="587"/>
      <c r="W806" s="587"/>
      <c r="X806" s="587"/>
      <c r="Y806" s="587"/>
      <c r="Z806" s="587"/>
      <c r="AA806" s="587"/>
      <c r="AB806" s="587"/>
      <c r="AC806" s="587"/>
      <c r="AE806" s="587"/>
      <c r="AF806" s="587"/>
      <c r="AG806" s="587"/>
      <c r="AH806" s="587"/>
      <c r="AI806" s="587"/>
      <c r="AJ806" s="587"/>
      <c r="AK806" s="587"/>
      <c r="AL806" s="587"/>
      <c r="AM806" s="587"/>
      <c r="AO806" s="587"/>
      <c r="AP806" s="587"/>
      <c r="AQ806" s="587"/>
      <c r="AR806" s="587"/>
      <c r="AS806" s="587"/>
      <c r="AT806" s="587"/>
      <c r="AU806" s="587"/>
      <c r="AV806" s="587"/>
      <c r="AW806" s="587"/>
    </row>
    <row r="807" spans="1:49">
      <c r="A807" s="581">
        <v>33909</v>
      </c>
      <c r="B807" s="594">
        <v>3.4099999999999998E-2</v>
      </c>
      <c r="C807" s="577">
        <v>-1.5000000000000005E-3</v>
      </c>
      <c r="D807" s="577">
        <v>6.0999999999999995E-3</v>
      </c>
      <c r="E807" s="577">
        <v>6.7499999999999991E-3</v>
      </c>
      <c r="F807" s="577">
        <v>7.000000000000001E-3</v>
      </c>
      <c r="G807" s="577">
        <v>6.875E-3</v>
      </c>
      <c r="H807" s="577">
        <v>7.1925833333333329E-3</v>
      </c>
      <c r="I807" s="577">
        <f t="shared" si="134"/>
        <v>2.7999999999999997E-2</v>
      </c>
      <c r="J807" s="577">
        <f t="shared" si="138"/>
        <v>2.7224999999999999E-2</v>
      </c>
      <c r="K807" s="577">
        <f t="shared" si="139"/>
        <v>-8.6925833333333334E-3</v>
      </c>
      <c r="L807" s="585">
        <f t="shared" si="135"/>
        <v>0.18512418092716643</v>
      </c>
      <c r="M807" s="585">
        <f t="shared" si="136"/>
        <v>7.3199999999999987E-2</v>
      </c>
      <c r="N807" s="585">
        <f t="shared" si="129"/>
        <v>8.2500000000000004E-2</v>
      </c>
      <c r="O807" s="586">
        <f t="shared" si="137"/>
        <v>0.11192418092716644</v>
      </c>
      <c r="P807" s="585">
        <f t="shared" si="130"/>
        <v>0.10262418092716642</v>
      </c>
      <c r="Q807" s="585">
        <f t="shared" si="131"/>
        <v>0.12019851718851893</v>
      </c>
      <c r="R807" s="585">
        <f t="shared" si="132"/>
        <v>8.6310999999999999E-2</v>
      </c>
      <c r="S807" s="586">
        <f t="shared" si="133"/>
        <v>3.3887517188518929E-2</v>
      </c>
      <c r="U807" s="587"/>
      <c r="V807" s="587"/>
      <c r="W807" s="587"/>
      <c r="X807" s="587"/>
      <c r="Y807" s="587"/>
      <c r="Z807" s="587"/>
      <c r="AA807" s="587"/>
      <c r="AB807" s="587"/>
      <c r="AC807" s="587"/>
      <c r="AE807" s="587"/>
      <c r="AF807" s="587"/>
      <c r="AG807" s="587"/>
      <c r="AH807" s="587"/>
      <c r="AI807" s="587"/>
      <c r="AJ807" s="587"/>
      <c r="AK807" s="587"/>
      <c r="AL807" s="587"/>
      <c r="AM807" s="587"/>
      <c r="AO807" s="587"/>
      <c r="AP807" s="587"/>
      <c r="AQ807" s="587"/>
      <c r="AR807" s="587"/>
      <c r="AS807" s="587"/>
      <c r="AT807" s="587"/>
      <c r="AU807" s="587"/>
      <c r="AV807" s="587"/>
      <c r="AW807" s="587"/>
    </row>
    <row r="808" spans="1:49">
      <c r="A808" s="581">
        <v>33939</v>
      </c>
      <c r="B808" s="594">
        <v>1.23E-2</v>
      </c>
      <c r="C808" s="577">
        <v>3.5799999999999998E-2</v>
      </c>
      <c r="D808" s="577">
        <v>6.3E-3</v>
      </c>
      <c r="E808" s="577">
        <v>6.6500000000000005E-3</v>
      </c>
      <c r="F808" s="577">
        <v>6.8666666666666668E-3</v>
      </c>
      <c r="G808" s="577">
        <v>6.7583333333333332E-3</v>
      </c>
      <c r="H808" s="577">
        <v>7.0420833333333334E-3</v>
      </c>
      <c r="I808" s="577">
        <f t="shared" si="134"/>
        <v>6.0000000000000001E-3</v>
      </c>
      <c r="J808" s="577">
        <f t="shared" si="138"/>
        <v>5.541666666666667E-3</v>
      </c>
      <c r="K808" s="577">
        <f t="shared" si="139"/>
        <v>2.8757916666666664E-2</v>
      </c>
      <c r="L808" s="585">
        <f t="shared" si="135"/>
        <v>7.6544515750690989E-2</v>
      </c>
      <c r="M808" s="585">
        <f t="shared" si="136"/>
        <v>7.5600000000000001E-2</v>
      </c>
      <c r="N808" s="585">
        <f t="shared" ref="N808:N871" si="140">G808*12</f>
        <v>8.1100000000000005E-2</v>
      </c>
      <c r="O808" s="586">
        <f t="shared" si="137"/>
        <v>9.4451575069098848E-4</v>
      </c>
      <c r="P808" s="585">
        <f t="shared" ref="P808:P871" si="141">L808-N808</f>
        <v>-4.5554842493090164E-3</v>
      </c>
      <c r="Q808" s="585">
        <f t="shared" ref="Q808:Q871" si="142">((1+C797)*(1+C798)*(1+C799)*(1+C800)*(1+C801)*(1+C802)*(1+C803)*(1+C804)*(1+C805)*(1+C806)*(1+C807)*(1+C808))-1</f>
        <v>8.1059931150533782E-2</v>
      </c>
      <c r="R808" s="585">
        <f t="shared" ref="R808:R871" si="143">H808*12</f>
        <v>8.4504999999999997E-2</v>
      </c>
      <c r="S808" s="586">
        <f t="shared" ref="S808:S871" si="144">Q808-R808</f>
        <v>-3.4450688494662152E-3</v>
      </c>
      <c r="U808" s="587"/>
      <c r="V808" s="587"/>
      <c r="W808" s="587"/>
      <c r="X808" s="587"/>
      <c r="Y808" s="587"/>
      <c r="Z808" s="587"/>
      <c r="AA808" s="587"/>
      <c r="AB808" s="587"/>
      <c r="AC808" s="587"/>
      <c r="AE808" s="587"/>
      <c r="AF808" s="587"/>
      <c r="AG808" s="587"/>
      <c r="AH808" s="587"/>
      <c r="AI808" s="587"/>
      <c r="AJ808" s="587"/>
      <c r="AK808" s="587"/>
      <c r="AL808" s="587"/>
      <c r="AM808" s="587"/>
      <c r="AO808" s="587"/>
      <c r="AP808" s="587"/>
      <c r="AQ808" s="587"/>
      <c r="AR808" s="587"/>
      <c r="AS808" s="587"/>
      <c r="AT808" s="587"/>
      <c r="AU808" s="587"/>
      <c r="AV808" s="587"/>
      <c r="AW808" s="587"/>
    </row>
    <row r="809" spans="1:49">
      <c r="A809" s="581">
        <v>33970</v>
      </c>
      <c r="B809" s="594">
        <v>8.3999999999999995E-3</v>
      </c>
      <c r="C809" s="577">
        <v>1.5699999999999999E-2</v>
      </c>
      <c r="D809" s="577">
        <v>5.8999999999999999E-3</v>
      </c>
      <c r="E809" s="577">
        <v>6.5916666666666667E-3</v>
      </c>
      <c r="F809" s="577">
        <v>6.7583333333333332E-3</v>
      </c>
      <c r="G809" s="577">
        <v>6.6749999999999995E-3</v>
      </c>
      <c r="H809" s="577">
        <v>6.9009166666666663E-3</v>
      </c>
      <c r="I809" s="577">
        <f t="shared" si="134"/>
        <v>2.4999999999999996E-3</v>
      </c>
      <c r="J809" s="577">
        <f t="shared" si="138"/>
        <v>1.725E-3</v>
      </c>
      <c r="K809" s="577">
        <f t="shared" si="139"/>
        <v>8.7990833333333324E-3</v>
      </c>
      <c r="L809" s="585">
        <f t="shared" si="135"/>
        <v>0.10616210483288824</v>
      </c>
      <c r="M809" s="585">
        <f t="shared" si="136"/>
        <v>7.0800000000000002E-2</v>
      </c>
      <c r="N809" s="585">
        <f t="shared" si="140"/>
        <v>8.0099999999999991E-2</v>
      </c>
      <c r="O809" s="586">
        <f t="shared" si="137"/>
        <v>3.5362104832888236E-2</v>
      </c>
      <c r="P809" s="585">
        <f t="shared" si="141"/>
        <v>2.6062104832888247E-2</v>
      </c>
      <c r="Q809" s="585">
        <f t="shared" si="142"/>
        <v>0.16022038468892341</v>
      </c>
      <c r="R809" s="585">
        <f t="shared" si="143"/>
        <v>8.2810999999999996E-2</v>
      </c>
      <c r="S809" s="586">
        <f t="shared" si="144"/>
        <v>7.7409384688923416E-2</v>
      </c>
      <c r="U809" s="587"/>
      <c r="V809" s="587"/>
      <c r="W809" s="587"/>
      <c r="X809" s="587"/>
      <c r="Y809" s="587"/>
      <c r="Z809" s="587"/>
      <c r="AA809" s="587"/>
      <c r="AB809" s="587"/>
      <c r="AC809" s="587"/>
      <c r="AE809" s="587"/>
      <c r="AF809" s="587"/>
      <c r="AG809" s="587"/>
      <c r="AH809" s="587"/>
      <c r="AI809" s="587"/>
      <c r="AJ809" s="587"/>
      <c r="AK809" s="587"/>
      <c r="AL809" s="587"/>
      <c r="AM809" s="587"/>
      <c r="AO809" s="587"/>
      <c r="AP809" s="587"/>
      <c r="AQ809" s="587"/>
      <c r="AR809" s="587"/>
      <c r="AS809" s="587"/>
      <c r="AT809" s="587"/>
      <c r="AU809" s="587"/>
      <c r="AV809" s="587"/>
      <c r="AW809" s="587"/>
    </row>
    <row r="810" spans="1:49">
      <c r="A810" s="581">
        <v>34001</v>
      </c>
      <c r="B810" s="594">
        <v>1.3599999999999999E-2</v>
      </c>
      <c r="C810" s="577">
        <v>7.2099999999999997E-2</v>
      </c>
      <c r="D810" s="577">
        <v>5.4999999999999997E-3</v>
      </c>
      <c r="E810" s="577">
        <v>6.4249999999999993E-3</v>
      </c>
      <c r="F810" s="577">
        <v>6.5833333333333334E-3</v>
      </c>
      <c r="G810" s="577">
        <v>6.5041666666666668E-3</v>
      </c>
      <c r="H810" s="577">
        <v>6.7039166666666671E-3</v>
      </c>
      <c r="I810" s="577">
        <f t="shared" si="134"/>
        <v>8.0999999999999996E-3</v>
      </c>
      <c r="J810" s="577">
        <f t="shared" si="138"/>
        <v>7.0958333333333325E-3</v>
      </c>
      <c r="K810" s="577">
        <f t="shared" si="139"/>
        <v>6.5396083333333327E-2</v>
      </c>
      <c r="L810" s="585">
        <f t="shared" si="135"/>
        <v>0.10681728475677787</v>
      </c>
      <c r="M810" s="585">
        <f t="shared" si="136"/>
        <v>6.6000000000000003E-2</v>
      </c>
      <c r="N810" s="585">
        <f t="shared" si="140"/>
        <v>7.8050000000000008E-2</v>
      </c>
      <c r="O810" s="586">
        <f t="shared" si="137"/>
        <v>4.0817284756777872E-2</v>
      </c>
      <c r="P810" s="585">
        <f t="shared" si="141"/>
        <v>2.8767284756777867E-2</v>
      </c>
      <c r="Q810" s="585">
        <f t="shared" si="142"/>
        <v>0.27878305173742657</v>
      </c>
      <c r="R810" s="585">
        <f t="shared" si="143"/>
        <v>8.0447000000000005E-2</v>
      </c>
      <c r="S810" s="586">
        <f t="shared" si="144"/>
        <v>0.19833605173742658</v>
      </c>
      <c r="U810" s="587"/>
      <c r="V810" s="587"/>
      <c r="W810" s="587"/>
      <c r="X810" s="587"/>
      <c r="Y810" s="587"/>
      <c r="Z810" s="587"/>
      <c r="AA810" s="587"/>
      <c r="AB810" s="587"/>
      <c r="AC810" s="587"/>
      <c r="AE810" s="587"/>
      <c r="AF810" s="587"/>
      <c r="AG810" s="587"/>
      <c r="AH810" s="587"/>
      <c r="AI810" s="587"/>
      <c r="AJ810" s="587"/>
      <c r="AK810" s="587"/>
      <c r="AL810" s="587"/>
      <c r="AM810" s="587"/>
      <c r="AO810" s="587"/>
      <c r="AP810" s="587"/>
      <c r="AQ810" s="587"/>
      <c r="AR810" s="587"/>
      <c r="AS810" s="587"/>
      <c r="AT810" s="587"/>
      <c r="AU810" s="587"/>
      <c r="AV810" s="587"/>
      <c r="AW810" s="587"/>
    </row>
    <row r="811" spans="1:49">
      <c r="A811" s="581">
        <v>34029</v>
      </c>
      <c r="B811" s="594">
        <v>2.1100000000000001E-2</v>
      </c>
      <c r="C811" s="577">
        <v>1.7999999999999999E-2</v>
      </c>
      <c r="D811" s="577">
        <v>6.3E-3</v>
      </c>
      <c r="E811" s="577">
        <v>6.3166666666666675E-3</v>
      </c>
      <c r="F811" s="577">
        <v>6.4333333333333334E-3</v>
      </c>
      <c r="G811" s="577">
        <v>6.3749999999999996E-3</v>
      </c>
      <c r="H811" s="577">
        <v>6.5854999999999993E-3</v>
      </c>
      <c r="I811" s="577">
        <f t="shared" si="134"/>
        <v>1.4800000000000001E-2</v>
      </c>
      <c r="J811" s="577">
        <f t="shared" si="138"/>
        <v>1.4725000000000002E-2</v>
      </c>
      <c r="K811" s="577">
        <f t="shared" si="139"/>
        <v>1.1414499999999999E-2</v>
      </c>
      <c r="L811" s="585">
        <f t="shared" si="135"/>
        <v>0.15253021564873137</v>
      </c>
      <c r="M811" s="585">
        <f t="shared" si="136"/>
        <v>7.5600000000000001E-2</v>
      </c>
      <c r="N811" s="585">
        <f t="shared" si="140"/>
        <v>7.6499999999999999E-2</v>
      </c>
      <c r="O811" s="586">
        <f t="shared" si="137"/>
        <v>7.693021564873137E-2</v>
      </c>
      <c r="P811" s="585">
        <f t="shared" si="141"/>
        <v>7.6030215648731372E-2</v>
      </c>
      <c r="Q811" s="585">
        <f t="shared" si="142"/>
        <v>0.32068697034462867</v>
      </c>
      <c r="R811" s="585">
        <f t="shared" si="143"/>
        <v>7.9025999999999985E-2</v>
      </c>
      <c r="S811" s="586">
        <f t="shared" si="144"/>
        <v>0.24166097034462869</v>
      </c>
      <c r="U811" s="587"/>
      <c r="V811" s="587"/>
      <c r="W811" s="587"/>
      <c r="X811" s="587"/>
      <c r="Y811" s="587"/>
      <c r="Z811" s="587"/>
      <c r="AA811" s="587"/>
      <c r="AB811" s="587"/>
      <c r="AC811" s="587"/>
      <c r="AE811" s="587"/>
      <c r="AF811" s="587"/>
      <c r="AG811" s="587"/>
      <c r="AH811" s="587"/>
      <c r="AI811" s="587"/>
      <c r="AJ811" s="587"/>
      <c r="AK811" s="587"/>
      <c r="AL811" s="587"/>
      <c r="AM811" s="587"/>
      <c r="AO811" s="587"/>
      <c r="AP811" s="587"/>
      <c r="AQ811" s="587"/>
      <c r="AR811" s="587"/>
      <c r="AS811" s="587"/>
      <c r="AT811" s="587"/>
      <c r="AU811" s="587"/>
      <c r="AV811" s="587"/>
      <c r="AW811" s="587"/>
    </row>
    <row r="812" spans="1:49">
      <c r="A812" s="581">
        <v>34060</v>
      </c>
      <c r="B812" s="594">
        <v>-2.4199999999999999E-2</v>
      </c>
      <c r="C812" s="577">
        <v>-2.6999999999999993E-3</v>
      </c>
      <c r="D812" s="577">
        <v>5.7000000000000002E-3</v>
      </c>
      <c r="E812" s="577">
        <v>6.2166666666666672E-3</v>
      </c>
      <c r="F812" s="577">
        <v>6.3499999999999997E-3</v>
      </c>
      <c r="G812" s="577">
        <v>6.2833333333333343E-3</v>
      </c>
      <c r="H812" s="577">
        <v>6.514666666666666E-3</v>
      </c>
      <c r="I812" s="577">
        <f t="shared" si="134"/>
        <v>-2.9899999999999999E-2</v>
      </c>
      <c r="J812" s="577">
        <f t="shared" si="138"/>
        <v>-3.0483333333333335E-2</v>
      </c>
      <c r="K812" s="577">
        <f t="shared" si="139"/>
        <v>-9.2146666666666661E-3</v>
      </c>
      <c r="L812" s="585">
        <f t="shared" si="135"/>
        <v>9.2518927948350482E-2</v>
      </c>
      <c r="M812" s="585">
        <f t="shared" si="136"/>
        <v>6.8400000000000002E-2</v>
      </c>
      <c r="N812" s="585">
        <f t="shared" si="140"/>
        <v>7.5400000000000009E-2</v>
      </c>
      <c r="O812" s="586">
        <f t="shared" si="137"/>
        <v>2.411892794835048E-2</v>
      </c>
      <c r="P812" s="585">
        <f t="shared" si="141"/>
        <v>1.7118927948350474E-2</v>
      </c>
      <c r="Q812" s="585">
        <f t="shared" si="142"/>
        <v>0.23731434055866418</v>
      </c>
      <c r="R812" s="585">
        <f t="shared" si="143"/>
        <v>7.8175999999999995E-2</v>
      </c>
      <c r="S812" s="586">
        <f t="shared" si="144"/>
        <v>0.15913834055866419</v>
      </c>
      <c r="U812" s="587"/>
      <c r="V812" s="587"/>
      <c r="W812" s="587"/>
      <c r="X812" s="587"/>
      <c r="Y812" s="587"/>
      <c r="Z812" s="587"/>
      <c r="AA812" s="587"/>
      <c r="AB812" s="587"/>
      <c r="AC812" s="587"/>
      <c r="AE812" s="587"/>
      <c r="AF812" s="587"/>
      <c r="AG812" s="587"/>
      <c r="AH812" s="587"/>
      <c r="AI812" s="587"/>
      <c r="AJ812" s="587"/>
      <c r="AK812" s="587"/>
      <c r="AL812" s="587"/>
      <c r="AM812" s="587"/>
      <c r="AO812" s="587"/>
      <c r="AP812" s="587"/>
      <c r="AQ812" s="587"/>
      <c r="AR812" s="587"/>
      <c r="AS812" s="587"/>
      <c r="AT812" s="587"/>
      <c r="AU812" s="587"/>
      <c r="AV812" s="587"/>
      <c r="AW812" s="587"/>
    </row>
    <row r="813" spans="1:49">
      <c r="A813" s="581">
        <v>34090</v>
      </c>
      <c r="B813" s="594">
        <v>2.6800000000000001E-2</v>
      </c>
      <c r="C813" s="577">
        <v>-1.9099999999999999E-2</v>
      </c>
      <c r="D813" s="577">
        <v>5.1999999999999998E-3</v>
      </c>
      <c r="E813" s="577">
        <v>6.1916666666666665E-3</v>
      </c>
      <c r="F813" s="577">
        <v>6.3416666666666665E-3</v>
      </c>
      <c r="G813" s="577">
        <v>6.2666666666666669E-3</v>
      </c>
      <c r="H813" s="577">
        <v>6.5491666666666667E-3</v>
      </c>
      <c r="I813" s="577">
        <f t="shared" si="134"/>
        <v>2.1600000000000001E-2</v>
      </c>
      <c r="J813" s="577">
        <f t="shared" si="138"/>
        <v>2.0533333333333334E-2</v>
      </c>
      <c r="K813" s="577">
        <f t="shared" si="139"/>
        <v>-2.5649166666666667E-2</v>
      </c>
      <c r="L813" s="585">
        <f t="shared" si="135"/>
        <v>0.1163284259303079</v>
      </c>
      <c r="M813" s="585">
        <f t="shared" si="136"/>
        <v>6.2399999999999997E-2</v>
      </c>
      <c r="N813" s="585">
        <f t="shared" si="140"/>
        <v>7.5200000000000003E-2</v>
      </c>
      <c r="O813" s="586">
        <f t="shared" si="137"/>
        <v>5.3928425930307902E-2</v>
      </c>
      <c r="P813" s="585">
        <f t="shared" si="141"/>
        <v>4.1128425930307896E-2</v>
      </c>
      <c r="Q813" s="585">
        <f t="shared" si="142"/>
        <v>0.21550489399498574</v>
      </c>
      <c r="R813" s="585">
        <f t="shared" si="143"/>
        <v>7.8589999999999993E-2</v>
      </c>
      <c r="S813" s="586">
        <f t="shared" si="144"/>
        <v>0.13691489399498574</v>
      </c>
      <c r="U813" s="587"/>
      <c r="V813" s="587"/>
      <c r="W813" s="587"/>
      <c r="X813" s="587"/>
      <c r="Y813" s="587"/>
      <c r="Z813" s="587"/>
      <c r="AA813" s="587"/>
      <c r="AB813" s="587"/>
      <c r="AC813" s="587"/>
      <c r="AE813" s="587"/>
      <c r="AF813" s="587"/>
      <c r="AG813" s="587"/>
      <c r="AH813" s="587"/>
      <c r="AI813" s="587"/>
      <c r="AJ813" s="587"/>
      <c r="AK813" s="587"/>
      <c r="AL813" s="587"/>
      <c r="AM813" s="587"/>
      <c r="AO813" s="587"/>
      <c r="AP813" s="587"/>
      <c r="AQ813" s="587"/>
      <c r="AR813" s="587"/>
      <c r="AS813" s="587"/>
      <c r="AT813" s="587"/>
      <c r="AU813" s="587"/>
      <c r="AV813" s="587"/>
      <c r="AW813" s="587"/>
    </row>
    <row r="814" spans="1:49">
      <c r="A814" s="581">
        <v>34121</v>
      </c>
      <c r="B814" s="594">
        <v>2.8999999999999998E-3</v>
      </c>
      <c r="C814" s="577">
        <v>4.6300000000000001E-2</v>
      </c>
      <c r="D814" s="577">
        <v>6.1999999999999998E-3</v>
      </c>
      <c r="E814" s="577">
        <v>6.1083333333333337E-3</v>
      </c>
      <c r="F814" s="577">
        <v>6.2583333333333336E-3</v>
      </c>
      <c r="G814" s="577">
        <v>6.1833333333333341E-3</v>
      </c>
      <c r="H814" s="577">
        <v>6.4693333333333339E-3</v>
      </c>
      <c r="I814" s="577">
        <f t="shared" si="134"/>
        <v>-3.3E-3</v>
      </c>
      <c r="J814" s="577">
        <f t="shared" si="138"/>
        <v>-3.2833333333333343E-3</v>
      </c>
      <c r="K814" s="577">
        <f t="shared" si="139"/>
        <v>3.9830666666666667E-2</v>
      </c>
      <c r="L814" s="585">
        <f t="shared" si="135"/>
        <v>0.13649962274439709</v>
      </c>
      <c r="M814" s="585">
        <f t="shared" si="136"/>
        <v>7.4399999999999994E-2</v>
      </c>
      <c r="N814" s="585">
        <f t="shared" si="140"/>
        <v>7.4200000000000016E-2</v>
      </c>
      <c r="O814" s="586">
        <f t="shared" si="137"/>
        <v>6.2099622744397093E-2</v>
      </c>
      <c r="P814" s="585">
        <f t="shared" si="141"/>
        <v>6.2299622744397071E-2</v>
      </c>
      <c r="Q814" s="585">
        <f t="shared" si="142"/>
        <v>0.25409996113495126</v>
      </c>
      <c r="R814" s="585">
        <f t="shared" si="143"/>
        <v>7.7632000000000007E-2</v>
      </c>
      <c r="S814" s="586">
        <f t="shared" si="144"/>
        <v>0.17646796113495125</v>
      </c>
      <c r="U814" s="587"/>
      <c r="V814" s="587"/>
      <c r="W814" s="587"/>
      <c r="X814" s="587"/>
      <c r="Y814" s="587"/>
      <c r="Z814" s="587"/>
      <c r="AA814" s="587"/>
      <c r="AB814" s="587"/>
      <c r="AC814" s="587"/>
      <c r="AE814" s="587"/>
      <c r="AF814" s="587"/>
      <c r="AG814" s="587"/>
      <c r="AH814" s="587"/>
      <c r="AI814" s="587"/>
      <c r="AJ814" s="587"/>
      <c r="AK814" s="587"/>
      <c r="AL814" s="587"/>
      <c r="AM814" s="587"/>
      <c r="AO814" s="587"/>
      <c r="AP814" s="587"/>
      <c r="AQ814" s="587"/>
      <c r="AR814" s="587"/>
      <c r="AS814" s="587"/>
      <c r="AT814" s="587"/>
      <c r="AU814" s="587"/>
      <c r="AV814" s="587"/>
      <c r="AW814" s="587"/>
    </row>
    <row r="815" spans="1:49">
      <c r="A815" s="581">
        <v>34151</v>
      </c>
      <c r="B815" s="594">
        <v>-4.0000000000000001E-3</v>
      </c>
      <c r="C815" s="577">
        <v>2.2599999999999999E-2</v>
      </c>
      <c r="D815" s="577">
        <v>5.4000000000000003E-3</v>
      </c>
      <c r="E815" s="577">
        <v>5.9750000000000003E-3</v>
      </c>
      <c r="F815" s="577">
        <v>6.1249999999999994E-3</v>
      </c>
      <c r="G815" s="577">
        <v>6.0499999999999998E-3</v>
      </c>
      <c r="H815" s="577">
        <v>6.284500000000001E-3</v>
      </c>
      <c r="I815" s="577">
        <f t="shared" si="134"/>
        <v>-9.4000000000000004E-3</v>
      </c>
      <c r="J815" s="577">
        <f t="shared" si="138"/>
        <v>-1.005E-2</v>
      </c>
      <c r="K815" s="577">
        <f t="shared" si="139"/>
        <v>1.6315499999999997E-2</v>
      </c>
      <c r="L815" s="585">
        <f t="shared" si="135"/>
        <v>8.7475861517359199E-2</v>
      </c>
      <c r="M815" s="585">
        <f t="shared" si="136"/>
        <v>6.4799999999999996E-2</v>
      </c>
      <c r="N815" s="585">
        <f t="shared" si="140"/>
        <v>7.2599999999999998E-2</v>
      </c>
      <c r="O815" s="586">
        <f t="shared" si="137"/>
        <v>2.2675861517359203E-2</v>
      </c>
      <c r="P815" s="585">
        <f t="shared" si="141"/>
        <v>1.4875861517359201E-2</v>
      </c>
      <c r="Q815" s="585">
        <f t="shared" si="142"/>
        <v>0.18854737743892591</v>
      </c>
      <c r="R815" s="585">
        <f t="shared" si="143"/>
        <v>7.5414000000000009E-2</v>
      </c>
      <c r="S815" s="586">
        <f t="shared" si="144"/>
        <v>0.1131333774389259</v>
      </c>
      <c r="U815" s="587"/>
      <c r="V815" s="587"/>
      <c r="W815" s="587"/>
      <c r="X815" s="587"/>
      <c r="Y815" s="587"/>
      <c r="Z815" s="587"/>
      <c r="AA815" s="587"/>
      <c r="AB815" s="587"/>
      <c r="AC815" s="587"/>
      <c r="AE815" s="587"/>
      <c r="AF815" s="587"/>
      <c r="AG815" s="587"/>
      <c r="AH815" s="587"/>
      <c r="AI815" s="587"/>
      <c r="AJ815" s="587"/>
      <c r="AK815" s="587"/>
      <c r="AL815" s="587"/>
      <c r="AM815" s="587"/>
      <c r="AO815" s="587"/>
      <c r="AP815" s="587"/>
      <c r="AQ815" s="587"/>
      <c r="AR815" s="587"/>
      <c r="AS815" s="587"/>
      <c r="AT815" s="587"/>
      <c r="AU815" s="587"/>
      <c r="AV815" s="587"/>
      <c r="AW815" s="587"/>
    </row>
    <row r="816" spans="1:49">
      <c r="A816" s="581">
        <v>34182</v>
      </c>
      <c r="B816" s="594">
        <v>3.7900000000000003E-2</v>
      </c>
      <c r="C816" s="577">
        <v>4.8399999999999999E-2</v>
      </c>
      <c r="D816" s="577">
        <v>5.5999999999999991E-3</v>
      </c>
      <c r="E816" s="577">
        <v>5.7083333333333326E-3</v>
      </c>
      <c r="F816" s="577">
        <v>5.8833333333333324E-3</v>
      </c>
      <c r="G816" s="577">
        <v>5.7958333333333334E-3</v>
      </c>
      <c r="H816" s="577">
        <v>6.0587500000000008E-3</v>
      </c>
      <c r="I816" s="577">
        <f t="shared" si="134"/>
        <v>3.2300000000000002E-2</v>
      </c>
      <c r="J816" s="577">
        <f t="shared" si="138"/>
        <v>3.210416666666667E-2</v>
      </c>
      <c r="K816" s="577">
        <f t="shared" si="139"/>
        <v>4.2341249999999997E-2</v>
      </c>
      <c r="L816" s="585">
        <f t="shared" si="135"/>
        <v>0.15231362600190623</v>
      </c>
      <c r="M816" s="585">
        <f t="shared" si="136"/>
        <v>6.7199999999999982E-2</v>
      </c>
      <c r="N816" s="585">
        <f t="shared" si="140"/>
        <v>6.9550000000000001E-2</v>
      </c>
      <c r="O816" s="586">
        <f t="shared" si="137"/>
        <v>8.5113626001906251E-2</v>
      </c>
      <c r="P816" s="585">
        <f t="shared" si="141"/>
        <v>8.2763626001906232E-2</v>
      </c>
      <c r="Q816" s="585">
        <f t="shared" si="142"/>
        <v>0.25536275489317961</v>
      </c>
      <c r="R816" s="585">
        <f t="shared" si="143"/>
        <v>7.2705000000000006E-2</v>
      </c>
      <c r="S816" s="586">
        <f t="shared" si="144"/>
        <v>0.18265775489317959</v>
      </c>
      <c r="U816" s="587"/>
      <c r="V816" s="587"/>
      <c r="W816" s="587"/>
      <c r="X816" s="587"/>
      <c r="Y816" s="587"/>
      <c r="Z816" s="587"/>
      <c r="AA816" s="587"/>
      <c r="AB816" s="587"/>
      <c r="AC816" s="587"/>
      <c r="AE816" s="587"/>
      <c r="AF816" s="587"/>
      <c r="AG816" s="587"/>
      <c r="AH816" s="587"/>
      <c r="AI816" s="587"/>
      <c r="AJ816" s="587"/>
      <c r="AK816" s="587"/>
      <c r="AL816" s="587"/>
      <c r="AM816" s="587"/>
      <c r="AO816" s="587"/>
      <c r="AP816" s="587"/>
      <c r="AQ816" s="587"/>
      <c r="AR816" s="587"/>
      <c r="AS816" s="587"/>
      <c r="AT816" s="587"/>
      <c r="AU816" s="587"/>
      <c r="AV816" s="587"/>
      <c r="AW816" s="587"/>
    </row>
    <row r="817" spans="1:49">
      <c r="A817" s="581">
        <v>34213</v>
      </c>
      <c r="B817" s="594">
        <v>-7.7000000000000002E-3</v>
      </c>
      <c r="C817" s="577">
        <v>-2E-3</v>
      </c>
      <c r="D817" s="577">
        <v>5.0000000000000001E-3</v>
      </c>
      <c r="E817" s="577">
        <v>5.5500000000000002E-3</v>
      </c>
      <c r="F817" s="577">
        <v>5.7083333333333326E-3</v>
      </c>
      <c r="G817" s="577">
        <v>5.6291666666666677E-3</v>
      </c>
      <c r="H817" s="577">
        <v>5.8635000000000007E-3</v>
      </c>
      <c r="I817" s="577">
        <f t="shared" si="134"/>
        <v>-1.2699999999999999E-2</v>
      </c>
      <c r="J817" s="577">
        <f t="shared" si="138"/>
        <v>-1.3329166666666668E-2</v>
      </c>
      <c r="K817" s="577">
        <f t="shared" si="139"/>
        <v>-7.8635000000000007E-3</v>
      </c>
      <c r="L817" s="585">
        <f t="shared" si="135"/>
        <v>0.13010556540985507</v>
      </c>
      <c r="M817" s="585">
        <f t="shared" si="136"/>
        <v>0.06</v>
      </c>
      <c r="N817" s="585">
        <f t="shared" si="140"/>
        <v>6.7550000000000013E-2</v>
      </c>
      <c r="O817" s="586">
        <f t="shared" si="137"/>
        <v>7.0105565409855075E-2</v>
      </c>
      <c r="P817" s="585">
        <f t="shared" si="141"/>
        <v>6.255556540985506E-2</v>
      </c>
      <c r="Q817" s="585">
        <f t="shared" si="142"/>
        <v>0.24377249020489677</v>
      </c>
      <c r="R817" s="585">
        <f t="shared" si="143"/>
        <v>7.0362000000000008E-2</v>
      </c>
      <c r="S817" s="586">
        <f t="shared" si="144"/>
        <v>0.17341049020489677</v>
      </c>
      <c r="U817" s="587"/>
      <c r="V817" s="587"/>
      <c r="W817" s="587"/>
      <c r="X817" s="587"/>
      <c r="Y817" s="587"/>
      <c r="Z817" s="587"/>
      <c r="AA817" s="587"/>
      <c r="AB817" s="587"/>
      <c r="AC817" s="587"/>
      <c r="AE817" s="587"/>
      <c r="AF817" s="587"/>
      <c r="AG817" s="587"/>
      <c r="AH817" s="587"/>
      <c r="AI817" s="587"/>
      <c r="AJ817" s="587"/>
      <c r="AK817" s="587"/>
      <c r="AL817" s="587"/>
      <c r="AM817" s="587"/>
      <c r="AO817" s="587"/>
      <c r="AP817" s="587"/>
      <c r="AQ817" s="587"/>
      <c r="AR817" s="587"/>
      <c r="AS817" s="587"/>
      <c r="AT817" s="587"/>
      <c r="AU817" s="587"/>
      <c r="AV817" s="587"/>
      <c r="AW817" s="587"/>
    </row>
    <row r="818" spans="1:49">
      <c r="A818" s="581">
        <v>34243</v>
      </c>
      <c r="B818" s="594">
        <v>2.07E-2</v>
      </c>
      <c r="C818" s="577">
        <v>-2.1000000000000003E-3</v>
      </c>
      <c r="D818" s="577">
        <v>4.8999999999999998E-3</v>
      </c>
      <c r="E818" s="577">
        <v>5.5583333333333327E-3</v>
      </c>
      <c r="F818" s="577">
        <v>5.7250000000000001E-3</v>
      </c>
      <c r="G818" s="577">
        <v>5.6416666666666672E-3</v>
      </c>
      <c r="H818" s="577">
        <v>5.8567500000000008E-3</v>
      </c>
      <c r="I818" s="577">
        <f t="shared" si="134"/>
        <v>1.5800000000000002E-2</v>
      </c>
      <c r="J818" s="577">
        <f t="shared" si="138"/>
        <v>1.5058333333333333E-2</v>
      </c>
      <c r="K818" s="577">
        <f t="shared" si="139"/>
        <v>-7.956750000000002E-3</v>
      </c>
      <c r="L818" s="585">
        <f t="shared" si="135"/>
        <v>0.14947558606261979</v>
      </c>
      <c r="M818" s="585">
        <f t="shared" si="136"/>
        <v>5.8799999999999998E-2</v>
      </c>
      <c r="N818" s="585">
        <f t="shared" si="140"/>
        <v>6.770000000000001E-2</v>
      </c>
      <c r="O818" s="586">
        <f t="shared" si="137"/>
        <v>9.0675586062619801E-2</v>
      </c>
      <c r="P818" s="585">
        <f t="shared" si="141"/>
        <v>8.1775586062619782E-2</v>
      </c>
      <c r="Q818" s="585">
        <f t="shared" si="142"/>
        <v>0.2529381869326337</v>
      </c>
      <c r="R818" s="585">
        <f t="shared" si="143"/>
        <v>7.028100000000001E-2</v>
      </c>
      <c r="S818" s="586">
        <f t="shared" si="144"/>
        <v>0.18265718693263369</v>
      </c>
      <c r="U818" s="587"/>
      <c r="V818" s="587"/>
      <c r="W818" s="587"/>
      <c r="X818" s="587"/>
      <c r="Y818" s="587"/>
      <c r="Z818" s="587"/>
      <c r="AA818" s="587"/>
      <c r="AB818" s="587"/>
      <c r="AC818" s="587"/>
      <c r="AE818" s="587"/>
      <c r="AF818" s="587"/>
      <c r="AG818" s="587"/>
      <c r="AH818" s="587"/>
      <c r="AI818" s="587"/>
      <c r="AJ818" s="587"/>
      <c r="AK818" s="587"/>
      <c r="AL818" s="587"/>
      <c r="AM818" s="587"/>
      <c r="AO818" s="587"/>
      <c r="AP818" s="587"/>
      <c r="AQ818" s="587"/>
      <c r="AR818" s="587"/>
      <c r="AS818" s="587"/>
      <c r="AT818" s="587"/>
      <c r="AU818" s="587"/>
      <c r="AV818" s="587"/>
      <c r="AW818" s="587"/>
    </row>
    <row r="819" spans="1:49">
      <c r="A819" s="581">
        <v>34274</v>
      </c>
      <c r="B819" s="594">
        <v>-9.4999999999999998E-3</v>
      </c>
      <c r="C819" s="577">
        <v>-5.0700000000000002E-2</v>
      </c>
      <c r="D819" s="577">
        <v>5.3E-3</v>
      </c>
      <c r="E819" s="577">
        <v>5.7749999999999998E-3</v>
      </c>
      <c r="F819" s="577">
        <v>5.9333333333333339E-3</v>
      </c>
      <c r="G819" s="577">
        <v>5.8541666666666672E-3</v>
      </c>
      <c r="H819" s="577">
        <v>6.0670833333333332E-3</v>
      </c>
      <c r="I819" s="577">
        <f t="shared" si="134"/>
        <v>-1.4800000000000001E-2</v>
      </c>
      <c r="J819" s="577">
        <f t="shared" si="138"/>
        <v>-1.5354166666666667E-2</v>
      </c>
      <c r="K819" s="577">
        <f t="shared" si="139"/>
        <v>-5.6767083333333336E-2</v>
      </c>
      <c r="L819" s="585">
        <f t="shared" si="135"/>
        <v>0.10101108983176244</v>
      </c>
      <c r="M819" s="585">
        <f t="shared" si="136"/>
        <v>6.3600000000000004E-2</v>
      </c>
      <c r="N819" s="585">
        <f t="shared" si="140"/>
        <v>7.0250000000000007E-2</v>
      </c>
      <c r="O819" s="586">
        <f t="shared" si="137"/>
        <v>3.7411089831762431E-2</v>
      </c>
      <c r="P819" s="585">
        <f t="shared" si="141"/>
        <v>3.0761089831762428E-2</v>
      </c>
      <c r="Q819" s="585">
        <f t="shared" si="142"/>
        <v>0.19120102238873238</v>
      </c>
      <c r="R819" s="585">
        <f t="shared" si="143"/>
        <v>7.2804999999999995E-2</v>
      </c>
      <c r="S819" s="586">
        <f t="shared" si="144"/>
        <v>0.11839602238873238</v>
      </c>
      <c r="U819" s="587"/>
      <c r="V819" s="587"/>
      <c r="W819" s="587"/>
      <c r="X819" s="587"/>
      <c r="Y819" s="587"/>
      <c r="Z819" s="587"/>
      <c r="AA819" s="587"/>
      <c r="AB819" s="587"/>
      <c r="AC819" s="587"/>
      <c r="AE819" s="587"/>
      <c r="AF819" s="587"/>
      <c r="AG819" s="587"/>
      <c r="AH819" s="587"/>
      <c r="AI819" s="587"/>
      <c r="AJ819" s="587"/>
      <c r="AK819" s="587"/>
      <c r="AL819" s="587"/>
      <c r="AM819" s="587"/>
      <c r="AO819" s="587"/>
      <c r="AP819" s="587"/>
      <c r="AQ819" s="587"/>
      <c r="AR819" s="587"/>
      <c r="AS819" s="587"/>
      <c r="AT819" s="587"/>
      <c r="AU819" s="587"/>
      <c r="AV819" s="587"/>
      <c r="AW819" s="587"/>
    </row>
    <row r="820" spans="1:49">
      <c r="A820" s="581">
        <v>34304</v>
      </c>
      <c r="B820" s="594">
        <v>1.21E-2</v>
      </c>
      <c r="C820" s="577">
        <v>-5.3E-3</v>
      </c>
      <c r="D820" s="577">
        <v>5.4999999999999997E-3</v>
      </c>
      <c r="E820" s="577">
        <v>5.7749999999999998E-3</v>
      </c>
      <c r="F820" s="577">
        <v>5.9333333333333339E-3</v>
      </c>
      <c r="G820" s="577">
        <v>5.8541666666666672E-3</v>
      </c>
      <c r="H820" s="577">
        <v>6.1131666666666661E-3</v>
      </c>
      <c r="I820" s="577">
        <f t="shared" si="134"/>
        <v>6.6E-3</v>
      </c>
      <c r="J820" s="577">
        <f t="shared" si="138"/>
        <v>6.2458333333333324E-3</v>
      </c>
      <c r="K820" s="577">
        <f t="shared" si="139"/>
        <v>-1.1413166666666665E-2</v>
      </c>
      <c r="L820" s="585">
        <f t="shared" si="135"/>
        <v>0.10079356319147137</v>
      </c>
      <c r="M820" s="585">
        <f t="shared" si="136"/>
        <v>6.6000000000000003E-2</v>
      </c>
      <c r="N820" s="585">
        <f t="shared" si="140"/>
        <v>7.0250000000000007E-2</v>
      </c>
      <c r="O820" s="586">
        <f t="shared" si="137"/>
        <v>3.4793563191471366E-2</v>
      </c>
      <c r="P820" s="585">
        <f t="shared" si="141"/>
        <v>3.0543563191471362E-2</v>
      </c>
      <c r="Q820" s="585">
        <f t="shared" si="142"/>
        <v>0.14393479143664001</v>
      </c>
      <c r="R820" s="585">
        <f t="shared" si="143"/>
        <v>7.3357999999999993E-2</v>
      </c>
      <c r="S820" s="586">
        <f t="shared" si="144"/>
        <v>7.0576791436640016E-2</v>
      </c>
      <c r="U820" s="587"/>
      <c r="V820" s="587"/>
      <c r="W820" s="587"/>
      <c r="X820" s="587"/>
      <c r="Y820" s="587"/>
      <c r="Z820" s="587"/>
      <c r="AA820" s="587"/>
      <c r="AB820" s="587"/>
      <c r="AC820" s="587"/>
      <c r="AE820" s="587"/>
      <c r="AF820" s="587"/>
      <c r="AG820" s="587"/>
      <c r="AH820" s="587"/>
      <c r="AI820" s="587"/>
      <c r="AJ820" s="587"/>
      <c r="AK820" s="587"/>
      <c r="AL820" s="587"/>
      <c r="AM820" s="587"/>
      <c r="AO820" s="587"/>
      <c r="AP820" s="587"/>
      <c r="AQ820" s="587"/>
      <c r="AR820" s="587"/>
      <c r="AS820" s="587"/>
      <c r="AT820" s="587"/>
      <c r="AU820" s="587"/>
      <c r="AV820" s="587"/>
      <c r="AW820" s="587"/>
    </row>
    <row r="821" spans="1:49">
      <c r="A821" s="581">
        <v>34335</v>
      </c>
      <c r="B821" s="594">
        <v>3.4000000000000002E-2</v>
      </c>
      <c r="C821" s="577">
        <v>7.1999999999999998E-3</v>
      </c>
      <c r="D821" s="577">
        <v>5.4999999999999997E-3</v>
      </c>
      <c r="E821" s="577">
        <v>5.7666666666666665E-3</v>
      </c>
      <c r="F821" s="577">
        <v>5.9333333333333339E-3</v>
      </c>
      <c r="G821" s="577">
        <v>5.8499999999999993E-3</v>
      </c>
      <c r="H821" s="577">
        <v>6.1104166666666668E-3</v>
      </c>
      <c r="I821" s="577">
        <f t="shared" si="134"/>
        <v>2.8500000000000004E-2</v>
      </c>
      <c r="J821" s="577">
        <f t="shared" si="138"/>
        <v>2.8150000000000001E-2</v>
      </c>
      <c r="K821" s="577">
        <f t="shared" si="139"/>
        <v>1.089583333333333E-3</v>
      </c>
      <c r="L821" s="585">
        <f t="shared" si="135"/>
        <v>0.12873913560093353</v>
      </c>
      <c r="M821" s="585">
        <f t="shared" si="136"/>
        <v>6.6000000000000003E-2</v>
      </c>
      <c r="N821" s="585">
        <f t="shared" si="140"/>
        <v>7.0199999999999985E-2</v>
      </c>
      <c r="O821" s="586">
        <f t="shared" si="137"/>
        <v>6.2739135600933527E-2</v>
      </c>
      <c r="P821" s="585">
        <f t="shared" si="141"/>
        <v>5.8539135600933545E-2</v>
      </c>
      <c r="Q821" s="585">
        <f t="shared" si="142"/>
        <v>0.13436164412226459</v>
      </c>
      <c r="R821" s="585">
        <f t="shared" si="143"/>
        <v>7.3325000000000001E-2</v>
      </c>
      <c r="S821" s="586">
        <f t="shared" si="144"/>
        <v>6.1036644122264588E-2</v>
      </c>
      <c r="U821" s="587"/>
      <c r="V821" s="587"/>
      <c r="W821" s="587"/>
      <c r="X821" s="587"/>
      <c r="Y821" s="587"/>
      <c r="Z821" s="587"/>
      <c r="AA821" s="587"/>
      <c r="AB821" s="587"/>
      <c r="AC821" s="587"/>
      <c r="AE821" s="587"/>
      <c r="AF821" s="587"/>
      <c r="AG821" s="587"/>
      <c r="AH821" s="587"/>
      <c r="AI821" s="587"/>
      <c r="AJ821" s="587"/>
      <c r="AK821" s="587"/>
      <c r="AL821" s="587"/>
      <c r="AM821" s="587"/>
      <c r="AO821" s="587"/>
      <c r="AP821" s="587"/>
      <c r="AQ821" s="587"/>
      <c r="AR821" s="587"/>
      <c r="AS821" s="587"/>
      <c r="AT821" s="587"/>
      <c r="AU821" s="587"/>
      <c r="AV821" s="587"/>
      <c r="AW821" s="587"/>
    </row>
    <row r="822" spans="1:49">
      <c r="A822" s="581">
        <v>34366</v>
      </c>
      <c r="B822" s="594">
        <v>-2.7099999999999999E-2</v>
      </c>
      <c r="C822" s="577">
        <v>-5.67E-2</v>
      </c>
      <c r="D822" s="577">
        <v>4.8999999999999998E-3</v>
      </c>
      <c r="E822" s="577">
        <v>5.8999999999999999E-3</v>
      </c>
      <c r="F822" s="577">
        <v>6.0750000000000005E-3</v>
      </c>
      <c r="G822" s="577">
        <v>5.9874999999999998E-3</v>
      </c>
      <c r="H822" s="577">
        <v>6.2052499999999998E-3</v>
      </c>
      <c r="I822" s="577">
        <f t="shared" si="134"/>
        <v>-3.2000000000000001E-2</v>
      </c>
      <c r="J822" s="577">
        <f t="shared" si="138"/>
        <v>-3.3087499999999999E-2</v>
      </c>
      <c r="K822" s="577">
        <f t="shared" si="139"/>
        <v>-6.2905249999999996E-2</v>
      </c>
      <c r="L822" s="585">
        <f t="shared" si="135"/>
        <v>8.3415849473311043E-2</v>
      </c>
      <c r="M822" s="585">
        <f t="shared" si="136"/>
        <v>5.8799999999999998E-2</v>
      </c>
      <c r="N822" s="585">
        <f t="shared" si="140"/>
        <v>7.1849999999999997E-2</v>
      </c>
      <c r="O822" s="586">
        <f t="shared" si="137"/>
        <v>2.4615849473311045E-2</v>
      </c>
      <c r="P822" s="585">
        <f t="shared" si="141"/>
        <v>1.1565849473311046E-2</v>
      </c>
      <c r="Q822" s="585">
        <f t="shared" si="142"/>
        <v>-1.9183481946347669E-3</v>
      </c>
      <c r="R822" s="585">
        <f t="shared" si="143"/>
        <v>7.4463000000000001E-2</v>
      </c>
      <c r="S822" s="586">
        <f t="shared" si="144"/>
        <v>-7.6381348194634768E-2</v>
      </c>
      <c r="U822" s="587"/>
      <c r="V822" s="587"/>
      <c r="W822" s="587"/>
      <c r="X822" s="587"/>
      <c r="Y822" s="587"/>
      <c r="Z822" s="587"/>
      <c r="AA822" s="587"/>
      <c r="AB822" s="587"/>
      <c r="AC822" s="587"/>
      <c r="AE822" s="587"/>
      <c r="AF822" s="587"/>
      <c r="AG822" s="587"/>
      <c r="AH822" s="587"/>
      <c r="AI822" s="587"/>
      <c r="AJ822" s="587"/>
      <c r="AK822" s="587"/>
      <c r="AL822" s="587"/>
      <c r="AM822" s="587"/>
      <c r="AO822" s="587"/>
      <c r="AP822" s="587"/>
      <c r="AQ822" s="587"/>
      <c r="AR822" s="587"/>
      <c r="AS822" s="587"/>
      <c r="AT822" s="587"/>
      <c r="AU822" s="587"/>
      <c r="AV822" s="587"/>
      <c r="AW822" s="587"/>
    </row>
    <row r="823" spans="1:49">
      <c r="A823" s="581">
        <v>34394</v>
      </c>
      <c r="B823" s="594">
        <v>-4.36E-2</v>
      </c>
      <c r="C823" s="577">
        <v>-3.3800000000000004E-2</v>
      </c>
      <c r="D823" s="577">
        <v>5.7999999999999996E-3</v>
      </c>
      <c r="E823" s="577">
        <v>5.8999999999999999E-3</v>
      </c>
      <c r="F823" s="577">
        <v>6.0750000000000005E-3</v>
      </c>
      <c r="G823" s="577">
        <v>5.9874999999999998E-3</v>
      </c>
      <c r="H823" s="577">
        <v>6.527666666666666E-3</v>
      </c>
      <c r="I823" s="577">
        <f t="shared" si="134"/>
        <v>-4.9399999999999999E-2</v>
      </c>
      <c r="J823" s="577">
        <f t="shared" si="138"/>
        <v>-4.95875E-2</v>
      </c>
      <c r="K823" s="577">
        <f t="shared" si="139"/>
        <v>-4.0327666666666671E-2</v>
      </c>
      <c r="L823" s="585">
        <f t="shared" si="135"/>
        <v>1.4767327819287912E-2</v>
      </c>
      <c r="M823" s="585">
        <f t="shared" si="136"/>
        <v>6.9599999999999995E-2</v>
      </c>
      <c r="N823" s="585">
        <f t="shared" si="140"/>
        <v>7.1849999999999997E-2</v>
      </c>
      <c r="O823" s="586">
        <f t="shared" si="137"/>
        <v>-5.4832672180712083E-2</v>
      </c>
      <c r="P823" s="585">
        <f t="shared" si="141"/>
        <v>-5.7082672180712085E-2</v>
      </c>
      <c r="Q823" s="585">
        <f t="shared" si="142"/>
        <v>-5.2704821243277244E-2</v>
      </c>
      <c r="R823" s="585">
        <f t="shared" si="143"/>
        <v>7.8331999999999985E-2</v>
      </c>
      <c r="S823" s="586">
        <f t="shared" si="144"/>
        <v>-0.13103682124327723</v>
      </c>
      <c r="U823" s="587"/>
      <c r="V823" s="587"/>
      <c r="W823" s="587"/>
      <c r="X823" s="587"/>
      <c r="Y823" s="587"/>
      <c r="Z823" s="587"/>
      <c r="AA823" s="587"/>
      <c r="AB823" s="587"/>
      <c r="AC823" s="587"/>
      <c r="AE823" s="587"/>
      <c r="AF823" s="587"/>
      <c r="AG823" s="587"/>
      <c r="AH823" s="587"/>
      <c r="AI823" s="587"/>
      <c r="AJ823" s="587"/>
      <c r="AK823" s="587"/>
      <c r="AL823" s="587"/>
      <c r="AM823" s="587"/>
      <c r="AO823" s="587"/>
      <c r="AP823" s="587"/>
      <c r="AQ823" s="587"/>
      <c r="AR823" s="587"/>
      <c r="AS823" s="587"/>
      <c r="AT823" s="587"/>
      <c r="AU823" s="587"/>
      <c r="AV823" s="587"/>
      <c r="AW823" s="587"/>
    </row>
    <row r="824" spans="1:49">
      <c r="A824" s="581">
        <v>34425</v>
      </c>
      <c r="B824" s="594">
        <v>1.2800000000000001E-2</v>
      </c>
      <c r="C824" s="577">
        <v>2.46E-2</v>
      </c>
      <c r="D824" s="577">
        <v>5.7000000000000002E-3</v>
      </c>
      <c r="E824" s="577">
        <v>6.2333333333333338E-3</v>
      </c>
      <c r="F824" s="577">
        <v>6.4083333333333336E-3</v>
      </c>
      <c r="G824" s="577">
        <v>6.3208333333333337E-3</v>
      </c>
      <c r="H824" s="577">
        <v>6.8514166666666662E-3</v>
      </c>
      <c r="I824" s="577">
        <f t="shared" si="134"/>
        <v>7.1000000000000004E-3</v>
      </c>
      <c r="J824" s="577">
        <f t="shared" si="138"/>
        <v>6.4791666666666669E-3</v>
      </c>
      <c r="K824" s="577">
        <f t="shared" si="139"/>
        <v>1.7748583333333335E-2</v>
      </c>
      <c r="L824" s="585">
        <f t="shared" si="135"/>
        <v>5.3244875605015896E-2</v>
      </c>
      <c r="M824" s="585">
        <f t="shared" si="136"/>
        <v>6.8400000000000002E-2</v>
      </c>
      <c r="N824" s="585">
        <f t="shared" si="140"/>
        <v>7.5850000000000001E-2</v>
      </c>
      <c r="O824" s="586">
        <f t="shared" si="137"/>
        <v>-1.5155124394984107E-2</v>
      </c>
      <c r="P824" s="585">
        <f t="shared" si="141"/>
        <v>-2.2605124394984105E-2</v>
      </c>
      <c r="Q824" s="585">
        <f t="shared" si="142"/>
        <v>-2.6773648697344554E-2</v>
      </c>
      <c r="R824" s="585">
        <f t="shared" si="143"/>
        <v>8.2216999999999998E-2</v>
      </c>
      <c r="S824" s="586">
        <f t="shared" si="144"/>
        <v>-0.10899064869734455</v>
      </c>
      <c r="U824" s="587"/>
      <c r="V824" s="587"/>
      <c r="W824" s="587"/>
      <c r="X824" s="587"/>
      <c r="Y824" s="587"/>
      <c r="Z824" s="587"/>
      <c r="AA824" s="587"/>
      <c r="AB824" s="587"/>
      <c r="AC824" s="587"/>
      <c r="AE824" s="587"/>
      <c r="AF824" s="587"/>
      <c r="AG824" s="587"/>
      <c r="AH824" s="587"/>
      <c r="AI824" s="587"/>
      <c r="AJ824" s="587"/>
      <c r="AK824" s="587"/>
      <c r="AL824" s="587"/>
      <c r="AM824" s="587"/>
      <c r="AO824" s="587"/>
      <c r="AP824" s="587"/>
      <c r="AQ824" s="587"/>
      <c r="AR824" s="587"/>
      <c r="AS824" s="587"/>
      <c r="AT824" s="587"/>
      <c r="AU824" s="587"/>
      <c r="AV824" s="587"/>
      <c r="AW824" s="587"/>
    </row>
    <row r="825" spans="1:49">
      <c r="A825" s="581">
        <v>34455</v>
      </c>
      <c r="B825" s="594">
        <v>1.6400000000000001E-2</v>
      </c>
      <c r="C825" s="577">
        <v>-2.6800000000000001E-2</v>
      </c>
      <c r="D825" s="577">
        <v>6.3E-3</v>
      </c>
      <c r="E825" s="577">
        <v>6.6583333333333338E-3</v>
      </c>
      <c r="F825" s="577">
        <v>6.8250000000000003E-3</v>
      </c>
      <c r="G825" s="577">
        <v>6.7416666666666666E-3</v>
      </c>
      <c r="H825" s="577">
        <v>6.9384999999999994E-3</v>
      </c>
      <c r="I825" s="577">
        <f t="shared" si="134"/>
        <v>1.0100000000000001E-2</v>
      </c>
      <c r="J825" s="577">
        <f t="shared" si="138"/>
        <v>9.6583333333333347E-3</v>
      </c>
      <c r="K825" s="577">
        <f t="shared" si="139"/>
        <v>-3.3738499999999998E-2</v>
      </c>
      <c r="L825" s="585">
        <f t="shared" si="135"/>
        <v>4.2577027235039422E-2</v>
      </c>
      <c r="M825" s="585">
        <f t="shared" si="136"/>
        <v>7.5600000000000001E-2</v>
      </c>
      <c r="N825" s="585">
        <f t="shared" si="140"/>
        <v>8.09E-2</v>
      </c>
      <c r="O825" s="586">
        <f t="shared" si="137"/>
        <v>-3.3022972764960579E-2</v>
      </c>
      <c r="P825" s="585">
        <f t="shared" si="141"/>
        <v>-3.8322972764960578E-2</v>
      </c>
      <c r="Q825" s="585">
        <f t="shared" si="142"/>
        <v>-3.441341106357021E-2</v>
      </c>
      <c r="R825" s="585">
        <f t="shared" si="143"/>
        <v>8.3261999999999989E-2</v>
      </c>
      <c r="S825" s="586">
        <f t="shared" si="144"/>
        <v>-0.1176754110635702</v>
      </c>
      <c r="U825" s="587"/>
      <c r="V825" s="587"/>
      <c r="W825" s="587"/>
      <c r="X825" s="587"/>
      <c r="Y825" s="587"/>
      <c r="Z825" s="587"/>
      <c r="AA825" s="587"/>
      <c r="AB825" s="587"/>
      <c r="AC825" s="587"/>
      <c r="AE825" s="587"/>
      <c r="AF825" s="587"/>
      <c r="AG825" s="587"/>
      <c r="AH825" s="587"/>
      <c r="AI825" s="587"/>
      <c r="AJ825" s="587"/>
      <c r="AK825" s="587"/>
      <c r="AL825" s="587"/>
      <c r="AM825" s="587"/>
      <c r="AO825" s="587"/>
      <c r="AP825" s="587"/>
      <c r="AQ825" s="587"/>
      <c r="AR825" s="587"/>
      <c r="AS825" s="587"/>
      <c r="AT825" s="587"/>
      <c r="AU825" s="587"/>
      <c r="AV825" s="587"/>
      <c r="AW825" s="587"/>
    </row>
    <row r="826" spans="1:49">
      <c r="A826" s="581">
        <v>34486</v>
      </c>
      <c r="B826" s="594">
        <v>-2.4500000000000001E-2</v>
      </c>
      <c r="C826" s="577">
        <v>2.0999999999999994E-3</v>
      </c>
      <c r="D826" s="577">
        <v>6.0999999999999995E-3</v>
      </c>
      <c r="E826" s="577">
        <v>6.6416666666666672E-3</v>
      </c>
      <c r="F826" s="577">
        <v>6.8083333333333329E-3</v>
      </c>
      <c r="G826" s="577">
        <v>6.7250000000000001E-3</v>
      </c>
      <c r="H826" s="577">
        <v>6.9234166666666663E-3</v>
      </c>
      <c r="I826" s="577">
        <f t="shared" si="134"/>
        <v>-3.0600000000000002E-2</v>
      </c>
      <c r="J826" s="577">
        <f t="shared" si="138"/>
        <v>-3.1225000000000003E-2</v>
      </c>
      <c r="K826" s="577">
        <f t="shared" si="139"/>
        <v>-4.8234166666666668E-3</v>
      </c>
      <c r="L826" s="585">
        <f t="shared" si="135"/>
        <v>1.4093020308885373E-2</v>
      </c>
      <c r="M826" s="585">
        <f t="shared" si="136"/>
        <v>7.3199999999999987E-2</v>
      </c>
      <c r="N826" s="585">
        <f t="shared" si="140"/>
        <v>8.0699999999999994E-2</v>
      </c>
      <c r="O826" s="586">
        <f t="shared" si="137"/>
        <v>-5.9106979691114614E-2</v>
      </c>
      <c r="P826" s="585">
        <f t="shared" si="141"/>
        <v>-6.6606979691114621E-2</v>
      </c>
      <c r="Q826" s="585">
        <f t="shared" si="142"/>
        <v>-7.5203745796428856E-2</v>
      </c>
      <c r="R826" s="585">
        <f t="shared" si="143"/>
        <v>8.3080999999999988E-2</v>
      </c>
      <c r="S826" s="586">
        <f t="shared" si="144"/>
        <v>-0.15828474579642884</v>
      </c>
      <c r="U826" s="587"/>
      <c r="V826" s="587"/>
      <c r="W826" s="587"/>
      <c r="X826" s="587"/>
      <c r="Y826" s="587"/>
      <c r="Z826" s="587"/>
      <c r="AA826" s="587"/>
      <c r="AB826" s="587"/>
      <c r="AC826" s="587"/>
      <c r="AE826" s="587"/>
      <c r="AF826" s="587"/>
      <c r="AG826" s="587"/>
      <c r="AH826" s="587"/>
      <c r="AI826" s="587"/>
      <c r="AJ826" s="587"/>
      <c r="AK826" s="587"/>
      <c r="AL826" s="587"/>
      <c r="AM826" s="587"/>
      <c r="AO826" s="587"/>
      <c r="AP826" s="587"/>
      <c r="AQ826" s="587"/>
      <c r="AR826" s="587"/>
      <c r="AS826" s="587"/>
      <c r="AT826" s="587"/>
      <c r="AU826" s="587"/>
      <c r="AV826" s="587"/>
      <c r="AW826" s="587"/>
    </row>
    <row r="827" spans="1:49">
      <c r="A827" s="581">
        <v>34516</v>
      </c>
      <c r="B827" s="594">
        <v>3.2800000000000003E-2</v>
      </c>
      <c r="C827" s="577">
        <v>3.3599999999999998E-2</v>
      </c>
      <c r="D827" s="577">
        <v>6.0000000000000001E-3</v>
      </c>
      <c r="E827" s="577">
        <v>6.7583333333333332E-3</v>
      </c>
      <c r="F827" s="577">
        <v>6.9249999999999997E-3</v>
      </c>
      <c r="G827" s="577">
        <v>6.841666666666666E-3</v>
      </c>
      <c r="H827" s="577">
        <v>7.0627500000000013E-3</v>
      </c>
      <c r="I827" s="577">
        <f t="shared" si="134"/>
        <v>2.6800000000000004E-2</v>
      </c>
      <c r="J827" s="577">
        <f t="shared" si="138"/>
        <v>2.5958333333333337E-2</v>
      </c>
      <c r="K827" s="577">
        <f t="shared" si="139"/>
        <v>2.6537249999999998E-2</v>
      </c>
      <c r="L827" s="585">
        <f t="shared" si="135"/>
        <v>5.1561517444795646E-2</v>
      </c>
      <c r="M827" s="585">
        <f t="shared" si="136"/>
        <v>7.2000000000000008E-2</v>
      </c>
      <c r="N827" s="585">
        <f t="shared" si="140"/>
        <v>8.2099999999999992E-2</v>
      </c>
      <c r="O827" s="586">
        <f t="shared" si="137"/>
        <v>-2.0438482555204363E-2</v>
      </c>
      <c r="P827" s="585">
        <f t="shared" si="141"/>
        <v>-3.0538482555204347E-2</v>
      </c>
      <c r="Q827" s="585">
        <f t="shared" si="142"/>
        <v>-6.5255810341471543E-2</v>
      </c>
      <c r="R827" s="585">
        <f t="shared" si="143"/>
        <v>8.4753000000000023E-2</v>
      </c>
      <c r="S827" s="586">
        <f t="shared" si="144"/>
        <v>-0.15000881034147157</v>
      </c>
      <c r="U827" s="587"/>
      <c r="V827" s="587"/>
      <c r="W827" s="587"/>
      <c r="X827" s="587"/>
      <c r="Y827" s="587"/>
      <c r="Z827" s="587"/>
      <c r="AA827" s="587"/>
      <c r="AB827" s="587"/>
      <c r="AC827" s="587"/>
      <c r="AE827" s="587"/>
      <c r="AF827" s="587"/>
      <c r="AG827" s="587"/>
      <c r="AH827" s="587"/>
      <c r="AI827" s="587"/>
      <c r="AJ827" s="587"/>
      <c r="AK827" s="587"/>
      <c r="AL827" s="587"/>
      <c r="AM827" s="587"/>
      <c r="AO827" s="587"/>
      <c r="AP827" s="587"/>
      <c r="AQ827" s="587"/>
      <c r="AR827" s="587"/>
      <c r="AS827" s="587"/>
      <c r="AT827" s="587"/>
      <c r="AU827" s="587"/>
      <c r="AV827" s="587"/>
      <c r="AW827" s="587"/>
    </row>
    <row r="828" spans="1:49">
      <c r="A828" s="581">
        <v>34547</v>
      </c>
      <c r="B828" s="594">
        <v>4.1000000000000002E-2</v>
      </c>
      <c r="C828" s="577">
        <v>-2.7999999999999995E-3</v>
      </c>
      <c r="D828" s="577">
        <v>6.6E-3</v>
      </c>
      <c r="E828" s="577">
        <v>6.7250000000000001E-3</v>
      </c>
      <c r="F828" s="577">
        <v>6.875E-3</v>
      </c>
      <c r="G828" s="577">
        <v>6.7999999999999996E-3</v>
      </c>
      <c r="H828" s="577">
        <v>7.0058333333333335E-3</v>
      </c>
      <c r="I828" s="577">
        <f t="shared" si="134"/>
        <v>3.44E-2</v>
      </c>
      <c r="J828" s="577">
        <f t="shared" si="138"/>
        <v>3.4200000000000001E-2</v>
      </c>
      <c r="K828" s="577">
        <f t="shared" si="139"/>
        <v>-9.8058333333333331E-3</v>
      </c>
      <c r="L828" s="585">
        <f t="shared" si="135"/>
        <v>5.470232166878497E-2</v>
      </c>
      <c r="M828" s="585">
        <f t="shared" si="136"/>
        <v>7.9199999999999993E-2</v>
      </c>
      <c r="N828" s="585">
        <f t="shared" si="140"/>
        <v>8.1599999999999992E-2</v>
      </c>
      <c r="O828" s="586">
        <f t="shared" si="137"/>
        <v>-2.4497678331215023E-2</v>
      </c>
      <c r="P828" s="585">
        <f t="shared" si="141"/>
        <v>-2.6897678331215022E-2</v>
      </c>
      <c r="Q828" s="585">
        <f t="shared" si="142"/>
        <v>-0.11090527858881671</v>
      </c>
      <c r="R828" s="585">
        <f t="shared" si="143"/>
        <v>8.4070000000000006E-2</v>
      </c>
      <c r="S828" s="586">
        <f t="shared" si="144"/>
        <v>-0.19497527858881672</v>
      </c>
      <c r="U828" s="587"/>
      <c r="V828" s="587"/>
      <c r="W828" s="587"/>
      <c r="X828" s="587"/>
      <c r="Y828" s="587"/>
      <c r="Z828" s="587"/>
      <c r="AA828" s="587"/>
      <c r="AB828" s="587"/>
      <c r="AC828" s="587"/>
      <c r="AE828" s="587"/>
      <c r="AF828" s="587"/>
      <c r="AG828" s="587"/>
      <c r="AH828" s="587"/>
      <c r="AI828" s="587"/>
      <c r="AJ828" s="587"/>
      <c r="AK828" s="587"/>
      <c r="AL828" s="587"/>
      <c r="AM828" s="587"/>
      <c r="AO828" s="587"/>
      <c r="AP828" s="587"/>
      <c r="AQ828" s="587"/>
      <c r="AR828" s="587"/>
      <c r="AS828" s="587"/>
      <c r="AT828" s="587"/>
      <c r="AU828" s="587"/>
      <c r="AV828" s="587"/>
      <c r="AW828" s="587"/>
    </row>
    <row r="829" spans="1:49">
      <c r="A829" s="581">
        <v>34578</v>
      </c>
      <c r="B829" s="594">
        <v>-2.4500000000000001E-2</v>
      </c>
      <c r="C829" s="577">
        <v>-2.5399999999999999E-2</v>
      </c>
      <c r="D829" s="577">
        <v>6.0999999999999995E-3</v>
      </c>
      <c r="E829" s="577">
        <v>6.9499999999999996E-3</v>
      </c>
      <c r="F829" s="577">
        <v>7.0750000000000006E-3</v>
      </c>
      <c r="G829" s="577">
        <v>7.0124999999999996E-3</v>
      </c>
      <c r="H829" s="577">
        <v>7.1869166666666661E-3</v>
      </c>
      <c r="I829" s="577">
        <f t="shared" si="134"/>
        <v>-3.0600000000000002E-2</v>
      </c>
      <c r="J829" s="577">
        <f t="shared" si="138"/>
        <v>-3.1512499999999999E-2</v>
      </c>
      <c r="K829" s="577">
        <f t="shared" si="139"/>
        <v>-3.2586916666666667E-2</v>
      </c>
      <c r="L829" s="585">
        <f t="shared" si="135"/>
        <v>3.6845827660888952E-2</v>
      </c>
      <c r="M829" s="585">
        <f t="shared" si="136"/>
        <v>7.3199999999999987E-2</v>
      </c>
      <c r="N829" s="585">
        <f t="shared" si="140"/>
        <v>8.4150000000000003E-2</v>
      </c>
      <c r="O829" s="586">
        <f t="shared" si="137"/>
        <v>-3.6354172339111035E-2</v>
      </c>
      <c r="P829" s="585">
        <f t="shared" si="141"/>
        <v>-4.730417233911105E-2</v>
      </c>
      <c r="Q829" s="585">
        <f t="shared" si="142"/>
        <v>-0.13175178808883847</v>
      </c>
      <c r="R829" s="585">
        <f t="shared" si="143"/>
        <v>8.6242999999999986E-2</v>
      </c>
      <c r="S829" s="586">
        <f t="shared" si="144"/>
        <v>-0.21799478808883846</v>
      </c>
      <c r="U829" s="587"/>
      <c r="V829" s="587"/>
      <c r="W829" s="587"/>
      <c r="X829" s="587"/>
      <c r="Y829" s="587"/>
      <c r="Z829" s="587"/>
      <c r="AA829" s="587"/>
      <c r="AB829" s="587"/>
      <c r="AC829" s="587"/>
      <c r="AE829" s="587"/>
      <c r="AF829" s="587"/>
      <c r="AG829" s="587"/>
      <c r="AH829" s="587"/>
      <c r="AI829" s="587"/>
      <c r="AJ829" s="587"/>
      <c r="AK829" s="587"/>
      <c r="AL829" s="587"/>
      <c r="AM829" s="587"/>
      <c r="AO829" s="587"/>
      <c r="AP829" s="587"/>
      <c r="AQ829" s="587"/>
      <c r="AR829" s="587"/>
      <c r="AS829" s="587"/>
      <c r="AT829" s="587"/>
      <c r="AU829" s="587"/>
      <c r="AV829" s="587"/>
      <c r="AW829" s="587"/>
    </row>
    <row r="830" spans="1:49">
      <c r="A830" s="581">
        <v>34608</v>
      </c>
      <c r="B830" s="594">
        <v>2.2499999999999999E-2</v>
      </c>
      <c r="C830" s="577">
        <v>8.6E-3</v>
      </c>
      <c r="D830" s="577">
        <v>6.6E-3</v>
      </c>
      <c r="E830" s="577">
        <v>7.1416666666666677E-3</v>
      </c>
      <c r="F830" s="577">
        <v>7.2583333333333345E-3</v>
      </c>
      <c r="G830" s="577">
        <v>7.2000000000000007E-3</v>
      </c>
      <c r="H830" s="577">
        <v>7.376999999999999E-3</v>
      </c>
      <c r="I830" s="577">
        <f t="shared" si="134"/>
        <v>1.5899999999999997E-2</v>
      </c>
      <c r="J830" s="577">
        <f t="shared" si="138"/>
        <v>1.5299999999999998E-2</v>
      </c>
      <c r="K830" s="577">
        <f t="shared" si="139"/>
        <v>1.223000000000001E-3</v>
      </c>
      <c r="L830" s="585">
        <f t="shared" si="135"/>
        <v>3.8674300757577162E-2</v>
      </c>
      <c r="M830" s="585">
        <f t="shared" si="136"/>
        <v>7.9199999999999993E-2</v>
      </c>
      <c r="N830" s="585">
        <f t="shared" si="140"/>
        <v>8.6400000000000005E-2</v>
      </c>
      <c r="O830" s="586">
        <f t="shared" si="137"/>
        <v>-4.052569924242283E-2</v>
      </c>
      <c r="P830" s="585">
        <f t="shared" si="141"/>
        <v>-4.7725699242422842E-2</v>
      </c>
      <c r="Q830" s="585">
        <f t="shared" si="142"/>
        <v>-0.12244198162782116</v>
      </c>
      <c r="R830" s="585">
        <f t="shared" si="143"/>
        <v>8.8523999999999992E-2</v>
      </c>
      <c r="S830" s="586">
        <f t="shared" si="144"/>
        <v>-0.21096598162782115</v>
      </c>
      <c r="U830" s="587"/>
      <c r="V830" s="587"/>
      <c r="W830" s="587"/>
      <c r="X830" s="587"/>
      <c r="Y830" s="587"/>
      <c r="Z830" s="587"/>
      <c r="AA830" s="587"/>
      <c r="AB830" s="587"/>
      <c r="AC830" s="587"/>
      <c r="AE830" s="587"/>
      <c r="AF830" s="587"/>
      <c r="AG830" s="587"/>
      <c r="AH830" s="587"/>
      <c r="AI830" s="587"/>
      <c r="AJ830" s="587"/>
      <c r="AK830" s="587"/>
      <c r="AL830" s="587"/>
      <c r="AM830" s="587"/>
      <c r="AO830" s="587"/>
      <c r="AP830" s="587"/>
      <c r="AQ830" s="587"/>
      <c r="AR830" s="587"/>
      <c r="AS830" s="587"/>
      <c r="AT830" s="587"/>
      <c r="AU830" s="587"/>
      <c r="AV830" s="587"/>
      <c r="AW830" s="587"/>
    </row>
    <row r="831" spans="1:49">
      <c r="A831" s="581">
        <v>34639</v>
      </c>
      <c r="B831" s="594">
        <v>-3.6400000000000002E-2</v>
      </c>
      <c r="C831" s="577">
        <v>-1.46E-2</v>
      </c>
      <c r="D831" s="577">
        <v>6.4000000000000003E-3</v>
      </c>
      <c r="E831" s="577">
        <v>7.2333333333333329E-3</v>
      </c>
      <c r="F831" s="577">
        <v>7.358333333333333E-3</v>
      </c>
      <c r="G831" s="577">
        <v>7.2958333333333321E-3</v>
      </c>
      <c r="H831" s="577">
        <v>7.4862499999999998E-3</v>
      </c>
      <c r="I831" s="577">
        <f t="shared" si="134"/>
        <v>-4.2800000000000005E-2</v>
      </c>
      <c r="J831" s="577">
        <f t="shared" si="138"/>
        <v>-4.3695833333333337E-2</v>
      </c>
      <c r="K831" s="577">
        <f t="shared" si="139"/>
        <v>-2.2086250000000002E-2</v>
      </c>
      <c r="L831" s="585">
        <f t="shared" si="135"/>
        <v>1.0465983048966621E-2</v>
      </c>
      <c r="M831" s="585">
        <f t="shared" si="136"/>
        <v>7.6800000000000007E-2</v>
      </c>
      <c r="N831" s="585">
        <f t="shared" si="140"/>
        <v>8.7549999999999989E-2</v>
      </c>
      <c r="O831" s="586">
        <f t="shared" si="137"/>
        <v>-6.6334016951033387E-2</v>
      </c>
      <c r="P831" s="585">
        <f t="shared" si="141"/>
        <v>-7.7084016951033368E-2</v>
      </c>
      <c r="Q831" s="585">
        <f t="shared" si="142"/>
        <v>-8.907018718640547E-2</v>
      </c>
      <c r="R831" s="585">
        <f t="shared" si="143"/>
        <v>8.9834999999999998E-2</v>
      </c>
      <c r="S831" s="586">
        <f t="shared" si="144"/>
        <v>-0.17890518718640547</v>
      </c>
      <c r="U831" s="587"/>
      <c r="V831" s="587"/>
      <c r="W831" s="587"/>
      <c r="X831" s="587"/>
      <c r="Y831" s="587"/>
      <c r="Z831" s="587"/>
      <c r="AA831" s="587"/>
      <c r="AB831" s="587"/>
      <c r="AC831" s="587"/>
      <c r="AE831" s="587"/>
      <c r="AF831" s="587"/>
      <c r="AG831" s="587"/>
      <c r="AH831" s="587"/>
      <c r="AI831" s="587"/>
      <c r="AJ831" s="587"/>
      <c r="AK831" s="587"/>
      <c r="AL831" s="587"/>
      <c r="AM831" s="587"/>
      <c r="AO831" s="587"/>
      <c r="AP831" s="587"/>
      <c r="AQ831" s="587"/>
      <c r="AR831" s="587"/>
      <c r="AS831" s="587"/>
      <c r="AT831" s="587"/>
      <c r="AU831" s="587"/>
      <c r="AV831" s="587"/>
      <c r="AW831" s="587"/>
    </row>
    <row r="832" spans="1:49">
      <c r="A832" s="581">
        <v>34669</v>
      </c>
      <c r="B832" s="594">
        <v>1.4800000000000001E-2</v>
      </c>
      <c r="C832" s="577">
        <v>5.1999999999999998E-3</v>
      </c>
      <c r="D832" s="577">
        <v>6.6E-3</v>
      </c>
      <c r="E832" s="577">
        <v>7.0500000000000007E-3</v>
      </c>
      <c r="F832" s="577">
        <v>7.1833333333333324E-3</v>
      </c>
      <c r="G832" s="577">
        <v>7.116666666666667E-3</v>
      </c>
      <c r="H832" s="577">
        <v>7.3067500000000007E-3</v>
      </c>
      <c r="I832" s="577">
        <f t="shared" si="134"/>
        <v>8.2000000000000007E-3</v>
      </c>
      <c r="J832" s="577">
        <f t="shared" si="138"/>
        <v>7.6833333333333337E-3</v>
      </c>
      <c r="K832" s="577">
        <f t="shared" si="139"/>
        <v>-2.106750000000001E-3</v>
      </c>
      <c r="L832" s="585">
        <f t="shared" si="135"/>
        <v>1.3161623948316548E-2</v>
      </c>
      <c r="M832" s="585">
        <f t="shared" si="136"/>
        <v>7.9199999999999993E-2</v>
      </c>
      <c r="N832" s="585">
        <f t="shared" si="140"/>
        <v>8.5400000000000004E-2</v>
      </c>
      <c r="O832" s="586">
        <f t="shared" si="137"/>
        <v>-6.6038376051683445E-2</v>
      </c>
      <c r="P832" s="585">
        <f t="shared" si="141"/>
        <v>-7.2238376051683456E-2</v>
      </c>
      <c r="Q832" s="585">
        <f t="shared" si="142"/>
        <v>-7.9454460802025451E-2</v>
      </c>
      <c r="R832" s="585">
        <f t="shared" si="143"/>
        <v>8.7681000000000009E-2</v>
      </c>
      <c r="S832" s="586">
        <f t="shared" si="144"/>
        <v>-0.16713546080202546</v>
      </c>
      <c r="U832" s="587"/>
      <c r="V832" s="587"/>
      <c r="W832" s="587"/>
      <c r="X832" s="587"/>
      <c r="Y832" s="587"/>
      <c r="Z832" s="587"/>
      <c r="AA832" s="587"/>
      <c r="AB832" s="587"/>
      <c r="AC832" s="587"/>
      <c r="AE832" s="587"/>
      <c r="AF832" s="587"/>
      <c r="AG832" s="587"/>
      <c r="AH832" s="587"/>
      <c r="AI832" s="587"/>
      <c r="AJ832" s="587"/>
      <c r="AK832" s="587"/>
      <c r="AL832" s="587"/>
      <c r="AM832" s="587"/>
      <c r="AO832" s="587"/>
      <c r="AP832" s="587"/>
      <c r="AQ832" s="587"/>
      <c r="AR832" s="587"/>
      <c r="AS832" s="587"/>
      <c r="AT832" s="587"/>
      <c r="AU832" s="587"/>
      <c r="AV832" s="587"/>
      <c r="AW832" s="587"/>
    </row>
    <row r="833" spans="1:49">
      <c r="A833" s="581">
        <v>34700</v>
      </c>
      <c r="B833" s="594">
        <v>2.5899999999999999E-2</v>
      </c>
      <c r="C833" s="577">
        <v>7.7900000000000011E-2</v>
      </c>
      <c r="D833" s="577">
        <v>7.000000000000001E-3</v>
      </c>
      <c r="E833" s="577">
        <v>7.0500000000000007E-3</v>
      </c>
      <c r="F833" s="577">
        <v>7.1666666666666667E-3</v>
      </c>
      <c r="G833" s="577">
        <v>7.1083333333333346E-3</v>
      </c>
      <c r="H833" s="577">
        <v>7.2879166666666665E-3</v>
      </c>
      <c r="I833" s="577">
        <f t="shared" si="134"/>
        <v>1.89E-2</v>
      </c>
      <c r="J833" s="577">
        <f t="shared" si="138"/>
        <v>1.8791666666666665E-2</v>
      </c>
      <c r="K833" s="577">
        <f t="shared" si="139"/>
        <v>7.0612083333333339E-2</v>
      </c>
      <c r="L833" s="585">
        <f t="shared" si="135"/>
        <v>5.2248646117776243E-3</v>
      </c>
      <c r="M833" s="585">
        <f t="shared" si="136"/>
        <v>8.4000000000000019E-2</v>
      </c>
      <c r="N833" s="585">
        <f t="shared" si="140"/>
        <v>8.5300000000000015E-2</v>
      </c>
      <c r="O833" s="586">
        <f t="shared" si="137"/>
        <v>-7.8775135388222395E-2</v>
      </c>
      <c r="P833" s="585">
        <f t="shared" si="141"/>
        <v>-8.007513538822239E-2</v>
      </c>
      <c r="Q833" s="585">
        <f t="shared" si="142"/>
        <v>-1.4837135919880118E-2</v>
      </c>
      <c r="R833" s="585">
        <f t="shared" si="143"/>
        <v>8.7455000000000005E-2</v>
      </c>
      <c r="S833" s="586">
        <f t="shared" si="144"/>
        <v>-0.10229213591988012</v>
      </c>
      <c r="U833" s="587"/>
      <c r="V833" s="587"/>
      <c r="W833" s="587"/>
      <c r="X833" s="587"/>
      <c r="Y833" s="587"/>
      <c r="Z833" s="587"/>
      <c r="AA833" s="587"/>
      <c r="AB833" s="587"/>
      <c r="AC833" s="587"/>
      <c r="AE833" s="587"/>
      <c r="AF833" s="587"/>
      <c r="AG833" s="587"/>
      <c r="AH833" s="587"/>
      <c r="AI833" s="587"/>
      <c r="AJ833" s="587"/>
      <c r="AK833" s="587"/>
      <c r="AL833" s="587"/>
      <c r="AM833" s="587"/>
      <c r="AO833" s="587"/>
      <c r="AP833" s="587"/>
      <c r="AQ833" s="587"/>
      <c r="AR833" s="587"/>
      <c r="AS833" s="587"/>
      <c r="AT833" s="587"/>
      <c r="AU833" s="587"/>
      <c r="AV833" s="587"/>
      <c r="AW833" s="587"/>
    </row>
    <row r="834" spans="1:49">
      <c r="A834" s="581">
        <v>34731</v>
      </c>
      <c r="B834" s="594">
        <v>3.9E-2</v>
      </c>
      <c r="C834" s="577">
        <v>-1.5000000000000005E-3</v>
      </c>
      <c r="D834" s="577">
        <v>5.8999999999999999E-3</v>
      </c>
      <c r="E834" s="577">
        <v>6.8833333333333333E-3</v>
      </c>
      <c r="F834" s="577">
        <v>6.9916666666666669E-3</v>
      </c>
      <c r="G834" s="577">
        <v>6.937500000000001E-3</v>
      </c>
      <c r="H834" s="577">
        <v>7.1083333333333328E-3</v>
      </c>
      <c r="I834" s="577">
        <f t="shared" si="134"/>
        <v>3.3099999999999997E-2</v>
      </c>
      <c r="J834" s="577">
        <f t="shared" si="138"/>
        <v>3.2062500000000001E-2</v>
      </c>
      <c r="K834" s="577">
        <f t="shared" si="139"/>
        <v>-8.6083333333333324E-3</v>
      </c>
      <c r="L834" s="585">
        <f t="shared" si="135"/>
        <v>7.3521054919968076E-2</v>
      </c>
      <c r="M834" s="585">
        <f t="shared" si="136"/>
        <v>7.0800000000000002E-2</v>
      </c>
      <c r="N834" s="585">
        <f t="shared" si="140"/>
        <v>8.3250000000000018E-2</v>
      </c>
      <c r="O834" s="586">
        <f t="shared" si="137"/>
        <v>2.7210549199680745E-3</v>
      </c>
      <c r="P834" s="585">
        <f t="shared" si="141"/>
        <v>-9.7289450800319421E-3</v>
      </c>
      <c r="Q834" s="585">
        <f t="shared" si="142"/>
        <v>4.2812593855612757E-2</v>
      </c>
      <c r="R834" s="585">
        <f t="shared" si="143"/>
        <v>8.5299999999999987E-2</v>
      </c>
      <c r="S834" s="586">
        <f t="shared" si="144"/>
        <v>-4.248740614438723E-2</v>
      </c>
      <c r="U834" s="587"/>
      <c r="V834" s="587"/>
      <c r="W834" s="587"/>
      <c r="X834" s="587"/>
      <c r="Y834" s="587"/>
      <c r="Z834" s="587"/>
      <c r="AA834" s="587"/>
      <c r="AB834" s="587"/>
      <c r="AC834" s="587"/>
      <c r="AE834" s="587"/>
      <c r="AF834" s="587"/>
      <c r="AG834" s="587"/>
      <c r="AH834" s="587"/>
      <c r="AI834" s="587"/>
      <c r="AJ834" s="587"/>
      <c r="AK834" s="587"/>
      <c r="AL834" s="587"/>
      <c r="AM834" s="587"/>
      <c r="AO834" s="587"/>
      <c r="AP834" s="587"/>
      <c r="AQ834" s="587"/>
      <c r="AR834" s="587"/>
      <c r="AS834" s="587"/>
      <c r="AT834" s="587"/>
      <c r="AU834" s="587"/>
      <c r="AV834" s="587"/>
      <c r="AW834" s="587"/>
    </row>
    <row r="835" spans="1:49">
      <c r="A835" s="581">
        <v>34759</v>
      </c>
      <c r="B835" s="594">
        <v>2.9499999999999998E-2</v>
      </c>
      <c r="C835" s="577">
        <v>-6.0000000000000001E-3</v>
      </c>
      <c r="D835" s="577">
        <v>6.4000000000000003E-3</v>
      </c>
      <c r="E835" s="577">
        <v>6.7666666666666665E-3</v>
      </c>
      <c r="F835" s="577">
        <v>6.8666666666666668E-3</v>
      </c>
      <c r="G835" s="577">
        <v>6.8166666666666662E-3</v>
      </c>
      <c r="H835" s="577">
        <v>6.9785833333333332E-3</v>
      </c>
      <c r="I835" s="577">
        <f t="shared" si="134"/>
        <v>2.3099999999999999E-2</v>
      </c>
      <c r="J835" s="577">
        <f t="shared" si="138"/>
        <v>2.2683333333333333E-2</v>
      </c>
      <c r="K835" s="577">
        <f t="shared" si="139"/>
        <v>-1.2978583333333333E-2</v>
      </c>
      <c r="L835" s="585">
        <f t="shared" si="135"/>
        <v>0.15557290468434459</v>
      </c>
      <c r="M835" s="585">
        <f t="shared" si="136"/>
        <v>7.6800000000000007E-2</v>
      </c>
      <c r="N835" s="585">
        <f t="shared" si="140"/>
        <v>8.1799999999999998E-2</v>
      </c>
      <c r="O835" s="586">
        <f t="shared" si="137"/>
        <v>7.8772904684344586E-2</v>
      </c>
      <c r="P835" s="585">
        <f t="shared" si="141"/>
        <v>7.3772904684344595E-2</v>
      </c>
      <c r="Q835" s="585">
        <f t="shared" si="142"/>
        <v>7.2816930544896907E-2</v>
      </c>
      <c r="R835" s="585">
        <f t="shared" si="143"/>
        <v>8.3742999999999998E-2</v>
      </c>
      <c r="S835" s="586">
        <f t="shared" si="144"/>
        <v>-1.0926069455103091E-2</v>
      </c>
      <c r="U835" s="587"/>
      <c r="V835" s="587"/>
      <c r="W835" s="587"/>
      <c r="X835" s="587"/>
      <c r="Y835" s="587"/>
      <c r="Z835" s="587"/>
      <c r="AA835" s="587"/>
      <c r="AB835" s="587"/>
      <c r="AC835" s="587"/>
      <c r="AE835" s="587"/>
      <c r="AF835" s="587"/>
      <c r="AG835" s="587"/>
      <c r="AH835" s="587"/>
      <c r="AI835" s="587"/>
      <c r="AJ835" s="587"/>
      <c r="AK835" s="587"/>
      <c r="AL835" s="587"/>
      <c r="AM835" s="587"/>
      <c r="AO835" s="587"/>
      <c r="AP835" s="587"/>
      <c r="AQ835" s="587"/>
      <c r="AR835" s="587"/>
      <c r="AS835" s="587"/>
      <c r="AT835" s="587"/>
      <c r="AU835" s="587"/>
      <c r="AV835" s="587"/>
      <c r="AW835" s="587"/>
    </row>
    <row r="836" spans="1:49">
      <c r="A836" s="581">
        <v>34790</v>
      </c>
      <c r="B836" s="594">
        <v>2.9399999999999999E-2</v>
      </c>
      <c r="C836" s="577">
        <v>3.6500000000000005E-2</v>
      </c>
      <c r="D836" s="577">
        <v>5.7999999999999996E-3</v>
      </c>
      <c r="E836" s="577">
        <v>6.6916666666666661E-3</v>
      </c>
      <c r="F836" s="577">
        <v>6.7666666666666665E-3</v>
      </c>
      <c r="G836" s="577">
        <v>6.7291666666666663E-3</v>
      </c>
      <c r="H836" s="577">
        <v>6.8982499999999999E-3</v>
      </c>
      <c r="I836" s="577">
        <f t="shared" si="134"/>
        <v>2.3599999999999999E-2</v>
      </c>
      <c r="J836" s="577">
        <f t="shared" si="138"/>
        <v>2.2670833333333335E-2</v>
      </c>
      <c r="K836" s="577">
        <f t="shared" si="139"/>
        <v>2.9601750000000003E-2</v>
      </c>
      <c r="L836" s="585">
        <f t="shared" si="135"/>
        <v>0.17451298191357112</v>
      </c>
      <c r="M836" s="585">
        <f t="shared" si="136"/>
        <v>6.9599999999999995E-2</v>
      </c>
      <c r="N836" s="585">
        <f t="shared" si="140"/>
        <v>8.0749999999999988E-2</v>
      </c>
      <c r="O836" s="586">
        <f t="shared" si="137"/>
        <v>0.10491298191357112</v>
      </c>
      <c r="P836" s="585">
        <f t="shared" si="141"/>
        <v>9.3762981913571131E-2</v>
      </c>
      <c r="Q836" s="585">
        <f t="shared" si="142"/>
        <v>8.527693588696672E-2</v>
      </c>
      <c r="R836" s="585">
        <f t="shared" si="143"/>
        <v>8.2778999999999991E-2</v>
      </c>
      <c r="S836" s="586">
        <f t="shared" si="144"/>
        <v>2.497935886966729E-3</v>
      </c>
      <c r="U836" s="587"/>
      <c r="V836" s="587"/>
      <c r="W836" s="587"/>
      <c r="X836" s="587"/>
      <c r="Y836" s="587"/>
      <c r="Z836" s="587"/>
      <c r="AA836" s="587"/>
      <c r="AB836" s="587"/>
      <c r="AC836" s="587"/>
      <c r="AE836" s="587"/>
      <c r="AF836" s="587"/>
      <c r="AG836" s="587"/>
      <c r="AH836" s="587"/>
      <c r="AI836" s="587"/>
      <c r="AJ836" s="587"/>
      <c r="AK836" s="587"/>
      <c r="AL836" s="587"/>
      <c r="AM836" s="587"/>
      <c r="AO836" s="587"/>
      <c r="AP836" s="587"/>
      <c r="AQ836" s="587"/>
      <c r="AR836" s="587"/>
      <c r="AS836" s="587"/>
      <c r="AT836" s="587"/>
      <c r="AU836" s="587"/>
      <c r="AV836" s="587"/>
      <c r="AW836" s="587"/>
    </row>
    <row r="837" spans="1:49">
      <c r="A837" s="581">
        <v>34820</v>
      </c>
      <c r="B837" s="594">
        <v>0.04</v>
      </c>
      <c r="C837" s="577">
        <v>3.1600000000000003E-2</v>
      </c>
      <c r="D837" s="577">
        <v>6.5000000000000006E-3</v>
      </c>
      <c r="E837" s="577">
        <v>6.3750000000000005E-3</v>
      </c>
      <c r="F837" s="577">
        <v>6.45E-3</v>
      </c>
      <c r="G837" s="577">
        <v>6.4125000000000007E-3</v>
      </c>
      <c r="H837" s="577">
        <v>6.6102499999999998E-3</v>
      </c>
      <c r="I837" s="577">
        <f t="shared" si="134"/>
        <v>3.3500000000000002E-2</v>
      </c>
      <c r="J837" s="577">
        <f t="shared" si="138"/>
        <v>3.3587499999999999E-2</v>
      </c>
      <c r="K837" s="577">
        <f t="shared" si="139"/>
        <v>2.4989750000000005E-2</v>
      </c>
      <c r="L837" s="585">
        <f t="shared" si="135"/>
        <v>0.20178423965969428</v>
      </c>
      <c r="M837" s="585">
        <f t="shared" si="136"/>
        <v>7.8000000000000014E-2</v>
      </c>
      <c r="N837" s="585">
        <f t="shared" si="140"/>
        <v>7.6950000000000005E-2</v>
      </c>
      <c r="O837" s="586">
        <f t="shared" si="137"/>
        <v>0.12378423965969426</v>
      </c>
      <c r="P837" s="585">
        <f t="shared" si="141"/>
        <v>0.12483423965969427</v>
      </c>
      <c r="Q837" s="585">
        <f t="shared" si="142"/>
        <v>0.15040247334668555</v>
      </c>
      <c r="R837" s="585">
        <f t="shared" si="143"/>
        <v>7.9323000000000005E-2</v>
      </c>
      <c r="S837" s="586">
        <f t="shared" si="144"/>
        <v>7.1079473346685546E-2</v>
      </c>
      <c r="U837" s="587"/>
      <c r="V837" s="587"/>
      <c r="W837" s="587"/>
      <c r="X837" s="587"/>
      <c r="Y837" s="587"/>
      <c r="Z837" s="587"/>
      <c r="AA837" s="587"/>
      <c r="AB837" s="587"/>
      <c r="AC837" s="587"/>
      <c r="AE837" s="587"/>
      <c r="AF837" s="587"/>
      <c r="AG837" s="587"/>
      <c r="AH837" s="587"/>
      <c r="AI837" s="587"/>
      <c r="AJ837" s="587"/>
      <c r="AK837" s="587"/>
      <c r="AL837" s="587"/>
      <c r="AM837" s="587"/>
      <c r="AO837" s="587"/>
      <c r="AP837" s="587"/>
      <c r="AQ837" s="587"/>
      <c r="AR837" s="587"/>
      <c r="AS837" s="587"/>
      <c r="AT837" s="587"/>
      <c r="AU837" s="587"/>
      <c r="AV837" s="587"/>
      <c r="AW837" s="587"/>
    </row>
    <row r="838" spans="1:49">
      <c r="A838" s="581">
        <v>34851</v>
      </c>
      <c r="B838" s="594">
        <v>2.3199999999999998E-2</v>
      </c>
      <c r="C838" s="577">
        <v>4.6999999999999993E-3</v>
      </c>
      <c r="D838" s="577">
        <v>5.4000000000000003E-3</v>
      </c>
      <c r="E838" s="577">
        <v>6.083333333333333E-3</v>
      </c>
      <c r="F838" s="577">
        <v>6.1916666666666665E-3</v>
      </c>
      <c r="G838" s="577">
        <v>6.1375000000000006E-3</v>
      </c>
      <c r="H838" s="577">
        <v>6.3360000000000005E-3</v>
      </c>
      <c r="I838" s="577">
        <f t="shared" ref="I838:I901" si="145">B838-D838</f>
        <v>1.7799999999999996E-2</v>
      </c>
      <c r="J838" s="577">
        <f t="shared" si="138"/>
        <v>1.7062499999999998E-2</v>
      </c>
      <c r="K838" s="577">
        <f t="shared" si="139"/>
        <v>-1.6360000000000012E-3</v>
      </c>
      <c r="L838" s="585">
        <f t="shared" si="135"/>
        <v>0.26054908664254173</v>
      </c>
      <c r="M838" s="585">
        <f t="shared" si="136"/>
        <v>6.4799999999999996E-2</v>
      </c>
      <c r="N838" s="585">
        <f t="shared" si="140"/>
        <v>7.3650000000000007E-2</v>
      </c>
      <c r="O838" s="586">
        <f t="shared" si="137"/>
        <v>0.19574908664254173</v>
      </c>
      <c r="P838" s="585">
        <f t="shared" si="141"/>
        <v>0.18689908664254173</v>
      </c>
      <c r="Q838" s="585">
        <f t="shared" si="142"/>
        <v>0.15338725174275525</v>
      </c>
      <c r="R838" s="585">
        <f t="shared" si="143"/>
        <v>7.6032000000000002E-2</v>
      </c>
      <c r="S838" s="586">
        <f t="shared" si="144"/>
        <v>7.7355251742755246E-2</v>
      </c>
      <c r="U838" s="587"/>
      <c r="V838" s="587"/>
      <c r="W838" s="587"/>
      <c r="X838" s="587"/>
      <c r="Y838" s="587"/>
      <c r="Z838" s="587"/>
      <c r="AA838" s="587"/>
      <c r="AB838" s="587"/>
      <c r="AC838" s="587"/>
      <c r="AE838" s="587"/>
      <c r="AF838" s="587"/>
      <c r="AG838" s="587"/>
      <c r="AH838" s="587"/>
      <c r="AI838" s="587"/>
      <c r="AJ838" s="587"/>
      <c r="AK838" s="587"/>
      <c r="AL838" s="587"/>
      <c r="AM838" s="587"/>
      <c r="AO838" s="587"/>
      <c r="AP838" s="587"/>
      <c r="AQ838" s="587"/>
      <c r="AR838" s="587"/>
      <c r="AS838" s="587"/>
      <c r="AT838" s="587"/>
      <c r="AU838" s="587"/>
      <c r="AV838" s="587"/>
      <c r="AW838" s="587"/>
    </row>
    <row r="839" spans="1:49">
      <c r="A839" s="581">
        <v>34881</v>
      </c>
      <c r="B839" s="594">
        <v>3.32E-2</v>
      </c>
      <c r="C839" s="577">
        <v>2.5500000000000002E-2</v>
      </c>
      <c r="D839" s="577">
        <v>5.5999999999999991E-3</v>
      </c>
      <c r="E839" s="577">
        <v>6.1750000000000008E-3</v>
      </c>
      <c r="F839" s="577">
        <v>6.2833333333333326E-3</v>
      </c>
      <c r="G839" s="577">
        <v>6.2291666666666667E-3</v>
      </c>
      <c r="H839" s="577">
        <v>6.4079166666666668E-3</v>
      </c>
      <c r="I839" s="577">
        <f t="shared" si="145"/>
        <v>2.76E-2</v>
      </c>
      <c r="J839" s="577">
        <f t="shared" si="138"/>
        <v>2.6970833333333333E-2</v>
      </c>
      <c r="K839" s="577">
        <f t="shared" si="139"/>
        <v>1.9092083333333336E-2</v>
      </c>
      <c r="L839" s="585">
        <f t="shared" si="135"/>
        <v>0.26103729310522295</v>
      </c>
      <c r="M839" s="585">
        <f t="shared" si="136"/>
        <v>6.7199999999999982E-2</v>
      </c>
      <c r="N839" s="585">
        <f t="shared" si="140"/>
        <v>7.4749999999999997E-2</v>
      </c>
      <c r="O839" s="586">
        <f t="shared" si="137"/>
        <v>0.19383729310522296</v>
      </c>
      <c r="P839" s="585">
        <f t="shared" si="141"/>
        <v>0.18628729310522296</v>
      </c>
      <c r="Q839" s="585">
        <f t="shared" si="142"/>
        <v>0.14434851650754199</v>
      </c>
      <c r="R839" s="585">
        <f t="shared" si="143"/>
        <v>7.6895000000000005E-2</v>
      </c>
      <c r="S839" s="586">
        <f t="shared" si="144"/>
        <v>6.7453516507541986E-2</v>
      </c>
      <c r="U839" s="587"/>
      <c r="V839" s="587"/>
      <c r="W839" s="587"/>
      <c r="X839" s="587"/>
      <c r="Y839" s="587"/>
      <c r="Z839" s="587"/>
      <c r="AA839" s="587"/>
      <c r="AB839" s="587"/>
      <c r="AC839" s="587"/>
      <c r="AE839" s="587"/>
      <c r="AF839" s="587"/>
      <c r="AG839" s="587"/>
      <c r="AH839" s="587"/>
      <c r="AI839" s="587"/>
      <c r="AJ839" s="587"/>
      <c r="AK839" s="587"/>
      <c r="AL839" s="587"/>
      <c r="AM839" s="587"/>
      <c r="AO839" s="587"/>
      <c r="AP839" s="587"/>
      <c r="AQ839" s="587"/>
      <c r="AR839" s="587"/>
      <c r="AS839" s="587"/>
      <c r="AT839" s="587"/>
      <c r="AU839" s="587"/>
      <c r="AV839" s="587"/>
      <c r="AW839" s="587"/>
    </row>
    <row r="840" spans="1:49">
      <c r="A840" s="581">
        <v>34912</v>
      </c>
      <c r="B840" s="594">
        <v>2.5000000000000001E-3</v>
      </c>
      <c r="C840" s="577">
        <v>2.0200000000000006E-2</v>
      </c>
      <c r="D840" s="577">
        <v>5.7000000000000002E-3</v>
      </c>
      <c r="E840" s="577">
        <v>6.3083333333333333E-3</v>
      </c>
      <c r="F840" s="577">
        <v>6.4083333333333336E-3</v>
      </c>
      <c r="G840" s="577">
        <v>6.3583333333333339E-3</v>
      </c>
      <c r="H840" s="577">
        <v>6.5322500000000007E-3</v>
      </c>
      <c r="I840" s="577">
        <f t="shared" si="145"/>
        <v>-3.2000000000000002E-3</v>
      </c>
      <c r="J840" s="577">
        <f t="shared" si="138"/>
        <v>-3.8583333333333338E-3</v>
      </c>
      <c r="K840" s="577">
        <f t="shared" si="139"/>
        <v>1.3667750000000006E-2</v>
      </c>
      <c r="L840" s="585">
        <f t="shared" si="135"/>
        <v>0.21439950656867057</v>
      </c>
      <c r="M840" s="585">
        <f t="shared" si="136"/>
        <v>6.8400000000000002E-2</v>
      </c>
      <c r="N840" s="585">
        <f t="shared" si="140"/>
        <v>7.6300000000000007E-2</v>
      </c>
      <c r="O840" s="586">
        <f t="shared" si="137"/>
        <v>0.14599950656867056</v>
      </c>
      <c r="P840" s="585">
        <f t="shared" si="141"/>
        <v>0.13809950656867057</v>
      </c>
      <c r="Q840" s="585">
        <f t="shared" si="142"/>
        <v>0.17074243536000222</v>
      </c>
      <c r="R840" s="585">
        <f t="shared" si="143"/>
        <v>7.8387000000000012E-2</v>
      </c>
      <c r="S840" s="586">
        <f t="shared" si="144"/>
        <v>9.2355435360002208E-2</v>
      </c>
      <c r="U840" s="587"/>
      <c r="V840" s="587"/>
      <c r="W840" s="587"/>
      <c r="X840" s="587"/>
      <c r="Y840" s="587"/>
      <c r="Z840" s="587"/>
      <c r="AA840" s="587"/>
      <c r="AB840" s="587"/>
      <c r="AC840" s="587"/>
      <c r="AE840" s="587"/>
      <c r="AF840" s="587"/>
      <c r="AG840" s="587"/>
      <c r="AH840" s="587"/>
      <c r="AI840" s="587"/>
      <c r="AJ840" s="587"/>
      <c r="AK840" s="587"/>
      <c r="AL840" s="587"/>
      <c r="AM840" s="587"/>
      <c r="AO840" s="587"/>
      <c r="AP840" s="587"/>
      <c r="AQ840" s="587"/>
      <c r="AR840" s="587"/>
      <c r="AS840" s="587"/>
      <c r="AT840" s="587"/>
      <c r="AU840" s="587"/>
      <c r="AV840" s="587"/>
      <c r="AW840" s="587"/>
    </row>
    <row r="841" spans="1:49">
      <c r="A841" s="581">
        <v>34943</v>
      </c>
      <c r="B841" s="594">
        <v>4.2200000000000001E-2</v>
      </c>
      <c r="C841" s="577">
        <v>6.3799999999999996E-2</v>
      </c>
      <c r="D841" s="577">
        <v>5.1999999999999998E-3</v>
      </c>
      <c r="E841" s="577">
        <v>6.0999999999999995E-3</v>
      </c>
      <c r="F841" s="577">
        <v>6.2083333333333331E-3</v>
      </c>
      <c r="G841" s="577">
        <v>6.1541666666666672E-3</v>
      </c>
      <c r="H841" s="577">
        <v>6.3499999999999997E-3</v>
      </c>
      <c r="I841" s="577">
        <f t="shared" si="145"/>
        <v>3.7000000000000005E-2</v>
      </c>
      <c r="J841" s="577">
        <f t="shared" si="138"/>
        <v>3.6045833333333333E-2</v>
      </c>
      <c r="K841" s="577">
        <f t="shared" si="139"/>
        <v>5.7449999999999994E-2</v>
      </c>
      <c r="L841" s="585">
        <f t="shared" si="135"/>
        <v>0.29743430624896816</v>
      </c>
      <c r="M841" s="585">
        <f t="shared" si="136"/>
        <v>6.2399999999999997E-2</v>
      </c>
      <c r="N841" s="585">
        <f t="shared" si="140"/>
        <v>7.3849999999999999E-2</v>
      </c>
      <c r="O841" s="586">
        <f t="shared" si="137"/>
        <v>0.23503430624896815</v>
      </c>
      <c r="P841" s="585">
        <f t="shared" si="141"/>
        <v>0.22358430624896816</v>
      </c>
      <c r="Q841" s="585">
        <f t="shared" si="142"/>
        <v>0.27789431842393908</v>
      </c>
      <c r="R841" s="585">
        <f t="shared" si="143"/>
        <v>7.619999999999999E-2</v>
      </c>
      <c r="S841" s="586">
        <f t="shared" si="144"/>
        <v>0.20169431842393909</v>
      </c>
      <c r="U841" s="587"/>
      <c r="V841" s="587"/>
      <c r="W841" s="587"/>
      <c r="X841" s="587"/>
      <c r="Y841" s="587"/>
      <c r="Z841" s="587"/>
      <c r="AA841" s="587"/>
      <c r="AB841" s="587"/>
      <c r="AC841" s="587"/>
      <c r="AE841" s="587"/>
      <c r="AF841" s="587"/>
      <c r="AG841" s="587"/>
      <c r="AH841" s="587"/>
      <c r="AI841" s="587"/>
      <c r="AJ841" s="587"/>
      <c r="AK841" s="587"/>
      <c r="AL841" s="587"/>
      <c r="AM841" s="587"/>
      <c r="AO841" s="587"/>
      <c r="AP841" s="587"/>
      <c r="AQ841" s="587"/>
      <c r="AR841" s="587"/>
      <c r="AS841" s="587"/>
      <c r="AT841" s="587"/>
      <c r="AU841" s="587"/>
      <c r="AV841" s="587"/>
      <c r="AW841" s="587"/>
    </row>
    <row r="842" spans="1:49">
      <c r="A842" s="581">
        <v>34973</v>
      </c>
      <c r="B842" s="594">
        <v>-3.5999999999999999E-3</v>
      </c>
      <c r="C842" s="577">
        <v>2.3799999999999998E-2</v>
      </c>
      <c r="D842" s="577">
        <v>5.7000000000000002E-3</v>
      </c>
      <c r="E842" s="577">
        <v>5.9333333333333339E-3</v>
      </c>
      <c r="F842" s="577">
        <v>6.0583333333333331E-3</v>
      </c>
      <c r="G842" s="577">
        <v>5.9958333333333339E-3</v>
      </c>
      <c r="H842" s="577">
        <v>6.2238333333333338E-3</v>
      </c>
      <c r="I842" s="577">
        <f t="shared" si="145"/>
        <v>-9.2999999999999992E-3</v>
      </c>
      <c r="J842" s="577">
        <f t="shared" si="138"/>
        <v>-9.5958333333333347E-3</v>
      </c>
      <c r="K842" s="577">
        <f t="shared" si="139"/>
        <v>1.7576166666666664E-2</v>
      </c>
      <c r="L842" s="585">
        <f t="shared" si="135"/>
        <v>0.26431642322393323</v>
      </c>
      <c r="M842" s="585">
        <f t="shared" si="136"/>
        <v>6.8400000000000002E-2</v>
      </c>
      <c r="N842" s="585">
        <f t="shared" si="140"/>
        <v>7.1950000000000014E-2</v>
      </c>
      <c r="O842" s="586">
        <f t="shared" si="137"/>
        <v>0.19591642322393321</v>
      </c>
      <c r="P842" s="585">
        <f t="shared" si="141"/>
        <v>0.19236642322393321</v>
      </c>
      <c r="Q842" s="585">
        <f t="shared" si="142"/>
        <v>0.29715269006784539</v>
      </c>
      <c r="R842" s="585">
        <f t="shared" si="143"/>
        <v>7.4686000000000002E-2</v>
      </c>
      <c r="S842" s="586">
        <f t="shared" si="144"/>
        <v>0.22246669006784539</v>
      </c>
      <c r="U842" s="587"/>
      <c r="V842" s="587"/>
      <c r="W842" s="587"/>
      <c r="X842" s="587"/>
      <c r="Y842" s="587"/>
      <c r="Z842" s="587"/>
      <c r="AA842" s="587"/>
      <c r="AB842" s="587"/>
      <c r="AC842" s="587"/>
      <c r="AE842" s="587"/>
      <c r="AF842" s="587"/>
      <c r="AG842" s="587"/>
      <c r="AH842" s="587"/>
      <c r="AI842" s="587"/>
      <c r="AJ842" s="587"/>
      <c r="AK842" s="587"/>
      <c r="AL842" s="587"/>
      <c r="AM842" s="587"/>
      <c r="AO842" s="587"/>
      <c r="AP842" s="587"/>
      <c r="AQ842" s="587"/>
      <c r="AR842" s="587"/>
      <c r="AS842" s="587"/>
      <c r="AT842" s="587"/>
      <c r="AU842" s="587"/>
      <c r="AV842" s="587"/>
      <c r="AW842" s="587"/>
    </row>
    <row r="843" spans="1:49">
      <c r="A843" s="581">
        <v>35004</v>
      </c>
      <c r="B843" s="594">
        <v>4.3900000000000002E-2</v>
      </c>
      <c r="C843" s="577">
        <v>1.3599999999999999E-2</v>
      </c>
      <c r="D843" s="577">
        <v>5.1000000000000004E-3</v>
      </c>
      <c r="E843" s="577">
        <v>5.8499999999999993E-3</v>
      </c>
      <c r="F843" s="577">
        <v>5.9833333333333327E-3</v>
      </c>
      <c r="G843" s="577">
        <v>5.9166666666666656E-3</v>
      </c>
      <c r="H843" s="577">
        <v>6.1999999999999998E-3</v>
      </c>
      <c r="I843" s="577">
        <f t="shared" si="145"/>
        <v>3.8800000000000001E-2</v>
      </c>
      <c r="J843" s="577">
        <f t="shared" si="138"/>
        <v>3.7983333333333334E-2</v>
      </c>
      <c r="K843" s="577">
        <f t="shared" si="139"/>
        <v>7.3999999999999995E-3</v>
      </c>
      <c r="L843" s="585">
        <f t="shared" si="135"/>
        <v>0.36967612515926107</v>
      </c>
      <c r="M843" s="585">
        <f t="shared" si="136"/>
        <v>6.1200000000000004E-2</v>
      </c>
      <c r="N843" s="585">
        <f t="shared" si="140"/>
        <v>7.099999999999998E-2</v>
      </c>
      <c r="O843" s="586">
        <f t="shared" si="137"/>
        <v>0.30847612515926104</v>
      </c>
      <c r="P843" s="585">
        <f t="shared" si="141"/>
        <v>0.29867612515926112</v>
      </c>
      <c r="Q843" s="585">
        <f t="shared" si="142"/>
        <v>0.33427437249113856</v>
      </c>
      <c r="R843" s="585">
        <f t="shared" si="143"/>
        <v>7.4399999999999994E-2</v>
      </c>
      <c r="S843" s="586">
        <f t="shared" si="144"/>
        <v>0.25987437249113854</v>
      </c>
      <c r="U843" s="587"/>
      <c r="V843" s="587"/>
      <c r="W843" s="587"/>
      <c r="X843" s="587"/>
      <c r="Y843" s="587"/>
      <c r="Z843" s="587"/>
      <c r="AA843" s="587"/>
      <c r="AB843" s="587"/>
      <c r="AC843" s="587"/>
      <c r="AE843" s="587"/>
      <c r="AF843" s="587"/>
      <c r="AG843" s="587"/>
      <c r="AH843" s="587"/>
      <c r="AI843" s="587"/>
      <c r="AJ843" s="587"/>
      <c r="AK843" s="587"/>
      <c r="AL843" s="587"/>
      <c r="AM843" s="587"/>
      <c r="AO843" s="587"/>
      <c r="AP843" s="587"/>
      <c r="AQ843" s="587"/>
      <c r="AR843" s="587"/>
      <c r="AS843" s="587"/>
      <c r="AT843" s="587"/>
      <c r="AU843" s="587"/>
      <c r="AV843" s="587"/>
      <c r="AW843" s="587"/>
    </row>
    <row r="844" spans="1:49">
      <c r="A844" s="581">
        <v>35034</v>
      </c>
      <c r="B844" s="594">
        <v>1.9300000000000001E-2</v>
      </c>
      <c r="C844" s="577">
        <v>7.0800000000000002E-2</v>
      </c>
      <c r="D844" s="577">
        <v>4.8999999999999998E-3</v>
      </c>
      <c r="E844" s="577">
        <v>5.6833333333333336E-3</v>
      </c>
      <c r="F844" s="577">
        <v>5.8250000000000003E-3</v>
      </c>
      <c r="G844" s="577">
        <v>5.754166666666667E-3</v>
      </c>
      <c r="H844" s="577">
        <v>6.0447499999999998E-3</v>
      </c>
      <c r="I844" s="577">
        <f t="shared" si="145"/>
        <v>1.4400000000000001E-2</v>
      </c>
      <c r="J844" s="577">
        <f t="shared" si="138"/>
        <v>1.3545833333333333E-2</v>
      </c>
      <c r="K844" s="577">
        <f t="shared" si="139"/>
        <v>6.475525E-2</v>
      </c>
      <c r="L844" s="585">
        <f t="shared" si="135"/>
        <v>0.37574977766538731</v>
      </c>
      <c r="M844" s="585">
        <f t="shared" si="136"/>
        <v>5.8799999999999998E-2</v>
      </c>
      <c r="N844" s="585">
        <f t="shared" si="140"/>
        <v>6.905E-2</v>
      </c>
      <c r="O844" s="586">
        <f t="shared" si="137"/>
        <v>0.31694977766538729</v>
      </c>
      <c r="P844" s="585">
        <f t="shared" si="141"/>
        <v>0.30669977766538731</v>
      </c>
      <c r="Q844" s="585">
        <f t="shared" si="142"/>
        <v>0.42134997817699094</v>
      </c>
      <c r="R844" s="585">
        <f t="shared" si="143"/>
        <v>7.253699999999999E-2</v>
      </c>
      <c r="S844" s="586">
        <f t="shared" si="144"/>
        <v>0.34881297817699097</v>
      </c>
      <c r="U844" s="587"/>
      <c r="V844" s="587"/>
      <c r="W844" s="587"/>
      <c r="X844" s="587"/>
      <c r="Y844" s="587"/>
      <c r="Z844" s="587"/>
      <c r="AA844" s="587"/>
      <c r="AB844" s="587"/>
      <c r="AC844" s="587"/>
      <c r="AE844" s="587"/>
      <c r="AF844" s="587"/>
      <c r="AG844" s="587"/>
      <c r="AH844" s="587"/>
      <c r="AI844" s="587"/>
      <c r="AJ844" s="587"/>
      <c r="AK844" s="587"/>
      <c r="AL844" s="587"/>
      <c r="AM844" s="587"/>
      <c r="AO844" s="587"/>
      <c r="AP844" s="587"/>
      <c r="AQ844" s="587"/>
      <c r="AR844" s="587"/>
      <c r="AS844" s="587"/>
      <c r="AT844" s="587"/>
      <c r="AU844" s="587"/>
      <c r="AV844" s="587"/>
      <c r="AW844" s="587"/>
    </row>
    <row r="845" spans="1:49">
      <c r="A845" s="581">
        <v>35065</v>
      </c>
      <c r="B845" s="594">
        <v>3.4000000000000002E-2</v>
      </c>
      <c r="C845" s="577">
        <v>1.29E-2</v>
      </c>
      <c r="D845" s="577">
        <v>5.4000000000000003E-3</v>
      </c>
      <c r="E845" s="577">
        <v>5.6750000000000004E-3</v>
      </c>
      <c r="F845" s="577">
        <v>5.8250000000000003E-3</v>
      </c>
      <c r="G845" s="577">
        <v>5.7499999999999999E-3</v>
      </c>
      <c r="H845" s="577">
        <v>6.005666666666667E-3</v>
      </c>
      <c r="I845" s="577">
        <f t="shared" si="145"/>
        <v>2.86E-2</v>
      </c>
      <c r="J845" s="577">
        <f t="shared" si="138"/>
        <v>2.8250000000000004E-2</v>
      </c>
      <c r="K845" s="577">
        <f t="shared" si="139"/>
        <v>6.894333333333333E-3</v>
      </c>
      <c r="L845" s="585">
        <f t="shared" si="135"/>
        <v>0.38661201881860885</v>
      </c>
      <c r="M845" s="585">
        <f t="shared" si="136"/>
        <v>6.4799999999999996E-2</v>
      </c>
      <c r="N845" s="585">
        <f t="shared" si="140"/>
        <v>6.9000000000000006E-2</v>
      </c>
      <c r="O845" s="586">
        <f t="shared" si="137"/>
        <v>0.32181201881860888</v>
      </c>
      <c r="P845" s="585">
        <f t="shared" si="141"/>
        <v>0.31761201881860884</v>
      </c>
      <c r="Q845" s="585">
        <f t="shared" si="142"/>
        <v>0.33563910649918749</v>
      </c>
      <c r="R845" s="585">
        <f t="shared" si="143"/>
        <v>7.2068000000000007E-2</v>
      </c>
      <c r="S845" s="586">
        <f t="shared" si="144"/>
        <v>0.26357110649918747</v>
      </c>
      <c r="U845" s="587"/>
      <c r="V845" s="587"/>
      <c r="W845" s="587"/>
      <c r="X845" s="587"/>
      <c r="Y845" s="587"/>
      <c r="Z845" s="587"/>
      <c r="AA845" s="587"/>
      <c r="AB845" s="587"/>
      <c r="AC845" s="587"/>
      <c r="AE845" s="587"/>
      <c r="AF845" s="587"/>
      <c r="AG845" s="587"/>
      <c r="AH845" s="587"/>
      <c r="AI845" s="587"/>
      <c r="AJ845" s="587"/>
      <c r="AK845" s="587"/>
      <c r="AL845" s="587"/>
      <c r="AM845" s="587"/>
      <c r="AO845" s="587"/>
      <c r="AP845" s="587"/>
      <c r="AQ845" s="587"/>
      <c r="AR845" s="587"/>
      <c r="AS845" s="587"/>
      <c r="AT845" s="587"/>
      <c r="AU845" s="587"/>
      <c r="AV845" s="587"/>
      <c r="AW845" s="587"/>
    </row>
    <row r="846" spans="1:49">
      <c r="A846" s="581">
        <v>35096</v>
      </c>
      <c r="B846" s="594">
        <v>9.2999999999999992E-3</v>
      </c>
      <c r="C846" s="577">
        <v>-3.95E-2</v>
      </c>
      <c r="D846" s="577">
        <v>4.7999999999999996E-3</v>
      </c>
      <c r="E846" s="577">
        <v>5.8250000000000003E-3</v>
      </c>
      <c r="F846" s="577">
        <v>5.966666666666667E-3</v>
      </c>
      <c r="G846" s="577">
        <v>5.8958333333333337E-3</v>
      </c>
      <c r="H846" s="577">
        <v>6.1250000000000002E-3</v>
      </c>
      <c r="I846" s="577">
        <f t="shared" si="145"/>
        <v>4.4999999999999997E-3</v>
      </c>
      <c r="J846" s="577">
        <f t="shared" si="138"/>
        <v>3.4041666666666656E-3</v>
      </c>
      <c r="K846" s="577">
        <f t="shared" si="139"/>
        <v>-4.5624999999999999E-2</v>
      </c>
      <c r="L846" s="585">
        <f t="shared" si="135"/>
        <v>0.34697546736633456</v>
      </c>
      <c r="M846" s="585">
        <f t="shared" si="136"/>
        <v>5.7599999999999998E-2</v>
      </c>
      <c r="N846" s="585">
        <f t="shared" si="140"/>
        <v>7.0750000000000007E-2</v>
      </c>
      <c r="O846" s="586">
        <f t="shared" si="137"/>
        <v>0.28937546736633457</v>
      </c>
      <c r="P846" s="585">
        <f t="shared" si="141"/>
        <v>0.27622546736633458</v>
      </c>
      <c r="Q846" s="585">
        <f t="shared" si="142"/>
        <v>0.28480857465445042</v>
      </c>
      <c r="R846" s="585">
        <f t="shared" si="143"/>
        <v>7.350000000000001E-2</v>
      </c>
      <c r="S846" s="586">
        <f t="shared" si="144"/>
        <v>0.21130857465445041</v>
      </c>
      <c r="U846" s="587"/>
      <c r="V846" s="587"/>
      <c r="W846" s="587"/>
      <c r="X846" s="587"/>
      <c r="Y846" s="587"/>
      <c r="Z846" s="587"/>
      <c r="AA846" s="587"/>
      <c r="AB846" s="587"/>
      <c r="AC846" s="587"/>
      <c r="AE846" s="587"/>
      <c r="AF846" s="587"/>
      <c r="AG846" s="587"/>
      <c r="AH846" s="587"/>
      <c r="AI846" s="587"/>
      <c r="AJ846" s="587"/>
      <c r="AK846" s="587"/>
      <c r="AL846" s="587"/>
      <c r="AM846" s="587"/>
      <c r="AO846" s="587"/>
      <c r="AP846" s="587"/>
      <c r="AQ846" s="587"/>
      <c r="AR846" s="587"/>
      <c r="AS846" s="587"/>
      <c r="AT846" s="587"/>
      <c r="AU846" s="587"/>
      <c r="AV846" s="587"/>
      <c r="AW846" s="587"/>
    </row>
    <row r="847" spans="1:49">
      <c r="A847" s="581">
        <v>35125</v>
      </c>
      <c r="B847" s="594">
        <v>9.5999999999999992E-3</v>
      </c>
      <c r="C847" s="577">
        <v>-2.0299999999999999E-2</v>
      </c>
      <c r="D847" s="577">
        <v>5.1999999999999998E-3</v>
      </c>
      <c r="E847" s="577">
        <v>6.1249999999999994E-3</v>
      </c>
      <c r="F847" s="577">
        <v>6.266666666666666E-3</v>
      </c>
      <c r="G847" s="577">
        <v>6.1958333333333327E-3</v>
      </c>
      <c r="H847" s="577">
        <v>6.4353333333333337E-3</v>
      </c>
      <c r="I847" s="577">
        <f t="shared" si="145"/>
        <v>4.3999999999999994E-3</v>
      </c>
      <c r="J847" s="577">
        <f t="shared" si="138"/>
        <v>3.4041666666666665E-3</v>
      </c>
      <c r="K847" s="577">
        <f t="shared" si="139"/>
        <v>-2.6735333333333333E-2</v>
      </c>
      <c r="L847" s="585">
        <f t="shared" si="135"/>
        <v>0.32093873905104586</v>
      </c>
      <c r="M847" s="585">
        <f t="shared" si="136"/>
        <v>6.2399999999999997E-2</v>
      </c>
      <c r="N847" s="585">
        <f t="shared" si="140"/>
        <v>7.4349999999999999E-2</v>
      </c>
      <c r="O847" s="586">
        <f t="shared" si="137"/>
        <v>0.25853873905104585</v>
      </c>
      <c r="P847" s="585">
        <f t="shared" si="141"/>
        <v>0.24658873905104586</v>
      </c>
      <c r="Q847" s="585">
        <f t="shared" si="142"/>
        <v>0.26632491004926062</v>
      </c>
      <c r="R847" s="585">
        <f t="shared" si="143"/>
        <v>7.7224000000000001E-2</v>
      </c>
      <c r="S847" s="586">
        <f t="shared" si="144"/>
        <v>0.18910091004926061</v>
      </c>
      <c r="U847" s="587"/>
      <c r="V847" s="587"/>
      <c r="W847" s="587"/>
      <c r="X847" s="587"/>
      <c r="Y847" s="587"/>
      <c r="Z847" s="587"/>
      <c r="AA847" s="587"/>
      <c r="AB847" s="587"/>
      <c r="AC847" s="587"/>
      <c r="AE847" s="587"/>
      <c r="AF847" s="587"/>
      <c r="AG847" s="587"/>
      <c r="AH847" s="587"/>
      <c r="AI847" s="587"/>
      <c r="AJ847" s="587"/>
      <c r="AK847" s="587"/>
      <c r="AL847" s="587"/>
      <c r="AM847" s="587"/>
      <c r="AO847" s="587"/>
      <c r="AP847" s="587"/>
      <c r="AQ847" s="587"/>
      <c r="AR847" s="587"/>
      <c r="AS847" s="587"/>
      <c r="AT847" s="587"/>
      <c r="AU847" s="587"/>
      <c r="AV847" s="587"/>
      <c r="AW847" s="587"/>
    </row>
    <row r="848" spans="1:49">
      <c r="A848" s="581">
        <v>35156</v>
      </c>
      <c r="B848" s="594">
        <v>1.47E-2</v>
      </c>
      <c r="C848" s="577">
        <v>1.0999999999999999E-2</v>
      </c>
      <c r="D848" s="577">
        <v>5.8999999999999999E-3</v>
      </c>
      <c r="E848" s="577">
        <v>6.2500000000000003E-3</v>
      </c>
      <c r="F848" s="577">
        <v>6.4000000000000003E-3</v>
      </c>
      <c r="G848" s="577">
        <v>6.3250000000000008E-3</v>
      </c>
      <c r="H848" s="577">
        <v>6.5698333333333338E-3</v>
      </c>
      <c r="I848" s="577">
        <f t="shared" si="145"/>
        <v>8.7999999999999988E-3</v>
      </c>
      <c r="J848" s="577">
        <f t="shared" si="138"/>
        <v>8.3749999999999988E-3</v>
      </c>
      <c r="K848" s="577">
        <f t="shared" si="139"/>
        <v>4.4301666666666656E-3</v>
      </c>
      <c r="L848" s="585">
        <f t="shared" ref="L848:L911" si="146">((1+B837)*(1+B838)*(1+B839)*(1+B840)*(1+B841)*(1+B842)*(1+B843)*(1+B844)*(1+B845)*(1+B846)*(1+B847)*(1+B848))-1</f>
        <v>0.3020755182777306</v>
      </c>
      <c r="M848" s="585">
        <f t="shared" ref="M848:M911" si="147">D848*12</f>
        <v>7.0800000000000002E-2</v>
      </c>
      <c r="N848" s="585">
        <f t="shared" si="140"/>
        <v>7.5900000000000009E-2</v>
      </c>
      <c r="O848" s="586">
        <f t="shared" ref="O848:O911" si="148">L848-M848</f>
        <v>0.2312755182777306</v>
      </c>
      <c r="P848" s="585">
        <f t="shared" si="141"/>
        <v>0.22617551827773058</v>
      </c>
      <c r="Q848" s="585">
        <f t="shared" si="142"/>
        <v>0.23517075162547263</v>
      </c>
      <c r="R848" s="585">
        <f t="shared" si="143"/>
        <v>7.8838000000000005E-2</v>
      </c>
      <c r="S848" s="586">
        <f t="shared" si="144"/>
        <v>0.15633275162547261</v>
      </c>
      <c r="U848" s="587"/>
      <c r="V848" s="587"/>
      <c r="W848" s="587"/>
      <c r="X848" s="587"/>
      <c r="Y848" s="587"/>
      <c r="Z848" s="587"/>
      <c r="AA848" s="587"/>
      <c r="AB848" s="587"/>
      <c r="AC848" s="587"/>
      <c r="AE848" s="587"/>
      <c r="AF848" s="587"/>
      <c r="AG848" s="587"/>
      <c r="AH848" s="587"/>
      <c r="AI848" s="587"/>
      <c r="AJ848" s="587"/>
      <c r="AK848" s="587"/>
      <c r="AL848" s="587"/>
      <c r="AM848" s="587"/>
      <c r="AO848" s="587"/>
      <c r="AP848" s="587"/>
      <c r="AQ848" s="587"/>
      <c r="AR848" s="587"/>
      <c r="AS848" s="587"/>
      <c r="AT848" s="587"/>
      <c r="AU848" s="587"/>
      <c r="AV848" s="587"/>
      <c r="AW848" s="587"/>
    </row>
    <row r="849" spans="1:49">
      <c r="A849" s="581">
        <v>35186</v>
      </c>
      <c r="B849" s="594">
        <v>2.58E-2</v>
      </c>
      <c r="C849" s="577">
        <v>-2.4999999999999996E-3</v>
      </c>
      <c r="D849" s="577">
        <v>5.7999999999999996E-3</v>
      </c>
      <c r="E849" s="577">
        <v>6.3499999999999997E-3</v>
      </c>
      <c r="F849" s="577">
        <v>6.4749999999999999E-3</v>
      </c>
      <c r="G849" s="577">
        <v>6.4124999999999998E-3</v>
      </c>
      <c r="H849" s="577">
        <v>6.6504166666666665E-3</v>
      </c>
      <c r="I849" s="577">
        <f t="shared" si="145"/>
        <v>0.02</v>
      </c>
      <c r="J849" s="577">
        <f t="shared" si="138"/>
        <v>1.9387500000000002E-2</v>
      </c>
      <c r="K849" s="577">
        <f t="shared" si="139"/>
        <v>-9.1504166666666661E-3</v>
      </c>
      <c r="L849" s="585">
        <f t="shared" si="146"/>
        <v>0.28429717947047695</v>
      </c>
      <c r="M849" s="585">
        <f t="shared" si="147"/>
        <v>6.9599999999999995E-2</v>
      </c>
      <c r="N849" s="585">
        <f t="shared" si="140"/>
        <v>7.6949999999999991E-2</v>
      </c>
      <c r="O849" s="586">
        <f t="shared" si="148"/>
        <v>0.21469717947047695</v>
      </c>
      <c r="P849" s="585">
        <f t="shared" si="141"/>
        <v>0.20734717947047696</v>
      </c>
      <c r="Q849" s="585">
        <f t="shared" si="142"/>
        <v>0.19434162926173815</v>
      </c>
      <c r="R849" s="585">
        <f t="shared" si="143"/>
        <v>7.9805000000000001E-2</v>
      </c>
      <c r="S849" s="586">
        <f t="shared" si="144"/>
        <v>0.11453662926173815</v>
      </c>
      <c r="U849" s="587"/>
      <c r="V849" s="587"/>
      <c r="W849" s="587"/>
      <c r="X849" s="587"/>
      <c r="Y849" s="587"/>
      <c r="Z849" s="587"/>
      <c r="AA849" s="587"/>
      <c r="AB849" s="587"/>
      <c r="AC849" s="587"/>
      <c r="AE849" s="587"/>
      <c r="AF849" s="587"/>
      <c r="AG849" s="587"/>
      <c r="AH849" s="587"/>
      <c r="AI849" s="587"/>
      <c r="AJ849" s="587"/>
      <c r="AK849" s="587"/>
      <c r="AL849" s="587"/>
      <c r="AM849" s="587"/>
      <c r="AO849" s="587"/>
      <c r="AP849" s="587"/>
      <c r="AQ849" s="587"/>
      <c r="AR849" s="587"/>
      <c r="AS849" s="587"/>
      <c r="AT849" s="587"/>
      <c r="AU849" s="587"/>
      <c r="AV849" s="587"/>
      <c r="AW849" s="587"/>
    </row>
    <row r="850" spans="1:49">
      <c r="A850" s="581">
        <v>35217</v>
      </c>
      <c r="B850" s="594">
        <v>3.8E-3</v>
      </c>
      <c r="C850" s="577">
        <v>4.1599999999999998E-2</v>
      </c>
      <c r="D850" s="577">
        <v>5.4000000000000003E-3</v>
      </c>
      <c r="E850" s="577">
        <v>6.4249999999999993E-3</v>
      </c>
      <c r="F850" s="577">
        <v>6.5583333333333335E-3</v>
      </c>
      <c r="G850" s="577">
        <v>6.4916666666666664E-3</v>
      </c>
      <c r="H850" s="577">
        <v>6.7200000000000003E-3</v>
      </c>
      <c r="I850" s="577">
        <f t="shared" si="145"/>
        <v>-1.6000000000000003E-3</v>
      </c>
      <c r="J850" s="577">
        <f t="shared" si="138"/>
        <v>-2.6916666666666664E-3</v>
      </c>
      <c r="K850" s="577">
        <f t="shared" si="139"/>
        <v>3.4879999999999994E-2</v>
      </c>
      <c r="L850" s="585">
        <f t="shared" si="146"/>
        <v>0.2599467442850516</v>
      </c>
      <c r="M850" s="585">
        <f t="shared" si="147"/>
        <v>6.4799999999999996E-2</v>
      </c>
      <c r="N850" s="585">
        <f t="shared" si="140"/>
        <v>7.7899999999999997E-2</v>
      </c>
      <c r="O850" s="586">
        <f t="shared" si="148"/>
        <v>0.1951467442850516</v>
      </c>
      <c r="P850" s="585">
        <f t="shared" si="141"/>
        <v>0.1820467442850516</v>
      </c>
      <c r="Q850" s="585">
        <f t="shared" si="142"/>
        <v>0.23820666969147686</v>
      </c>
      <c r="R850" s="585">
        <f t="shared" si="143"/>
        <v>8.0640000000000003E-2</v>
      </c>
      <c r="S850" s="586">
        <f t="shared" si="144"/>
        <v>0.15756666969147687</v>
      </c>
      <c r="U850" s="587"/>
      <c r="V850" s="587"/>
      <c r="W850" s="587"/>
      <c r="X850" s="587"/>
      <c r="Y850" s="587"/>
      <c r="Z850" s="587"/>
      <c r="AA850" s="587"/>
      <c r="AB850" s="587"/>
      <c r="AC850" s="587"/>
      <c r="AE850" s="587"/>
      <c r="AF850" s="587"/>
      <c r="AG850" s="587"/>
      <c r="AH850" s="587"/>
      <c r="AI850" s="587"/>
      <c r="AJ850" s="587"/>
      <c r="AK850" s="587"/>
      <c r="AL850" s="587"/>
      <c r="AM850" s="587"/>
      <c r="AO850" s="587"/>
      <c r="AP850" s="587"/>
      <c r="AQ850" s="587"/>
      <c r="AR850" s="587"/>
      <c r="AS850" s="587"/>
      <c r="AT850" s="587"/>
      <c r="AU850" s="587"/>
      <c r="AV850" s="587"/>
      <c r="AW850" s="587"/>
    </row>
    <row r="851" spans="1:49">
      <c r="A851" s="581">
        <v>35247</v>
      </c>
      <c r="B851" s="594">
        <v>-4.4200000000000003E-2</v>
      </c>
      <c r="C851" s="577">
        <v>-6.2800000000000009E-2</v>
      </c>
      <c r="D851" s="577">
        <v>6.1999999999999998E-3</v>
      </c>
      <c r="E851" s="577">
        <v>6.3750000000000005E-3</v>
      </c>
      <c r="F851" s="577">
        <v>6.5166666666666671E-3</v>
      </c>
      <c r="G851" s="577">
        <v>6.4458333333333338E-3</v>
      </c>
      <c r="H851" s="577">
        <v>6.6876666666666664E-3</v>
      </c>
      <c r="I851" s="577">
        <f t="shared" si="145"/>
        <v>-5.04E-2</v>
      </c>
      <c r="J851" s="577">
        <f t="shared" si="138"/>
        <v>-5.0645833333333334E-2</v>
      </c>
      <c r="K851" s="577">
        <f t="shared" si="139"/>
        <v>-6.948766666666667E-2</v>
      </c>
      <c r="L851" s="585">
        <f t="shared" si="146"/>
        <v>0.16556048992223449</v>
      </c>
      <c r="M851" s="585">
        <f t="shared" si="147"/>
        <v>7.4399999999999994E-2</v>
      </c>
      <c r="N851" s="585">
        <f t="shared" si="140"/>
        <v>7.7350000000000002E-2</v>
      </c>
      <c r="O851" s="586">
        <f t="shared" si="148"/>
        <v>9.1160489922234494E-2</v>
      </c>
      <c r="P851" s="585">
        <f t="shared" si="141"/>
        <v>8.8210489922234486E-2</v>
      </c>
      <c r="Q851" s="585">
        <f t="shared" si="142"/>
        <v>0.13159170242306373</v>
      </c>
      <c r="R851" s="585">
        <f t="shared" si="143"/>
        <v>8.025199999999999E-2</v>
      </c>
      <c r="S851" s="586">
        <f t="shared" si="144"/>
        <v>5.1339702423063738E-2</v>
      </c>
      <c r="U851" s="587"/>
      <c r="V851" s="587"/>
      <c r="W851" s="587"/>
      <c r="X851" s="587"/>
      <c r="Y851" s="587"/>
      <c r="Z851" s="587"/>
      <c r="AA851" s="587"/>
      <c r="AB851" s="587"/>
      <c r="AC851" s="587"/>
      <c r="AE851" s="587"/>
      <c r="AF851" s="587"/>
      <c r="AG851" s="587"/>
      <c r="AH851" s="587"/>
      <c r="AI851" s="587"/>
      <c r="AJ851" s="587"/>
      <c r="AK851" s="587"/>
      <c r="AL851" s="587"/>
      <c r="AM851" s="587"/>
      <c r="AO851" s="587"/>
      <c r="AP851" s="587"/>
      <c r="AQ851" s="587"/>
      <c r="AR851" s="587"/>
      <c r="AS851" s="587"/>
      <c r="AT851" s="587"/>
      <c r="AU851" s="587"/>
      <c r="AV851" s="587"/>
      <c r="AW851" s="587"/>
    </row>
    <row r="852" spans="1:49">
      <c r="A852" s="581">
        <v>35278</v>
      </c>
      <c r="B852" s="594">
        <v>2.1100000000000001E-2</v>
      </c>
      <c r="C852" s="577">
        <v>2.1299999999999999E-2</v>
      </c>
      <c r="D852" s="577">
        <v>5.7000000000000002E-3</v>
      </c>
      <c r="E852" s="577">
        <v>6.2166666666666672E-3</v>
      </c>
      <c r="F852" s="577">
        <v>6.3583333333333339E-3</v>
      </c>
      <c r="G852" s="577">
        <v>6.2875000000000006E-3</v>
      </c>
      <c r="H852" s="577">
        <v>6.5318333333333331E-3</v>
      </c>
      <c r="I852" s="577">
        <f t="shared" si="145"/>
        <v>1.54E-2</v>
      </c>
      <c r="J852" s="577">
        <f t="shared" si="138"/>
        <v>1.4812499999999999E-2</v>
      </c>
      <c r="K852" s="577">
        <f t="shared" si="139"/>
        <v>1.4768166666666666E-2</v>
      </c>
      <c r="L852" s="585">
        <f t="shared" si="146"/>
        <v>0.18718585163051671</v>
      </c>
      <c r="M852" s="585">
        <f t="shared" si="147"/>
        <v>6.8400000000000002E-2</v>
      </c>
      <c r="N852" s="585">
        <f t="shared" si="140"/>
        <v>7.5450000000000003E-2</v>
      </c>
      <c r="O852" s="586">
        <f t="shared" si="148"/>
        <v>0.11878585163051671</v>
      </c>
      <c r="P852" s="585">
        <f t="shared" si="141"/>
        <v>0.11173585163051671</v>
      </c>
      <c r="Q852" s="585">
        <f t="shared" si="142"/>
        <v>0.13281180717964625</v>
      </c>
      <c r="R852" s="585">
        <f t="shared" si="143"/>
        <v>7.8381999999999993E-2</v>
      </c>
      <c r="S852" s="586">
        <f t="shared" si="144"/>
        <v>5.4429807179646253E-2</v>
      </c>
      <c r="U852" s="587"/>
      <c r="V852" s="587"/>
      <c r="W852" s="587"/>
      <c r="X852" s="587"/>
      <c r="Y852" s="587"/>
      <c r="Z852" s="587"/>
      <c r="AA852" s="587"/>
      <c r="AB852" s="587"/>
      <c r="AC852" s="587"/>
      <c r="AE852" s="587"/>
      <c r="AF852" s="587"/>
      <c r="AG852" s="587"/>
      <c r="AH852" s="587"/>
      <c r="AI852" s="587"/>
      <c r="AJ852" s="587"/>
      <c r="AK852" s="587"/>
      <c r="AL852" s="587"/>
      <c r="AM852" s="587"/>
      <c r="AO852" s="587"/>
      <c r="AP852" s="587"/>
      <c r="AQ852" s="587"/>
      <c r="AR852" s="587"/>
      <c r="AS852" s="587"/>
      <c r="AT852" s="587"/>
      <c r="AU852" s="587"/>
      <c r="AV852" s="587"/>
      <c r="AW852" s="587"/>
    </row>
    <row r="853" spans="1:49">
      <c r="A853" s="581">
        <v>35309</v>
      </c>
      <c r="B853" s="594">
        <v>5.6300000000000003E-2</v>
      </c>
      <c r="C853" s="577">
        <v>9.4999999999999998E-3</v>
      </c>
      <c r="D853" s="577">
        <v>6.0000000000000001E-3</v>
      </c>
      <c r="E853" s="577">
        <v>6.3833333333333329E-3</v>
      </c>
      <c r="F853" s="577">
        <v>6.5166666666666671E-3</v>
      </c>
      <c r="G853" s="577">
        <v>6.45E-3</v>
      </c>
      <c r="H853" s="577">
        <v>6.6812499999999997E-3</v>
      </c>
      <c r="I853" s="577">
        <f t="shared" si="145"/>
        <v>5.0300000000000004E-2</v>
      </c>
      <c r="J853" s="577">
        <f t="shared" si="138"/>
        <v>4.9850000000000005E-2</v>
      </c>
      <c r="K853" s="577">
        <f t="shared" si="139"/>
        <v>2.8187500000000001E-3</v>
      </c>
      <c r="L853" s="585">
        <f t="shared" si="146"/>
        <v>0.2032473758178035</v>
      </c>
      <c r="M853" s="585">
        <f t="shared" si="147"/>
        <v>7.2000000000000008E-2</v>
      </c>
      <c r="N853" s="585">
        <f t="shared" si="140"/>
        <v>7.7399999999999997E-2</v>
      </c>
      <c r="O853" s="586">
        <f t="shared" si="148"/>
        <v>0.13124737581780349</v>
      </c>
      <c r="P853" s="585">
        <f t="shared" si="141"/>
        <v>0.1258473758178035</v>
      </c>
      <c r="Q853" s="585">
        <f t="shared" si="142"/>
        <v>7.49892078848029E-2</v>
      </c>
      <c r="R853" s="585">
        <f t="shared" si="143"/>
        <v>8.0174999999999996E-2</v>
      </c>
      <c r="S853" s="586">
        <f t="shared" si="144"/>
        <v>-5.1857921151970965E-3</v>
      </c>
      <c r="U853" s="587"/>
      <c r="V853" s="587"/>
      <c r="W853" s="587"/>
      <c r="X853" s="587"/>
      <c r="Y853" s="587"/>
      <c r="Z853" s="587"/>
      <c r="AA853" s="587"/>
      <c r="AB853" s="587"/>
      <c r="AC853" s="587"/>
      <c r="AE853" s="587"/>
      <c r="AF853" s="587"/>
      <c r="AG853" s="587"/>
      <c r="AH853" s="587"/>
      <c r="AI853" s="587"/>
      <c r="AJ853" s="587"/>
      <c r="AK853" s="587"/>
      <c r="AL853" s="587"/>
      <c r="AM853" s="587"/>
      <c r="AO853" s="587"/>
      <c r="AP853" s="587"/>
      <c r="AQ853" s="587"/>
      <c r="AR853" s="587"/>
      <c r="AS853" s="587"/>
      <c r="AT853" s="587"/>
      <c r="AU853" s="587"/>
      <c r="AV853" s="587"/>
      <c r="AW853" s="587"/>
    </row>
    <row r="854" spans="1:49">
      <c r="A854" s="581">
        <v>35339</v>
      </c>
      <c r="B854" s="594">
        <v>2.76E-2</v>
      </c>
      <c r="C854" s="577">
        <v>5.0799999999999998E-2</v>
      </c>
      <c r="D854" s="577">
        <v>5.7999999999999996E-3</v>
      </c>
      <c r="E854" s="577">
        <v>6.1583333333333334E-3</v>
      </c>
      <c r="F854" s="577">
        <v>6.3166666666666675E-3</v>
      </c>
      <c r="G854" s="577">
        <v>6.2375E-3</v>
      </c>
      <c r="H854" s="577">
        <v>6.4820833333333336E-3</v>
      </c>
      <c r="I854" s="577">
        <f t="shared" si="145"/>
        <v>2.18E-2</v>
      </c>
      <c r="J854" s="577">
        <f t="shared" si="138"/>
        <v>2.13625E-2</v>
      </c>
      <c r="K854" s="577">
        <f t="shared" si="139"/>
        <v>4.4317916666666665E-2</v>
      </c>
      <c r="L854" s="585">
        <f t="shared" si="146"/>
        <v>0.24092433098191024</v>
      </c>
      <c r="M854" s="585">
        <f t="shared" si="147"/>
        <v>6.9599999999999995E-2</v>
      </c>
      <c r="N854" s="585">
        <f t="shared" si="140"/>
        <v>7.485E-2</v>
      </c>
      <c r="O854" s="586">
        <f t="shared" si="148"/>
        <v>0.17132433098191024</v>
      </c>
      <c r="P854" s="585">
        <f t="shared" si="141"/>
        <v>0.16607433098191024</v>
      </c>
      <c r="Q854" s="585">
        <f t="shared" si="142"/>
        <v>0.10333918699487232</v>
      </c>
      <c r="R854" s="585">
        <f t="shared" si="143"/>
        <v>7.7785000000000007E-2</v>
      </c>
      <c r="S854" s="586">
        <f t="shared" si="144"/>
        <v>2.5554186994872316E-2</v>
      </c>
      <c r="U854" s="587"/>
      <c r="V854" s="587"/>
      <c r="W854" s="587"/>
      <c r="X854" s="587"/>
      <c r="Y854" s="587"/>
      <c r="Z854" s="587"/>
      <c r="AA854" s="587"/>
      <c r="AB854" s="587"/>
      <c r="AC854" s="587"/>
      <c r="AE854" s="587"/>
      <c r="AF854" s="587"/>
      <c r="AG854" s="587"/>
      <c r="AH854" s="587"/>
      <c r="AI854" s="587"/>
      <c r="AJ854" s="587"/>
      <c r="AK854" s="587"/>
      <c r="AL854" s="587"/>
      <c r="AM854" s="587"/>
      <c r="AO854" s="587"/>
      <c r="AP854" s="587"/>
      <c r="AQ854" s="587"/>
      <c r="AR854" s="587"/>
      <c r="AS854" s="587"/>
      <c r="AT854" s="587"/>
      <c r="AU854" s="587"/>
      <c r="AV854" s="587"/>
      <c r="AW854" s="587"/>
    </row>
    <row r="855" spans="1:49">
      <c r="A855" s="581">
        <v>35370</v>
      </c>
      <c r="B855" s="594">
        <v>7.5600000000000001E-2</v>
      </c>
      <c r="C855" s="577">
        <v>2.1099999999999997E-2</v>
      </c>
      <c r="D855" s="577">
        <v>5.1999999999999998E-3</v>
      </c>
      <c r="E855" s="577">
        <v>5.9166666666666664E-3</v>
      </c>
      <c r="F855" s="577">
        <v>6.0916666666666662E-3</v>
      </c>
      <c r="G855" s="577">
        <v>6.0041666666666663E-3</v>
      </c>
      <c r="H855" s="577">
        <v>6.2527500000000005E-3</v>
      </c>
      <c r="I855" s="577">
        <f t="shared" si="145"/>
        <v>7.0400000000000004E-2</v>
      </c>
      <c r="J855" s="577">
        <f t="shared" si="138"/>
        <v>6.9595833333333329E-2</v>
      </c>
      <c r="K855" s="577">
        <f t="shared" si="139"/>
        <v>1.4847249999999996E-2</v>
      </c>
      <c r="L855" s="585">
        <f t="shared" si="146"/>
        <v>0.27860734783422014</v>
      </c>
      <c r="M855" s="585">
        <f t="shared" si="147"/>
        <v>6.2399999999999997E-2</v>
      </c>
      <c r="N855" s="585">
        <f t="shared" si="140"/>
        <v>7.2050000000000003E-2</v>
      </c>
      <c r="O855" s="586">
        <f t="shared" si="148"/>
        <v>0.21620734783422013</v>
      </c>
      <c r="P855" s="585">
        <f t="shared" si="141"/>
        <v>0.20655734783422014</v>
      </c>
      <c r="Q855" s="585">
        <f t="shared" si="142"/>
        <v>0.11150320031616445</v>
      </c>
      <c r="R855" s="585">
        <f t="shared" si="143"/>
        <v>7.5033000000000002E-2</v>
      </c>
      <c r="S855" s="586">
        <f t="shared" si="144"/>
        <v>3.647020031616445E-2</v>
      </c>
      <c r="U855" s="587"/>
      <c r="V855" s="587"/>
      <c r="W855" s="587"/>
      <c r="X855" s="587"/>
      <c r="Y855" s="587"/>
      <c r="Z855" s="587"/>
      <c r="AA855" s="587"/>
      <c r="AB855" s="587"/>
      <c r="AC855" s="587"/>
      <c r="AE855" s="587"/>
      <c r="AF855" s="587"/>
      <c r="AG855" s="587"/>
      <c r="AH855" s="587"/>
      <c r="AI855" s="587"/>
      <c r="AJ855" s="587"/>
      <c r="AK855" s="587"/>
      <c r="AL855" s="587"/>
      <c r="AM855" s="587"/>
      <c r="AO855" s="587"/>
      <c r="AP855" s="587"/>
      <c r="AQ855" s="587"/>
      <c r="AR855" s="587"/>
      <c r="AS855" s="587"/>
      <c r="AT855" s="587"/>
      <c r="AU855" s="587"/>
      <c r="AV855" s="587"/>
      <c r="AW855" s="587"/>
    </row>
    <row r="856" spans="1:49">
      <c r="A856" s="581">
        <v>35400</v>
      </c>
      <c r="B856" s="594">
        <v>-1.9800000000000002E-2</v>
      </c>
      <c r="C856" s="577">
        <v>-6.000000000000001E-3</v>
      </c>
      <c r="D856" s="577">
        <v>5.5999999999999991E-3</v>
      </c>
      <c r="E856" s="577">
        <v>6.0000000000000001E-3</v>
      </c>
      <c r="F856" s="577">
        <v>6.1750000000000008E-3</v>
      </c>
      <c r="G856" s="577">
        <v>6.0875E-3</v>
      </c>
      <c r="H856" s="577">
        <v>6.3091666666666669E-3</v>
      </c>
      <c r="I856" s="577">
        <f t="shared" si="145"/>
        <v>-2.5399999999999999E-2</v>
      </c>
      <c r="J856" s="577">
        <f t="shared" si="138"/>
        <v>-2.5887500000000001E-2</v>
      </c>
      <c r="K856" s="577">
        <f t="shared" si="139"/>
        <v>-1.2309166666666668E-2</v>
      </c>
      <c r="L856" s="585">
        <f t="shared" si="146"/>
        <v>0.22956040650162168</v>
      </c>
      <c r="M856" s="585">
        <f t="shared" si="147"/>
        <v>6.7199999999999982E-2</v>
      </c>
      <c r="N856" s="585">
        <f t="shared" si="140"/>
        <v>7.3050000000000004E-2</v>
      </c>
      <c r="O856" s="586">
        <f t="shared" si="148"/>
        <v>0.1623604065016217</v>
      </c>
      <c r="P856" s="585">
        <f t="shared" si="141"/>
        <v>0.15651040650162168</v>
      </c>
      <c r="Q856" s="585">
        <f t="shared" si="142"/>
        <v>3.1783882250903339E-2</v>
      </c>
      <c r="R856" s="585">
        <f t="shared" si="143"/>
        <v>7.571E-2</v>
      </c>
      <c r="S856" s="586">
        <f t="shared" si="144"/>
        <v>-4.392611774909666E-2</v>
      </c>
      <c r="U856" s="587"/>
      <c r="V856" s="587"/>
      <c r="W856" s="587"/>
      <c r="X856" s="587"/>
      <c r="Y856" s="587"/>
      <c r="Z856" s="587"/>
      <c r="AA856" s="587"/>
      <c r="AB856" s="587"/>
      <c r="AC856" s="587"/>
      <c r="AE856" s="587"/>
      <c r="AF856" s="587"/>
      <c r="AG856" s="587"/>
      <c r="AH856" s="587"/>
      <c r="AI856" s="587"/>
      <c r="AJ856" s="587"/>
      <c r="AK856" s="587"/>
      <c r="AL856" s="587"/>
      <c r="AM856" s="587"/>
      <c r="AO856" s="587"/>
      <c r="AP856" s="587"/>
      <c r="AQ856" s="587"/>
      <c r="AR856" s="587"/>
      <c r="AS856" s="587"/>
      <c r="AT856" s="587"/>
      <c r="AU856" s="587"/>
      <c r="AV856" s="587"/>
      <c r="AW856" s="587"/>
    </row>
    <row r="857" spans="1:49">
      <c r="A857" s="581">
        <v>35431</v>
      </c>
      <c r="B857" s="594">
        <v>6.25E-2</v>
      </c>
      <c r="C857" s="577">
        <v>6.6E-3</v>
      </c>
      <c r="D857" s="577">
        <v>5.5999999999999991E-3</v>
      </c>
      <c r="E857" s="577">
        <v>6.1833333333333332E-3</v>
      </c>
      <c r="F857" s="577">
        <v>6.3583333333333339E-3</v>
      </c>
      <c r="G857" s="577">
        <v>6.2708333333333331E-3</v>
      </c>
      <c r="H857" s="577">
        <v>6.4722500000000006E-3</v>
      </c>
      <c r="I857" s="577">
        <f t="shared" si="145"/>
        <v>5.6899999999999999E-2</v>
      </c>
      <c r="J857" s="577">
        <f t="shared" si="138"/>
        <v>5.6229166666666663E-2</v>
      </c>
      <c r="K857" s="577">
        <f t="shared" si="139"/>
        <v>1.2774999999999939E-4</v>
      </c>
      <c r="L857" s="585">
        <f t="shared" si="146"/>
        <v>0.26345061112956758</v>
      </c>
      <c r="M857" s="585">
        <f t="shared" si="147"/>
        <v>6.7199999999999982E-2</v>
      </c>
      <c r="N857" s="585">
        <f t="shared" si="140"/>
        <v>7.5249999999999997E-2</v>
      </c>
      <c r="O857" s="586">
        <f t="shared" si="148"/>
        <v>0.1962506111295676</v>
      </c>
      <c r="P857" s="585">
        <f t="shared" si="141"/>
        <v>0.1882006111295676</v>
      </c>
      <c r="Q857" s="585">
        <f t="shared" si="142"/>
        <v>2.5366428940428065E-2</v>
      </c>
      <c r="R857" s="585">
        <f t="shared" si="143"/>
        <v>7.7667000000000014E-2</v>
      </c>
      <c r="S857" s="586">
        <f t="shared" si="144"/>
        <v>-5.2300571059571949E-2</v>
      </c>
      <c r="U857" s="587"/>
      <c r="V857" s="587"/>
      <c r="W857" s="587"/>
      <c r="X857" s="587"/>
      <c r="Y857" s="587"/>
      <c r="Z857" s="587"/>
      <c r="AA857" s="587"/>
      <c r="AB857" s="587"/>
      <c r="AC857" s="587"/>
      <c r="AE857" s="587"/>
      <c r="AF857" s="587"/>
      <c r="AG857" s="587"/>
      <c r="AH857" s="587"/>
      <c r="AI857" s="587"/>
      <c r="AJ857" s="587"/>
      <c r="AK857" s="587"/>
      <c r="AL857" s="587"/>
      <c r="AM857" s="587"/>
      <c r="AO857" s="587"/>
      <c r="AP857" s="587"/>
      <c r="AQ857" s="587"/>
      <c r="AR857" s="587"/>
      <c r="AS857" s="587"/>
      <c r="AT857" s="587"/>
      <c r="AU857" s="587"/>
      <c r="AV857" s="587"/>
      <c r="AW857" s="587"/>
    </row>
    <row r="858" spans="1:49">
      <c r="A858" s="581">
        <v>35462</v>
      </c>
      <c r="B858" s="594">
        <v>7.7999999999999996E-3</v>
      </c>
      <c r="C858" s="577">
        <v>-9.5000000000000015E-3</v>
      </c>
      <c r="D858" s="577">
        <v>5.1000000000000004E-3</v>
      </c>
      <c r="E858" s="577">
        <v>6.0916666666666662E-3</v>
      </c>
      <c r="F858" s="577">
        <v>6.2833333333333326E-3</v>
      </c>
      <c r="G858" s="577">
        <v>6.1874999999999994E-3</v>
      </c>
      <c r="H858" s="577">
        <v>6.368833333333334E-3</v>
      </c>
      <c r="I858" s="577">
        <f t="shared" si="145"/>
        <v>2.6999999999999993E-3</v>
      </c>
      <c r="J858" s="577">
        <f t="shared" si="138"/>
        <v>1.6125000000000002E-3</v>
      </c>
      <c r="K858" s="577">
        <f t="shared" si="139"/>
        <v>-1.5868833333333335E-2</v>
      </c>
      <c r="L858" s="585">
        <f t="shared" si="146"/>
        <v>0.26157289794548499</v>
      </c>
      <c r="M858" s="585">
        <f t="shared" si="147"/>
        <v>6.1200000000000004E-2</v>
      </c>
      <c r="N858" s="585">
        <f t="shared" si="140"/>
        <v>7.4249999999999997E-2</v>
      </c>
      <c r="O858" s="586">
        <f t="shared" si="148"/>
        <v>0.20037289794548499</v>
      </c>
      <c r="P858" s="585">
        <f t="shared" si="141"/>
        <v>0.18732289794548501</v>
      </c>
      <c r="Q858" s="585">
        <f t="shared" si="142"/>
        <v>5.7392449625709219E-2</v>
      </c>
      <c r="R858" s="585">
        <f t="shared" si="143"/>
        <v>7.6426000000000008E-2</v>
      </c>
      <c r="S858" s="586">
        <f t="shared" si="144"/>
        <v>-1.9033550374290789E-2</v>
      </c>
      <c r="U858" s="587"/>
      <c r="V858" s="587"/>
      <c r="W858" s="587"/>
      <c r="X858" s="587"/>
      <c r="Y858" s="587"/>
      <c r="Z858" s="587"/>
      <c r="AA858" s="587"/>
      <c r="AB858" s="587"/>
      <c r="AC858" s="587"/>
      <c r="AE858" s="587"/>
      <c r="AF858" s="587"/>
      <c r="AG858" s="587"/>
      <c r="AH858" s="587"/>
      <c r="AI858" s="587"/>
      <c r="AJ858" s="587"/>
      <c r="AK858" s="587"/>
      <c r="AL858" s="587"/>
      <c r="AM858" s="587"/>
      <c r="AO858" s="587"/>
      <c r="AP858" s="587"/>
      <c r="AQ858" s="587"/>
      <c r="AR858" s="587"/>
      <c r="AS858" s="587"/>
      <c r="AT858" s="587"/>
      <c r="AU858" s="587"/>
      <c r="AV858" s="587"/>
      <c r="AW858" s="587"/>
    </row>
    <row r="859" spans="1:49">
      <c r="A859" s="581">
        <v>35490</v>
      </c>
      <c r="B859" s="594">
        <v>-4.1099999999999998E-2</v>
      </c>
      <c r="C859" s="577">
        <v>-3.0099999999999998E-2</v>
      </c>
      <c r="D859" s="577">
        <v>5.8999999999999999E-3</v>
      </c>
      <c r="E859" s="577">
        <v>6.2916666666666668E-3</v>
      </c>
      <c r="F859" s="577">
        <v>6.4749999999999999E-3</v>
      </c>
      <c r="G859" s="577">
        <v>6.3833333333333329E-3</v>
      </c>
      <c r="H859" s="577">
        <v>6.5545833333333333E-3</v>
      </c>
      <c r="I859" s="577">
        <f t="shared" si="145"/>
        <v>-4.7E-2</v>
      </c>
      <c r="J859" s="577">
        <f t="shared" si="138"/>
        <v>-4.7483333333333329E-2</v>
      </c>
      <c r="K859" s="577">
        <f t="shared" si="139"/>
        <v>-3.6654583333333331E-2</v>
      </c>
      <c r="L859" s="585">
        <f t="shared" si="146"/>
        <v>0.19821934611720016</v>
      </c>
      <c r="M859" s="585">
        <f t="shared" si="147"/>
        <v>7.0800000000000002E-2</v>
      </c>
      <c r="N859" s="585">
        <f t="shared" si="140"/>
        <v>7.6600000000000001E-2</v>
      </c>
      <c r="O859" s="586">
        <f t="shared" si="148"/>
        <v>0.12741934611720016</v>
      </c>
      <c r="P859" s="585">
        <f t="shared" si="141"/>
        <v>0.12161934611720016</v>
      </c>
      <c r="Q859" s="585">
        <f t="shared" si="142"/>
        <v>4.6815287222593982E-2</v>
      </c>
      <c r="R859" s="585">
        <f t="shared" si="143"/>
        <v>7.8655000000000003E-2</v>
      </c>
      <c r="S859" s="586">
        <f t="shared" si="144"/>
        <v>-3.1839712777406021E-2</v>
      </c>
      <c r="U859" s="587"/>
      <c r="V859" s="587"/>
      <c r="W859" s="587"/>
      <c r="X859" s="587"/>
      <c r="Y859" s="587"/>
      <c r="Z859" s="587"/>
      <c r="AA859" s="587"/>
      <c r="AB859" s="587"/>
      <c r="AC859" s="587"/>
      <c r="AE859" s="587"/>
      <c r="AF859" s="587"/>
      <c r="AG859" s="587"/>
      <c r="AH859" s="587"/>
      <c r="AI859" s="587"/>
      <c r="AJ859" s="587"/>
      <c r="AK859" s="587"/>
      <c r="AL859" s="587"/>
      <c r="AM859" s="587"/>
      <c r="AO859" s="587"/>
      <c r="AP859" s="587"/>
      <c r="AQ859" s="587"/>
      <c r="AR859" s="587"/>
      <c r="AS859" s="587"/>
      <c r="AT859" s="587"/>
      <c r="AU859" s="587"/>
      <c r="AV859" s="587"/>
      <c r="AW859" s="587"/>
    </row>
    <row r="860" spans="1:49">
      <c r="A860" s="581">
        <v>35521</v>
      </c>
      <c r="B860" s="594">
        <v>5.9700000000000003E-2</v>
      </c>
      <c r="C860" s="577">
        <v>-1.4999999999999999E-2</v>
      </c>
      <c r="D860" s="577">
        <v>5.8999999999999999E-3</v>
      </c>
      <c r="E860" s="577">
        <v>6.4416666666666667E-3</v>
      </c>
      <c r="F860" s="577">
        <v>6.6083333333333324E-3</v>
      </c>
      <c r="G860" s="577">
        <v>6.5249999999999996E-3</v>
      </c>
      <c r="H860" s="577">
        <v>6.6973333333333329E-3</v>
      </c>
      <c r="I860" s="577">
        <f t="shared" si="145"/>
        <v>5.3800000000000001E-2</v>
      </c>
      <c r="J860" s="577">
        <f t="shared" si="138"/>
        <v>5.3175E-2</v>
      </c>
      <c r="K860" s="577">
        <f t="shared" si="139"/>
        <v>-2.1697333333333332E-2</v>
      </c>
      <c r="L860" s="585">
        <f t="shared" si="146"/>
        <v>0.25135807734344895</v>
      </c>
      <c r="M860" s="585">
        <f t="shared" si="147"/>
        <v>7.0800000000000002E-2</v>
      </c>
      <c r="N860" s="585">
        <f t="shared" si="140"/>
        <v>7.8299999999999995E-2</v>
      </c>
      <c r="O860" s="586">
        <f t="shared" si="148"/>
        <v>0.18055807734344895</v>
      </c>
      <c r="P860" s="585">
        <f t="shared" si="141"/>
        <v>0.17305807734344897</v>
      </c>
      <c r="Q860" s="585">
        <f t="shared" si="142"/>
        <v>1.9894221477997354E-2</v>
      </c>
      <c r="R860" s="585">
        <f t="shared" si="143"/>
        <v>8.0367999999999995E-2</v>
      </c>
      <c r="S860" s="586">
        <f t="shared" si="144"/>
        <v>-6.0473778522002641E-2</v>
      </c>
      <c r="U860" s="587"/>
      <c r="V860" s="587"/>
      <c r="W860" s="587"/>
      <c r="X860" s="587"/>
      <c r="Y860" s="587"/>
      <c r="Z860" s="587"/>
      <c r="AA860" s="587"/>
      <c r="AB860" s="587"/>
      <c r="AC860" s="587"/>
      <c r="AE860" s="587"/>
      <c r="AF860" s="587"/>
      <c r="AG860" s="587"/>
      <c r="AH860" s="587"/>
      <c r="AI860" s="587"/>
      <c r="AJ860" s="587"/>
      <c r="AK860" s="587"/>
      <c r="AL860" s="587"/>
      <c r="AM860" s="587"/>
      <c r="AO860" s="587"/>
      <c r="AP860" s="587"/>
      <c r="AQ860" s="587"/>
      <c r="AR860" s="587"/>
      <c r="AS860" s="587"/>
      <c r="AT860" s="587"/>
      <c r="AU860" s="587"/>
      <c r="AV860" s="587"/>
      <c r="AW860" s="587"/>
    </row>
    <row r="861" spans="1:49">
      <c r="A861" s="581">
        <v>35551</v>
      </c>
      <c r="B861" s="594">
        <v>6.0900000000000003E-2</v>
      </c>
      <c r="C861" s="577">
        <v>4.2299999999999997E-2</v>
      </c>
      <c r="D861" s="577">
        <v>5.7999999999999996E-3</v>
      </c>
      <c r="E861" s="577">
        <v>6.3166666666666675E-3</v>
      </c>
      <c r="F861" s="577">
        <v>6.5000000000000006E-3</v>
      </c>
      <c r="G861" s="577">
        <v>6.4083333333333336E-3</v>
      </c>
      <c r="H861" s="577">
        <v>6.5754166666666669E-3</v>
      </c>
      <c r="I861" s="577">
        <f t="shared" si="145"/>
        <v>5.5100000000000003E-2</v>
      </c>
      <c r="J861" s="577">
        <f t="shared" ref="J861:J924" si="149">B861-G861</f>
        <v>5.4491666666666667E-2</v>
      </c>
      <c r="K861" s="577">
        <f t="shared" ref="K861:K924" si="150">$C861-H861</f>
        <v>3.572458333333333E-2</v>
      </c>
      <c r="L861" s="585">
        <f t="shared" si="146"/>
        <v>0.29417604236075712</v>
      </c>
      <c r="M861" s="585">
        <f t="shared" si="147"/>
        <v>6.9599999999999995E-2</v>
      </c>
      <c r="N861" s="585">
        <f t="shared" si="140"/>
        <v>7.6899999999999996E-2</v>
      </c>
      <c r="O861" s="586">
        <f t="shared" si="148"/>
        <v>0.22457604236075712</v>
      </c>
      <c r="P861" s="585">
        <f t="shared" si="141"/>
        <v>0.21727604236075712</v>
      </c>
      <c r="Q861" s="585">
        <f t="shared" si="142"/>
        <v>6.5699997039114555E-2</v>
      </c>
      <c r="R861" s="585">
        <f t="shared" si="143"/>
        <v>7.8905000000000003E-2</v>
      </c>
      <c r="S861" s="586">
        <f t="shared" si="144"/>
        <v>-1.3205002960885448E-2</v>
      </c>
      <c r="U861" s="587"/>
      <c r="V861" s="587"/>
      <c r="W861" s="587"/>
      <c r="X861" s="587"/>
      <c r="Y861" s="587"/>
      <c r="Z861" s="587"/>
      <c r="AA861" s="587"/>
      <c r="AB861" s="587"/>
      <c r="AC861" s="587"/>
      <c r="AE861" s="587"/>
      <c r="AF861" s="587"/>
      <c r="AG861" s="587"/>
      <c r="AH861" s="587"/>
      <c r="AI861" s="587"/>
      <c r="AJ861" s="587"/>
      <c r="AK861" s="587"/>
      <c r="AL861" s="587"/>
      <c r="AM861" s="587"/>
      <c r="AO861" s="587"/>
      <c r="AP861" s="587"/>
      <c r="AQ861" s="587"/>
      <c r="AR861" s="587"/>
      <c r="AS861" s="587"/>
      <c r="AT861" s="587"/>
      <c r="AU861" s="587"/>
      <c r="AV861" s="587"/>
      <c r="AW861" s="587"/>
    </row>
    <row r="862" spans="1:49">
      <c r="A862" s="581">
        <v>35582</v>
      </c>
      <c r="B862" s="594">
        <v>4.48E-2</v>
      </c>
      <c r="C862" s="577">
        <v>3.1399999999999997E-2</v>
      </c>
      <c r="D862" s="577">
        <v>5.8999999999999999E-3</v>
      </c>
      <c r="E862" s="577">
        <v>6.1750000000000008E-3</v>
      </c>
      <c r="F862" s="577">
        <v>6.3499999999999997E-3</v>
      </c>
      <c r="G862" s="577">
        <v>6.2624999999999998E-3</v>
      </c>
      <c r="H862" s="577">
        <v>6.437333333333334E-3</v>
      </c>
      <c r="I862" s="577">
        <f t="shared" si="145"/>
        <v>3.8899999999999997E-2</v>
      </c>
      <c r="J862" s="577">
        <f t="shared" si="149"/>
        <v>3.8537500000000002E-2</v>
      </c>
      <c r="K862" s="577">
        <f t="shared" si="150"/>
        <v>2.4962666666666664E-2</v>
      </c>
      <c r="L862" s="585">
        <f t="shared" si="146"/>
        <v>0.34703639077357873</v>
      </c>
      <c r="M862" s="585">
        <f t="shared" si="147"/>
        <v>7.0800000000000002E-2</v>
      </c>
      <c r="N862" s="585">
        <f t="shared" si="140"/>
        <v>7.5149999999999995E-2</v>
      </c>
      <c r="O862" s="586">
        <f t="shared" si="148"/>
        <v>0.27623639077357875</v>
      </c>
      <c r="P862" s="585">
        <f t="shared" si="141"/>
        <v>0.27188639077357873</v>
      </c>
      <c r="Q862" s="585">
        <f t="shared" si="142"/>
        <v>5.5263994763961932E-2</v>
      </c>
      <c r="R862" s="585">
        <f t="shared" si="143"/>
        <v>7.7248000000000011E-2</v>
      </c>
      <c r="S862" s="586">
        <f t="shared" si="144"/>
        <v>-2.1984005236038079E-2</v>
      </c>
      <c r="U862" s="587"/>
      <c r="V862" s="587"/>
      <c r="W862" s="587"/>
      <c r="X862" s="587"/>
      <c r="Y862" s="587"/>
      <c r="Z862" s="587"/>
      <c r="AA862" s="587"/>
      <c r="AB862" s="587"/>
      <c r="AC862" s="587"/>
      <c r="AE862" s="587"/>
      <c r="AF862" s="587"/>
      <c r="AG862" s="587"/>
      <c r="AH862" s="587"/>
      <c r="AI862" s="587"/>
      <c r="AJ862" s="587"/>
      <c r="AK862" s="587"/>
      <c r="AL862" s="587"/>
      <c r="AM862" s="587"/>
      <c r="AO862" s="587"/>
      <c r="AP862" s="587"/>
      <c r="AQ862" s="587"/>
      <c r="AR862" s="587"/>
      <c r="AS862" s="587"/>
      <c r="AT862" s="587"/>
      <c r="AU862" s="587"/>
      <c r="AV862" s="587"/>
      <c r="AW862" s="587"/>
    </row>
    <row r="863" spans="1:49">
      <c r="A863" s="581">
        <v>35612</v>
      </c>
      <c r="B863" s="594">
        <v>7.9600000000000004E-2</v>
      </c>
      <c r="C863" s="577">
        <v>2.3E-2</v>
      </c>
      <c r="D863" s="577">
        <v>5.7999999999999996E-3</v>
      </c>
      <c r="E863" s="577">
        <v>5.9499999999999996E-3</v>
      </c>
      <c r="F863" s="577">
        <v>6.1333333333333344E-3</v>
      </c>
      <c r="G863" s="577">
        <v>6.0416666666666674E-3</v>
      </c>
      <c r="H863" s="577">
        <v>6.2409166666666663E-3</v>
      </c>
      <c r="I863" s="577">
        <f t="shared" si="145"/>
        <v>7.3800000000000004E-2</v>
      </c>
      <c r="J863" s="577">
        <f t="shared" si="149"/>
        <v>7.3558333333333337E-2</v>
      </c>
      <c r="K863" s="577">
        <f t="shared" si="150"/>
        <v>1.6759083333333334E-2</v>
      </c>
      <c r="L863" s="585">
        <f t="shared" si="146"/>
        <v>0.52151128633517074</v>
      </c>
      <c r="M863" s="585">
        <f t="shared" si="147"/>
        <v>6.9599999999999995E-2</v>
      </c>
      <c r="N863" s="585">
        <f t="shared" si="140"/>
        <v>7.2500000000000009E-2</v>
      </c>
      <c r="O863" s="586">
        <f t="shared" si="148"/>
        <v>0.45191128633517075</v>
      </c>
      <c r="P863" s="585">
        <f t="shared" si="141"/>
        <v>0.44901128633517073</v>
      </c>
      <c r="Q863" s="585">
        <f t="shared" si="142"/>
        <v>0.15187267034094409</v>
      </c>
      <c r="R863" s="585">
        <f t="shared" si="143"/>
        <v>7.4890999999999999E-2</v>
      </c>
      <c r="S863" s="586">
        <f t="shared" si="144"/>
        <v>7.6981670340944094E-2</v>
      </c>
      <c r="U863" s="587"/>
      <c r="V863" s="587"/>
      <c r="W863" s="587"/>
      <c r="X863" s="587"/>
      <c r="Y863" s="587"/>
      <c r="Z863" s="587"/>
      <c r="AA863" s="587"/>
      <c r="AB863" s="587"/>
      <c r="AC863" s="587"/>
      <c r="AE863" s="587"/>
      <c r="AF863" s="587"/>
      <c r="AG863" s="587"/>
      <c r="AH863" s="587"/>
      <c r="AI863" s="587"/>
      <c r="AJ863" s="587"/>
      <c r="AK863" s="587"/>
      <c r="AL863" s="587"/>
      <c r="AM863" s="587"/>
      <c r="AO863" s="587"/>
      <c r="AP863" s="587"/>
      <c r="AQ863" s="587"/>
      <c r="AR863" s="587"/>
      <c r="AS863" s="587"/>
      <c r="AT863" s="587"/>
      <c r="AU863" s="587"/>
      <c r="AV863" s="587"/>
      <c r="AW863" s="587"/>
    </row>
    <row r="864" spans="1:49">
      <c r="A864" s="581">
        <v>35643</v>
      </c>
      <c r="B864" s="594">
        <v>-5.6000000000000001E-2</v>
      </c>
      <c r="C864" s="577">
        <v>-1.83E-2</v>
      </c>
      <c r="D864" s="577">
        <v>4.8999999999999998E-3</v>
      </c>
      <c r="E864" s="577">
        <v>6.0166666666666667E-3</v>
      </c>
      <c r="F864" s="577">
        <v>6.1666666666666667E-3</v>
      </c>
      <c r="G864" s="577">
        <v>6.0916666666666662E-3</v>
      </c>
      <c r="H864" s="577">
        <v>6.2475833333333333E-3</v>
      </c>
      <c r="I864" s="577">
        <f t="shared" si="145"/>
        <v>-6.0900000000000003E-2</v>
      </c>
      <c r="J864" s="577">
        <f t="shared" si="149"/>
        <v>-6.209166666666667E-2</v>
      </c>
      <c r="K864" s="577">
        <f t="shared" si="150"/>
        <v>-2.4547583333333334E-2</v>
      </c>
      <c r="L864" s="585">
        <f t="shared" si="146"/>
        <v>0.40662682822485663</v>
      </c>
      <c r="M864" s="585">
        <f t="shared" si="147"/>
        <v>5.8799999999999998E-2</v>
      </c>
      <c r="N864" s="585">
        <f t="shared" si="140"/>
        <v>7.3099999999999998E-2</v>
      </c>
      <c r="O864" s="586">
        <f t="shared" si="148"/>
        <v>0.34782682822485661</v>
      </c>
      <c r="P864" s="585">
        <f t="shared" si="141"/>
        <v>0.33352682822485663</v>
      </c>
      <c r="Q864" s="585">
        <f t="shared" si="142"/>
        <v>0.10720983107187365</v>
      </c>
      <c r="R864" s="585">
        <f t="shared" si="143"/>
        <v>7.4970999999999996E-2</v>
      </c>
      <c r="S864" s="586">
        <f t="shared" si="144"/>
        <v>3.2238831071873655E-2</v>
      </c>
      <c r="U864" s="587"/>
      <c r="V864" s="587"/>
      <c r="W864" s="587"/>
      <c r="X864" s="587"/>
      <c r="Y864" s="587"/>
      <c r="Z864" s="587"/>
      <c r="AA864" s="587"/>
      <c r="AB864" s="587"/>
      <c r="AC864" s="587"/>
      <c r="AE864" s="587"/>
      <c r="AF864" s="587"/>
      <c r="AG864" s="587"/>
      <c r="AH864" s="587"/>
      <c r="AI864" s="587"/>
      <c r="AJ864" s="587"/>
      <c r="AK864" s="587"/>
      <c r="AL864" s="587"/>
      <c r="AM864" s="587"/>
      <c r="AO864" s="587"/>
      <c r="AP864" s="587"/>
      <c r="AQ864" s="587"/>
      <c r="AR864" s="587"/>
      <c r="AS864" s="587"/>
      <c r="AT864" s="587"/>
      <c r="AU864" s="587"/>
      <c r="AV864" s="587"/>
      <c r="AW864" s="587"/>
    </row>
    <row r="865" spans="1:49">
      <c r="A865" s="581">
        <v>35674</v>
      </c>
      <c r="B865" s="594">
        <v>5.4800000000000001E-2</v>
      </c>
      <c r="C865" s="577">
        <v>4.3299999999999998E-2</v>
      </c>
      <c r="D865" s="577">
        <v>5.7999999999999996E-3</v>
      </c>
      <c r="E865" s="577">
        <v>5.9499999999999996E-3</v>
      </c>
      <c r="F865" s="577">
        <v>6.116666666666667E-3</v>
      </c>
      <c r="G865" s="577">
        <v>6.0333333333333324E-3</v>
      </c>
      <c r="H865" s="577">
        <v>6.2285833333333342E-3</v>
      </c>
      <c r="I865" s="577">
        <f t="shared" si="145"/>
        <v>4.9000000000000002E-2</v>
      </c>
      <c r="J865" s="577">
        <f t="shared" si="149"/>
        <v>4.8766666666666666E-2</v>
      </c>
      <c r="K865" s="577">
        <f t="shared" si="150"/>
        <v>3.7071416666666662E-2</v>
      </c>
      <c r="L865" s="585">
        <f t="shared" si="146"/>
        <v>0.40462934621942526</v>
      </c>
      <c r="M865" s="585">
        <f t="shared" si="147"/>
        <v>6.9599999999999995E-2</v>
      </c>
      <c r="N865" s="585">
        <f t="shared" si="140"/>
        <v>7.2399999999999992E-2</v>
      </c>
      <c r="O865" s="586">
        <f t="shared" si="148"/>
        <v>0.33502934621942526</v>
      </c>
      <c r="P865" s="585">
        <f t="shared" si="141"/>
        <v>0.33222934621942524</v>
      </c>
      <c r="Q865" s="585">
        <f t="shared" si="142"/>
        <v>0.14428134398938663</v>
      </c>
      <c r="R865" s="585">
        <f t="shared" si="143"/>
        <v>7.4743000000000004E-2</v>
      </c>
      <c r="S865" s="586">
        <f t="shared" si="144"/>
        <v>6.9538343989386631E-2</v>
      </c>
      <c r="U865" s="587"/>
      <c r="V865" s="587"/>
      <c r="W865" s="587"/>
      <c r="X865" s="587"/>
      <c r="Y865" s="587"/>
      <c r="Z865" s="587"/>
      <c r="AA865" s="587"/>
      <c r="AB865" s="587"/>
      <c r="AC865" s="587"/>
      <c r="AE865" s="587"/>
      <c r="AF865" s="587"/>
      <c r="AG865" s="587"/>
      <c r="AH865" s="587"/>
      <c r="AI865" s="587"/>
      <c r="AJ865" s="587"/>
      <c r="AK865" s="587"/>
      <c r="AL865" s="587"/>
      <c r="AM865" s="587"/>
      <c r="AO865" s="587"/>
      <c r="AP865" s="587"/>
      <c r="AQ865" s="587"/>
      <c r="AR865" s="587"/>
      <c r="AS865" s="587"/>
      <c r="AT865" s="587"/>
      <c r="AU865" s="587"/>
      <c r="AV865" s="587"/>
      <c r="AW865" s="587"/>
    </row>
    <row r="866" spans="1:49">
      <c r="A866" s="581">
        <v>35704</v>
      </c>
      <c r="B866" s="594">
        <v>-3.3399999999999999E-2</v>
      </c>
      <c r="C866" s="577">
        <v>9.7999999999999997E-3</v>
      </c>
      <c r="D866" s="577">
        <v>5.4000000000000003E-3</v>
      </c>
      <c r="E866" s="577">
        <v>5.8333333333333336E-3</v>
      </c>
      <c r="F866" s="577">
        <v>6.0000000000000001E-3</v>
      </c>
      <c r="G866" s="577">
        <v>5.9166666666666664E-3</v>
      </c>
      <c r="H866" s="577">
        <v>6.130416666666666E-3</v>
      </c>
      <c r="I866" s="577">
        <f t="shared" si="145"/>
        <v>-3.8800000000000001E-2</v>
      </c>
      <c r="J866" s="577">
        <f t="shared" si="149"/>
        <v>-3.9316666666666666E-2</v>
      </c>
      <c r="K866" s="577">
        <f t="shared" si="150"/>
        <v>3.6695833333333337E-3</v>
      </c>
      <c r="L866" s="585">
        <f t="shared" si="146"/>
        <v>0.3212482737015343</v>
      </c>
      <c r="M866" s="585">
        <f t="shared" si="147"/>
        <v>6.4799999999999996E-2</v>
      </c>
      <c r="N866" s="585">
        <f t="shared" si="140"/>
        <v>7.0999999999999994E-2</v>
      </c>
      <c r="O866" s="586">
        <f t="shared" si="148"/>
        <v>0.25644827370153433</v>
      </c>
      <c r="P866" s="585">
        <f t="shared" si="141"/>
        <v>0.2502482737015343</v>
      </c>
      <c r="Q866" s="585">
        <f t="shared" si="142"/>
        <v>9.9633899086869704E-2</v>
      </c>
      <c r="R866" s="585">
        <f t="shared" si="143"/>
        <v>7.3564999999999992E-2</v>
      </c>
      <c r="S866" s="586">
        <f t="shared" si="144"/>
        <v>2.6068899086869712E-2</v>
      </c>
      <c r="U866" s="587"/>
      <c r="V866" s="587"/>
      <c r="W866" s="587"/>
      <c r="X866" s="587"/>
      <c r="Y866" s="587"/>
      <c r="Z866" s="587"/>
      <c r="AA866" s="587"/>
      <c r="AB866" s="587"/>
      <c r="AC866" s="587"/>
      <c r="AE866" s="587"/>
      <c r="AF866" s="587"/>
      <c r="AG866" s="587"/>
      <c r="AH866" s="587"/>
      <c r="AI866" s="587"/>
      <c r="AJ866" s="587"/>
      <c r="AK866" s="587"/>
      <c r="AL866" s="587"/>
      <c r="AM866" s="587"/>
      <c r="AO866" s="587"/>
      <c r="AP866" s="587"/>
      <c r="AQ866" s="587"/>
      <c r="AR866" s="587"/>
      <c r="AS866" s="587"/>
      <c r="AT866" s="587"/>
      <c r="AU866" s="587"/>
      <c r="AV866" s="587"/>
      <c r="AW866" s="587"/>
    </row>
    <row r="867" spans="1:49">
      <c r="A867" s="581">
        <v>35735</v>
      </c>
      <c r="B867" s="594">
        <v>4.6300000000000001E-2</v>
      </c>
      <c r="C867" s="577">
        <v>7.0700000000000013E-2</v>
      </c>
      <c r="D867" s="577">
        <v>4.7000000000000002E-3</v>
      </c>
      <c r="E867" s="577">
        <v>5.7250000000000001E-3</v>
      </c>
      <c r="F867" s="577">
        <v>5.8916666666666674E-3</v>
      </c>
      <c r="G867" s="577">
        <v>5.8083333333333329E-3</v>
      </c>
      <c r="H867" s="577">
        <v>6.0390000000000001E-3</v>
      </c>
      <c r="I867" s="577">
        <f t="shared" si="145"/>
        <v>4.1599999999999998E-2</v>
      </c>
      <c r="J867" s="577">
        <f t="shared" si="149"/>
        <v>4.0491666666666669E-2</v>
      </c>
      <c r="K867" s="577">
        <f t="shared" si="150"/>
        <v>6.466100000000001E-2</v>
      </c>
      <c r="L867" s="585">
        <f t="shared" si="146"/>
        <v>0.28525666490694968</v>
      </c>
      <c r="M867" s="585">
        <f t="shared" si="147"/>
        <v>5.6400000000000006E-2</v>
      </c>
      <c r="N867" s="585">
        <f t="shared" si="140"/>
        <v>6.9699999999999998E-2</v>
      </c>
      <c r="O867" s="586">
        <f t="shared" si="148"/>
        <v>0.22885666490694967</v>
      </c>
      <c r="P867" s="585">
        <f t="shared" si="141"/>
        <v>0.21555666490694969</v>
      </c>
      <c r="Q867" s="585">
        <f t="shared" si="142"/>
        <v>0.15304868842651209</v>
      </c>
      <c r="R867" s="585">
        <f t="shared" si="143"/>
        <v>7.2468000000000005E-2</v>
      </c>
      <c r="S867" s="586">
        <f t="shared" si="144"/>
        <v>8.0580688426512087E-2</v>
      </c>
      <c r="U867" s="587"/>
      <c r="V867" s="587"/>
      <c r="W867" s="587"/>
      <c r="X867" s="587"/>
      <c r="Y867" s="587"/>
      <c r="Z867" s="587"/>
      <c r="AA867" s="587"/>
      <c r="AB867" s="587"/>
      <c r="AC867" s="587"/>
      <c r="AE867" s="587"/>
      <c r="AF867" s="587"/>
      <c r="AG867" s="587"/>
      <c r="AH867" s="587"/>
      <c r="AI867" s="587"/>
      <c r="AJ867" s="587"/>
      <c r="AK867" s="587"/>
      <c r="AL867" s="587"/>
      <c r="AM867" s="587"/>
      <c r="AO867" s="587"/>
      <c r="AP867" s="587"/>
      <c r="AQ867" s="587"/>
      <c r="AR867" s="587"/>
      <c r="AS867" s="587"/>
      <c r="AT867" s="587"/>
      <c r="AU867" s="587"/>
      <c r="AV867" s="587"/>
      <c r="AW867" s="587"/>
    </row>
    <row r="868" spans="1:49">
      <c r="A868" s="581">
        <v>35765</v>
      </c>
      <c r="B868" s="594">
        <v>1.72E-2</v>
      </c>
      <c r="C868" s="577">
        <v>7.5200000000000003E-2</v>
      </c>
      <c r="D868" s="577">
        <v>5.4000000000000003E-3</v>
      </c>
      <c r="E868" s="577">
        <v>5.6333333333333339E-3</v>
      </c>
      <c r="F868" s="577">
        <v>5.8250000000000003E-3</v>
      </c>
      <c r="G868" s="577">
        <v>5.7291666666666671E-3</v>
      </c>
      <c r="H868" s="577">
        <v>5.9696666666666665E-3</v>
      </c>
      <c r="I868" s="577">
        <f t="shared" si="145"/>
        <v>1.18E-2</v>
      </c>
      <c r="J868" s="577">
        <f t="shared" si="149"/>
        <v>1.1470833333333333E-2</v>
      </c>
      <c r="K868" s="577">
        <f t="shared" si="150"/>
        <v>6.9230333333333338E-2</v>
      </c>
      <c r="L868" s="585">
        <f t="shared" si="146"/>
        <v>0.33377176039925405</v>
      </c>
      <c r="M868" s="585">
        <f t="shared" si="147"/>
        <v>6.4799999999999996E-2</v>
      </c>
      <c r="N868" s="585">
        <f t="shared" si="140"/>
        <v>6.8750000000000006E-2</v>
      </c>
      <c r="O868" s="586">
        <f t="shared" si="148"/>
        <v>0.26897176039925408</v>
      </c>
      <c r="P868" s="585">
        <f t="shared" si="141"/>
        <v>0.26502176039925407</v>
      </c>
      <c r="Q868" s="585">
        <f t="shared" si="142"/>
        <v>0.24724139818529722</v>
      </c>
      <c r="R868" s="585">
        <f t="shared" si="143"/>
        <v>7.1636000000000005E-2</v>
      </c>
      <c r="S868" s="586">
        <f t="shared" si="144"/>
        <v>0.17560539818529722</v>
      </c>
      <c r="U868" s="587"/>
      <c r="V868" s="587"/>
      <c r="W868" s="587"/>
      <c r="X868" s="587"/>
      <c r="Y868" s="587"/>
      <c r="Z868" s="587"/>
      <c r="AA868" s="587"/>
      <c r="AB868" s="587"/>
      <c r="AC868" s="587"/>
      <c r="AE868" s="587"/>
      <c r="AF868" s="587"/>
      <c r="AG868" s="587"/>
      <c r="AH868" s="587"/>
      <c r="AI868" s="587"/>
      <c r="AJ868" s="587"/>
      <c r="AK868" s="587"/>
      <c r="AL868" s="587"/>
      <c r="AM868" s="587"/>
      <c r="AO868" s="587"/>
      <c r="AP868" s="587"/>
      <c r="AQ868" s="587"/>
      <c r="AR868" s="587"/>
      <c r="AS868" s="587"/>
      <c r="AT868" s="587"/>
      <c r="AU868" s="587"/>
      <c r="AV868" s="587"/>
      <c r="AW868" s="587"/>
    </row>
    <row r="869" spans="1:49">
      <c r="A869" s="581">
        <v>35796</v>
      </c>
      <c r="B869" s="594">
        <v>1.11E-2</v>
      </c>
      <c r="C869" s="577">
        <v>-3.95E-2</v>
      </c>
      <c r="D869" s="577">
        <v>4.7999999999999996E-3</v>
      </c>
      <c r="E869" s="577">
        <v>5.5083333333333338E-3</v>
      </c>
      <c r="F869" s="577">
        <v>5.6833333333333336E-3</v>
      </c>
      <c r="G869" s="577">
        <v>5.5958333333333329E-3</v>
      </c>
      <c r="H869" s="577">
        <v>5.8783333333333335E-3</v>
      </c>
      <c r="I869" s="577">
        <f t="shared" si="145"/>
        <v>6.3000000000000009E-3</v>
      </c>
      <c r="J869" s="577">
        <f t="shared" si="149"/>
        <v>5.5041666666666676E-3</v>
      </c>
      <c r="K869" s="577">
        <f t="shared" si="150"/>
        <v>-4.5378333333333333E-2</v>
      </c>
      <c r="L869" s="585">
        <f t="shared" si="146"/>
        <v>0.26924859006088098</v>
      </c>
      <c r="M869" s="585">
        <f t="shared" si="147"/>
        <v>5.7599999999999998E-2</v>
      </c>
      <c r="N869" s="585">
        <f t="shared" si="140"/>
        <v>6.7149999999999987E-2</v>
      </c>
      <c r="O869" s="586">
        <f t="shared" si="148"/>
        <v>0.21164859006088099</v>
      </c>
      <c r="P869" s="585">
        <f t="shared" si="141"/>
        <v>0.20209859006088099</v>
      </c>
      <c r="Q869" s="585">
        <f t="shared" si="142"/>
        <v>0.19012056721337034</v>
      </c>
      <c r="R869" s="585">
        <f t="shared" si="143"/>
        <v>7.0540000000000005E-2</v>
      </c>
      <c r="S869" s="586">
        <f t="shared" si="144"/>
        <v>0.11958056721337033</v>
      </c>
      <c r="U869" s="587"/>
      <c r="V869" s="587"/>
      <c r="W869" s="587"/>
      <c r="X869" s="587"/>
      <c r="Y869" s="587"/>
      <c r="Z869" s="587"/>
      <c r="AA869" s="587"/>
      <c r="AB869" s="587"/>
      <c r="AC869" s="587"/>
      <c r="AE869" s="587"/>
      <c r="AF869" s="587"/>
      <c r="AG869" s="587"/>
      <c r="AH869" s="587"/>
      <c r="AI869" s="587"/>
      <c r="AJ869" s="587"/>
      <c r="AK869" s="587"/>
      <c r="AL869" s="587"/>
      <c r="AM869" s="587"/>
      <c r="AO869" s="587"/>
      <c r="AP869" s="587"/>
      <c r="AQ869" s="587"/>
      <c r="AR869" s="587"/>
      <c r="AS869" s="587"/>
      <c r="AT869" s="587"/>
      <c r="AU869" s="587"/>
      <c r="AV869" s="587"/>
      <c r="AW869" s="587"/>
    </row>
    <row r="870" spans="1:49">
      <c r="A870" s="581">
        <v>35827</v>
      </c>
      <c r="B870" s="594">
        <v>7.2099999999999997E-2</v>
      </c>
      <c r="C870" s="577">
        <v>3.4099999999999998E-2</v>
      </c>
      <c r="D870" s="577">
        <v>4.4000000000000003E-3</v>
      </c>
      <c r="E870" s="577">
        <v>5.5583333333333327E-3</v>
      </c>
      <c r="F870" s="577">
        <v>5.7333333333333333E-3</v>
      </c>
      <c r="G870" s="577">
        <v>5.6458333333333334E-3</v>
      </c>
      <c r="H870" s="577">
        <v>5.9315833333333338E-3</v>
      </c>
      <c r="I870" s="577">
        <f t="shared" si="145"/>
        <v>6.7699999999999996E-2</v>
      </c>
      <c r="J870" s="577">
        <f t="shared" si="149"/>
        <v>6.6454166666666661E-2</v>
      </c>
      <c r="K870" s="577">
        <f t="shared" si="150"/>
        <v>2.8168416666666665E-2</v>
      </c>
      <c r="L870" s="585">
        <f t="shared" si="146"/>
        <v>0.35022962234994104</v>
      </c>
      <c r="M870" s="585">
        <f t="shared" si="147"/>
        <v>5.28E-2</v>
      </c>
      <c r="N870" s="585">
        <f t="shared" si="140"/>
        <v>6.7750000000000005E-2</v>
      </c>
      <c r="O870" s="586">
        <f t="shared" si="148"/>
        <v>0.29742962234994103</v>
      </c>
      <c r="P870" s="585">
        <f t="shared" si="141"/>
        <v>0.28247962234994106</v>
      </c>
      <c r="Q870" s="585">
        <f t="shared" si="142"/>
        <v>0.2425074998034793</v>
      </c>
      <c r="R870" s="585">
        <f t="shared" si="143"/>
        <v>7.1179000000000006E-2</v>
      </c>
      <c r="S870" s="586">
        <f t="shared" si="144"/>
        <v>0.17132849980347931</v>
      </c>
      <c r="U870" s="587"/>
      <c r="V870" s="587"/>
      <c r="W870" s="587"/>
      <c r="X870" s="587"/>
      <c r="Y870" s="587"/>
      <c r="Z870" s="587"/>
      <c r="AA870" s="587"/>
      <c r="AB870" s="587"/>
      <c r="AC870" s="587"/>
      <c r="AE870" s="587"/>
      <c r="AF870" s="587"/>
      <c r="AG870" s="587"/>
      <c r="AH870" s="587"/>
      <c r="AI870" s="587"/>
      <c r="AJ870" s="587"/>
      <c r="AK870" s="587"/>
      <c r="AL870" s="587"/>
      <c r="AM870" s="587"/>
      <c r="AO870" s="587"/>
      <c r="AP870" s="587"/>
      <c r="AQ870" s="587"/>
      <c r="AR870" s="587"/>
      <c r="AS870" s="587"/>
      <c r="AT870" s="587"/>
      <c r="AU870" s="587"/>
      <c r="AV870" s="587"/>
      <c r="AW870" s="587"/>
    </row>
    <row r="871" spans="1:49">
      <c r="A871" s="581">
        <v>35855</v>
      </c>
      <c r="B871" s="594">
        <v>5.1200000000000002E-2</v>
      </c>
      <c r="C871" s="577">
        <v>6.4199999999999993E-2</v>
      </c>
      <c r="D871" s="577">
        <v>5.1999999999999998E-3</v>
      </c>
      <c r="E871" s="577">
        <v>5.5916666666666667E-3</v>
      </c>
      <c r="F871" s="577">
        <v>5.7749999999999998E-3</v>
      </c>
      <c r="G871" s="577">
        <v>5.6833333333333336E-3</v>
      </c>
      <c r="H871" s="577">
        <v>5.9681666666666668E-3</v>
      </c>
      <c r="I871" s="577">
        <f t="shared" si="145"/>
        <v>4.5999999999999999E-2</v>
      </c>
      <c r="J871" s="577">
        <f t="shared" si="149"/>
        <v>4.5516666666666671E-2</v>
      </c>
      <c r="K871" s="577">
        <f t="shared" si="150"/>
        <v>5.823183333333333E-2</v>
      </c>
      <c r="L871" s="585">
        <f t="shared" si="146"/>
        <v>0.4801974961041382</v>
      </c>
      <c r="M871" s="585">
        <f t="shared" si="147"/>
        <v>6.2399999999999997E-2</v>
      </c>
      <c r="N871" s="585">
        <f t="shared" si="140"/>
        <v>6.8200000000000011E-2</v>
      </c>
      <c r="O871" s="586">
        <f t="shared" si="148"/>
        <v>0.41779749610413819</v>
      </c>
      <c r="P871" s="585">
        <f t="shared" si="141"/>
        <v>0.41199749610413816</v>
      </c>
      <c r="Q871" s="585">
        <f t="shared" si="142"/>
        <v>0.36331217784396586</v>
      </c>
      <c r="R871" s="585">
        <f t="shared" si="143"/>
        <v>7.1618000000000001E-2</v>
      </c>
      <c r="S871" s="586">
        <f t="shared" si="144"/>
        <v>0.29169417784396584</v>
      </c>
      <c r="U871" s="587"/>
      <c r="V871" s="587"/>
      <c r="W871" s="587"/>
      <c r="X871" s="587"/>
      <c r="Y871" s="587"/>
      <c r="Z871" s="587"/>
      <c r="AA871" s="587"/>
      <c r="AB871" s="587"/>
      <c r="AC871" s="587"/>
      <c r="AE871" s="587"/>
      <c r="AF871" s="587"/>
      <c r="AG871" s="587"/>
      <c r="AH871" s="587"/>
      <c r="AI871" s="587"/>
      <c r="AJ871" s="587"/>
      <c r="AK871" s="587"/>
      <c r="AL871" s="587"/>
      <c r="AM871" s="587"/>
      <c r="AO871" s="587"/>
      <c r="AP871" s="587"/>
      <c r="AQ871" s="587"/>
      <c r="AR871" s="587"/>
      <c r="AS871" s="587"/>
      <c r="AT871" s="587"/>
      <c r="AU871" s="587"/>
      <c r="AV871" s="587"/>
      <c r="AW871" s="587"/>
    </row>
    <row r="872" spans="1:49">
      <c r="A872" s="581">
        <v>35886</v>
      </c>
      <c r="B872" s="594">
        <v>1.01E-2</v>
      </c>
      <c r="C872" s="577">
        <v>-1.9300000000000001E-2</v>
      </c>
      <c r="D872" s="577">
        <v>4.8999999999999998E-3</v>
      </c>
      <c r="E872" s="577">
        <v>5.5750000000000001E-3</v>
      </c>
      <c r="F872" s="577">
        <v>5.7500000000000008E-3</v>
      </c>
      <c r="G872" s="577">
        <v>5.6625E-3</v>
      </c>
      <c r="H872" s="577">
        <v>5.9682500000000005E-3</v>
      </c>
      <c r="I872" s="577">
        <f t="shared" si="145"/>
        <v>5.1999999999999998E-3</v>
      </c>
      <c r="J872" s="577">
        <f t="shared" si="149"/>
        <v>4.4374999999999996E-3</v>
      </c>
      <c r="K872" s="577">
        <f t="shared" si="150"/>
        <v>-2.5268250000000003E-2</v>
      </c>
      <c r="L872" s="585">
        <f t="shared" si="146"/>
        <v>0.41091581656581044</v>
      </c>
      <c r="M872" s="585">
        <f t="shared" si="147"/>
        <v>5.8799999999999998E-2</v>
      </c>
      <c r="N872" s="585">
        <f t="shared" ref="N872:N935" si="151">G872*12</f>
        <v>6.7949999999999997E-2</v>
      </c>
      <c r="O872" s="586">
        <f t="shared" si="148"/>
        <v>0.35211581656581042</v>
      </c>
      <c r="P872" s="585">
        <f t="shared" ref="P872:P935" si="152">L872-N872</f>
        <v>0.34296581656581043</v>
      </c>
      <c r="Q872" s="585">
        <f t="shared" ref="Q872:Q935" si="153">((1+C861)*(1+C862)*(1+C863)*(1+C864)*(1+C865)*(1+C866)*(1+C867)*(1+C868)*(1+C869)*(1+C870)*(1+C871)*(1+C872))-1</f>
        <v>0.35736066275287071</v>
      </c>
      <c r="R872" s="585">
        <f t="shared" ref="R872:R935" si="154">H872*12</f>
        <v>7.1619000000000002E-2</v>
      </c>
      <c r="S872" s="586">
        <f t="shared" ref="S872:S935" si="155">Q872-R872</f>
        <v>0.28574166275287072</v>
      </c>
      <c r="U872" s="587"/>
      <c r="V872" s="587"/>
      <c r="W872" s="587"/>
      <c r="X872" s="587"/>
      <c r="Y872" s="587"/>
      <c r="Z872" s="587"/>
      <c r="AA872" s="587"/>
      <c r="AB872" s="587"/>
      <c r="AC872" s="587"/>
      <c r="AE872" s="587"/>
      <c r="AF872" s="587"/>
      <c r="AG872" s="587"/>
      <c r="AH872" s="587"/>
      <c r="AI872" s="587"/>
      <c r="AJ872" s="587"/>
      <c r="AK872" s="587"/>
      <c r="AL872" s="587"/>
      <c r="AM872" s="587"/>
      <c r="AO872" s="587"/>
      <c r="AP872" s="587"/>
      <c r="AQ872" s="587"/>
      <c r="AR872" s="587"/>
      <c r="AS872" s="587"/>
      <c r="AT872" s="587"/>
      <c r="AU872" s="587"/>
      <c r="AV872" s="587"/>
      <c r="AW872" s="587"/>
    </row>
    <row r="873" spans="1:49">
      <c r="A873" s="581">
        <v>35916</v>
      </c>
      <c r="B873" s="594">
        <v>-1.72E-2</v>
      </c>
      <c r="C873" s="577">
        <v>-5.0000000000000001E-3</v>
      </c>
      <c r="D873" s="577">
        <v>4.7999999999999996E-3</v>
      </c>
      <c r="E873" s="577">
        <v>5.5750000000000001E-3</v>
      </c>
      <c r="F873" s="577">
        <v>5.7583333333333332E-3</v>
      </c>
      <c r="G873" s="577">
        <v>5.6666666666666662E-3</v>
      </c>
      <c r="H873" s="577">
        <v>5.9691666666666669E-3</v>
      </c>
      <c r="I873" s="577">
        <f t="shared" si="145"/>
        <v>-2.1999999999999999E-2</v>
      </c>
      <c r="J873" s="577">
        <f t="shared" si="149"/>
        <v>-2.2866666666666667E-2</v>
      </c>
      <c r="K873" s="577">
        <f t="shared" si="150"/>
        <v>-1.0969166666666667E-2</v>
      </c>
      <c r="L873" s="585">
        <f t="shared" si="146"/>
        <v>0.30704879302561916</v>
      </c>
      <c r="M873" s="585">
        <f t="shared" si="147"/>
        <v>5.7599999999999998E-2</v>
      </c>
      <c r="N873" s="585">
        <f t="shared" si="151"/>
        <v>6.7999999999999991E-2</v>
      </c>
      <c r="O873" s="586">
        <f t="shared" si="148"/>
        <v>0.24944879302561918</v>
      </c>
      <c r="P873" s="585">
        <f t="shared" si="152"/>
        <v>0.23904879302561916</v>
      </c>
      <c r="Q873" s="585">
        <f t="shared" si="153"/>
        <v>0.29576308110822813</v>
      </c>
      <c r="R873" s="585">
        <f t="shared" si="154"/>
        <v>7.1629999999999999E-2</v>
      </c>
      <c r="S873" s="586">
        <f t="shared" si="155"/>
        <v>0.22413308110822813</v>
      </c>
      <c r="U873" s="587"/>
      <c r="V873" s="587"/>
      <c r="W873" s="587"/>
      <c r="X873" s="587"/>
      <c r="Y873" s="587"/>
      <c r="Z873" s="587"/>
      <c r="AA873" s="587"/>
      <c r="AB873" s="587"/>
      <c r="AC873" s="587"/>
      <c r="AE873" s="587"/>
      <c r="AF873" s="587"/>
      <c r="AG873" s="587"/>
      <c r="AH873" s="587"/>
      <c r="AI873" s="587"/>
      <c r="AJ873" s="587"/>
      <c r="AK873" s="587"/>
      <c r="AL873" s="587"/>
      <c r="AM873" s="587"/>
      <c r="AO873" s="587"/>
      <c r="AP873" s="587"/>
      <c r="AQ873" s="587"/>
      <c r="AR873" s="587"/>
      <c r="AS873" s="587"/>
      <c r="AT873" s="587"/>
      <c r="AU873" s="587"/>
      <c r="AV873" s="587"/>
      <c r="AW873" s="587"/>
    </row>
    <row r="874" spans="1:49">
      <c r="A874" s="581">
        <v>35947</v>
      </c>
      <c r="B874" s="594">
        <v>4.0599999999999997E-2</v>
      </c>
      <c r="C874" s="577">
        <v>3.6900000000000002E-2</v>
      </c>
      <c r="D874" s="577">
        <v>5.1999999999999998E-3</v>
      </c>
      <c r="E874" s="577">
        <v>5.4416666666666667E-3</v>
      </c>
      <c r="F874" s="577">
        <v>5.6500000000000005E-3</v>
      </c>
      <c r="G874" s="577">
        <v>5.545833333333334E-3</v>
      </c>
      <c r="H874" s="577">
        <v>5.8636666666666672E-3</v>
      </c>
      <c r="I874" s="577">
        <f t="shared" si="145"/>
        <v>3.5400000000000001E-2</v>
      </c>
      <c r="J874" s="577">
        <f t="shared" si="149"/>
        <v>3.5054166666666664E-2</v>
      </c>
      <c r="K874" s="577">
        <f t="shared" si="150"/>
        <v>3.1036333333333336E-2</v>
      </c>
      <c r="L874" s="585">
        <f t="shared" si="146"/>
        <v>0.30179457697402223</v>
      </c>
      <c r="M874" s="585">
        <f t="shared" si="147"/>
        <v>6.2399999999999997E-2</v>
      </c>
      <c r="N874" s="585">
        <f t="shared" si="151"/>
        <v>6.6550000000000012E-2</v>
      </c>
      <c r="O874" s="586">
        <f t="shared" si="148"/>
        <v>0.23939457697402222</v>
      </c>
      <c r="P874" s="585">
        <f t="shared" si="152"/>
        <v>0.23524457697402223</v>
      </c>
      <c r="Q874" s="585">
        <f t="shared" si="153"/>
        <v>0.30267281248896793</v>
      </c>
      <c r="R874" s="585">
        <f t="shared" si="154"/>
        <v>7.036400000000001E-2</v>
      </c>
      <c r="S874" s="586">
        <f t="shared" si="155"/>
        <v>0.23230881248896793</v>
      </c>
      <c r="U874" s="587"/>
      <c r="V874" s="587"/>
      <c r="W874" s="587"/>
      <c r="X874" s="587"/>
      <c r="Y874" s="587"/>
      <c r="Z874" s="587"/>
      <c r="AA874" s="587"/>
      <c r="AB874" s="587"/>
      <c r="AC874" s="587"/>
      <c r="AE874" s="587"/>
      <c r="AF874" s="587"/>
      <c r="AG874" s="587"/>
      <c r="AH874" s="587"/>
      <c r="AI874" s="587"/>
      <c r="AJ874" s="587"/>
      <c r="AK874" s="587"/>
      <c r="AL874" s="587"/>
      <c r="AM874" s="587"/>
      <c r="AO874" s="587"/>
      <c r="AP874" s="587"/>
      <c r="AQ874" s="587"/>
      <c r="AR874" s="587"/>
      <c r="AS874" s="587"/>
      <c r="AT874" s="587"/>
      <c r="AU874" s="587"/>
      <c r="AV874" s="587"/>
      <c r="AW874" s="587"/>
    </row>
    <row r="875" spans="1:49">
      <c r="A875" s="581">
        <v>35977</v>
      </c>
      <c r="B875" s="594">
        <v>-1.06E-2</v>
      </c>
      <c r="C875" s="577">
        <v>-4.9299999999999997E-2</v>
      </c>
      <c r="D875" s="577">
        <v>4.8999999999999998E-3</v>
      </c>
      <c r="E875" s="577">
        <v>5.4583333333333324E-3</v>
      </c>
      <c r="F875" s="577">
        <v>5.6500000000000005E-3</v>
      </c>
      <c r="G875" s="577">
        <v>5.5541666666666665E-3</v>
      </c>
      <c r="H875" s="577">
        <v>5.8534166666666665E-3</v>
      </c>
      <c r="I875" s="577">
        <f t="shared" si="145"/>
        <v>-1.55E-2</v>
      </c>
      <c r="J875" s="577">
        <f t="shared" si="149"/>
        <v>-1.6154166666666667E-2</v>
      </c>
      <c r="K875" s="577">
        <f t="shared" si="150"/>
        <v>-5.5153416666666663E-2</v>
      </c>
      <c r="L875" s="585">
        <f t="shared" si="146"/>
        <v>0.19303033943877201</v>
      </c>
      <c r="M875" s="585">
        <f t="shared" si="147"/>
        <v>5.8799999999999998E-2</v>
      </c>
      <c r="N875" s="585">
        <f t="shared" si="151"/>
        <v>6.6650000000000001E-2</v>
      </c>
      <c r="O875" s="586">
        <f t="shared" si="148"/>
        <v>0.13423033943877202</v>
      </c>
      <c r="P875" s="585">
        <f t="shared" si="152"/>
        <v>0.12638033943877203</v>
      </c>
      <c r="Q875" s="585">
        <f t="shared" si="153"/>
        <v>0.21060707999341299</v>
      </c>
      <c r="R875" s="585">
        <f t="shared" si="154"/>
        <v>7.0240999999999998E-2</v>
      </c>
      <c r="S875" s="586">
        <f t="shared" si="155"/>
        <v>0.140366079993413</v>
      </c>
      <c r="U875" s="587"/>
      <c r="V875" s="587"/>
      <c r="W875" s="587"/>
      <c r="X875" s="587"/>
      <c r="Y875" s="587"/>
      <c r="Z875" s="587"/>
      <c r="AA875" s="587"/>
      <c r="AB875" s="587"/>
      <c r="AC875" s="587"/>
      <c r="AE875" s="587"/>
      <c r="AF875" s="587"/>
      <c r="AG875" s="587"/>
      <c r="AH875" s="587"/>
      <c r="AI875" s="587"/>
      <c r="AJ875" s="587"/>
      <c r="AK875" s="587"/>
      <c r="AL875" s="587"/>
      <c r="AM875" s="587"/>
      <c r="AO875" s="587"/>
      <c r="AP875" s="587"/>
      <c r="AQ875" s="587"/>
      <c r="AR875" s="587"/>
      <c r="AS875" s="587"/>
      <c r="AT875" s="587"/>
      <c r="AU875" s="587"/>
      <c r="AV875" s="587"/>
      <c r="AW875" s="587"/>
    </row>
    <row r="876" spans="1:49">
      <c r="A876" s="581">
        <v>36008</v>
      </c>
      <c r="B876" s="594">
        <v>-0.14460000000000001</v>
      </c>
      <c r="C876" s="577">
        <v>1.61E-2</v>
      </c>
      <c r="D876" s="577">
        <v>4.7999999999999996E-3</v>
      </c>
      <c r="E876" s="577">
        <v>5.4333333333333334E-3</v>
      </c>
      <c r="F876" s="577">
        <v>5.6416666666666664E-3</v>
      </c>
      <c r="G876" s="577">
        <v>5.5374999999999999E-3</v>
      </c>
      <c r="H876" s="577">
        <v>5.8349166666666662E-3</v>
      </c>
      <c r="I876" s="577">
        <f t="shared" si="145"/>
        <v>-0.14940000000000001</v>
      </c>
      <c r="J876" s="577">
        <f t="shared" si="149"/>
        <v>-0.15013750000000001</v>
      </c>
      <c r="K876" s="577">
        <f t="shared" si="150"/>
        <v>1.0265083333333334E-2</v>
      </c>
      <c r="L876" s="585">
        <f t="shared" si="146"/>
        <v>8.1057364783819308E-2</v>
      </c>
      <c r="M876" s="585">
        <f t="shared" si="147"/>
        <v>5.7599999999999998E-2</v>
      </c>
      <c r="N876" s="585">
        <f t="shared" si="151"/>
        <v>6.6449999999999995E-2</v>
      </c>
      <c r="O876" s="586">
        <f t="shared" si="148"/>
        <v>2.3457364783819309E-2</v>
      </c>
      <c r="P876" s="585">
        <f t="shared" si="152"/>
        <v>1.4607364783819313E-2</v>
      </c>
      <c r="Q876" s="585">
        <f t="shared" si="153"/>
        <v>0.25302827134695627</v>
      </c>
      <c r="R876" s="585">
        <f t="shared" si="154"/>
        <v>7.0018999999999998E-2</v>
      </c>
      <c r="S876" s="586">
        <f t="shared" si="155"/>
        <v>0.18300927134695627</v>
      </c>
      <c r="U876" s="587"/>
      <c r="V876" s="587"/>
      <c r="W876" s="587"/>
      <c r="X876" s="587"/>
      <c r="Y876" s="587"/>
      <c r="Z876" s="587"/>
      <c r="AA876" s="587"/>
      <c r="AB876" s="587"/>
      <c r="AC876" s="587"/>
      <c r="AE876" s="587"/>
      <c r="AF876" s="587"/>
      <c r="AG876" s="587"/>
      <c r="AH876" s="587"/>
      <c r="AI876" s="587"/>
      <c r="AJ876" s="587"/>
      <c r="AK876" s="587"/>
      <c r="AL876" s="587"/>
      <c r="AM876" s="587"/>
      <c r="AO876" s="587"/>
      <c r="AP876" s="587"/>
      <c r="AQ876" s="587"/>
      <c r="AR876" s="587"/>
      <c r="AS876" s="587"/>
      <c r="AT876" s="587"/>
      <c r="AU876" s="587"/>
      <c r="AV876" s="587"/>
      <c r="AW876" s="587"/>
    </row>
    <row r="877" spans="1:49">
      <c r="A877" s="581">
        <v>36039</v>
      </c>
      <c r="B877" s="594">
        <v>6.4100000000000004E-2</v>
      </c>
      <c r="C877" s="577">
        <v>8.3499999999999991E-2</v>
      </c>
      <c r="D877" s="577">
        <v>4.4000000000000003E-3</v>
      </c>
      <c r="E877" s="577">
        <v>5.3333333333333332E-3</v>
      </c>
      <c r="F877" s="577">
        <v>5.5666666666666668E-3</v>
      </c>
      <c r="G877" s="577">
        <v>5.4499999999999991E-3</v>
      </c>
      <c r="H877" s="577">
        <v>5.780166666666667E-3</v>
      </c>
      <c r="I877" s="577">
        <f t="shared" si="145"/>
        <v>5.9700000000000003E-2</v>
      </c>
      <c r="J877" s="577">
        <f t="shared" si="149"/>
        <v>5.8650000000000008E-2</v>
      </c>
      <c r="K877" s="577">
        <f t="shared" si="150"/>
        <v>7.7719833333333321E-2</v>
      </c>
      <c r="L877" s="585">
        <f t="shared" si="146"/>
        <v>9.0588871697442341E-2</v>
      </c>
      <c r="M877" s="585">
        <f t="shared" si="147"/>
        <v>5.28E-2</v>
      </c>
      <c r="N877" s="585">
        <f t="shared" si="151"/>
        <v>6.5399999999999986E-2</v>
      </c>
      <c r="O877" s="586">
        <f t="shared" si="148"/>
        <v>3.7788871697442342E-2</v>
      </c>
      <c r="P877" s="585">
        <f t="shared" si="152"/>
        <v>2.5188871697442355E-2</v>
      </c>
      <c r="Q877" s="585">
        <f t="shared" si="153"/>
        <v>0.30130943353247108</v>
      </c>
      <c r="R877" s="585">
        <f t="shared" si="154"/>
        <v>6.9362000000000007E-2</v>
      </c>
      <c r="S877" s="586">
        <f t="shared" si="155"/>
        <v>0.23194743353247108</v>
      </c>
      <c r="U877" s="587"/>
      <c r="V877" s="587"/>
      <c r="W877" s="587"/>
      <c r="X877" s="587"/>
      <c r="Y877" s="587"/>
      <c r="Z877" s="587"/>
      <c r="AA877" s="587"/>
      <c r="AB877" s="587"/>
      <c r="AC877" s="587"/>
      <c r="AE877" s="587"/>
      <c r="AF877" s="587"/>
      <c r="AG877" s="587"/>
      <c r="AH877" s="587"/>
      <c r="AI877" s="587"/>
      <c r="AJ877" s="587"/>
      <c r="AK877" s="587"/>
      <c r="AL877" s="587"/>
      <c r="AM877" s="587"/>
      <c r="AO877" s="587"/>
      <c r="AP877" s="587"/>
      <c r="AQ877" s="587"/>
      <c r="AR877" s="587"/>
      <c r="AS877" s="587"/>
      <c r="AT877" s="587"/>
      <c r="AU877" s="587"/>
      <c r="AV877" s="587"/>
      <c r="AW877" s="587"/>
    </row>
    <row r="878" spans="1:49">
      <c r="A878" s="581">
        <v>36069</v>
      </c>
      <c r="B878" s="594">
        <v>8.1299999999999997E-2</v>
      </c>
      <c r="C878" s="577">
        <v>-1.66E-2</v>
      </c>
      <c r="D878" s="577">
        <v>4.1999999999999997E-3</v>
      </c>
      <c r="E878" s="577">
        <v>5.3083333333333342E-3</v>
      </c>
      <c r="F878" s="577">
        <v>5.5833333333333334E-3</v>
      </c>
      <c r="G878" s="577">
        <v>5.4458333333333338E-3</v>
      </c>
      <c r="H878" s="577">
        <v>5.7962499999999993E-3</v>
      </c>
      <c r="I878" s="577">
        <f t="shared" si="145"/>
        <v>7.7100000000000002E-2</v>
      </c>
      <c r="J878" s="577">
        <f t="shared" si="149"/>
        <v>7.5854166666666667E-2</v>
      </c>
      <c r="K878" s="577">
        <f t="shared" si="150"/>
        <v>-2.2396249999999999E-2</v>
      </c>
      <c r="L878" s="585">
        <f t="shared" si="146"/>
        <v>0.22000180733130992</v>
      </c>
      <c r="M878" s="585">
        <f t="shared" si="147"/>
        <v>5.04E-2</v>
      </c>
      <c r="N878" s="585">
        <f t="shared" si="151"/>
        <v>6.5350000000000005E-2</v>
      </c>
      <c r="O878" s="586">
        <f t="shared" si="148"/>
        <v>0.16960180733130992</v>
      </c>
      <c r="P878" s="585">
        <f t="shared" si="152"/>
        <v>0.1546518073313099</v>
      </c>
      <c r="Q878" s="585">
        <f t="shared" si="153"/>
        <v>0.26728827187149151</v>
      </c>
      <c r="R878" s="585">
        <f t="shared" si="154"/>
        <v>6.9554999999999992E-2</v>
      </c>
      <c r="S878" s="586">
        <f t="shared" si="155"/>
        <v>0.19773327187149153</v>
      </c>
      <c r="U878" s="587"/>
      <c r="V878" s="587"/>
      <c r="W878" s="587"/>
      <c r="X878" s="587"/>
      <c r="Y878" s="587"/>
      <c r="Z878" s="587"/>
      <c r="AA878" s="587"/>
      <c r="AB878" s="587"/>
      <c r="AC878" s="587"/>
      <c r="AE878" s="587"/>
      <c r="AF878" s="587"/>
      <c r="AG878" s="587"/>
      <c r="AH878" s="587"/>
      <c r="AI878" s="587"/>
      <c r="AJ878" s="587"/>
      <c r="AK878" s="587"/>
      <c r="AL878" s="587"/>
      <c r="AM878" s="587"/>
      <c r="AO878" s="587"/>
      <c r="AP878" s="587"/>
      <c r="AQ878" s="587"/>
      <c r="AR878" s="587"/>
      <c r="AS878" s="587"/>
      <c r="AT878" s="587"/>
      <c r="AU878" s="587"/>
      <c r="AV878" s="587"/>
      <c r="AW878" s="587"/>
    </row>
    <row r="879" spans="1:49">
      <c r="A879" s="581">
        <v>36100</v>
      </c>
      <c r="B879" s="594">
        <v>6.0600000000000001E-2</v>
      </c>
      <c r="C879" s="577">
        <v>1.3399999999999999E-2</v>
      </c>
      <c r="D879" s="577">
        <v>4.4999999999999997E-3</v>
      </c>
      <c r="E879" s="577">
        <v>5.3416666666666664E-3</v>
      </c>
      <c r="F879" s="577">
        <v>5.6583333333333329E-3</v>
      </c>
      <c r="G879" s="577">
        <v>5.5000000000000005E-3</v>
      </c>
      <c r="H879" s="577">
        <v>5.8635833333333335E-3</v>
      </c>
      <c r="I879" s="577">
        <f t="shared" si="145"/>
        <v>5.6100000000000004E-2</v>
      </c>
      <c r="J879" s="577">
        <f t="shared" si="149"/>
        <v>5.5100000000000003E-2</v>
      </c>
      <c r="K879" s="577">
        <f t="shared" si="150"/>
        <v>7.5364166666666652E-3</v>
      </c>
      <c r="L879" s="585">
        <f t="shared" si="146"/>
        <v>0.2366758261068409</v>
      </c>
      <c r="M879" s="585">
        <f t="shared" si="147"/>
        <v>5.3999999999999992E-2</v>
      </c>
      <c r="N879" s="585">
        <f t="shared" si="151"/>
        <v>6.6000000000000003E-2</v>
      </c>
      <c r="O879" s="586">
        <f t="shared" si="148"/>
        <v>0.18267582610684091</v>
      </c>
      <c r="P879" s="585">
        <f t="shared" si="152"/>
        <v>0.1706758261068409</v>
      </c>
      <c r="Q879" s="585">
        <f t="shared" si="153"/>
        <v>0.19946757701930484</v>
      </c>
      <c r="R879" s="585">
        <f t="shared" si="154"/>
        <v>7.0363000000000009E-2</v>
      </c>
      <c r="S879" s="586">
        <f t="shared" si="155"/>
        <v>0.12910457701930483</v>
      </c>
      <c r="U879" s="587"/>
      <c r="V879" s="587"/>
      <c r="W879" s="587"/>
      <c r="X879" s="587"/>
      <c r="Y879" s="587"/>
      <c r="Z879" s="587"/>
      <c r="AA879" s="587"/>
      <c r="AB879" s="587"/>
      <c r="AC879" s="587"/>
      <c r="AE879" s="587"/>
      <c r="AF879" s="587"/>
      <c r="AG879" s="587"/>
      <c r="AH879" s="587"/>
      <c r="AI879" s="587"/>
      <c r="AJ879" s="587"/>
      <c r="AK879" s="587"/>
      <c r="AL879" s="587"/>
      <c r="AM879" s="587"/>
      <c r="AO879" s="587"/>
      <c r="AP879" s="587"/>
      <c r="AQ879" s="587"/>
      <c r="AR879" s="587"/>
      <c r="AS879" s="587"/>
      <c r="AT879" s="587"/>
      <c r="AU879" s="587"/>
      <c r="AV879" s="587"/>
      <c r="AW879" s="587"/>
    </row>
    <row r="880" spans="1:49">
      <c r="A880" s="581">
        <v>36130</v>
      </c>
      <c r="B880" s="594">
        <v>5.7599999999999998E-2</v>
      </c>
      <c r="C880" s="577">
        <v>2.9500000000000002E-2</v>
      </c>
      <c r="D880" s="577">
        <v>4.4999999999999997E-3</v>
      </c>
      <c r="E880" s="577">
        <v>5.1833333333333332E-3</v>
      </c>
      <c r="F880" s="577">
        <v>5.541666666666667E-3</v>
      </c>
      <c r="G880" s="577">
        <v>5.3625000000000001E-3</v>
      </c>
      <c r="H880" s="577">
        <v>5.7568333333333334E-3</v>
      </c>
      <c r="I880" s="577">
        <f t="shared" si="145"/>
        <v>5.3100000000000001E-2</v>
      </c>
      <c r="J880" s="577">
        <f t="shared" si="149"/>
        <v>5.2237499999999999E-2</v>
      </c>
      <c r="K880" s="577">
        <f t="shared" si="150"/>
        <v>2.3743166666666669E-2</v>
      </c>
      <c r="L880" s="585">
        <f t="shared" si="146"/>
        <v>0.28579271892508329</v>
      </c>
      <c r="M880" s="585">
        <f t="shared" si="147"/>
        <v>5.3999999999999992E-2</v>
      </c>
      <c r="N880" s="585">
        <f t="shared" si="151"/>
        <v>6.4350000000000004E-2</v>
      </c>
      <c r="O880" s="586">
        <f t="shared" si="148"/>
        <v>0.2317927189250833</v>
      </c>
      <c r="P880" s="585">
        <f t="shared" si="152"/>
        <v>0.22144271892508327</v>
      </c>
      <c r="Q880" s="585">
        <f t="shared" si="153"/>
        <v>0.14848574269101045</v>
      </c>
      <c r="R880" s="585">
        <f t="shared" si="154"/>
        <v>6.9082000000000005E-2</v>
      </c>
      <c r="S880" s="586">
        <f t="shared" si="155"/>
        <v>7.9403742691010443E-2</v>
      </c>
      <c r="U880" s="587"/>
      <c r="V880" s="587"/>
      <c r="W880" s="587"/>
      <c r="X880" s="587"/>
      <c r="Y880" s="587"/>
      <c r="Z880" s="587"/>
      <c r="AA880" s="587"/>
      <c r="AB880" s="587"/>
      <c r="AC880" s="587"/>
      <c r="AE880" s="587"/>
      <c r="AF880" s="587"/>
      <c r="AG880" s="587"/>
      <c r="AH880" s="587"/>
      <c r="AI880" s="587"/>
      <c r="AJ880" s="587"/>
      <c r="AK880" s="587"/>
      <c r="AL880" s="587"/>
      <c r="AM880" s="587"/>
      <c r="AO880" s="587"/>
      <c r="AP880" s="587"/>
      <c r="AQ880" s="587"/>
      <c r="AR880" s="587"/>
      <c r="AS880" s="587"/>
      <c r="AT880" s="587"/>
      <c r="AU880" s="587"/>
      <c r="AV880" s="587"/>
      <c r="AW880" s="587"/>
    </row>
    <row r="881" spans="1:49">
      <c r="A881" s="581">
        <v>36161</v>
      </c>
      <c r="B881" s="594">
        <v>4.1799999999999997E-2</v>
      </c>
      <c r="C881" s="577">
        <v>-4.5100000000000001E-2</v>
      </c>
      <c r="D881" s="577">
        <v>4.1999999999999997E-3</v>
      </c>
      <c r="E881" s="577">
        <v>5.1999999999999998E-3</v>
      </c>
      <c r="F881" s="577">
        <v>5.5666666666666668E-3</v>
      </c>
      <c r="G881" s="577">
        <v>5.3833333333333337E-3</v>
      </c>
      <c r="H881" s="577">
        <v>5.8083333333333329E-3</v>
      </c>
      <c r="I881" s="577">
        <f t="shared" si="145"/>
        <v>3.7599999999999995E-2</v>
      </c>
      <c r="J881" s="577">
        <f t="shared" si="149"/>
        <v>3.6416666666666667E-2</v>
      </c>
      <c r="K881" s="577">
        <f t="shared" si="150"/>
        <v>-5.0908333333333333E-2</v>
      </c>
      <c r="L881" s="585">
        <f t="shared" si="146"/>
        <v>0.32483320598966614</v>
      </c>
      <c r="M881" s="585">
        <f t="shared" si="147"/>
        <v>5.04E-2</v>
      </c>
      <c r="N881" s="585">
        <f t="shared" si="151"/>
        <v>6.4600000000000005E-2</v>
      </c>
      <c r="O881" s="586">
        <f t="shared" si="148"/>
        <v>0.27443320598966614</v>
      </c>
      <c r="P881" s="585">
        <f t="shared" si="152"/>
        <v>0.26023320598966615</v>
      </c>
      <c r="Q881" s="585">
        <f t="shared" si="153"/>
        <v>0.1417897300319062</v>
      </c>
      <c r="R881" s="585">
        <f t="shared" si="154"/>
        <v>6.9699999999999998E-2</v>
      </c>
      <c r="S881" s="586">
        <f t="shared" si="155"/>
        <v>7.2089730031906205E-2</v>
      </c>
      <c r="U881" s="587"/>
      <c r="V881" s="587"/>
      <c r="W881" s="587"/>
      <c r="X881" s="587"/>
      <c r="Y881" s="587"/>
      <c r="Z881" s="587"/>
      <c r="AA881" s="587"/>
      <c r="AB881" s="587"/>
      <c r="AC881" s="587"/>
      <c r="AE881" s="587"/>
      <c r="AF881" s="587"/>
      <c r="AG881" s="587"/>
      <c r="AH881" s="587"/>
      <c r="AI881" s="587"/>
      <c r="AJ881" s="587"/>
      <c r="AK881" s="587"/>
      <c r="AL881" s="587"/>
      <c r="AM881" s="587"/>
      <c r="AO881" s="587"/>
      <c r="AP881" s="587"/>
      <c r="AQ881" s="587"/>
      <c r="AR881" s="587"/>
      <c r="AS881" s="587"/>
      <c r="AT881" s="587"/>
      <c r="AU881" s="587"/>
      <c r="AV881" s="587"/>
      <c r="AW881" s="587"/>
    </row>
    <row r="882" spans="1:49">
      <c r="A882" s="581">
        <v>36192</v>
      </c>
      <c r="B882" s="594">
        <v>-3.1099999999999999E-2</v>
      </c>
      <c r="C882" s="577">
        <v>-3.6400000000000002E-2</v>
      </c>
      <c r="D882" s="577">
        <v>4.0000000000000001E-3</v>
      </c>
      <c r="E882" s="577">
        <v>5.3333333333333332E-3</v>
      </c>
      <c r="F882" s="577">
        <v>5.6583333333333329E-3</v>
      </c>
      <c r="G882" s="577">
        <v>5.4958333333333335E-3</v>
      </c>
      <c r="H882" s="577">
        <v>5.8964999999999998E-3</v>
      </c>
      <c r="I882" s="577">
        <f t="shared" si="145"/>
        <v>-3.5099999999999999E-2</v>
      </c>
      <c r="J882" s="577">
        <f t="shared" si="149"/>
        <v>-3.6595833333333334E-2</v>
      </c>
      <c r="K882" s="577">
        <f t="shared" si="150"/>
        <v>-4.2296500000000001E-2</v>
      </c>
      <c r="L882" s="585">
        <f t="shared" si="146"/>
        <v>0.19730518914596384</v>
      </c>
      <c r="M882" s="585">
        <f t="shared" si="147"/>
        <v>4.8000000000000001E-2</v>
      </c>
      <c r="N882" s="585">
        <f t="shared" si="151"/>
        <v>6.5950000000000009E-2</v>
      </c>
      <c r="O882" s="586">
        <f t="shared" si="148"/>
        <v>0.14930518914596386</v>
      </c>
      <c r="P882" s="585">
        <f t="shared" si="152"/>
        <v>0.13135518914596384</v>
      </c>
      <c r="Q882" s="585">
        <f t="shared" si="153"/>
        <v>6.3947958474755984E-2</v>
      </c>
      <c r="R882" s="585">
        <f t="shared" si="154"/>
        <v>7.0758000000000001E-2</v>
      </c>
      <c r="S882" s="586">
        <f t="shared" si="155"/>
        <v>-6.8100415252440177E-3</v>
      </c>
      <c r="U882" s="587"/>
      <c r="V882" s="587"/>
      <c r="W882" s="587"/>
      <c r="X882" s="587"/>
      <c r="Y882" s="587"/>
      <c r="Z882" s="587"/>
      <c r="AA882" s="587"/>
      <c r="AB882" s="587"/>
      <c r="AC882" s="587"/>
      <c r="AE882" s="587"/>
      <c r="AF882" s="587"/>
      <c r="AG882" s="587"/>
      <c r="AH882" s="587"/>
      <c r="AI882" s="587"/>
      <c r="AJ882" s="587"/>
      <c r="AK882" s="587"/>
      <c r="AL882" s="587"/>
      <c r="AM882" s="587"/>
      <c r="AO882" s="587"/>
      <c r="AP882" s="587"/>
      <c r="AQ882" s="587"/>
      <c r="AR882" s="587"/>
      <c r="AS882" s="587"/>
      <c r="AT882" s="587"/>
      <c r="AU882" s="587"/>
      <c r="AV882" s="587"/>
      <c r="AW882" s="587"/>
    </row>
    <row r="883" spans="1:49">
      <c r="A883" s="581">
        <v>36220</v>
      </c>
      <c r="B883" s="594">
        <v>0.04</v>
      </c>
      <c r="C883" s="577">
        <v>-1.4800000000000001E-2</v>
      </c>
      <c r="D883" s="577">
        <v>5.3E-3</v>
      </c>
      <c r="E883" s="577">
        <v>5.5166666666666662E-3</v>
      </c>
      <c r="F883" s="577">
        <v>5.816666666666667E-3</v>
      </c>
      <c r="G883" s="577">
        <v>5.6666666666666662E-3</v>
      </c>
      <c r="H883" s="577">
        <v>6.0460000000000002E-3</v>
      </c>
      <c r="I883" s="577">
        <f t="shared" si="145"/>
        <v>3.4700000000000002E-2</v>
      </c>
      <c r="J883" s="577">
        <f t="shared" si="149"/>
        <v>3.4333333333333334E-2</v>
      </c>
      <c r="K883" s="577">
        <f t="shared" si="150"/>
        <v>-2.0846E-2</v>
      </c>
      <c r="L883" s="585">
        <f t="shared" si="146"/>
        <v>0.18454851285369367</v>
      </c>
      <c r="M883" s="585">
        <f t="shared" si="147"/>
        <v>6.3600000000000004E-2</v>
      </c>
      <c r="N883" s="585">
        <f t="shared" si="151"/>
        <v>6.7999999999999991E-2</v>
      </c>
      <c r="O883" s="586">
        <f t="shared" si="148"/>
        <v>0.12094851285369367</v>
      </c>
      <c r="P883" s="585">
        <f t="shared" si="152"/>
        <v>0.11654851285369368</v>
      </c>
      <c r="Q883" s="585">
        <f t="shared" si="153"/>
        <v>-1.5033331432691921E-2</v>
      </c>
      <c r="R883" s="585">
        <f t="shared" si="154"/>
        <v>7.2552000000000005E-2</v>
      </c>
      <c r="S883" s="586">
        <f t="shared" si="155"/>
        <v>-8.7585331432691926E-2</v>
      </c>
      <c r="U883" s="587"/>
      <c r="V883" s="587"/>
      <c r="W883" s="587"/>
      <c r="X883" s="587"/>
      <c r="Y883" s="587"/>
      <c r="Z883" s="587"/>
      <c r="AA883" s="587"/>
      <c r="AB883" s="587"/>
      <c r="AC883" s="587"/>
      <c r="AE883" s="587"/>
      <c r="AF883" s="587"/>
      <c r="AG883" s="587"/>
      <c r="AH883" s="587"/>
      <c r="AI883" s="587"/>
      <c r="AJ883" s="587"/>
      <c r="AK883" s="587"/>
      <c r="AL883" s="587"/>
      <c r="AM883" s="587"/>
      <c r="AO883" s="587"/>
      <c r="AP883" s="587"/>
      <c r="AQ883" s="587"/>
      <c r="AR883" s="587"/>
      <c r="AS883" s="587"/>
      <c r="AT883" s="587"/>
      <c r="AU883" s="587"/>
      <c r="AV883" s="587"/>
      <c r="AW883" s="587"/>
    </row>
    <row r="884" spans="1:49">
      <c r="A884" s="581">
        <v>36251</v>
      </c>
      <c r="B884" s="594">
        <v>3.8699999999999998E-2</v>
      </c>
      <c r="C884" s="577">
        <v>8.8399999999999992E-2</v>
      </c>
      <c r="D884" s="577">
        <v>4.7999999999999996E-3</v>
      </c>
      <c r="E884" s="577">
        <v>5.5333333333333337E-3</v>
      </c>
      <c r="F884" s="577">
        <v>5.7999999999999996E-3</v>
      </c>
      <c r="G884" s="577">
        <v>5.6666666666666662E-3</v>
      </c>
      <c r="H884" s="577">
        <v>6.0119166666666671E-3</v>
      </c>
      <c r="I884" s="577">
        <f t="shared" si="145"/>
        <v>3.39E-2</v>
      </c>
      <c r="J884" s="577">
        <f t="shared" si="149"/>
        <v>3.3033333333333331E-2</v>
      </c>
      <c r="K884" s="577">
        <f t="shared" si="150"/>
        <v>8.238808333333332E-2</v>
      </c>
      <c r="L884" s="585">
        <f t="shared" si="146"/>
        <v>0.21808785298597266</v>
      </c>
      <c r="M884" s="585">
        <f t="shared" si="147"/>
        <v>5.7599999999999998E-2</v>
      </c>
      <c r="N884" s="585">
        <f t="shared" si="151"/>
        <v>6.7999999999999991E-2</v>
      </c>
      <c r="O884" s="586">
        <f t="shared" si="148"/>
        <v>0.16048785298597268</v>
      </c>
      <c r="P884" s="585">
        <f t="shared" si="152"/>
        <v>0.15008785298597266</v>
      </c>
      <c r="Q884" s="585">
        <f t="shared" si="153"/>
        <v>9.3135232047168781E-2</v>
      </c>
      <c r="R884" s="585">
        <f t="shared" si="154"/>
        <v>7.2143000000000013E-2</v>
      </c>
      <c r="S884" s="586">
        <f t="shared" si="155"/>
        <v>2.0992232047168768E-2</v>
      </c>
      <c r="U884" s="587"/>
      <c r="V884" s="587"/>
      <c r="W884" s="587"/>
      <c r="X884" s="587"/>
      <c r="Y884" s="587"/>
      <c r="Z884" s="587"/>
      <c r="AA884" s="587"/>
      <c r="AB884" s="587"/>
      <c r="AC884" s="587"/>
      <c r="AE884" s="587"/>
      <c r="AF884" s="587"/>
      <c r="AG884" s="587"/>
      <c r="AH884" s="587"/>
      <c r="AI884" s="587"/>
      <c r="AJ884" s="587"/>
      <c r="AK884" s="587"/>
      <c r="AL884" s="587"/>
      <c r="AM884" s="587"/>
      <c r="AO884" s="587"/>
      <c r="AP884" s="587"/>
      <c r="AQ884" s="587"/>
      <c r="AR884" s="587"/>
      <c r="AS884" s="587"/>
      <c r="AT884" s="587"/>
      <c r="AU884" s="587"/>
      <c r="AV884" s="587"/>
      <c r="AW884" s="587"/>
    </row>
    <row r="885" spans="1:49">
      <c r="A885" s="581">
        <v>36281</v>
      </c>
      <c r="B885" s="594">
        <v>-2.3599999999999999E-2</v>
      </c>
      <c r="C885" s="577">
        <v>6.0899999999999996E-2</v>
      </c>
      <c r="D885" s="577">
        <v>4.4999999999999997E-3</v>
      </c>
      <c r="E885" s="577">
        <v>5.7749999999999998E-3</v>
      </c>
      <c r="F885" s="577">
        <v>6.025E-3</v>
      </c>
      <c r="G885" s="577">
        <v>5.9000000000000007E-3</v>
      </c>
      <c r="H885" s="577">
        <v>6.2141666666666664E-3</v>
      </c>
      <c r="I885" s="577">
        <f t="shared" si="145"/>
        <v>-2.81E-2</v>
      </c>
      <c r="J885" s="577">
        <f t="shared" si="149"/>
        <v>-2.9499999999999998E-2</v>
      </c>
      <c r="K885" s="577">
        <f t="shared" si="150"/>
        <v>5.4685833333333329E-2</v>
      </c>
      <c r="L885" s="585">
        <f t="shared" si="146"/>
        <v>0.21015565695513172</v>
      </c>
      <c r="M885" s="585">
        <f t="shared" si="147"/>
        <v>5.3999999999999992E-2</v>
      </c>
      <c r="N885" s="585">
        <f t="shared" si="151"/>
        <v>7.0800000000000002E-2</v>
      </c>
      <c r="O885" s="586">
        <f t="shared" si="148"/>
        <v>0.15615565695513173</v>
      </c>
      <c r="P885" s="585">
        <f t="shared" si="152"/>
        <v>0.13935565695513172</v>
      </c>
      <c r="Q885" s="585">
        <f t="shared" si="153"/>
        <v>0.16553484188828227</v>
      </c>
      <c r="R885" s="585">
        <f t="shared" si="154"/>
        <v>7.4569999999999997E-2</v>
      </c>
      <c r="S885" s="586">
        <f t="shared" si="155"/>
        <v>9.0964841888282272E-2</v>
      </c>
      <c r="U885" s="587"/>
      <c r="V885" s="587"/>
      <c r="W885" s="587"/>
      <c r="X885" s="587"/>
      <c r="Y885" s="587"/>
      <c r="Z885" s="587"/>
      <c r="AA885" s="587"/>
      <c r="AB885" s="587"/>
      <c r="AC885" s="587"/>
      <c r="AE885" s="587"/>
      <c r="AF885" s="587"/>
      <c r="AG885" s="587"/>
      <c r="AH885" s="587"/>
      <c r="AI885" s="587"/>
      <c r="AJ885" s="587"/>
      <c r="AK885" s="587"/>
      <c r="AL885" s="587"/>
      <c r="AM885" s="587"/>
      <c r="AO885" s="587"/>
      <c r="AP885" s="587"/>
      <c r="AQ885" s="587"/>
      <c r="AR885" s="587"/>
      <c r="AS885" s="587"/>
      <c r="AT885" s="587"/>
      <c r="AU885" s="587"/>
      <c r="AV885" s="587"/>
      <c r="AW885" s="587"/>
    </row>
    <row r="886" spans="1:49">
      <c r="A886" s="581">
        <v>36312</v>
      </c>
      <c r="B886" s="594">
        <v>5.5500000000000001E-2</v>
      </c>
      <c r="C886" s="577">
        <v>-3.32E-2</v>
      </c>
      <c r="D886" s="577">
        <v>5.4999999999999997E-3</v>
      </c>
      <c r="E886" s="577">
        <v>6.025E-3</v>
      </c>
      <c r="F886" s="577">
        <v>6.266666666666666E-3</v>
      </c>
      <c r="G886" s="577">
        <v>6.145833333333333E-3</v>
      </c>
      <c r="H886" s="577">
        <v>6.445416666666667E-3</v>
      </c>
      <c r="I886" s="577">
        <f t="shared" si="145"/>
        <v>0.05</v>
      </c>
      <c r="J886" s="577">
        <f t="shared" si="149"/>
        <v>4.9354166666666671E-2</v>
      </c>
      <c r="K886" s="577">
        <f t="shared" si="150"/>
        <v>-3.9645416666666669E-2</v>
      </c>
      <c r="L886" s="585">
        <f t="shared" si="146"/>
        <v>0.22748346714985801</v>
      </c>
      <c r="M886" s="585">
        <f t="shared" si="147"/>
        <v>6.6000000000000003E-2</v>
      </c>
      <c r="N886" s="585">
        <f t="shared" si="151"/>
        <v>7.3749999999999996E-2</v>
      </c>
      <c r="O886" s="586">
        <f t="shared" si="148"/>
        <v>0.16148346714985801</v>
      </c>
      <c r="P886" s="585">
        <f t="shared" si="152"/>
        <v>0.15373346714985803</v>
      </c>
      <c r="Q886" s="585">
        <f t="shared" si="153"/>
        <v>8.6738436818971643E-2</v>
      </c>
      <c r="R886" s="585">
        <f t="shared" si="154"/>
        <v>7.7344999999999997E-2</v>
      </c>
      <c r="S886" s="586">
        <f t="shared" si="155"/>
        <v>9.3934368189716455E-3</v>
      </c>
      <c r="U886" s="587"/>
      <c r="V886" s="587"/>
      <c r="W886" s="587"/>
      <c r="X886" s="587"/>
      <c r="Y886" s="587"/>
      <c r="Z886" s="587"/>
      <c r="AA886" s="587"/>
      <c r="AB886" s="587"/>
      <c r="AC886" s="587"/>
      <c r="AE886" s="587"/>
      <c r="AF886" s="587"/>
      <c r="AG886" s="587"/>
      <c r="AH886" s="587"/>
      <c r="AI886" s="587"/>
      <c r="AJ886" s="587"/>
      <c r="AK886" s="587"/>
      <c r="AL886" s="587"/>
      <c r="AM886" s="587"/>
      <c r="AO886" s="587"/>
      <c r="AP886" s="587"/>
      <c r="AQ886" s="587"/>
      <c r="AR886" s="587"/>
      <c r="AS886" s="587"/>
      <c r="AT886" s="587"/>
      <c r="AU886" s="587"/>
      <c r="AV886" s="587"/>
      <c r="AW886" s="587"/>
    </row>
    <row r="887" spans="1:49">
      <c r="A887" s="581">
        <v>36342</v>
      </c>
      <c r="B887" s="594">
        <v>-3.1199999999999999E-2</v>
      </c>
      <c r="C887" s="577">
        <v>-1.14E-2</v>
      </c>
      <c r="D887" s="577">
        <v>5.1000000000000004E-3</v>
      </c>
      <c r="E887" s="577">
        <v>5.9916666666666677E-3</v>
      </c>
      <c r="F887" s="577">
        <v>6.2333333333333338E-3</v>
      </c>
      <c r="G887" s="577">
        <v>6.1125000000000007E-3</v>
      </c>
      <c r="H887" s="577">
        <v>6.4182499999999995E-3</v>
      </c>
      <c r="I887" s="577">
        <f t="shared" si="145"/>
        <v>-3.6299999999999999E-2</v>
      </c>
      <c r="J887" s="577">
        <f t="shared" si="149"/>
        <v>-3.7312499999999998E-2</v>
      </c>
      <c r="K887" s="577">
        <f t="shared" si="150"/>
        <v>-1.7818250000000001E-2</v>
      </c>
      <c r="L887" s="585">
        <f t="shared" si="146"/>
        <v>0.20192640284493835</v>
      </c>
      <c r="M887" s="585">
        <f t="shared" si="147"/>
        <v>6.1200000000000004E-2</v>
      </c>
      <c r="N887" s="585">
        <f t="shared" si="151"/>
        <v>7.3350000000000012E-2</v>
      </c>
      <c r="O887" s="586">
        <f t="shared" si="148"/>
        <v>0.14072640284493834</v>
      </c>
      <c r="P887" s="585">
        <f t="shared" si="152"/>
        <v>0.12857640284493832</v>
      </c>
      <c r="Q887" s="585">
        <f t="shared" si="153"/>
        <v>0.13006165839827011</v>
      </c>
      <c r="R887" s="585">
        <f t="shared" si="154"/>
        <v>7.701899999999999E-2</v>
      </c>
      <c r="S887" s="586">
        <f t="shared" si="155"/>
        <v>5.3042658398270118E-2</v>
      </c>
      <c r="U887" s="587"/>
      <c r="V887" s="587"/>
      <c r="W887" s="587"/>
      <c r="X887" s="587"/>
      <c r="Y887" s="587"/>
      <c r="Z887" s="587"/>
      <c r="AA887" s="587"/>
      <c r="AB887" s="587"/>
      <c r="AC887" s="587"/>
      <c r="AE887" s="587"/>
      <c r="AF887" s="587"/>
      <c r="AG887" s="587"/>
      <c r="AH887" s="587"/>
      <c r="AI887" s="587"/>
      <c r="AJ887" s="587"/>
      <c r="AK887" s="587"/>
      <c r="AL887" s="587"/>
      <c r="AM887" s="587"/>
      <c r="AO887" s="587"/>
      <c r="AP887" s="587"/>
      <c r="AQ887" s="587"/>
      <c r="AR887" s="587"/>
      <c r="AS887" s="587"/>
      <c r="AT887" s="587"/>
      <c r="AU887" s="587"/>
      <c r="AV887" s="587"/>
      <c r="AW887" s="587"/>
    </row>
    <row r="888" spans="1:49">
      <c r="A888" s="581">
        <v>36373</v>
      </c>
      <c r="B888" s="594">
        <v>-4.8999999999999998E-3</v>
      </c>
      <c r="C888" s="577">
        <v>1.1699999999999999E-2</v>
      </c>
      <c r="D888" s="577">
        <v>5.4000000000000003E-3</v>
      </c>
      <c r="E888" s="577">
        <v>6.1666666666666667E-3</v>
      </c>
      <c r="F888" s="577">
        <v>6.4000000000000003E-3</v>
      </c>
      <c r="G888" s="577">
        <v>6.2833333333333343E-3</v>
      </c>
      <c r="H888" s="577">
        <v>6.5894166666666662E-3</v>
      </c>
      <c r="I888" s="577">
        <f t="shared" si="145"/>
        <v>-1.03E-2</v>
      </c>
      <c r="J888" s="577">
        <f t="shared" si="149"/>
        <v>-1.1183333333333333E-2</v>
      </c>
      <c r="K888" s="577">
        <f t="shared" si="150"/>
        <v>5.1105833333333324E-3</v>
      </c>
      <c r="L888" s="585">
        <f t="shared" si="146"/>
        <v>0.39821950370703663</v>
      </c>
      <c r="M888" s="585">
        <f t="shared" si="147"/>
        <v>6.4799999999999996E-2</v>
      </c>
      <c r="N888" s="585">
        <f t="shared" si="151"/>
        <v>7.5400000000000009E-2</v>
      </c>
      <c r="O888" s="586">
        <f t="shared" si="148"/>
        <v>0.33341950370703666</v>
      </c>
      <c r="P888" s="585">
        <f t="shared" si="152"/>
        <v>0.3228195037070366</v>
      </c>
      <c r="Q888" s="585">
        <f t="shared" si="153"/>
        <v>0.12516817222864884</v>
      </c>
      <c r="R888" s="585">
        <f t="shared" si="154"/>
        <v>7.9072999999999991E-2</v>
      </c>
      <c r="S888" s="586">
        <f t="shared" si="155"/>
        <v>4.6095172228648854E-2</v>
      </c>
      <c r="U888" s="587"/>
      <c r="V888" s="587"/>
      <c r="W888" s="587"/>
      <c r="X888" s="587"/>
      <c r="Y888" s="587"/>
      <c r="Z888" s="587"/>
      <c r="AA888" s="587"/>
      <c r="AB888" s="587"/>
      <c r="AC888" s="587"/>
      <c r="AE888" s="587"/>
      <c r="AF888" s="587"/>
      <c r="AG888" s="587"/>
      <c r="AH888" s="587"/>
      <c r="AI888" s="587"/>
      <c r="AJ888" s="587"/>
      <c r="AK888" s="587"/>
      <c r="AL888" s="587"/>
      <c r="AM888" s="587"/>
      <c r="AO888" s="587"/>
      <c r="AP888" s="587"/>
      <c r="AQ888" s="587"/>
      <c r="AR888" s="587"/>
      <c r="AS888" s="587"/>
      <c r="AT888" s="587"/>
      <c r="AU888" s="587"/>
      <c r="AV888" s="587"/>
      <c r="AW888" s="587"/>
    </row>
    <row r="889" spans="1:49">
      <c r="A889" s="581">
        <v>36404</v>
      </c>
      <c r="B889" s="594">
        <v>-2.7400000000000001E-2</v>
      </c>
      <c r="C889" s="577">
        <v>-4.8000000000000001E-2</v>
      </c>
      <c r="D889" s="577">
        <v>5.1999999999999998E-3</v>
      </c>
      <c r="E889" s="577">
        <v>6.1583333333333334E-3</v>
      </c>
      <c r="F889" s="577">
        <v>6.4000000000000003E-3</v>
      </c>
      <c r="G889" s="577">
        <v>6.2791666666666664E-3</v>
      </c>
      <c r="H889" s="577">
        <v>6.6099166666666667E-3</v>
      </c>
      <c r="I889" s="577">
        <f t="shared" si="145"/>
        <v>-3.2600000000000004E-2</v>
      </c>
      <c r="J889" s="577">
        <f t="shared" si="149"/>
        <v>-3.367916666666667E-2</v>
      </c>
      <c r="K889" s="577">
        <f t="shared" si="150"/>
        <v>-5.4609916666666668E-2</v>
      </c>
      <c r="L889" s="585">
        <f t="shared" si="146"/>
        <v>0.27798918269473072</v>
      </c>
      <c r="M889" s="585">
        <f t="shared" si="147"/>
        <v>6.2399999999999997E-2</v>
      </c>
      <c r="N889" s="585">
        <f t="shared" si="151"/>
        <v>7.535E-2</v>
      </c>
      <c r="O889" s="586">
        <f t="shared" si="148"/>
        <v>0.21558918269473071</v>
      </c>
      <c r="P889" s="585">
        <f t="shared" si="152"/>
        <v>0.20263918269473072</v>
      </c>
      <c r="Q889" s="585">
        <f t="shared" si="153"/>
        <v>-1.1388924816176038E-2</v>
      </c>
      <c r="R889" s="585">
        <f t="shared" si="154"/>
        <v>7.9319000000000001E-2</v>
      </c>
      <c r="S889" s="586">
        <f t="shared" si="155"/>
        <v>-9.0707924816176039E-2</v>
      </c>
      <c r="U889" s="587"/>
      <c r="V889" s="587"/>
      <c r="W889" s="587"/>
      <c r="X889" s="587"/>
      <c r="Y889" s="587"/>
      <c r="Z889" s="587"/>
      <c r="AA889" s="587"/>
      <c r="AB889" s="587"/>
      <c r="AC889" s="587"/>
      <c r="AE889" s="587"/>
      <c r="AF889" s="587"/>
      <c r="AG889" s="587"/>
      <c r="AH889" s="587"/>
      <c r="AI889" s="587"/>
      <c r="AJ889" s="587"/>
      <c r="AK889" s="587"/>
      <c r="AL889" s="587"/>
      <c r="AM889" s="587"/>
      <c r="AO889" s="587"/>
      <c r="AP889" s="587"/>
      <c r="AQ889" s="587"/>
      <c r="AR889" s="587"/>
      <c r="AS889" s="587"/>
      <c r="AT889" s="587"/>
      <c r="AU889" s="587"/>
      <c r="AV889" s="587"/>
      <c r="AW889" s="587"/>
    </row>
    <row r="890" spans="1:49">
      <c r="A890" s="581">
        <v>36434</v>
      </c>
      <c r="B890" s="594">
        <v>6.3299999999999995E-2</v>
      </c>
      <c r="C890" s="577">
        <v>1.5699999999999999E-2</v>
      </c>
      <c r="D890" s="577">
        <v>5.0000000000000001E-3</v>
      </c>
      <c r="E890" s="577">
        <v>6.2916666666666668E-3</v>
      </c>
      <c r="F890" s="577">
        <v>6.4916666666666664E-3</v>
      </c>
      <c r="G890" s="577">
        <v>6.391666666666667E-3</v>
      </c>
      <c r="H890" s="577">
        <v>6.7205833333333327E-3</v>
      </c>
      <c r="I890" s="577">
        <f t="shared" si="145"/>
        <v>5.8299999999999998E-2</v>
      </c>
      <c r="J890" s="577">
        <f t="shared" si="149"/>
        <v>5.6908333333333325E-2</v>
      </c>
      <c r="K890" s="577">
        <f t="shared" si="150"/>
        <v>8.9794166666666668E-3</v>
      </c>
      <c r="L890" s="585">
        <f t="shared" si="146"/>
        <v>0.25671497083076611</v>
      </c>
      <c r="M890" s="585">
        <f t="shared" si="147"/>
        <v>0.06</v>
      </c>
      <c r="N890" s="585">
        <f t="shared" si="151"/>
        <v>7.6700000000000004E-2</v>
      </c>
      <c r="O890" s="586">
        <f t="shared" si="148"/>
        <v>0.19671497083076611</v>
      </c>
      <c r="P890" s="585">
        <f t="shared" si="152"/>
        <v>0.18001497083076612</v>
      </c>
      <c r="Q890" s="585">
        <f t="shared" si="153"/>
        <v>2.108223415111854E-2</v>
      </c>
      <c r="R890" s="585">
        <f t="shared" si="154"/>
        <v>8.0646999999999996E-2</v>
      </c>
      <c r="S890" s="586">
        <f t="shared" si="155"/>
        <v>-5.9564765848881457E-2</v>
      </c>
      <c r="U890" s="587"/>
      <c r="V890" s="587"/>
      <c r="W890" s="587"/>
      <c r="X890" s="587"/>
      <c r="Y890" s="587"/>
      <c r="Z890" s="587"/>
      <c r="AA890" s="587"/>
      <c r="AB890" s="587"/>
      <c r="AC890" s="587"/>
      <c r="AE890" s="587"/>
      <c r="AF890" s="587"/>
      <c r="AG890" s="587"/>
      <c r="AH890" s="587"/>
      <c r="AI890" s="587"/>
      <c r="AJ890" s="587"/>
      <c r="AK890" s="587"/>
      <c r="AL890" s="587"/>
      <c r="AM890" s="587"/>
      <c r="AO890" s="587"/>
      <c r="AP890" s="587"/>
      <c r="AQ890" s="587"/>
      <c r="AR890" s="587"/>
      <c r="AS890" s="587"/>
      <c r="AT890" s="587"/>
      <c r="AU890" s="587"/>
      <c r="AV890" s="587"/>
      <c r="AW890" s="587"/>
    </row>
    <row r="891" spans="1:49">
      <c r="A891" s="581">
        <v>36465</v>
      </c>
      <c r="B891" s="594">
        <v>2.0299999999999999E-2</v>
      </c>
      <c r="C891" s="577">
        <v>-7.7300000000000008E-2</v>
      </c>
      <c r="D891" s="577">
        <v>5.5999999999999991E-3</v>
      </c>
      <c r="E891" s="577">
        <v>6.1333333333333344E-3</v>
      </c>
      <c r="F891" s="577">
        <v>6.3499999999999997E-3</v>
      </c>
      <c r="G891" s="577">
        <v>6.2416666666666679E-3</v>
      </c>
      <c r="H891" s="577">
        <v>6.6095833333333328E-3</v>
      </c>
      <c r="I891" s="577">
        <f t="shared" si="145"/>
        <v>1.47E-2</v>
      </c>
      <c r="J891" s="577">
        <f t="shared" si="149"/>
        <v>1.4058333333333331E-2</v>
      </c>
      <c r="K891" s="577">
        <f t="shared" si="150"/>
        <v>-8.3909583333333343E-2</v>
      </c>
      <c r="L891" s="585">
        <f t="shared" si="146"/>
        <v>0.20896311968567827</v>
      </c>
      <c r="M891" s="585">
        <f t="shared" si="147"/>
        <v>6.7199999999999982E-2</v>
      </c>
      <c r="N891" s="585">
        <f t="shared" si="151"/>
        <v>7.4900000000000022E-2</v>
      </c>
      <c r="O891" s="586">
        <f t="shared" si="148"/>
        <v>0.14176311968567828</v>
      </c>
      <c r="P891" s="585">
        <f t="shared" si="152"/>
        <v>0.13406311968567824</v>
      </c>
      <c r="Q891" s="585">
        <f t="shared" si="153"/>
        <v>-7.03053311118641E-2</v>
      </c>
      <c r="R891" s="585">
        <f t="shared" si="154"/>
        <v>7.9314999999999997E-2</v>
      </c>
      <c r="S891" s="586">
        <f t="shared" si="155"/>
        <v>-0.1496203311118641</v>
      </c>
      <c r="U891" s="587"/>
      <c r="V891" s="587"/>
      <c r="W891" s="587"/>
      <c r="X891" s="587"/>
      <c r="Y891" s="587"/>
      <c r="Z891" s="587"/>
      <c r="AA891" s="587"/>
      <c r="AB891" s="587"/>
      <c r="AC891" s="587"/>
      <c r="AE891" s="587"/>
      <c r="AF891" s="587"/>
      <c r="AG891" s="587"/>
      <c r="AH891" s="587"/>
      <c r="AI891" s="587"/>
      <c r="AJ891" s="587"/>
      <c r="AK891" s="587"/>
      <c r="AL891" s="587"/>
      <c r="AM891" s="587"/>
      <c r="AO891" s="587"/>
      <c r="AP891" s="587"/>
      <c r="AQ891" s="587"/>
      <c r="AR891" s="587"/>
      <c r="AS891" s="587"/>
      <c r="AT891" s="587"/>
      <c r="AU891" s="587"/>
      <c r="AV891" s="587"/>
      <c r="AW891" s="587"/>
    </row>
    <row r="892" spans="1:49">
      <c r="A892" s="581">
        <v>36495</v>
      </c>
      <c r="B892" s="594">
        <v>5.8900000000000001E-2</v>
      </c>
      <c r="C892" s="577">
        <v>9.2999999999999992E-3</v>
      </c>
      <c r="D892" s="577">
        <v>5.4999999999999997E-3</v>
      </c>
      <c r="E892" s="577">
        <v>6.2916666666666668E-3</v>
      </c>
      <c r="F892" s="577">
        <v>6.4833333333333331E-3</v>
      </c>
      <c r="G892" s="577">
        <v>6.3874999999999991E-3</v>
      </c>
      <c r="H892" s="577">
        <v>6.7658333333333329E-3</v>
      </c>
      <c r="I892" s="577">
        <f t="shared" si="145"/>
        <v>5.3400000000000003E-2</v>
      </c>
      <c r="J892" s="577">
        <f t="shared" si="149"/>
        <v>5.2512500000000004E-2</v>
      </c>
      <c r="K892" s="577">
        <f t="shared" si="150"/>
        <v>2.5341666666666663E-3</v>
      </c>
      <c r="L892" s="585">
        <f t="shared" si="146"/>
        <v>0.21044917495760695</v>
      </c>
      <c r="M892" s="585">
        <f t="shared" si="147"/>
        <v>6.6000000000000003E-2</v>
      </c>
      <c r="N892" s="585">
        <f t="shared" si="151"/>
        <v>7.6649999999999996E-2</v>
      </c>
      <c r="O892" s="586">
        <f t="shared" si="148"/>
        <v>0.14444917495760695</v>
      </c>
      <c r="P892" s="585">
        <f t="shared" si="152"/>
        <v>0.13379917495760696</v>
      </c>
      <c r="Q892" s="585">
        <f t="shared" si="153"/>
        <v>-8.8547033211466175E-2</v>
      </c>
      <c r="R892" s="585">
        <f t="shared" si="154"/>
        <v>8.1189999999999998E-2</v>
      </c>
      <c r="S892" s="586">
        <f t="shared" si="155"/>
        <v>-0.16973703321146616</v>
      </c>
      <c r="U892" s="587"/>
      <c r="V892" s="587"/>
      <c r="W892" s="587"/>
      <c r="X892" s="587"/>
      <c r="Y892" s="587"/>
      <c r="Z892" s="587"/>
      <c r="AA892" s="587"/>
      <c r="AB892" s="587"/>
      <c r="AC892" s="587"/>
      <c r="AE892" s="587"/>
      <c r="AF892" s="587"/>
      <c r="AG892" s="587"/>
      <c r="AH892" s="587"/>
      <c r="AI892" s="587"/>
      <c r="AJ892" s="587"/>
      <c r="AK892" s="587"/>
      <c r="AL892" s="587"/>
      <c r="AM892" s="587"/>
      <c r="AO892" s="587"/>
      <c r="AP892" s="587"/>
      <c r="AQ892" s="587"/>
      <c r="AR892" s="587"/>
      <c r="AS892" s="587"/>
      <c r="AT892" s="587"/>
      <c r="AU892" s="587"/>
      <c r="AV892" s="587"/>
      <c r="AW892" s="587"/>
    </row>
    <row r="893" spans="1:49">
      <c r="A893" s="581">
        <v>36526</v>
      </c>
      <c r="B893" s="594">
        <v>-5.0200000000000002E-2</v>
      </c>
      <c r="C893" s="577">
        <v>0.1085</v>
      </c>
      <c r="D893" s="577">
        <v>5.7000000000000002E-3</v>
      </c>
      <c r="E893" s="577">
        <v>6.4833333333333331E-3</v>
      </c>
      <c r="F893" s="577">
        <v>6.6333333333333331E-3</v>
      </c>
      <c r="G893" s="577">
        <v>6.5583333333333327E-3</v>
      </c>
      <c r="H893" s="577">
        <v>6.9562500000000006E-3</v>
      </c>
      <c r="I893" s="577">
        <f t="shared" si="145"/>
        <v>-5.5900000000000005E-2</v>
      </c>
      <c r="J893" s="577">
        <f t="shared" si="149"/>
        <v>-5.6758333333333334E-2</v>
      </c>
      <c r="K893" s="577">
        <f t="shared" si="150"/>
        <v>0.10154375</v>
      </c>
      <c r="L893" s="585">
        <f t="shared" si="146"/>
        <v>0.10355598615351802</v>
      </c>
      <c r="M893" s="585">
        <f t="shared" si="147"/>
        <v>6.8400000000000002E-2</v>
      </c>
      <c r="N893" s="585">
        <f t="shared" si="151"/>
        <v>7.8699999999999992E-2</v>
      </c>
      <c r="O893" s="586">
        <f t="shared" si="148"/>
        <v>3.5155986153518018E-2</v>
      </c>
      <c r="P893" s="585">
        <f t="shared" si="152"/>
        <v>2.4855986153518028E-2</v>
      </c>
      <c r="Q893" s="585">
        <f t="shared" si="153"/>
        <v>5.8064314258131855E-2</v>
      </c>
      <c r="R893" s="585">
        <f t="shared" si="154"/>
        <v>8.3475000000000008E-2</v>
      </c>
      <c r="S893" s="586">
        <f t="shared" si="155"/>
        <v>-2.5410685741868153E-2</v>
      </c>
      <c r="U893" s="587"/>
      <c r="V893" s="587"/>
      <c r="W893" s="587"/>
      <c r="X893" s="587"/>
      <c r="Y893" s="587"/>
      <c r="Z893" s="587"/>
      <c r="AA893" s="587"/>
      <c r="AB893" s="587"/>
      <c r="AC893" s="587"/>
      <c r="AE893" s="587"/>
      <c r="AF893" s="587"/>
      <c r="AG893" s="587"/>
      <c r="AH893" s="587"/>
      <c r="AI893" s="587"/>
      <c r="AJ893" s="587"/>
      <c r="AK893" s="587"/>
      <c r="AL893" s="587"/>
      <c r="AM893" s="587"/>
      <c r="AO893" s="587"/>
      <c r="AP893" s="587"/>
      <c r="AQ893" s="587"/>
      <c r="AR893" s="587"/>
      <c r="AS893" s="587"/>
      <c r="AT893" s="587"/>
      <c r="AU893" s="587"/>
      <c r="AV893" s="587"/>
      <c r="AW893" s="587"/>
    </row>
    <row r="894" spans="1:49">
      <c r="A894" s="581">
        <v>36557</v>
      </c>
      <c r="B894" s="594">
        <v>-1.89E-2</v>
      </c>
      <c r="C894" s="577">
        <v>-5.7800000000000004E-2</v>
      </c>
      <c r="D894" s="577">
        <v>5.1000000000000004E-3</v>
      </c>
      <c r="E894" s="577">
        <v>6.4000000000000003E-3</v>
      </c>
      <c r="F894" s="577">
        <v>6.5166666666666671E-3</v>
      </c>
      <c r="G894" s="577">
        <v>6.4583333333333333E-3</v>
      </c>
      <c r="H894" s="577">
        <v>6.8737499999999997E-3</v>
      </c>
      <c r="I894" s="577">
        <f t="shared" si="145"/>
        <v>-2.4E-2</v>
      </c>
      <c r="J894" s="577">
        <f t="shared" si="149"/>
        <v>-2.5358333333333333E-2</v>
      </c>
      <c r="K894" s="577">
        <f t="shared" si="150"/>
        <v>-6.4673750000000002E-2</v>
      </c>
      <c r="L894" s="585">
        <f t="shared" si="146"/>
        <v>0.11745152029643569</v>
      </c>
      <c r="M894" s="585">
        <f t="shared" si="147"/>
        <v>6.1200000000000004E-2</v>
      </c>
      <c r="N894" s="585">
        <f t="shared" si="151"/>
        <v>7.7499999999999999E-2</v>
      </c>
      <c r="O894" s="586">
        <f t="shared" si="148"/>
        <v>5.6251520296435681E-2</v>
      </c>
      <c r="P894" s="585">
        <f t="shared" si="152"/>
        <v>3.9951520296435686E-2</v>
      </c>
      <c r="Q894" s="585">
        <f t="shared" si="153"/>
        <v>3.4566414377346977E-2</v>
      </c>
      <c r="R894" s="585">
        <f t="shared" si="154"/>
        <v>8.2485000000000003E-2</v>
      </c>
      <c r="S894" s="586">
        <f t="shared" si="155"/>
        <v>-4.7918585622653026E-2</v>
      </c>
      <c r="U894" s="587"/>
      <c r="V894" s="587"/>
      <c r="W894" s="587"/>
      <c r="X894" s="587"/>
      <c r="Y894" s="587"/>
      <c r="Z894" s="587"/>
      <c r="AA894" s="587"/>
      <c r="AB894" s="587"/>
      <c r="AC894" s="587"/>
      <c r="AE894" s="587"/>
      <c r="AF894" s="587"/>
      <c r="AG894" s="587"/>
      <c r="AH894" s="587"/>
      <c r="AI894" s="587"/>
      <c r="AJ894" s="587"/>
      <c r="AK894" s="587"/>
      <c r="AL894" s="587"/>
      <c r="AM894" s="587"/>
      <c r="AO894" s="587"/>
      <c r="AP894" s="587"/>
      <c r="AQ894" s="587"/>
      <c r="AR894" s="587"/>
      <c r="AS894" s="587"/>
      <c r="AT894" s="587"/>
      <c r="AU894" s="587"/>
      <c r="AV894" s="587"/>
      <c r="AW894" s="587"/>
    </row>
    <row r="895" spans="1:49">
      <c r="A895" s="581">
        <v>36586</v>
      </c>
      <c r="B895" s="594">
        <v>9.7799999999999998E-2</v>
      </c>
      <c r="C895" s="577">
        <v>3.49E-2</v>
      </c>
      <c r="D895" s="577">
        <v>5.4000000000000003E-3</v>
      </c>
      <c r="E895" s="577">
        <v>6.4000000000000003E-3</v>
      </c>
      <c r="F895" s="577">
        <v>6.5249999999999996E-3</v>
      </c>
      <c r="G895" s="577">
        <v>6.4624999999999995E-3</v>
      </c>
      <c r="H895" s="577">
        <v>6.9058333333333341E-3</v>
      </c>
      <c r="I895" s="577">
        <f t="shared" si="145"/>
        <v>9.2399999999999996E-2</v>
      </c>
      <c r="J895" s="577">
        <f t="shared" si="149"/>
        <v>9.1337500000000002E-2</v>
      </c>
      <c r="K895" s="577">
        <f t="shared" si="150"/>
        <v>2.7994166666666667E-2</v>
      </c>
      <c r="L895" s="585">
        <f t="shared" si="146"/>
        <v>0.17955603748214122</v>
      </c>
      <c r="M895" s="585">
        <f t="shared" si="147"/>
        <v>6.4799999999999996E-2</v>
      </c>
      <c r="N895" s="585">
        <f t="shared" si="151"/>
        <v>7.7549999999999994E-2</v>
      </c>
      <c r="O895" s="586">
        <f t="shared" si="148"/>
        <v>0.11475603748214122</v>
      </c>
      <c r="P895" s="585">
        <f t="shared" si="152"/>
        <v>0.10200603748214122</v>
      </c>
      <c r="Q895" s="585">
        <f t="shared" si="153"/>
        <v>8.6756782621921102E-2</v>
      </c>
      <c r="R895" s="585">
        <f t="shared" si="154"/>
        <v>8.2870000000000013E-2</v>
      </c>
      <c r="S895" s="586">
        <f t="shared" si="155"/>
        <v>3.8867826219210894E-3</v>
      </c>
      <c r="U895" s="587"/>
      <c r="V895" s="587"/>
      <c r="W895" s="587"/>
      <c r="X895" s="587"/>
      <c r="Y895" s="587"/>
      <c r="Z895" s="587"/>
      <c r="AA895" s="587"/>
      <c r="AB895" s="587"/>
      <c r="AC895" s="587"/>
      <c r="AE895" s="587"/>
      <c r="AF895" s="587"/>
      <c r="AG895" s="587"/>
      <c r="AH895" s="587"/>
      <c r="AI895" s="587"/>
      <c r="AJ895" s="587"/>
      <c r="AK895" s="587"/>
      <c r="AL895" s="587"/>
      <c r="AM895" s="587"/>
      <c r="AO895" s="587"/>
      <c r="AP895" s="587"/>
      <c r="AQ895" s="587"/>
      <c r="AR895" s="587"/>
      <c r="AS895" s="587"/>
      <c r="AT895" s="587"/>
      <c r="AU895" s="587"/>
      <c r="AV895" s="587"/>
      <c r="AW895" s="587"/>
    </row>
    <row r="896" spans="1:49">
      <c r="A896" s="581">
        <v>36617</v>
      </c>
      <c r="B896" s="594">
        <v>-3.0099999999999998E-2</v>
      </c>
      <c r="C896" s="577">
        <v>7.9399999999999998E-2</v>
      </c>
      <c r="D896" s="577">
        <v>4.7000000000000002E-3</v>
      </c>
      <c r="E896" s="577">
        <v>6.3666666666666663E-3</v>
      </c>
      <c r="F896" s="577">
        <v>6.5166666666666671E-3</v>
      </c>
      <c r="G896" s="577">
        <v>6.4416666666666667E-3</v>
      </c>
      <c r="H896" s="577">
        <v>6.8982499999999999E-3</v>
      </c>
      <c r="I896" s="577">
        <f t="shared" si="145"/>
        <v>-3.4799999999999998E-2</v>
      </c>
      <c r="J896" s="577">
        <f t="shared" si="149"/>
        <v>-3.6541666666666667E-2</v>
      </c>
      <c r="K896" s="577">
        <f t="shared" si="150"/>
        <v>7.2501750000000004E-2</v>
      </c>
      <c r="L896" s="585">
        <f t="shared" si="146"/>
        <v>0.10142620656005441</v>
      </c>
      <c r="M896" s="585">
        <f t="shared" si="147"/>
        <v>5.6400000000000006E-2</v>
      </c>
      <c r="N896" s="585">
        <f t="shared" si="151"/>
        <v>7.7300000000000008E-2</v>
      </c>
      <c r="O896" s="586">
        <f t="shared" si="148"/>
        <v>4.5026206560054405E-2</v>
      </c>
      <c r="P896" s="585">
        <f t="shared" si="152"/>
        <v>2.4126206560054403E-2</v>
      </c>
      <c r="Q896" s="585">
        <f t="shared" si="153"/>
        <v>7.7770370417219237E-2</v>
      </c>
      <c r="R896" s="585">
        <f t="shared" si="154"/>
        <v>8.2778999999999991E-2</v>
      </c>
      <c r="S896" s="586">
        <f t="shared" si="155"/>
        <v>-5.0086295827807548E-3</v>
      </c>
      <c r="U896" s="587"/>
      <c r="V896" s="587"/>
      <c r="W896" s="587"/>
      <c r="X896" s="587"/>
      <c r="Y896" s="587"/>
      <c r="Z896" s="587"/>
      <c r="AA896" s="587"/>
      <c r="AB896" s="587"/>
      <c r="AC896" s="587"/>
      <c r="AE896" s="587"/>
      <c r="AF896" s="587"/>
      <c r="AG896" s="587"/>
      <c r="AH896" s="587"/>
      <c r="AI896" s="587"/>
      <c r="AJ896" s="587"/>
      <c r="AK896" s="587"/>
      <c r="AL896" s="587"/>
      <c r="AM896" s="587"/>
      <c r="AO896" s="587"/>
      <c r="AP896" s="587"/>
      <c r="AQ896" s="587"/>
      <c r="AR896" s="587"/>
      <c r="AS896" s="587"/>
      <c r="AT896" s="587"/>
      <c r="AU896" s="587"/>
      <c r="AV896" s="587"/>
      <c r="AW896" s="587"/>
    </row>
    <row r="897" spans="1:49">
      <c r="A897" s="581">
        <v>36647</v>
      </c>
      <c r="B897" s="594">
        <v>-2.0500000000000001E-2</v>
      </c>
      <c r="C897" s="577">
        <v>4.8599999999999997E-2</v>
      </c>
      <c r="D897" s="577">
        <v>5.5999999999999991E-3</v>
      </c>
      <c r="E897" s="577">
        <v>6.6583333333333338E-3</v>
      </c>
      <c r="F897" s="577">
        <v>6.8666666666666668E-3</v>
      </c>
      <c r="G897" s="577">
        <v>6.7625000000000003E-3</v>
      </c>
      <c r="H897" s="577">
        <v>7.2435833333333336E-3</v>
      </c>
      <c r="I897" s="577">
        <f t="shared" si="145"/>
        <v>-2.6099999999999998E-2</v>
      </c>
      <c r="J897" s="577">
        <f t="shared" si="149"/>
        <v>-2.7262500000000002E-2</v>
      </c>
      <c r="K897" s="577">
        <f t="shared" si="150"/>
        <v>4.1356416666666666E-2</v>
      </c>
      <c r="L897" s="585">
        <f t="shared" si="146"/>
        <v>0.10492315580251277</v>
      </c>
      <c r="M897" s="585">
        <f t="shared" si="147"/>
        <v>6.7199999999999982E-2</v>
      </c>
      <c r="N897" s="585">
        <f t="shared" si="151"/>
        <v>8.115E-2</v>
      </c>
      <c r="O897" s="586">
        <f t="shared" si="148"/>
        <v>3.7723155802512787E-2</v>
      </c>
      <c r="P897" s="585">
        <f t="shared" si="152"/>
        <v>2.3773155802512769E-2</v>
      </c>
      <c r="Q897" s="585">
        <f t="shared" si="153"/>
        <v>6.5274776528886802E-2</v>
      </c>
      <c r="R897" s="585">
        <f t="shared" si="154"/>
        <v>8.6923E-2</v>
      </c>
      <c r="S897" s="586">
        <f t="shared" si="155"/>
        <v>-2.1648223471113198E-2</v>
      </c>
      <c r="U897" s="587"/>
      <c r="V897" s="587"/>
      <c r="W897" s="587"/>
      <c r="X897" s="587"/>
      <c r="Y897" s="587"/>
      <c r="Z897" s="587"/>
      <c r="AA897" s="587"/>
      <c r="AB897" s="587"/>
      <c r="AC897" s="587"/>
      <c r="AE897" s="587"/>
      <c r="AF897" s="587"/>
      <c r="AG897" s="587"/>
      <c r="AH897" s="587"/>
      <c r="AI897" s="587"/>
      <c r="AJ897" s="587"/>
      <c r="AK897" s="587"/>
      <c r="AL897" s="587"/>
      <c r="AM897" s="587"/>
      <c r="AO897" s="587"/>
      <c r="AP897" s="587"/>
      <c r="AQ897" s="587"/>
      <c r="AR897" s="587"/>
      <c r="AS897" s="587"/>
      <c r="AT897" s="587"/>
      <c r="AU897" s="587"/>
      <c r="AV897" s="587"/>
      <c r="AW897" s="587"/>
    </row>
    <row r="898" spans="1:49">
      <c r="A898" s="581">
        <v>36678</v>
      </c>
      <c r="B898" s="594">
        <v>2.47E-2</v>
      </c>
      <c r="C898" s="577">
        <v>-5.7500000000000002E-2</v>
      </c>
      <c r="D898" s="577">
        <v>5.1999999999999998E-3</v>
      </c>
      <c r="E898" s="577">
        <v>6.391666666666667E-3</v>
      </c>
      <c r="F898" s="577">
        <v>6.5583333333333335E-3</v>
      </c>
      <c r="G898" s="577">
        <v>6.4749999999999999E-3</v>
      </c>
      <c r="H898" s="577">
        <v>6.9795833333333333E-3</v>
      </c>
      <c r="I898" s="577">
        <f t="shared" si="145"/>
        <v>1.95E-2</v>
      </c>
      <c r="J898" s="577">
        <f t="shared" si="149"/>
        <v>1.8224999999999998E-2</v>
      </c>
      <c r="K898" s="577">
        <f t="shared" si="150"/>
        <v>-6.447958333333334E-2</v>
      </c>
      <c r="L898" s="585">
        <f t="shared" si="146"/>
        <v>7.2680964235750212E-2</v>
      </c>
      <c r="M898" s="585">
        <f t="shared" si="147"/>
        <v>6.2399999999999997E-2</v>
      </c>
      <c r="N898" s="585">
        <f t="shared" si="151"/>
        <v>7.7699999999999991E-2</v>
      </c>
      <c r="O898" s="586">
        <f t="shared" si="148"/>
        <v>1.0280964235750215E-2</v>
      </c>
      <c r="P898" s="585">
        <f t="shared" si="152"/>
        <v>-5.0190357642497796E-3</v>
      </c>
      <c r="Q898" s="585">
        <f t="shared" si="153"/>
        <v>3.849966578245323E-2</v>
      </c>
      <c r="R898" s="585">
        <f t="shared" si="154"/>
        <v>8.3754999999999996E-2</v>
      </c>
      <c r="S898" s="586">
        <f t="shared" si="155"/>
        <v>-4.5255334217546767E-2</v>
      </c>
      <c r="U898" s="587"/>
      <c r="V898" s="587"/>
      <c r="W898" s="587"/>
      <c r="X898" s="587"/>
      <c r="Y898" s="587"/>
      <c r="Z898" s="587"/>
      <c r="AA898" s="587"/>
      <c r="AB898" s="587"/>
      <c r="AC898" s="587"/>
      <c r="AE898" s="587"/>
      <c r="AF898" s="587"/>
      <c r="AG898" s="587"/>
      <c r="AH898" s="587"/>
      <c r="AI898" s="587"/>
      <c r="AJ898" s="587"/>
      <c r="AK898" s="587"/>
      <c r="AL898" s="587"/>
      <c r="AM898" s="587"/>
      <c r="AO898" s="587"/>
      <c r="AP898" s="587"/>
      <c r="AQ898" s="587"/>
      <c r="AR898" s="587"/>
      <c r="AS898" s="587"/>
      <c r="AT898" s="587"/>
      <c r="AU898" s="587"/>
      <c r="AV898" s="587"/>
      <c r="AW898" s="587"/>
    </row>
    <row r="899" spans="1:49">
      <c r="A899" s="581">
        <v>36708</v>
      </c>
      <c r="B899" s="594">
        <v>-1.5599999999999999E-2</v>
      </c>
      <c r="C899" s="577">
        <v>6.7699999999999996E-2</v>
      </c>
      <c r="D899" s="577">
        <v>5.1999999999999998E-3</v>
      </c>
      <c r="E899" s="577">
        <v>6.3750000000000005E-3</v>
      </c>
      <c r="F899" s="577">
        <v>6.508333333333333E-3</v>
      </c>
      <c r="G899" s="577">
        <v>6.4416666666666667E-3</v>
      </c>
      <c r="H899" s="577">
        <v>6.8820000000000001E-3</v>
      </c>
      <c r="I899" s="577">
        <f t="shared" si="145"/>
        <v>-2.0799999999999999E-2</v>
      </c>
      <c r="J899" s="577">
        <f t="shared" si="149"/>
        <v>-2.2041666666666668E-2</v>
      </c>
      <c r="K899" s="577">
        <f t="shared" si="150"/>
        <v>6.0817999999999997E-2</v>
      </c>
      <c r="L899" s="585">
        <f t="shared" si="146"/>
        <v>8.9953696525261195E-2</v>
      </c>
      <c r="M899" s="585">
        <f t="shared" si="147"/>
        <v>6.2399999999999997E-2</v>
      </c>
      <c r="N899" s="585">
        <f t="shared" si="151"/>
        <v>7.7300000000000008E-2</v>
      </c>
      <c r="O899" s="586">
        <f t="shared" si="148"/>
        <v>2.7553696525261198E-2</v>
      </c>
      <c r="P899" s="585">
        <f t="shared" si="152"/>
        <v>1.2653696525261188E-2</v>
      </c>
      <c r="Q899" s="585">
        <f t="shared" si="153"/>
        <v>0.12159224474603048</v>
      </c>
      <c r="R899" s="585">
        <f t="shared" si="154"/>
        <v>8.2584000000000005E-2</v>
      </c>
      <c r="S899" s="586">
        <f t="shared" si="155"/>
        <v>3.9008244746030471E-2</v>
      </c>
      <c r="U899" s="587"/>
      <c r="V899" s="587"/>
      <c r="W899" s="587"/>
      <c r="X899" s="587"/>
      <c r="Y899" s="587"/>
      <c r="Z899" s="587"/>
      <c r="AA899" s="587"/>
      <c r="AB899" s="587"/>
      <c r="AC899" s="587"/>
      <c r="AE899" s="587"/>
      <c r="AF899" s="587"/>
      <c r="AG899" s="587"/>
      <c r="AH899" s="587"/>
      <c r="AI899" s="587"/>
      <c r="AJ899" s="587"/>
      <c r="AK899" s="587"/>
      <c r="AL899" s="587"/>
      <c r="AM899" s="587"/>
      <c r="AO899" s="587"/>
      <c r="AP899" s="587"/>
      <c r="AQ899" s="587"/>
      <c r="AR899" s="587"/>
      <c r="AS899" s="587"/>
      <c r="AT899" s="587"/>
      <c r="AU899" s="587"/>
      <c r="AV899" s="587"/>
      <c r="AW899" s="587"/>
    </row>
    <row r="900" spans="1:49">
      <c r="A900" s="581">
        <v>36739</v>
      </c>
      <c r="B900" s="594">
        <v>6.2100000000000002E-2</v>
      </c>
      <c r="C900" s="577">
        <v>0.13720000000000002</v>
      </c>
      <c r="D900" s="577">
        <v>5.0000000000000001E-3</v>
      </c>
      <c r="E900" s="577">
        <v>6.2916666666666668E-3</v>
      </c>
      <c r="F900" s="577">
        <v>6.4166666666666669E-3</v>
      </c>
      <c r="G900" s="577">
        <v>6.3541666666666677E-3</v>
      </c>
      <c r="H900" s="577">
        <v>6.7739166666666677E-3</v>
      </c>
      <c r="I900" s="577">
        <f t="shared" si="145"/>
        <v>5.7100000000000005E-2</v>
      </c>
      <c r="J900" s="577">
        <f t="shared" si="149"/>
        <v>5.5745833333333335E-2</v>
      </c>
      <c r="K900" s="577">
        <f t="shared" si="150"/>
        <v>0.13042608333333336</v>
      </c>
      <c r="L900" s="585">
        <f t="shared" si="146"/>
        <v>0.16334018800068306</v>
      </c>
      <c r="M900" s="585">
        <f t="shared" si="147"/>
        <v>0.06</v>
      </c>
      <c r="N900" s="585">
        <f t="shared" si="151"/>
        <v>7.6250000000000012E-2</v>
      </c>
      <c r="O900" s="586">
        <f t="shared" si="148"/>
        <v>0.10334018800068306</v>
      </c>
      <c r="P900" s="585">
        <f t="shared" si="152"/>
        <v>8.709018800068305E-2</v>
      </c>
      <c r="Q900" s="585">
        <f t="shared" si="153"/>
        <v>0.26072422726617117</v>
      </c>
      <c r="R900" s="585">
        <f t="shared" si="154"/>
        <v>8.1287000000000012E-2</v>
      </c>
      <c r="S900" s="586">
        <f t="shared" si="155"/>
        <v>0.17943722726617117</v>
      </c>
      <c r="U900" s="587"/>
      <c r="V900" s="587"/>
      <c r="W900" s="587"/>
      <c r="X900" s="587"/>
      <c r="Y900" s="587"/>
      <c r="Z900" s="587"/>
      <c r="AA900" s="587"/>
      <c r="AB900" s="587"/>
      <c r="AC900" s="587"/>
      <c r="AE900" s="587"/>
      <c r="AF900" s="587"/>
      <c r="AG900" s="587"/>
      <c r="AH900" s="587"/>
      <c r="AI900" s="587"/>
      <c r="AJ900" s="587"/>
      <c r="AK900" s="587"/>
      <c r="AL900" s="587"/>
      <c r="AM900" s="587"/>
      <c r="AO900" s="587"/>
      <c r="AP900" s="587"/>
      <c r="AQ900" s="587"/>
      <c r="AR900" s="587"/>
      <c r="AS900" s="587"/>
      <c r="AT900" s="587"/>
      <c r="AU900" s="587"/>
      <c r="AV900" s="587"/>
      <c r="AW900" s="587"/>
    </row>
    <row r="901" spans="1:49">
      <c r="A901" s="581">
        <v>36770</v>
      </c>
      <c r="B901" s="594">
        <v>-5.28E-2</v>
      </c>
      <c r="C901" s="577">
        <v>9.1499999999999998E-2</v>
      </c>
      <c r="D901" s="577">
        <v>4.5999999999999999E-3</v>
      </c>
      <c r="E901" s="577">
        <v>6.3499999999999997E-3</v>
      </c>
      <c r="F901" s="577">
        <v>6.5249999999999996E-3</v>
      </c>
      <c r="G901" s="577">
        <v>6.4375000000000005E-3</v>
      </c>
      <c r="H901" s="577">
        <v>6.8533333333333337E-3</v>
      </c>
      <c r="I901" s="577">
        <f t="shared" si="145"/>
        <v>-5.74E-2</v>
      </c>
      <c r="J901" s="577">
        <f t="shared" si="149"/>
        <v>-5.9237499999999998E-2</v>
      </c>
      <c r="K901" s="577">
        <f t="shared" si="150"/>
        <v>8.4646666666666662E-2</v>
      </c>
      <c r="L901" s="585">
        <f t="shared" si="146"/>
        <v>0.13295889993239474</v>
      </c>
      <c r="M901" s="585">
        <f t="shared" si="147"/>
        <v>5.5199999999999999E-2</v>
      </c>
      <c r="N901" s="585">
        <f t="shared" si="151"/>
        <v>7.7250000000000013E-2</v>
      </c>
      <c r="O901" s="586">
        <f t="shared" si="148"/>
        <v>7.7758899932394737E-2</v>
      </c>
      <c r="P901" s="585">
        <f t="shared" si="152"/>
        <v>5.5708899932394723E-2</v>
      </c>
      <c r="Q901" s="585">
        <f t="shared" si="153"/>
        <v>0.44546270384561582</v>
      </c>
      <c r="R901" s="585">
        <f t="shared" si="154"/>
        <v>8.2240000000000008E-2</v>
      </c>
      <c r="S901" s="586">
        <f t="shared" si="155"/>
        <v>0.36322270384561584</v>
      </c>
      <c r="U901" s="587"/>
      <c r="V901" s="587"/>
      <c r="W901" s="587"/>
      <c r="X901" s="587"/>
      <c r="Y901" s="587"/>
      <c r="Z901" s="587"/>
      <c r="AA901" s="587"/>
      <c r="AB901" s="587"/>
      <c r="AC901" s="587"/>
      <c r="AE901" s="587"/>
      <c r="AF901" s="587"/>
      <c r="AG901" s="587"/>
      <c r="AH901" s="587"/>
      <c r="AI901" s="587"/>
      <c r="AJ901" s="587"/>
      <c r="AK901" s="587"/>
      <c r="AL901" s="587"/>
      <c r="AM901" s="587"/>
      <c r="AO901" s="587"/>
      <c r="AP901" s="587"/>
      <c r="AQ901" s="587"/>
      <c r="AR901" s="587"/>
      <c r="AS901" s="587"/>
      <c r="AT901" s="587"/>
      <c r="AU901" s="587"/>
      <c r="AV901" s="587"/>
      <c r="AW901" s="587"/>
    </row>
    <row r="902" spans="1:49">
      <c r="A902" s="581">
        <v>36800</v>
      </c>
      <c r="B902" s="594">
        <v>-4.1999999999999997E-3</v>
      </c>
      <c r="C902" s="577">
        <v>-3.5699999999999996E-2</v>
      </c>
      <c r="D902" s="577">
        <v>5.3E-3</v>
      </c>
      <c r="E902" s="577">
        <v>6.2916666666666668E-3</v>
      </c>
      <c r="F902" s="577">
        <v>6.508333333333333E-3</v>
      </c>
      <c r="G902" s="577">
        <v>6.3999999999999994E-3</v>
      </c>
      <c r="H902" s="577">
        <v>6.7868333333333331E-3</v>
      </c>
      <c r="I902" s="577">
        <f t="shared" ref="I902:I965" si="156">B902-D902</f>
        <v>-9.4999999999999998E-3</v>
      </c>
      <c r="J902" s="577">
        <f t="shared" si="149"/>
        <v>-1.0599999999999998E-2</v>
      </c>
      <c r="K902" s="577">
        <f t="shared" si="150"/>
        <v>-4.2486833333333328E-2</v>
      </c>
      <c r="L902" s="585">
        <f t="shared" si="146"/>
        <v>6.1036840546109694E-2</v>
      </c>
      <c r="M902" s="585">
        <f t="shared" si="147"/>
        <v>6.3600000000000004E-2</v>
      </c>
      <c r="N902" s="585">
        <f t="shared" si="151"/>
        <v>7.6799999999999993E-2</v>
      </c>
      <c r="O902" s="586">
        <f t="shared" si="148"/>
        <v>-2.5631594538903096E-3</v>
      </c>
      <c r="P902" s="585">
        <f t="shared" si="152"/>
        <v>-1.5763159453890299E-2</v>
      </c>
      <c r="Q902" s="585">
        <f t="shared" si="153"/>
        <v>0.37231435002296598</v>
      </c>
      <c r="R902" s="585">
        <f t="shared" si="154"/>
        <v>8.1442000000000001E-2</v>
      </c>
      <c r="S902" s="586">
        <f t="shared" si="155"/>
        <v>0.29087235002296596</v>
      </c>
      <c r="U902" s="587"/>
      <c r="V902" s="587"/>
      <c r="W902" s="587"/>
      <c r="X902" s="587"/>
      <c r="Y902" s="587"/>
      <c r="Z902" s="587"/>
      <c r="AA902" s="587"/>
      <c r="AB902" s="587"/>
      <c r="AC902" s="587"/>
      <c r="AE902" s="587"/>
      <c r="AF902" s="587"/>
      <c r="AG902" s="587"/>
      <c r="AH902" s="587"/>
      <c r="AI902" s="587"/>
      <c r="AJ902" s="587"/>
      <c r="AK902" s="587"/>
      <c r="AL902" s="587"/>
      <c r="AM902" s="587"/>
      <c r="AO902" s="587"/>
      <c r="AP902" s="587"/>
      <c r="AQ902" s="587"/>
      <c r="AR902" s="587"/>
      <c r="AS902" s="587"/>
      <c r="AT902" s="587"/>
      <c r="AU902" s="587"/>
      <c r="AV902" s="587"/>
      <c r="AW902" s="587"/>
    </row>
    <row r="903" spans="1:49">
      <c r="A903" s="581">
        <v>36831</v>
      </c>
      <c r="B903" s="594">
        <v>-7.8799999999999995E-2</v>
      </c>
      <c r="C903" s="577">
        <v>-1.32E-2</v>
      </c>
      <c r="D903" s="577">
        <v>4.7999999999999996E-3</v>
      </c>
      <c r="E903" s="577">
        <v>6.2083333333333331E-3</v>
      </c>
      <c r="F903" s="577">
        <v>6.4583333333333333E-3</v>
      </c>
      <c r="G903" s="577">
        <v>6.3333333333333332E-3</v>
      </c>
      <c r="H903" s="577">
        <v>6.7716666666666654E-3</v>
      </c>
      <c r="I903" s="577">
        <f t="shared" si="156"/>
        <v>-8.3599999999999994E-2</v>
      </c>
      <c r="J903" s="577">
        <f t="shared" si="149"/>
        <v>-8.5133333333333325E-2</v>
      </c>
      <c r="K903" s="577">
        <f t="shared" si="150"/>
        <v>-1.9971666666666665E-2</v>
      </c>
      <c r="L903" s="585">
        <f t="shared" si="146"/>
        <v>-4.2019859344235244E-2</v>
      </c>
      <c r="M903" s="585">
        <f t="shared" si="147"/>
        <v>5.7599999999999998E-2</v>
      </c>
      <c r="N903" s="585">
        <f t="shared" si="151"/>
        <v>7.5999999999999998E-2</v>
      </c>
      <c r="O903" s="586">
        <f t="shared" si="148"/>
        <v>-9.9619859344235243E-2</v>
      </c>
      <c r="P903" s="585">
        <f t="shared" si="152"/>
        <v>-0.11801985934423524</v>
      </c>
      <c r="Q903" s="585">
        <f t="shared" si="153"/>
        <v>0.46764907402477873</v>
      </c>
      <c r="R903" s="585">
        <f t="shared" si="154"/>
        <v>8.1259999999999985E-2</v>
      </c>
      <c r="S903" s="586">
        <f t="shared" si="155"/>
        <v>0.38638907402477873</v>
      </c>
      <c r="U903" s="587"/>
      <c r="V903" s="587"/>
      <c r="W903" s="587"/>
      <c r="X903" s="587"/>
      <c r="Y903" s="587"/>
      <c r="Z903" s="587"/>
      <c r="AA903" s="587"/>
      <c r="AB903" s="587"/>
      <c r="AC903" s="587"/>
      <c r="AE903" s="587"/>
      <c r="AF903" s="587"/>
      <c r="AG903" s="587"/>
      <c r="AH903" s="587"/>
      <c r="AI903" s="587"/>
      <c r="AJ903" s="587"/>
      <c r="AK903" s="587"/>
      <c r="AL903" s="587"/>
      <c r="AM903" s="587"/>
      <c r="AO903" s="587"/>
      <c r="AP903" s="587"/>
      <c r="AQ903" s="587"/>
      <c r="AR903" s="587"/>
      <c r="AS903" s="587"/>
      <c r="AT903" s="587"/>
      <c r="AU903" s="587"/>
      <c r="AV903" s="587"/>
      <c r="AW903" s="587"/>
    </row>
    <row r="904" spans="1:49">
      <c r="A904" s="581">
        <v>36861</v>
      </c>
      <c r="B904" s="594">
        <v>4.8999999999999998E-3</v>
      </c>
      <c r="C904" s="577">
        <v>9.820000000000001E-2</v>
      </c>
      <c r="D904" s="577">
        <v>4.4999999999999997E-3</v>
      </c>
      <c r="E904" s="577">
        <v>6.0083333333333334E-3</v>
      </c>
      <c r="F904" s="577">
        <v>6.2333333333333338E-3</v>
      </c>
      <c r="G904" s="577">
        <v>6.1208333333333332E-3</v>
      </c>
      <c r="H904" s="577">
        <v>6.5465000000000002E-3</v>
      </c>
      <c r="I904" s="577">
        <f t="shared" si="156"/>
        <v>4.0000000000000018E-4</v>
      </c>
      <c r="J904" s="577">
        <f t="shared" si="149"/>
        <v>-1.2208333333333333E-3</v>
      </c>
      <c r="K904" s="577">
        <f t="shared" si="150"/>
        <v>9.1653500000000013E-2</v>
      </c>
      <c r="L904" s="585">
        <f t="shared" si="146"/>
        <v>-9.08733182123167E-2</v>
      </c>
      <c r="M904" s="585">
        <f t="shared" si="147"/>
        <v>5.3999999999999992E-2</v>
      </c>
      <c r="N904" s="585">
        <f t="shared" si="151"/>
        <v>7.3450000000000001E-2</v>
      </c>
      <c r="O904" s="586">
        <f t="shared" si="148"/>
        <v>-0.14487331821231669</v>
      </c>
      <c r="P904" s="585">
        <f t="shared" si="152"/>
        <v>-0.16432331821231672</v>
      </c>
      <c r="Q904" s="585">
        <f t="shared" si="153"/>
        <v>0.5969208491964848</v>
      </c>
      <c r="R904" s="585">
        <f t="shared" si="154"/>
        <v>7.8558000000000003E-2</v>
      </c>
      <c r="S904" s="586">
        <f t="shared" si="155"/>
        <v>0.51836284919648479</v>
      </c>
      <c r="U904" s="587"/>
      <c r="V904" s="587"/>
      <c r="W904" s="587"/>
      <c r="X904" s="587"/>
      <c r="Y904" s="587"/>
      <c r="Z904" s="587"/>
      <c r="AA904" s="587"/>
      <c r="AB904" s="587"/>
      <c r="AC904" s="587"/>
      <c r="AE904" s="587"/>
      <c r="AF904" s="587"/>
      <c r="AG904" s="587"/>
      <c r="AH904" s="587"/>
      <c r="AI904" s="587"/>
      <c r="AJ904" s="587"/>
      <c r="AK904" s="587"/>
      <c r="AL904" s="587"/>
      <c r="AM904" s="587"/>
      <c r="AO904" s="587"/>
      <c r="AP904" s="587"/>
      <c r="AQ904" s="587"/>
      <c r="AR904" s="587"/>
      <c r="AS904" s="587"/>
      <c r="AT904" s="587"/>
      <c r="AU904" s="587"/>
      <c r="AV904" s="587"/>
      <c r="AW904" s="587"/>
    </row>
    <row r="905" spans="1:49">
      <c r="A905" s="581">
        <v>36892</v>
      </c>
      <c r="B905" s="594">
        <v>3.5499999999999997E-2</v>
      </c>
      <c r="C905" s="577">
        <v>-9.6699999999999994E-2</v>
      </c>
      <c r="D905" s="577">
        <v>4.8999999999999998E-3</v>
      </c>
      <c r="E905" s="577">
        <v>5.9583333333333328E-3</v>
      </c>
      <c r="F905" s="577">
        <v>6.1500000000000001E-3</v>
      </c>
      <c r="G905" s="577">
        <v>6.0541666666666669E-3</v>
      </c>
      <c r="H905" s="577">
        <v>6.4988333333333339E-3</v>
      </c>
      <c r="I905" s="577">
        <f t="shared" si="156"/>
        <v>3.0599999999999995E-2</v>
      </c>
      <c r="J905" s="577">
        <f t="shared" si="149"/>
        <v>2.9445833333333331E-2</v>
      </c>
      <c r="K905" s="577">
        <f t="shared" si="150"/>
        <v>-0.10319883333333332</v>
      </c>
      <c r="L905" s="585">
        <f t="shared" si="146"/>
        <v>-8.8432522729566809E-3</v>
      </c>
      <c r="M905" s="585">
        <f t="shared" si="147"/>
        <v>5.8799999999999998E-2</v>
      </c>
      <c r="N905" s="585">
        <f t="shared" si="151"/>
        <v>7.2650000000000006E-2</v>
      </c>
      <c r="O905" s="586">
        <f t="shared" si="148"/>
        <v>-6.7643252272956672E-2</v>
      </c>
      <c r="P905" s="585">
        <f t="shared" si="152"/>
        <v>-8.1493252272956687E-2</v>
      </c>
      <c r="Q905" s="585">
        <f t="shared" si="153"/>
        <v>0.30130681378365787</v>
      </c>
      <c r="R905" s="585">
        <f t="shared" si="154"/>
        <v>7.7986E-2</v>
      </c>
      <c r="S905" s="586">
        <f t="shared" si="155"/>
        <v>0.22332081378365787</v>
      </c>
      <c r="U905" s="587"/>
      <c r="V905" s="587"/>
      <c r="W905" s="587"/>
      <c r="X905" s="587"/>
      <c r="Y905" s="587"/>
      <c r="Z905" s="587"/>
      <c r="AA905" s="587"/>
      <c r="AB905" s="587"/>
      <c r="AC905" s="587"/>
      <c r="AE905" s="587"/>
      <c r="AF905" s="587"/>
      <c r="AG905" s="587"/>
      <c r="AH905" s="587"/>
      <c r="AI905" s="587"/>
      <c r="AJ905" s="587"/>
      <c r="AK905" s="587"/>
      <c r="AL905" s="587"/>
      <c r="AM905" s="587"/>
      <c r="AO905" s="587"/>
      <c r="AP905" s="587"/>
      <c r="AQ905" s="587"/>
      <c r="AR905" s="587"/>
      <c r="AS905" s="587"/>
      <c r="AT905" s="587"/>
      <c r="AU905" s="587"/>
      <c r="AV905" s="587"/>
      <c r="AW905" s="587"/>
    </row>
    <row r="906" spans="1:49">
      <c r="A906" s="581">
        <v>36923</v>
      </c>
      <c r="B906" s="594">
        <v>-9.1200000000000003E-2</v>
      </c>
      <c r="C906" s="577">
        <v>3.5299999999999998E-2</v>
      </c>
      <c r="D906" s="577">
        <v>4.1999999999999997E-3</v>
      </c>
      <c r="E906" s="577">
        <v>5.9166666666666664E-3</v>
      </c>
      <c r="F906" s="577">
        <v>6.0999999999999995E-3</v>
      </c>
      <c r="G906" s="577">
        <v>6.0083333333333334E-3</v>
      </c>
      <c r="H906" s="577">
        <v>6.4490833333333327E-3</v>
      </c>
      <c r="I906" s="577">
        <f t="shared" si="156"/>
        <v>-9.5399999999999999E-2</v>
      </c>
      <c r="J906" s="577">
        <f t="shared" si="149"/>
        <v>-9.7208333333333341E-2</v>
      </c>
      <c r="K906" s="577">
        <f t="shared" si="150"/>
        <v>2.8850916666666664E-2</v>
      </c>
      <c r="L906" s="585">
        <f t="shared" si="146"/>
        <v>-8.1884362109533093E-2</v>
      </c>
      <c r="M906" s="585">
        <f t="shared" si="147"/>
        <v>5.04E-2</v>
      </c>
      <c r="N906" s="585">
        <f t="shared" si="151"/>
        <v>7.2099999999999997E-2</v>
      </c>
      <c r="O906" s="586">
        <f t="shared" si="148"/>
        <v>-0.13228436210953309</v>
      </c>
      <c r="P906" s="585">
        <f t="shared" si="152"/>
        <v>-0.15398436210953309</v>
      </c>
      <c r="Q906" s="585">
        <f t="shared" si="153"/>
        <v>0.42989062227788222</v>
      </c>
      <c r="R906" s="585">
        <f t="shared" si="154"/>
        <v>7.7388999999999986E-2</v>
      </c>
      <c r="S906" s="586">
        <f t="shared" si="155"/>
        <v>0.35250162227788223</v>
      </c>
      <c r="U906" s="587"/>
      <c r="V906" s="587"/>
      <c r="W906" s="587"/>
      <c r="X906" s="587"/>
      <c r="Y906" s="587"/>
      <c r="Z906" s="587"/>
      <c r="AA906" s="587"/>
      <c r="AB906" s="587"/>
      <c r="AC906" s="587"/>
      <c r="AE906" s="587"/>
      <c r="AF906" s="587"/>
      <c r="AG906" s="587"/>
      <c r="AH906" s="587"/>
      <c r="AI906" s="587"/>
      <c r="AJ906" s="587"/>
      <c r="AK906" s="587"/>
      <c r="AL906" s="587"/>
      <c r="AM906" s="587"/>
      <c r="AO906" s="587"/>
      <c r="AP906" s="587"/>
      <c r="AQ906" s="587"/>
      <c r="AR906" s="587"/>
      <c r="AS906" s="587"/>
      <c r="AT906" s="587"/>
      <c r="AU906" s="587"/>
      <c r="AV906" s="587"/>
      <c r="AW906" s="587"/>
    </row>
    <row r="907" spans="1:49">
      <c r="A907" s="581">
        <v>36951</v>
      </c>
      <c r="B907" s="594">
        <v>-6.3399999999999998E-2</v>
      </c>
      <c r="C907" s="577">
        <v>-6.3E-3</v>
      </c>
      <c r="D907" s="577">
        <v>4.4999999999999997E-3</v>
      </c>
      <c r="E907" s="577">
        <v>5.816666666666667E-3</v>
      </c>
      <c r="F907" s="577">
        <v>6.0166666666666667E-3</v>
      </c>
      <c r="G907" s="577">
        <v>5.9166666666666664E-3</v>
      </c>
      <c r="H907" s="577">
        <v>6.3935833333333336E-3</v>
      </c>
      <c r="I907" s="577">
        <f t="shared" si="156"/>
        <v>-6.7900000000000002E-2</v>
      </c>
      <c r="J907" s="577">
        <f t="shared" si="149"/>
        <v>-6.9316666666666665E-2</v>
      </c>
      <c r="K907" s="577">
        <f t="shared" si="150"/>
        <v>-1.2693583333333334E-2</v>
      </c>
      <c r="L907" s="585">
        <f t="shared" si="146"/>
        <v>-0.21669966619765779</v>
      </c>
      <c r="M907" s="585">
        <f t="shared" si="147"/>
        <v>5.3999999999999992E-2</v>
      </c>
      <c r="N907" s="585">
        <f t="shared" si="151"/>
        <v>7.0999999999999994E-2</v>
      </c>
      <c r="O907" s="586">
        <f t="shared" si="148"/>
        <v>-0.27069966619765778</v>
      </c>
      <c r="P907" s="585">
        <f t="shared" si="152"/>
        <v>-0.2876996661976578</v>
      </c>
      <c r="Q907" s="585">
        <f t="shared" si="153"/>
        <v>0.37296580477102292</v>
      </c>
      <c r="R907" s="585">
        <f t="shared" si="154"/>
        <v>7.6723E-2</v>
      </c>
      <c r="S907" s="586">
        <f t="shared" si="155"/>
        <v>0.29624280477102294</v>
      </c>
      <c r="U907" s="587"/>
      <c r="V907" s="587"/>
      <c r="W907" s="587"/>
      <c r="X907" s="587"/>
      <c r="Y907" s="587"/>
      <c r="Z907" s="587"/>
      <c r="AA907" s="587"/>
      <c r="AB907" s="587"/>
      <c r="AC907" s="587"/>
      <c r="AE907" s="587"/>
      <c r="AF907" s="587"/>
      <c r="AG907" s="587"/>
      <c r="AH907" s="587"/>
      <c r="AI907" s="587"/>
      <c r="AJ907" s="587"/>
      <c r="AK907" s="587"/>
      <c r="AL907" s="587"/>
      <c r="AM907" s="587"/>
      <c r="AO907" s="587"/>
      <c r="AP907" s="587"/>
      <c r="AQ907" s="587"/>
      <c r="AR907" s="587"/>
      <c r="AS907" s="587"/>
      <c r="AT907" s="587"/>
      <c r="AU907" s="587"/>
      <c r="AV907" s="587"/>
      <c r="AW907" s="587"/>
    </row>
    <row r="908" spans="1:49">
      <c r="A908" s="581">
        <v>36982</v>
      </c>
      <c r="B908" s="594">
        <v>7.7700000000000005E-2</v>
      </c>
      <c r="C908" s="577">
        <v>6.0499999999999998E-2</v>
      </c>
      <c r="D908" s="577">
        <v>4.7000000000000002E-3</v>
      </c>
      <c r="E908" s="577">
        <v>6.0000000000000001E-3</v>
      </c>
      <c r="F908" s="577">
        <v>6.1916666666666665E-3</v>
      </c>
      <c r="G908" s="577">
        <v>6.0958333333333333E-3</v>
      </c>
      <c r="H908" s="577">
        <v>6.6033333333333335E-3</v>
      </c>
      <c r="I908" s="577">
        <f t="shared" si="156"/>
        <v>7.3000000000000009E-2</v>
      </c>
      <c r="J908" s="577">
        <f t="shared" si="149"/>
        <v>7.1604166666666677E-2</v>
      </c>
      <c r="K908" s="577">
        <f t="shared" si="150"/>
        <v>5.3896666666666662E-2</v>
      </c>
      <c r="L908" s="585">
        <f t="shared" si="146"/>
        <v>-0.12963937546264104</v>
      </c>
      <c r="M908" s="585">
        <f t="shared" si="147"/>
        <v>5.6400000000000006E-2</v>
      </c>
      <c r="N908" s="585">
        <f t="shared" si="151"/>
        <v>7.3149999999999993E-2</v>
      </c>
      <c r="O908" s="586">
        <f t="shared" si="148"/>
        <v>-0.18603937546264104</v>
      </c>
      <c r="P908" s="585">
        <f t="shared" si="152"/>
        <v>-0.20278937546264103</v>
      </c>
      <c r="Q908" s="585">
        <f t="shared" si="153"/>
        <v>0.34892554748904003</v>
      </c>
      <c r="R908" s="585">
        <f t="shared" si="154"/>
        <v>7.9240000000000005E-2</v>
      </c>
      <c r="S908" s="586">
        <f t="shared" si="155"/>
        <v>0.26968554748904006</v>
      </c>
      <c r="U908" s="587"/>
      <c r="V908" s="587"/>
      <c r="W908" s="587"/>
      <c r="X908" s="587"/>
      <c r="Y908" s="587"/>
      <c r="Z908" s="587"/>
      <c r="AA908" s="587"/>
      <c r="AB908" s="587"/>
      <c r="AC908" s="587"/>
      <c r="AE908" s="587"/>
      <c r="AF908" s="587"/>
      <c r="AG908" s="587"/>
      <c r="AH908" s="587"/>
      <c r="AI908" s="587"/>
      <c r="AJ908" s="587"/>
      <c r="AK908" s="587"/>
      <c r="AL908" s="587"/>
      <c r="AM908" s="587"/>
      <c r="AO908" s="587"/>
      <c r="AP908" s="587"/>
      <c r="AQ908" s="587"/>
      <c r="AR908" s="587"/>
      <c r="AS908" s="587"/>
      <c r="AT908" s="587"/>
      <c r="AU908" s="587"/>
      <c r="AV908" s="587"/>
      <c r="AW908" s="587"/>
    </row>
    <row r="909" spans="1:49">
      <c r="A909" s="581">
        <v>37012</v>
      </c>
      <c r="B909" s="594">
        <v>6.7000000000000002E-3</v>
      </c>
      <c r="C909" s="577">
        <v>-3.4300000000000004E-2</v>
      </c>
      <c r="D909" s="577">
        <v>5.0000000000000001E-3</v>
      </c>
      <c r="E909" s="577">
        <v>6.0750000000000005E-3</v>
      </c>
      <c r="F909" s="577">
        <v>6.2500000000000003E-3</v>
      </c>
      <c r="G909" s="577">
        <v>6.1624999999999996E-3</v>
      </c>
      <c r="H909" s="577">
        <v>6.6629166666666659E-3</v>
      </c>
      <c r="I909" s="577">
        <f t="shared" si="156"/>
        <v>1.7000000000000001E-3</v>
      </c>
      <c r="J909" s="577">
        <f t="shared" si="149"/>
        <v>5.3750000000000065E-4</v>
      </c>
      <c r="K909" s="577">
        <f t="shared" si="150"/>
        <v>-4.0962916666666668E-2</v>
      </c>
      <c r="L909" s="585">
        <f t="shared" si="146"/>
        <v>-0.10547009625139425</v>
      </c>
      <c r="M909" s="585">
        <f t="shared" si="147"/>
        <v>0.06</v>
      </c>
      <c r="N909" s="585">
        <f t="shared" si="151"/>
        <v>7.3949999999999988E-2</v>
      </c>
      <c r="O909" s="586">
        <f t="shared" si="148"/>
        <v>-0.16547009625139425</v>
      </c>
      <c r="P909" s="585">
        <f t="shared" si="152"/>
        <v>-0.17942009625139424</v>
      </c>
      <c r="Q909" s="585">
        <f t="shared" si="153"/>
        <v>0.24228247302132999</v>
      </c>
      <c r="R909" s="585">
        <f t="shared" si="154"/>
        <v>7.9954999999999998E-2</v>
      </c>
      <c r="S909" s="586">
        <f t="shared" si="155"/>
        <v>0.16232747302132999</v>
      </c>
      <c r="U909" s="587"/>
      <c r="V909" s="587"/>
      <c r="W909" s="587"/>
      <c r="X909" s="587"/>
      <c r="Y909" s="587"/>
      <c r="Z909" s="587"/>
      <c r="AA909" s="587"/>
      <c r="AB909" s="587"/>
      <c r="AC909" s="587"/>
      <c r="AE909" s="587"/>
      <c r="AF909" s="587"/>
      <c r="AG909" s="587"/>
      <c r="AH909" s="587"/>
      <c r="AI909" s="587"/>
      <c r="AJ909" s="587"/>
      <c r="AK909" s="587"/>
      <c r="AL909" s="587"/>
      <c r="AM909" s="587"/>
      <c r="AO909" s="587"/>
      <c r="AP909" s="587"/>
      <c r="AQ909" s="587"/>
      <c r="AR909" s="587"/>
      <c r="AS909" s="587"/>
      <c r="AT909" s="587"/>
      <c r="AU909" s="587"/>
      <c r="AV909" s="587"/>
      <c r="AW909" s="587"/>
    </row>
    <row r="910" spans="1:49">
      <c r="A910" s="581">
        <v>37043</v>
      </c>
      <c r="B910" s="594">
        <v>-2.4299999999999999E-2</v>
      </c>
      <c r="C910" s="577">
        <v>-7.9100000000000004E-2</v>
      </c>
      <c r="D910" s="577">
        <v>4.7000000000000002E-3</v>
      </c>
      <c r="E910" s="577">
        <v>5.9833333333333327E-3</v>
      </c>
      <c r="F910" s="577">
        <v>6.116666666666667E-3</v>
      </c>
      <c r="G910" s="577">
        <v>6.0499999999999998E-3</v>
      </c>
      <c r="H910" s="577">
        <v>6.5459999999999997E-3</v>
      </c>
      <c r="I910" s="577">
        <f t="shared" si="156"/>
        <v>-2.8999999999999998E-2</v>
      </c>
      <c r="J910" s="577">
        <f t="shared" si="149"/>
        <v>-3.0349999999999999E-2</v>
      </c>
      <c r="K910" s="577">
        <f t="shared" si="150"/>
        <v>-8.5646E-2</v>
      </c>
      <c r="L910" s="585">
        <f t="shared" si="146"/>
        <v>-0.14824550884403775</v>
      </c>
      <c r="M910" s="585">
        <f t="shared" si="147"/>
        <v>5.6400000000000006E-2</v>
      </c>
      <c r="N910" s="585">
        <f t="shared" si="151"/>
        <v>7.2599999999999998E-2</v>
      </c>
      <c r="O910" s="586">
        <f t="shared" si="148"/>
        <v>-0.20464550884403776</v>
      </c>
      <c r="P910" s="585">
        <f t="shared" si="152"/>
        <v>-0.22084550884403775</v>
      </c>
      <c r="Q910" s="585">
        <f t="shared" si="153"/>
        <v>0.21381212669001859</v>
      </c>
      <c r="R910" s="585">
        <f t="shared" si="154"/>
        <v>7.8551999999999997E-2</v>
      </c>
      <c r="S910" s="586">
        <f t="shared" si="155"/>
        <v>0.13526012669001858</v>
      </c>
      <c r="U910" s="587"/>
      <c r="V910" s="587"/>
      <c r="W910" s="587"/>
      <c r="X910" s="587"/>
      <c r="Y910" s="587"/>
      <c r="Z910" s="587"/>
      <c r="AA910" s="587"/>
      <c r="AB910" s="587"/>
      <c r="AC910" s="587"/>
      <c r="AE910" s="587"/>
      <c r="AF910" s="587"/>
      <c r="AG910" s="587"/>
      <c r="AH910" s="587"/>
      <c r="AI910" s="587"/>
      <c r="AJ910" s="587"/>
      <c r="AK910" s="587"/>
      <c r="AL910" s="587"/>
      <c r="AM910" s="587"/>
      <c r="AO910" s="587"/>
      <c r="AP910" s="587"/>
      <c r="AQ910" s="587"/>
      <c r="AR910" s="587"/>
      <c r="AS910" s="587"/>
      <c r="AT910" s="587"/>
      <c r="AU910" s="587"/>
      <c r="AV910" s="587"/>
      <c r="AW910" s="587"/>
    </row>
    <row r="911" spans="1:49">
      <c r="A911" s="581">
        <v>37073</v>
      </c>
      <c r="B911" s="594">
        <v>-9.7999999999999997E-3</v>
      </c>
      <c r="C911" s="577">
        <v>-4.4799999999999993E-2</v>
      </c>
      <c r="D911" s="577">
        <v>5.1999999999999998E-3</v>
      </c>
      <c r="E911" s="577">
        <v>5.9416666666666663E-3</v>
      </c>
      <c r="F911" s="577">
        <v>6.0583333333333331E-3</v>
      </c>
      <c r="G911" s="577">
        <v>6.0000000000000001E-3</v>
      </c>
      <c r="H911" s="577">
        <v>6.4940833333333335E-3</v>
      </c>
      <c r="I911" s="577">
        <f t="shared" si="156"/>
        <v>-1.4999999999999999E-2</v>
      </c>
      <c r="J911" s="577">
        <f t="shared" si="149"/>
        <v>-1.5800000000000002E-2</v>
      </c>
      <c r="K911" s="577">
        <f t="shared" si="150"/>
        <v>-5.1294083333333323E-2</v>
      </c>
      <c r="L911" s="585">
        <f t="shared" si="146"/>
        <v>-0.1432270447555527</v>
      </c>
      <c r="M911" s="585">
        <f t="shared" si="147"/>
        <v>6.2399999999999997E-2</v>
      </c>
      <c r="N911" s="585">
        <f t="shared" si="151"/>
        <v>7.2000000000000008E-2</v>
      </c>
      <c r="O911" s="586">
        <f t="shared" si="148"/>
        <v>-0.20562704475555271</v>
      </c>
      <c r="P911" s="585">
        <f t="shared" si="152"/>
        <v>-0.21522704475555271</v>
      </c>
      <c r="Q911" s="585">
        <f t="shared" si="153"/>
        <v>8.5916777572637937E-2</v>
      </c>
      <c r="R911" s="585">
        <f t="shared" si="154"/>
        <v>7.7928999999999998E-2</v>
      </c>
      <c r="S911" s="586">
        <f t="shared" si="155"/>
        <v>7.9877775726379385E-3</v>
      </c>
      <c r="U911" s="587"/>
      <c r="V911" s="587"/>
      <c r="W911" s="587"/>
      <c r="X911" s="587"/>
      <c r="Y911" s="587"/>
      <c r="Z911" s="587"/>
      <c r="AA911" s="587"/>
      <c r="AB911" s="587"/>
      <c r="AC911" s="587"/>
      <c r="AE911" s="587"/>
      <c r="AF911" s="587"/>
      <c r="AG911" s="587"/>
      <c r="AH911" s="587"/>
      <c r="AI911" s="587"/>
      <c r="AJ911" s="587"/>
      <c r="AK911" s="587"/>
      <c r="AL911" s="587"/>
      <c r="AM911" s="587"/>
      <c r="AO911" s="587"/>
      <c r="AP911" s="587"/>
      <c r="AQ911" s="587"/>
      <c r="AR911" s="587"/>
      <c r="AS911" s="587"/>
      <c r="AT911" s="587"/>
      <c r="AU911" s="587"/>
      <c r="AV911" s="587"/>
      <c r="AW911" s="587"/>
    </row>
    <row r="912" spans="1:49">
      <c r="A912" s="581">
        <v>37104</v>
      </c>
      <c r="B912" s="594">
        <v>-6.2600000000000003E-2</v>
      </c>
      <c r="C912" s="577">
        <v>-2.9000000000000005E-2</v>
      </c>
      <c r="D912" s="577">
        <v>4.5999999999999999E-3</v>
      </c>
      <c r="E912" s="577">
        <v>6.0000000000000001E-3</v>
      </c>
      <c r="F912" s="577">
        <v>5.9250000000000006E-3</v>
      </c>
      <c r="G912" s="577">
        <v>5.9624999999999991E-3</v>
      </c>
      <c r="H912" s="577">
        <v>6.3285833333333328E-3</v>
      </c>
      <c r="I912" s="577">
        <f t="shared" si="156"/>
        <v>-6.720000000000001E-2</v>
      </c>
      <c r="J912" s="577">
        <f t="shared" si="149"/>
        <v>-6.8562499999999998E-2</v>
      </c>
      <c r="K912" s="577">
        <f t="shared" si="150"/>
        <v>-3.5328583333333337E-2</v>
      </c>
      <c r="L912" s="585">
        <f t="shared" ref="L912:L975" si="157">((1+B901)*(1+B902)*(1+B903)*(1+B904)*(1+B905)*(1+B906)*(1+B907)*(1+B908)*(1+B909)*(1+B910)*(1+B911)*(1+B912))-1</f>
        <v>-0.24381982087737064</v>
      </c>
      <c r="M912" s="585">
        <f t="shared" ref="M912:M975" si="158">D912*12</f>
        <v>5.5199999999999999E-2</v>
      </c>
      <c r="N912" s="585">
        <f t="shared" si="151"/>
        <v>7.1549999999999989E-2</v>
      </c>
      <c r="O912" s="586">
        <f t="shared" ref="O912:O975" si="159">L912-M912</f>
        <v>-0.29901982087737067</v>
      </c>
      <c r="P912" s="585">
        <f t="shared" si="152"/>
        <v>-0.31536982087737064</v>
      </c>
      <c r="Q912" s="585">
        <f t="shared" si="153"/>
        <v>-7.2788259740563466E-2</v>
      </c>
      <c r="R912" s="585">
        <f t="shared" si="154"/>
        <v>7.5942999999999997E-2</v>
      </c>
      <c r="S912" s="586">
        <f t="shared" si="155"/>
        <v>-0.14873125974056345</v>
      </c>
      <c r="U912" s="587"/>
      <c r="V912" s="587"/>
      <c r="W912" s="587"/>
      <c r="X912" s="587"/>
      <c r="Y912" s="587"/>
      <c r="Z912" s="587"/>
      <c r="AA912" s="587"/>
      <c r="AB912" s="587"/>
      <c r="AC912" s="587"/>
      <c r="AE912" s="587"/>
      <c r="AF912" s="587"/>
      <c r="AG912" s="587"/>
      <c r="AH912" s="587"/>
      <c r="AI912" s="587"/>
      <c r="AJ912" s="587"/>
      <c r="AK912" s="587"/>
      <c r="AL912" s="587"/>
      <c r="AM912" s="587"/>
      <c r="AO912" s="587"/>
      <c r="AP912" s="587"/>
      <c r="AQ912" s="587"/>
      <c r="AR912" s="587"/>
      <c r="AS912" s="587"/>
      <c r="AT912" s="587"/>
      <c r="AU912" s="587"/>
      <c r="AV912" s="587"/>
      <c r="AW912" s="587"/>
    </row>
    <row r="913" spans="1:49">
      <c r="A913" s="581">
        <v>37135</v>
      </c>
      <c r="B913" s="594">
        <v>-8.0799999999999997E-2</v>
      </c>
      <c r="C913" s="577">
        <v>-0.1152</v>
      </c>
      <c r="D913" s="577">
        <v>4.1000000000000003E-3</v>
      </c>
      <c r="E913" s="577">
        <v>5.9750000000000003E-3</v>
      </c>
      <c r="F913" s="577">
        <v>6.0583333333333331E-3</v>
      </c>
      <c r="G913" s="577">
        <v>6.0166666666666667E-3</v>
      </c>
      <c r="H913" s="577">
        <v>6.4227500000000005E-3</v>
      </c>
      <c r="I913" s="577">
        <f t="shared" si="156"/>
        <v>-8.4900000000000003E-2</v>
      </c>
      <c r="J913" s="577">
        <f t="shared" si="149"/>
        <v>-8.6816666666666667E-2</v>
      </c>
      <c r="K913" s="577">
        <f t="shared" si="150"/>
        <v>-0.12162275</v>
      </c>
      <c r="L913" s="585">
        <f t="shared" si="157"/>
        <v>-0.26617312009129956</v>
      </c>
      <c r="M913" s="585">
        <f t="shared" si="158"/>
        <v>4.9200000000000008E-2</v>
      </c>
      <c r="N913" s="585">
        <f t="shared" si="151"/>
        <v>7.22E-2</v>
      </c>
      <c r="O913" s="586">
        <f t="shared" si="159"/>
        <v>-0.31537312009129959</v>
      </c>
      <c r="P913" s="585">
        <f t="shared" si="152"/>
        <v>-0.33837312009129955</v>
      </c>
      <c r="Q913" s="585">
        <f t="shared" si="153"/>
        <v>-0.24837659387856181</v>
      </c>
      <c r="R913" s="585">
        <f t="shared" si="154"/>
        <v>7.7073000000000003E-2</v>
      </c>
      <c r="S913" s="586">
        <f t="shared" si="155"/>
        <v>-0.32544959387856182</v>
      </c>
      <c r="U913" s="587"/>
      <c r="V913" s="587"/>
      <c r="W913" s="587"/>
      <c r="X913" s="587"/>
      <c r="Y913" s="587"/>
      <c r="Z913" s="587"/>
      <c r="AA913" s="587"/>
      <c r="AB913" s="587"/>
      <c r="AC913" s="587"/>
      <c r="AE913" s="587"/>
      <c r="AF913" s="587"/>
      <c r="AG913" s="587"/>
      <c r="AH913" s="587"/>
      <c r="AI913" s="587"/>
      <c r="AJ913" s="587"/>
      <c r="AK913" s="587"/>
      <c r="AL913" s="587"/>
      <c r="AM913" s="587"/>
      <c r="AO913" s="587"/>
      <c r="AP913" s="587"/>
      <c r="AQ913" s="587"/>
      <c r="AR913" s="587"/>
      <c r="AS913" s="587"/>
      <c r="AT913" s="587"/>
      <c r="AU913" s="587"/>
      <c r="AV913" s="587"/>
      <c r="AW913" s="587"/>
    </row>
    <row r="914" spans="1:49">
      <c r="A914" s="581">
        <v>37165</v>
      </c>
      <c r="B914" s="594">
        <v>1.9099999999999999E-2</v>
      </c>
      <c r="C914" s="577">
        <v>-1.7000000000000001E-3</v>
      </c>
      <c r="D914" s="577">
        <v>4.7999999999999996E-3</v>
      </c>
      <c r="E914" s="577">
        <v>5.8583333333333334E-3</v>
      </c>
      <c r="F914" s="577">
        <v>5.9416666666666663E-3</v>
      </c>
      <c r="G914" s="577">
        <v>5.8999999999999999E-3</v>
      </c>
      <c r="H914" s="577">
        <v>6.3725833333333334E-3</v>
      </c>
      <c r="I914" s="577">
        <f t="shared" si="156"/>
        <v>1.43E-2</v>
      </c>
      <c r="J914" s="577">
        <f t="shared" si="149"/>
        <v>1.32E-2</v>
      </c>
      <c r="K914" s="577">
        <f t="shared" si="150"/>
        <v>-8.0725833333333344E-3</v>
      </c>
      <c r="L914" s="585">
        <f t="shared" si="157"/>
        <v>-0.24900283860719374</v>
      </c>
      <c r="M914" s="585">
        <f t="shared" si="158"/>
        <v>5.7599999999999998E-2</v>
      </c>
      <c r="N914" s="585">
        <f t="shared" si="151"/>
        <v>7.0800000000000002E-2</v>
      </c>
      <c r="O914" s="586">
        <f t="shared" si="159"/>
        <v>-0.30660283860719373</v>
      </c>
      <c r="P914" s="585">
        <f t="shared" si="152"/>
        <v>-0.31980283860719372</v>
      </c>
      <c r="Q914" s="585">
        <f t="shared" si="153"/>
        <v>-0.22187530194853111</v>
      </c>
      <c r="R914" s="585">
        <f t="shared" si="154"/>
        <v>7.6470999999999997E-2</v>
      </c>
      <c r="S914" s="586">
        <f t="shared" si="155"/>
        <v>-0.29834630194853112</v>
      </c>
      <c r="U914" s="587"/>
      <c r="V914" s="587"/>
      <c r="W914" s="587"/>
      <c r="X914" s="587"/>
      <c r="Y914" s="587"/>
      <c r="Z914" s="587"/>
      <c r="AA914" s="587"/>
      <c r="AB914" s="587"/>
      <c r="AC914" s="587"/>
      <c r="AE914" s="587"/>
      <c r="AF914" s="587"/>
      <c r="AG914" s="587"/>
      <c r="AH914" s="587"/>
      <c r="AI914" s="587"/>
      <c r="AJ914" s="587"/>
      <c r="AK914" s="587"/>
      <c r="AL914" s="587"/>
      <c r="AM914" s="587"/>
      <c r="AO914" s="587"/>
      <c r="AP914" s="587"/>
      <c r="AQ914" s="587"/>
      <c r="AR914" s="587"/>
      <c r="AS914" s="587"/>
      <c r="AT914" s="587"/>
      <c r="AU914" s="587"/>
      <c r="AV914" s="587"/>
      <c r="AW914" s="587"/>
    </row>
    <row r="915" spans="1:49">
      <c r="A915" s="581">
        <v>37196</v>
      </c>
      <c r="B915" s="594">
        <v>7.6700000000000004E-2</v>
      </c>
      <c r="C915" s="577">
        <v>-5.5199999999999999E-2</v>
      </c>
      <c r="D915" s="577">
        <v>4.1000000000000003E-3</v>
      </c>
      <c r="E915" s="577">
        <v>5.8083333333333329E-3</v>
      </c>
      <c r="F915" s="577">
        <v>5.841666666666666E-3</v>
      </c>
      <c r="G915" s="577">
        <v>5.8250000000000003E-3</v>
      </c>
      <c r="H915" s="577">
        <v>6.2872499999999994E-3</v>
      </c>
      <c r="I915" s="577">
        <f t="shared" si="156"/>
        <v>7.2599999999999998E-2</v>
      </c>
      <c r="J915" s="577">
        <f t="shared" si="149"/>
        <v>7.0875000000000007E-2</v>
      </c>
      <c r="K915" s="577">
        <f t="shared" si="150"/>
        <v>-6.148725E-2</v>
      </c>
      <c r="L915" s="585">
        <f t="shared" si="157"/>
        <v>-0.12223334382149964</v>
      </c>
      <c r="M915" s="585">
        <f t="shared" si="158"/>
        <v>4.9200000000000008E-2</v>
      </c>
      <c r="N915" s="585">
        <f t="shared" si="151"/>
        <v>6.9900000000000004E-2</v>
      </c>
      <c r="O915" s="586">
        <f t="shared" si="159"/>
        <v>-0.17143334382149966</v>
      </c>
      <c r="P915" s="585">
        <f t="shared" si="152"/>
        <v>-0.19213334382149966</v>
      </c>
      <c r="Q915" s="585">
        <f t="shared" si="153"/>
        <v>-0.25499370214934347</v>
      </c>
      <c r="R915" s="585">
        <f t="shared" si="154"/>
        <v>7.5446999999999986E-2</v>
      </c>
      <c r="S915" s="586">
        <f t="shared" si="155"/>
        <v>-0.33044070214934346</v>
      </c>
      <c r="U915" s="587"/>
      <c r="V915" s="587"/>
      <c r="W915" s="587"/>
      <c r="X915" s="587"/>
      <c r="Y915" s="587"/>
      <c r="Z915" s="587"/>
      <c r="AA915" s="587"/>
      <c r="AB915" s="587"/>
      <c r="AC915" s="587"/>
      <c r="AE915" s="587"/>
      <c r="AF915" s="587"/>
      <c r="AG915" s="587"/>
      <c r="AH915" s="587"/>
      <c r="AI915" s="587"/>
      <c r="AJ915" s="587"/>
      <c r="AK915" s="587"/>
      <c r="AL915" s="587"/>
      <c r="AM915" s="587"/>
      <c r="AO915" s="587"/>
      <c r="AP915" s="587"/>
      <c r="AQ915" s="587"/>
      <c r="AR915" s="587"/>
      <c r="AS915" s="587"/>
      <c r="AT915" s="587"/>
      <c r="AU915" s="587"/>
      <c r="AV915" s="587"/>
      <c r="AW915" s="587"/>
    </row>
    <row r="916" spans="1:49">
      <c r="A916" s="581">
        <v>37226</v>
      </c>
      <c r="B916" s="594">
        <v>8.8000000000000005E-3</v>
      </c>
      <c r="C916" s="577">
        <v>2.6000000000000002E-2</v>
      </c>
      <c r="D916" s="577">
        <v>4.5999999999999999E-3</v>
      </c>
      <c r="E916" s="577">
        <v>5.6333333333333339E-3</v>
      </c>
      <c r="F916" s="577">
        <v>5.9916666666666677E-3</v>
      </c>
      <c r="G916" s="577">
        <v>5.8125000000000008E-3</v>
      </c>
      <c r="H916" s="577">
        <v>6.5259166666666668E-3</v>
      </c>
      <c r="I916" s="577">
        <f t="shared" si="156"/>
        <v>4.2000000000000006E-3</v>
      </c>
      <c r="J916" s="577">
        <f t="shared" si="149"/>
        <v>2.9874999999999997E-3</v>
      </c>
      <c r="K916" s="577">
        <f t="shared" si="150"/>
        <v>1.9474083333333336E-2</v>
      </c>
      <c r="L916" s="585">
        <f t="shared" si="157"/>
        <v>-0.11882674619079403</v>
      </c>
      <c r="M916" s="585">
        <f t="shared" si="158"/>
        <v>5.5199999999999999E-2</v>
      </c>
      <c r="N916" s="585">
        <f t="shared" si="151"/>
        <v>6.9750000000000006E-2</v>
      </c>
      <c r="O916" s="586">
        <f t="shared" si="159"/>
        <v>-0.17402674619079403</v>
      </c>
      <c r="P916" s="585">
        <f t="shared" si="152"/>
        <v>-0.18857674619079404</v>
      </c>
      <c r="Q916" s="585">
        <f t="shared" si="153"/>
        <v>-0.3039733549492134</v>
      </c>
      <c r="R916" s="585">
        <f t="shared" si="154"/>
        <v>7.8311000000000006E-2</v>
      </c>
      <c r="S916" s="586">
        <f t="shared" si="155"/>
        <v>-0.38228435494921342</v>
      </c>
      <c r="U916" s="587"/>
      <c r="V916" s="587"/>
      <c r="W916" s="587"/>
      <c r="X916" s="587"/>
      <c r="Y916" s="587"/>
      <c r="Z916" s="587"/>
      <c r="AA916" s="587"/>
      <c r="AB916" s="587"/>
      <c r="AC916" s="587"/>
      <c r="AE916" s="587"/>
      <c r="AF916" s="587"/>
      <c r="AG916" s="587"/>
      <c r="AH916" s="587"/>
      <c r="AI916" s="587"/>
      <c r="AJ916" s="587"/>
      <c r="AK916" s="587"/>
      <c r="AL916" s="587"/>
      <c r="AM916" s="587"/>
      <c r="AO916" s="587"/>
      <c r="AP916" s="587"/>
      <c r="AQ916" s="587"/>
      <c r="AR916" s="587"/>
      <c r="AS916" s="587"/>
      <c r="AT916" s="587"/>
      <c r="AU916" s="587"/>
      <c r="AV916" s="587"/>
      <c r="AW916" s="587"/>
    </row>
    <row r="917" spans="1:49">
      <c r="A917" s="581">
        <v>37257</v>
      </c>
      <c r="B917" s="594">
        <v>-1.46E-2</v>
      </c>
      <c r="C917" s="577">
        <v>-5.6499999999999995E-2</v>
      </c>
      <c r="D917" s="577">
        <v>4.7999999999999996E-3</v>
      </c>
      <c r="E917" s="577">
        <v>5.4583333333333324E-3</v>
      </c>
      <c r="F917" s="577">
        <v>5.8583333333333334E-3</v>
      </c>
      <c r="G917" s="577">
        <v>5.6583333333333329E-3</v>
      </c>
      <c r="H917" s="577">
        <v>6.3869166666666666E-3</v>
      </c>
      <c r="I917" s="577">
        <f t="shared" si="156"/>
        <v>-1.9400000000000001E-2</v>
      </c>
      <c r="J917" s="577">
        <f t="shared" si="149"/>
        <v>-2.0258333333333333E-2</v>
      </c>
      <c r="K917" s="577">
        <f t="shared" si="150"/>
        <v>-6.2886916666666667E-2</v>
      </c>
      <c r="L917" s="585">
        <f t="shared" si="157"/>
        <v>-0.16146004412980031</v>
      </c>
      <c r="M917" s="585">
        <f t="shared" si="158"/>
        <v>5.7599999999999998E-2</v>
      </c>
      <c r="N917" s="585">
        <f t="shared" si="151"/>
        <v>6.7899999999999988E-2</v>
      </c>
      <c r="O917" s="586">
        <f t="shared" si="159"/>
        <v>-0.21906004412980029</v>
      </c>
      <c r="P917" s="585">
        <f t="shared" si="152"/>
        <v>-0.22936004412980029</v>
      </c>
      <c r="Q917" s="585">
        <f t="shared" si="153"/>
        <v>-0.27299774205090566</v>
      </c>
      <c r="R917" s="585">
        <f t="shared" si="154"/>
        <v>7.6643000000000003E-2</v>
      </c>
      <c r="S917" s="586">
        <f t="shared" si="155"/>
        <v>-0.34964074205090567</v>
      </c>
      <c r="U917" s="587"/>
      <c r="V917" s="587"/>
      <c r="W917" s="587"/>
      <c r="X917" s="587"/>
      <c r="Y917" s="587"/>
      <c r="Z917" s="587"/>
      <c r="AA917" s="587"/>
      <c r="AB917" s="587"/>
      <c r="AC917" s="587"/>
      <c r="AE917" s="587"/>
      <c r="AF917" s="587"/>
      <c r="AG917" s="587"/>
      <c r="AH917" s="587"/>
      <c r="AI917" s="587"/>
      <c r="AJ917" s="587"/>
      <c r="AK917" s="587"/>
      <c r="AL917" s="587"/>
      <c r="AM917" s="587"/>
      <c r="AO917" s="587"/>
      <c r="AP917" s="587"/>
      <c r="AQ917" s="587"/>
      <c r="AR917" s="587"/>
      <c r="AS917" s="587"/>
      <c r="AT917" s="587"/>
      <c r="AU917" s="587"/>
      <c r="AV917" s="587"/>
      <c r="AW917" s="587"/>
    </row>
    <row r="918" spans="1:49">
      <c r="A918" s="581">
        <v>37288</v>
      </c>
      <c r="B918" s="594">
        <v>-1.9300000000000001E-2</v>
      </c>
      <c r="C918" s="577">
        <v>-2.35E-2</v>
      </c>
      <c r="D918" s="577">
        <v>4.3E-3</v>
      </c>
      <c r="E918" s="577">
        <v>5.4250000000000001E-3</v>
      </c>
      <c r="F918" s="577">
        <v>5.7916666666666672E-3</v>
      </c>
      <c r="G918" s="577">
        <v>5.6083333333333332E-3</v>
      </c>
      <c r="H918" s="577">
        <v>6.2833333333333326E-3</v>
      </c>
      <c r="I918" s="577">
        <f t="shared" si="156"/>
        <v>-2.3600000000000003E-2</v>
      </c>
      <c r="J918" s="577">
        <f t="shared" si="149"/>
        <v>-2.4908333333333334E-2</v>
      </c>
      <c r="K918" s="577">
        <f t="shared" si="150"/>
        <v>-2.9783333333333332E-2</v>
      </c>
      <c r="L918" s="585">
        <f t="shared" si="157"/>
        <v>-9.5118689786636734E-2</v>
      </c>
      <c r="M918" s="585">
        <f t="shared" si="158"/>
        <v>5.16E-2</v>
      </c>
      <c r="N918" s="585">
        <f t="shared" si="151"/>
        <v>6.7299999999999999E-2</v>
      </c>
      <c r="O918" s="586">
        <f t="shared" si="159"/>
        <v>-0.14671868978663674</v>
      </c>
      <c r="P918" s="585">
        <f t="shared" si="152"/>
        <v>-0.16241868978663673</v>
      </c>
      <c r="Q918" s="585">
        <f t="shared" si="153"/>
        <v>-0.31428793114334896</v>
      </c>
      <c r="R918" s="585">
        <f t="shared" si="154"/>
        <v>7.5399999999999995E-2</v>
      </c>
      <c r="S918" s="586">
        <f t="shared" si="155"/>
        <v>-0.38968793114334899</v>
      </c>
      <c r="U918" s="587"/>
      <c r="V918" s="587"/>
      <c r="W918" s="587"/>
      <c r="X918" s="587"/>
      <c r="Y918" s="587"/>
      <c r="Z918" s="587"/>
      <c r="AA918" s="587"/>
      <c r="AB918" s="587"/>
      <c r="AC918" s="587"/>
      <c r="AE918" s="587"/>
      <c r="AF918" s="587"/>
      <c r="AG918" s="587"/>
      <c r="AH918" s="587"/>
      <c r="AI918" s="587"/>
      <c r="AJ918" s="587"/>
      <c r="AK918" s="587"/>
      <c r="AL918" s="587"/>
      <c r="AM918" s="587"/>
      <c r="AO918" s="587"/>
      <c r="AP918" s="587"/>
      <c r="AQ918" s="587"/>
      <c r="AR918" s="587"/>
      <c r="AS918" s="587"/>
      <c r="AT918" s="587"/>
      <c r="AU918" s="587"/>
      <c r="AV918" s="587"/>
      <c r="AW918" s="587"/>
    </row>
    <row r="919" spans="1:49">
      <c r="A919" s="581">
        <v>37316</v>
      </c>
      <c r="B919" s="594">
        <v>3.7600000000000001E-2</v>
      </c>
      <c r="C919" s="577">
        <v>0.12229999999999999</v>
      </c>
      <c r="D919" s="577">
        <v>4.3E-3</v>
      </c>
      <c r="E919" s="577">
        <v>5.6750000000000004E-3</v>
      </c>
      <c r="F919" s="577">
        <v>6.0166666666666667E-3</v>
      </c>
      <c r="G919" s="577">
        <v>5.8458333333333331E-3</v>
      </c>
      <c r="H919" s="577">
        <v>6.4529166666666667E-3</v>
      </c>
      <c r="I919" s="577">
        <f t="shared" si="156"/>
        <v>3.3300000000000003E-2</v>
      </c>
      <c r="J919" s="577">
        <f t="shared" si="149"/>
        <v>3.1754166666666667E-2</v>
      </c>
      <c r="K919" s="577">
        <f t="shared" si="150"/>
        <v>0.11584708333333332</v>
      </c>
      <c r="L919" s="585">
        <f t="shared" si="157"/>
        <v>2.4608664076297693E-3</v>
      </c>
      <c r="M919" s="585">
        <f t="shared" si="158"/>
        <v>5.16E-2</v>
      </c>
      <c r="N919" s="585">
        <f t="shared" si="151"/>
        <v>7.014999999999999E-2</v>
      </c>
      <c r="O919" s="586">
        <f t="shared" si="159"/>
        <v>-4.9139133592370231E-2</v>
      </c>
      <c r="P919" s="585">
        <f t="shared" si="152"/>
        <v>-6.7689133592370221E-2</v>
      </c>
      <c r="Q919" s="585">
        <f t="shared" si="153"/>
        <v>-0.22554628672857013</v>
      </c>
      <c r="R919" s="585">
        <f t="shared" si="154"/>
        <v>7.7435000000000004E-2</v>
      </c>
      <c r="S919" s="586">
        <f t="shared" si="155"/>
        <v>-0.30298128672857016</v>
      </c>
      <c r="U919" s="587"/>
      <c r="V919" s="587"/>
      <c r="W919" s="587"/>
      <c r="X919" s="587"/>
      <c r="Y919" s="587"/>
      <c r="Z919" s="587"/>
      <c r="AA919" s="587"/>
      <c r="AB919" s="587"/>
      <c r="AC919" s="587"/>
      <c r="AE919" s="587"/>
      <c r="AF919" s="587"/>
      <c r="AG919" s="587"/>
      <c r="AH919" s="587"/>
      <c r="AI919" s="587"/>
      <c r="AJ919" s="587"/>
      <c r="AK919" s="587"/>
      <c r="AL919" s="587"/>
      <c r="AM919" s="587"/>
      <c r="AO919" s="587"/>
      <c r="AP919" s="587"/>
      <c r="AQ919" s="587"/>
      <c r="AR919" s="587"/>
      <c r="AS919" s="587"/>
      <c r="AT919" s="587"/>
      <c r="AU919" s="587"/>
      <c r="AV919" s="587"/>
      <c r="AW919" s="587"/>
    </row>
    <row r="920" spans="1:49">
      <c r="A920" s="581">
        <v>37347</v>
      </c>
      <c r="B920" s="594">
        <v>-6.0600000000000001E-2</v>
      </c>
      <c r="C920" s="577">
        <v>-1.7100000000000001E-2</v>
      </c>
      <c r="D920" s="577">
        <v>5.4000000000000003E-3</v>
      </c>
      <c r="E920" s="577">
        <v>5.6333333333333339E-3</v>
      </c>
      <c r="F920" s="577">
        <v>5.966666666666667E-3</v>
      </c>
      <c r="G920" s="577">
        <v>5.8000000000000005E-3</v>
      </c>
      <c r="H920" s="577">
        <v>6.3159166666666667E-3</v>
      </c>
      <c r="I920" s="577">
        <f t="shared" si="156"/>
        <v>-6.6000000000000003E-2</v>
      </c>
      <c r="J920" s="577">
        <f t="shared" si="149"/>
        <v>-6.6400000000000001E-2</v>
      </c>
      <c r="K920" s="577">
        <f t="shared" si="150"/>
        <v>-2.3415916666666668E-2</v>
      </c>
      <c r="L920" s="585">
        <f t="shared" si="157"/>
        <v>-0.12618378221831006</v>
      </c>
      <c r="M920" s="585">
        <f t="shared" si="158"/>
        <v>6.4799999999999996E-2</v>
      </c>
      <c r="N920" s="585">
        <f t="shared" si="151"/>
        <v>6.9600000000000009E-2</v>
      </c>
      <c r="O920" s="586">
        <f t="shared" si="159"/>
        <v>-0.19098378221831006</v>
      </c>
      <c r="P920" s="585">
        <f t="shared" si="152"/>
        <v>-0.19578378221831005</v>
      </c>
      <c r="Q920" s="585">
        <f t="shared" si="153"/>
        <v>-0.28221541275390094</v>
      </c>
      <c r="R920" s="585">
        <f t="shared" si="154"/>
        <v>7.5790999999999997E-2</v>
      </c>
      <c r="S920" s="586">
        <f t="shared" si="155"/>
        <v>-0.35800641275390094</v>
      </c>
      <c r="U920" s="587"/>
      <c r="V920" s="587"/>
      <c r="W920" s="587"/>
      <c r="X920" s="587"/>
      <c r="Y920" s="587"/>
      <c r="Z920" s="587"/>
      <c r="AA920" s="587"/>
      <c r="AB920" s="587"/>
      <c r="AC920" s="587"/>
      <c r="AE920" s="587"/>
      <c r="AF920" s="587"/>
      <c r="AG920" s="587"/>
      <c r="AH920" s="587"/>
      <c r="AI920" s="587"/>
      <c r="AJ920" s="587"/>
      <c r="AK920" s="587"/>
      <c r="AL920" s="587"/>
      <c r="AM920" s="587"/>
      <c r="AO920" s="587"/>
      <c r="AP920" s="587"/>
      <c r="AQ920" s="587"/>
      <c r="AR920" s="587"/>
      <c r="AS920" s="587"/>
      <c r="AT920" s="587"/>
      <c r="AU920" s="587"/>
      <c r="AV920" s="587"/>
      <c r="AW920" s="587"/>
    </row>
    <row r="921" spans="1:49">
      <c r="A921" s="581">
        <v>37377</v>
      </c>
      <c r="B921" s="594">
        <v>-7.4000000000000003E-3</v>
      </c>
      <c r="C921" s="577">
        <v>-9.0200000000000002E-2</v>
      </c>
      <c r="D921" s="577">
        <v>4.8999999999999998E-3</v>
      </c>
      <c r="E921" s="577">
        <v>5.6249999999999998E-3</v>
      </c>
      <c r="F921" s="577">
        <v>6.0000000000000001E-3</v>
      </c>
      <c r="G921" s="577">
        <v>5.8125000000000008E-3</v>
      </c>
      <c r="H921" s="577">
        <v>6.2723333333333329E-3</v>
      </c>
      <c r="I921" s="577">
        <f t="shared" si="156"/>
        <v>-1.23E-2</v>
      </c>
      <c r="J921" s="577">
        <f t="shared" si="149"/>
        <v>-1.3212500000000002E-2</v>
      </c>
      <c r="K921" s="577">
        <f t="shared" si="150"/>
        <v>-9.647233333333334E-2</v>
      </c>
      <c r="L921" s="585">
        <f t="shared" si="157"/>
        <v>-0.13842259087105857</v>
      </c>
      <c r="M921" s="585">
        <f t="shared" si="158"/>
        <v>5.8799999999999998E-2</v>
      </c>
      <c r="N921" s="585">
        <f t="shared" si="151"/>
        <v>6.9750000000000006E-2</v>
      </c>
      <c r="O921" s="586">
        <f t="shared" si="159"/>
        <v>-0.19722259087105856</v>
      </c>
      <c r="P921" s="585">
        <f t="shared" si="152"/>
        <v>-0.20817259087105858</v>
      </c>
      <c r="Q921" s="585">
        <f t="shared" si="153"/>
        <v>-0.3237647121502526</v>
      </c>
      <c r="R921" s="585">
        <f t="shared" si="154"/>
        <v>7.5268000000000002E-2</v>
      </c>
      <c r="S921" s="586">
        <f t="shared" si="155"/>
        <v>-0.3990327121502526</v>
      </c>
      <c r="U921" s="587"/>
      <c r="V921" s="587"/>
      <c r="W921" s="587"/>
      <c r="X921" s="587"/>
      <c r="Y921" s="587"/>
      <c r="Z921" s="587"/>
      <c r="AA921" s="587"/>
      <c r="AB921" s="587"/>
      <c r="AC921" s="587"/>
      <c r="AE921" s="587"/>
      <c r="AF921" s="587"/>
      <c r="AG921" s="587"/>
      <c r="AH921" s="587"/>
      <c r="AI921" s="587"/>
      <c r="AJ921" s="587"/>
      <c r="AK921" s="587"/>
      <c r="AL921" s="587"/>
      <c r="AM921" s="587"/>
      <c r="AO921" s="587"/>
      <c r="AP921" s="587"/>
      <c r="AQ921" s="587"/>
      <c r="AR921" s="587"/>
      <c r="AS921" s="587"/>
      <c r="AT921" s="587"/>
      <c r="AU921" s="587"/>
      <c r="AV921" s="587"/>
      <c r="AW921" s="587"/>
    </row>
    <row r="922" spans="1:49">
      <c r="A922" s="581">
        <v>37408</v>
      </c>
      <c r="B922" s="594">
        <v>-7.1199999999999999E-2</v>
      </c>
      <c r="C922" s="577">
        <v>-7.1000000000000008E-2</v>
      </c>
      <c r="D922" s="577">
        <v>4.4000000000000003E-3</v>
      </c>
      <c r="E922" s="577">
        <v>5.5333333333333337E-3</v>
      </c>
      <c r="F922" s="577">
        <v>5.8999999999999999E-3</v>
      </c>
      <c r="G922" s="577">
        <v>5.7166666666666668E-3</v>
      </c>
      <c r="H922" s="577">
        <v>6.1804166666666674E-3</v>
      </c>
      <c r="I922" s="577">
        <f t="shared" si="156"/>
        <v>-7.5600000000000001E-2</v>
      </c>
      <c r="J922" s="577">
        <f t="shared" si="149"/>
        <v>-7.6916666666666661E-2</v>
      </c>
      <c r="K922" s="577">
        <f t="shared" si="150"/>
        <v>-7.7180416666666668E-2</v>
      </c>
      <c r="L922" s="585">
        <f t="shared" si="157"/>
        <v>-0.1798369400441111</v>
      </c>
      <c r="M922" s="585">
        <f t="shared" si="158"/>
        <v>5.28E-2</v>
      </c>
      <c r="N922" s="585">
        <f t="shared" si="151"/>
        <v>6.8599999999999994E-2</v>
      </c>
      <c r="O922" s="586">
        <f t="shared" si="159"/>
        <v>-0.23263694004411112</v>
      </c>
      <c r="P922" s="585">
        <f t="shared" si="152"/>
        <v>-0.2484369400441111</v>
      </c>
      <c r="Q922" s="585">
        <f t="shared" si="153"/>
        <v>-0.31781672015157447</v>
      </c>
      <c r="R922" s="585">
        <f t="shared" si="154"/>
        <v>7.4165000000000009E-2</v>
      </c>
      <c r="S922" s="586">
        <f t="shared" si="155"/>
        <v>-0.39198172015157451</v>
      </c>
      <c r="U922" s="587"/>
      <c r="V922" s="587"/>
      <c r="W922" s="587"/>
      <c r="X922" s="587"/>
      <c r="Y922" s="587"/>
      <c r="Z922" s="587"/>
      <c r="AA922" s="587"/>
      <c r="AB922" s="587"/>
      <c r="AC922" s="587"/>
      <c r="AE922" s="587"/>
      <c r="AF922" s="587"/>
      <c r="AG922" s="587"/>
      <c r="AH922" s="587"/>
      <c r="AI922" s="587"/>
      <c r="AJ922" s="587"/>
      <c r="AK922" s="587"/>
      <c r="AL922" s="587"/>
      <c r="AM922" s="587"/>
      <c r="AO922" s="587"/>
      <c r="AP922" s="587"/>
      <c r="AQ922" s="587"/>
      <c r="AR922" s="587"/>
      <c r="AS922" s="587"/>
      <c r="AT922" s="587"/>
      <c r="AU922" s="587"/>
      <c r="AV922" s="587"/>
      <c r="AW922" s="587"/>
    </row>
    <row r="923" spans="1:49">
      <c r="A923" s="581">
        <v>37438</v>
      </c>
      <c r="B923" s="594">
        <v>-7.8E-2</v>
      </c>
      <c r="C923" s="577">
        <v>-0.13799999999999998</v>
      </c>
      <c r="D923" s="577">
        <v>5.1000000000000004E-3</v>
      </c>
      <c r="E923" s="577">
        <v>5.4416666666666667E-3</v>
      </c>
      <c r="F923" s="577">
        <v>5.816666666666667E-3</v>
      </c>
      <c r="G923" s="577">
        <v>5.6291666666666677E-3</v>
      </c>
      <c r="H923" s="577">
        <v>6.1008333333333331E-3</v>
      </c>
      <c r="I923" s="577">
        <f t="shared" si="156"/>
        <v>-8.3100000000000007E-2</v>
      </c>
      <c r="J923" s="577">
        <f t="shared" si="149"/>
        <v>-8.3629166666666671E-2</v>
      </c>
      <c r="K923" s="577">
        <f t="shared" si="150"/>
        <v>-0.14410083333333332</v>
      </c>
      <c r="L923" s="585">
        <f t="shared" si="157"/>
        <v>-0.23632565009156781</v>
      </c>
      <c r="M923" s="585">
        <f t="shared" si="158"/>
        <v>6.1200000000000004E-2</v>
      </c>
      <c r="N923" s="585">
        <f t="shared" si="151"/>
        <v>6.7550000000000013E-2</v>
      </c>
      <c r="O923" s="586">
        <f t="shared" si="159"/>
        <v>-0.29752565009156784</v>
      </c>
      <c r="P923" s="585">
        <f t="shared" si="152"/>
        <v>-0.30387565009156781</v>
      </c>
      <c r="Q923" s="585">
        <f t="shared" si="153"/>
        <v>-0.38437815407313347</v>
      </c>
      <c r="R923" s="585">
        <f t="shared" si="154"/>
        <v>7.3209999999999997E-2</v>
      </c>
      <c r="S923" s="586">
        <f t="shared" si="155"/>
        <v>-0.45758815407313347</v>
      </c>
      <c r="U923" s="587"/>
      <c r="V923" s="587"/>
      <c r="W923" s="587"/>
      <c r="X923" s="587"/>
      <c r="Y923" s="587"/>
      <c r="Z923" s="587"/>
      <c r="AA923" s="587"/>
      <c r="AB923" s="587"/>
      <c r="AC923" s="587"/>
      <c r="AE923" s="587"/>
      <c r="AF923" s="587"/>
      <c r="AG923" s="587"/>
      <c r="AH923" s="587"/>
      <c r="AI923" s="587"/>
      <c r="AJ923" s="587"/>
      <c r="AK923" s="587"/>
      <c r="AL923" s="587"/>
      <c r="AM923" s="587"/>
      <c r="AO923" s="587"/>
      <c r="AP923" s="587"/>
      <c r="AQ923" s="587"/>
      <c r="AR923" s="587"/>
      <c r="AS923" s="587"/>
      <c r="AT923" s="587"/>
      <c r="AU923" s="587"/>
      <c r="AV923" s="587"/>
      <c r="AW923" s="587"/>
    </row>
    <row r="924" spans="1:49">
      <c r="A924" s="581">
        <v>37469</v>
      </c>
      <c r="B924" s="594">
        <v>6.6E-3</v>
      </c>
      <c r="C924" s="577">
        <v>3.5000000000000003E-2</v>
      </c>
      <c r="D924" s="577">
        <v>4.4000000000000003E-3</v>
      </c>
      <c r="E924" s="577">
        <v>5.3083333333333342E-3</v>
      </c>
      <c r="F924" s="577">
        <v>5.6999999999999993E-3</v>
      </c>
      <c r="G924" s="577">
        <v>5.5041666666666668E-3</v>
      </c>
      <c r="H924" s="577">
        <v>5.9787500000000006E-3</v>
      </c>
      <c r="I924" s="577">
        <f t="shared" si="156"/>
        <v>2.1999999999999997E-3</v>
      </c>
      <c r="J924" s="577">
        <f t="shared" si="149"/>
        <v>1.0958333333333332E-3</v>
      </c>
      <c r="K924" s="577">
        <f t="shared" si="150"/>
        <v>2.9021250000000002E-2</v>
      </c>
      <c r="L924" s="585">
        <f t="shared" si="157"/>
        <v>-0.17995028737163654</v>
      </c>
      <c r="M924" s="585">
        <f t="shared" si="158"/>
        <v>5.28E-2</v>
      </c>
      <c r="N924" s="585">
        <f t="shared" si="151"/>
        <v>6.6049999999999998E-2</v>
      </c>
      <c r="O924" s="586">
        <f t="shared" si="159"/>
        <v>-0.23275028737163656</v>
      </c>
      <c r="P924" s="585">
        <f t="shared" si="152"/>
        <v>-0.24600028737163654</v>
      </c>
      <c r="Q924" s="585">
        <f t="shared" si="153"/>
        <v>-0.34380163693686228</v>
      </c>
      <c r="R924" s="585">
        <f t="shared" si="154"/>
        <v>7.1745000000000003E-2</v>
      </c>
      <c r="S924" s="586">
        <f t="shared" si="155"/>
        <v>-0.41554663693686228</v>
      </c>
      <c r="U924" s="587"/>
      <c r="V924" s="587"/>
      <c r="W924" s="587"/>
      <c r="X924" s="587"/>
      <c r="Y924" s="587"/>
      <c r="Z924" s="587"/>
      <c r="AA924" s="587"/>
      <c r="AB924" s="587"/>
      <c r="AC924" s="587"/>
      <c r="AE924" s="587"/>
      <c r="AF924" s="587"/>
      <c r="AG924" s="587"/>
      <c r="AH924" s="587"/>
      <c r="AI924" s="587"/>
      <c r="AJ924" s="587"/>
      <c r="AK924" s="587"/>
      <c r="AL924" s="587"/>
      <c r="AM924" s="587"/>
      <c r="AO924" s="587"/>
      <c r="AP924" s="587"/>
      <c r="AQ924" s="587"/>
      <c r="AR924" s="587"/>
      <c r="AS924" s="587"/>
      <c r="AT924" s="587"/>
      <c r="AU924" s="587"/>
      <c r="AV924" s="587"/>
      <c r="AW924" s="587"/>
    </row>
    <row r="925" spans="1:49">
      <c r="A925" s="581">
        <v>37500</v>
      </c>
      <c r="B925" s="594">
        <v>-0.1087</v>
      </c>
      <c r="C925" s="577">
        <v>-0.12830000000000003</v>
      </c>
      <c r="D925" s="577">
        <v>4.1999999999999997E-3</v>
      </c>
      <c r="E925" s="577">
        <v>5.1250000000000011E-3</v>
      </c>
      <c r="F925" s="577">
        <v>5.5249999999999995E-3</v>
      </c>
      <c r="G925" s="577">
        <v>5.3249999999999999E-3</v>
      </c>
      <c r="H925" s="577">
        <v>5.9062500000000009E-3</v>
      </c>
      <c r="I925" s="577">
        <f t="shared" si="156"/>
        <v>-0.1129</v>
      </c>
      <c r="J925" s="577">
        <f t="shared" ref="J925:J988" si="160">B925-G925</f>
        <v>-0.114025</v>
      </c>
      <c r="K925" s="577">
        <f t="shared" ref="K925:K988" si="161">$C925-H925</f>
        <v>-0.13420625000000003</v>
      </c>
      <c r="L925" s="585">
        <f t="shared" si="157"/>
        <v>-0.20484083021577415</v>
      </c>
      <c r="M925" s="585">
        <f t="shared" si="158"/>
        <v>5.04E-2</v>
      </c>
      <c r="N925" s="585">
        <f t="shared" si="151"/>
        <v>6.3899999999999998E-2</v>
      </c>
      <c r="O925" s="586">
        <f t="shared" si="159"/>
        <v>-0.25524083021577415</v>
      </c>
      <c r="P925" s="585">
        <f t="shared" si="152"/>
        <v>-0.26874083021577416</v>
      </c>
      <c r="Q925" s="585">
        <f t="shared" si="153"/>
        <v>-0.35351705121819943</v>
      </c>
      <c r="R925" s="585">
        <f t="shared" si="154"/>
        <v>7.0875000000000007E-2</v>
      </c>
      <c r="S925" s="586">
        <f t="shared" si="155"/>
        <v>-0.42439205121819945</v>
      </c>
      <c r="U925" s="587"/>
      <c r="V925" s="587"/>
      <c r="W925" s="587"/>
      <c r="X925" s="587"/>
      <c r="Y925" s="587"/>
      <c r="Z925" s="587"/>
      <c r="AA925" s="587"/>
      <c r="AB925" s="587"/>
      <c r="AC925" s="587"/>
      <c r="AE925" s="587"/>
      <c r="AF925" s="587"/>
      <c r="AG925" s="587"/>
      <c r="AH925" s="587"/>
      <c r="AI925" s="587"/>
      <c r="AJ925" s="587"/>
      <c r="AK925" s="587"/>
      <c r="AL925" s="587"/>
      <c r="AM925" s="587"/>
      <c r="AO925" s="587"/>
      <c r="AP925" s="587"/>
      <c r="AQ925" s="587"/>
      <c r="AR925" s="587"/>
      <c r="AS925" s="587"/>
      <c r="AT925" s="587"/>
      <c r="AU925" s="587"/>
      <c r="AV925" s="587"/>
      <c r="AW925" s="587"/>
    </row>
    <row r="926" spans="1:49">
      <c r="A926" s="581">
        <v>37530</v>
      </c>
      <c r="B926" s="594">
        <v>8.7999999999999995E-2</v>
      </c>
      <c r="C926" s="577">
        <v>-1.7299999999999999E-2</v>
      </c>
      <c r="D926" s="577">
        <v>4.0000000000000001E-3</v>
      </c>
      <c r="E926" s="577">
        <v>5.2749999999999993E-3</v>
      </c>
      <c r="F926" s="577">
        <v>5.6166666666666665E-3</v>
      </c>
      <c r="G926" s="577">
        <v>5.4458333333333329E-3</v>
      </c>
      <c r="H926" s="577">
        <v>6.0162499999999999E-3</v>
      </c>
      <c r="I926" s="577">
        <f t="shared" si="156"/>
        <v>8.3999999999999991E-2</v>
      </c>
      <c r="J926" s="577">
        <f t="shared" si="160"/>
        <v>8.2554166666666665E-2</v>
      </c>
      <c r="K926" s="577">
        <f t="shared" si="161"/>
        <v>-2.331625E-2</v>
      </c>
      <c r="L926" s="585">
        <f t="shared" si="157"/>
        <v>-0.15108117287289002</v>
      </c>
      <c r="M926" s="585">
        <f t="shared" si="158"/>
        <v>4.8000000000000001E-2</v>
      </c>
      <c r="N926" s="585">
        <f t="shared" si="151"/>
        <v>6.5349999999999991E-2</v>
      </c>
      <c r="O926" s="586">
        <f t="shared" si="159"/>
        <v>-0.19908117287289001</v>
      </c>
      <c r="P926" s="585">
        <f t="shared" si="152"/>
        <v>-0.21643117287289002</v>
      </c>
      <c r="Q926" s="585">
        <f t="shared" si="153"/>
        <v>-0.36361935914266708</v>
      </c>
      <c r="R926" s="585">
        <f t="shared" si="154"/>
        <v>7.2194999999999995E-2</v>
      </c>
      <c r="S926" s="586">
        <f t="shared" si="155"/>
        <v>-0.43581435914266708</v>
      </c>
      <c r="U926" s="587"/>
      <c r="V926" s="587"/>
      <c r="W926" s="587"/>
      <c r="X926" s="587"/>
      <c r="Y926" s="587"/>
      <c r="Z926" s="587"/>
      <c r="AA926" s="587"/>
      <c r="AB926" s="587"/>
      <c r="AC926" s="587"/>
      <c r="AE926" s="587"/>
      <c r="AF926" s="587"/>
      <c r="AG926" s="587"/>
      <c r="AH926" s="587"/>
      <c r="AI926" s="587"/>
      <c r="AJ926" s="587"/>
      <c r="AK926" s="587"/>
      <c r="AL926" s="587"/>
      <c r="AM926" s="587"/>
      <c r="AO926" s="587"/>
      <c r="AP926" s="587"/>
      <c r="AQ926" s="587"/>
      <c r="AR926" s="587"/>
      <c r="AS926" s="587"/>
      <c r="AT926" s="587"/>
      <c r="AU926" s="587"/>
      <c r="AV926" s="587"/>
      <c r="AW926" s="587"/>
    </row>
    <row r="927" spans="1:49">
      <c r="A927" s="581">
        <v>37561</v>
      </c>
      <c r="B927" s="594">
        <v>5.8900000000000001E-2</v>
      </c>
      <c r="C927" s="577">
        <v>2.4900000000000002E-2</v>
      </c>
      <c r="D927" s="577">
        <v>4.0000000000000001E-3</v>
      </c>
      <c r="E927" s="577">
        <v>5.2583333333333327E-3</v>
      </c>
      <c r="F927" s="577">
        <v>5.5916666666666667E-3</v>
      </c>
      <c r="G927" s="577">
        <v>5.4250000000000001E-3</v>
      </c>
      <c r="H927" s="577">
        <v>5.9523333333333338E-3</v>
      </c>
      <c r="I927" s="577">
        <f t="shared" si="156"/>
        <v>5.4900000000000004E-2</v>
      </c>
      <c r="J927" s="577">
        <f t="shared" si="160"/>
        <v>5.3475000000000002E-2</v>
      </c>
      <c r="K927" s="577">
        <f t="shared" si="161"/>
        <v>1.8947666666666668E-2</v>
      </c>
      <c r="L927" s="585">
        <f t="shared" si="157"/>
        <v>-0.16511549545379689</v>
      </c>
      <c r="M927" s="585">
        <f t="shared" si="158"/>
        <v>4.8000000000000001E-2</v>
      </c>
      <c r="N927" s="585">
        <f t="shared" si="151"/>
        <v>6.5100000000000005E-2</v>
      </c>
      <c r="O927" s="586">
        <f t="shared" si="159"/>
        <v>-0.21311549545379688</v>
      </c>
      <c r="P927" s="585">
        <f t="shared" si="152"/>
        <v>-0.23021549545379688</v>
      </c>
      <c r="Q927" s="585">
        <f t="shared" si="153"/>
        <v>-0.3096671054035981</v>
      </c>
      <c r="R927" s="585">
        <f t="shared" si="154"/>
        <v>7.1428000000000005E-2</v>
      </c>
      <c r="S927" s="586">
        <f t="shared" si="155"/>
        <v>-0.38109510540359809</v>
      </c>
      <c r="U927" s="587"/>
      <c r="V927" s="587"/>
      <c r="W927" s="587"/>
      <c r="X927" s="587"/>
      <c r="Y927" s="587"/>
      <c r="Z927" s="587"/>
      <c r="AA927" s="587"/>
      <c r="AB927" s="587"/>
      <c r="AC927" s="587"/>
      <c r="AE927" s="587"/>
      <c r="AF927" s="587"/>
      <c r="AG927" s="587"/>
      <c r="AH927" s="587"/>
      <c r="AI927" s="587"/>
      <c r="AJ927" s="587"/>
      <c r="AK927" s="587"/>
      <c r="AL927" s="587"/>
      <c r="AM927" s="587"/>
      <c r="AO927" s="587"/>
      <c r="AP927" s="587"/>
      <c r="AQ927" s="587"/>
      <c r="AR927" s="587"/>
      <c r="AS927" s="587"/>
      <c r="AT927" s="587"/>
      <c r="AU927" s="587"/>
      <c r="AV927" s="587"/>
      <c r="AW927" s="587"/>
    </row>
    <row r="928" spans="1:49">
      <c r="A928" s="581">
        <v>37591</v>
      </c>
      <c r="B928" s="594">
        <v>-5.8700000000000002E-2</v>
      </c>
      <c r="C928" s="577">
        <v>4.1599999999999998E-2</v>
      </c>
      <c r="D928" s="577">
        <v>4.4999999999999997E-3</v>
      </c>
      <c r="E928" s="577">
        <v>5.1749999999999999E-3</v>
      </c>
      <c r="F928" s="577">
        <v>5.5249999999999995E-3</v>
      </c>
      <c r="G928" s="577">
        <v>5.3499999999999989E-3</v>
      </c>
      <c r="H928" s="577">
        <v>5.896416666666667E-3</v>
      </c>
      <c r="I928" s="577">
        <f t="shared" si="156"/>
        <v>-6.3200000000000006E-2</v>
      </c>
      <c r="J928" s="577">
        <f t="shared" si="160"/>
        <v>-6.4049999999999996E-2</v>
      </c>
      <c r="K928" s="577">
        <f t="shared" si="161"/>
        <v>3.570358333333333E-2</v>
      </c>
      <c r="L928" s="585">
        <f t="shared" si="157"/>
        <v>-0.22097860415410286</v>
      </c>
      <c r="M928" s="585">
        <f t="shared" si="158"/>
        <v>5.3999999999999992E-2</v>
      </c>
      <c r="N928" s="585">
        <f t="shared" si="151"/>
        <v>6.4199999999999979E-2</v>
      </c>
      <c r="O928" s="586">
        <f t="shared" si="159"/>
        <v>-0.27497860415410286</v>
      </c>
      <c r="P928" s="585">
        <f t="shared" si="152"/>
        <v>-0.28517860415410284</v>
      </c>
      <c r="Q928" s="585">
        <f t="shared" si="153"/>
        <v>-0.29917081577815585</v>
      </c>
      <c r="R928" s="585">
        <f t="shared" si="154"/>
        <v>7.0757E-2</v>
      </c>
      <c r="S928" s="586">
        <f t="shared" si="155"/>
        <v>-0.36992781577815587</v>
      </c>
      <c r="U928" s="587"/>
      <c r="V928" s="587"/>
      <c r="W928" s="587"/>
      <c r="X928" s="587"/>
      <c r="Y928" s="587"/>
      <c r="Z928" s="587"/>
      <c r="AA928" s="587"/>
      <c r="AB928" s="587"/>
      <c r="AC928" s="587"/>
      <c r="AE928" s="587"/>
      <c r="AF928" s="587"/>
      <c r="AG928" s="587"/>
      <c r="AH928" s="587"/>
      <c r="AI928" s="587"/>
      <c r="AJ928" s="587"/>
      <c r="AK928" s="587"/>
      <c r="AL928" s="587"/>
      <c r="AM928" s="587"/>
      <c r="AO928" s="587"/>
      <c r="AP928" s="587"/>
      <c r="AQ928" s="587"/>
      <c r="AR928" s="587"/>
      <c r="AS928" s="587"/>
      <c r="AT928" s="587"/>
      <c r="AU928" s="587"/>
      <c r="AV928" s="587"/>
      <c r="AW928" s="587"/>
    </row>
    <row r="929" spans="1:49">
      <c r="A929" s="581">
        <v>37622</v>
      </c>
      <c r="B929" s="594">
        <v>-2.6200000000000001E-2</v>
      </c>
      <c r="C929" s="577">
        <v>-2.9200000000000004E-2</v>
      </c>
      <c r="D929" s="577">
        <v>4.1000000000000003E-3</v>
      </c>
      <c r="E929" s="577">
        <v>5.1416666666666668E-3</v>
      </c>
      <c r="F929" s="577">
        <v>5.4916666666666673E-3</v>
      </c>
      <c r="G929" s="577">
        <v>5.3166666666666675E-3</v>
      </c>
      <c r="H929" s="577">
        <v>5.886916666666667E-3</v>
      </c>
      <c r="I929" s="577">
        <f t="shared" si="156"/>
        <v>-3.0300000000000001E-2</v>
      </c>
      <c r="J929" s="577">
        <f t="shared" si="160"/>
        <v>-3.1516666666666665E-2</v>
      </c>
      <c r="K929" s="577">
        <f t="shared" si="161"/>
        <v>-3.5086916666666669E-2</v>
      </c>
      <c r="L929" s="585">
        <f t="shared" si="157"/>
        <v>-0.23014914220140603</v>
      </c>
      <c r="M929" s="585">
        <f t="shared" si="158"/>
        <v>4.9200000000000008E-2</v>
      </c>
      <c r="N929" s="585">
        <f t="shared" si="151"/>
        <v>6.3800000000000009E-2</v>
      </c>
      <c r="O929" s="586">
        <f t="shared" si="159"/>
        <v>-0.27934914220140605</v>
      </c>
      <c r="P929" s="585">
        <f t="shared" si="152"/>
        <v>-0.29394914220140606</v>
      </c>
      <c r="Q929" s="585">
        <f t="shared" si="153"/>
        <v>-0.27889245146521846</v>
      </c>
      <c r="R929" s="585">
        <f t="shared" si="154"/>
        <v>7.0643000000000011E-2</v>
      </c>
      <c r="S929" s="586">
        <f t="shared" si="155"/>
        <v>-0.34953545146521847</v>
      </c>
      <c r="U929" s="587"/>
      <c r="V929" s="587"/>
      <c r="W929" s="587"/>
      <c r="X929" s="587"/>
      <c r="Y929" s="587"/>
      <c r="Z929" s="587"/>
      <c r="AA929" s="587"/>
      <c r="AB929" s="587"/>
      <c r="AC929" s="587"/>
      <c r="AE929" s="587"/>
      <c r="AF929" s="587"/>
      <c r="AG929" s="587"/>
      <c r="AH929" s="587"/>
      <c r="AI929" s="587"/>
      <c r="AJ929" s="587"/>
      <c r="AK929" s="587"/>
      <c r="AL929" s="587"/>
      <c r="AM929" s="587"/>
      <c r="AO929" s="587"/>
      <c r="AP929" s="587"/>
      <c r="AQ929" s="587"/>
      <c r="AR929" s="587"/>
      <c r="AS929" s="587"/>
      <c r="AT929" s="587"/>
      <c r="AU929" s="587"/>
      <c r="AV929" s="587"/>
      <c r="AW929" s="587"/>
    </row>
    <row r="930" spans="1:49">
      <c r="A930" s="581">
        <v>37653</v>
      </c>
      <c r="B930" s="594">
        <v>-1.4999999999999999E-2</v>
      </c>
      <c r="C930" s="577">
        <v>-4.8999999999999995E-2</v>
      </c>
      <c r="D930" s="577">
        <v>3.8E-3</v>
      </c>
      <c r="E930" s="577">
        <v>4.9583333333333337E-3</v>
      </c>
      <c r="F930" s="577">
        <v>5.2833333333333335E-3</v>
      </c>
      <c r="G930" s="577">
        <v>5.1208333333333331E-3</v>
      </c>
      <c r="H930" s="577">
        <v>5.7775833333333325E-3</v>
      </c>
      <c r="I930" s="577">
        <f t="shared" si="156"/>
        <v>-1.8800000000000001E-2</v>
      </c>
      <c r="J930" s="577">
        <f t="shared" si="160"/>
        <v>-2.0120833333333331E-2</v>
      </c>
      <c r="K930" s="577">
        <f t="shared" si="161"/>
        <v>-5.4777583333333324E-2</v>
      </c>
      <c r="L930" s="585">
        <f t="shared" si="157"/>
        <v>-0.22677363624797076</v>
      </c>
      <c r="M930" s="585">
        <f t="shared" si="158"/>
        <v>4.5600000000000002E-2</v>
      </c>
      <c r="N930" s="585">
        <f t="shared" si="151"/>
        <v>6.1449999999999998E-2</v>
      </c>
      <c r="O930" s="586">
        <f t="shared" si="159"/>
        <v>-0.27237363624797073</v>
      </c>
      <c r="P930" s="585">
        <f t="shared" si="152"/>
        <v>-0.28822363624797076</v>
      </c>
      <c r="Q930" s="585">
        <f t="shared" si="153"/>
        <v>-0.29772321694154924</v>
      </c>
      <c r="R930" s="585">
        <f t="shared" si="154"/>
        <v>6.933099999999999E-2</v>
      </c>
      <c r="S930" s="586">
        <f t="shared" si="155"/>
        <v>-0.36705421694154922</v>
      </c>
      <c r="U930" s="587"/>
      <c r="V930" s="587"/>
      <c r="W930" s="587"/>
      <c r="X930" s="587"/>
      <c r="Y930" s="587"/>
      <c r="Z930" s="587"/>
      <c r="AA930" s="587"/>
      <c r="AB930" s="587"/>
      <c r="AC930" s="587"/>
      <c r="AE930" s="587"/>
      <c r="AF930" s="587"/>
      <c r="AG930" s="587"/>
      <c r="AH930" s="587"/>
      <c r="AI930" s="587"/>
      <c r="AJ930" s="587"/>
      <c r="AK930" s="587"/>
      <c r="AL930" s="587"/>
      <c r="AM930" s="587"/>
      <c r="AO930" s="587"/>
      <c r="AP930" s="587"/>
      <c r="AQ930" s="587"/>
      <c r="AR930" s="587"/>
      <c r="AS930" s="587"/>
      <c r="AT930" s="587"/>
      <c r="AU930" s="587"/>
      <c r="AV930" s="587"/>
      <c r="AW930" s="587"/>
    </row>
    <row r="931" spans="1:49">
      <c r="A931" s="581">
        <v>37681</v>
      </c>
      <c r="B931" s="594">
        <v>9.7000000000000003E-3</v>
      </c>
      <c r="C931" s="577">
        <v>5.050000000000001E-2</v>
      </c>
      <c r="D931" s="577">
        <v>4.0000000000000001E-3</v>
      </c>
      <c r="E931" s="577">
        <v>4.9083333333333331E-3</v>
      </c>
      <c r="F931" s="577">
        <v>5.2333333333333329E-3</v>
      </c>
      <c r="G931" s="577">
        <v>5.0708333333333334E-3</v>
      </c>
      <c r="H931" s="577">
        <v>5.6626666666666665E-3</v>
      </c>
      <c r="I931" s="577">
        <f t="shared" si="156"/>
        <v>5.7000000000000002E-3</v>
      </c>
      <c r="J931" s="577">
        <f t="shared" si="160"/>
        <v>4.6291666666666668E-3</v>
      </c>
      <c r="K931" s="577">
        <f t="shared" si="161"/>
        <v>4.483733333333334E-2</v>
      </c>
      <c r="L931" s="585">
        <f t="shared" si="157"/>
        <v>-0.24756490026944489</v>
      </c>
      <c r="M931" s="585">
        <f t="shared" si="158"/>
        <v>4.8000000000000001E-2</v>
      </c>
      <c r="N931" s="585">
        <f t="shared" si="151"/>
        <v>6.0850000000000001E-2</v>
      </c>
      <c r="O931" s="586">
        <f t="shared" si="159"/>
        <v>-0.29556490026944487</v>
      </c>
      <c r="P931" s="585">
        <f t="shared" si="152"/>
        <v>-0.3084149002694449</v>
      </c>
      <c r="Q931" s="585">
        <f t="shared" si="153"/>
        <v>-0.34265191071647272</v>
      </c>
      <c r="R931" s="585">
        <f t="shared" si="154"/>
        <v>6.7951999999999999E-2</v>
      </c>
      <c r="S931" s="586">
        <f t="shared" si="155"/>
        <v>-0.41060391071647273</v>
      </c>
      <c r="U931" s="587"/>
      <c r="V931" s="587"/>
      <c r="W931" s="587"/>
      <c r="X931" s="587"/>
      <c r="Y931" s="587"/>
      <c r="Z931" s="587"/>
      <c r="AA931" s="587"/>
      <c r="AB931" s="587"/>
      <c r="AC931" s="587"/>
      <c r="AE931" s="587"/>
      <c r="AF931" s="587"/>
      <c r="AG931" s="587"/>
      <c r="AH931" s="587"/>
      <c r="AI931" s="587"/>
      <c r="AJ931" s="587"/>
      <c r="AK931" s="587"/>
      <c r="AL931" s="587"/>
      <c r="AM931" s="587"/>
      <c r="AO931" s="587"/>
      <c r="AP931" s="587"/>
      <c r="AQ931" s="587"/>
      <c r="AR931" s="587"/>
      <c r="AS931" s="587"/>
      <c r="AT931" s="587"/>
      <c r="AU931" s="587"/>
      <c r="AV931" s="587"/>
      <c r="AW931" s="587"/>
    </row>
    <row r="932" spans="1:49">
      <c r="A932" s="581">
        <v>37712</v>
      </c>
      <c r="B932" s="594">
        <v>8.2400000000000001E-2</v>
      </c>
      <c r="C932" s="577">
        <v>8.8500000000000009E-2</v>
      </c>
      <c r="D932" s="577">
        <v>4.0000000000000001E-3</v>
      </c>
      <c r="E932" s="577">
        <v>4.783333333333333E-3</v>
      </c>
      <c r="F932" s="577">
        <v>5.1833333333333332E-3</v>
      </c>
      <c r="G932" s="577">
        <v>4.9833333333333327E-3</v>
      </c>
      <c r="H932" s="577">
        <v>5.5400833333333335E-3</v>
      </c>
      <c r="I932" s="577">
        <f t="shared" si="156"/>
        <v>7.8399999999999997E-2</v>
      </c>
      <c r="J932" s="577">
        <f t="shared" si="160"/>
        <v>7.7416666666666661E-2</v>
      </c>
      <c r="K932" s="577">
        <f t="shared" si="161"/>
        <v>8.2959916666666675E-2</v>
      </c>
      <c r="L932" s="585">
        <f t="shared" si="157"/>
        <v>-0.13302559937369318</v>
      </c>
      <c r="M932" s="585">
        <f t="shared" si="158"/>
        <v>4.8000000000000001E-2</v>
      </c>
      <c r="N932" s="585">
        <f t="shared" si="151"/>
        <v>5.9799999999999992E-2</v>
      </c>
      <c r="O932" s="586">
        <f t="shared" si="159"/>
        <v>-0.18102559937369317</v>
      </c>
      <c r="P932" s="585">
        <f t="shared" si="152"/>
        <v>-0.19282559937369317</v>
      </c>
      <c r="Q932" s="585">
        <f t="shared" si="153"/>
        <v>-0.2720282885490698</v>
      </c>
      <c r="R932" s="585">
        <f t="shared" si="154"/>
        <v>6.6480999999999998E-2</v>
      </c>
      <c r="S932" s="586">
        <f t="shared" si="155"/>
        <v>-0.33850928854906981</v>
      </c>
      <c r="U932" s="587"/>
      <c r="V932" s="587"/>
      <c r="W932" s="587"/>
      <c r="X932" s="587"/>
      <c r="Y932" s="587"/>
      <c r="Z932" s="587"/>
      <c r="AA932" s="587"/>
      <c r="AB932" s="587"/>
      <c r="AC932" s="587"/>
      <c r="AE932" s="587"/>
      <c r="AF932" s="587"/>
      <c r="AG932" s="587"/>
      <c r="AH932" s="587"/>
      <c r="AI932" s="587"/>
      <c r="AJ932" s="587"/>
      <c r="AK932" s="587"/>
      <c r="AL932" s="587"/>
      <c r="AM932" s="587"/>
      <c r="AO932" s="587"/>
      <c r="AP932" s="587"/>
      <c r="AQ932" s="587"/>
      <c r="AR932" s="587"/>
      <c r="AS932" s="587"/>
      <c r="AT932" s="587"/>
      <c r="AU932" s="587"/>
      <c r="AV932" s="587"/>
      <c r="AW932" s="587"/>
    </row>
    <row r="933" spans="1:49">
      <c r="A933" s="581">
        <v>37742</v>
      </c>
      <c r="B933" s="594">
        <v>5.2699999999999997E-2</v>
      </c>
      <c r="C933" s="577">
        <v>0.1021</v>
      </c>
      <c r="D933" s="577">
        <v>3.8999999999999994E-3</v>
      </c>
      <c r="E933" s="577">
        <v>4.3499999999999997E-3</v>
      </c>
      <c r="F933" s="577">
        <v>4.875E-3</v>
      </c>
      <c r="G933" s="577">
        <v>4.6125000000000003E-3</v>
      </c>
      <c r="H933" s="577">
        <v>5.3103333333333336E-3</v>
      </c>
      <c r="I933" s="577">
        <f t="shared" si="156"/>
        <v>4.8799999999999996E-2</v>
      </c>
      <c r="J933" s="577">
        <f t="shared" si="160"/>
        <v>4.8087499999999998E-2</v>
      </c>
      <c r="K933" s="577">
        <f t="shared" si="161"/>
        <v>9.6789666666666663E-2</v>
      </c>
      <c r="L933" s="585">
        <f t="shared" si="157"/>
        <v>-8.0531985150802732E-2</v>
      </c>
      <c r="M933" s="585">
        <f t="shared" si="158"/>
        <v>4.6799999999999994E-2</v>
      </c>
      <c r="N933" s="585">
        <f t="shared" si="151"/>
        <v>5.5350000000000003E-2</v>
      </c>
      <c r="O933" s="586">
        <f t="shared" si="159"/>
        <v>-0.12733198515080274</v>
      </c>
      <c r="P933" s="585">
        <f t="shared" si="152"/>
        <v>-0.13588198515080274</v>
      </c>
      <c r="Q933" s="585">
        <f t="shared" si="153"/>
        <v>-0.11816044934043735</v>
      </c>
      <c r="R933" s="585">
        <f t="shared" si="154"/>
        <v>6.3724000000000003E-2</v>
      </c>
      <c r="S933" s="586">
        <f t="shared" si="155"/>
        <v>-0.18188444934043735</v>
      </c>
      <c r="U933" s="587"/>
      <c r="V933" s="587"/>
      <c r="W933" s="587"/>
      <c r="X933" s="587"/>
      <c r="Y933" s="587"/>
      <c r="Z933" s="587"/>
      <c r="AA933" s="587"/>
      <c r="AB933" s="587"/>
      <c r="AC933" s="587"/>
      <c r="AE933" s="587"/>
      <c r="AF933" s="587"/>
      <c r="AG933" s="587"/>
      <c r="AH933" s="587"/>
      <c r="AI933" s="587"/>
      <c r="AJ933" s="587"/>
      <c r="AK933" s="587"/>
      <c r="AL933" s="587"/>
      <c r="AM933" s="587"/>
      <c r="AO933" s="587"/>
      <c r="AP933" s="587"/>
      <c r="AQ933" s="587"/>
      <c r="AR933" s="587"/>
      <c r="AS933" s="587"/>
      <c r="AT933" s="587"/>
      <c r="AU933" s="587"/>
      <c r="AV933" s="587"/>
      <c r="AW933" s="587"/>
    </row>
    <row r="934" spans="1:49">
      <c r="A934" s="581">
        <v>37773</v>
      </c>
      <c r="B934" s="594">
        <v>1.2800000000000001E-2</v>
      </c>
      <c r="C934" s="577">
        <v>1.1900000000000001E-2</v>
      </c>
      <c r="D934" s="577">
        <v>3.5999999999999999E-3</v>
      </c>
      <c r="E934" s="577">
        <v>4.1416666666666659E-3</v>
      </c>
      <c r="F934" s="577">
        <v>4.7666666666666664E-3</v>
      </c>
      <c r="G934" s="577">
        <v>4.4541666666666662E-3</v>
      </c>
      <c r="H934" s="577">
        <v>5.1729999999999996E-3</v>
      </c>
      <c r="I934" s="577">
        <f t="shared" si="156"/>
        <v>9.1999999999999998E-3</v>
      </c>
      <c r="J934" s="577">
        <f t="shared" si="160"/>
        <v>8.3458333333333336E-3</v>
      </c>
      <c r="K934" s="577">
        <f t="shared" si="161"/>
        <v>6.7270000000000012E-3</v>
      </c>
      <c r="L934" s="585">
        <f t="shared" si="157"/>
        <v>2.6240368639824929E-3</v>
      </c>
      <c r="M934" s="585">
        <f t="shared" si="158"/>
        <v>4.3200000000000002E-2</v>
      </c>
      <c r="N934" s="585">
        <f t="shared" si="151"/>
        <v>5.3449999999999998E-2</v>
      </c>
      <c r="O934" s="586">
        <f t="shared" si="159"/>
        <v>-4.0575963136017509E-2</v>
      </c>
      <c r="P934" s="585">
        <f t="shared" si="152"/>
        <v>-5.0825963136017505E-2</v>
      </c>
      <c r="Q934" s="585">
        <f t="shared" si="153"/>
        <v>-3.9468846811182234E-2</v>
      </c>
      <c r="R934" s="585">
        <f t="shared" si="154"/>
        <v>6.2075999999999992E-2</v>
      </c>
      <c r="S934" s="586">
        <f t="shared" si="155"/>
        <v>-0.10154484681118223</v>
      </c>
      <c r="U934" s="587"/>
      <c r="V934" s="587"/>
      <c r="W934" s="587"/>
      <c r="X934" s="587"/>
      <c r="Y934" s="587"/>
      <c r="Z934" s="587"/>
      <c r="AA934" s="587"/>
      <c r="AB934" s="587"/>
      <c r="AC934" s="587"/>
      <c r="AE934" s="587"/>
      <c r="AF934" s="587"/>
      <c r="AG934" s="587"/>
      <c r="AH934" s="587"/>
      <c r="AI934" s="587"/>
      <c r="AJ934" s="587"/>
      <c r="AK934" s="587"/>
      <c r="AL934" s="587"/>
      <c r="AM934" s="587"/>
      <c r="AO934" s="587"/>
      <c r="AP934" s="587"/>
      <c r="AQ934" s="587"/>
      <c r="AR934" s="587"/>
      <c r="AS934" s="587"/>
      <c r="AT934" s="587"/>
      <c r="AU934" s="587"/>
      <c r="AV934" s="587"/>
      <c r="AW934" s="587"/>
    </row>
    <row r="935" spans="1:49">
      <c r="A935" s="581">
        <v>37803</v>
      </c>
      <c r="B935" s="594">
        <v>1.7600000000000001E-2</v>
      </c>
      <c r="C935" s="577">
        <v>-6.5000000000000002E-2</v>
      </c>
      <c r="D935" s="577">
        <v>3.8E-3</v>
      </c>
      <c r="E935" s="577">
        <v>4.5750000000000001E-3</v>
      </c>
      <c r="F935" s="577">
        <v>5.058333333333334E-3</v>
      </c>
      <c r="G935" s="577">
        <v>4.816666666666667E-3</v>
      </c>
      <c r="H935" s="577">
        <v>5.4568333333333326E-3</v>
      </c>
      <c r="I935" s="577">
        <f t="shared" si="156"/>
        <v>1.3800000000000002E-2</v>
      </c>
      <c r="J935" s="577">
        <f t="shared" si="160"/>
        <v>1.2783333333333334E-2</v>
      </c>
      <c r="K935" s="577">
        <f t="shared" si="161"/>
        <v>-7.045683333333333E-2</v>
      </c>
      <c r="L935" s="585">
        <f t="shared" si="157"/>
        <v>0.10658375261690756</v>
      </c>
      <c r="M935" s="585">
        <f t="shared" si="158"/>
        <v>4.5600000000000002E-2</v>
      </c>
      <c r="N935" s="585">
        <f t="shared" si="151"/>
        <v>5.7800000000000004E-2</v>
      </c>
      <c r="O935" s="586">
        <f t="shared" si="159"/>
        <v>6.0983752616907555E-2</v>
      </c>
      <c r="P935" s="585">
        <f t="shared" si="152"/>
        <v>4.8783752616907552E-2</v>
      </c>
      <c r="Q935" s="585">
        <f t="shared" si="153"/>
        <v>4.1875438783694374E-2</v>
      </c>
      <c r="R935" s="585">
        <f t="shared" si="154"/>
        <v>6.5481999999999985E-2</v>
      </c>
      <c r="S935" s="586">
        <f t="shared" si="155"/>
        <v>-2.360656121630561E-2</v>
      </c>
      <c r="U935" s="587"/>
      <c r="V935" s="587"/>
      <c r="W935" s="587"/>
      <c r="X935" s="587"/>
      <c r="Y935" s="587"/>
      <c r="Z935" s="587"/>
      <c r="AA935" s="587"/>
      <c r="AB935" s="587"/>
      <c r="AC935" s="587"/>
      <c r="AE935" s="587"/>
      <c r="AF935" s="587"/>
      <c r="AG935" s="587"/>
      <c r="AH935" s="587"/>
      <c r="AI935" s="587"/>
      <c r="AJ935" s="587"/>
      <c r="AK935" s="587"/>
      <c r="AL935" s="587"/>
      <c r="AM935" s="587"/>
      <c r="AO935" s="587"/>
      <c r="AP935" s="587"/>
      <c r="AQ935" s="587"/>
      <c r="AR935" s="587"/>
      <c r="AS935" s="587"/>
      <c r="AT935" s="587"/>
      <c r="AU935" s="587"/>
      <c r="AV935" s="587"/>
      <c r="AW935" s="587"/>
    </row>
    <row r="936" spans="1:49">
      <c r="A936" s="581">
        <v>37834</v>
      </c>
      <c r="B936" s="594">
        <v>1.95E-2</v>
      </c>
      <c r="C936" s="577">
        <v>1.7499999999999998E-2</v>
      </c>
      <c r="D936" s="577">
        <v>4.1999999999999997E-3</v>
      </c>
      <c r="E936" s="577">
        <v>4.8916666666666666E-3</v>
      </c>
      <c r="F936" s="577">
        <v>5.2583333333333327E-3</v>
      </c>
      <c r="G936" s="577">
        <v>5.0749999999999997E-3</v>
      </c>
      <c r="H936" s="577">
        <v>5.6591666666666674E-3</v>
      </c>
      <c r="I936" s="577">
        <f t="shared" si="156"/>
        <v>1.5300000000000001E-2</v>
      </c>
      <c r="J936" s="577">
        <f t="shared" si="160"/>
        <v>1.4425E-2</v>
      </c>
      <c r="K936" s="577">
        <f t="shared" si="161"/>
        <v>1.1840833333333332E-2</v>
      </c>
      <c r="L936" s="585">
        <f t="shared" si="157"/>
        <v>0.12076508622385984</v>
      </c>
      <c r="M936" s="585">
        <f t="shared" si="158"/>
        <v>5.04E-2</v>
      </c>
      <c r="N936" s="585">
        <f t="shared" ref="N936:N999" si="162">G936*12</f>
        <v>6.0899999999999996E-2</v>
      </c>
      <c r="O936" s="586">
        <f t="shared" si="159"/>
        <v>7.0365086223859841E-2</v>
      </c>
      <c r="P936" s="585">
        <f t="shared" ref="P936:P999" si="163">L936-N936</f>
        <v>5.9865086223859845E-2</v>
      </c>
      <c r="Q936" s="585">
        <f t="shared" ref="Q936:Q999" si="164">((1+C925)*(1+C926)*(1+C927)*(1+C928)*(1+C929)*(1+C930)*(1+C931)*(1+C932)*(1+C933)*(1+C934)*(1+C935)*(1+C936))-1</f>
        <v>2.4259187403294025E-2</v>
      </c>
      <c r="R936" s="585">
        <f t="shared" ref="R936:R999" si="165">H936*12</f>
        <v>6.7910000000000012E-2</v>
      </c>
      <c r="S936" s="586">
        <f t="shared" ref="S936:S999" si="166">Q936-R936</f>
        <v>-4.3650812596705987E-2</v>
      </c>
      <c r="U936" s="587"/>
      <c r="V936" s="587"/>
      <c r="W936" s="587"/>
      <c r="X936" s="587"/>
      <c r="Y936" s="587"/>
      <c r="Z936" s="587"/>
      <c r="AA936" s="587"/>
      <c r="AB936" s="587"/>
      <c r="AC936" s="587"/>
      <c r="AE936" s="587"/>
      <c r="AF936" s="587"/>
      <c r="AG936" s="587"/>
      <c r="AH936" s="587"/>
      <c r="AI936" s="587"/>
      <c r="AJ936" s="587"/>
      <c r="AK936" s="587"/>
      <c r="AL936" s="587"/>
      <c r="AM936" s="587"/>
      <c r="AO936" s="587"/>
      <c r="AP936" s="587"/>
      <c r="AQ936" s="587"/>
      <c r="AR936" s="587"/>
      <c r="AS936" s="587"/>
      <c r="AT936" s="587"/>
      <c r="AU936" s="587"/>
      <c r="AV936" s="587"/>
      <c r="AW936" s="587"/>
    </row>
    <row r="937" spans="1:49">
      <c r="A937" s="581">
        <v>37865</v>
      </c>
      <c r="B937" s="594">
        <v>-1.06E-2</v>
      </c>
      <c r="C937" s="577">
        <v>4.5699999999999991E-2</v>
      </c>
      <c r="D937" s="577">
        <v>4.5999999999999999E-3</v>
      </c>
      <c r="E937" s="577">
        <v>4.7666666666666664E-3</v>
      </c>
      <c r="F937" s="577">
        <v>5.1083333333333336E-3</v>
      </c>
      <c r="G937" s="577">
        <v>4.9375E-3</v>
      </c>
      <c r="H937" s="577">
        <v>5.4869166666666669E-3</v>
      </c>
      <c r="I937" s="577">
        <f t="shared" si="156"/>
        <v>-1.52E-2</v>
      </c>
      <c r="J937" s="577">
        <f t="shared" si="160"/>
        <v>-1.5537499999999999E-2</v>
      </c>
      <c r="K937" s="577">
        <f t="shared" si="161"/>
        <v>4.0213083333333323E-2</v>
      </c>
      <c r="L937" s="585">
        <f t="shared" si="157"/>
        <v>0.24412092035216748</v>
      </c>
      <c r="M937" s="585">
        <f t="shared" si="158"/>
        <v>5.5199999999999999E-2</v>
      </c>
      <c r="N937" s="585">
        <f t="shared" si="162"/>
        <v>5.9249999999999997E-2</v>
      </c>
      <c r="O937" s="586">
        <f t="shared" si="159"/>
        <v>0.18892092035216748</v>
      </c>
      <c r="P937" s="585">
        <f t="shared" si="163"/>
        <v>0.18487092035216748</v>
      </c>
      <c r="Q937" s="585">
        <f t="shared" si="164"/>
        <v>0.22871152032536957</v>
      </c>
      <c r="R937" s="585">
        <f t="shared" si="165"/>
        <v>6.5842999999999999E-2</v>
      </c>
      <c r="S937" s="586">
        <f t="shared" si="166"/>
        <v>0.16286852032536958</v>
      </c>
      <c r="U937" s="587"/>
      <c r="V937" s="587"/>
      <c r="W937" s="587"/>
      <c r="X937" s="587"/>
      <c r="Y937" s="587"/>
      <c r="Z937" s="587"/>
      <c r="AA937" s="587"/>
      <c r="AB937" s="587"/>
      <c r="AC937" s="587"/>
      <c r="AE937" s="587"/>
      <c r="AF937" s="587"/>
      <c r="AG937" s="587"/>
      <c r="AH937" s="587"/>
      <c r="AI937" s="587"/>
      <c r="AJ937" s="587"/>
      <c r="AK937" s="587"/>
      <c r="AL937" s="587"/>
      <c r="AM937" s="587"/>
      <c r="AO937" s="587"/>
      <c r="AP937" s="587"/>
      <c r="AQ937" s="587"/>
      <c r="AR937" s="587"/>
      <c r="AS937" s="587"/>
      <c r="AT937" s="587"/>
      <c r="AU937" s="587"/>
      <c r="AV937" s="587"/>
      <c r="AW937" s="587"/>
    </row>
    <row r="938" spans="1:49">
      <c r="A938" s="581">
        <v>37895</v>
      </c>
      <c r="B938" s="594">
        <v>5.6599999999999998E-2</v>
      </c>
      <c r="C938" s="577">
        <v>1.1199999999999998E-2</v>
      </c>
      <c r="D938" s="577">
        <v>4.1000000000000003E-3</v>
      </c>
      <c r="E938" s="577">
        <v>4.7500000000000007E-3</v>
      </c>
      <c r="F938" s="577">
        <v>5.0916666666666662E-3</v>
      </c>
      <c r="G938" s="577">
        <v>4.9208333333333335E-3</v>
      </c>
      <c r="H938" s="577">
        <v>5.3500000000000006E-3</v>
      </c>
      <c r="I938" s="577">
        <f t="shared" si="156"/>
        <v>5.2499999999999998E-2</v>
      </c>
      <c r="J938" s="577">
        <f t="shared" si="160"/>
        <v>5.1679166666666665E-2</v>
      </c>
      <c r="K938" s="577">
        <f t="shared" si="161"/>
        <v>5.8499999999999976E-3</v>
      </c>
      <c r="L938" s="585">
        <f t="shared" si="157"/>
        <v>0.20821522467288611</v>
      </c>
      <c r="M938" s="585">
        <f t="shared" si="158"/>
        <v>4.9200000000000008E-2</v>
      </c>
      <c r="N938" s="585">
        <f t="shared" si="162"/>
        <v>5.9050000000000005E-2</v>
      </c>
      <c r="O938" s="586">
        <f t="shared" si="159"/>
        <v>0.15901522467288609</v>
      </c>
      <c r="P938" s="585">
        <f t="shared" si="163"/>
        <v>0.14916522467288612</v>
      </c>
      <c r="Q938" s="585">
        <f t="shared" si="164"/>
        <v>0.26434627999696136</v>
      </c>
      <c r="R938" s="585">
        <f t="shared" si="165"/>
        <v>6.4200000000000007E-2</v>
      </c>
      <c r="S938" s="586">
        <f t="shared" si="166"/>
        <v>0.20014627999696136</v>
      </c>
      <c r="U938" s="587"/>
      <c r="V938" s="587"/>
      <c r="W938" s="587"/>
      <c r="X938" s="587"/>
      <c r="Y938" s="587"/>
      <c r="Z938" s="587"/>
      <c r="AA938" s="587"/>
      <c r="AB938" s="587"/>
      <c r="AC938" s="587"/>
      <c r="AE938" s="587"/>
      <c r="AF938" s="587"/>
      <c r="AG938" s="587"/>
      <c r="AH938" s="587"/>
      <c r="AI938" s="587"/>
      <c r="AJ938" s="587"/>
      <c r="AK938" s="587"/>
      <c r="AL938" s="587"/>
      <c r="AM938" s="587"/>
      <c r="AO938" s="587"/>
      <c r="AP938" s="587"/>
      <c r="AQ938" s="587"/>
      <c r="AR938" s="587"/>
      <c r="AS938" s="587"/>
      <c r="AT938" s="587"/>
      <c r="AU938" s="587"/>
      <c r="AV938" s="587"/>
      <c r="AW938" s="587"/>
    </row>
    <row r="939" spans="1:49">
      <c r="A939" s="581">
        <v>37926</v>
      </c>
      <c r="B939" s="594">
        <v>8.8000000000000005E-3</v>
      </c>
      <c r="C939" s="577">
        <v>-5.0000000000000001E-4</v>
      </c>
      <c r="D939" s="577">
        <v>3.8999999999999994E-3</v>
      </c>
      <c r="E939" s="577">
        <v>4.7083333333333335E-3</v>
      </c>
      <c r="F939" s="577">
        <v>5.0666666666666672E-3</v>
      </c>
      <c r="G939" s="577">
        <v>4.8875000000000004E-3</v>
      </c>
      <c r="H939" s="577">
        <v>5.3093333333333334E-3</v>
      </c>
      <c r="I939" s="577">
        <f t="shared" si="156"/>
        <v>4.9000000000000016E-3</v>
      </c>
      <c r="J939" s="577">
        <f t="shared" si="160"/>
        <v>3.9125000000000002E-3</v>
      </c>
      <c r="K939" s="577">
        <f t="shared" si="161"/>
        <v>-5.809333333333333E-3</v>
      </c>
      <c r="L939" s="585">
        <f t="shared" si="157"/>
        <v>0.15105063617906067</v>
      </c>
      <c r="M939" s="585">
        <f t="shared" si="158"/>
        <v>4.6799999999999994E-2</v>
      </c>
      <c r="N939" s="585">
        <f t="shared" si="162"/>
        <v>5.8650000000000008E-2</v>
      </c>
      <c r="O939" s="586">
        <f t="shared" si="159"/>
        <v>0.10425063617906068</v>
      </c>
      <c r="P939" s="585">
        <f t="shared" si="163"/>
        <v>9.2400636179060663E-2</v>
      </c>
      <c r="Q939" s="585">
        <f t="shared" si="164"/>
        <v>0.23301210543171358</v>
      </c>
      <c r="R939" s="585">
        <f t="shared" si="165"/>
        <v>6.3712000000000005E-2</v>
      </c>
      <c r="S939" s="586">
        <f t="shared" si="166"/>
        <v>0.16930010543171359</v>
      </c>
      <c r="U939" s="587"/>
      <c r="V939" s="587"/>
      <c r="W939" s="587"/>
      <c r="X939" s="587"/>
      <c r="Y939" s="587"/>
      <c r="Z939" s="587"/>
      <c r="AA939" s="587"/>
      <c r="AB939" s="587"/>
      <c r="AC939" s="587"/>
      <c r="AE939" s="587"/>
      <c r="AF939" s="587"/>
      <c r="AG939" s="587"/>
      <c r="AH939" s="587"/>
      <c r="AI939" s="587"/>
      <c r="AJ939" s="587"/>
      <c r="AK939" s="587"/>
      <c r="AL939" s="587"/>
      <c r="AM939" s="587"/>
      <c r="AO939" s="587"/>
      <c r="AP939" s="587"/>
      <c r="AQ939" s="587"/>
      <c r="AR939" s="587"/>
      <c r="AS939" s="587"/>
      <c r="AT939" s="587"/>
      <c r="AU939" s="587"/>
      <c r="AV939" s="587"/>
      <c r="AW939" s="587"/>
    </row>
    <row r="940" spans="1:49">
      <c r="A940" s="581">
        <v>37956</v>
      </c>
      <c r="B940" s="594">
        <v>5.2400000000000002E-2</v>
      </c>
      <c r="C940" s="577">
        <v>6.7499999999999991E-2</v>
      </c>
      <c r="D940" s="577">
        <v>4.7000000000000002E-3</v>
      </c>
      <c r="E940" s="577">
        <v>4.7083333333333335E-3</v>
      </c>
      <c r="F940" s="577">
        <v>5.0166666666666658E-3</v>
      </c>
      <c r="G940" s="577">
        <v>4.8624999999999996E-3</v>
      </c>
      <c r="H940" s="577">
        <v>5.2325000000000002E-3</v>
      </c>
      <c r="I940" s="577">
        <f t="shared" si="156"/>
        <v>4.7699999999999999E-2</v>
      </c>
      <c r="J940" s="577">
        <f t="shared" si="160"/>
        <v>4.7537500000000003E-2</v>
      </c>
      <c r="K940" s="577">
        <f t="shared" si="161"/>
        <v>6.226749999999999E-2</v>
      </c>
      <c r="L940" s="585">
        <f t="shared" si="157"/>
        <v>0.28690713854758698</v>
      </c>
      <c r="M940" s="585">
        <f t="shared" si="158"/>
        <v>5.6400000000000006E-2</v>
      </c>
      <c r="N940" s="585">
        <f t="shared" si="162"/>
        <v>5.8349999999999999E-2</v>
      </c>
      <c r="O940" s="586">
        <f t="shared" si="159"/>
        <v>0.23050713854758698</v>
      </c>
      <c r="P940" s="585">
        <f t="shared" si="163"/>
        <v>0.22855713854758697</v>
      </c>
      <c r="Q940" s="585">
        <f t="shared" si="164"/>
        <v>0.26367168063398005</v>
      </c>
      <c r="R940" s="585">
        <f t="shared" si="165"/>
        <v>6.2789999999999999E-2</v>
      </c>
      <c r="S940" s="586">
        <f t="shared" si="166"/>
        <v>0.20088168063398004</v>
      </c>
      <c r="U940" s="587"/>
      <c r="V940" s="587"/>
      <c r="W940" s="587"/>
      <c r="X940" s="587"/>
      <c r="Y940" s="587"/>
      <c r="Z940" s="587"/>
      <c r="AA940" s="587"/>
      <c r="AB940" s="587"/>
      <c r="AC940" s="587"/>
      <c r="AE940" s="587"/>
      <c r="AF940" s="587"/>
      <c r="AG940" s="587"/>
      <c r="AH940" s="587"/>
      <c r="AI940" s="587"/>
      <c r="AJ940" s="587"/>
      <c r="AK940" s="587"/>
      <c r="AL940" s="587"/>
      <c r="AM940" s="587"/>
      <c r="AO940" s="587"/>
      <c r="AP940" s="587"/>
      <c r="AQ940" s="587"/>
      <c r="AR940" s="587"/>
      <c r="AS940" s="587"/>
      <c r="AT940" s="587"/>
      <c r="AU940" s="587"/>
      <c r="AV940" s="587"/>
      <c r="AW940" s="587"/>
    </row>
    <row r="941" spans="1:49">
      <c r="A941" s="581">
        <v>37987</v>
      </c>
      <c r="B941" s="594">
        <v>1.84E-2</v>
      </c>
      <c r="C941" s="577">
        <v>2.1599999999999998E-2</v>
      </c>
      <c r="D941" s="577">
        <v>4.1999999999999997E-3</v>
      </c>
      <c r="E941" s="577">
        <v>4.6166666666666665E-3</v>
      </c>
      <c r="F941" s="577">
        <v>4.9249999999999997E-3</v>
      </c>
      <c r="G941" s="577">
        <v>4.7708333333333327E-3</v>
      </c>
      <c r="H941" s="577">
        <v>5.1280833333333335E-3</v>
      </c>
      <c r="I941" s="577">
        <f t="shared" si="156"/>
        <v>1.4200000000000001E-2</v>
      </c>
      <c r="J941" s="577">
        <f t="shared" si="160"/>
        <v>1.3629166666666668E-2</v>
      </c>
      <c r="K941" s="577">
        <f t="shared" si="161"/>
        <v>1.6471916666666662E-2</v>
      </c>
      <c r="L941" s="585">
        <f t="shared" si="157"/>
        <v>0.34584743263181572</v>
      </c>
      <c r="M941" s="585">
        <f t="shared" si="158"/>
        <v>5.04E-2</v>
      </c>
      <c r="N941" s="585">
        <f t="shared" si="162"/>
        <v>5.7249999999999995E-2</v>
      </c>
      <c r="O941" s="586">
        <f t="shared" si="159"/>
        <v>0.29544743263181572</v>
      </c>
      <c r="P941" s="585">
        <f t="shared" si="163"/>
        <v>0.2885974326318157</v>
      </c>
      <c r="Q941" s="585">
        <f t="shared" si="164"/>
        <v>0.32979706318054602</v>
      </c>
      <c r="R941" s="585">
        <f t="shared" si="165"/>
        <v>6.1537000000000001E-2</v>
      </c>
      <c r="S941" s="586">
        <f t="shared" si="166"/>
        <v>0.26826006318054602</v>
      </c>
      <c r="U941" s="587"/>
      <c r="V941" s="587"/>
      <c r="W941" s="587"/>
      <c r="X941" s="587"/>
      <c r="Y941" s="587"/>
      <c r="Z941" s="587"/>
      <c r="AA941" s="587"/>
      <c r="AB941" s="587"/>
      <c r="AC941" s="587"/>
      <c r="AE941" s="587"/>
      <c r="AF941" s="587"/>
      <c r="AG941" s="587"/>
      <c r="AH941" s="587"/>
      <c r="AI941" s="587"/>
      <c r="AJ941" s="587"/>
      <c r="AK941" s="587"/>
      <c r="AL941" s="587"/>
      <c r="AM941" s="587"/>
      <c r="AO941" s="587"/>
      <c r="AP941" s="587"/>
      <c r="AQ941" s="587"/>
      <c r="AR941" s="587"/>
      <c r="AS941" s="587"/>
      <c r="AT941" s="587"/>
      <c r="AU941" s="587"/>
      <c r="AV941" s="587"/>
      <c r="AW941" s="587"/>
    </row>
    <row r="942" spans="1:49">
      <c r="A942" s="581">
        <v>38018</v>
      </c>
      <c r="B942" s="594">
        <v>1.3899999999999999E-2</v>
      </c>
      <c r="C942" s="577">
        <v>1.8100000000000002E-2</v>
      </c>
      <c r="D942" s="577">
        <v>3.8E-3</v>
      </c>
      <c r="E942" s="577">
        <v>4.5833333333333334E-3</v>
      </c>
      <c r="F942" s="577">
        <v>4.8916666666666666E-3</v>
      </c>
      <c r="G942" s="577">
        <v>4.7375000000000004E-3</v>
      </c>
      <c r="H942" s="577">
        <v>5.1250000000000011E-3</v>
      </c>
      <c r="I942" s="577">
        <f t="shared" si="156"/>
        <v>1.01E-2</v>
      </c>
      <c r="J942" s="577">
        <f t="shared" si="160"/>
        <v>9.1624999999999988E-3</v>
      </c>
      <c r="K942" s="577">
        <f t="shared" si="161"/>
        <v>1.2975E-2</v>
      </c>
      <c r="L942" s="585">
        <f t="shared" si="157"/>
        <v>0.38533473293949094</v>
      </c>
      <c r="M942" s="585">
        <f t="shared" si="158"/>
        <v>4.5600000000000002E-2</v>
      </c>
      <c r="N942" s="585">
        <f t="shared" si="162"/>
        <v>5.6850000000000005E-2</v>
      </c>
      <c r="O942" s="586">
        <f t="shared" si="159"/>
        <v>0.33973473293949097</v>
      </c>
      <c r="P942" s="585">
        <f t="shared" si="163"/>
        <v>0.32848473293949093</v>
      </c>
      <c r="Q942" s="585">
        <f t="shared" si="164"/>
        <v>0.42362396427351645</v>
      </c>
      <c r="R942" s="585">
        <f t="shared" si="165"/>
        <v>6.1500000000000013E-2</v>
      </c>
      <c r="S942" s="586">
        <f t="shared" si="166"/>
        <v>0.36212396427351645</v>
      </c>
      <c r="U942" s="587"/>
      <c r="V942" s="587"/>
      <c r="W942" s="587"/>
      <c r="X942" s="587"/>
      <c r="Y942" s="587"/>
      <c r="Z942" s="587"/>
      <c r="AA942" s="587"/>
      <c r="AB942" s="587"/>
      <c r="AC942" s="587"/>
      <c r="AE942" s="587"/>
      <c r="AF942" s="587"/>
      <c r="AG942" s="587"/>
      <c r="AH942" s="587"/>
      <c r="AI942" s="587"/>
      <c r="AJ942" s="587"/>
      <c r="AK942" s="587"/>
      <c r="AL942" s="587"/>
      <c r="AM942" s="587"/>
      <c r="AO942" s="587"/>
      <c r="AP942" s="587"/>
      <c r="AQ942" s="587"/>
      <c r="AR942" s="587"/>
      <c r="AS942" s="587"/>
      <c r="AT942" s="587"/>
      <c r="AU942" s="587"/>
      <c r="AV942" s="587"/>
      <c r="AW942" s="587"/>
    </row>
    <row r="943" spans="1:49">
      <c r="A943" s="581">
        <v>38047</v>
      </c>
      <c r="B943" s="594">
        <v>-1.5100000000000001E-2</v>
      </c>
      <c r="C943" s="577">
        <v>1.04E-2</v>
      </c>
      <c r="D943" s="577">
        <v>4.3E-3</v>
      </c>
      <c r="E943" s="577">
        <v>4.4416666666666667E-3</v>
      </c>
      <c r="F943" s="577">
        <v>4.7500000000000007E-3</v>
      </c>
      <c r="G943" s="577">
        <v>4.5958333333333337E-3</v>
      </c>
      <c r="H943" s="577">
        <v>4.9753333333333333E-3</v>
      </c>
      <c r="I943" s="577">
        <f t="shared" si="156"/>
        <v>-1.9400000000000001E-2</v>
      </c>
      <c r="J943" s="577">
        <f t="shared" si="160"/>
        <v>-1.9695833333333336E-2</v>
      </c>
      <c r="K943" s="577">
        <f t="shared" si="161"/>
        <v>5.4246666666666662E-3</v>
      </c>
      <c r="L943" s="585">
        <f t="shared" si="157"/>
        <v>0.35130848615638732</v>
      </c>
      <c r="M943" s="585">
        <f t="shared" si="158"/>
        <v>5.16E-2</v>
      </c>
      <c r="N943" s="585">
        <f t="shared" si="162"/>
        <v>5.5150000000000005E-2</v>
      </c>
      <c r="O943" s="586">
        <f t="shared" si="159"/>
        <v>0.29970848615638734</v>
      </c>
      <c r="P943" s="585">
        <f t="shared" si="163"/>
        <v>0.29615848615638729</v>
      </c>
      <c r="Q943" s="585">
        <f t="shared" si="164"/>
        <v>0.36928096478054373</v>
      </c>
      <c r="R943" s="585">
        <f t="shared" si="165"/>
        <v>5.9704E-2</v>
      </c>
      <c r="S943" s="586">
        <f t="shared" si="166"/>
        <v>0.30957696478054375</v>
      </c>
      <c r="U943" s="587"/>
      <c r="V943" s="587"/>
      <c r="W943" s="587"/>
      <c r="X943" s="587"/>
      <c r="Y943" s="587"/>
      <c r="Z943" s="587"/>
      <c r="AA943" s="587"/>
      <c r="AB943" s="587"/>
      <c r="AC943" s="587"/>
      <c r="AE943" s="587"/>
      <c r="AF943" s="587"/>
      <c r="AG943" s="587"/>
      <c r="AH943" s="587"/>
      <c r="AI943" s="587"/>
      <c r="AJ943" s="587"/>
      <c r="AK943" s="587"/>
      <c r="AL943" s="587"/>
      <c r="AM943" s="587"/>
      <c r="AO943" s="587"/>
      <c r="AP943" s="587"/>
      <c r="AQ943" s="587"/>
      <c r="AR943" s="587"/>
      <c r="AS943" s="587"/>
      <c r="AT943" s="587"/>
      <c r="AU943" s="587"/>
      <c r="AV943" s="587"/>
      <c r="AW943" s="587"/>
    </row>
    <row r="944" spans="1:49">
      <c r="A944" s="581">
        <v>38078</v>
      </c>
      <c r="B944" s="594">
        <v>-1.5699999999999999E-2</v>
      </c>
      <c r="C944" s="577">
        <v>-3.6199999999999996E-2</v>
      </c>
      <c r="D944" s="577">
        <v>3.8999999999999994E-3</v>
      </c>
      <c r="E944" s="577">
        <v>4.7750000000000006E-3</v>
      </c>
      <c r="F944" s="577">
        <v>5.0833333333333329E-3</v>
      </c>
      <c r="G944" s="577">
        <v>4.9291666666666668E-3</v>
      </c>
      <c r="H944" s="577">
        <v>5.2710000000000005E-3</v>
      </c>
      <c r="I944" s="577">
        <f t="shared" si="156"/>
        <v>-1.9599999999999999E-2</v>
      </c>
      <c r="J944" s="577">
        <f t="shared" si="160"/>
        <v>-2.0629166666666664E-2</v>
      </c>
      <c r="K944" s="577">
        <f t="shared" si="161"/>
        <v>-4.1470999999999994E-2</v>
      </c>
      <c r="L944" s="585">
        <f t="shared" si="157"/>
        <v>0.22883679131904278</v>
      </c>
      <c r="M944" s="585">
        <f t="shared" si="158"/>
        <v>4.6799999999999994E-2</v>
      </c>
      <c r="N944" s="585">
        <f t="shared" si="162"/>
        <v>5.9150000000000001E-2</v>
      </c>
      <c r="O944" s="586">
        <f t="shared" si="159"/>
        <v>0.18203679131904277</v>
      </c>
      <c r="P944" s="585">
        <f t="shared" si="163"/>
        <v>0.16968679131904277</v>
      </c>
      <c r="Q944" s="585">
        <f t="shared" si="164"/>
        <v>0.21241432600412247</v>
      </c>
      <c r="R944" s="585">
        <f t="shared" si="165"/>
        <v>6.3252000000000003E-2</v>
      </c>
      <c r="S944" s="586">
        <f t="shared" si="166"/>
        <v>0.14916232600412246</v>
      </c>
      <c r="U944" s="587"/>
      <c r="V944" s="587"/>
      <c r="W944" s="587"/>
      <c r="X944" s="587"/>
      <c r="Y944" s="587"/>
      <c r="Z944" s="587"/>
      <c r="AA944" s="587"/>
      <c r="AB944" s="587"/>
      <c r="AC944" s="587"/>
      <c r="AE944" s="587"/>
      <c r="AF944" s="587"/>
      <c r="AG944" s="587"/>
      <c r="AH944" s="587"/>
      <c r="AI944" s="587"/>
      <c r="AJ944" s="587"/>
      <c r="AK944" s="587"/>
      <c r="AL944" s="587"/>
      <c r="AM944" s="587"/>
      <c r="AO944" s="587"/>
      <c r="AP944" s="587"/>
      <c r="AQ944" s="587"/>
      <c r="AR944" s="587"/>
      <c r="AS944" s="587"/>
      <c r="AT944" s="587"/>
      <c r="AU944" s="587"/>
      <c r="AV944" s="587"/>
      <c r="AW944" s="587"/>
    </row>
    <row r="945" spans="1:49">
      <c r="A945" s="581">
        <v>38108</v>
      </c>
      <c r="B945" s="594">
        <v>1.37E-2</v>
      </c>
      <c r="C945" s="577">
        <v>7.9000000000000008E-3</v>
      </c>
      <c r="D945" s="577">
        <v>4.0000000000000001E-3</v>
      </c>
      <c r="E945" s="577">
        <v>5.0333333333333332E-3</v>
      </c>
      <c r="F945" s="577">
        <v>5.3333333333333332E-3</v>
      </c>
      <c r="G945" s="577">
        <v>5.1833333333333332E-3</v>
      </c>
      <c r="H945" s="577">
        <v>5.5170833333333339E-3</v>
      </c>
      <c r="I945" s="577">
        <f t="shared" si="156"/>
        <v>9.7000000000000003E-3</v>
      </c>
      <c r="J945" s="577">
        <f t="shared" si="160"/>
        <v>8.5166666666666672E-3</v>
      </c>
      <c r="K945" s="577">
        <f t="shared" si="161"/>
        <v>2.3829166666666669E-3</v>
      </c>
      <c r="L945" s="585">
        <f t="shared" si="157"/>
        <v>0.18331134735453003</v>
      </c>
      <c r="M945" s="585">
        <f t="shared" si="158"/>
        <v>4.8000000000000001E-2</v>
      </c>
      <c r="N945" s="585">
        <f t="shared" si="162"/>
        <v>6.2199999999999998E-2</v>
      </c>
      <c r="O945" s="586">
        <f t="shared" si="159"/>
        <v>0.13531134735453004</v>
      </c>
      <c r="P945" s="585">
        <f t="shared" si="163"/>
        <v>0.12111134735453002</v>
      </c>
      <c r="Q945" s="585">
        <f t="shared" si="164"/>
        <v>0.10878540892800559</v>
      </c>
      <c r="R945" s="585">
        <f t="shared" si="165"/>
        <v>6.6205000000000014E-2</v>
      </c>
      <c r="S945" s="586">
        <f t="shared" si="166"/>
        <v>4.2580408928005575E-2</v>
      </c>
      <c r="U945" s="587"/>
      <c r="V945" s="587"/>
      <c r="W945" s="587"/>
      <c r="X945" s="587"/>
      <c r="Y945" s="587"/>
      <c r="Z945" s="587"/>
      <c r="AA945" s="587"/>
      <c r="AB945" s="587"/>
      <c r="AC945" s="587"/>
      <c r="AE945" s="587"/>
      <c r="AF945" s="587"/>
      <c r="AG945" s="587"/>
      <c r="AH945" s="587"/>
      <c r="AI945" s="587"/>
      <c r="AJ945" s="587"/>
      <c r="AK945" s="587"/>
      <c r="AL945" s="587"/>
      <c r="AM945" s="587"/>
      <c r="AO945" s="587"/>
      <c r="AP945" s="587"/>
      <c r="AQ945" s="587"/>
      <c r="AR945" s="587"/>
      <c r="AS945" s="587"/>
      <c r="AT945" s="587"/>
      <c r="AU945" s="587"/>
      <c r="AV945" s="587"/>
      <c r="AW945" s="587"/>
    </row>
    <row r="946" spans="1:49">
      <c r="A946" s="581">
        <v>38139</v>
      </c>
      <c r="B946" s="594">
        <v>1.9400000000000001E-2</v>
      </c>
      <c r="C946" s="577">
        <v>1.55E-2</v>
      </c>
      <c r="D946" s="577">
        <v>4.7999999999999996E-3</v>
      </c>
      <c r="E946" s="577">
        <v>5.0083333333333334E-3</v>
      </c>
      <c r="F946" s="577">
        <v>5.1749999999999999E-3</v>
      </c>
      <c r="G946" s="577">
        <v>5.0916666666666662E-3</v>
      </c>
      <c r="H946" s="577">
        <v>5.3876666666666673E-3</v>
      </c>
      <c r="I946" s="577">
        <f t="shared" si="156"/>
        <v>1.4600000000000002E-2</v>
      </c>
      <c r="J946" s="577">
        <f t="shared" si="160"/>
        <v>1.4308333333333334E-2</v>
      </c>
      <c r="K946" s="577">
        <f t="shared" si="161"/>
        <v>1.0112333333333333E-2</v>
      </c>
      <c r="L946" s="585">
        <f t="shared" si="157"/>
        <v>0.19102249949961325</v>
      </c>
      <c r="M946" s="585">
        <f t="shared" si="158"/>
        <v>5.7599999999999998E-2</v>
      </c>
      <c r="N946" s="585">
        <f t="shared" si="162"/>
        <v>6.1099999999999995E-2</v>
      </c>
      <c r="O946" s="586">
        <f t="shared" si="159"/>
        <v>0.13342249949961327</v>
      </c>
      <c r="P946" s="585">
        <f t="shared" si="163"/>
        <v>0.12992249949961326</v>
      </c>
      <c r="Q946" s="585">
        <f t="shared" si="164"/>
        <v>0.11273009464017236</v>
      </c>
      <c r="R946" s="585">
        <f t="shared" si="165"/>
        <v>6.4652000000000015E-2</v>
      </c>
      <c r="S946" s="586">
        <f t="shared" si="166"/>
        <v>4.8078094640172347E-2</v>
      </c>
      <c r="U946" s="587"/>
      <c r="V946" s="587"/>
      <c r="W946" s="587"/>
      <c r="X946" s="587"/>
      <c r="Y946" s="587"/>
      <c r="Z946" s="587"/>
      <c r="AA946" s="587"/>
      <c r="AB946" s="587"/>
      <c r="AC946" s="587"/>
      <c r="AE946" s="587"/>
      <c r="AF946" s="587"/>
      <c r="AG946" s="587"/>
      <c r="AH946" s="587"/>
      <c r="AI946" s="587"/>
      <c r="AJ946" s="587"/>
      <c r="AK946" s="587"/>
      <c r="AL946" s="587"/>
      <c r="AM946" s="587"/>
      <c r="AO946" s="587"/>
      <c r="AP946" s="587"/>
      <c r="AQ946" s="587"/>
      <c r="AR946" s="587"/>
      <c r="AS946" s="587"/>
      <c r="AT946" s="587"/>
      <c r="AU946" s="587"/>
      <c r="AV946" s="587"/>
      <c r="AW946" s="587"/>
    </row>
    <row r="947" spans="1:49">
      <c r="A947" s="581">
        <v>38169</v>
      </c>
      <c r="B947" s="594">
        <v>-3.3099999999999997E-2</v>
      </c>
      <c r="C947" s="577">
        <v>1.7299999999999999E-2</v>
      </c>
      <c r="D947" s="577">
        <v>4.3E-3</v>
      </c>
      <c r="E947" s="577">
        <v>4.8500000000000001E-3</v>
      </c>
      <c r="F947" s="577">
        <v>5.0166666666666658E-3</v>
      </c>
      <c r="G947" s="577">
        <v>4.933333333333333E-3</v>
      </c>
      <c r="H947" s="577">
        <v>5.2270000000000007E-3</v>
      </c>
      <c r="I947" s="577">
        <f t="shared" si="156"/>
        <v>-3.7399999999999996E-2</v>
      </c>
      <c r="J947" s="577">
        <f t="shared" si="160"/>
        <v>-3.8033333333333329E-2</v>
      </c>
      <c r="K947" s="577">
        <f t="shared" si="161"/>
        <v>1.2072999999999999E-2</v>
      </c>
      <c r="L947" s="585">
        <f t="shared" si="157"/>
        <v>0.13168205067430816</v>
      </c>
      <c r="M947" s="585">
        <f t="shared" si="158"/>
        <v>5.16E-2</v>
      </c>
      <c r="N947" s="585">
        <f t="shared" si="162"/>
        <v>5.9199999999999996E-2</v>
      </c>
      <c r="O947" s="586">
        <f t="shared" si="159"/>
        <v>8.0082050674308153E-2</v>
      </c>
      <c r="P947" s="585">
        <f t="shared" si="163"/>
        <v>7.2482050674308157E-2</v>
      </c>
      <c r="Q947" s="585">
        <f t="shared" si="164"/>
        <v>0.21067414468176149</v>
      </c>
      <c r="R947" s="585">
        <f t="shared" si="165"/>
        <v>6.2724000000000002E-2</v>
      </c>
      <c r="S947" s="586">
        <f t="shared" si="166"/>
        <v>0.14795014468176149</v>
      </c>
      <c r="U947" s="587"/>
      <c r="V947" s="587"/>
      <c r="W947" s="587"/>
      <c r="X947" s="587"/>
      <c r="Y947" s="587"/>
      <c r="Z947" s="587"/>
      <c r="AA947" s="587"/>
      <c r="AB947" s="587"/>
      <c r="AC947" s="587"/>
      <c r="AE947" s="587"/>
      <c r="AF947" s="587"/>
      <c r="AG947" s="587"/>
      <c r="AH947" s="587"/>
      <c r="AI947" s="587"/>
      <c r="AJ947" s="587"/>
      <c r="AK947" s="587"/>
      <c r="AL947" s="587"/>
      <c r="AM947" s="587"/>
      <c r="AO947" s="587"/>
      <c r="AP947" s="587"/>
      <c r="AQ947" s="587"/>
      <c r="AR947" s="587"/>
      <c r="AS947" s="587"/>
      <c r="AT947" s="587"/>
      <c r="AU947" s="587"/>
      <c r="AV947" s="587"/>
      <c r="AW947" s="587"/>
    </row>
    <row r="948" spans="1:49">
      <c r="A948" s="581">
        <v>38200</v>
      </c>
      <c r="B948" s="594">
        <v>4.0000000000000001E-3</v>
      </c>
      <c r="C948" s="577">
        <v>3.9300000000000002E-2</v>
      </c>
      <c r="D948" s="577">
        <v>4.4999999999999997E-3</v>
      </c>
      <c r="E948" s="577">
        <v>4.7083333333333335E-3</v>
      </c>
      <c r="F948" s="577">
        <v>4.8916666666666666E-3</v>
      </c>
      <c r="G948" s="577">
        <v>4.8000000000000004E-3</v>
      </c>
      <c r="H948" s="577">
        <v>5.1234999999999996E-3</v>
      </c>
      <c r="I948" s="577">
        <f t="shared" si="156"/>
        <v>-4.9999999999999958E-4</v>
      </c>
      <c r="J948" s="577">
        <f t="shared" si="160"/>
        <v>-8.0000000000000036E-4</v>
      </c>
      <c r="K948" s="577">
        <f t="shared" si="161"/>
        <v>3.4176499999999999E-2</v>
      </c>
      <c r="L948" s="585">
        <f t="shared" si="157"/>
        <v>0.11447648737322713</v>
      </c>
      <c r="M948" s="585">
        <f t="shared" si="158"/>
        <v>5.3999999999999992E-2</v>
      </c>
      <c r="N948" s="585">
        <f t="shared" si="162"/>
        <v>5.7600000000000005E-2</v>
      </c>
      <c r="O948" s="586">
        <f t="shared" si="159"/>
        <v>6.0476487373227139E-2</v>
      </c>
      <c r="P948" s="585">
        <f t="shared" si="163"/>
        <v>5.6876487373227126E-2</v>
      </c>
      <c r="Q948" s="585">
        <f t="shared" si="164"/>
        <v>0.23661291259730199</v>
      </c>
      <c r="R948" s="585">
        <f t="shared" si="165"/>
        <v>6.1481999999999995E-2</v>
      </c>
      <c r="S948" s="586">
        <f t="shared" si="166"/>
        <v>0.17513091259730201</v>
      </c>
      <c r="U948" s="587"/>
      <c r="V948" s="587"/>
      <c r="W948" s="587"/>
      <c r="X948" s="587"/>
      <c r="Y948" s="587"/>
      <c r="Z948" s="587"/>
      <c r="AA948" s="587"/>
      <c r="AB948" s="587"/>
      <c r="AC948" s="587"/>
      <c r="AE948" s="587"/>
      <c r="AF948" s="587"/>
      <c r="AG948" s="587"/>
      <c r="AH948" s="587"/>
      <c r="AI948" s="587"/>
      <c r="AJ948" s="587"/>
      <c r="AK948" s="587"/>
      <c r="AL948" s="587"/>
      <c r="AM948" s="587"/>
      <c r="AO948" s="587"/>
      <c r="AP948" s="587"/>
      <c r="AQ948" s="587"/>
      <c r="AR948" s="587"/>
      <c r="AS948" s="587"/>
      <c r="AT948" s="587"/>
      <c r="AU948" s="587"/>
      <c r="AV948" s="587"/>
      <c r="AW948" s="587"/>
    </row>
    <row r="949" spans="1:49">
      <c r="A949" s="581">
        <v>38231</v>
      </c>
      <c r="B949" s="594">
        <v>1.0800000000000001E-2</v>
      </c>
      <c r="C949" s="577">
        <v>9.1000000000000004E-3</v>
      </c>
      <c r="D949" s="577">
        <v>4.0000000000000001E-3</v>
      </c>
      <c r="E949" s="577">
        <v>4.5500000000000002E-3</v>
      </c>
      <c r="F949" s="577">
        <v>4.7750000000000006E-3</v>
      </c>
      <c r="G949" s="577">
        <v>4.6625000000000008E-3</v>
      </c>
      <c r="H949" s="577">
        <v>4.9853333333333329E-3</v>
      </c>
      <c r="I949" s="577">
        <f t="shared" si="156"/>
        <v>6.8000000000000005E-3</v>
      </c>
      <c r="J949" s="577">
        <f t="shared" si="160"/>
        <v>6.1374999999999997E-3</v>
      </c>
      <c r="K949" s="577">
        <f t="shared" si="161"/>
        <v>4.1146666666666675E-3</v>
      </c>
      <c r="L949" s="585">
        <f t="shared" si="157"/>
        <v>0.13858180052239555</v>
      </c>
      <c r="M949" s="585">
        <f t="shared" si="158"/>
        <v>4.8000000000000001E-2</v>
      </c>
      <c r="N949" s="585">
        <f t="shared" si="162"/>
        <v>5.5950000000000014E-2</v>
      </c>
      <c r="O949" s="586">
        <f t="shared" si="159"/>
        <v>9.0581800522395547E-2</v>
      </c>
      <c r="P949" s="585">
        <f t="shared" si="163"/>
        <v>8.2631800522395535E-2</v>
      </c>
      <c r="Q949" s="585">
        <f t="shared" si="164"/>
        <v>0.19333086937165311</v>
      </c>
      <c r="R949" s="585">
        <f t="shared" si="165"/>
        <v>5.9823999999999995E-2</v>
      </c>
      <c r="S949" s="586">
        <f t="shared" si="166"/>
        <v>0.13350686937165313</v>
      </c>
      <c r="U949" s="587"/>
      <c r="V949" s="587"/>
      <c r="W949" s="587"/>
      <c r="X949" s="587"/>
      <c r="Y949" s="587"/>
      <c r="Z949" s="587"/>
      <c r="AA949" s="587"/>
      <c r="AB949" s="587"/>
      <c r="AC949" s="587"/>
      <c r="AE949" s="587"/>
      <c r="AF949" s="587"/>
      <c r="AG949" s="587"/>
      <c r="AH949" s="587"/>
      <c r="AI949" s="587"/>
      <c r="AJ949" s="587"/>
      <c r="AK949" s="587"/>
      <c r="AL949" s="587"/>
      <c r="AM949" s="587"/>
      <c r="AO949" s="587"/>
      <c r="AP949" s="587"/>
      <c r="AQ949" s="587"/>
      <c r="AR949" s="587"/>
      <c r="AS949" s="587"/>
      <c r="AT949" s="587"/>
      <c r="AU949" s="587"/>
      <c r="AV949" s="587"/>
      <c r="AW949" s="587"/>
    </row>
    <row r="950" spans="1:49">
      <c r="A950" s="581">
        <v>38261</v>
      </c>
      <c r="B950" s="594">
        <v>1.5299999999999999E-2</v>
      </c>
      <c r="C950" s="577">
        <v>4.9499999999999995E-2</v>
      </c>
      <c r="D950" s="577">
        <v>3.8E-3</v>
      </c>
      <c r="E950" s="577">
        <v>4.5583333333333335E-3</v>
      </c>
      <c r="F950" s="577">
        <v>4.7416666666666666E-3</v>
      </c>
      <c r="G950" s="577">
        <v>4.6499999999999996E-3</v>
      </c>
      <c r="H950" s="577">
        <v>4.9920833333333327E-3</v>
      </c>
      <c r="I950" s="577">
        <f t="shared" si="156"/>
        <v>1.15E-2</v>
      </c>
      <c r="J950" s="577">
        <f t="shared" si="160"/>
        <v>1.065E-2</v>
      </c>
      <c r="K950" s="577">
        <f t="shared" si="161"/>
        <v>4.4507916666666661E-2</v>
      </c>
      <c r="L950" s="585">
        <f t="shared" si="157"/>
        <v>9.4077325449922977E-2</v>
      </c>
      <c r="M950" s="585">
        <f t="shared" si="158"/>
        <v>4.5600000000000002E-2</v>
      </c>
      <c r="N950" s="585">
        <f t="shared" si="162"/>
        <v>5.5799999999999995E-2</v>
      </c>
      <c r="O950" s="586">
        <f t="shared" si="159"/>
        <v>4.8477325449922976E-2</v>
      </c>
      <c r="P950" s="585">
        <f t="shared" si="163"/>
        <v>3.8277325449922982E-2</v>
      </c>
      <c r="Q950" s="585">
        <f t="shared" si="164"/>
        <v>0.23852922013998135</v>
      </c>
      <c r="R950" s="585">
        <f t="shared" si="165"/>
        <v>5.9904999999999993E-2</v>
      </c>
      <c r="S950" s="586">
        <f t="shared" si="166"/>
        <v>0.17862422013998136</v>
      </c>
      <c r="U950" s="587"/>
      <c r="V950" s="587"/>
      <c r="W950" s="587"/>
      <c r="X950" s="587"/>
      <c r="Y950" s="587"/>
      <c r="Z950" s="587"/>
      <c r="AA950" s="587"/>
      <c r="AB950" s="587"/>
      <c r="AC950" s="587"/>
      <c r="AE950" s="587"/>
      <c r="AF950" s="587"/>
      <c r="AG950" s="587"/>
      <c r="AH950" s="587"/>
      <c r="AI950" s="587"/>
      <c r="AJ950" s="587"/>
      <c r="AK950" s="587"/>
      <c r="AL950" s="587"/>
      <c r="AM950" s="587"/>
      <c r="AO950" s="587"/>
      <c r="AP950" s="587"/>
      <c r="AQ950" s="587"/>
      <c r="AR950" s="587"/>
      <c r="AS950" s="587"/>
      <c r="AT950" s="587"/>
      <c r="AU950" s="587"/>
      <c r="AV950" s="587"/>
      <c r="AW950" s="587"/>
    </row>
    <row r="951" spans="1:49">
      <c r="A951" s="581">
        <v>38292</v>
      </c>
      <c r="B951" s="594">
        <v>4.0500000000000001E-2</v>
      </c>
      <c r="C951" s="577">
        <v>4.07E-2</v>
      </c>
      <c r="D951" s="577">
        <v>4.1000000000000003E-3</v>
      </c>
      <c r="E951" s="577">
        <v>4.5999999999999999E-3</v>
      </c>
      <c r="F951" s="577">
        <v>4.7666666666666664E-3</v>
      </c>
      <c r="G951" s="577">
        <v>4.6833333333333328E-3</v>
      </c>
      <c r="H951" s="577">
        <v>4.9627500000000001E-3</v>
      </c>
      <c r="I951" s="577">
        <f t="shared" si="156"/>
        <v>3.6400000000000002E-2</v>
      </c>
      <c r="J951" s="577">
        <f t="shared" si="160"/>
        <v>3.581666666666667E-2</v>
      </c>
      <c r="K951" s="577">
        <f t="shared" si="161"/>
        <v>3.5737249999999998E-2</v>
      </c>
      <c r="L951" s="585">
        <f t="shared" si="157"/>
        <v>0.1284570352207024</v>
      </c>
      <c r="M951" s="585">
        <f t="shared" si="158"/>
        <v>4.9200000000000008E-2</v>
      </c>
      <c r="N951" s="585">
        <f t="shared" si="162"/>
        <v>5.6199999999999993E-2</v>
      </c>
      <c r="O951" s="586">
        <f t="shared" si="159"/>
        <v>7.925703522070239E-2</v>
      </c>
      <c r="P951" s="585">
        <f t="shared" si="163"/>
        <v>7.2257035220702398E-2</v>
      </c>
      <c r="Q951" s="585">
        <f t="shared" si="164"/>
        <v>0.28958215047491631</v>
      </c>
      <c r="R951" s="585">
        <f t="shared" si="165"/>
        <v>5.9553000000000002E-2</v>
      </c>
      <c r="S951" s="586">
        <f t="shared" si="166"/>
        <v>0.23002915047491632</v>
      </c>
      <c r="U951" s="587"/>
      <c r="V951" s="587"/>
      <c r="W951" s="587"/>
      <c r="X951" s="587"/>
      <c r="Y951" s="587"/>
      <c r="Z951" s="587"/>
      <c r="AA951" s="587"/>
      <c r="AB951" s="587"/>
      <c r="AC951" s="587"/>
      <c r="AE951" s="587"/>
      <c r="AF951" s="587"/>
      <c r="AG951" s="587"/>
      <c r="AH951" s="587"/>
      <c r="AI951" s="587"/>
      <c r="AJ951" s="587"/>
      <c r="AK951" s="587"/>
      <c r="AL951" s="587"/>
      <c r="AM951" s="587"/>
      <c r="AO951" s="587"/>
      <c r="AP951" s="587"/>
      <c r="AQ951" s="587"/>
      <c r="AR951" s="587"/>
      <c r="AS951" s="587"/>
      <c r="AT951" s="587"/>
      <c r="AU951" s="587"/>
      <c r="AV951" s="587"/>
      <c r="AW951" s="587"/>
    </row>
    <row r="952" spans="1:49">
      <c r="A952" s="581">
        <v>38322</v>
      </c>
      <c r="B952" s="594">
        <v>3.4000000000000002E-2</v>
      </c>
      <c r="C952" s="577">
        <v>2.6499999999999999E-2</v>
      </c>
      <c r="D952" s="577">
        <v>4.3E-3</v>
      </c>
      <c r="E952" s="577">
        <v>4.5583333333333335E-3</v>
      </c>
      <c r="F952" s="577">
        <v>4.7416666666666666E-3</v>
      </c>
      <c r="G952" s="577">
        <v>4.6499999999999996E-3</v>
      </c>
      <c r="H952" s="577">
        <v>4.938916666666667E-3</v>
      </c>
      <c r="I952" s="577">
        <f t="shared" si="156"/>
        <v>2.9700000000000004E-2</v>
      </c>
      <c r="J952" s="577">
        <f t="shared" si="160"/>
        <v>2.9350000000000001E-2</v>
      </c>
      <c r="K952" s="577">
        <f t="shared" si="161"/>
        <v>2.1561083333333331E-2</v>
      </c>
      <c r="L952" s="585">
        <f t="shared" si="157"/>
        <v>0.10872726569574942</v>
      </c>
      <c r="M952" s="585">
        <f t="shared" si="158"/>
        <v>5.16E-2</v>
      </c>
      <c r="N952" s="585">
        <f t="shared" si="162"/>
        <v>5.5799999999999995E-2</v>
      </c>
      <c r="O952" s="586">
        <f t="shared" si="159"/>
        <v>5.712726569574942E-2</v>
      </c>
      <c r="P952" s="585">
        <f t="shared" si="163"/>
        <v>5.2927265695749424E-2</v>
      </c>
      <c r="Q952" s="585">
        <f t="shared" si="164"/>
        <v>0.24005253158079798</v>
      </c>
      <c r="R952" s="585">
        <f t="shared" si="165"/>
        <v>5.9267E-2</v>
      </c>
      <c r="S952" s="586">
        <f t="shared" si="166"/>
        <v>0.18078553158079796</v>
      </c>
      <c r="U952" s="587"/>
      <c r="V952" s="587"/>
      <c r="W952" s="587"/>
      <c r="X952" s="587"/>
      <c r="Y952" s="587"/>
      <c r="Z952" s="587"/>
      <c r="AA952" s="587"/>
      <c r="AB952" s="587"/>
      <c r="AC952" s="587"/>
      <c r="AE952" s="587"/>
      <c r="AF952" s="587"/>
      <c r="AG952" s="587"/>
      <c r="AH952" s="587"/>
      <c r="AI952" s="587"/>
      <c r="AJ952" s="587"/>
      <c r="AK952" s="587"/>
      <c r="AL952" s="587"/>
      <c r="AM952" s="587"/>
      <c r="AO952" s="587"/>
      <c r="AP952" s="587"/>
      <c r="AQ952" s="587"/>
      <c r="AR952" s="587"/>
      <c r="AS952" s="587"/>
      <c r="AT952" s="587"/>
      <c r="AU952" s="587"/>
      <c r="AV952" s="587"/>
      <c r="AW952" s="587"/>
    </row>
    <row r="953" spans="1:49">
      <c r="A953" s="581">
        <v>38353</v>
      </c>
      <c r="B953" s="594">
        <v>-2.4400000000000002E-2</v>
      </c>
      <c r="C953" s="577">
        <v>2.2099999999999998E-2</v>
      </c>
      <c r="D953" s="577">
        <v>4.1000000000000003E-3</v>
      </c>
      <c r="E953" s="577">
        <v>4.4666666666666674E-3</v>
      </c>
      <c r="F953" s="577">
        <v>4.6500000000000005E-3</v>
      </c>
      <c r="G953" s="577">
        <v>4.5583333333333335E-3</v>
      </c>
      <c r="H953" s="577">
        <v>4.827916666666667E-3</v>
      </c>
      <c r="I953" s="577">
        <f t="shared" si="156"/>
        <v>-2.8500000000000001E-2</v>
      </c>
      <c r="J953" s="577">
        <f t="shared" si="160"/>
        <v>-2.8958333333333336E-2</v>
      </c>
      <c r="K953" s="577">
        <f t="shared" si="161"/>
        <v>1.727208333333333E-2</v>
      </c>
      <c r="L953" s="585">
        <f t="shared" si="157"/>
        <v>6.2131108025110571E-2</v>
      </c>
      <c r="M953" s="585">
        <f t="shared" si="158"/>
        <v>4.9200000000000008E-2</v>
      </c>
      <c r="N953" s="585">
        <f t="shared" si="162"/>
        <v>5.4699999999999999E-2</v>
      </c>
      <c r="O953" s="586">
        <f t="shared" si="159"/>
        <v>1.2931108025110563E-2</v>
      </c>
      <c r="P953" s="585">
        <f t="shared" si="163"/>
        <v>7.4311080251105721E-3</v>
      </c>
      <c r="Q953" s="585">
        <f t="shared" si="164"/>
        <v>0.2406594484423783</v>
      </c>
      <c r="R953" s="585">
        <f t="shared" si="165"/>
        <v>5.7935E-2</v>
      </c>
      <c r="S953" s="586">
        <f t="shared" si="166"/>
        <v>0.18272444844237828</v>
      </c>
      <c r="U953" s="587"/>
      <c r="V953" s="587"/>
      <c r="W953" s="587"/>
      <c r="X953" s="587"/>
      <c r="Y953" s="587"/>
      <c r="Z953" s="587"/>
      <c r="AA953" s="587"/>
      <c r="AB953" s="587"/>
      <c r="AC953" s="587"/>
      <c r="AE953" s="587"/>
      <c r="AF953" s="587"/>
      <c r="AG953" s="587"/>
      <c r="AH953" s="587"/>
      <c r="AI953" s="587"/>
      <c r="AJ953" s="587"/>
      <c r="AK953" s="587"/>
      <c r="AL953" s="587"/>
      <c r="AM953" s="587"/>
      <c r="AO953" s="587"/>
      <c r="AP953" s="587"/>
      <c r="AQ953" s="587"/>
      <c r="AR953" s="587"/>
      <c r="AS953" s="587"/>
      <c r="AT953" s="587"/>
      <c r="AU953" s="587"/>
      <c r="AV953" s="587"/>
      <c r="AW953" s="587"/>
    </row>
    <row r="954" spans="1:49">
      <c r="A954" s="581">
        <v>38384</v>
      </c>
      <c r="B954" s="594">
        <v>2.1000000000000001E-2</v>
      </c>
      <c r="C954" s="577">
        <v>1.9699999999999999E-2</v>
      </c>
      <c r="D954" s="577">
        <v>3.5000000000000005E-3</v>
      </c>
      <c r="E954" s="577">
        <v>4.3333333333333331E-3</v>
      </c>
      <c r="F954" s="577">
        <v>4.5333333333333337E-3</v>
      </c>
      <c r="G954" s="577">
        <v>4.4333333333333334E-3</v>
      </c>
      <c r="H954" s="577">
        <v>4.6785000000000004E-3</v>
      </c>
      <c r="I954" s="577">
        <f t="shared" si="156"/>
        <v>1.7500000000000002E-2</v>
      </c>
      <c r="J954" s="577">
        <f t="shared" si="160"/>
        <v>1.6566666666666667E-2</v>
      </c>
      <c r="K954" s="577">
        <f t="shared" si="161"/>
        <v>1.5021499999999998E-2</v>
      </c>
      <c r="L954" s="585">
        <f t="shared" si="157"/>
        <v>6.9568854219980381E-2</v>
      </c>
      <c r="M954" s="585">
        <f t="shared" si="158"/>
        <v>4.200000000000001E-2</v>
      </c>
      <c r="N954" s="585">
        <f t="shared" si="162"/>
        <v>5.3199999999999997E-2</v>
      </c>
      <c r="O954" s="586">
        <f t="shared" si="159"/>
        <v>2.7568854219980371E-2</v>
      </c>
      <c r="P954" s="585">
        <f t="shared" si="163"/>
        <v>1.6368854219980383E-2</v>
      </c>
      <c r="Q954" s="585">
        <f t="shared" si="164"/>
        <v>0.24260921282456849</v>
      </c>
      <c r="R954" s="585">
        <f t="shared" si="165"/>
        <v>5.6142000000000004E-2</v>
      </c>
      <c r="S954" s="586">
        <f t="shared" si="166"/>
        <v>0.18646721282456849</v>
      </c>
      <c r="U954" s="587"/>
      <c r="V954" s="587"/>
      <c r="W954" s="587"/>
      <c r="X954" s="587"/>
      <c r="Y954" s="587"/>
      <c r="Z954" s="587"/>
      <c r="AA954" s="587"/>
      <c r="AB954" s="587"/>
      <c r="AC954" s="587"/>
      <c r="AE954" s="587"/>
      <c r="AF954" s="587"/>
      <c r="AG954" s="587"/>
      <c r="AH954" s="587"/>
      <c r="AI954" s="587"/>
      <c r="AJ954" s="587"/>
      <c r="AK954" s="587"/>
      <c r="AL954" s="587"/>
      <c r="AM954" s="587"/>
      <c r="AO954" s="587"/>
      <c r="AP954" s="587"/>
      <c r="AQ954" s="587"/>
      <c r="AR954" s="587"/>
      <c r="AS954" s="587"/>
      <c r="AT954" s="587"/>
      <c r="AU954" s="587"/>
      <c r="AV954" s="587"/>
      <c r="AW954" s="587"/>
    </row>
    <row r="955" spans="1:49">
      <c r="A955" s="581">
        <v>38412</v>
      </c>
      <c r="B955" s="594">
        <v>-1.77E-2</v>
      </c>
      <c r="C955" s="577">
        <v>1.0800000000000001E-2</v>
      </c>
      <c r="D955" s="577">
        <v>4.1000000000000003E-3</v>
      </c>
      <c r="E955" s="577">
        <v>4.5000000000000005E-3</v>
      </c>
      <c r="F955" s="577">
        <v>4.6999999999999993E-3</v>
      </c>
      <c r="G955" s="577">
        <v>4.5999999999999999E-3</v>
      </c>
      <c r="H955" s="577">
        <v>4.855333333333333E-3</v>
      </c>
      <c r="I955" s="577">
        <f t="shared" si="156"/>
        <v>-2.18E-2</v>
      </c>
      <c r="J955" s="577">
        <f t="shared" si="160"/>
        <v>-2.23E-2</v>
      </c>
      <c r="K955" s="577">
        <f t="shared" si="161"/>
        <v>5.9446666666666675E-3</v>
      </c>
      <c r="L955" s="585">
        <f t="shared" si="157"/>
        <v>6.6745340136345588E-2</v>
      </c>
      <c r="M955" s="585">
        <f t="shared" si="158"/>
        <v>4.9200000000000008E-2</v>
      </c>
      <c r="N955" s="585">
        <f t="shared" si="162"/>
        <v>5.5199999999999999E-2</v>
      </c>
      <c r="O955" s="586">
        <f t="shared" si="159"/>
        <v>1.754534013634558E-2</v>
      </c>
      <c r="P955" s="585">
        <f t="shared" si="163"/>
        <v>1.1545340136345589E-2</v>
      </c>
      <c r="Q955" s="585">
        <f t="shared" si="164"/>
        <v>0.24310114046226605</v>
      </c>
      <c r="R955" s="585">
        <f t="shared" si="165"/>
        <v>5.8263999999999996E-2</v>
      </c>
      <c r="S955" s="586">
        <f t="shared" si="166"/>
        <v>0.18483714046226607</v>
      </c>
      <c r="U955" s="587"/>
      <c r="V955" s="587"/>
      <c r="W955" s="587"/>
      <c r="X955" s="587"/>
      <c r="Y955" s="587"/>
      <c r="Z955" s="587"/>
      <c r="AA955" s="587"/>
      <c r="AB955" s="587"/>
      <c r="AC955" s="587"/>
      <c r="AE955" s="587"/>
      <c r="AF955" s="587"/>
      <c r="AG955" s="587"/>
      <c r="AH955" s="587"/>
      <c r="AI955" s="587"/>
      <c r="AJ955" s="587"/>
      <c r="AK955" s="587"/>
      <c r="AL955" s="587"/>
      <c r="AM955" s="587"/>
      <c r="AO955" s="587"/>
      <c r="AP955" s="587"/>
      <c r="AQ955" s="587"/>
      <c r="AR955" s="587"/>
      <c r="AS955" s="587"/>
      <c r="AT955" s="587"/>
      <c r="AU955" s="587"/>
      <c r="AV955" s="587"/>
      <c r="AW955" s="587"/>
    </row>
    <row r="956" spans="1:49">
      <c r="A956" s="581">
        <v>38443</v>
      </c>
      <c r="B956" s="594">
        <v>-1.9E-2</v>
      </c>
      <c r="C956" s="577">
        <v>3.2100000000000004E-2</v>
      </c>
      <c r="D956" s="577">
        <v>3.8999999999999994E-3</v>
      </c>
      <c r="E956" s="577">
        <v>4.4416666666666667E-3</v>
      </c>
      <c r="F956" s="577">
        <v>4.5333333333333337E-3</v>
      </c>
      <c r="G956" s="577">
        <v>4.4875000000000002E-3</v>
      </c>
      <c r="H956" s="577">
        <v>4.7079166666666667E-3</v>
      </c>
      <c r="I956" s="577">
        <f t="shared" si="156"/>
        <v>-2.29E-2</v>
      </c>
      <c r="J956" s="577">
        <f t="shared" si="160"/>
        <v>-2.3487500000000001E-2</v>
      </c>
      <c r="K956" s="577">
        <f t="shared" si="161"/>
        <v>2.7392083333333338E-2</v>
      </c>
      <c r="L956" s="585">
        <f t="shared" si="157"/>
        <v>6.3168930888707564E-2</v>
      </c>
      <c r="M956" s="585">
        <f t="shared" si="158"/>
        <v>4.6799999999999994E-2</v>
      </c>
      <c r="N956" s="585">
        <f t="shared" si="162"/>
        <v>5.3850000000000002E-2</v>
      </c>
      <c r="O956" s="586">
        <f t="shared" si="159"/>
        <v>1.636893088870757E-2</v>
      </c>
      <c r="P956" s="585">
        <f t="shared" si="163"/>
        <v>9.318930888707562E-3</v>
      </c>
      <c r="Q956" s="585">
        <f t="shared" si="164"/>
        <v>0.33119390648589442</v>
      </c>
      <c r="R956" s="585">
        <f t="shared" si="165"/>
        <v>5.6495000000000004E-2</v>
      </c>
      <c r="S956" s="586">
        <f t="shared" si="166"/>
        <v>0.2746989064858944</v>
      </c>
      <c r="U956" s="587"/>
      <c r="V956" s="587"/>
      <c r="W956" s="587"/>
      <c r="X956" s="587"/>
      <c r="Y956" s="587"/>
      <c r="Z956" s="587"/>
      <c r="AA956" s="587"/>
      <c r="AB956" s="587"/>
      <c r="AC956" s="587"/>
      <c r="AE956" s="587"/>
      <c r="AF956" s="587"/>
      <c r="AG956" s="587"/>
      <c r="AH956" s="587"/>
      <c r="AI956" s="587"/>
      <c r="AJ956" s="587"/>
      <c r="AK956" s="587"/>
      <c r="AL956" s="587"/>
      <c r="AM956" s="587"/>
      <c r="AO956" s="587"/>
      <c r="AP956" s="587"/>
      <c r="AQ956" s="587"/>
      <c r="AR956" s="587"/>
      <c r="AS956" s="587"/>
      <c r="AT956" s="587"/>
      <c r="AU956" s="587"/>
      <c r="AV956" s="587"/>
      <c r="AW956" s="587"/>
    </row>
    <row r="957" spans="1:49">
      <c r="A957" s="581">
        <v>38473</v>
      </c>
      <c r="B957" s="594">
        <v>3.1800000000000002E-2</v>
      </c>
      <c r="C957" s="577">
        <v>7.9999999999999993E-4</v>
      </c>
      <c r="D957" s="577">
        <v>4.0000000000000001E-3</v>
      </c>
      <c r="E957" s="577">
        <v>4.2916666666666667E-3</v>
      </c>
      <c r="F957" s="577">
        <v>4.4083333333333335E-3</v>
      </c>
      <c r="G957" s="577">
        <v>4.3500000000000006E-3</v>
      </c>
      <c r="H957" s="577">
        <v>4.6162499999999997E-3</v>
      </c>
      <c r="I957" s="577">
        <f t="shared" si="156"/>
        <v>2.7800000000000002E-2</v>
      </c>
      <c r="J957" s="577">
        <f t="shared" si="160"/>
        <v>2.7450000000000002E-2</v>
      </c>
      <c r="K957" s="577">
        <f t="shared" si="161"/>
        <v>-3.8162499999999998E-3</v>
      </c>
      <c r="L957" s="585">
        <f t="shared" si="157"/>
        <v>8.2152217511066716E-2</v>
      </c>
      <c r="M957" s="585">
        <f t="shared" si="158"/>
        <v>4.8000000000000001E-2</v>
      </c>
      <c r="N957" s="585">
        <f t="shared" si="162"/>
        <v>5.220000000000001E-2</v>
      </c>
      <c r="O957" s="586">
        <f t="shared" si="159"/>
        <v>3.4152217511066715E-2</v>
      </c>
      <c r="P957" s="585">
        <f t="shared" si="163"/>
        <v>2.9952217511066706E-2</v>
      </c>
      <c r="Q957" s="585">
        <f t="shared" si="164"/>
        <v>0.32181651117281684</v>
      </c>
      <c r="R957" s="585">
        <f t="shared" si="165"/>
        <v>5.5395E-2</v>
      </c>
      <c r="S957" s="586">
        <f t="shared" si="166"/>
        <v>0.26642151117281687</v>
      </c>
      <c r="U957" s="587"/>
      <c r="V957" s="587"/>
      <c r="W957" s="587"/>
      <c r="X957" s="587"/>
      <c r="Y957" s="587"/>
      <c r="Z957" s="587"/>
      <c r="AA957" s="587"/>
      <c r="AB957" s="587"/>
      <c r="AC957" s="587"/>
      <c r="AE957" s="587"/>
      <c r="AF957" s="587"/>
      <c r="AG957" s="587"/>
      <c r="AH957" s="587"/>
      <c r="AI957" s="587"/>
      <c r="AJ957" s="587"/>
      <c r="AK957" s="587"/>
      <c r="AL957" s="587"/>
      <c r="AM957" s="587"/>
      <c r="AO957" s="587"/>
      <c r="AP957" s="587"/>
      <c r="AQ957" s="587"/>
      <c r="AR957" s="587"/>
      <c r="AS957" s="587"/>
      <c r="AT957" s="587"/>
      <c r="AU957" s="587"/>
      <c r="AV957" s="587"/>
      <c r="AW957" s="587"/>
    </row>
    <row r="958" spans="1:49">
      <c r="A958" s="581">
        <v>38504</v>
      </c>
      <c r="B958" s="594">
        <v>1.4E-3</v>
      </c>
      <c r="C958" s="577">
        <v>5.7599999999999998E-2</v>
      </c>
      <c r="D958" s="577">
        <v>3.5999999999999999E-3</v>
      </c>
      <c r="E958" s="577">
        <v>4.1333333333333335E-3</v>
      </c>
      <c r="F958" s="577">
        <v>4.1833333333333332E-3</v>
      </c>
      <c r="G958" s="577">
        <v>4.1583333333333325E-3</v>
      </c>
      <c r="H958" s="577">
        <v>4.5019166666666671E-3</v>
      </c>
      <c r="I958" s="577">
        <f t="shared" si="156"/>
        <v>-2.1999999999999997E-3</v>
      </c>
      <c r="J958" s="577">
        <f t="shared" si="160"/>
        <v>-2.7583333333333323E-3</v>
      </c>
      <c r="K958" s="577">
        <f t="shared" si="161"/>
        <v>5.309808333333333E-2</v>
      </c>
      <c r="L958" s="585">
        <f t="shared" si="157"/>
        <v>6.3044173646833679E-2</v>
      </c>
      <c r="M958" s="585">
        <f t="shared" si="158"/>
        <v>4.3200000000000002E-2</v>
      </c>
      <c r="N958" s="585">
        <f t="shared" si="162"/>
        <v>4.9899999999999986E-2</v>
      </c>
      <c r="O958" s="586">
        <f t="shared" si="159"/>
        <v>1.9844173646833677E-2</v>
      </c>
      <c r="P958" s="585">
        <f t="shared" si="163"/>
        <v>1.3144173646833693E-2</v>
      </c>
      <c r="Q958" s="585">
        <f t="shared" si="164"/>
        <v>0.37661560041001652</v>
      </c>
      <c r="R958" s="585">
        <f t="shared" si="165"/>
        <v>5.4023000000000002E-2</v>
      </c>
      <c r="S958" s="586">
        <f t="shared" si="166"/>
        <v>0.32259260041001653</v>
      </c>
      <c r="U958" s="587"/>
      <c r="V958" s="587"/>
      <c r="W958" s="587"/>
      <c r="X958" s="587"/>
      <c r="Y958" s="587"/>
      <c r="Z958" s="587"/>
      <c r="AA958" s="587"/>
      <c r="AB958" s="587"/>
      <c r="AC958" s="587"/>
      <c r="AE958" s="587"/>
      <c r="AF958" s="587"/>
      <c r="AG958" s="587"/>
      <c r="AH958" s="587"/>
      <c r="AI958" s="587"/>
      <c r="AJ958" s="587"/>
      <c r="AK958" s="587"/>
      <c r="AL958" s="587"/>
      <c r="AM958" s="587"/>
      <c r="AO958" s="587"/>
      <c r="AP958" s="587"/>
      <c r="AQ958" s="587"/>
      <c r="AR958" s="587"/>
      <c r="AS958" s="587"/>
      <c r="AT958" s="587"/>
      <c r="AU958" s="587"/>
      <c r="AV958" s="587"/>
      <c r="AW958" s="587"/>
    </row>
    <row r="959" spans="1:49">
      <c r="A959" s="581">
        <v>38534</v>
      </c>
      <c r="B959" s="594">
        <v>3.7199999999999997E-2</v>
      </c>
      <c r="C959" s="577">
        <v>2.3300000000000001E-2</v>
      </c>
      <c r="D959" s="577">
        <v>3.3999999999999998E-3</v>
      </c>
      <c r="E959" s="577">
        <v>4.2166666666666663E-3</v>
      </c>
      <c r="F959" s="577">
        <v>4.2833333333333326E-3</v>
      </c>
      <c r="G959" s="577">
        <v>4.2499999999999994E-3</v>
      </c>
      <c r="H959" s="577">
        <v>4.5829166666666674E-3</v>
      </c>
      <c r="I959" s="577">
        <f t="shared" si="156"/>
        <v>3.3799999999999997E-2</v>
      </c>
      <c r="J959" s="577">
        <f t="shared" si="160"/>
        <v>3.295E-2</v>
      </c>
      <c r="K959" s="577">
        <f t="shared" si="161"/>
        <v>1.8717083333333336E-2</v>
      </c>
      <c r="L959" s="585">
        <f t="shared" si="157"/>
        <v>0.14033448847501884</v>
      </c>
      <c r="M959" s="585">
        <f t="shared" si="158"/>
        <v>4.0799999999999996E-2</v>
      </c>
      <c r="N959" s="585">
        <f t="shared" si="162"/>
        <v>5.099999999999999E-2</v>
      </c>
      <c r="O959" s="586">
        <f t="shared" si="159"/>
        <v>9.9534488475018834E-2</v>
      </c>
      <c r="P959" s="585">
        <f t="shared" si="163"/>
        <v>8.9334488475018847E-2</v>
      </c>
      <c r="Q959" s="585">
        <f t="shared" si="164"/>
        <v>0.38473483131777297</v>
      </c>
      <c r="R959" s="585">
        <f t="shared" si="165"/>
        <v>5.4995000000000009E-2</v>
      </c>
      <c r="S959" s="586">
        <f t="shared" si="166"/>
        <v>0.32973983131777296</v>
      </c>
      <c r="U959" s="587"/>
      <c r="V959" s="587"/>
      <c r="W959" s="587"/>
      <c r="X959" s="587"/>
      <c r="Y959" s="587"/>
      <c r="Z959" s="587"/>
      <c r="AA959" s="587"/>
      <c r="AB959" s="587"/>
      <c r="AC959" s="587"/>
      <c r="AE959" s="587"/>
      <c r="AF959" s="587"/>
      <c r="AG959" s="587"/>
      <c r="AH959" s="587"/>
      <c r="AI959" s="587"/>
      <c r="AJ959" s="587"/>
      <c r="AK959" s="587"/>
      <c r="AL959" s="587"/>
      <c r="AM959" s="587"/>
      <c r="AO959" s="587"/>
      <c r="AP959" s="587"/>
      <c r="AQ959" s="587"/>
      <c r="AR959" s="587"/>
      <c r="AS959" s="587"/>
      <c r="AT959" s="587"/>
      <c r="AU959" s="587"/>
      <c r="AV959" s="587"/>
      <c r="AW959" s="587"/>
    </row>
    <row r="960" spans="1:49">
      <c r="A960" s="581">
        <v>38565</v>
      </c>
      <c r="B960" s="594">
        <v>-9.1000000000000004E-3</v>
      </c>
      <c r="C960" s="577">
        <v>7.3000000000000001E-3</v>
      </c>
      <c r="D960" s="577">
        <v>4.0000000000000001E-3</v>
      </c>
      <c r="E960" s="577">
        <v>4.2416666666666662E-3</v>
      </c>
      <c r="F960" s="577">
        <v>4.3333333333333331E-3</v>
      </c>
      <c r="G960" s="577">
        <v>4.2874999999999996E-3</v>
      </c>
      <c r="H960" s="577">
        <v>4.5909166666666668E-3</v>
      </c>
      <c r="I960" s="577">
        <f t="shared" si="156"/>
        <v>-1.3100000000000001E-2</v>
      </c>
      <c r="J960" s="577">
        <f t="shared" si="160"/>
        <v>-1.33875E-2</v>
      </c>
      <c r="K960" s="577">
        <f t="shared" si="161"/>
        <v>2.7090833333333333E-3</v>
      </c>
      <c r="L960" s="585">
        <f t="shared" si="157"/>
        <v>0.12545562214133099</v>
      </c>
      <c r="M960" s="585">
        <f t="shared" si="158"/>
        <v>4.8000000000000001E-2</v>
      </c>
      <c r="N960" s="585">
        <f t="shared" si="162"/>
        <v>5.1449999999999996E-2</v>
      </c>
      <c r="O960" s="586">
        <f t="shared" si="159"/>
        <v>7.745562214133099E-2</v>
      </c>
      <c r="P960" s="585">
        <f t="shared" si="163"/>
        <v>7.4005622141330996E-2</v>
      </c>
      <c r="Q960" s="585">
        <f t="shared" si="164"/>
        <v>0.34209890848301061</v>
      </c>
      <c r="R960" s="585">
        <f t="shared" si="165"/>
        <v>5.5091000000000001E-2</v>
      </c>
      <c r="S960" s="586">
        <f t="shared" si="166"/>
        <v>0.28700790848301061</v>
      </c>
      <c r="U960" s="587"/>
      <c r="V960" s="587"/>
      <c r="W960" s="587"/>
      <c r="X960" s="587"/>
      <c r="Y960" s="587"/>
      <c r="Z960" s="587"/>
      <c r="AA960" s="587"/>
      <c r="AB960" s="587"/>
      <c r="AC960" s="587"/>
      <c r="AE960" s="587"/>
      <c r="AF960" s="587"/>
      <c r="AG960" s="587"/>
      <c r="AH960" s="587"/>
      <c r="AI960" s="587"/>
      <c r="AJ960" s="587"/>
      <c r="AK960" s="587"/>
      <c r="AL960" s="587"/>
      <c r="AM960" s="587"/>
      <c r="AO960" s="587"/>
      <c r="AP960" s="587"/>
      <c r="AQ960" s="587"/>
      <c r="AR960" s="587"/>
      <c r="AS960" s="587"/>
      <c r="AT960" s="587"/>
      <c r="AU960" s="587"/>
      <c r="AV960" s="587"/>
      <c r="AW960" s="587"/>
    </row>
    <row r="961" spans="1:49">
      <c r="A961" s="581">
        <v>38596</v>
      </c>
      <c r="B961" s="594">
        <v>8.0999999999999996E-3</v>
      </c>
      <c r="C961" s="577">
        <v>4.0199999999999993E-2</v>
      </c>
      <c r="D961" s="577">
        <v>3.5000000000000005E-3</v>
      </c>
      <c r="E961" s="577">
        <v>4.2750000000000002E-3</v>
      </c>
      <c r="F961" s="577">
        <v>4.3666666666666671E-3</v>
      </c>
      <c r="G961" s="577">
        <v>4.3208333333333336E-3</v>
      </c>
      <c r="H961" s="577">
        <v>4.5853333333333328E-3</v>
      </c>
      <c r="I961" s="577">
        <f t="shared" si="156"/>
        <v>4.5999999999999991E-3</v>
      </c>
      <c r="J961" s="577">
        <f t="shared" si="160"/>
        <v>3.7791666666666659E-3</v>
      </c>
      <c r="K961" s="577">
        <f t="shared" si="161"/>
        <v>3.5614666666666663E-2</v>
      </c>
      <c r="L961" s="585">
        <f t="shared" si="157"/>
        <v>0.12244935959702796</v>
      </c>
      <c r="M961" s="585">
        <f t="shared" si="158"/>
        <v>4.200000000000001E-2</v>
      </c>
      <c r="N961" s="585">
        <f t="shared" si="162"/>
        <v>5.1850000000000007E-2</v>
      </c>
      <c r="O961" s="586">
        <f t="shared" si="159"/>
        <v>8.0449359597027953E-2</v>
      </c>
      <c r="P961" s="585">
        <f t="shared" si="163"/>
        <v>7.0599359597027955E-2</v>
      </c>
      <c r="Q961" s="585">
        <f t="shared" si="164"/>
        <v>0.38346178238433004</v>
      </c>
      <c r="R961" s="585">
        <f t="shared" si="165"/>
        <v>5.502399999999999E-2</v>
      </c>
      <c r="S961" s="586">
        <f t="shared" si="166"/>
        <v>0.32843778238433008</v>
      </c>
      <c r="U961" s="587"/>
      <c r="V961" s="587"/>
      <c r="W961" s="587"/>
      <c r="X961" s="587"/>
      <c r="Y961" s="587"/>
      <c r="Z961" s="587"/>
      <c r="AA961" s="587"/>
      <c r="AB961" s="587"/>
      <c r="AC961" s="587"/>
      <c r="AE961" s="587"/>
      <c r="AF961" s="587"/>
      <c r="AG961" s="587"/>
      <c r="AH961" s="587"/>
      <c r="AI961" s="587"/>
      <c r="AJ961" s="587"/>
      <c r="AK961" s="587"/>
      <c r="AL961" s="587"/>
      <c r="AM961" s="587"/>
      <c r="AO961" s="587"/>
      <c r="AP961" s="587"/>
      <c r="AQ961" s="587"/>
      <c r="AR961" s="587"/>
      <c r="AS961" s="587"/>
      <c r="AT961" s="587"/>
      <c r="AU961" s="587"/>
      <c r="AV961" s="587"/>
      <c r="AW961" s="587"/>
    </row>
    <row r="962" spans="1:49">
      <c r="A962" s="581">
        <v>38626</v>
      </c>
      <c r="B962" s="594">
        <v>-1.67E-2</v>
      </c>
      <c r="C962" s="577">
        <v>-6.1699999999999998E-2</v>
      </c>
      <c r="D962" s="577">
        <v>3.8999999999999994E-3</v>
      </c>
      <c r="E962" s="577">
        <v>4.45E-3</v>
      </c>
      <c r="F962" s="577">
        <v>4.5500000000000002E-3</v>
      </c>
      <c r="G962" s="577">
        <v>4.5000000000000005E-3</v>
      </c>
      <c r="H962" s="577">
        <v>4.8123333333333334E-3</v>
      </c>
      <c r="I962" s="577">
        <f t="shared" si="156"/>
        <v>-2.06E-2</v>
      </c>
      <c r="J962" s="577">
        <f t="shared" si="160"/>
        <v>-2.12E-2</v>
      </c>
      <c r="K962" s="577">
        <f t="shared" si="161"/>
        <v>-6.6512333333333326E-2</v>
      </c>
      <c r="L962" s="585">
        <f t="shared" si="157"/>
        <v>8.707224986876505E-2</v>
      </c>
      <c r="M962" s="585">
        <f t="shared" si="158"/>
        <v>4.6799999999999994E-2</v>
      </c>
      <c r="N962" s="585">
        <f t="shared" si="162"/>
        <v>5.4000000000000006E-2</v>
      </c>
      <c r="O962" s="586">
        <f t="shared" si="159"/>
        <v>4.0272249868765056E-2</v>
      </c>
      <c r="P962" s="585">
        <f t="shared" si="163"/>
        <v>3.3072249868765044E-2</v>
      </c>
      <c r="Q962" s="585">
        <f t="shared" si="164"/>
        <v>0.2368767893389383</v>
      </c>
      <c r="R962" s="585">
        <f t="shared" si="165"/>
        <v>5.7748000000000001E-2</v>
      </c>
      <c r="S962" s="586">
        <f t="shared" si="166"/>
        <v>0.1791287893389383</v>
      </c>
      <c r="U962" s="587"/>
      <c r="V962" s="587"/>
      <c r="W962" s="587"/>
      <c r="X962" s="587"/>
      <c r="Y962" s="587"/>
      <c r="Z962" s="587"/>
      <c r="AA962" s="587"/>
      <c r="AB962" s="587"/>
      <c r="AC962" s="587"/>
      <c r="AE962" s="587"/>
      <c r="AF962" s="587"/>
      <c r="AG962" s="587"/>
      <c r="AH962" s="587"/>
      <c r="AI962" s="587"/>
      <c r="AJ962" s="587"/>
      <c r="AK962" s="587"/>
      <c r="AL962" s="587"/>
      <c r="AM962" s="587"/>
      <c r="AO962" s="587"/>
      <c r="AP962" s="587"/>
      <c r="AQ962" s="587"/>
      <c r="AR962" s="587"/>
      <c r="AS962" s="587"/>
      <c r="AT962" s="587"/>
      <c r="AU962" s="587"/>
      <c r="AV962" s="587"/>
      <c r="AW962" s="587"/>
    </row>
    <row r="963" spans="1:49">
      <c r="A963" s="581">
        <v>38657</v>
      </c>
      <c r="B963" s="594">
        <v>3.78E-2</v>
      </c>
      <c r="C963" s="577">
        <v>-3.8999999999999994E-3</v>
      </c>
      <c r="D963" s="577">
        <v>3.8999999999999994E-3</v>
      </c>
      <c r="E963" s="577">
        <v>4.5208333333333333E-3</v>
      </c>
      <c r="F963" s="577">
        <v>4.6249999999999998E-3</v>
      </c>
      <c r="G963" s="577">
        <v>4.5729166666666661E-3</v>
      </c>
      <c r="H963" s="577">
        <v>4.8986666666666666E-3</v>
      </c>
      <c r="I963" s="577">
        <f t="shared" si="156"/>
        <v>3.39E-2</v>
      </c>
      <c r="J963" s="577">
        <f t="shared" si="160"/>
        <v>3.3227083333333338E-2</v>
      </c>
      <c r="K963" s="577">
        <f t="shared" si="161"/>
        <v>-8.7986666666666664E-3</v>
      </c>
      <c r="L963" s="585">
        <f t="shared" si="157"/>
        <v>8.4251399244406056E-2</v>
      </c>
      <c r="M963" s="585">
        <f t="shared" si="158"/>
        <v>4.6799999999999994E-2</v>
      </c>
      <c r="N963" s="585">
        <f t="shared" si="162"/>
        <v>5.4874999999999993E-2</v>
      </c>
      <c r="O963" s="586">
        <f t="shared" si="159"/>
        <v>3.7451399244406061E-2</v>
      </c>
      <c r="P963" s="585">
        <f t="shared" si="163"/>
        <v>2.9376399244406062E-2</v>
      </c>
      <c r="Q963" s="585">
        <f t="shared" si="164"/>
        <v>0.1838694819453417</v>
      </c>
      <c r="R963" s="585">
        <f t="shared" si="165"/>
        <v>5.8784000000000003E-2</v>
      </c>
      <c r="S963" s="586">
        <f t="shared" si="166"/>
        <v>0.12508548194534169</v>
      </c>
      <c r="U963" s="587"/>
      <c r="V963" s="587"/>
      <c r="W963" s="587"/>
      <c r="X963" s="587"/>
      <c r="Y963" s="587"/>
      <c r="Z963" s="587"/>
      <c r="AA963" s="587"/>
      <c r="AB963" s="587"/>
      <c r="AC963" s="587"/>
      <c r="AE963" s="587"/>
      <c r="AF963" s="587"/>
      <c r="AG963" s="587"/>
      <c r="AH963" s="587"/>
      <c r="AI963" s="587"/>
      <c r="AJ963" s="587"/>
      <c r="AK963" s="587"/>
      <c r="AL963" s="587"/>
      <c r="AM963" s="587"/>
      <c r="AO963" s="587"/>
      <c r="AP963" s="587"/>
      <c r="AQ963" s="587"/>
      <c r="AR963" s="587"/>
      <c r="AS963" s="587"/>
      <c r="AT963" s="587"/>
      <c r="AU963" s="587"/>
      <c r="AV963" s="587"/>
      <c r="AW963" s="587"/>
    </row>
    <row r="964" spans="1:49">
      <c r="A964" s="581">
        <v>38687</v>
      </c>
      <c r="B964" s="594">
        <v>2.9999999999999997E-4</v>
      </c>
      <c r="C964" s="577">
        <v>1.0999999999999999E-2</v>
      </c>
      <c r="D964" s="577">
        <v>3.8999999999999994E-3</v>
      </c>
      <c r="E964" s="577">
        <v>4.4833333333333331E-3</v>
      </c>
      <c r="F964" s="577">
        <v>4.5916666666666666E-3</v>
      </c>
      <c r="G964" s="577">
        <v>4.5374999999999999E-3</v>
      </c>
      <c r="H964" s="577">
        <v>4.8481666666666664E-3</v>
      </c>
      <c r="I964" s="577">
        <f t="shared" si="156"/>
        <v>-3.5999999999999995E-3</v>
      </c>
      <c r="J964" s="577">
        <f t="shared" si="160"/>
        <v>-4.2374999999999999E-3</v>
      </c>
      <c r="K964" s="577">
        <f t="shared" si="161"/>
        <v>6.1518333333333329E-3</v>
      </c>
      <c r="L964" s="585">
        <f t="shared" si="157"/>
        <v>4.891361186090859E-2</v>
      </c>
      <c r="M964" s="585">
        <f t="shared" si="158"/>
        <v>4.6799999999999994E-2</v>
      </c>
      <c r="N964" s="585">
        <f t="shared" si="162"/>
        <v>5.4449999999999998E-2</v>
      </c>
      <c r="O964" s="586">
        <f t="shared" si="159"/>
        <v>2.1136118609085958E-3</v>
      </c>
      <c r="P964" s="585">
        <f t="shared" si="163"/>
        <v>-5.5363881390914083E-3</v>
      </c>
      <c r="Q964" s="585">
        <f t="shared" si="164"/>
        <v>0.16599322576399467</v>
      </c>
      <c r="R964" s="585">
        <f t="shared" si="165"/>
        <v>5.8177999999999994E-2</v>
      </c>
      <c r="S964" s="586">
        <f t="shared" si="166"/>
        <v>0.10781522576399467</v>
      </c>
      <c r="U964" s="587"/>
      <c r="V964" s="587"/>
      <c r="W964" s="587"/>
      <c r="X964" s="587"/>
      <c r="Y964" s="587"/>
      <c r="Z964" s="587"/>
      <c r="AA964" s="587"/>
      <c r="AB964" s="587"/>
      <c r="AC964" s="587"/>
      <c r="AE964" s="587"/>
      <c r="AF964" s="587"/>
      <c r="AG964" s="587"/>
      <c r="AH964" s="587"/>
      <c r="AI964" s="587"/>
      <c r="AJ964" s="587"/>
      <c r="AK964" s="587"/>
      <c r="AL964" s="587"/>
      <c r="AM964" s="587"/>
      <c r="AO964" s="587"/>
      <c r="AP964" s="587"/>
      <c r="AQ964" s="587"/>
      <c r="AR964" s="587"/>
      <c r="AS964" s="587"/>
      <c r="AT964" s="587"/>
      <c r="AU964" s="587"/>
      <c r="AV964" s="587"/>
      <c r="AW964" s="587"/>
    </row>
    <row r="965" spans="1:49">
      <c r="A965" s="581">
        <v>38718</v>
      </c>
      <c r="B965" s="594">
        <v>2.6499999999999999E-2</v>
      </c>
      <c r="C965" s="577">
        <v>2.6347999999999996E-2</v>
      </c>
      <c r="D965" s="577">
        <v>4.0000000000000001E-3</v>
      </c>
      <c r="E965" s="577">
        <v>4.4083333333333335E-3</v>
      </c>
      <c r="F965" s="577">
        <v>4.5416666666666669E-3</v>
      </c>
      <c r="G965" s="577">
        <v>4.4749999999999998E-3</v>
      </c>
      <c r="H965" s="577">
        <v>4.7916666666666672E-3</v>
      </c>
      <c r="I965" s="577">
        <f t="shared" si="156"/>
        <v>2.2499999999999999E-2</v>
      </c>
      <c r="J965" s="577">
        <f t="shared" si="160"/>
        <v>2.2024999999999999E-2</v>
      </c>
      <c r="K965" s="577">
        <f t="shared" si="161"/>
        <v>2.155633333333333E-2</v>
      </c>
      <c r="L965" s="585">
        <f t="shared" si="157"/>
        <v>0.10363860452564855</v>
      </c>
      <c r="M965" s="585">
        <f t="shared" si="158"/>
        <v>4.8000000000000001E-2</v>
      </c>
      <c r="N965" s="585">
        <f t="shared" si="162"/>
        <v>5.3699999999999998E-2</v>
      </c>
      <c r="O965" s="586">
        <f t="shared" si="159"/>
        <v>5.5638604525648547E-2</v>
      </c>
      <c r="P965" s="585">
        <f t="shared" si="163"/>
        <v>4.993860452564855E-2</v>
      </c>
      <c r="Q965" s="585">
        <f t="shared" si="164"/>
        <v>0.1708392674654382</v>
      </c>
      <c r="R965" s="585">
        <f t="shared" si="165"/>
        <v>5.7500000000000009E-2</v>
      </c>
      <c r="S965" s="586">
        <f t="shared" si="166"/>
        <v>0.1133392674654382</v>
      </c>
      <c r="U965" s="587"/>
      <c r="V965" s="587"/>
      <c r="W965" s="587"/>
      <c r="X965" s="587"/>
      <c r="Y965" s="587"/>
      <c r="Z965" s="587"/>
      <c r="AA965" s="587"/>
      <c r="AB965" s="587"/>
      <c r="AC965" s="587"/>
      <c r="AE965" s="587"/>
      <c r="AF965" s="587"/>
      <c r="AG965" s="587"/>
      <c r="AH965" s="587"/>
      <c r="AI965" s="587"/>
      <c r="AJ965" s="587"/>
      <c r="AK965" s="587"/>
      <c r="AL965" s="587"/>
      <c r="AM965" s="587"/>
      <c r="AO965" s="587"/>
      <c r="AP965" s="587"/>
      <c r="AQ965" s="587"/>
      <c r="AR965" s="587"/>
      <c r="AS965" s="587"/>
      <c r="AT965" s="587"/>
      <c r="AU965" s="587"/>
      <c r="AV965" s="587"/>
      <c r="AW965" s="587"/>
    </row>
    <row r="966" spans="1:49">
      <c r="A966" s="581">
        <v>38749</v>
      </c>
      <c r="B966" s="594">
        <v>2.7000000000000001E-3</v>
      </c>
      <c r="C966" s="577">
        <v>9.5270000000000007E-3</v>
      </c>
      <c r="D966" s="577">
        <v>3.5999999999999999E-3</v>
      </c>
      <c r="E966" s="577">
        <v>4.4583333333333332E-3</v>
      </c>
      <c r="F966" s="577">
        <v>4.5916666666666666E-3</v>
      </c>
      <c r="G966" s="577">
        <v>4.5250000000000004E-3</v>
      </c>
      <c r="H966" s="577">
        <v>4.8500000000000001E-3</v>
      </c>
      <c r="I966" s="577">
        <f t="shared" ref="I966:I1029" si="167">B966-D966</f>
        <v>-8.9999999999999976E-4</v>
      </c>
      <c r="J966" s="577">
        <f t="shared" si="160"/>
        <v>-1.8250000000000002E-3</v>
      </c>
      <c r="K966" s="577">
        <f t="shared" si="161"/>
        <v>4.6770000000000006E-3</v>
      </c>
      <c r="L966" s="585">
        <f t="shared" si="157"/>
        <v>8.3857422877441579E-2</v>
      </c>
      <c r="M966" s="585">
        <f t="shared" si="158"/>
        <v>4.3200000000000002E-2</v>
      </c>
      <c r="N966" s="585">
        <f t="shared" si="162"/>
        <v>5.4300000000000001E-2</v>
      </c>
      <c r="O966" s="586">
        <f t="shared" si="159"/>
        <v>4.0657422877441576E-2</v>
      </c>
      <c r="P966" s="585">
        <f t="shared" si="163"/>
        <v>2.9557422877441578E-2</v>
      </c>
      <c r="Q966" s="585">
        <f t="shared" si="164"/>
        <v>0.15915843205509606</v>
      </c>
      <c r="R966" s="585">
        <f t="shared" si="165"/>
        <v>5.8200000000000002E-2</v>
      </c>
      <c r="S966" s="586">
        <f t="shared" si="166"/>
        <v>0.10095843205509605</v>
      </c>
      <c r="U966" s="587"/>
      <c r="V966" s="587"/>
      <c r="W966" s="587"/>
      <c r="X966" s="587"/>
      <c r="Y966" s="587"/>
      <c r="Z966" s="587"/>
      <c r="AA966" s="587"/>
      <c r="AB966" s="587"/>
      <c r="AC966" s="587"/>
      <c r="AE966" s="587"/>
      <c r="AF966" s="587"/>
      <c r="AG966" s="587"/>
      <c r="AH966" s="587"/>
      <c r="AI966" s="587"/>
      <c r="AJ966" s="587"/>
      <c r="AK966" s="587"/>
      <c r="AL966" s="587"/>
      <c r="AM966" s="587"/>
      <c r="AO966" s="587"/>
      <c r="AP966" s="587"/>
      <c r="AQ966" s="587"/>
      <c r="AR966" s="587"/>
      <c r="AS966" s="587"/>
      <c r="AT966" s="587"/>
      <c r="AU966" s="587"/>
      <c r="AV966" s="587"/>
      <c r="AW966" s="587"/>
    </row>
    <row r="967" spans="1:49">
      <c r="A967" s="581">
        <v>38777</v>
      </c>
      <c r="B967" s="594">
        <v>1.24E-2</v>
      </c>
      <c r="C967" s="577">
        <v>-4.6344999999999997E-2</v>
      </c>
      <c r="D967" s="577">
        <v>3.8999999999999994E-3</v>
      </c>
      <c r="E967" s="577">
        <v>4.5999999999999999E-3</v>
      </c>
      <c r="F967" s="577">
        <v>4.725E-3</v>
      </c>
      <c r="G967" s="577">
        <v>4.6624999999999991E-3</v>
      </c>
      <c r="H967" s="577">
        <v>4.9833333333333335E-3</v>
      </c>
      <c r="I967" s="577">
        <f t="shared" si="167"/>
        <v>8.5000000000000006E-3</v>
      </c>
      <c r="J967" s="577">
        <f t="shared" si="160"/>
        <v>7.7375000000000005E-3</v>
      </c>
      <c r="K967" s="577">
        <f t="shared" si="161"/>
        <v>-5.132833333333333E-2</v>
      </c>
      <c r="L967" s="585">
        <f t="shared" si="157"/>
        <v>0.11706938300022585</v>
      </c>
      <c r="M967" s="585">
        <f t="shared" si="158"/>
        <v>4.6799999999999994E-2</v>
      </c>
      <c r="N967" s="585">
        <f t="shared" si="162"/>
        <v>5.5949999999999986E-2</v>
      </c>
      <c r="O967" s="586">
        <f t="shared" si="159"/>
        <v>7.0269383000225852E-2</v>
      </c>
      <c r="P967" s="585">
        <f t="shared" si="163"/>
        <v>6.111938300022586E-2</v>
      </c>
      <c r="Q967" s="585">
        <f t="shared" si="164"/>
        <v>9.3626072933817417E-2</v>
      </c>
      <c r="R967" s="585">
        <f t="shared" si="165"/>
        <v>5.9800000000000006E-2</v>
      </c>
      <c r="S967" s="586">
        <f t="shared" si="166"/>
        <v>3.3826072933817411E-2</v>
      </c>
      <c r="U967" s="587"/>
      <c r="V967" s="587"/>
      <c r="W967" s="587"/>
      <c r="X967" s="587"/>
      <c r="Y967" s="587"/>
      <c r="Z967" s="587"/>
      <c r="AA967" s="587"/>
      <c r="AB967" s="587"/>
      <c r="AC967" s="587"/>
      <c r="AE967" s="587"/>
      <c r="AF967" s="587"/>
      <c r="AG967" s="587"/>
      <c r="AH967" s="587"/>
      <c r="AI967" s="587"/>
      <c r="AJ967" s="587"/>
      <c r="AK967" s="587"/>
      <c r="AL967" s="587"/>
      <c r="AM967" s="587"/>
      <c r="AO967" s="587"/>
      <c r="AP967" s="587"/>
      <c r="AQ967" s="587"/>
      <c r="AR967" s="587"/>
      <c r="AS967" s="587"/>
      <c r="AT967" s="587"/>
      <c r="AU967" s="587"/>
      <c r="AV967" s="587"/>
      <c r="AW967" s="587"/>
    </row>
    <row r="968" spans="1:49">
      <c r="A968" s="581">
        <v>38808</v>
      </c>
      <c r="B968" s="594">
        <v>1.34E-2</v>
      </c>
      <c r="C968" s="577">
        <v>1.7167000000000002E-2</v>
      </c>
      <c r="D968" s="577">
        <v>3.8999999999999994E-3</v>
      </c>
      <c r="E968" s="577">
        <v>4.8666666666666667E-3</v>
      </c>
      <c r="F968" s="577">
        <v>5.0000000000000001E-3</v>
      </c>
      <c r="G968" s="577">
        <v>4.933333333333333E-3</v>
      </c>
      <c r="H968" s="577">
        <v>5.241666666666667E-3</v>
      </c>
      <c r="I968" s="577">
        <f t="shared" si="167"/>
        <v>9.5000000000000015E-3</v>
      </c>
      <c r="J968" s="577">
        <f t="shared" si="160"/>
        <v>8.4666666666666675E-3</v>
      </c>
      <c r="K968" s="577">
        <f t="shared" si="161"/>
        <v>1.1925333333333335E-2</v>
      </c>
      <c r="L968" s="585">
        <f t="shared" si="157"/>
        <v>0.15396341766812349</v>
      </c>
      <c r="M968" s="585">
        <f t="shared" si="158"/>
        <v>4.6799999999999994E-2</v>
      </c>
      <c r="N968" s="585">
        <f t="shared" si="162"/>
        <v>5.9199999999999996E-2</v>
      </c>
      <c r="O968" s="586">
        <f t="shared" si="159"/>
        <v>0.1071634176681235</v>
      </c>
      <c r="P968" s="585">
        <f t="shared" si="163"/>
        <v>9.476341766812349E-2</v>
      </c>
      <c r="Q968" s="585">
        <f t="shared" si="164"/>
        <v>7.7802879302269368E-2</v>
      </c>
      <c r="R968" s="585">
        <f t="shared" si="165"/>
        <v>6.2900000000000011E-2</v>
      </c>
      <c r="S968" s="586">
        <f t="shared" si="166"/>
        <v>1.4902879302269356E-2</v>
      </c>
      <c r="U968" s="587"/>
      <c r="V968" s="587"/>
      <c r="W968" s="587"/>
      <c r="X968" s="587"/>
      <c r="Y968" s="587"/>
      <c r="Z968" s="587"/>
      <c r="AA968" s="587"/>
      <c r="AB968" s="587"/>
      <c r="AC968" s="587"/>
      <c r="AE968" s="587"/>
      <c r="AF968" s="587"/>
      <c r="AG968" s="587"/>
      <c r="AH968" s="587"/>
      <c r="AI968" s="587"/>
      <c r="AJ968" s="587"/>
      <c r="AK968" s="587"/>
      <c r="AL968" s="587"/>
      <c r="AM968" s="587"/>
      <c r="AO968" s="587"/>
      <c r="AP968" s="587"/>
      <c r="AQ968" s="587"/>
      <c r="AR968" s="587"/>
      <c r="AS968" s="587"/>
      <c r="AT968" s="587"/>
      <c r="AU968" s="587"/>
      <c r="AV968" s="587"/>
      <c r="AW968" s="587"/>
    </row>
    <row r="969" spans="1:49">
      <c r="A969" s="581">
        <v>38838</v>
      </c>
      <c r="B969" s="594">
        <v>-2.8799999999999999E-2</v>
      </c>
      <c r="C969" s="577">
        <v>1.4280999999999999E-2</v>
      </c>
      <c r="D969" s="577">
        <v>4.7999999999999996E-3</v>
      </c>
      <c r="E969" s="577">
        <v>4.9583333333333337E-3</v>
      </c>
      <c r="F969" s="577">
        <v>5.1083333333333336E-3</v>
      </c>
      <c r="G969" s="577">
        <v>5.0333333333333341E-3</v>
      </c>
      <c r="H969" s="577">
        <v>5.3500000000000006E-3</v>
      </c>
      <c r="I969" s="577">
        <f t="shared" si="167"/>
        <v>-3.3599999999999998E-2</v>
      </c>
      <c r="J969" s="577">
        <f t="shared" si="160"/>
        <v>-3.3833333333333333E-2</v>
      </c>
      <c r="K969" s="577">
        <f t="shared" si="161"/>
        <v>8.930999999999998E-3</v>
      </c>
      <c r="L969" s="585">
        <f t="shared" si="157"/>
        <v>8.6188477650010586E-2</v>
      </c>
      <c r="M969" s="585">
        <f t="shared" si="158"/>
        <v>5.7599999999999998E-2</v>
      </c>
      <c r="N969" s="585">
        <f t="shared" si="162"/>
        <v>6.0400000000000009E-2</v>
      </c>
      <c r="O969" s="586">
        <f t="shared" si="159"/>
        <v>2.8588477650010588E-2</v>
      </c>
      <c r="P969" s="585">
        <f t="shared" si="163"/>
        <v>2.5788477650010577E-2</v>
      </c>
      <c r="Q969" s="585">
        <f t="shared" si="164"/>
        <v>9.2321125321327857E-2</v>
      </c>
      <c r="R969" s="585">
        <f t="shared" si="165"/>
        <v>6.4200000000000007E-2</v>
      </c>
      <c r="S969" s="586">
        <f t="shared" si="166"/>
        <v>2.812112532132785E-2</v>
      </c>
      <c r="U969" s="587"/>
      <c r="V969" s="587"/>
      <c r="W969" s="587"/>
      <c r="X969" s="587"/>
      <c r="Y969" s="587"/>
      <c r="Z969" s="587"/>
      <c r="AA969" s="587"/>
      <c r="AB969" s="587"/>
      <c r="AC969" s="587"/>
      <c r="AE969" s="587"/>
      <c r="AF969" s="587"/>
      <c r="AG969" s="587"/>
      <c r="AH969" s="587"/>
      <c r="AI969" s="587"/>
      <c r="AJ969" s="587"/>
      <c r="AK969" s="587"/>
      <c r="AL969" s="587"/>
      <c r="AM969" s="587"/>
      <c r="AO969" s="587"/>
      <c r="AP969" s="587"/>
      <c r="AQ969" s="587"/>
      <c r="AR969" s="587"/>
      <c r="AS969" s="587"/>
      <c r="AT969" s="587"/>
      <c r="AU969" s="587"/>
      <c r="AV969" s="587"/>
      <c r="AW969" s="587"/>
    </row>
    <row r="970" spans="1:49">
      <c r="A970" s="581">
        <v>38869</v>
      </c>
      <c r="B970" s="594">
        <v>1.4E-3</v>
      </c>
      <c r="C970" s="577">
        <v>2.4157999999999999E-2</v>
      </c>
      <c r="D970" s="577">
        <v>4.4000000000000003E-3</v>
      </c>
      <c r="E970" s="577">
        <v>4.9083333333333331E-3</v>
      </c>
      <c r="F970" s="577">
        <v>5.0916666666666662E-3</v>
      </c>
      <c r="G970" s="577">
        <v>5.0000000000000001E-3</v>
      </c>
      <c r="H970" s="577">
        <v>5.3333333333333332E-3</v>
      </c>
      <c r="I970" s="577">
        <f t="shared" si="167"/>
        <v>-3.0000000000000001E-3</v>
      </c>
      <c r="J970" s="577">
        <f t="shared" si="160"/>
        <v>-3.5999999999999999E-3</v>
      </c>
      <c r="K970" s="577">
        <f t="shared" si="161"/>
        <v>1.8824666666666667E-2</v>
      </c>
      <c r="L970" s="585">
        <f t="shared" si="157"/>
        <v>8.6188477650010586E-2</v>
      </c>
      <c r="M970" s="585">
        <f t="shared" si="158"/>
        <v>5.28E-2</v>
      </c>
      <c r="N970" s="585">
        <f t="shared" si="162"/>
        <v>0.06</v>
      </c>
      <c r="O970" s="586">
        <f t="shared" si="159"/>
        <v>3.3388477650010587E-2</v>
      </c>
      <c r="P970" s="585">
        <f t="shared" si="163"/>
        <v>2.6188477650010589E-2</v>
      </c>
      <c r="Q970" s="585">
        <f t="shared" si="164"/>
        <v>5.7781220751551121E-2</v>
      </c>
      <c r="R970" s="585">
        <f t="shared" si="165"/>
        <v>6.4000000000000001E-2</v>
      </c>
      <c r="S970" s="586">
        <f t="shared" si="166"/>
        <v>-6.2187792484488802E-3</v>
      </c>
      <c r="U970" s="587"/>
      <c r="V970" s="587"/>
      <c r="W970" s="587"/>
      <c r="X970" s="587"/>
      <c r="Y970" s="587"/>
      <c r="Z970" s="587"/>
      <c r="AA970" s="587"/>
      <c r="AB970" s="587"/>
      <c r="AC970" s="587"/>
      <c r="AE970" s="587"/>
      <c r="AF970" s="587"/>
      <c r="AG970" s="587"/>
      <c r="AH970" s="587"/>
      <c r="AI970" s="587"/>
      <c r="AJ970" s="587"/>
      <c r="AK970" s="587"/>
      <c r="AL970" s="587"/>
      <c r="AM970" s="587"/>
      <c r="AO970" s="587"/>
      <c r="AP970" s="587"/>
      <c r="AQ970" s="587"/>
      <c r="AR970" s="587"/>
      <c r="AS970" s="587"/>
      <c r="AT970" s="587"/>
      <c r="AU970" s="587"/>
      <c r="AV970" s="587"/>
      <c r="AW970" s="587"/>
    </row>
    <row r="971" spans="1:49">
      <c r="A971" s="581">
        <v>38899</v>
      </c>
      <c r="B971" s="594">
        <v>6.1999999999999998E-3</v>
      </c>
      <c r="C971" s="577">
        <v>5.1109000000000002E-2</v>
      </c>
      <c r="D971" s="577">
        <v>4.4999999999999997E-3</v>
      </c>
      <c r="E971" s="577">
        <v>4.875E-3</v>
      </c>
      <c r="F971" s="577">
        <v>5.0666666666666672E-3</v>
      </c>
      <c r="G971" s="577">
        <v>4.9708333333333332E-3</v>
      </c>
      <c r="H971" s="577">
        <v>5.3083333333333342E-3</v>
      </c>
      <c r="I971" s="577">
        <f t="shared" si="167"/>
        <v>1.7000000000000001E-3</v>
      </c>
      <c r="J971" s="577">
        <f t="shared" si="160"/>
        <v>1.2291666666666666E-3</v>
      </c>
      <c r="K971" s="577">
        <f t="shared" si="161"/>
        <v>4.580066666666667E-2</v>
      </c>
      <c r="L971" s="585">
        <f t="shared" si="157"/>
        <v>5.372430217069124E-2</v>
      </c>
      <c r="M971" s="585">
        <f t="shared" si="158"/>
        <v>5.3999999999999992E-2</v>
      </c>
      <c r="N971" s="585">
        <f t="shared" si="162"/>
        <v>5.9649999999999995E-2</v>
      </c>
      <c r="O971" s="586">
        <f t="shared" si="159"/>
        <v>-2.7569782930875197E-4</v>
      </c>
      <c r="P971" s="585">
        <f t="shared" si="163"/>
        <v>-5.9256978293087542E-3</v>
      </c>
      <c r="Q971" s="585">
        <f t="shared" si="164"/>
        <v>8.6527275640517987E-2</v>
      </c>
      <c r="R971" s="585">
        <f t="shared" si="165"/>
        <v>6.3700000000000007E-2</v>
      </c>
      <c r="S971" s="586">
        <f t="shared" si="166"/>
        <v>2.282727564051798E-2</v>
      </c>
      <c r="U971" s="587"/>
      <c r="V971" s="587"/>
      <c r="W971" s="587"/>
      <c r="X971" s="587"/>
      <c r="Y971" s="587"/>
      <c r="Z971" s="587"/>
      <c r="AA971" s="587"/>
      <c r="AB971" s="587"/>
      <c r="AC971" s="587"/>
      <c r="AE971" s="587"/>
      <c r="AF971" s="587"/>
      <c r="AG971" s="587"/>
      <c r="AH971" s="587"/>
      <c r="AI971" s="587"/>
      <c r="AJ971" s="587"/>
      <c r="AK971" s="587"/>
      <c r="AL971" s="587"/>
      <c r="AM971" s="587"/>
      <c r="AO971" s="587"/>
      <c r="AP971" s="587"/>
      <c r="AQ971" s="587"/>
      <c r="AR971" s="587"/>
      <c r="AS971" s="587"/>
      <c r="AT971" s="587"/>
      <c r="AU971" s="587"/>
      <c r="AV971" s="587"/>
      <c r="AW971" s="587"/>
    </row>
    <row r="972" spans="1:49">
      <c r="A972" s="581">
        <v>38930</v>
      </c>
      <c r="B972" s="594">
        <v>2.3800000000000002E-2</v>
      </c>
      <c r="C972" s="577">
        <v>2.7122E-2</v>
      </c>
      <c r="D972" s="577">
        <v>4.3E-3</v>
      </c>
      <c r="E972" s="577">
        <v>4.7333333333333333E-3</v>
      </c>
      <c r="F972" s="577">
        <v>4.9249999999999997E-3</v>
      </c>
      <c r="G972" s="577">
        <v>4.8291666666666665E-3</v>
      </c>
      <c r="H972" s="577">
        <v>5.1666666666666675E-3</v>
      </c>
      <c r="I972" s="577">
        <f t="shared" si="167"/>
        <v>1.9500000000000003E-2</v>
      </c>
      <c r="J972" s="577">
        <f t="shared" si="160"/>
        <v>1.8970833333333336E-2</v>
      </c>
      <c r="K972" s="577">
        <f t="shared" si="161"/>
        <v>2.1955333333333334E-2</v>
      </c>
      <c r="L972" s="585">
        <f t="shared" si="157"/>
        <v>8.8710203413415289E-2</v>
      </c>
      <c r="M972" s="585">
        <f t="shared" si="158"/>
        <v>5.16E-2</v>
      </c>
      <c r="N972" s="585">
        <f t="shared" si="162"/>
        <v>5.7950000000000002E-2</v>
      </c>
      <c r="O972" s="586">
        <f t="shared" si="159"/>
        <v>3.7110203413415289E-2</v>
      </c>
      <c r="P972" s="585">
        <f t="shared" si="163"/>
        <v>3.0760203413415288E-2</v>
      </c>
      <c r="Q972" s="585">
        <f t="shared" si="164"/>
        <v>0.1079083375463521</v>
      </c>
      <c r="R972" s="585">
        <f t="shared" si="165"/>
        <v>6.2000000000000013E-2</v>
      </c>
      <c r="S972" s="586">
        <f t="shared" si="166"/>
        <v>4.5908337546352082E-2</v>
      </c>
      <c r="U972" s="587"/>
      <c r="V972" s="587"/>
      <c r="W972" s="587"/>
      <c r="X972" s="587"/>
      <c r="Y972" s="587"/>
      <c r="Z972" s="587"/>
      <c r="AA972" s="587"/>
      <c r="AB972" s="587"/>
      <c r="AC972" s="587"/>
      <c r="AE972" s="587"/>
      <c r="AF972" s="587"/>
      <c r="AG972" s="587"/>
      <c r="AH972" s="587"/>
      <c r="AI972" s="587"/>
      <c r="AJ972" s="587"/>
      <c r="AK972" s="587"/>
      <c r="AL972" s="587"/>
      <c r="AM972" s="587"/>
      <c r="AO972" s="587"/>
      <c r="AP972" s="587"/>
      <c r="AQ972" s="587"/>
      <c r="AR972" s="587"/>
      <c r="AS972" s="587"/>
      <c r="AT972" s="587"/>
      <c r="AU972" s="587"/>
      <c r="AV972" s="587"/>
      <c r="AW972" s="587"/>
    </row>
    <row r="973" spans="1:49">
      <c r="A973" s="581">
        <v>38961</v>
      </c>
      <c r="B973" s="594">
        <v>2.58E-2</v>
      </c>
      <c r="C973" s="577">
        <v>-1.7362000000000002E-2</v>
      </c>
      <c r="D973" s="577">
        <v>3.8999999999999994E-3</v>
      </c>
      <c r="E973" s="577">
        <v>4.5916666666666666E-3</v>
      </c>
      <c r="F973" s="577">
        <v>4.7916666666666672E-3</v>
      </c>
      <c r="G973" s="577">
        <v>4.6916666666666669E-3</v>
      </c>
      <c r="H973" s="577">
        <v>5.0000000000000001E-3</v>
      </c>
      <c r="I973" s="577">
        <f t="shared" si="167"/>
        <v>2.1899999999999999E-2</v>
      </c>
      <c r="J973" s="577">
        <f t="shared" si="160"/>
        <v>2.1108333333333333E-2</v>
      </c>
      <c r="K973" s="577">
        <f t="shared" si="161"/>
        <v>-2.2362000000000003E-2</v>
      </c>
      <c r="L973" s="585">
        <f t="shared" si="157"/>
        <v>0.10782553978919007</v>
      </c>
      <c r="M973" s="585">
        <f t="shared" si="158"/>
        <v>4.6799999999999994E-2</v>
      </c>
      <c r="N973" s="585">
        <f t="shared" si="162"/>
        <v>5.6300000000000003E-2</v>
      </c>
      <c r="O973" s="586">
        <f t="shared" si="159"/>
        <v>6.1025539789190078E-2</v>
      </c>
      <c r="P973" s="585">
        <f t="shared" si="163"/>
        <v>5.152553978919007E-2</v>
      </c>
      <c r="Q973" s="585">
        <f t="shared" si="164"/>
        <v>4.6599531811067019E-2</v>
      </c>
      <c r="R973" s="585">
        <f t="shared" si="165"/>
        <v>0.06</v>
      </c>
      <c r="S973" s="586">
        <f t="shared" si="166"/>
        <v>-1.3400468188932979E-2</v>
      </c>
      <c r="U973" s="587"/>
      <c r="V973" s="587"/>
      <c r="W973" s="587"/>
      <c r="X973" s="587"/>
      <c r="Y973" s="587"/>
      <c r="Z973" s="587"/>
      <c r="AA973" s="587"/>
      <c r="AB973" s="587"/>
      <c r="AC973" s="587"/>
      <c r="AE973" s="587"/>
      <c r="AF973" s="587"/>
      <c r="AG973" s="587"/>
      <c r="AH973" s="587"/>
      <c r="AI973" s="587"/>
      <c r="AJ973" s="587"/>
      <c r="AK973" s="587"/>
      <c r="AL973" s="587"/>
      <c r="AM973" s="587"/>
      <c r="AO973" s="587"/>
      <c r="AP973" s="587"/>
      <c r="AQ973" s="587"/>
      <c r="AR973" s="587"/>
      <c r="AS973" s="587"/>
      <c r="AT973" s="587"/>
      <c r="AU973" s="587"/>
      <c r="AV973" s="587"/>
      <c r="AW973" s="587"/>
    </row>
    <row r="974" spans="1:49">
      <c r="A974" s="581">
        <v>38991</v>
      </c>
      <c r="B974" s="594">
        <v>3.2599999999999997E-2</v>
      </c>
      <c r="C974" s="577">
        <v>5.6025999999999999E-2</v>
      </c>
      <c r="D974" s="577">
        <v>4.1999999999999997E-3</v>
      </c>
      <c r="E974" s="577">
        <v>4.5916666666666666E-3</v>
      </c>
      <c r="F974" s="577">
        <v>4.783333333333333E-3</v>
      </c>
      <c r="G974" s="577">
        <v>4.6874999999999998E-3</v>
      </c>
      <c r="H974" s="577">
        <v>4.9833333333333335E-3</v>
      </c>
      <c r="I974" s="577">
        <f t="shared" si="167"/>
        <v>2.8399999999999998E-2</v>
      </c>
      <c r="J974" s="577">
        <f t="shared" si="160"/>
        <v>2.7912499999999996E-2</v>
      </c>
      <c r="K974" s="577">
        <f t="shared" si="161"/>
        <v>5.1042666666666667E-2</v>
      </c>
      <c r="L974" s="585">
        <f t="shared" si="157"/>
        <v>0.16336891323738167</v>
      </c>
      <c r="M974" s="585">
        <f t="shared" si="158"/>
        <v>5.04E-2</v>
      </c>
      <c r="N974" s="585">
        <f t="shared" si="162"/>
        <v>5.6249999999999994E-2</v>
      </c>
      <c r="O974" s="586">
        <f t="shared" si="159"/>
        <v>0.11296891323738167</v>
      </c>
      <c r="P974" s="585">
        <f t="shared" si="163"/>
        <v>0.10711891323738168</v>
      </c>
      <c r="Q974" s="585">
        <f t="shared" si="164"/>
        <v>0.17791358539946067</v>
      </c>
      <c r="R974" s="585">
        <f t="shared" si="165"/>
        <v>5.9800000000000006E-2</v>
      </c>
      <c r="S974" s="586">
        <f t="shared" si="166"/>
        <v>0.11811358539946067</v>
      </c>
      <c r="U974" s="587"/>
      <c r="V974" s="587"/>
      <c r="W974" s="587"/>
      <c r="X974" s="587"/>
      <c r="Y974" s="587"/>
      <c r="Z974" s="587"/>
      <c r="AA974" s="587"/>
      <c r="AB974" s="587"/>
      <c r="AC974" s="587"/>
      <c r="AE974" s="587"/>
      <c r="AF974" s="587"/>
      <c r="AG974" s="587"/>
      <c r="AH974" s="587"/>
      <c r="AI974" s="587"/>
      <c r="AJ974" s="587"/>
      <c r="AK974" s="587"/>
      <c r="AL974" s="587"/>
      <c r="AM974" s="587"/>
      <c r="AO974" s="587"/>
      <c r="AP974" s="587"/>
      <c r="AQ974" s="587"/>
      <c r="AR974" s="587"/>
      <c r="AS974" s="587"/>
      <c r="AT974" s="587"/>
      <c r="AU974" s="587"/>
      <c r="AV974" s="587"/>
      <c r="AW974" s="587"/>
    </row>
    <row r="975" spans="1:49">
      <c r="A975" s="581">
        <v>39022</v>
      </c>
      <c r="B975" s="594">
        <v>1.9E-2</v>
      </c>
      <c r="C975" s="577">
        <v>2.1404999999999997E-2</v>
      </c>
      <c r="D975" s="577">
        <v>3.8999999999999994E-3</v>
      </c>
      <c r="E975" s="577">
        <v>4.4416666666666667E-3</v>
      </c>
      <c r="F975" s="577">
        <v>4.6416666666666663E-3</v>
      </c>
      <c r="G975" s="577">
        <v>4.5416666666666669E-3</v>
      </c>
      <c r="H975" s="577">
        <v>4.8333333333333336E-3</v>
      </c>
      <c r="I975" s="577">
        <f t="shared" si="167"/>
        <v>1.5100000000000001E-2</v>
      </c>
      <c r="J975" s="577">
        <f t="shared" si="160"/>
        <v>1.4458333333333333E-2</v>
      </c>
      <c r="K975" s="577">
        <f t="shared" si="161"/>
        <v>1.6571666666666665E-2</v>
      </c>
      <c r="L975" s="585">
        <f t="shared" si="157"/>
        <v>0.14229420176227814</v>
      </c>
      <c r="M975" s="585">
        <f t="shared" si="158"/>
        <v>4.6799999999999994E-2</v>
      </c>
      <c r="N975" s="585">
        <f t="shared" si="162"/>
        <v>5.4500000000000007E-2</v>
      </c>
      <c r="O975" s="586">
        <f t="shared" si="159"/>
        <v>9.5494201762278144E-2</v>
      </c>
      <c r="P975" s="585">
        <f t="shared" si="163"/>
        <v>8.7794201762278132E-2</v>
      </c>
      <c r="Q975" s="585">
        <f t="shared" si="164"/>
        <v>0.20783739152187164</v>
      </c>
      <c r="R975" s="585">
        <f t="shared" si="165"/>
        <v>5.8000000000000003E-2</v>
      </c>
      <c r="S975" s="586">
        <f t="shared" si="166"/>
        <v>0.14983739152187164</v>
      </c>
      <c r="U975" s="587"/>
      <c r="V975" s="587"/>
      <c r="W975" s="587"/>
      <c r="X975" s="587"/>
      <c r="Y975" s="587"/>
      <c r="Z975" s="587"/>
      <c r="AA975" s="587"/>
      <c r="AB975" s="587"/>
      <c r="AC975" s="587"/>
      <c r="AE975" s="587"/>
      <c r="AF975" s="587"/>
      <c r="AG975" s="587"/>
      <c r="AH975" s="587"/>
      <c r="AI975" s="587"/>
      <c r="AJ975" s="587"/>
      <c r="AK975" s="587"/>
      <c r="AL975" s="587"/>
      <c r="AM975" s="587"/>
      <c r="AO975" s="587"/>
      <c r="AP975" s="587"/>
      <c r="AQ975" s="587"/>
      <c r="AR975" s="587"/>
      <c r="AS975" s="587"/>
      <c r="AT975" s="587"/>
      <c r="AU975" s="587"/>
      <c r="AV975" s="587"/>
      <c r="AW975" s="587"/>
    </row>
    <row r="976" spans="1:49">
      <c r="A976" s="581">
        <v>39052</v>
      </c>
      <c r="B976" s="594">
        <v>1.4E-2</v>
      </c>
      <c r="C976" s="577">
        <v>1.1817000000000001E-2</v>
      </c>
      <c r="D976" s="577">
        <v>3.5999999999999999E-3</v>
      </c>
      <c r="E976" s="577">
        <v>4.4083333333333335E-3</v>
      </c>
      <c r="F976" s="577">
        <v>4.6500000000000005E-3</v>
      </c>
      <c r="G976" s="577">
        <v>4.5291666666666666E-3</v>
      </c>
      <c r="H976" s="577">
        <v>4.8416666666666669E-3</v>
      </c>
      <c r="I976" s="577">
        <f t="shared" si="167"/>
        <v>1.04E-2</v>
      </c>
      <c r="J976" s="577">
        <f t="shared" si="160"/>
        <v>9.4708333333333346E-3</v>
      </c>
      <c r="K976" s="577">
        <f t="shared" si="161"/>
        <v>6.9753333333333343E-3</v>
      </c>
      <c r="L976" s="585">
        <f t="shared" ref="L976:L1039" si="168">((1+B965)*(1+B966)*(1+B967)*(1+B968)*(1+B969)*(1+B970)*(1+B971)*(1+B972)*(1+B973)*(1+B974)*(1+B975)*(1+B976))-1</f>
        <v>0.15793893890527766</v>
      </c>
      <c r="M976" s="585">
        <f t="shared" ref="M976:M1039" si="169">D976*12</f>
        <v>4.3200000000000002E-2</v>
      </c>
      <c r="N976" s="585">
        <f t="shared" si="162"/>
        <v>5.4349999999999996E-2</v>
      </c>
      <c r="O976" s="586">
        <f t="shared" ref="O976:O1039" si="170">L976-M976</f>
        <v>0.11473893890527766</v>
      </c>
      <c r="P976" s="585">
        <f t="shared" si="163"/>
        <v>0.10358893890527766</v>
      </c>
      <c r="Q976" s="585">
        <f t="shared" si="164"/>
        <v>0.2088134579401435</v>
      </c>
      <c r="R976" s="585">
        <f t="shared" si="165"/>
        <v>5.8099999999999999E-2</v>
      </c>
      <c r="S976" s="586">
        <f t="shared" si="166"/>
        <v>0.15071345794014351</v>
      </c>
      <c r="U976" s="587"/>
      <c r="V976" s="587"/>
      <c r="W976" s="587"/>
      <c r="X976" s="587"/>
      <c r="Y976" s="587"/>
      <c r="Z976" s="587"/>
      <c r="AA976" s="587"/>
      <c r="AB976" s="587"/>
      <c r="AC976" s="587"/>
      <c r="AE976" s="587"/>
      <c r="AF976" s="587"/>
      <c r="AG976" s="587"/>
      <c r="AH976" s="587"/>
      <c r="AI976" s="587"/>
      <c r="AJ976" s="587"/>
      <c r="AK976" s="587"/>
      <c r="AL976" s="587"/>
      <c r="AM976" s="587"/>
      <c r="AO976" s="587"/>
      <c r="AP976" s="587"/>
      <c r="AQ976" s="587"/>
      <c r="AR976" s="587"/>
      <c r="AS976" s="587"/>
      <c r="AT976" s="587"/>
      <c r="AU976" s="587"/>
      <c r="AV976" s="587"/>
      <c r="AW976" s="587"/>
    </row>
    <row r="977" spans="1:49">
      <c r="A977" s="581">
        <v>39083</v>
      </c>
      <c r="B977" s="594">
        <v>1.5100000000000001E-2</v>
      </c>
      <c r="C977" s="577">
        <v>-1.134E-3</v>
      </c>
      <c r="D977" s="577">
        <v>4.3E-3</v>
      </c>
      <c r="E977" s="577">
        <v>4.5000000000000005E-3</v>
      </c>
      <c r="F977" s="577">
        <v>4.7916666666666672E-3</v>
      </c>
      <c r="G977" s="577">
        <v>4.6458333333333334E-3</v>
      </c>
      <c r="H977" s="577">
        <v>4.9666666666666661E-3</v>
      </c>
      <c r="I977" s="577">
        <f t="shared" si="167"/>
        <v>1.0800000000000001E-2</v>
      </c>
      <c r="J977" s="577">
        <f t="shared" si="160"/>
        <v>1.0454166666666667E-2</v>
      </c>
      <c r="K977" s="577">
        <f t="shared" si="161"/>
        <v>-6.1006666666666657E-3</v>
      </c>
      <c r="L977" s="585">
        <f t="shared" si="168"/>
        <v>0.14507921761592502</v>
      </c>
      <c r="M977" s="585">
        <f t="shared" si="169"/>
        <v>5.16E-2</v>
      </c>
      <c r="N977" s="585">
        <f t="shared" si="162"/>
        <v>5.5750000000000001E-2</v>
      </c>
      <c r="O977" s="586">
        <f t="shared" si="170"/>
        <v>9.3479217615925009E-2</v>
      </c>
      <c r="P977" s="585">
        <f t="shared" si="163"/>
        <v>8.9329217615925022E-2</v>
      </c>
      <c r="Q977" s="585">
        <f t="shared" si="164"/>
        <v>0.1764456728895456</v>
      </c>
      <c r="R977" s="585">
        <f t="shared" si="165"/>
        <v>5.9599999999999993E-2</v>
      </c>
      <c r="S977" s="586">
        <f t="shared" si="166"/>
        <v>0.11684567288954562</v>
      </c>
      <c r="U977" s="587"/>
      <c r="V977" s="587"/>
      <c r="W977" s="587"/>
      <c r="X977" s="587"/>
      <c r="Y977" s="587"/>
      <c r="Z977" s="587"/>
      <c r="AA977" s="587"/>
      <c r="AB977" s="587"/>
      <c r="AC977" s="587"/>
      <c r="AE977" s="587"/>
      <c r="AF977" s="587"/>
      <c r="AG977" s="587"/>
      <c r="AH977" s="587"/>
      <c r="AI977" s="587"/>
      <c r="AJ977" s="587"/>
      <c r="AK977" s="587"/>
      <c r="AL977" s="587"/>
      <c r="AM977" s="587"/>
      <c r="AO977" s="587"/>
      <c r="AP977" s="587"/>
      <c r="AQ977" s="587"/>
      <c r="AR977" s="587"/>
      <c r="AS977" s="587"/>
      <c r="AT977" s="587"/>
      <c r="AU977" s="587"/>
      <c r="AV977" s="587"/>
      <c r="AW977" s="587"/>
    </row>
    <row r="978" spans="1:49">
      <c r="A978" s="581">
        <v>39114</v>
      </c>
      <c r="B978" s="594">
        <v>-1.9599999999999999E-2</v>
      </c>
      <c r="C978" s="577">
        <v>5.0340999999999997E-2</v>
      </c>
      <c r="D978" s="577">
        <v>3.8E-3</v>
      </c>
      <c r="E978" s="577">
        <v>4.4916666666666664E-3</v>
      </c>
      <c r="F978" s="577">
        <v>4.7666666666666664E-3</v>
      </c>
      <c r="G978" s="577">
        <v>4.6291666666666668E-3</v>
      </c>
      <c r="H978" s="577">
        <v>4.9166666666666673E-3</v>
      </c>
      <c r="I978" s="577">
        <f t="shared" si="167"/>
        <v>-2.3400000000000001E-2</v>
      </c>
      <c r="J978" s="577">
        <f t="shared" si="160"/>
        <v>-2.4229166666666666E-2</v>
      </c>
      <c r="K978" s="577">
        <f t="shared" si="161"/>
        <v>4.542433333333333E-2</v>
      </c>
      <c r="L978" s="585">
        <f t="shared" si="168"/>
        <v>0.11961271063194712</v>
      </c>
      <c r="M978" s="585">
        <f t="shared" si="169"/>
        <v>4.5600000000000002E-2</v>
      </c>
      <c r="N978" s="585">
        <f t="shared" si="162"/>
        <v>5.5550000000000002E-2</v>
      </c>
      <c r="O978" s="586">
        <f t="shared" si="170"/>
        <v>7.4012710631947115E-2</v>
      </c>
      <c r="P978" s="585">
        <f t="shared" si="163"/>
        <v>6.4062710631947115E-2</v>
      </c>
      <c r="Q978" s="585">
        <f t="shared" si="164"/>
        <v>0.22400800028971823</v>
      </c>
      <c r="R978" s="585">
        <f t="shared" si="165"/>
        <v>5.9000000000000011E-2</v>
      </c>
      <c r="S978" s="586">
        <f t="shared" si="166"/>
        <v>0.16500800028971824</v>
      </c>
      <c r="U978" s="587"/>
      <c r="V978" s="587"/>
      <c r="W978" s="587"/>
      <c r="X978" s="587"/>
      <c r="Y978" s="587"/>
      <c r="Z978" s="587"/>
      <c r="AA978" s="587"/>
      <c r="AB978" s="587"/>
      <c r="AC978" s="587"/>
      <c r="AE978" s="587"/>
      <c r="AF978" s="587"/>
      <c r="AG978" s="587"/>
      <c r="AH978" s="587"/>
      <c r="AI978" s="587"/>
      <c r="AJ978" s="587"/>
      <c r="AK978" s="587"/>
      <c r="AL978" s="587"/>
      <c r="AM978" s="587"/>
      <c r="AO978" s="587"/>
      <c r="AP978" s="587"/>
      <c r="AQ978" s="587"/>
      <c r="AR978" s="587"/>
      <c r="AS978" s="587"/>
      <c r="AT978" s="587"/>
      <c r="AU978" s="587"/>
      <c r="AV978" s="587"/>
      <c r="AW978" s="587"/>
    </row>
    <row r="979" spans="1:49">
      <c r="A979" s="581">
        <v>39142</v>
      </c>
      <c r="B979" s="594">
        <v>1.12E-2</v>
      </c>
      <c r="C979" s="577">
        <v>4.1373E-2</v>
      </c>
      <c r="D979" s="577">
        <v>3.8999999999999994E-3</v>
      </c>
      <c r="E979" s="577">
        <v>4.4166666666666668E-3</v>
      </c>
      <c r="F979" s="577">
        <v>4.7166666666666668E-3</v>
      </c>
      <c r="G979" s="577">
        <v>4.5666666666666668E-3</v>
      </c>
      <c r="H979" s="577">
        <v>4.8750000000000009E-3</v>
      </c>
      <c r="I979" s="577">
        <f t="shared" si="167"/>
        <v>7.3000000000000009E-3</v>
      </c>
      <c r="J979" s="577">
        <f t="shared" si="160"/>
        <v>6.6333333333333331E-3</v>
      </c>
      <c r="K979" s="577">
        <f t="shared" si="161"/>
        <v>3.6498000000000003E-2</v>
      </c>
      <c r="L979" s="585">
        <f t="shared" si="168"/>
        <v>0.11828563116458413</v>
      </c>
      <c r="M979" s="585">
        <f t="shared" si="169"/>
        <v>4.6799999999999994E-2</v>
      </c>
      <c r="N979" s="585">
        <f t="shared" si="162"/>
        <v>5.4800000000000001E-2</v>
      </c>
      <c r="O979" s="586">
        <f t="shared" si="170"/>
        <v>7.1485631164584132E-2</v>
      </c>
      <c r="P979" s="585">
        <f t="shared" si="163"/>
        <v>6.3485631164584125E-2</v>
      </c>
      <c r="Q979" s="585">
        <f t="shared" si="164"/>
        <v>0.33659329976323193</v>
      </c>
      <c r="R979" s="585">
        <f t="shared" si="165"/>
        <v>5.850000000000001E-2</v>
      </c>
      <c r="S979" s="586">
        <f t="shared" si="166"/>
        <v>0.27809329976323194</v>
      </c>
      <c r="U979" s="587"/>
      <c r="V979" s="587"/>
      <c r="W979" s="587"/>
      <c r="X979" s="587"/>
      <c r="Y979" s="587"/>
      <c r="Z979" s="587"/>
      <c r="AA979" s="587"/>
      <c r="AB979" s="587"/>
      <c r="AC979" s="587"/>
      <c r="AE979" s="587"/>
      <c r="AF979" s="587"/>
      <c r="AG979" s="587"/>
      <c r="AH979" s="587"/>
      <c r="AI979" s="587"/>
      <c r="AJ979" s="587"/>
      <c r="AK979" s="587"/>
      <c r="AL979" s="587"/>
      <c r="AM979" s="587"/>
      <c r="AO979" s="587"/>
      <c r="AP979" s="587"/>
      <c r="AQ979" s="587"/>
      <c r="AR979" s="587"/>
      <c r="AS979" s="587"/>
      <c r="AT979" s="587"/>
      <c r="AU979" s="587"/>
      <c r="AV979" s="587"/>
      <c r="AW979" s="587"/>
    </row>
    <row r="980" spans="1:49">
      <c r="A980" s="581">
        <v>39173</v>
      </c>
      <c r="B980" s="594">
        <v>4.4299999999999999E-2</v>
      </c>
      <c r="C980" s="577">
        <v>4.3758999999999999E-2</v>
      </c>
      <c r="D980" s="577">
        <v>4.1999999999999997E-3</v>
      </c>
      <c r="E980" s="577">
        <v>4.5583333333333335E-3</v>
      </c>
      <c r="F980" s="577">
        <v>4.8583333333333334E-3</v>
      </c>
      <c r="G980" s="577">
        <v>4.7083333333333335E-3</v>
      </c>
      <c r="H980" s="577">
        <v>4.9750000000000003E-3</v>
      </c>
      <c r="I980" s="577">
        <f t="shared" si="167"/>
        <v>4.0099999999999997E-2</v>
      </c>
      <c r="J980" s="577">
        <f t="shared" si="160"/>
        <v>3.9591666666666664E-2</v>
      </c>
      <c r="K980" s="577">
        <f t="shared" si="161"/>
        <v>3.8783999999999999E-2</v>
      </c>
      <c r="L980" s="585">
        <f t="shared" si="168"/>
        <v>0.15238374247599684</v>
      </c>
      <c r="M980" s="585">
        <f t="shared" si="169"/>
        <v>5.04E-2</v>
      </c>
      <c r="N980" s="585">
        <f t="shared" si="162"/>
        <v>5.6500000000000002E-2</v>
      </c>
      <c r="O980" s="586">
        <f t="shared" si="170"/>
        <v>0.10198374247599684</v>
      </c>
      <c r="P980" s="585">
        <f t="shared" si="163"/>
        <v>9.5883742475996847E-2</v>
      </c>
      <c r="Q980" s="585">
        <f t="shared" si="164"/>
        <v>0.37153612530446933</v>
      </c>
      <c r="R980" s="585">
        <f t="shared" si="165"/>
        <v>5.9700000000000003E-2</v>
      </c>
      <c r="S980" s="586">
        <f t="shared" si="166"/>
        <v>0.31183612530446936</v>
      </c>
      <c r="U980" s="587"/>
      <c r="V980" s="587"/>
      <c r="W980" s="587"/>
      <c r="X980" s="587"/>
      <c r="Y980" s="587"/>
      <c r="Z980" s="587"/>
      <c r="AA980" s="587"/>
      <c r="AB980" s="587"/>
      <c r="AC980" s="587"/>
      <c r="AE980" s="587"/>
      <c r="AF980" s="587"/>
      <c r="AG980" s="587"/>
      <c r="AH980" s="587"/>
      <c r="AI980" s="587"/>
      <c r="AJ980" s="587"/>
      <c r="AK980" s="587"/>
      <c r="AL980" s="587"/>
      <c r="AM980" s="587"/>
      <c r="AO980" s="587"/>
      <c r="AP980" s="587"/>
      <c r="AQ980" s="587"/>
      <c r="AR980" s="587"/>
      <c r="AS980" s="587"/>
      <c r="AT980" s="587"/>
      <c r="AU980" s="587"/>
      <c r="AV980" s="587"/>
      <c r="AW980" s="587"/>
    </row>
    <row r="981" spans="1:49">
      <c r="A981" s="581">
        <v>39203</v>
      </c>
      <c r="B981" s="594">
        <v>3.49E-2</v>
      </c>
      <c r="C981" s="577">
        <v>5.1450000000000003E-3</v>
      </c>
      <c r="D981" s="577">
        <v>4.1000000000000003E-3</v>
      </c>
      <c r="E981" s="577">
        <v>4.5583333333333335E-3</v>
      </c>
      <c r="F981" s="577">
        <v>4.875E-3</v>
      </c>
      <c r="G981" s="577">
        <v>4.7166666666666668E-3</v>
      </c>
      <c r="H981" s="577">
        <v>4.9916666666666668E-3</v>
      </c>
      <c r="I981" s="577">
        <f t="shared" si="167"/>
        <v>3.0800000000000001E-2</v>
      </c>
      <c r="J981" s="577">
        <f t="shared" si="160"/>
        <v>3.0183333333333333E-2</v>
      </c>
      <c r="K981" s="577">
        <f t="shared" si="161"/>
        <v>1.5333333333333345E-4</v>
      </c>
      <c r="L981" s="585">
        <f t="shared" si="168"/>
        <v>0.22796739609597338</v>
      </c>
      <c r="M981" s="585">
        <f t="shared" si="169"/>
        <v>4.9200000000000008E-2</v>
      </c>
      <c r="N981" s="585">
        <f t="shared" si="162"/>
        <v>5.6599999999999998E-2</v>
      </c>
      <c r="O981" s="586">
        <f t="shared" si="170"/>
        <v>0.17876739609597336</v>
      </c>
      <c r="P981" s="585">
        <f t="shared" si="163"/>
        <v>0.1713673960959734</v>
      </c>
      <c r="Q981" s="585">
        <f t="shared" si="164"/>
        <v>0.35918219770375348</v>
      </c>
      <c r="R981" s="585">
        <f t="shared" si="165"/>
        <v>5.9900000000000002E-2</v>
      </c>
      <c r="S981" s="586">
        <f t="shared" si="166"/>
        <v>0.29928219770375347</v>
      </c>
      <c r="U981" s="587"/>
      <c r="V981" s="587"/>
      <c r="W981" s="587"/>
      <c r="X981" s="587"/>
      <c r="Y981" s="587"/>
      <c r="Z981" s="587"/>
      <c r="AA981" s="587"/>
      <c r="AB981" s="587"/>
      <c r="AC981" s="587"/>
      <c r="AE981" s="587"/>
      <c r="AF981" s="587"/>
      <c r="AG981" s="587"/>
      <c r="AH981" s="587"/>
      <c r="AI981" s="587"/>
      <c r="AJ981" s="587"/>
      <c r="AK981" s="587"/>
      <c r="AL981" s="587"/>
      <c r="AM981" s="587"/>
      <c r="AO981" s="587"/>
      <c r="AP981" s="587"/>
      <c r="AQ981" s="587"/>
      <c r="AR981" s="587"/>
      <c r="AS981" s="587"/>
      <c r="AT981" s="587"/>
      <c r="AU981" s="587"/>
      <c r="AV981" s="587"/>
      <c r="AW981" s="587"/>
    </row>
    <row r="982" spans="1:49">
      <c r="A982" s="581">
        <v>39234</v>
      </c>
      <c r="B982" s="594">
        <v>-1.66E-2</v>
      </c>
      <c r="C982" s="577">
        <v>-5.0620999999999999E-2</v>
      </c>
      <c r="D982" s="577">
        <v>4.0000000000000001E-3</v>
      </c>
      <c r="E982" s="577">
        <v>4.8249999999999996E-4</v>
      </c>
      <c r="F982" s="577">
        <v>5.1416666666666668E-3</v>
      </c>
      <c r="G982" s="577">
        <v>2.8120833333333335E-3</v>
      </c>
      <c r="H982" s="577">
        <v>5.2500000000000003E-3</v>
      </c>
      <c r="I982" s="577">
        <f t="shared" si="167"/>
        <v>-2.06E-2</v>
      </c>
      <c r="J982" s="577">
        <f t="shared" si="160"/>
        <v>-1.9412083333333333E-2</v>
      </c>
      <c r="K982" s="577">
        <f t="shared" si="161"/>
        <v>-5.5870999999999997E-2</v>
      </c>
      <c r="L982" s="585">
        <f t="shared" si="168"/>
        <v>0.20589488448250481</v>
      </c>
      <c r="M982" s="585">
        <f t="shared" si="169"/>
        <v>4.8000000000000001E-2</v>
      </c>
      <c r="N982" s="585">
        <f t="shared" si="162"/>
        <v>3.3745000000000004E-2</v>
      </c>
      <c r="O982" s="586">
        <f t="shared" si="170"/>
        <v>0.15789488448250483</v>
      </c>
      <c r="P982" s="585">
        <f t="shared" si="163"/>
        <v>0.17214988448250482</v>
      </c>
      <c r="Q982" s="585">
        <f t="shared" si="164"/>
        <v>0.25994137200880307</v>
      </c>
      <c r="R982" s="585">
        <f t="shared" si="165"/>
        <v>6.3E-2</v>
      </c>
      <c r="S982" s="586">
        <f t="shared" si="166"/>
        <v>0.19694137200880307</v>
      </c>
      <c r="U982" s="587"/>
      <c r="V982" s="587"/>
      <c r="W982" s="587"/>
      <c r="X982" s="587"/>
      <c r="Y982" s="587"/>
      <c r="Z982" s="587"/>
      <c r="AA982" s="587"/>
      <c r="AB982" s="587"/>
      <c r="AC982" s="587"/>
      <c r="AE982" s="587"/>
      <c r="AF982" s="587"/>
      <c r="AG982" s="587"/>
      <c r="AH982" s="587"/>
      <c r="AI982" s="587"/>
      <c r="AJ982" s="587"/>
      <c r="AK982" s="587"/>
      <c r="AL982" s="587"/>
      <c r="AM982" s="587"/>
      <c r="AO982" s="587"/>
      <c r="AP982" s="587"/>
      <c r="AQ982" s="587"/>
      <c r="AR982" s="587"/>
      <c r="AS982" s="587"/>
      <c r="AT982" s="587"/>
      <c r="AU982" s="587"/>
      <c r="AV982" s="587"/>
      <c r="AW982" s="587"/>
    </row>
    <row r="983" spans="1:49">
      <c r="A983" s="581">
        <v>39264</v>
      </c>
      <c r="B983" s="594">
        <v>-3.1E-2</v>
      </c>
      <c r="C983" s="577">
        <v>-3.5666000000000003E-2</v>
      </c>
      <c r="D983" s="577">
        <v>4.5999999999999999E-3</v>
      </c>
      <c r="E983" s="577">
        <v>4.7750000000000006E-3</v>
      </c>
      <c r="F983" s="577">
        <v>5.0749999999999997E-3</v>
      </c>
      <c r="G983" s="577">
        <v>4.9249999999999997E-3</v>
      </c>
      <c r="H983" s="577">
        <v>5.2083333333333339E-3</v>
      </c>
      <c r="I983" s="577">
        <f t="shared" si="167"/>
        <v>-3.56E-2</v>
      </c>
      <c r="J983" s="577">
        <f t="shared" si="160"/>
        <v>-3.5924999999999999E-2</v>
      </c>
      <c r="K983" s="577">
        <f t="shared" si="161"/>
        <v>-4.0874333333333339E-2</v>
      </c>
      <c r="L983" s="585">
        <f t="shared" si="168"/>
        <v>0.16131200861016359</v>
      </c>
      <c r="M983" s="585">
        <f t="shared" si="169"/>
        <v>5.5199999999999999E-2</v>
      </c>
      <c r="N983" s="585">
        <f t="shared" si="162"/>
        <v>5.91E-2</v>
      </c>
      <c r="O983" s="586">
        <f t="shared" si="170"/>
        <v>0.10611200861016359</v>
      </c>
      <c r="P983" s="585">
        <f t="shared" si="163"/>
        <v>0.10221200861016359</v>
      </c>
      <c r="Q983" s="585">
        <f t="shared" si="164"/>
        <v>0.15592607715730455</v>
      </c>
      <c r="R983" s="585">
        <f t="shared" si="165"/>
        <v>6.25E-2</v>
      </c>
      <c r="S983" s="586">
        <f t="shared" si="166"/>
        <v>9.3426077157304555E-2</v>
      </c>
      <c r="U983" s="587"/>
      <c r="V983" s="587"/>
      <c r="W983" s="587"/>
      <c r="X983" s="587"/>
      <c r="Y983" s="587"/>
      <c r="Z983" s="587"/>
      <c r="AA983" s="587"/>
      <c r="AB983" s="587"/>
      <c r="AC983" s="587"/>
      <c r="AE983" s="587"/>
      <c r="AF983" s="587"/>
      <c r="AG983" s="587"/>
      <c r="AH983" s="587"/>
      <c r="AI983" s="587"/>
      <c r="AJ983" s="587"/>
      <c r="AK983" s="587"/>
      <c r="AL983" s="587"/>
      <c r="AM983" s="587"/>
      <c r="AO983" s="587"/>
      <c r="AP983" s="587"/>
      <c r="AQ983" s="587"/>
      <c r="AR983" s="587"/>
      <c r="AS983" s="587"/>
      <c r="AT983" s="587"/>
      <c r="AU983" s="587"/>
      <c r="AV983" s="587"/>
      <c r="AW983" s="587"/>
    </row>
    <row r="984" spans="1:49">
      <c r="A984" s="581">
        <v>39295</v>
      </c>
      <c r="B984" s="594">
        <v>1.4999999999999999E-2</v>
      </c>
      <c r="C984" s="577">
        <v>2.0955999999999995E-2</v>
      </c>
      <c r="D984" s="577">
        <v>4.1999999999999997E-3</v>
      </c>
      <c r="E984" s="577">
        <v>4.8249999999999994E-3</v>
      </c>
      <c r="F984" s="577">
        <v>5.0499999999999998E-3</v>
      </c>
      <c r="G984" s="577">
        <v>4.9375E-3</v>
      </c>
      <c r="H984" s="577">
        <v>5.1999999999999998E-3</v>
      </c>
      <c r="I984" s="577">
        <f t="shared" si="167"/>
        <v>1.0800000000000001E-2</v>
      </c>
      <c r="J984" s="577">
        <f t="shared" si="160"/>
        <v>1.0062499999999999E-2</v>
      </c>
      <c r="K984" s="577">
        <f t="shared" si="161"/>
        <v>1.5755999999999996E-2</v>
      </c>
      <c r="L984" s="585">
        <f t="shared" si="168"/>
        <v>0.15133003393174094</v>
      </c>
      <c r="M984" s="585">
        <f t="shared" si="169"/>
        <v>5.04E-2</v>
      </c>
      <c r="N984" s="585">
        <f t="shared" si="162"/>
        <v>5.9249999999999997E-2</v>
      </c>
      <c r="O984" s="586">
        <f t="shared" si="170"/>
        <v>0.10093003393174094</v>
      </c>
      <c r="P984" s="585">
        <f t="shared" si="163"/>
        <v>9.208003393174094E-2</v>
      </c>
      <c r="Q984" s="585">
        <f t="shared" si="164"/>
        <v>0.14898684287768416</v>
      </c>
      <c r="R984" s="585">
        <f t="shared" si="165"/>
        <v>6.2399999999999997E-2</v>
      </c>
      <c r="S984" s="586">
        <f t="shared" si="166"/>
        <v>8.6586842877684159E-2</v>
      </c>
      <c r="U984" s="587"/>
      <c r="V984" s="587"/>
      <c r="W984" s="587"/>
      <c r="X984" s="587"/>
      <c r="Y984" s="587"/>
      <c r="Z984" s="587"/>
      <c r="AA984" s="587"/>
      <c r="AB984" s="587"/>
      <c r="AC984" s="587"/>
      <c r="AE984" s="587"/>
      <c r="AF984" s="587"/>
      <c r="AG984" s="587"/>
      <c r="AH984" s="587"/>
      <c r="AI984" s="587"/>
      <c r="AJ984" s="587"/>
      <c r="AK984" s="587"/>
      <c r="AL984" s="587"/>
      <c r="AM984" s="587"/>
      <c r="AO984" s="587"/>
      <c r="AP984" s="587"/>
      <c r="AQ984" s="587"/>
      <c r="AR984" s="587"/>
      <c r="AS984" s="587"/>
      <c r="AT984" s="587"/>
      <c r="AU984" s="587"/>
      <c r="AV984" s="587"/>
      <c r="AW984" s="587"/>
    </row>
    <row r="985" spans="1:49">
      <c r="A985" s="581">
        <v>39326</v>
      </c>
      <c r="B985" s="594">
        <v>3.7400000000000003E-2</v>
      </c>
      <c r="C985" s="577">
        <v>3.5427E-2</v>
      </c>
      <c r="D985" s="577">
        <v>3.7000000000000002E-3</v>
      </c>
      <c r="E985" s="577">
        <v>4.783333333333333E-3</v>
      </c>
      <c r="F985" s="577">
        <v>5.0166666666666658E-3</v>
      </c>
      <c r="G985" s="577">
        <v>4.8999999999999998E-3</v>
      </c>
      <c r="H985" s="577">
        <v>5.1500000000000001E-3</v>
      </c>
      <c r="I985" s="577">
        <f t="shared" si="167"/>
        <v>3.3700000000000001E-2</v>
      </c>
      <c r="J985" s="577">
        <f t="shared" si="160"/>
        <v>3.2500000000000001E-2</v>
      </c>
      <c r="K985" s="577">
        <f t="shared" si="161"/>
        <v>3.0276999999999998E-2</v>
      </c>
      <c r="L985" s="585">
        <f t="shared" si="168"/>
        <v>0.16434955858918698</v>
      </c>
      <c r="M985" s="585">
        <f t="shared" si="169"/>
        <v>4.4400000000000002E-2</v>
      </c>
      <c r="N985" s="585">
        <f t="shared" si="162"/>
        <v>5.8799999999999998E-2</v>
      </c>
      <c r="O985" s="586">
        <f t="shared" si="170"/>
        <v>0.11994955858918699</v>
      </c>
      <c r="P985" s="585">
        <f t="shared" si="163"/>
        <v>0.10554955858918699</v>
      </c>
      <c r="Q985" s="585">
        <f t="shared" si="164"/>
        <v>0.21071238824502192</v>
      </c>
      <c r="R985" s="585">
        <f t="shared" si="165"/>
        <v>6.1800000000000001E-2</v>
      </c>
      <c r="S985" s="586">
        <f t="shared" si="166"/>
        <v>0.14891238824502193</v>
      </c>
      <c r="U985" s="587"/>
      <c r="V985" s="587"/>
      <c r="W985" s="587"/>
      <c r="X985" s="587"/>
      <c r="Y985" s="587"/>
      <c r="Z985" s="587"/>
      <c r="AA985" s="587"/>
      <c r="AB985" s="587"/>
      <c r="AC985" s="587"/>
      <c r="AE985" s="587"/>
      <c r="AF985" s="587"/>
      <c r="AG985" s="587"/>
      <c r="AH985" s="587"/>
      <c r="AI985" s="587"/>
      <c r="AJ985" s="587"/>
      <c r="AK985" s="587"/>
      <c r="AL985" s="587"/>
      <c r="AM985" s="587"/>
      <c r="AO985" s="587"/>
      <c r="AP985" s="587"/>
      <c r="AQ985" s="587"/>
      <c r="AR985" s="587"/>
      <c r="AS985" s="587"/>
      <c r="AT985" s="587"/>
      <c r="AU985" s="587"/>
      <c r="AV985" s="587"/>
      <c r="AW985" s="587"/>
    </row>
    <row r="986" spans="1:49">
      <c r="A986" s="581">
        <v>39356</v>
      </c>
      <c r="B986" s="594">
        <v>1.5900000000000001E-2</v>
      </c>
      <c r="C986" s="577">
        <v>6.8641000000000008E-2</v>
      </c>
      <c r="D986" s="577">
        <v>4.3E-3</v>
      </c>
      <c r="E986" s="577">
        <v>4.7166666666666668E-3</v>
      </c>
      <c r="F986" s="577">
        <v>4.9500000000000004E-3</v>
      </c>
      <c r="G986" s="577">
        <v>4.8333333333333336E-3</v>
      </c>
      <c r="H986" s="577">
        <v>5.0916666666666662E-3</v>
      </c>
      <c r="I986" s="577">
        <f t="shared" si="167"/>
        <v>1.1600000000000001E-2</v>
      </c>
      <c r="J986" s="577">
        <f t="shared" si="160"/>
        <v>1.1066666666666667E-2</v>
      </c>
      <c r="K986" s="577">
        <f t="shared" si="161"/>
        <v>6.3549333333333347E-2</v>
      </c>
      <c r="L986" s="585">
        <f t="shared" si="168"/>
        <v>0.14551880357423475</v>
      </c>
      <c r="M986" s="585">
        <f t="shared" si="169"/>
        <v>5.16E-2</v>
      </c>
      <c r="N986" s="585">
        <f t="shared" si="162"/>
        <v>5.8000000000000003E-2</v>
      </c>
      <c r="O986" s="586">
        <f t="shared" si="170"/>
        <v>9.3918803574234738E-2</v>
      </c>
      <c r="P986" s="585">
        <f t="shared" si="163"/>
        <v>8.7518803574234749E-2</v>
      </c>
      <c r="Q986" s="585">
        <f t="shared" si="164"/>
        <v>0.22517522985849681</v>
      </c>
      <c r="R986" s="585">
        <f t="shared" si="165"/>
        <v>6.1099999999999995E-2</v>
      </c>
      <c r="S986" s="586">
        <f t="shared" si="166"/>
        <v>0.16407522985849682</v>
      </c>
      <c r="U986" s="587"/>
      <c r="V986" s="587"/>
      <c r="W986" s="587"/>
      <c r="X986" s="587"/>
      <c r="Y986" s="587"/>
      <c r="Z986" s="587"/>
      <c r="AA986" s="587"/>
      <c r="AB986" s="587"/>
      <c r="AC986" s="587"/>
      <c r="AE986" s="587"/>
      <c r="AF986" s="587"/>
      <c r="AG986" s="587"/>
      <c r="AH986" s="587"/>
      <c r="AI986" s="587"/>
      <c r="AJ986" s="587"/>
      <c r="AK986" s="587"/>
      <c r="AL986" s="587"/>
      <c r="AM986" s="587"/>
      <c r="AO986" s="587"/>
      <c r="AP986" s="587"/>
      <c r="AQ986" s="587"/>
      <c r="AR986" s="587"/>
      <c r="AS986" s="587"/>
      <c r="AT986" s="587"/>
      <c r="AU986" s="587"/>
      <c r="AV986" s="587"/>
      <c r="AW986" s="587"/>
    </row>
    <row r="987" spans="1:49">
      <c r="A987" s="581">
        <v>39387</v>
      </c>
      <c r="B987" s="594">
        <v>-4.1799999999999997E-2</v>
      </c>
      <c r="C987" s="577">
        <v>3.405E-3</v>
      </c>
      <c r="D987" s="577">
        <v>3.8999999999999994E-3</v>
      </c>
      <c r="E987" s="577">
        <v>4.5333333333333337E-3</v>
      </c>
      <c r="F987" s="577">
        <v>4.816666666666667E-3</v>
      </c>
      <c r="G987" s="577">
        <v>4.6750000000000003E-3</v>
      </c>
      <c r="H987" s="577">
        <v>4.9750000000000003E-3</v>
      </c>
      <c r="I987" s="577">
        <f t="shared" si="167"/>
        <v>-4.5699999999999998E-2</v>
      </c>
      <c r="J987" s="577">
        <f t="shared" si="160"/>
        <v>-4.6474999999999995E-2</v>
      </c>
      <c r="K987" s="577">
        <f t="shared" si="161"/>
        <v>-1.5700000000000002E-3</v>
      </c>
      <c r="L987" s="585">
        <f t="shared" si="168"/>
        <v>7.7169889680895443E-2</v>
      </c>
      <c r="M987" s="585">
        <f t="shared" si="169"/>
        <v>4.6799999999999994E-2</v>
      </c>
      <c r="N987" s="585">
        <f t="shared" si="162"/>
        <v>5.6100000000000004E-2</v>
      </c>
      <c r="O987" s="586">
        <f t="shared" si="170"/>
        <v>3.0369889680895448E-2</v>
      </c>
      <c r="P987" s="585">
        <f t="shared" si="163"/>
        <v>2.1069889680895439E-2</v>
      </c>
      <c r="Q987" s="585">
        <f t="shared" si="164"/>
        <v>0.2035842310505287</v>
      </c>
      <c r="R987" s="585">
        <f t="shared" si="165"/>
        <v>5.9700000000000003E-2</v>
      </c>
      <c r="S987" s="586">
        <f t="shared" si="166"/>
        <v>0.14388423105052869</v>
      </c>
      <c r="U987" s="587"/>
      <c r="V987" s="587"/>
      <c r="W987" s="587"/>
      <c r="X987" s="587"/>
      <c r="Y987" s="587"/>
      <c r="Z987" s="587"/>
      <c r="AA987" s="587"/>
      <c r="AB987" s="587"/>
      <c r="AC987" s="587"/>
      <c r="AE987" s="587"/>
      <c r="AF987" s="587"/>
      <c r="AG987" s="587"/>
      <c r="AH987" s="587"/>
      <c r="AI987" s="587"/>
      <c r="AJ987" s="587"/>
      <c r="AK987" s="587"/>
      <c r="AL987" s="587"/>
      <c r="AM987" s="587"/>
      <c r="AO987" s="587"/>
      <c r="AP987" s="587"/>
      <c r="AQ987" s="587"/>
      <c r="AR987" s="587"/>
      <c r="AS987" s="587"/>
      <c r="AT987" s="587"/>
      <c r="AU987" s="587"/>
      <c r="AV987" s="587"/>
      <c r="AW987" s="587"/>
    </row>
    <row r="988" spans="1:49">
      <c r="A988" s="581">
        <v>39417</v>
      </c>
      <c r="B988" s="594">
        <v>-6.8999999999999999E-3</v>
      </c>
      <c r="C988" s="577">
        <v>2.7539999999999999E-3</v>
      </c>
      <c r="D988" s="577">
        <v>3.7000000000000002E-3</v>
      </c>
      <c r="E988" s="577">
        <v>4.5750000000000001E-3</v>
      </c>
      <c r="F988" s="577">
        <v>4.9249999999999997E-3</v>
      </c>
      <c r="G988" s="577">
        <v>4.7499999999999999E-3</v>
      </c>
      <c r="H988" s="577">
        <v>5.1333333333333335E-3</v>
      </c>
      <c r="I988" s="577">
        <f t="shared" si="167"/>
        <v>-1.06E-2</v>
      </c>
      <c r="J988" s="577">
        <f t="shared" si="160"/>
        <v>-1.1650000000000001E-2</v>
      </c>
      <c r="K988" s="577">
        <f t="shared" si="161"/>
        <v>-2.3793333333333336E-3</v>
      </c>
      <c r="L988" s="585">
        <f t="shared" si="168"/>
        <v>5.4967867299897888E-2</v>
      </c>
      <c r="M988" s="585">
        <f t="shared" si="169"/>
        <v>4.4400000000000002E-2</v>
      </c>
      <c r="N988" s="585">
        <f t="shared" si="162"/>
        <v>5.6999999999999995E-2</v>
      </c>
      <c r="O988" s="586">
        <f t="shared" si="170"/>
        <v>1.0567867299897886E-2</v>
      </c>
      <c r="P988" s="585">
        <f t="shared" si="163"/>
        <v>-2.0321327001021072E-3</v>
      </c>
      <c r="Q988" s="585">
        <f t="shared" si="164"/>
        <v>0.19280354256040533</v>
      </c>
      <c r="R988" s="585">
        <f t="shared" si="165"/>
        <v>6.1600000000000002E-2</v>
      </c>
      <c r="S988" s="586">
        <f t="shared" si="166"/>
        <v>0.13120354256040534</v>
      </c>
      <c r="U988" s="587"/>
      <c r="V988" s="587"/>
      <c r="W988" s="587"/>
      <c r="X988" s="587"/>
      <c r="Y988" s="587"/>
      <c r="Z988" s="587"/>
      <c r="AA988" s="587"/>
      <c r="AB988" s="587"/>
      <c r="AC988" s="587"/>
      <c r="AE988" s="587"/>
      <c r="AF988" s="587"/>
      <c r="AG988" s="587"/>
      <c r="AH988" s="587"/>
      <c r="AI988" s="587"/>
      <c r="AJ988" s="587"/>
      <c r="AK988" s="587"/>
      <c r="AL988" s="587"/>
      <c r="AM988" s="587"/>
      <c r="AO988" s="587"/>
      <c r="AP988" s="587"/>
      <c r="AQ988" s="587"/>
      <c r="AR988" s="587"/>
      <c r="AS988" s="587"/>
      <c r="AT988" s="587"/>
      <c r="AU988" s="587"/>
      <c r="AV988" s="587"/>
      <c r="AW988" s="587"/>
    </row>
    <row r="989" spans="1:49">
      <c r="A989" s="581">
        <v>39448</v>
      </c>
      <c r="B989" s="594">
        <v>-0.06</v>
      </c>
      <c r="C989" s="577">
        <v>-6.8132999999999999E-2</v>
      </c>
      <c r="D989" s="577">
        <v>4.0000000000000001E-3</v>
      </c>
      <c r="E989" s="577">
        <v>4.4416666666666667E-3</v>
      </c>
      <c r="F989" s="577">
        <v>4.816666666666667E-3</v>
      </c>
      <c r="G989" s="577">
        <v>4.6291666666666668E-3</v>
      </c>
      <c r="H989" s="577">
        <v>5.0166666666666658E-3</v>
      </c>
      <c r="I989" s="577">
        <f t="shared" si="167"/>
        <v>-6.4000000000000001E-2</v>
      </c>
      <c r="J989" s="577">
        <f t="shared" ref="J989:J1052" si="171">B989-G989</f>
        <v>-6.4629166666666668E-2</v>
      </c>
      <c r="K989" s="577">
        <f t="shared" ref="K989:K1052" si="172">$C989-H989</f>
        <v>-7.3149666666666668E-2</v>
      </c>
      <c r="L989" s="585">
        <f t="shared" si="168"/>
        <v>-2.3081671498468737E-2</v>
      </c>
      <c r="M989" s="585">
        <f t="shared" si="169"/>
        <v>4.8000000000000001E-2</v>
      </c>
      <c r="N989" s="585">
        <f t="shared" si="162"/>
        <v>5.5550000000000002E-2</v>
      </c>
      <c r="O989" s="586">
        <f t="shared" si="170"/>
        <v>-7.1081671498468738E-2</v>
      </c>
      <c r="P989" s="585">
        <f t="shared" si="163"/>
        <v>-7.8631671498468739E-2</v>
      </c>
      <c r="Q989" s="585">
        <f t="shared" si="164"/>
        <v>0.11279616965152228</v>
      </c>
      <c r="R989" s="585">
        <f t="shared" si="165"/>
        <v>6.019999999999999E-2</v>
      </c>
      <c r="S989" s="586">
        <f t="shared" si="166"/>
        <v>5.2596169651522293E-2</v>
      </c>
      <c r="U989" s="587"/>
      <c r="V989" s="587"/>
      <c r="W989" s="587"/>
      <c r="X989" s="587"/>
      <c r="Y989" s="587"/>
      <c r="Z989" s="587"/>
      <c r="AA989" s="587"/>
      <c r="AB989" s="587"/>
      <c r="AC989" s="587"/>
      <c r="AE989" s="587"/>
      <c r="AF989" s="587"/>
      <c r="AG989" s="587"/>
      <c r="AH989" s="587"/>
      <c r="AI989" s="587"/>
      <c r="AJ989" s="587"/>
      <c r="AK989" s="587"/>
      <c r="AL989" s="587"/>
      <c r="AM989" s="587"/>
      <c r="AO989" s="587"/>
      <c r="AP989" s="587"/>
      <c r="AQ989" s="587"/>
      <c r="AR989" s="587"/>
      <c r="AS989" s="587"/>
      <c r="AT989" s="587"/>
      <c r="AU989" s="587"/>
      <c r="AV989" s="587"/>
      <c r="AW989" s="587"/>
    </row>
    <row r="990" spans="1:49">
      <c r="A990" s="581">
        <v>39479</v>
      </c>
      <c r="B990" s="594">
        <v>-3.2500000000000001E-2</v>
      </c>
      <c r="C990" s="577">
        <v>-4.9955999999999993E-2</v>
      </c>
      <c r="D990" s="577">
        <v>3.3999999999999998E-3</v>
      </c>
      <c r="E990" s="577">
        <v>4.6083333333333341E-3</v>
      </c>
      <c r="F990" s="577">
        <v>4.9750000000000003E-3</v>
      </c>
      <c r="G990" s="577">
        <v>4.7916666666666672E-3</v>
      </c>
      <c r="H990" s="577">
        <v>5.1749999999999999E-3</v>
      </c>
      <c r="I990" s="577">
        <f t="shared" si="167"/>
        <v>-3.5900000000000001E-2</v>
      </c>
      <c r="J990" s="577">
        <f t="shared" si="171"/>
        <v>-3.7291666666666667E-2</v>
      </c>
      <c r="K990" s="577">
        <f t="shared" si="172"/>
        <v>-5.5130999999999993E-2</v>
      </c>
      <c r="L990" s="585">
        <f t="shared" si="168"/>
        <v>-3.5935860031383715E-2</v>
      </c>
      <c r="M990" s="585">
        <f t="shared" si="169"/>
        <v>4.0799999999999996E-2</v>
      </c>
      <c r="N990" s="585">
        <f t="shared" si="162"/>
        <v>5.7500000000000009E-2</v>
      </c>
      <c r="O990" s="586">
        <f t="shared" si="170"/>
        <v>-7.6735860031383718E-2</v>
      </c>
      <c r="P990" s="585">
        <f t="shared" si="163"/>
        <v>-9.3435860031383725E-2</v>
      </c>
      <c r="Q990" s="585">
        <f t="shared" si="164"/>
        <v>6.5353291934815427E-3</v>
      </c>
      <c r="R990" s="585">
        <f t="shared" si="165"/>
        <v>6.2100000000000002E-2</v>
      </c>
      <c r="S990" s="586">
        <f t="shared" si="166"/>
        <v>-5.556467080651846E-2</v>
      </c>
      <c r="U990" s="587"/>
      <c r="V990" s="587"/>
      <c r="W990" s="587"/>
      <c r="X990" s="587"/>
      <c r="Y990" s="587"/>
      <c r="Z990" s="587"/>
      <c r="AA990" s="587"/>
      <c r="AB990" s="587"/>
      <c r="AC990" s="587"/>
      <c r="AE990" s="587"/>
      <c r="AF990" s="587"/>
      <c r="AG990" s="587"/>
      <c r="AH990" s="587"/>
      <c r="AI990" s="587"/>
      <c r="AJ990" s="587"/>
      <c r="AK990" s="587"/>
      <c r="AL990" s="587"/>
      <c r="AM990" s="587"/>
      <c r="AO990" s="587"/>
      <c r="AP990" s="587"/>
      <c r="AQ990" s="587"/>
      <c r="AR990" s="587"/>
      <c r="AS990" s="587"/>
      <c r="AT990" s="587"/>
      <c r="AU990" s="587"/>
      <c r="AV990" s="587"/>
      <c r="AW990" s="587"/>
    </row>
    <row r="991" spans="1:49">
      <c r="A991" s="581">
        <v>39508</v>
      </c>
      <c r="B991" s="594">
        <v>-4.3E-3</v>
      </c>
      <c r="C991" s="577">
        <v>1.7056000000000002E-2</v>
      </c>
      <c r="D991" s="577">
        <v>3.7000000000000002E-3</v>
      </c>
      <c r="E991" s="577">
        <v>4.5916666666666666E-3</v>
      </c>
      <c r="F991" s="577">
        <v>4.9166666666666673E-3</v>
      </c>
      <c r="G991" s="577">
        <v>4.754166666666667E-3</v>
      </c>
      <c r="H991" s="577">
        <v>5.1749999999999999E-3</v>
      </c>
      <c r="I991" s="577">
        <f t="shared" si="167"/>
        <v>-8.0000000000000002E-3</v>
      </c>
      <c r="J991" s="577">
        <f t="shared" si="171"/>
        <v>-9.054166666666667E-3</v>
      </c>
      <c r="K991" s="577">
        <f t="shared" si="172"/>
        <v>1.1881000000000003E-2</v>
      </c>
      <c r="L991" s="585">
        <f t="shared" si="168"/>
        <v>-5.0713346354082867E-2</v>
      </c>
      <c r="M991" s="585">
        <f t="shared" si="169"/>
        <v>4.4400000000000002E-2</v>
      </c>
      <c r="N991" s="585">
        <f t="shared" si="162"/>
        <v>5.7050000000000003E-2</v>
      </c>
      <c r="O991" s="586">
        <f t="shared" si="170"/>
        <v>-9.5113346354082862E-2</v>
      </c>
      <c r="P991" s="585">
        <f t="shared" si="163"/>
        <v>-0.10776334635408287</v>
      </c>
      <c r="Q991" s="585">
        <f t="shared" si="164"/>
        <v>-1.6968179731752575E-2</v>
      </c>
      <c r="R991" s="585">
        <f t="shared" si="165"/>
        <v>6.2100000000000002E-2</v>
      </c>
      <c r="S991" s="586">
        <f t="shared" si="166"/>
        <v>-7.9068179731752578E-2</v>
      </c>
      <c r="U991" s="587"/>
      <c r="V991" s="587"/>
      <c r="W991" s="587"/>
      <c r="X991" s="587"/>
      <c r="Y991" s="587"/>
      <c r="Z991" s="587"/>
      <c r="AA991" s="587"/>
      <c r="AB991" s="587"/>
      <c r="AC991" s="587"/>
      <c r="AE991" s="587"/>
      <c r="AF991" s="587"/>
      <c r="AG991" s="587"/>
      <c r="AH991" s="587"/>
      <c r="AI991" s="587"/>
      <c r="AJ991" s="587"/>
      <c r="AK991" s="587"/>
      <c r="AL991" s="587"/>
      <c r="AM991" s="587"/>
      <c r="AO991" s="587"/>
      <c r="AP991" s="587"/>
      <c r="AQ991" s="587"/>
      <c r="AR991" s="587"/>
      <c r="AS991" s="587"/>
      <c r="AT991" s="587"/>
      <c r="AU991" s="587"/>
      <c r="AV991" s="587"/>
      <c r="AW991" s="587"/>
    </row>
    <row r="992" spans="1:49">
      <c r="A992" s="581">
        <v>39539</v>
      </c>
      <c r="B992" s="594">
        <v>4.87E-2</v>
      </c>
      <c r="C992" s="577">
        <v>5.5163000000000004E-2</v>
      </c>
      <c r="D992" s="577">
        <v>3.5000000000000005E-3</v>
      </c>
      <c r="E992" s="577">
        <v>4.6249999999999998E-3</v>
      </c>
      <c r="F992" s="577">
        <v>4.9416666666666663E-3</v>
      </c>
      <c r="G992" s="577">
        <v>4.783333333333333E-3</v>
      </c>
      <c r="H992" s="577">
        <v>5.241666666666667E-3</v>
      </c>
      <c r="I992" s="577">
        <f t="shared" si="167"/>
        <v>4.5199999999999997E-2</v>
      </c>
      <c r="J992" s="577">
        <f t="shared" si="171"/>
        <v>4.3916666666666666E-2</v>
      </c>
      <c r="K992" s="577">
        <f t="shared" si="172"/>
        <v>4.9921333333333338E-2</v>
      </c>
      <c r="L992" s="585">
        <f t="shared" si="168"/>
        <v>-4.6713670709113364E-2</v>
      </c>
      <c r="M992" s="585">
        <f t="shared" si="169"/>
        <v>4.200000000000001E-2</v>
      </c>
      <c r="N992" s="585">
        <f t="shared" si="162"/>
        <v>5.7399999999999993E-2</v>
      </c>
      <c r="O992" s="586">
        <f t="shared" si="170"/>
        <v>-8.8713670709113374E-2</v>
      </c>
      <c r="P992" s="585">
        <f t="shared" si="163"/>
        <v>-0.10411367070911336</v>
      </c>
      <c r="Q992" s="585">
        <f t="shared" si="164"/>
        <v>-6.2276784490435944E-3</v>
      </c>
      <c r="R992" s="585">
        <f t="shared" si="165"/>
        <v>6.2900000000000011E-2</v>
      </c>
      <c r="S992" s="586">
        <f t="shared" si="166"/>
        <v>-6.9127678449043606E-2</v>
      </c>
      <c r="U992" s="587"/>
      <c r="V992" s="587"/>
      <c r="W992" s="587"/>
      <c r="X992" s="587"/>
      <c r="Y992" s="587"/>
      <c r="Z992" s="587"/>
      <c r="AA992" s="587"/>
      <c r="AB992" s="587"/>
      <c r="AC992" s="587"/>
      <c r="AE992" s="587"/>
      <c r="AF992" s="587"/>
      <c r="AG992" s="587"/>
      <c r="AH992" s="587"/>
      <c r="AI992" s="587"/>
      <c r="AJ992" s="587"/>
      <c r="AK992" s="587"/>
      <c r="AL992" s="587"/>
      <c r="AM992" s="587"/>
      <c r="AO992" s="587"/>
      <c r="AP992" s="587"/>
      <c r="AQ992" s="587"/>
      <c r="AR992" s="587"/>
      <c r="AS992" s="587"/>
      <c r="AT992" s="587"/>
      <c r="AU992" s="587"/>
      <c r="AV992" s="587"/>
      <c r="AW992" s="587"/>
    </row>
    <row r="993" spans="1:49">
      <c r="A993" s="581">
        <v>39569</v>
      </c>
      <c r="B993" s="594">
        <v>1.2999999999999999E-2</v>
      </c>
      <c r="C993" s="577">
        <v>3.1987000000000002E-2</v>
      </c>
      <c r="D993" s="577">
        <v>3.7000000000000002E-3</v>
      </c>
      <c r="E993" s="577">
        <v>4.6416666666666663E-3</v>
      </c>
      <c r="F993" s="577">
        <v>5.0000000000000001E-3</v>
      </c>
      <c r="G993" s="577">
        <v>4.8208333333333332E-3</v>
      </c>
      <c r="H993" s="577">
        <v>5.2249999999999996E-3</v>
      </c>
      <c r="I993" s="577">
        <f t="shared" si="167"/>
        <v>9.2999999999999992E-3</v>
      </c>
      <c r="J993" s="577">
        <f t="shared" si="171"/>
        <v>8.1791666666666662E-3</v>
      </c>
      <c r="K993" s="577">
        <f t="shared" si="172"/>
        <v>2.6762000000000001E-2</v>
      </c>
      <c r="L993" s="585">
        <f t="shared" si="168"/>
        <v>-6.6886605883014316E-2</v>
      </c>
      <c r="M993" s="585">
        <f t="shared" si="169"/>
        <v>4.4400000000000002E-2</v>
      </c>
      <c r="N993" s="585">
        <f t="shared" si="162"/>
        <v>5.7849999999999999E-2</v>
      </c>
      <c r="O993" s="586">
        <f t="shared" si="170"/>
        <v>-0.11128660588301431</v>
      </c>
      <c r="P993" s="585">
        <f t="shared" si="163"/>
        <v>-0.12473660588301431</v>
      </c>
      <c r="Q993" s="585">
        <f t="shared" si="164"/>
        <v>2.0310618667363167E-2</v>
      </c>
      <c r="R993" s="585">
        <f t="shared" si="165"/>
        <v>6.2699999999999992E-2</v>
      </c>
      <c r="S993" s="586">
        <f t="shared" si="166"/>
        <v>-4.2389381332636825E-2</v>
      </c>
      <c r="U993" s="587"/>
      <c r="V993" s="587"/>
      <c r="W993" s="587"/>
      <c r="X993" s="587"/>
      <c r="Y993" s="587"/>
      <c r="Z993" s="587"/>
      <c r="AA993" s="587"/>
      <c r="AB993" s="587"/>
      <c r="AC993" s="587"/>
      <c r="AE993" s="587"/>
      <c r="AF993" s="587"/>
      <c r="AG993" s="587"/>
      <c r="AH993" s="587"/>
      <c r="AI993" s="587"/>
      <c r="AJ993" s="587"/>
      <c r="AK993" s="587"/>
      <c r="AL993" s="587"/>
      <c r="AM993" s="587"/>
      <c r="AO993" s="587"/>
      <c r="AP993" s="587"/>
      <c r="AQ993" s="587"/>
      <c r="AR993" s="587"/>
      <c r="AS993" s="587"/>
      <c r="AT993" s="587"/>
      <c r="AU993" s="587"/>
      <c r="AV993" s="587"/>
      <c r="AW993" s="587"/>
    </row>
    <row r="994" spans="1:49">
      <c r="A994" s="581">
        <v>39600</v>
      </c>
      <c r="B994" s="594">
        <v>-8.43E-2</v>
      </c>
      <c r="C994" s="577">
        <v>-8.6680000000000004E-3</v>
      </c>
      <c r="D994" s="577">
        <v>4.0000000000000001E-3</v>
      </c>
      <c r="E994" s="577">
        <v>4.7333333333333333E-3</v>
      </c>
      <c r="F994" s="577">
        <v>5.0916666666666662E-3</v>
      </c>
      <c r="G994" s="577">
        <v>4.9124999999999993E-3</v>
      </c>
      <c r="H994" s="577">
        <v>5.3166666666666666E-3</v>
      </c>
      <c r="I994" s="577">
        <f t="shared" si="167"/>
        <v>-8.8300000000000003E-2</v>
      </c>
      <c r="J994" s="577">
        <f t="shared" si="171"/>
        <v>-8.92125E-2</v>
      </c>
      <c r="K994" s="577">
        <f t="shared" si="172"/>
        <v>-1.3984666666666666E-2</v>
      </c>
      <c r="L994" s="585">
        <f t="shared" si="168"/>
        <v>-0.13112473561834059</v>
      </c>
      <c r="M994" s="585">
        <f t="shared" si="169"/>
        <v>4.8000000000000001E-2</v>
      </c>
      <c r="N994" s="585">
        <f t="shared" si="162"/>
        <v>5.8949999999999989E-2</v>
      </c>
      <c r="O994" s="586">
        <f t="shared" si="170"/>
        <v>-0.17912473561834058</v>
      </c>
      <c r="P994" s="585">
        <f t="shared" si="163"/>
        <v>-0.1900747356183406</v>
      </c>
      <c r="Q994" s="585">
        <f t="shared" si="164"/>
        <v>6.5398082562132309E-2</v>
      </c>
      <c r="R994" s="585">
        <f t="shared" si="165"/>
        <v>6.3799999999999996E-2</v>
      </c>
      <c r="S994" s="586">
        <f t="shared" si="166"/>
        <v>1.5980825621323136E-3</v>
      </c>
      <c r="U994" s="587"/>
      <c r="V994" s="587"/>
      <c r="W994" s="587"/>
      <c r="X994" s="587"/>
      <c r="Y994" s="587"/>
      <c r="Z994" s="587"/>
      <c r="AA994" s="587"/>
      <c r="AB994" s="587"/>
      <c r="AC994" s="587"/>
      <c r="AE994" s="587"/>
      <c r="AF994" s="587"/>
      <c r="AG994" s="587"/>
      <c r="AH994" s="587"/>
      <c r="AI994" s="587"/>
      <c r="AJ994" s="587"/>
      <c r="AK994" s="587"/>
      <c r="AL994" s="587"/>
      <c r="AM994" s="587"/>
      <c r="AO994" s="587"/>
      <c r="AP994" s="587"/>
      <c r="AQ994" s="587"/>
      <c r="AR994" s="587"/>
      <c r="AS994" s="587"/>
      <c r="AT994" s="587"/>
      <c r="AU994" s="587"/>
      <c r="AV994" s="587"/>
      <c r="AW994" s="587"/>
    </row>
    <row r="995" spans="1:49">
      <c r="A995" s="581">
        <v>39630</v>
      </c>
      <c r="B995" s="594">
        <v>-8.3999999999999995E-3</v>
      </c>
      <c r="C995" s="577">
        <v>-6.1108000000000003E-2</v>
      </c>
      <c r="D995" s="577">
        <v>3.8999999999999994E-3</v>
      </c>
      <c r="E995" s="577">
        <v>4.725E-3</v>
      </c>
      <c r="F995" s="577">
        <v>5.0416666666666665E-3</v>
      </c>
      <c r="G995" s="577">
        <v>4.8833333333333333E-3</v>
      </c>
      <c r="H995" s="577">
        <v>5.3333333333333332E-3</v>
      </c>
      <c r="I995" s="577">
        <f t="shared" si="167"/>
        <v>-1.2299999999999998E-2</v>
      </c>
      <c r="J995" s="577">
        <f t="shared" si="171"/>
        <v>-1.3283333333333333E-2</v>
      </c>
      <c r="K995" s="577">
        <f t="shared" si="172"/>
        <v>-6.6441333333333338E-2</v>
      </c>
      <c r="L995" s="585">
        <f t="shared" si="168"/>
        <v>-0.11085994617043016</v>
      </c>
      <c r="M995" s="585">
        <f t="shared" si="169"/>
        <v>4.6799999999999994E-2</v>
      </c>
      <c r="N995" s="585">
        <f t="shared" si="162"/>
        <v>5.8599999999999999E-2</v>
      </c>
      <c r="O995" s="586">
        <f t="shared" si="170"/>
        <v>-0.15765994617043017</v>
      </c>
      <c r="P995" s="585">
        <f t="shared" si="163"/>
        <v>-0.16945994617043014</v>
      </c>
      <c r="Q995" s="585">
        <f t="shared" si="164"/>
        <v>3.7289711378967638E-2</v>
      </c>
      <c r="R995" s="585">
        <f t="shared" si="165"/>
        <v>6.4000000000000001E-2</v>
      </c>
      <c r="S995" s="586">
        <f t="shared" si="166"/>
        <v>-2.6710288621032363E-2</v>
      </c>
      <c r="U995" s="587"/>
      <c r="V995" s="587"/>
      <c r="W995" s="587"/>
      <c r="X995" s="587"/>
      <c r="Y995" s="587"/>
      <c r="Z995" s="587"/>
      <c r="AA995" s="587"/>
      <c r="AB995" s="587"/>
      <c r="AC995" s="587"/>
      <c r="AE995" s="587"/>
      <c r="AF995" s="587"/>
      <c r="AG995" s="587"/>
      <c r="AH995" s="587"/>
      <c r="AI995" s="587"/>
      <c r="AJ995" s="587"/>
      <c r="AK995" s="587"/>
      <c r="AL995" s="587"/>
      <c r="AM995" s="587"/>
      <c r="AO995" s="587"/>
      <c r="AP995" s="587"/>
      <c r="AQ995" s="587"/>
      <c r="AR995" s="587"/>
      <c r="AS995" s="587"/>
      <c r="AT995" s="587"/>
      <c r="AU995" s="587"/>
      <c r="AV995" s="587"/>
      <c r="AW995" s="587"/>
    </row>
    <row r="996" spans="1:49">
      <c r="A996" s="581">
        <v>39661</v>
      </c>
      <c r="B996" s="594">
        <v>1.4500000000000001E-2</v>
      </c>
      <c r="C996" s="577">
        <v>-1.6601999999999999E-2</v>
      </c>
      <c r="D996" s="577">
        <v>3.5999999999999999E-3</v>
      </c>
      <c r="E996" s="577">
        <v>4.6999999999999993E-3</v>
      </c>
      <c r="F996" s="577">
        <v>5.0083333333333334E-3</v>
      </c>
      <c r="G996" s="577">
        <v>4.8541666666666664E-3</v>
      </c>
      <c r="H996" s="577">
        <v>5.3083333333333342E-3</v>
      </c>
      <c r="I996" s="577">
        <f t="shared" si="167"/>
        <v>1.09E-2</v>
      </c>
      <c r="J996" s="577">
        <f t="shared" si="171"/>
        <v>9.6458333333333344E-3</v>
      </c>
      <c r="K996" s="577">
        <f t="shared" si="172"/>
        <v>-2.1910333333333334E-2</v>
      </c>
      <c r="L996" s="585">
        <f t="shared" si="168"/>
        <v>-0.11129794619694688</v>
      </c>
      <c r="M996" s="585">
        <f t="shared" si="169"/>
        <v>4.3200000000000002E-2</v>
      </c>
      <c r="N996" s="585">
        <f t="shared" si="162"/>
        <v>5.8249999999999996E-2</v>
      </c>
      <c r="O996" s="586">
        <f t="shared" si="170"/>
        <v>-0.1544979461969469</v>
      </c>
      <c r="P996" s="585">
        <f t="shared" si="163"/>
        <v>-0.16954794619694688</v>
      </c>
      <c r="Q996" s="585">
        <f t="shared" si="164"/>
        <v>-8.6915832743617027E-4</v>
      </c>
      <c r="R996" s="585">
        <f t="shared" si="165"/>
        <v>6.3700000000000007E-2</v>
      </c>
      <c r="S996" s="586">
        <f t="shared" si="166"/>
        <v>-6.4569158327436177E-2</v>
      </c>
      <c r="U996" s="587"/>
      <c r="V996" s="587"/>
      <c r="W996" s="587"/>
      <c r="X996" s="587"/>
      <c r="Y996" s="587"/>
      <c r="Z996" s="587"/>
      <c r="AA996" s="587"/>
      <c r="AB996" s="587"/>
      <c r="AC996" s="587"/>
      <c r="AE996" s="587"/>
      <c r="AF996" s="587"/>
      <c r="AG996" s="587"/>
      <c r="AH996" s="587"/>
      <c r="AI996" s="587"/>
      <c r="AJ996" s="587"/>
      <c r="AK996" s="587"/>
      <c r="AL996" s="587"/>
      <c r="AM996" s="587"/>
      <c r="AO996" s="587"/>
      <c r="AP996" s="587"/>
      <c r="AQ996" s="587"/>
      <c r="AR996" s="587"/>
      <c r="AS996" s="587"/>
      <c r="AT996" s="587"/>
      <c r="AU996" s="587"/>
      <c r="AV996" s="587"/>
      <c r="AW996" s="587"/>
    </row>
    <row r="997" spans="1:49">
      <c r="A997" s="581">
        <v>39692</v>
      </c>
      <c r="B997" s="594">
        <v>-8.9099999999999999E-2</v>
      </c>
      <c r="C997" s="577">
        <v>-0.11482300000000001</v>
      </c>
      <c r="D997" s="577">
        <v>3.8999999999999994E-3</v>
      </c>
      <c r="E997" s="577">
        <v>4.7083333333333335E-3</v>
      </c>
      <c r="F997" s="577">
        <v>5.0250000000000008E-3</v>
      </c>
      <c r="G997" s="577">
        <v>4.8666666666666667E-3</v>
      </c>
      <c r="H997" s="577">
        <v>5.4083333333333336E-3</v>
      </c>
      <c r="I997" s="577">
        <f t="shared" si="167"/>
        <v>-9.2999999999999999E-2</v>
      </c>
      <c r="J997" s="577">
        <f t="shared" si="171"/>
        <v>-9.3966666666666671E-2</v>
      </c>
      <c r="K997" s="577">
        <f t="shared" si="172"/>
        <v>-0.12023133333333334</v>
      </c>
      <c r="L997" s="585">
        <f t="shared" si="168"/>
        <v>-0.21966579833313959</v>
      </c>
      <c r="M997" s="585">
        <f t="shared" si="169"/>
        <v>4.6799999999999994E-2</v>
      </c>
      <c r="N997" s="585">
        <f t="shared" si="162"/>
        <v>5.8400000000000001E-2</v>
      </c>
      <c r="O997" s="586">
        <f t="shared" si="170"/>
        <v>-0.2664657983331396</v>
      </c>
      <c r="P997" s="585">
        <f t="shared" si="163"/>
        <v>-0.2780657983331396</v>
      </c>
      <c r="Q997" s="585">
        <f t="shared" si="164"/>
        <v>-0.14585225125557366</v>
      </c>
      <c r="R997" s="585">
        <f t="shared" si="165"/>
        <v>6.4899999999999999E-2</v>
      </c>
      <c r="S997" s="586">
        <f t="shared" si="166"/>
        <v>-0.21075225125557367</v>
      </c>
      <c r="U997" s="587"/>
      <c r="V997" s="587"/>
      <c r="W997" s="587"/>
      <c r="X997" s="587"/>
      <c r="Y997" s="587"/>
      <c r="Z997" s="587"/>
      <c r="AA997" s="587"/>
      <c r="AB997" s="587"/>
      <c r="AC997" s="587"/>
      <c r="AE997" s="587"/>
      <c r="AF997" s="587"/>
      <c r="AG997" s="587"/>
      <c r="AH997" s="587"/>
      <c r="AI997" s="587"/>
      <c r="AJ997" s="587"/>
      <c r="AK997" s="587"/>
      <c r="AL997" s="587"/>
      <c r="AM997" s="587"/>
      <c r="AO997" s="587"/>
      <c r="AP997" s="587"/>
      <c r="AQ997" s="587"/>
      <c r="AR997" s="587"/>
      <c r="AS997" s="587"/>
      <c r="AT997" s="587"/>
      <c r="AU997" s="587"/>
      <c r="AV997" s="587"/>
      <c r="AW997" s="587"/>
    </row>
    <row r="998" spans="1:49">
      <c r="A998" s="581">
        <v>39722</v>
      </c>
      <c r="B998" s="594">
        <v>-0.16789999999999999</v>
      </c>
      <c r="C998" s="577">
        <v>-0.116128</v>
      </c>
      <c r="D998" s="577">
        <v>3.7000000000000002E-3</v>
      </c>
      <c r="E998" s="577">
        <v>5.2333333333333329E-3</v>
      </c>
      <c r="F998" s="577">
        <v>5.6583333333333329E-3</v>
      </c>
      <c r="G998" s="577">
        <v>5.4458333333333329E-3</v>
      </c>
      <c r="H998" s="577">
        <v>6.3E-3</v>
      </c>
      <c r="I998" s="577">
        <f t="shared" si="167"/>
        <v>-0.1716</v>
      </c>
      <c r="J998" s="577">
        <f t="shared" si="171"/>
        <v>-0.17334583333333334</v>
      </c>
      <c r="K998" s="577">
        <f t="shared" si="172"/>
        <v>-0.122428</v>
      </c>
      <c r="L998" s="585">
        <f t="shared" si="168"/>
        <v>-0.36084645220297829</v>
      </c>
      <c r="M998" s="585">
        <f t="shared" si="169"/>
        <v>4.4400000000000002E-2</v>
      </c>
      <c r="N998" s="585">
        <f t="shared" si="162"/>
        <v>6.5349999999999991E-2</v>
      </c>
      <c r="O998" s="586">
        <f t="shared" si="170"/>
        <v>-0.40524645220297828</v>
      </c>
      <c r="P998" s="585">
        <f t="shared" si="163"/>
        <v>-0.4261964522029783</v>
      </c>
      <c r="Q998" s="585">
        <f t="shared" si="164"/>
        <v>-0.29353517319826439</v>
      </c>
      <c r="R998" s="585">
        <f t="shared" si="165"/>
        <v>7.5600000000000001E-2</v>
      </c>
      <c r="S998" s="586">
        <f t="shared" si="166"/>
        <v>-0.36913517319826439</v>
      </c>
      <c r="U998" s="587"/>
      <c r="V998" s="587"/>
      <c r="W998" s="587"/>
      <c r="X998" s="587"/>
      <c r="Y998" s="587"/>
      <c r="Z998" s="587"/>
      <c r="AA998" s="587"/>
      <c r="AB998" s="587"/>
      <c r="AC998" s="587"/>
      <c r="AE998" s="587"/>
      <c r="AF998" s="587"/>
      <c r="AG998" s="587"/>
      <c r="AH998" s="587"/>
      <c r="AI998" s="587"/>
      <c r="AJ998" s="587"/>
      <c r="AK998" s="587"/>
      <c r="AL998" s="587"/>
      <c r="AM998" s="587"/>
      <c r="AO998" s="587"/>
      <c r="AP998" s="587"/>
      <c r="AQ998" s="587"/>
      <c r="AR998" s="587"/>
      <c r="AS998" s="587"/>
      <c r="AT998" s="587"/>
      <c r="AU998" s="587"/>
      <c r="AV998" s="587"/>
      <c r="AW998" s="587"/>
    </row>
    <row r="999" spans="1:49">
      <c r="A999" s="581">
        <v>39753</v>
      </c>
      <c r="B999" s="594">
        <v>-7.1800000000000003E-2</v>
      </c>
      <c r="C999" s="577">
        <v>2.7894000000000002E-2</v>
      </c>
      <c r="D999" s="577">
        <v>3.5999999999999999E-3</v>
      </c>
      <c r="E999" s="577">
        <v>5.1000000000000004E-3</v>
      </c>
      <c r="F999" s="577">
        <v>5.6083333333333341E-3</v>
      </c>
      <c r="G999" s="577">
        <v>5.3541666666666668E-3</v>
      </c>
      <c r="H999" s="577">
        <v>6.3333333333333332E-3</v>
      </c>
      <c r="I999" s="577">
        <f t="shared" si="167"/>
        <v>-7.5400000000000009E-2</v>
      </c>
      <c r="J999" s="577">
        <f t="shared" si="171"/>
        <v>-7.7154166666666663E-2</v>
      </c>
      <c r="K999" s="577">
        <f t="shared" si="172"/>
        <v>2.1560666666666669E-2</v>
      </c>
      <c r="L999" s="585">
        <f t="shared" si="168"/>
        <v>-0.38085752132624129</v>
      </c>
      <c r="M999" s="585">
        <f t="shared" si="169"/>
        <v>4.3200000000000002E-2</v>
      </c>
      <c r="N999" s="585">
        <f t="shared" si="162"/>
        <v>6.4250000000000002E-2</v>
      </c>
      <c r="O999" s="586">
        <f t="shared" si="170"/>
        <v>-0.4240575213262413</v>
      </c>
      <c r="P999" s="585">
        <f t="shared" si="163"/>
        <v>-0.44510752132624132</v>
      </c>
      <c r="Q999" s="585">
        <f t="shared" si="164"/>
        <v>-0.27629326475297289</v>
      </c>
      <c r="R999" s="585">
        <f t="shared" si="165"/>
        <v>7.5999999999999998E-2</v>
      </c>
      <c r="S999" s="586">
        <f t="shared" si="166"/>
        <v>-0.3522932647529729</v>
      </c>
      <c r="U999" s="587"/>
      <c r="V999" s="587"/>
      <c r="W999" s="587"/>
      <c r="X999" s="587"/>
      <c r="Y999" s="587"/>
      <c r="Z999" s="587"/>
      <c r="AA999" s="587"/>
      <c r="AB999" s="587"/>
      <c r="AC999" s="587"/>
      <c r="AE999" s="587"/>
      <c r="AF999" s="587"/>
      <c r="AG999" s="587"/>
      <c r="AH999" s="587"/>
      <c r="AI999" s="587"/>
      <c r="AJ999" s="587"/>
      <c r="AK999" s="587"/>
      <c r="AL999" s="587"/>
      <c r="AM999" s="587"/>
      <c r="AO999" s="587"/>
      <c r="AP999" s="587"/>
      <c r="AQ999" s="587"/>
      <c r="AR999" s="587"/>
      <c r="AS999" s="587"/>
      <c r="AT999" s="587"/>
      <c r="AU999" s="587"/>
      <c r="AV999" s="587"/>
      <c r="AW999" s="587"/>
    </row>
    <row r="1000" spans="1:49">
      <c r="A1000" s="581">
        <v>39783</v>
      </c>
      <c r="B1000" s="594">
        <v>1.06E-2</v>
      </c>
      <c r="C1000" s="577">
        <v>-1.6796999999999999E-2</v>
      </c>
      <c r="D1000" s="577">
        <v>3.3E-3</v>
      </c>
      <c r="E1000" s="577">
        <v>4.2166666666666663E-3</v>
      </c>
      <c r="F1000" s="577">
        <v>4.841666666666666E-3</v>
      </c>
      <c r="G1000" s="577">
        <v>4.5291666666666666E-3</v>
      </c>
      <c r="H1000" s="577">
        <v>5.45E-3</v>
      </c>
      <c r="I1000" s="577">
        <f t="shared" si="167"/>
        <v>7.3000000000000001E-3</v>
      </c>
      <c r="J1000" s="577">
        <f t="shared" si="171"/>
        <v>6.0708333333333335E-3</v>
      </c>
      <c r="K1000" s="577">
        <f t="shared" si="172"/>
        <v>-2.2246999999999999E-2</v>
      </c>
      <c r="L1000" s="585">
        <f t="shared" si="168"/>
        <v>-0.36994724705699267</v>
      </c>
      <c r="M1000" s="585">
        <f t="shared" si="169"/>
        <v>3.9599999999999996E-2</v>
      </c>
      <c r="N1000" s="585">
        <f t="shared" ref="N1000:N1063" si="173">G1000*12</f>
        <v>5.4349999999999996E-2</v>
      </c>
      <c r="O1000" s="586">
        <f t="shared" si="170"/>
        <v>-0.40954724705699264</v>
      </c>
      <c r="P1000" s="585">
        <f t="shared" ref="P1000:P1063" si="174">L1000-N1000</f>
        <v>-0.42429724705699268</v>
      </c>
      <c r="Q1000" s="585">
        <f t="shared" ref="Q1000:Q1063" si="175">((1+C989)*(1+C990)*(1+C991)*(1+C992)*(1+C993)*(1+C994)*(1+C995)*(1+C996)*(1+C997)*(1+C998)*(1+C999)*(1+C1000))-1</f>
        <v>-0.29040359528350634</v>
      </c>
      <c r="R1000" s="585">
        <f t="shared" ref="R1000:R1063" si="176">H1000*12</f>
        <v>6.54E-2</v>
      </c>
      <c r="S1000" s="586">
        <f t="shared" ref="S1000:S1063" si="177">Q1000-R1000</f>
        <v>-0.35580359528350636</v>
      </c>
      <c r="U1000" s="587"/>
      <c r="V1000" s="587"/>
      <c r="W1000" s="587"/>
      <c r="X1000" s="587"/>
      <c r="Y1000" s="587"/>
      <c r="Z1000" s="587"/>
      <c r="AA1000" s="587"/>
      <c r="AB1000" s="587"/>
      <c r="AC1000" s="587"/>
      <c r="AE1000" s="587"/>
      <c r="AF1000" s="587"/>
      <c r="AG1000" s="587"/>
      <c r="AH1000" s="587"/>
      <c r="AI1000" s="587"/>
      <c r="AJ1000" s="587"/>
      <c r="AK1000" s="587"/>
      <c r="AL1000" s="587"/>
      <c r="AM1000" s="587"/>
      <c r="AO1000" s="587"/>
      <c r="AP1000" s="587"/>
      <c r="AQ1000" s="587"/>
      <c r="AR1000" s="587"/>
      <c r="AS1000" s="587"/>
      <c r="AT1000" s="587"/>
      <c r="AU1000" s="587"/>
      <c r="AV1000" s="587"/>
      <c r="AW1000" s="587"/>
    </row>
    <row r="1001" spans="1:49">
      <c r="A1001" s="581">
        <v>39814</v>
      </c>
      <c r="B1001" s="594">
        <v>-8.43E-2</v>
      </c>
      <c r="C1001" s="577">
        <v>-4.5409999999999999E-3</v>
      </c>
      <c r="D1001" s="577">
        <v>2.3999999999999998E-3</v>
      </c>
      <c r="E1001" s="577">
        <v>4.208333333333333E-3</v>
      </c>
      <c r="F1001" s="577">
        <v>4.8666666666666667E-3</v>
      </c>
      <c r="G1001" s="577">
        <v>4.5374999999999999E-3</v>
      </c>
      <c r="H1001" s="577">
        <v>5.3249999999999999E-3</v>
      </c>
      <c r="I1001" s="577">
        <f t="shared" si="167"/>
        <v>-8.6699999999999999E-2</v>
      </c>
      <c r="J1001" s="577">
        <f t="shared" si="171"/>
        <v>-8.88375E-2</v>
      </c>
      <c r="K1001" s="577">
        <f t="shared" si="172"/>
        <v>-9.8659999999999998E-3</v>
      </c>
      <c r="L1001" s="585">
        <f t="shared" si="168"/>
        <v>-0.38623478098945541</v>
      </c>
      <c r="M1001" s="585">
        <f t="shared" si="169"/>
        <v>2.8799999999999999E-2</v>
      </c>
      <c r="N1001" s="585">
        <f t="shared" si="173"/>
        <v>5.4449999999999998E-2</v>
      </c>
      <c r="O1001" s="586">
        <f t="shared" si="170"/>
        <v>-0.4150347809894554</v>
      </c>
      <c r="P1001" s="585">
        <f t="shared" si="174"/>
        <v>-0.4406847809894554</v>
      </c>
      <c r="Q1001" s="585">
        <f t="shared" si="175"/>
        <v>-0.24197967366300555</v>
      </c>
      <c r="R1001" s="585">
        <f t="shared" si="176"/>
        <v>6.3899999999999998E-2</v>
      </c>
      <c r="S1001" s="586">
        <f t="shared" si="177"/>
        <v>-0.30587967366300556</v>
      </c>
      <c r="U1001" s="587"/>
      <c r="V1001" s="587"/>
      <c r="W1001" s="587"/>
      <c r="X1001" s="587"/>
      <c r="Y1001" s="587"/>
      <c r="Z1001" s="587"/>
      <c r="AA1001" s="587"/>
      <c r="AB1001" s="587"/>
      <c r="AC1001" s="587"/>
      <c r="AE1001" s="587"/>
      <c r="AF1001" s="587"/>
      <c r="AG1001" s="587"/>
      <c r="AH1001" s="587"/>
      <c r="AI1001" s="587"/>
      <c r="AJ1001" s="587"/>
      <c r="AK1001" s="587"/>
      <c r="AL1001" s="587"/>
      <c r="AM1001" s="587"/>
      <c r="AO1001" s="587"/>
      <c r="AP1001" s="587"/>
      <c r="AQ1001" s="587"/>
      <c r="AR1001" s="587"/>
      <c r="AS1001" s="587"/>
      <c r="AT1001" s="587"/>
      <c r="AU1001" s="587"/>
      <c r="AV1001" s="587"/>
      <c r="AW1001" s="587"/>
    </row>
    <row r="1002" spans="1:49">
      <c r="A1002" s="581">
        <v>39845</v>
      </c>
      <c r="B1002" s="594">
        <v>-0.1065</v>
      </c>
      <c r="C1002" s="577">
        <v>-0.12570800000000001</v>
      </c>
      <c r="D1002" s="577">
        <v>3.0000000000000001E-3</v>
      </c>
      <c r="E1002" s="577">
        <v>4.3916666666666661E-3</v>
      </c>
      <c r="F1002" s="577">
        <v>5.0166666666666658E-3</v>
      </c>
      <c r="G1002" s="577">
        <v>4.7041666666666655E-3</v>
      </c>
      <c r="H1002" s="577">
        <v>5.2500000000000003E-3</v>
      </c>
      <c r="I1002" s="577">
        <f t="shared" si="167"/>
        <v>-0.1095</v>
      </c>
      <c r="J1002" s="577">
        <f t="shared" si="171"/>
        <v>-0.11120416666666666</v>
      </c>
      <c r="K1002" s="577">
        <f t="shared" si="172"/>
        <v>-0.13095800000000002</v>
      </c>
      <c r="L1002" s="585">
        <f t="shared" si="168"/>
        <v>-0.43317909748225158</v>
      </c>
      <c r="M1002" s="585">
        <f t="shared" si="169"/>
        <v>3.6000000000000004E-2</v>
      </c>
      <c r="N1002" s="585">
        <f t="shared" si="173"/>
        <v>5.6449999999999986E-2</v>
      </c>
      <c r="O1002" s="586">
        <f t="shared" si="170"/>
        <v>-0.46917909748225162</v>
      </c>
      <c r="P1002" s="585">
        <f t="shared" si="174"/>
        <v>-0.48962909748225159</v>
      </c>
      <c r="Q1002" s="585">
        <f t="shared" si="175"/>
        <v>-0.30242061719896807</v>
      </c>
      <c r="R1002" s="585">
        <f t="shared" si="176"/>
        <v>6.3E-2</v>
      </c>
      <c r="S1002" s="586">
        <f t="shared" si="177"/>
        <v>-0.36542061719896807</v>
      </c>
      <c r="U1002" s="587"/>
      <c r="V1002" s="587"/>
      <c r="W1002" s="587"/>
      <c r="X1002" s="587"/>
      <c r="Y1002" s="587"/>
      <c r="Z1002" s="587"/>
      <c r="AA1002" s="587"/>
      <c r="AB1002" s="587"/>
      <c r="AC1002" s="587"/>
      <c r="AE1002" s="587"/>
      <c r="AF1002" s="587"/>
      <c r="AG1002" s="587"/>
      <c r="AH1002" s="587"/>
      <c r="AI1002" s="587"/>
      <c r="AJ1002" s="587"/>
      <c r="AK1002" s="587"/>
      <c r="AL1002" s="587"/>
      <c r="AM1002" s="587"/>
      <c r="AO1002" s="587"/>
      <c r="AP1002" s="587"/>
      <c r="AQ1002" s="587"/>
      <c r="AR1002" s="587"/>
      <c r="AS1002" s="587"/>
      <c r="AT1002" s="587"/>
      <c r="AU1002" s="587"/>
      <c r="AV1002" s="587"/>
      <c r="AW1002" s="587"/>
    </row>
    <row r="1003" spans="1:49">
      <c r="A1003" s="581">
        <v>39873</v>
      </c>
      <c r="B1003" s="594">
        <v>8.7599999999999997E-2</v>
      </c>
      <c r="C1003" s="577">
        <v>2.5255E-2</v>
      </c>
      <c r="D1003" s="577">
        <v>3.5000000000000005E-3</v>
      </c>
      <c r="E1003" s="577">
        <v>4.5833333333333334E-3</v>
      </c>
      <c r="F1003" s="577">
        <v>5.0916666666666662E-3</v>
      </c>
      <c r="G1003" s="577">
        <v>4.8374999999999998E-3</v>
      </c>
      <c r="H1003" s="577">
        <v>5.3500000000000006E-3</v>
      </c>
      <c r="I1003" s="577">
        <f t="shared" si="167"/>
        <v>8.4099999999999994E-2</v>
      </c>
      <c r="J1003" s="577">
        <f t="shared" si="171"/>
        <v>8.2762500000000003E-2</v>
      </c>
      <c r="K1003" s="577">
        <f t="shared" si="172"/>
        <v>1.9904999999999999E-2</v>
      </c>
      <c r="L1003" s="585">
        <f t="shared" si="168"/>
        <v>-0.38086329860570167</v>
      </c>
      <c r="M1003" s="585">
        <f t="shared" si="169"/>
        <v>4.200000000000001E-2</v>
      </c>
      <c r="N1003" s="585">
        <f t="shared" si="173"/>
        <v>5.8049999999999997E-2</v>
      </c>
      <c r="O1003" s="586">
        <f t="shared" si="170"/>
        <v>-0.42286329860570171</v>
      </c>
      <c r="P1003" s="585">
        <f t="shared" si="174"/>
        <v>-0.43891329860570166</v>
      </c>
      <c r="Q1003" s="585">
        <f t="shared" si="175"/>
        <v>-0.29679707890846518</v>
      </c>
      <c r="R1003" s="585">
        <f t="shared" si="176"/>
        <v>6.4200000000000007E-2</v>
      </c>
      <c r="S1003" s="586">
        <f t="shared" si="177"/>
        <v>-0.36099707890846522</v>
      </c>
      <c r="U1003" s="587"/>
      <c r="V1003" s="587"/>
      <c r="W1003" s="587"/>
      <c r="X1003" s="587"/>
      <c r="Y1003" s="587"/>
      <c r="Z1003" s="587"/>
      <c r="AA1003" s="587"/>
      <c r="AB1003" s="587"/>
      <c r="AC1003" s="587"/>
      <c r="AE1003" s="587"/>
      <c r="AF1003" s="587"/>
      <c r="AG1003" s="587"/>
      <c r="AH1003" s="587"/>
      <c r="AI1003" s="587"/>
      <c r="AJ1003" s="587"/>
      <c r="AK1003" s="587"/>
      <c r="AL1003" s="587"/>
      <c r="AM1003" s="587"/>
      <c r="AO1003" s="587"/>
      <c r="AP1003" s="587"/>
      <c r="AQ1003" s="587"/>
      <c r="AR1003" s="587"/>
      <c r="AS1003" s="587"/>
      <c r="AT1003" s="587"/>
      <c r="AU1003" s="587"/>
      <c r="AV1003" s="587"/>
      <c r="AW1003" s="587"/>
    </row>
    <row r="1004" spans="1:49">
      <c r="A1004" s="581">
        <v>39904</v>
      </c>
      <c r="B1004" s="594">
        <v>9.5699999999999993E-2</v>
      </c>
      <c r="C1004" s="577">
        <v>8.4620000000000008E-3</v>
      </c>
      <c r="D1004" s="577">
        <v>2.8999999999999998E-3</v>
      </c>
      <c r="E1004" s="577">
        <v>4.4916666666666664E-3</v>
      </c>
      <c r="F1004" s="577">
        <v>5.1416666666666668E-3</v>
      </c>
      <c r="G1004" s="577">
        <v>4.816666666666667E-3</v>
      </c>
      <c r="H1004" s="577">
        <v>5.4000000000000003E-3</v>
      </c>
      <c r="I1004" s="577">
        <f t="shared" si="167"/>
        <v>9.2799999999999994E-2</v>
      </c>
      <c r="J1004" s="577">
        <f t="shared" si="171"/>
        <v>9.088333333333333E-2</v>
      </c>
      <c r="K1004" s="577">
        <f t="shared" si="172"/>
        <v>3.0620000000000005E-3</v>
      </c>
      <c r="L1004" s="585">
        <f t="shared" si="168"/>
        <v>-0.35311520576167366</v>
      </c>
      <c r="M1004" s="585">
        <f t="shared" si="169"/>
        <v>3.4799999999999998E-2</v>
      </c>
      <c r="N1004" s="585">
        <f t="shared" si="173"/>
        <v>5.7800000000000004E-2</v>
      </c>
      <c r="O1004" s="586">
        <f t="shared" si="170"/>
        <v>-0.38791520576167365</v>
      </c>
      <c r="P1004" s="585">
        <f t="shared" si="174"/>
        <v>-0.41091520576167367</v>
      </c>
      <c r="Q1004" s="585">
        <f t="shared" si="175"/>
        <v>-0.32792049739252505</v>
      </c>
      <c r="R1004" s="585">
        <f t="shared" si="176"/>
        <v>6.4799999999999996E-2</v>
      </c>
      <c r="S1004" s="586">
        <f t="shared" si="177"/>
        <v>-0.39272049739252501</v>
      </c>
      <c r="U1004" s="587"/>
      <c r="V1004" s="587"/>
      <c r="W1004" s="587"/>
      <c r="X1004" s="587"/>
      <c r="Y1004" s="587"/>
      <c r="Z1004" s="587"/>
      <c r="AA1004" s="587"/>
      <c r="AB1004" s="587"/>
      <c r="AC1004" s="587"/>
      <c r="AE1004" s="587"/>
      <c r="AF1004" s="587"/>
      <c r="AG1004" s="587"/>
      <c r="AH1004" s="587"/>
      <c r="AI1004" s="587"/>
      <c r="AJ1004" s="587"/>
      <c r="AK1004" s="587"/>
      <c r="AL1004" s="587"/>
      <c r="AM1004" s="587"/>
      <c r="AO1004" s="587"/>
      <c r="AP1004" s="587"/>
      <c r="AQ1004" s="587"/>
      <c r="AR1004" s="587"/>
      <c r="AS1004" s="587"/>
      <c r="AT1004" s="587"/>
      <c r="AU1004" s="587"/>
      <c r="AV1004" s="587"/>
      <c r="AW1004" s="587"/>
    </row>
    <row r="1005" spans="1:49">
      <c r="A1005" s="581">
        <v>39934</v>
      </c>
      <c r="B1005" s="594">
        <v>5.5899999999999998E-2</v>
      </c>
      <c r="C1005" s="577">
        <v>3.5286999999999999E-2</v>
      </c>
      <c r="D1005" s="577">
        <v>3.3E-3</v>
      </c>
      <c r="E1005" s="577">
        <v>4.6166666666666665E-3</v>
      </c>
      <c r="F1005" s="577">
        <v>5.1999999999999998E-3</v>
      </c>
      <c r="G1005" s="577">
        <v>4.9083333333333331E-3</v>
      </c>
      <c r="H1005" s="577">
        <v>5.4083333333333336E-3</v>
      </c>
      <c r="I1005" s="577">
        <f t="shared" si="167"/>
        <v>5.2600000000000001E-2</v>
      </c>
      <c r="J1005" s="577">
        <f t="shared" si="171"/>
        <v>5.0991666666666664E-2</v>
      </c>
      <c r="K1005" s="577">
        <f t="shared" si="172"/>
        <v>2.9878666666666664E-2</v>
      </c>
      <c r="L1005" s="585">
        <f t="shared" si="168"/>
        <v>-0.32571998594644724</v>
      </c>
      <c r="M1005" s="585">
        <f t="shared" si="169"/>
        <v>3.9599999999999996E-2</v>
      </c>
      <c r="N1005" s="585">
        <f t="shared" si="173"/>
        <v>5.8899999999999994E-2</v>
      </c>
      <c r="O1005" s="586">
        <f t="shared" si="170"/>
        <v>-0.36531998594644721</v>
      </c>
      <c r="P1005" s="585">
        <f t="shared" si="174"/>
        <v>-0.38461998594644725</v>
      </c>
      <c r="Q1005" s="585">
        <f t="shared" si="175"/>
        <v>-0.32577137888753915</v>
      </c>
      <c r="R1005" s="585">
        <f t="shared" si="176"/>
        <v>6.4899999999999999E-2</v>
      </c>
      <c r="S1005" s="586">
        <f t="shared" si="177"/>
        <v>-0.39067137888753917</v>
      </c>
      <c r="U1005" s="587"/>
      <c r="V1005" s="587"/>
      <c r="W1005" s="587"/>
      <c r="X1005" s="587"/>
      <c r="Y1005" s="587"/>
      <c r="Z1005" s="587"/>
      <c r="AA1005" s="587"/>
      <c r="AB1005" s="587"/>
      <c r="AC1005" s="587"/>
      <c r="AE1005" s="587"/>
      <c r="AF1005" s="587"/>
      <c r="AG1005" s="587"/>
      <c r="AH1005" s="587"/>
      <c r="AI1005" s="587"/>
      <c r="AJ1005" s="587"/>
      <c r="AK1005" s="587"/>
      <c r="AL1005" s="587"/>
      <c r="AM1005" s="587"/>
      <c r="AO1005" s="587"/>
      <c r="AP1005" s="587"/>
      <c r="AQ1005" s="587"/>
      <c r="AR1005" s="587"/>
      <c r="AS1005" s="587"/>
      <c r="AT1005" s="587"/>
      <c r="AU1005" s="587"/>
      <c r="AV1005" s="587"/>
      <c r="AW1005" s="587"/>
    </row>
    <row r="1006" spans="1:49">
      <c r="A1006" s="581">
        <v>39965</v>
      </c>
      <c r="B1006" s="594">
        <v>2E-3</v>
      </c>
      <c r="C1006" s="577">
        <v>5.5202000000000001E-2</v>
      </c>
      <c r="D1006" s="577">
        <v>3.8E-3</v>
      </c>
      <c r="E1006" s="577">
        <v>4.6750000000000003E-3</v>
      </c>
      <c r="F1006" s="577">
        <v>5.1000000000000004E-3</v>
      </c>
      <c r="G1006" s="577">
        <v>4.8875000000000004E-3</v>
      </c>
      <c r="H1006" s="577">
        <v>5.1666666666666675E-3</v>
      </c>
      <c r="I1006" s="577">
        <f t="shared" si="167"/>
        <v>-1.8E-3</v>
      </c>
      <c r="J1006" s="577">
        <f t="shared" si="171"/>
        <v>-2.8875000000000003E-3</v>
      </c>
      <c r="K1006" s="577">
        <f t="shared" si="172"/>
        <v>5.0035333333333334E-2</v>
      </c>
      <c r="L1006" s="585">
        <f t="shared" si="168"/>
        <v>-0.26217257389793625</v>
      </c>
      <c r="M1006" s="585">
        <f t="shared" si="169"/>
        <v>4.5600000000000002E-2</v>
      </c>
      <c r="N1006" s="585">
        <f t="shared" si="173"/>
        <v>5.8650000000000008E-2</v>
      </c>
      <c r="O1006" s="586">
        <f t="shared" si="170"/>
        <v>-0.30777257389793622</v>
      </c>
      <c r="P1006" s="585">
        <f t="shared" si="174"/>
        <v>-0.32082257389793623</v>
      </c>
      <c r="Q1006" s="585">
        <f t="shared" si="175"/>
        <v>-0.28233186313453951</v>
      </c>
      <c r="R1006" s="585">
        <f t="shared" si="176"/>
        <v>6.2000000000000013E-2</v>
      </c>
      <c r="S1006" s="586">
        <f t="shared" si="177"/>
        <v>-0.34433186313453951</v>
      </c>
      <c r="U1006" s="587"/>
      <c r="V1006" s="587"/>
      <c r="W1006" s="587"/>
      <c r="X1006" s="587"/>
      <c r="Y1006" s="587"/>
      <c r="Z1006" s="587"/>
      <c r="AA1006" s="587"/>
      <c r="AB1006" s="587"/>
      <c r="AC1006" s="587"/>
      <c r="AE1006" s="587"/>
      <c r="AF1006" s="587"/>
      <c r="AG1006" s="587"/>
      <c r="AH1006" s="587"/>
      <c r="AI1006" s="587"/>
      <c r="AJ1006" s="587"/>
      <c r="AK1006" s="587"/>
      <c r="AL1006" s="587"/>
      <c r="AM1006" s="587"/>
      <c r="AO1006" s="587"/>
      <c r="AP1006" s="587"/>
      <c r="AQ1006" s="587"/>
      <c r="AR1006" s="587"/>
      <c r="AS1006" s="587"/>
      <c r="AT1006" s="587"/>
      <c r="AU1006" s="587"/>
      <c r="AV1006" s="587"/>
      <c r="AW1006" s="587"/>
    </row>
    <row r="1007" spans="1:49">
      <c r="A1007" s="581">
        <v>39995</v>
      </c>
      <c r="B1007" s="594">
        <v>7.5600000000000001E-2</v>
      </c>
      <c r="C1007" s="577">
        <v>4.0755E-2</v>
      </c>
      <c r="D1007" s="577">
        <v>3.5999999999999999E-3</v>
      </c>
      <c r="E1007" s="577">
        <v>4.5083333333333338E-3</v>
      </c>
      <c r="F1007" s="577">
        <v>4.7583333333333332E-3</v>
      </c>
      <c r="G1007" s="577">
        <v>4.6333333333333339E-3</v>
      </c>
      <c r="H1007" s="577">
        <v>4.9750000000000003E-3</v>
      </c>
      <c r="I1007" s="577">
        <f t="shared" si="167"/>
        <v>7.1999999999999995E-2</v>
      </c>
      <c r="J1007" s="577">
        <f t="shared" si="171"/>
        <v>7.0966666666666664E-2</v>
      </c>
      <c r="K1007" s="577">
        <f t="shared" si="172"/>
        <v>3.5779999999999999E-2</v>
      </c>
      <c r="L1007" s="585">
        <f t="shared" si="168"/>
        <v>-0.19967004889534123</v>
      </c>
      <c r="M1007" s="585">
        <f t="shared" si="169"/>
        <v>4.3200000000000002E-2</v>
      </c>
      <c r="N1007" s="585">
        <f t="shared" si="173"/>
        <v>5.5600000000000011E-2</v>
      </c>
      <c r="O1007" s="586">
        <f t="shared" si="170"/>
        <v>-0.24287004889534125</v>
      </c>
      <c r="P1007" s="585">
        <f t="shared" si="174"/>
        <v>-0.25527004889534122</v>
      </c>
      <c r="Q1007" s="585">
        <f t="shared" si="175"/>
        <v>-0.20447005429441045</v>
      </c>
      <c r="R1007" s="585">
        <f t="shared" si="176"/>
        <v>5.9700000000000003E-2</v>
      </c>
      <c r="S1007" s="586">
        <f t="shared" si="177"/>
        <v>-0.26417005429441043</v>
      </c>
      <c r="U1007" s="587"/>
      <c r="V1007" s="587"/>
      <c r="W1007" s="587"/>
      <c r="X1007" s="587"/>
      <c r="Y1007" s="587"/>
      <c r="Z1007" s="587"/>
      <c r="AA1007" s="587"/>
      <c r="AB1007" s="587"/>
      <c r="AC1007" s="587"/>
      <c r="AE1007" s="587"/>
      <c r="AF1007" s="587"/>
      <c r="AG1007" s="587"/>
      <c r="AH1007" s="587"/>
      <c r="AI1007" s="587"/>
      <c r="AJ1007" s="587"/>
      <c r="AK1007" s="587"/>
      <c r="AL1007" s="587"/>
      <c r="AM1007" s="587"/>
      <c r="AO1007" s="587"/>
      <c r="AP1007" s="587"/>
      <c r="AQ1007" s="587"/>
      <c r="AR1007" s="587"/>
      <c r="AS1007" s="587"/>
      <c r="AT1007" s="587"/>
      <c r="AU1007" s="587"/>
      <c r="AV1007" s="587"/>
      <c r="AW1007" s="587"/>
    </row>
    <row r="1008" spans="1:49">
      <c r="A1008" s="581">
        <v>40026</v>
      </c>
      <c r="B1008" s="594">
        <v>3.61E-2</v>
      </c>
      <c r="C1008" s="577">
        <v>5.4599999999999996E-3</v>
      </c>
      <c r="D1008" s="577">
        <v>3.5999999999999999E-3</v>
      </c>
      <c r="E1008" s="577">
        <v>4.3833333333333328E-3</v>
      </c>
      <c r="F1008" s="577">
        <v>4.5416666666666669E-3</v>
      </c>
      <c r="G1008" s="577">
        <v>4.4624999999999995E-3</v>
      </c>
      <c r="H1008" s="577">
        <v>4.7583333333333332E-3</v>
      </c>
      <c r="I1008" s="577">
        <f t="shared" si="167"/>
        <v>3.2500000000000001E-2</v>
      </c>
      <c r="J1008" s="577">
        <f t="shared" si="171"/>
        <v>3.1637499999999999E-2</v>
      </c>
      <c r="K1008" s="577">
        <f t="shared" si="172"/>
        <v>7.0166666666666641E-4</v>
      </c>
      <c r="L1008" s="585">
        <f t="shared" si="168"/>
        <v>-0.18263000262243756</v>
      </c>
      <c r="M1008" s="585">
        <f t="shared" si="169"/>
        <v>4.3200000000000002E-2</v>
      </c>
      <c r="N1008" s="585">
        <f t="shared" si="173"/>
        <v>5.3549999999999993E-2</v>
      </c>
      <c r="O1008" s="586">
        <f t="shared" si="170"/>
        <v>-0.22583000262243758</v>
      </c>
      <c r="P1008" s="585">
        <f t="shared" si="174"/>
        <v>-0.23618000262243755</v>
      </c>
      <c r="Q1008" s="585">
        <f t="shared" si="175"/>
        <v>-0.18662277205247291</v>
      </c>
      <c r="R1008" s="585">
        <f t="shared" si="176"/>
        <v>5.7099999999999998E-2</v>
      </c>
      <c r="S1008" s="586">
        <f t="shared" si="177"/>
        <v>-0.24372277205247289</v>
      </c>
      <c r="U1008" s="587"/>
      <c r="V1008" s="587"/>
      <c r="W1008" s="587"/>
      <c r="X1008" s="587"/>
      <c r="Y1008" s="587"/>
      <c r="Z1008" s="587"/>
      <c r="AA1008" s="587"/>
      <c r="AB1008" s="587"/>
      <c r="AC1008" s="587"/>
      <c r="AE1008" s="587"/>
      <c r="AF1008" s="587"/>
      <c r="AG1008" s="587"/>
      <c r="AH1008" s="587"/>
      <c r="AI1008" s="587"/>
      <c r="AJ1008" s="587"/>
      <c r="AK1008" s="587"/>
      <c r="AL1008" s="587"/>
      <c r="AM1008" s="587"/>
      <c r="AO1008" s="587"/>
      <c r="AP1008" s="587"/>
      <c r="AQ1008" s="587"/>
      <c r="AR1008" s="587"/>
      <c r="AS1008" s="587"/>
      <c r="AT1008" s="587"/>
      <c r="AU1008" s="587"/>
      <c r="AV1008" s="587"/>
      <c r="AW1008" s="587"/>
    </row>
    <row r="1009" spans="1:49">
      <c r="A1009" s="581">
        <v>40057</v>
      </c>
      <c r="B1009" s="594">
        <v>3.73E-2</v>
      </c>
      <c r="C1009" s="577">
        <v>1.4283999999999998E-2</v>
      </c>
      <c r="D1009" s="577">
        <v>3.3999999999999998E-3</v>
      </c>
      <c r="E1009" s="577">
        <v>4.2750000000000002E-3</v>
      </c>
      <c r="F1009" s="577">
        <v>4.3416666666666664E-3</v>
      </c>
      <c r="G1009" s="577">
        <v>4.3083333333333333E-3</v>
      </c>
      <c r="H1009" s="577">
        <v>4.6083333333333341E-3</v>
      </c>
      <c r="I1009" s="577">
        <f t="shared" si="167"/>
        <v>3.39E-2</v>
      </c>
      <c r="J1009" s="577">
        <f t="shared" si="171"/>
        <v>3.2991666666666669E-2</v>
      </c>
      <c r="K1009" s="577">
        <f t="shared" si="172"/>
        <v>9.675666666666664E-3</v>
      </c>
      <c r="L1009" s="585">
        <f t="shared" si="168"/>
        <v>-6.9208586804538674E-2</v>
      </c>
      <c r="M1009" s="585">
        <f t="shared" si="169"/>
        <v>4.0799999999999996E-2</v>
      </c>
      <c r="N1009" s="585">
        <f t="shared" si="173"/>
        <v>5.1699999999999996E-2</v>
      </c>
      <c r="O1009" s="586">
        <f t="shared" si="170"/>
        <v>-0.11000858680453868</v>
      </c>
      <c r="P1009" s="585">
        <f t="shared" si="174"/>
        <v>-0.12090858680453867</v>
      </c>
      <c r="Q1009" s="585">
        <f t="shared" si="175"/>
        <v>-6.7988087951302956E-2</v>
      </c>
      <c r="R1009" s="585">
        <f t="shared" si="176"/>
        <v>5.5300000000000009E-2</v>
      </c>
      <c r="S1009" s="586">
        <f t="shared" si="177"/>
        <v>-0.12328808795130297</v>
      </c>
      <c r="U1009" s="587"/>
      <c r="V1009" s="587"/>
      <c r="W1009" s="587"/>
      <c r="X1009" s="587"/>
      <c r="Y1009" s="587"/>
      <c r="Z1009" s="587"/>
      <c r="AA1009" s="587"/>
      <c r="AB1009" s="587"/>
      <c r="AC1009" s="587"/>
      <c r="AE1009" s="587"/>
      <c r="AF1009" s="587"/>
      <c r="AG1009" s="587"/>
      <c r="AH1009" s="587"/>
      <c r="AI1009" s="587"/>
      <c r="AJ1009" s="587"/>
      <c r="AK1009" s="587"/>
      <c r="AL1009" s="587"/>
      <c r="AM1009" s="587"/>
      <c r="AO1009" s="587"/>
      <c r="AP1009" s="587"/>
      <c r="AQ1009" s="587"/>
      <c r="AR1009" s="587"/>
      <c r="AS1009" s="587"/>
      <c r="AT1009" s="587"/>
      <c r="AU1009" s="587"/>
      <c r="AV1009" s="587"/>
      <c r="AW1009" s="587"/>
    </row>
    <row r="1010" spans="1:49">
      <c r="A1010" s="581">
        <v>40087</v>
      </c>
      <c r="B1010" s="594">
        <v>-1.8599999999999998E-2</v>
      </c>
      <c r="C1010" s="577">
        <v>-2.8427000000000001E-2</v>
      </c>
      <c r="D1010" s="577">
        <v>3.3E-3</v>
      </c>
      <c r="E1010" s="577">
        <v>4.2916666666666667E-3</v>
      </c>
      <c r="F1010" s="577">
        <v>4.3666666666666671E-3</v>
      </c>
      <c r="G1010" s="577">
        <v>4.3291666666666669E-3</v>
      </c>
      <c r="H1010" s="577">
        <v>4.6249999999999998E-3</v>
      </c>
      <c r="I1010" s="577">
        <f t="shared" si="167"/>
        <v>-2.1899999999999999E-2</v>
      </c>
      <c r="J1010" s="577">
        <f t="shared" si="171"/>
        <v>-2.2929166666666667E-2</v>
      </c>
      <c r="K1010" s="577">
        <f t="shared" si="172"/>
        <v>-3.3051999999999998E-2</v>
      </c>
      <c r="L1010" s="585">
        <f t="shared" si="168"/>
        <v>9.779917426995044E-2</v>
      </c>
      <c r="M1010" s="585">
        <f t="shared" si="169"/>
        <v>3.9599999999999996E-2</v>
      </c>
      <c r="N1010" s="585">
        <f t="shared" si="173"/>
        <v>5.1950000000000003E-2</v>
      </c>
      <c r="O1010" s="586">
        <f t="shared" si="170"/>
        <v>5.8199174269950443E-2</v>
      </c>
      <c r="P1010" s="585">
        <f t="shared" si="174"/>
        <v>4.5849174269950436E-2</v>
      </c>
      <c r="Q1010" s="585">
        <f t="shared" si="175"/>
        <v>2.4489529507540464E-2</v>
      </c>
      <c r="R1010" s="585">
        <f t="shared" si="176"/>
        <v>5.5499999999999994E-2</v>
      </c>
      <c r="S1010" s="586">
        <f t="shared" si="177"/>
        <v>-3.101047049245953E-2</v>
      </c>
      <c r="U1010" s="587"/>
      <c r="V1010" s="587"/>
      <c r="W1010" s="587"/>
      <c r="X1010" s="587"/>
      <c r="Y1010" s="587"/>
      <c r="Z1010" s="587"/>
      <c r="AA1010" s="587"/>
      <c r="AB1010" s="587"/>
      <c r="AC1010" s="587"/>
      <c r="AE1010" s="587"/>
      <c r="AF1010" s="587"/>
      <c r="AG1010" s="587"/>
      <c r="AH1010" s="587"/>
      <c r="AI1010" s="587"/>
      <c r="AJ1010" s="587"/>
      <c r="AK1010" s="587"/>
      <c r="AL1010" s="587"/>
      <c r="AM1010" s="587"/>
      <c r="AO1010" s="587"/>
      <c r="AP1010" s="587"/>
      <c r="AQ1010" s="587"/>
      <c r="AR1010" s="587"/>
      <c r="AS1010" s="587"/>
      <c r="AT1010" s="587"/>
      <c r="AU1010" s="587"/>
      <c r="AV1010" s="587"/>
      <c r="AW1010" s="587"/>
    </row>
    <row r="1011" spans="1:49">
      <c r="A1011" s="581">
        <v>40118</v>
      </c>
      <c r="B1011" s="594">
        <v>0.06</v>
      </c>
      <c r="C1011" s="577">
        <v>4.5586000000000002E-2</v>
      </c>
      <c r="D1011" s="577">
        <v>3.5000000000000005E-3</v>
      </c>
      <c r="E1011" s="577">
        <v>4.3250000000000007E-3</v>
      </c>
      <c r="F1011" s="577">
        <v>4.4083333333333335E-3</v>
      </c>
      <c r="G1011" s="577">
        <v>4.3666666666666671E-3</v>
      </c>
      <c r="H1011" s="577">
        <v>4.6999999999999993E-3</v>
      </c>
      <c r="I1011" s="577">
        <f t="shared" si="167"/>
        <v>5.6499999999999995E-2</v>
      </c>
      <c r="J1011" s="577">
        <f t="shared" si="171"/>
        <v>5.5633333333333333E-2</v>
      </c>
      <c r="K1011" s="577">
        <f t="shared" si="172"/>
        <v>4.0886000000000006E-2</v>
      </c>
      <c r="L1011" s="585">
        <f t="shared" si="168"/>
        <v>0.25368145305553491</v>
      </c>
      <c r="M1011" s="585">
        <f t="shared" si="169"/>
        <v>4.200000000000001E-2</v>
      </c>
      <c r="N1011" s="585">
        <f t="shared" si="173"/>
        <v>5.2400000000000002E-2</v>
      </c>
      <c r="O1011" s="586">
        <f t="shared" si="170"/>
        <v>0.2116814530555349</v>
      </c>
      <c r="P1011" s="585">
        <f t="shared" si="174"/>
        <v>0.20128145305553491</v>
      </c>
      <c r="Q1011" s="585">
        <f t="shared" si="175"/>
        <v>4.2122932130814084E-2</v>
      </c>
      <c r="R1011" s="585">
        <f t="shared" si="176"/>
        <v>5.6399999999999992E-2</v>
      </c>
      <c r="S1011" s="586">
        <f t="shared" si="177"/>
        <v>-1.4277067869185908E-2</v>
      </c>
      <c r="U1011" s="587"/>
      <c r="V1011" s="587"/>
      <c r="W1011" s="587"/>
      <c r="X1011" s="587"/>
      <c r="Y1011" s="587"/>
      <c r="Z1011" s="587"/>
      <c r="AA1011" s="587"/>
      <c r="AB1011" s="587"/>
      <c r="AC1011" s="587"/>
      <c r="AE1011" s="587"/>
      <c r="AF1011" s="587"/>
      <c r="AG1011" s="587"/>
      <c r="AH1011" s="587"/>
      <c r="AI1011" s="587"/>
      <c r="AJ1011" s="587"/>
      <c r="AK1011" s="587"/>
      <c r="AL1011" s="587"/>
      <c r="AM1011" s="587"/>
      <c r="AO1011" s="587"/>
      <c r="AP1011" s="587"/>
      <c r="AQ1011" s="587"/>
      <c r="AR1011" s="587"/>
      <c r="AS1011" s="587"/>
      <c r="AT1011" s="587"/>
      <c r="AU1011" s="587"/>
      <c r="AV1011" s="587"/>
      <c r="AW1011" s="587"/>
    </row>
    <row r="1012" spans="1:49">
      <c r="A1012" s="581">
        <v>40148</v>
      </c>
      <c r="B1012" s="594">
        <v>1.9300000000000001E-2</v>
      </c>
      <c r="C1012" s="577">
        <v>5.5813000000000008E-2</v>
      </c>
      <c r="D1012" s="577">
        <v>3.3999999999999998E-3</v>
      </c>
      <c r="E1012" s="577">
        <v>4.3833333333333328E-3</v>
      </c>
      <c r="F1012" s="577">
        <v>4.5333333333333337E-3</v>
      </c>
      <c r="G1012" s="577">
        <v>4.4583333333333332E-3</v>
      </c>
      <c r="H1012" s="577">
        <v>4.8249999999999994E-3</v>
      </c>
      <c r="I1012" s="577">
        <f t="shared" si="167"/>
        <v>1.5900000000000001E-2</v>
      </c>
      <c r="J1012" s="577">
        <f t="shared" si="171"/>
        <v>1.4841666666666668E-2</v>
      </c>
      <c r="K1012" s="577">
        <f t="shared" si="172"/>
        <v>5.0988000000000006E-2</v>
      </c>
      <c r="L1012" s="585">
        <f t="shared" si="168"/>
        <v>0.26447407985306426</v>
      </c>
      <c r="M1012" s="585">
        <f t="shared" si="169"/>
        <v>4.0799999999999996E-2</v>
      </c>
      <c r="N1012" s="585">
        <f t="shared" si="173"/>
        <v>5.3499999999999999E-2</v>
      </c>
      <c r="O1012" s="586">
        <f t="shared" si="170"/>
        <v>0.22367407985306426</v>
      </c>
      <c r="P1012" s="585">
        <f t="shared" si="174"/>
        <v>0.21097407985306427</v>
      </c>
      <c r="Q1012" s="585">
        <f t="shared" si="175"/>
        <v>0.11908419659198688</v>
      </c>
      <c r="R1012" s="585">
        <f t="shared" si="176"/>
        <v>5.7899999999999993E-2</v>
      </c>
      <c r="S1012" s="586">
        <f t="shared" si="177"/>
        <v>6.1184196591986886E-2</v>
      </c>
      <c r="U1012" s="587"/>
      <c r="V1012" s="587"/>
      <c r="W1012" s="587"/>
      <c r="X1012" s="587"/>
      <c r="Y1012" s="587"/>
      <c r="Z1012" s="587"/>
      <c r="AA1012" s="587"/>
      <c r="AB1012" s="587"/>
      <c r="AC1012" s="587"/>
      <c r="AE1012" s="587"/>
      <c r="AF1012" s="587"/>
      <c r="AG1012" s="587"/>
      <c r="AH1012" s="587"/>
      <c r="AI1012" s="587"/>
      <c r="AJ1012" s="587"/>
      <c r="AK1012" s="587"/>
      <c r="AL1012" s="587"/>
      <c r="AM1012" s="587"/>
      <c r="AO1012" s="587"/>
      <c r="AP1012" s="587"/>
      <c r="AQ1012" s="587"/>
      <c r="AR1012" s="587"/>
      <c r="AS1012" s="587"/>
      <c r="AT1012" s="587"/>
      <c r="AU1012" s="587"/>
      <c r="AV1012" s="587"/>
      <c r="AW1012" s="587"/>
    </row>
    <row r="1013" spans="1:49">
      <c r="A1013" s="581">
        <v>40179</v>
      </c>
      <c r="B1013" s="594">
        <v>-3.5999999999999997E-2</v>
      </c>
      <c r="C1013" s="577">
        <v>-4.7493E-2</v>
      </c>
      <c r="D1013" s="577">
        <v>3.5999999999999999E-3</v>
      </c>
      <c r="E1013" s="577">
        <v>4.3833333333333328E-3</v>
      </c>
      <c r="F1013" s="577">
        <v>4.5833333333333334E-3</v>
      </c>
      <c r="G1013" s="577">
        <v>4.4833333333333331E-3</v>
      </c>
      <c r="H1013" s="577">
        <v>4.8083333333333329E-3</v>
      </c>
      <c r="I1013" s="577">
        <f t="shared" si="167"/>
        <v>-3.9599999999999996E-2</v>
      </c>
      <c r="J1013" s="577">
        <f t="shared" si="171"/>
        <v>-4.048333333333333E-2</v>
      </c>
      <c r="K1013" s="577">
        <f t="shared" si="172"/>
        <v>-5.2301333333333332E-2</v>
      </c>
      <c r="L1013" s="585">
        <f t="shared" si="168"/>
        <v>0.33117070326346387</v>
      </c>
      <c r="M1013" s="585">
        <f t="shared" si="169"/>
        <v>4.3200000000000002E-2</v>
      </c>
      <c r="N1013" s="585">
        <f t="shared" si="173"/>
        <v>5.3800000000000001E-2</v>
      </c>
      <c r="O1013" s="586">
        <f t="shared" si="170"/>
        <v>0.28797070326346386</v>
      </c>
      <c r="P1013" s="585">
        <f t="shared" si="174"/>
        <v>0.27737070326346386</v>
      </c>
      <c r="Q1013" s="585">
        <f t="shared" si="175"/>
        <v>7.0798024673284665E-2</v>
      </c>
      <c r="R1013" s="585">
        <f t="shared" si="176"/>
        <v>5.7699999999999994E-2</v>
      </c>
      <c r="S1013" s="586">
        <f t="shared" si="177"/>
        <v>1.3098024673284671E-2</v>
      </c>
      <c r="U1013" s="587"/>
      <c r="V1013" s="587"/>
      <c r="W1013" s="587"/>
      <c r="X1013" s="587"/>
      <c r="Y1013" s="587"/>
      <c r="Z1013" s="587"/>
      <c r="AA1013" s="587"/>
      <c r="AB1013" s="587"/>
      <c r="AC1013" s="587"/>
      <c r="AE1013" s="587"/>
      <c r="AF1013" s="587"/>
      <c r="AG1013" s="587"/>
      <c r="AH1013" s="587"/>
      <c r="AI1013" s="587"/>
      <c r="AJ1013" s="587"/>
      <c r="AK1013" s="587"/>
      <c r="AL1013" s="587"/>
      <c r="AM1013" s="587"/>
      <c r="AO1013" s="587"/>
      <c r="AP1013" s="587"/>
      <c r="AQ1013" s="587"/>
      <c r="AR1013" s="587"/>
      <c r="AS1013" s="587"/>
      <c r="AT1013" s="587"/>
      <c r="AU1013" s="587"/>
      <c r="AV1013" s="587"/>
      <c r="AW1013" s="587"/>
    </row>
    <row r="1014" spans="1:49">
      <c r="A1014" s="581">
        <v>40210</v>
      </c>
      <c r="B1014" s="594">
        <v>3.1E-2</v>
      </c>
      <c r="C1014" s="577">
        <v>-1.4896E-2</v>
      </c>
      <c r="D1014" s="577">
        <v>3.3E-3</v>
      </c>
      <c r="E1014" s="577">
        <v>4.4583333333333332E-3</v>
      </c>
      <c r="F1014" s="577">
        <v>4.6833333333333336E-3</v>
      </c>
      <c r="G1014" s="577">
        <v>4.570833333333333E-3</v>
      </c>
      <c r="H1014" s="577">
        <v>4.8916666666666666E-3</v>
      </c>
      <c r="I1014" s="577">
        <f t="shared" si="167"/>
        <v>2.7699999999999999E-2</v>
      </c>
      <c r="J1014" s="577">
        <f t="shared" si="171"/>
        <v>2.6429166666666667E-2</v>
      </c>
      <c r="K1014" s="577">
        <f t="shared" si="172"/>
        <v>-1.9787666666666665E-2</v>
      </c>
      <c r="L1014" s="585">
        <f t="shared" si="168"/>
        <v>0.53602349755414846</v>
      </c>
      <c r="M1014" s="585">
        <f t="shared" si="169"/>
        <v>3.9599999999999996E-2</v>
      </c>
      <c r="N1014" s="585">
        <f t="shared" si="173"/>
        <v>5.4849999999999996E-2</v>
      </c>
      <c r="O1014" s="586">
        <f t="shared" si="170"/>
        <v>0.4964234975541485</v>
      </c>
      <c r="P1014" s="585">
        <f t="shared" si="174"/>
        <v>0.48117349755414845</v>
      </c>
      <c r="Q1014" s="585">
        <f t="shared" si="175"/>
        <v>0.20651614940746565</v>
      </c>
      <c r="R1014" s="585">
        <f t="shared" si="176"/>
        <v>5.8700000000000002E-2</v>
      </c>
      <c r="S1014" s="586">
        <f t="shared" si="177"/>
        <v>0.14781614940746565</v>
      </c>
      <c r="U1014" s="587"/>
      <c r="V1014" s="587"/>
      <c r="W1014" s="587"/>
      <c r="X1014" s="587"/>
      <c r="Y1014" s="587"/>
      <c r="Z1014" s="587"/>
      <c r="AA1014" s="587"/>
      <c r="AB1014" s="587"/>
      <c r="AC1014" s="587"/>
      <c r="AE1014" s="587"/>
      <c r="AF1014" s="587"/>
      <c r="AG1014" s="587"/>
      <c r="AH1014" s="587"/>
      <c r="AI1014" s="587"/>
      <c r="AJ1014" s="587"/>
      <c r="AK1014" s="587"/>
      <c r="AL1014" s="587"/>
      <c r="AM1014" s="587"/>
      <c r="AO1014" s="587"/>
      <c r="AP1014" s="587"/>
      <c r="AQ1014" s="587"/>
      <c r="AR1014" s="587"/>
      <c r="AS1014" s="587"/>
      <c r="AT1014" s="587"/>
      <c r="AU1014" s="587"/>
      <c r="AV1014" s="587"/>
      <c r="AW1014" s="587"/>
    </row>
    <row r="1015" spans="1:49">
      <c r="A1015" s="581">
        <v>40238</v>
      </c>
      <c r="B1015" s="594">
        <v>6.0299999999999999E-2</v>
      </c>
      <c r="C1015" s="577">
        <v>2.7978000000000006E-2</v>
      </c>
      <c r="D1015" s="577">
        <v>4.0000000000000001E-3</v>
      </c>
      <c r="E1015" s="577">
        <v>4.3916666666666661E-3</v>
      </c>
      <c r="F1015" s="577">
        <v>4.6416666666666663E-3</v>
      </c>
      <c r="G1015" s="577">
        <v>4.5166666666666662E-3</v>
      </c>
      <c r="H1015" s="577">
        <v>4.8666666666666667E-3</v>
      </c>
      <c r="I1015" s="577">
        <f t="shared" si="167"/>
        <v>5.6300000000000003E-2</v>
      </c>
      <c r="J1015" s="577">
        <f t="shared" si="171"/>
        <v>5.5783333333333331E-2</v>
      </c>
      <c r="K1015" s="577">
        <f t="shared" si="172"/>
        <v>2.3111333333333338E-2</v>
      </c>
      <c r="L1015" s="585">
        <f t="shared" si="168"/>
        <v>0.4974675565066784</v>
      </c>
      <c r="M1015" s="585">
        <f t="shared" si="169"/>
        <v>4.8000000000000001E-2</v>
      </c>
      <c r="N1015" s="585">
        <f t="shared" si="173"/>
        <v>5.4199999999999998E-2</v>
      </c>
      <c r="O1015" s="586">
        <f t="shared" si="170"/>
        <v>0.44946755650667841</v>
      </c>
      <c r="P1015" s="585">
        <f t="shared" si="174"/>
        <v>0.44326755650667837</v>
      </c>
      <c r="Q1015" s="585">
        <f t="shared" si="175"/>
        <v>0.20972056535748429</v>
      </c>
      <c r="R1015" s="585">
        <f t="shared" si="176"/>
        <v>5.8400000000000001E-2</v>
      </c>
      <c r="S1015" s="586">
        <f t="shared" si="177"/>
        <v>0.15132056535748428</v>
      </c>
      <c r="U1015" s="587"/>
      <c r="V1015" s="587"/>
      <c r="W1015" s="587"/>
      <c r="X1015" s="587"/>
      <c r="Y1015" s="587"/>
      <c r="Z1015" s="587"/>
      <c r="AA1015" s="587"/>
      <c r="AB1015" s="587"/>
      <c r="AC1015" s="587"/>
      <c r="AE1015" s="587"/>
      <c r="AF1015" s="587"/>
      <c r="AG1015" s="587"/>
      <c r="AH1015" s="587"/>
      <c r="AI1015" s="587"/>
      <c r="AJ1015" s="587"/>
      <c r="AK1015" s="587"/>
      <c r="AL1015" s="587"/>
      <c r="AM1015" s="587"/>
      <c r="AO1015" s="587"/>
      <c r="AP1015" s="587"/>
      <c r="AQ1015" s="587"/>
      <c r="AR1015" s="587"/>
      <c r="AS1015" s="587"/>
      <c r="AT1015" s="587"/>
      <c r="AU1015" s="587"/>
      <c r="AV1015" s="587"/>
      <c r="AW1015" s="587"/>
    </row>
    <row r="1016" spans="1:49">
      <c r="A1016" s="581">
        <v>40269</v>
      </c>
      <c r="B1016" s="594">
        <v>1.5800000000000002E-2</v>
      </c>
      <c r="C1016" s="577">
        <v>2.8058E-2</v>
      </c>
      <c r="D1016" s="577">
        <v>3.8E-3</v>
      </c>
      <c r="E1016" s="577">
        <v>4.4083333333333335E-3</v>
      </c>
      <c r="F1016" s="577">
        <v>4.6416666666666663E-3</v>
      </c>
      <c r="G1016" s="577">
        <v>4.5250000000000004E-3</v>
      </c>
      <c r="H1016" s="577">
        <v>4.841666666666666E-3</v>
      </c>
      <c r="I1016" s="577">
        <f t="shared" si="167"/>
        <v>1.2000000000000002E-2</v>
      </c>
      <c r="J1016" s="577">
        <f t="shared" si="171"/>
        <v>1.1275E-2</v>
      </c>
      <c r="K1016" s="577">
        <f t="shared" si="172"/>
        <v>2.3216333333333332E-2</v>
      </c>
      <c r="L1016" s="585">
        <f t="shared" si="168"/>
        <v>0.38827009573741367</v>
      </c>
      <c r="M1016" s="585">
        <f t="shared" si="169"/>
        <v>4.5600000000000002E-2</v>
      </c>
      <c r="N1016" s="585">
        <f t="shared" si="173"/>
        <v>5.4300000000000001E-2</v>
      </c>
      <c r="O1016" s="586">
        <f t="shared" si="170"/>
        <v>0.34267009573741369</v>
      </c>
      <c r="P1016" s="585">
        <f t="shared" si="174"/>
        <v>0.33397009573741365</v>
      </c>
      <c r="Q1016" s="585">
        <f t="shared" si="175"/>
        <v>0.23322733526923689</v>
      </c>
      <c r="R1016" s="585">
        <f t="shared" si="176"/>
        <v>5.8099999999999992E-2</v>
      </c>
      <c r="S1016" s="586">
        <f t="shared" si="177"/>
        <v>0.17512733526923691</v>
      </c>
      <c r="U1016" s="587"/>
      <c r="V1016" s="587"/>
      <c r="W1016" s="587"/>
      <c r="X1016" s="587"/>
      <c r="Y1016" s="587"/>
      <c r="Z1016" s="587"/>
      <c r="AA1016" s="587"/>
      <c r="AB1016" s="587"/>
      <c r="AC1016" s="587"/>
      <c r="AE1016" s="587"/>
      <c r="AF1016" s="587"/>
      <c r="AG1016" s="587"/>
      <c r="AH1016" s="587"/>
      <c r="AI1016" s="587"/>
      <c r="AJ1016" s="587"/>
      <c r="AK1016" s="587"/>
      <c r="AL1016" s="587"/>
      <c r="AM1016" s="587"/>
      <c r="AO1016" s="587"/>
      <c r="AP1016" s="587"/>
      <c r="AQ1016" s="587"/>
      <c r="AR1016" s="587"/>
      <c r="AS1016" s="587"/>
      <c r="AT1016" s="587"/>
      <c r="AU1016" s="587"/>
      <c r="AV1016" s="587"/>
      <c r="AW1016" s="587"/>
    </row>
    <row r="1017" spans="1:49">
      <c r="A1017" s="581">
        <v>40299</v>
      </c>
      <c r="B1017" s="594">
        <v>-7.9899999999999999E-2</v>
      </c>
      <c r="C1017" s="577">
        <v>-5.7599999999999998E-2</v>
      </c>
      <c r="D1017" s="577">
        <v>3.3999999999999998E-3</v>
      </c>
      <c r="E1017" s="577">
        <v>4.1333333333333335E-3</v>
      </c>
      <c r="F1017" s="577">
        <v>4.3750000000000004E-3</v>
      </c>
      <c r="G1017" s="577">
        <v>4.2541666666666665E-3</v>
      </c>
      <c r="H1017" s="577">
        <v>4.5833333333333334E-3</v>
      </c>
      <c r="I1017" s="577">
        <f t="shared" si="167"/>
        <v>-8.3299999999999999E-2</v>
      </c>
      <c r="J1017" s="577">
        <f t="shared" si="171"/>
        <v>-8.4154166666666669E-2</v>
      </c>
      <c r="K1017" s="577">
        <f t="shared" si="172"/>
        <v>-6.2183333333333334E-2</v>
      </c>
      <c r="L1017" s="585">
        <f t="shared" si="168"/>
        <v>0.20972375706789848</v>
      </c>
      <c r="M1017" s="585">
        <f t="shared" si="169"/>
        <v>4.0799999999999996E-2</v>
      </c>
      <c r="N1017" s="585">
        <f t="shared" si="173"/>
        <v>5.1049999999999998E-2</v>
      </c>
      <c r="O1017" s="586">
        <f t="shared" si="170"/>
        <v>0.16892375706789847</v>
      </c>
      <c r="P1017" s="585">
        <f t="shared" si="174"/>
        <v>0.15867375706789849</v>
      </c>
      <c r="Q1017" s="585">
        <f t="shared" si="175"/>
        <v>0.12258092756668293</v>
      </c>
      <c r="R1017" s="585">
        <f t="shared" si="176"/>
        <v>5.5E-2</v>
      </c>
      <c r="S1017" s="586">
        <f t="shared" si="177"/>
        <v>6.7580927566682936E-2</v>
      </c>
      <c r="U1017" s="587"/>
      <c r="V1017" s="587"/>
      <c r="W1017" s="587"/>
      <c r="X1017" s="587"/>
      <c r="Y1017" s="587"/>
      <c r="Z1017" s="587"/>
      <c r="AA1017" s="587"/>
      <c r="AB1017" s="587"/>
      <c r="AC1017" s="587"/>
      <c r="AE1017" s="587"/>
      <c r="AF1017" s="587"/>
      <c r="AG1017" s="587"/>
      <c r="AH1017" s="587"/>
      <c r="AI1017" s="587"/>
      <c r="AJ1017" s="587"/>
      <c r="AK1017" s="587"/>
      <c r="AL1017" s="587"/>
      <c r="AM1017" s="587"/>
      <c r="AO1017" s="587"/>
      <c r="AP1017" s="587"/>
      <c r="AQ1017" s="587"/>
      <c r="AR1017" s="587"/>
      <c r="AS1017" s="587"/>
      <c r="AT1017" s="587"/>
      <c r="AU1017" s="587"/>
      <c r="AV1017" s="587"/>
      <c r="AW1017" s="587"/>
    </row>
    <row r="1018" spans="1:49">
      <c r="A1018" s="581">
        <v>40330</v>
      </c>
      <c r="B1018" s="594">
        <v>-5.2299999999999999E-2</v>
      </c>
      <c r="C1018" s="577">
        <v>-6.3599999999999993E-3</v>
      </c>
      <c r="D1018" s="577">
        <v>3.7000000000000002E-3</v>
      </c>
      <c r="E1018" s="577">
        <v>4.0666666666666663E-3</v>
      </c>
      <c r="F1018" s="577">
        <v>4.3E-3</v>
      </c>
      <c r="G1018" s="577">
        <v>4.1833333333333332E-3</v>
      </c>
      <c r="H1018" s="577">
        <v>4.5500000000000002E-3</v>
      </c>
      <c r="I1018" s="577">
        <f t="shared" si="167"/>
        <v>-5.6000000000000001E-2</v>
      </c>
      <c r="J1018" s="577">
        <f t="shared" si="171"/>
        <v>-5.648333333333333E-2</v>
      </c>
      <c r="K1018" s="577">
        <f t="shared" si="172"/>
        <v>-1.091E-2</v>
      </c>
      <c r="L1018" s="585">
        <f t="shared" si="168"/>
        <v>0.14416687083158441</v>
      </c>
      <c r="M1018" s="585">
        <f t="shared" si="169"/>
        <v>4.4400000000000002E-2</v>
      </c>
      <c r="N1018" s="585">
        <f t="shared" si="173"/>
        <v>5.0199999999999995E-2</v>
      </c>
      <c r="O1018" s="586">
        <f t="shared" si="170"/>
        <v>9.976687083158442E-2</v>
      </c>
      <c r="P1018" s="585">
        <f t="shared" si="174"/>
        <v>9.396687083158442E-2</v>
      </c>
      <c r="Q1018" s="585">
        <f t="shared" si="175"/>
        <v>5.7087944173114469E-2</v>
      </c>
      <c r="R1018" s="585">
        <f t="shared" si="176"/>
        <v>5.4600000000000003E-2</v>
      </c>
      <c r="S1018" s="586">
        <f t="shared" si="177"/>
        <v>2.4879441731144661E-3</v>
      </c>
      <c r="U1018" s="587"/>
      <c r="V1018" s="587"/>
      <c r="W1018" s="587"/>
      <c r="X1018" s="587"/>
      <c r="Y1018" s="587"/>
      <c r="Z1018" s="587"/>
      <c r="AA1018" s="587"/>
      <c r="AB1018" s="587"/>
      <c r="AC1018" s="587"/>
      <c r="AE1018" s="587"/>
      <c r="AF1018" s="587"/>
      <c r="AG1018" s="587"/>
      <c r="AH1018" s="587"/>
      <c r="AI1018" s="587"/>
      <c r="AJ1018" s="587"/>
      <c r="AK1018" s="587"/>
      <c r="AL1018" s="587"/>
      <c r="AM1018" s="587"/>
      <c r="AO1018" s="587"/>
      <c r="AP1018" s="587"/>
      <c r="AQ1018" s="587"/>
      <c r="AR1018" s="587"/>
      <c r="AS1018" s="587"/>
      <c r="AT1018" s="587"/>
      <c r="AU1018" s="587"/>
      <c r="AV1018" s="587"/>
      <c r="AW1018" s="587"/>
    </row>
    <row r="1019" spans="1:49">
      <c r="A1019" s="581">
        <v>40360</v>
      </c>
      <c r="B1019" s="594">
        <v>7.0099999999999996E-2</v>
      </c>
      <c r="C1019" s="577">
        <v>7.741300000000001E-2</v>
      </c>
      <c r="D1019" s="577">
        <v>3.0999999999999999E-3</v>
      </c>
      <c r="E1019" s="577">
        <v>3.933333333333333E-3</v>
      </c>
      <c r="F1019" s="577">
        <v>4.1333333333333335E-3</v>
      </c>
      <c r="G1019" s="577">
        <v>4.0333333333333332E-3</v>
      </c>
      <c r="H1019" s="577">
        <v>4.3833333333333328E-3</v>
      </c>
      <c r="I1019" s="577">
        <f t="shared" si="167"/>
        <v>6.699999999999999E-2</v>
      </c>
      <c r="J1019" s="577">
        <f t="shared" si="171"/>
        <v>6.6066666666666662E-2</v>
      </c>
      <c r="K1019" s="577">
        <f t="shared" si="172"/>
        <v>7.3029666666666673E-2</v>
      </c>
      <c r="L1019" s="585">
        <f t="shared" si="168"/>
        <v>0.13831625927564017</v>
      </c>
      <c r="M1019" s="585">
        <f t="shared" si="169"/>
        <v>3.7199999999999997E-2</v>
      </c>
      <c r="N1019" s="585">
        <f t="shared" si="173"/>
        <v>4.8399999999999999E-2</v>
      </c>
      <c r="O1019" s="586">
        <f t="shared" si="170"/>
        <v>0.10111625927564018</v>
      </c>
      <c r="P1019" s="585">
        <f t="shared" si="174"/>
        <v>8.9916259275640176E-2</v>
      </c>
      <c r="Q1019" s="585">
        <f t="shared" si="175"/>
        <v>9.4321231409301376E-2</v>
      </c>
      <c r="R1019" s="585">
        <f t="shared" si="176"/>
        <v>5.2599999999999994E-2</v>
      </c>
      <c r="S1019" s="586">
        <f t="shared" si="177"/>
        <v>4.1721231409301382E-2</v>
      </c>
      <c r="U1019" s="587"/>
      <c r="V1019" s="587"/>
      <c r="W1019" s="587"/>
      <c r="X1019" s="587"/>
      <c r="Y1019" s="587"/>
      <c r="Z1019" s="587"/>
      <c r="AA1019" s="587"/>
      <c r="AB1019" s="587"/>
      <c r="AC1019" s="587"/>
      <c r="AE1019" s="587"/>
      <c r="AF1019" s="587"/>
      <c r="AG1019" s="587"/>
      <c r="AH1019" s="587"/>
      <c r="AI1019" s="587"/>
      <c r="AJ1019" s="587"/>
      <c r="AK1019" s="587"/>
      <c r="AL1019" s="587"/>
      <c r="AM1019" s="587"/>
      <c r="AO1019" s="587"/>
      <c r="AP1019" s="587"/>
      <c r="AQ1019" s="587"/>
      <c r="AR1019" s="587"/>
      <c r="AS1019" s="587"/>
      <c r="AT1019" s="587"/>
      <c r="AU1019" s="587"/>
      <c r="AV1019" s="587"/>
      <c r="AW1019" s="587"/>
    </row>
    <row r="1020" spans="1:49">
      <c r="A1020" s="581">
        <v>40391</v>
      </c>
      <c r="B1020" s="594">
        <v>-4.5100000000000001E-2</v>
      </c>
      <c r="C1020" s="577">
        <v>1.2496E-2</v>
      </c>
      <c r="D1020" s="577">
        <v>3.2000000000000002E-3</v>
      </c>
      <c r="E1020" s="577">
        <v>3.741666666666667E-3</v>
      </c>
      <c r="F1020" s="577">
        <v>3.933333333333333E-3</v>
      </c>
      <c r="G1020" s="577">
        <v>3.8375000000000002E-3</v>
      </c>
      <c r="H1020" s="577">
        <v>4.1749999999999999E-3</v>
      </c>
      <c r="I1020" s="577">
        <f t="shared" si="167"/>
        <v>-4.8300000000000003E-2</v>
      </c>
      <c r="J1020" s="577">
        <f t="shared" si="171"/>
        <v>-4.8937500000000002E-2</v>
      </c>
      <c r="K1020" s="577">
        <f t="shared" si="172"/>
        <v>8.3210000000000003E-3</v>
      </c>
      <c r="L1020" s="585">
        <f t="shared" si="168"/>
        <v>4.9105487870195086E-2</v>
      </c>
      <c r="M1020" s="585">
        <f t="shared" si="169"/>
        <v>3.8400000000000004E-2</v>
      </c>
      <c r="N1020" s="585">
        <f t="shared" si="173"/>
        <v>4.6050000000000001E-2</v>
      </c>
      <c r="O1020" s="586">
        <f t="shared" si="170"/>
        <v>1.0705487870195082E-2</v>
      </c>
      <c r="P1020" s="585">
        <f t="shared" si="174"/>
        <v>3.0554878701950852E-3</v>
      </c>
      <c r="Q1020" s="585">
        <f t="shared" si="175"/>
        <v>0.10197906382848876</v>
      </c>
      <c r="R1020" s="585">
        <f t="shared" si="176"/>
        <v>5.0099999999999999E-2</v>
      </c>
      <c r="S1020" s="586">
        <f t="shared" si="177"/>
        <v>5.187906382848876E-2</v>
      </c>
      <c r="U1020" s="587"/>
      <c r="V1020" s="587"/>
      <c r="W1020" s="587"/>
      <c r="X1020" s="587"/>
      <c r="Y1020" s="587"/>
      <c r="Z1020" s="587"/>
      <c r="AA1020" s="587"/>
      <c r="AB1020" s="587"/>
      <c r="AC1020" s="587"/>
      <c r="AE1020" s="587"/>
      <c r="AF1020" s="587"/>
      <c r="AG1020" s="587"/>
      <c r="AH1020" s="587"/>
      <c r="AI1020" s="587"/>
      <c r="AJ1020" s="587"/>
      <c r="AK1020" s="587"/>
      <c r="AL1020" s="587"/>
      <c r="AM1020" s="587"/>
      <c r="AO1020" s="587"/>
      <c r="AP1020" s="587"/>
      <c r="AQ1020" s="587"/>
      <c r="AR1020" s="587"/>
      <c r="AS1020" s="587"/>
      <c r="AT1020" s="587"/>
      <c r="AU1020" s="587"/>
      <c r="AV1020" s="587"/>
      <c r="AW1020" s="587"/>
    </row>
    <row r="1021" spans="1:49">
      <c r="A1021" s="581">
        <v>40422</v>
      </c>
      <c r="B1021" s="594">
        <v>8.9200000000000002E-2</v>
      </c>
      <c r="C1021" s="577">
        <v>2.9575000000000001E-2</v>
      </c>
      <c r="D1021" s="577">
        <v>2.5999999999999999E-3</v>
      </c>
      <c r="E1021" s="577">
        <v>3.7750000000000001E-3</v>
      </c>
      <c r="F1021" s="577">
        <v>3.933333333333333E-3</v>
      </c>
      <c r="G1021" s="577">
        <v>3.8541666666666663E-3</v>
      </c>
      <c r="H1021" s="577">
        <v>4.1749999999999999E-3</v>
      </c>
      <c r="I1021" s="577">
        <f t="shared" si="167"/>
        <v>8.6599999999999996E-2</v>
      </c>
      <c r="J1021" s="577">
        <f t="shared" si="171"/>
        <v>8.5345833333333329E-2</v>
      </c>
      <c r="K1021" s="577">
        <f t="shared" si="172"/>
        <v>2.5399999999999999E-2</v>
      </c>
      <c r="L1021" s="585">
        <f t="shared" si="168"/>
        <v>0.10159616059791388</v>
      </c>
      <c r="M1021" s="585">
        <f t="shared" si="169"/>
        <v>3.1199999999999999E-2</v>
      </c>
      <c r="N1021" s="585">
        <f t="shared" si="173"/>
        <v>4.6249999999999999E-2</v>
      </c>
      <c r="O1021" s="586">
        <f t="shared" si="170"/>
        <v>7.039616059791387E-2</v>
      </c>
      <c r="P1021" s="585">
        <f t="shared" si="174"/>
        <v>5.5346160597913877E-2</v>
      </c>
      <c r="Q1021" s="585">
        <f t="shared" si="175"/>
        <v>0.11859212473155045</v>
      </c>
      <c r="R1021" s="585">
        <f t="shared" si="176"/>
        <v>5.0099999999999999E-2</v>
      </c>
      <c r="S1021" s="586">
        <f t="shared" si="177"/>
        <v>6.8492124731550447E-2</v>
      </c>
      <c r="U1021" s="587"/>
      <c r="V1021" s="587"/>
      <c r="W1021" s="587"/>
      <c r="X1021" s="587"/>
      <c r="Y1021" s="587"/>
      <c r="Z1021" s="587"/>
      <c r="AA1021" s="587"/>
      <c r="AB1021" s="587"/>
      <c r="AC1021" s="587"/>
      <c r="AE1021" s="587"/>
      <c r="AF1021" s="587"/>
      <c r="AG1021" s="587"/>
      <c r="AH1021" s="587"/>
      <c r="AI1021" s="587"/>
      <c r="AJ1021" s="587"/>
      <c r="AK1021" s="587"/>
      <c r="AL1021" s="587"/>
      <c r="AM1021" s="587"/>
      <c r="AO1021" s="587"/>
      <c r="AP1021" s="587"/>
      <c r="AQ1021" s="587"/>
      <c r="AR1021" s="587"/>
      <c r="AS1021" s="587"/>
      <c r="AT1021" s="587"/>
      <c r="AU1021" s="587"/>
      <c r="AV1021" s="587"/>
      <c r="AW1021" s="587"/>
    </row>
    <row r="1022" spans="1:49">
      <c r="A1022" s="581">
        <v>40452</v>
      </c>
      <c r="B1022" s="594">
        <v>3.7999999999999999E-2</v>
      </c>
      <c r="C1022" s="577">
        <v>1.2868999999999998E-2</v>
      </c>
      <c r="D1022" s="577">
        <v>2.7000000000000001E-3</v>
      </c>
      <c r="E1022" s="577">
        <v>3.8999999999999994E-3</v>
      </c>
      <c r="F1022" s="577">
        <v>4.0249999999999999E-3</v>
      </c>
      <c r="G1022" s="577">
        <v>3.9624999999999999E-3</v>
      </c>
      <c r="H1022" s="577">
        <v>4.2500000000000003E-3</v>
      </c>
      <c r="I1022" s="577">
        <f t="shared" si="167"/>
        <v>3.5299999999999998E-2</v>
      </c>
      <c r="J1022" s="577">
        <f t="shared" si="171"/>
        <v>3.4037499999999998E-2</v>
      </c>
      <c r="K1022" s="577">
        <f t="shared" si="172"/>
        <v>8.6189999999999982E-3</v>
      </c>
      <c r="L1022" s="585">
        <f t="shared" si="168"/>
        <v>0.16512819920586352</v>
      </c>
      <c r="M1022" s="585">
        <f t="shared" si="169"/>
        <v>3.2399999999999998E-2</v>
      </c>
      <c r="N1022" s="585">
        <f t="shared" si="173"/>
        <v>4.7549999999999995E-2</v>
      </c>
      <c r="O1022" s="586">
        <f t="shared" si="170"/>
        <v>0.13272819920586354</v>
      </c>
      <c r="P1022" s="585">
        <f t="shared" si="174"/>
        <v>0.11757819920586353</v>
      </c>
      <c r="Q1022" s="585">
        <f t="shared" si="175"/>
        <v>0.16613706513532267</v>
      </c>
      <c r="R1022" s="585">
        <f t="shared" si="176"/>
        <v>5.1000000000000004E-2</v>
      </c>
      <c r="S1022" s="586">
        <f t="shared" si="177"/>
        <v>0.11513706513532267</v>
      </c>
      <c r="U1022" s="587"/>
      <c r="V1022" s="587"/>
      <c r="W1022" s="587"/>
      <c r="X1022" s="587"/>
      <c r="Y1022" s="587"/>
      <c r="Z1022" s="587"/>
      <c r="AA1022" s="587"/>
      <c r="AB1022" s="587"/>
      <c r="AC1022" s="587"/>
      <c r="AE1022" s="587"/>
      <c r="AF1022" s="587"/>
      <c r="AG1022" s="587"/>
      <c r="AH1022" s="587"/>
      <c r="AI1022" s="587"/>
      <c r="AJ1022" s="587"/>
      <c r="AK1022" s="587"/>
      <c r="AL1022" s="587"/>
      <c r="AM1022" s="587"/>
      <c r="AO1022" s="587"/>
      <c r="AP1022" s="587"/>
      <c r="AQ1022" s="587"/>
      <c r="AR1022" s="587"/>
      <c r="AS1022" s="587"/>
      <c r="AT1022" s="587"/>
      <c r="AU1022" s="587"/>
      <c r="AV1022" s="587"/>
      <c r="AW1022" s="587"/>
    </row>
    <row r="1023" spans="1:49">
      <c r="A1023" s="581">
        <v>40483</v>
      </c>
      <c r="B1023" s="594">
        <v>1E-4</v>
      </c>
      <c r="C1023" s="577">
        <v>-3.2323000000000005E-2</v>
      </c>
      <c r="D1023" s="577">
        <v>3.2000000000000002E-3</v>
      </c>
      <c r="E1023" s="577">
        <v>4.0583333333333331E-3</v>
      </c>
      <c r="F1023" s="577">
        <v>4.2250000000000005E-3</v>
      </c>
      <c r="G1023" s="577">
        <v>4.1416666666666668E-3</v>
      </c>
      <c r="H1023" s="577">
        <v>4.4749999999999998E-3</v>
      </c>
      <c r="I1023" s="577">
        <f t="shared" si="167"/>
        <v>-3.1000000000000003E-3</v>
      </c>
      <c r="J1023" s="577">
        <f t="shared" si="171"/>
        <v>-4.0416666666666665E-3</v>
      </c>
      <c r="K1023" s="577">
        <f t="shared" si="172"/>
        <v>-3.6798000000000004E-2</v>
      </c>
      <c r="L1023" s="585">
        <f t="shared" si="168"/>
        <v>9.9287464175267681E-2</v>
      </c>
      <c r="M1023" s="585">
        <f t="shared" si="169"/>
        <v>3.8400000000000004E-2</v>
      </c>
      <c r="N1023" s="585">
        <f t="shared" si="173"/>
        <v>4.9700000000000001E-2</v>
      </c>
      <c r="O1023" s="586">
        <f t="shared" si="170"/>
        <v>6.0887464175267678E-2</v>
      </c>
      <c r="P1023" s="585">
        <f t="shared" si="174"/>
        <v>4.958746417526768E-2</v>
      </c>
      <c r="Q1023" s="585">
        <f t="shared" si="175"/>
        <v>7.9245530046264667E-2</v>
      </c>
      <c r="R1023" s="585">
        <f t="shared" si="176"/>
        <v>5.3699999999999998E-2</v>
      </c>
      <c r="S1023" s="586">
        <f t="shared" si="177"/>
        <v>2.5545530046264669E-2</v>
      </c>
      <c r="U1023" s="587"/>
      <c r="V1023" s="587"/>
      <c r="W1023" s="587"/>
      <c r="X1023" s="587"/>
      <c r="Y1023" s="587"/>
      <c r="Z1023" s="587"/>
      <c r="AA1023" s="587"/>
      <c r="AB1023" s="587"/>
      <c r="AC1023" s="587"/>
      <c r="AE1023" s="587"/>
      <c r="AF1023" s="587"/>
      <c r="AG1023" s="587"/>
      <c r="AH1023" s="587"/>
      <c r="AI1023" s="587"/>
      <c r="AJ1023" s="587"/>
      <c r="AK1023" s="587"/>
      <c r="AL1023" s="587"/>
      <c r="AM1023" s="587"/>
      <c r="AO1023" s="587"/>
      <c r="AP1023" s="587"/>
      <c r="AQ1023" s="587"/>
      <c r="AR1023" s="587"/>
      <c r="AS1023" s="587"/>
      <c r="AT1023" s="587"/>
      <c r="AU1023" s="587"/>
      <c r="AV1023" s="587"/>
      <c r="AW1023" s="587"/>
    </row>
    <row r="1024" spans="1:49">
      <c r="A1024" s="581">
        <v>40513</v>
      </c>
      <c r="B1024" s="594">
        <v>6.6799999999999998E-2</v>
      </c>
      <c r="C1024" s="577">
        <v>3.1150999999999998E-2</v>
      </c>
      <c r="D1024" s="577">
        <v>3.2000000000000002E-3</v>
      </c>
      <c r="E1024" s="577">
        <v>4.1833333333333332E-3</v>
      </c>
      <c r="F1024" s="577">
        <v>4.3833333333333328E-3</v>
      </c>
      <c r="G1024" s="577">
        <v>4.2833333333333326E-3</v>
      </c>
      <c r="H1024" s="577">
        <v>4.6333333333333331E-3</v>
      </c>
      <c r="I1024" s="577">
        <f t="shared" si="167"/>
        <v>6.3600000000000004E-2</v>
      </c>
      <c r="J1024" s="577">
        <f t="shared" si="171"/>
        <v>6.2516666666666665E-2</v>
      </c>
      <c r="K1024" s="577">
        <f t="shared" si="172"/>
        <v>2.6517666666666665E-2</v>
      </c>
      <c r="L1024" s="585">
        <f t="shared" si="168"/>
        <v>0.15051492865905569</v>
      </c>
      <c r="M1024" s="585">
        <f t="shared" si="169"/>
        <v>3.8400000000000004E-2</v>
      </c>
      <c r="N1024" s="585">
        <f t="shared" si="173"/>
        <v>5.1399999999999987E-2</v>
      </c>
      <c r="O1024" s="586">
        <f t="shared" si="170"/>
        <v>0.11211492865905569</v>
      </c>
      <c r="P1024" s="585">
        <f t="shared" si="174"/>
        <v>9.9114928659055704E-2</v>
      </c>
      <c r="Q1024" s="585">
        <f t="shared" si="175"/>
        <v>5.4036185908617806E-2</v>
      </c>
      <c r="R1024" s="585">
        <f t="shared" si="176"/>
        <v>5.5599999999999997E-2</v>
      </c>
      <c r="S1024" s="586">
        <f t="shared" si="177"/>
        <v>-1.5638140913821902E-3</v>
      </c>
      <c r="U1024" s="587"/>
      <c r="V1024" s="587"/>
      <c r="W1024" s="587"/>
      <c r="X1024" s="587"/>
      <c r="Y1024" s="587"/>
      <c r="Z1024" s="587"/>
      <c r="AA1024" s="587"/>
      <c r="AB1024" s="587"/>
      <c r="AC1024" s="587"/>
      <c r="AE1024" s="587"/>
      <c r="AF1024" s="587"/>
      <c r="AG1024" s="587"/>
      <c r="AH1024" s="587"/>
      <c r="AI1024" s="587"/>
      <c r="AJ1024" s="587"/>
      <c r="AK1024" s="587"/>
      <c r="AL1024" s="587"/>
      <c r="AM1024" s="587"/>
      <c r="AO1024" s="587"/>
      <c r="AP1024" s="587"/>
      <c r="AQ1024" s="587"/>
      <c r="AR1024" s="587"/>
      <c r="AS1024" s="587"/>
      <c r="AT1024" s="587"/>
      <c r="AU1024" s="587"/>
      <c r="AV1024" s="587"/>
      <c r="AW1024" s="587"/>
    </row>
    <row r="1025" spans="1:49">
      <c r="A1025" s="581">
        <v>40544</v>
      </c>
      <c r="B1025" s="577">
        <v>2.3699999999999999E-2</v>
      </c>
      <c r="C1025" s="577">
        <v>1.4241E-2</v>
      </c>
      <c r="D1025" s="577">
        <v>3.5000000000000001E-3</v>
      </c>
      <c r="E1025" s="577">
        <v>4.1999999999999997E-3</v>
      </c>
      <c r="F1025" s="577">
        <v>4.3833333333333328E-3</v>
      </c>
      <c r="G1025" s="577">
        <v>4.2916666666666667E-3</v>
      </c>
      <c r="H1025" s="577">
        <v>4.6416666666666663E-3</v>
      </c>
      <c r="I1025" s="577">
        <f t="shared" si="167"/>
        <v>2.0199999999999999E-2</v>
      </c>
      <c r="J1025" s="577">
        <f t="shared" si="171"/>
        <v>1.9408333333333333E-2</v>
      </c>
      <c r="K1025" s="577">
        <f t="shared" si="172"/>
        <v>9.5993333333333347E-3</v>
      </c>
      <c r="L1025" s="585">
        <f t="shared" si="168"/>
        <v>0.2217656975811988</v>
      </c>
      <c r="M1025" s="585">
        <f t="shared" si="169"/>
        <v>4.2000000000000003E-2</v>
      </c>
      <c r="N1025" s="585">
        <f t="shared" si="173"/>
        <v>5.1500000000000004E-2</v>
      </c>
      <c r="O1025" s="586">
        <f t="shared" si="170"/>
        <v>0.17976569758119879</v>
      </c>
      <c r="P1025" s="585">
        <f t="shared" si="174"/>
        <v>0.1702656975811988</v>
      </c>
      <c r="Q1025" s="585">
        <f t="shared" si="175"/>
        <v>0.12235050790402879</v>
      </c>
      <c r="R1025" s="585">
        <f t="shared" si="176"/>
        <v>5.57E-2</v>
      </c>
      <c r="S1025" s="586">
        <f t="shared" si="177"/>
        <v>6.6650507904028794E-2</v>
      </c>
      <c r="U1025" s="587"/>
      <c r="V1025" s="587"/>
      <c r="W1025" s="587"/>
      <c r="X1025" s="587"/>
      <c r="Y1025" s="587"/>
      <c r="Z1025" s="587"/>
      <c r="AA1025" s="587"/>
      <c r="AB1025" s="587"/>
      <c r="AC1025" s="587"/>
      <c r="AE1025" s="587"/>
      <c r="AF1025" s="587"/>
      <c r="AG1025" s="587"/>
      <c r="AH1025" s="587"/>
      <c r="AI1025" s="587"/>
      <c r="AJ1025" s="587"/>
      <c r="AK1025" s="587"/>
      <c r="AL1025" s="587"/>
      <c r="AM1025" s="587"/>
      <c r="AO1025" s="587"/>
      <c r="AP1025" s="587"/>
      <c r="AQ1025" s="587"/>
      <c r="AR1025" s="587"/>
      <c r="AS1025" s="587"/>
      <c r="AT1025" s="587"/>
      <c r="AU1025" s="587"/>
      <c r="AV1025" s="587"/>
      <c r="AW1025" s="587"/>
    </row>
    <row r="1026" spans="1:49">
      <c r="A1026" s="581">
        <v>40575</v>
      </c>
      <c r="B1026" s="577">
        <v>3.4299999999999997E-2</v>
      </c>
      <c r="C1026" s="577">
        <v>1.1235E-2</v>
      </c>
      <c r="D1026" s="577">
        <v>3.2000000000000002E-3</v>
      </c>
      <c r="E1026" s="577">
        <v>4.3499999999999997E-3</v>
      </c>
      <c r="F1026" s="577">
        <v>4.4749999999999998E-3</v>
      </c>
      <c r="G1026" s="577">
        <v>4.4125000000000006E-3</v>
      </c>
      <c r="H1026" s="577">
        <v>4.7333333333333333E-3</v>
      </c>
      <c r="I1026" s="577">
        <f t="shared" si="167"/>
        <v>3.1099999999999996E-2</v>
      </c>
      <c r="J1026" s="577">
        <f t="shared" si="171"/>
        <v>2.9887499999999997E-2</v>
      </c>
      <c r="K1026" s="577">
        <f t="shared" si="172"/>
        <v>6.5016666666666669E-3</v>
      </c>
      <c r="L1026" s="585">
        <f t="shared" si="168"/>
        <v>0.22567629583727844</v>
      </c>
      <c r="M1026" s="585">
        <f t="shared" si="169"/>
        <v>3.8400000000000004E-2</v>
      </c>
      <c r="N1026" s="585">
        <f t="shared" si="173"/>
        <v>5.2950000000000011E-2</v>
      </c>
      <c r="O1026" s="586">
        <f t="shared" si="170"/>
        <v>0.18727629583727845</v>
      </c>
      <c r="P1026" s="585">
        <f t="shared" si="174"/>
        <v>0.17272629583727844</v>
      </c>
      <c r="Q1026" s="585">
        <f t="shared" si="175"/>
        <v>0.15212212706509232</v>
      </c>
      <c r="R1026" s="585">
        <f t="shared" si="176"/>
        <v>5.6800000000000003E-2</v>
      </c>
      <c r="S1026" s="586">
        <f t="shared" si="177"/>
        <v>9.5322127065092313E-2</v>
      </c>
      <c r="U1026" s="587"/>
      <c r="V1026" s="587"/>
      <c r="W1026" s="587"/>
      <c r="X1026" s="587"/>
      <c r="Y1026" s="587"/>
      <c r="Z1026" s="587"/>
      <c r="AA1026" s="587"/>
      <c r="AB1026" s="587"/>
      <c r="AC1026" s="587"/>
      <c r="AE1026" s="587"/>
      <c r="AF1026" s="587"/>
      <c r="AG1026" s="587"/>
      <c r="AH1026" s="587"/>
      <c r="AI1026" s="587"/>
      <c r="AJ1026" s="587"/>
      <c r="AK1026" s="587"/>
      <c r="AL1026" s="587"/>
      <c r="AM1026" s="587"/>
      <c r="AO1026" s="587"/>
      <c r="AP1026" s="587"/>
      <c r="AQ1026" s="587"/>
      <c r="AR1026" s="587"/>
      <c r="AS1026" s="587"/>
      <c r="AT1026" s="587"/>
      <c r="AU1026" s="587"/>
      <c r="AV1026" s="587"/>
      <c r="AW1026" s="587"/>
    </row>
    <row r="1027" spans="1:49">
      <c r="A1027" s="581">
        <v>40603</v>
      </c>
      <c r="B1027" s="577">
        <v>4.0000000000000002E-4</v>
      </c>
      <c r="C1027" s="577">
        <v>1.474E-3</v>
      </c>
      <c r="D1027" s="577">
        <v>3.5999999999999999E-3</v>
      </c>
      <c r="E1027" s="577">
        <v>4.2750000000000002E-3</v>
      </c>
      <c r="F1027" s="577">
        <v>4.4000000000000003E-3</v>
      </c>
      <c r="G1027" s="577">
        <v>4.3374999999999993E-3</v>
      </c>
      <c r="H1027" s="577">
        <v>4.6333333333333331E-3</v>
      </c>
      <c r="I1027" s="577">
        <f t="shared" si="167"/>
        <v>-3.1999999999999997E-3</v>
      </c>
      <c r="J1027" s="577">
        <f t="shared" si="171"/>
        <v>-3.9374999999999992E-3</v>
      </c>
      <c r="K1027" s="577">
        <f t="shared" si="172"/>
        <v>-3.159333333333333E-3</v>
      </c>
      <c r="L1027" s="585">
        <f t="shared" si="168"/>
        <v>0.15643361912252507</v>
      </c>
      <c r="M1027" s="585">
        <f t="shared" si="169"/>
        <v>4.3200000000000002E-2</v>
      </c>
      <c r="N1027" s="585">
        <f t="shared" si="173"/>
        <v>5.2049999999999992E-2</v>
      </c>
      <c r="O1027" s="586">
        <f t="shared" si="170"/>
        <v>0.11323361912252507</v>
      </c>
      <c r="P1027" s="585">
        <f t="shared" si="174"/>
        <v>0.10438361912252508</v>
      </c>
      <c r="Q1027" s="585">
        <f t="shared" si="175"/>
        <v>0.12241736212291121</v>
      </c>
      <c r="R1027" s="585">
        <f t="shared" si="176"/>
        <v>5.5599999999999997E-2</v>
      </c>
      <c r="S1027" s="586">
        <f t="shared" si="177"/>
        <v>6.6817362122911214E-2</v>
      </c>
      <c r="U1027" s="587"/>
      <c r="V1027" s="587"/>
      <c r="W1027" s="587"/>
      <c r="X1027" s="587"/>
      <c r="Y1027" s="587"/>
      <c r="Z1027" s="587"/>
      <c r="AA1027" s="587"/>
      <c r="AB1027" s="587"/>
      <c r="AC1027" s="587"/>
      <c r="AE1027" s="587"/>
      <c r="AF1027" s="587"/>
      <c r="AG1027" s="587"/>
      <c r="AH1027" s="587"/>
      <c r="AI1027" s="587"/>
      <c r="AJ1027" s="587"/>
      <c r="AK1027" s="587"/>
      <c r="AL1027" s="587"/>
      <c r="AM1027" s="587"/>
      <c r="AO1027" s="587"/>
      <c r="AP1027" s="587"/>
      <c r="AQ1027" s="587"/>
      <c r="AR1027" s="587"/>
      <c r="AS1027" s="587"/>
      <c r="AT1027" s="587"/>
      <c r="AU1027" s="587"/>
      <c r="AV1027" s="587"/>
      <c r="AW1027" s="587"/>
    </row>
    <row r="1028" spans="1:49">
      <c r="A1028" s="581">
        <v>40634</v>
      </c>
      <c r="B1028" s="577">
        <v>2.9600000000000001E-2</v>
      </c>
      <c r="C1028" s="577">
        <v>4.1877999999999999E-2</v>
      </c>
      <c r="D1028" s="577">
        <v>3.3999999999999998E-3</v>
      </c>
      <c r="E1028" s="577">
        <v>4.3E-3</v>
      </c>
      <c r="F1028" s="577">
        <v>4.4083333333333335E-3</v>
      </c>
      <c r="G1028" s="577">
        <v>4.3541666666666668E-3</v>
      </c>
      <c r="H1028" s="577">
        <v>4.6249999999999998E-3</v>
      </c>
      <c r="I1028" s="577">
        <f t="shared" si="167"/>
        <v>2.6200000000000001E-2</v>
      </c>
      <c r="J1028" s="577">
        <f t="shared" si="171"/>
        <v>2.5245833333333335E-2</v>
      </c>
      <c r="K1028" s="577">
        <f t="shared" si="172"/>
        <v>3.7253000000000001E-2</v>
      </c>
      <c r="L1028" s="585">
        <f t="shared" si="168"/>
        <v>0.17214417626358691</v>
      </c>
      <c r="M1028" s="585">
        <f t="shared" si="169"/>
        <v>4.0799999999999996E-2</v>
      </c>
      <c r="N1028" s="585">
        <f t="shared" si="173"/>
        <v>5.2250000000000005E-2</v>
      </c>
      <c r="O1028" s="586">
        <f t="shared" si="170"/>
        <v>0.13134417626358691</v>
      </c>
      <c r="P1028" s="585">
        <f t="shared" si="174"/>
        <v>0.11989417626358691</v>
      </c>
      <c r="Q1028" s="585">
        <f t="shared" si="175"/>
        <v>0.13750581816774399</v>
      </c>
      <c r="R1028" s="585">
        <f t="shared" si="176"/>
        <v>5.5499999999999994E-2</v>
      </c>
      <c r="S1028" s="586">
        <f t="shared" si="177"/>
        <v>8.2005818167743993E-2</v>
      </c>
      <c r="U1028" s="587"/>
      <c r="V1028" s="587"/>
      <c r="W1028" s="587"/>
      <c r="X1028" s="587"/>
      <c r="Y1028" s="587"/>
      <c r="Z1028" s="587"/>
      <c r="AA1028" s="587"/>
      <c r="AB1028" s="587"/>
      <c r="AC1028" s="587"/>
      <c r="AE1028" s="587"/>
      <c r="AF1028" s="587"/>
      <c r="AG1028" s="587"/>
      <c r="AH1028" s="587"/>
      <c r="AI1028" s="587"/>
      <c r="AJ1028" s="587"/>
      <c r="AK1028" s="587"/>
      <c r="AL1028" s="587"/>
      <c r="AM1028" s="587"/>
      <c r="AO1028" s="587"/>
      <c r="AP1028" s="587"/>
      <c r="AQ1028" s="587"/>
      <c r="AR1028" s="587"/>
      <c r="AS1028" s="587"/>
      <c r="AT1028" s="587"/>
      <c r="AU1028" s="587"/>
      <c r="AV1028" s="587"/>
      <c r="AW1028" s="587"/>
    </row>
    <row r="1029" spans="1:49">
      <c r="A1029" s="581">
        <v>40664</v>
      </c>
      <c r="B1029" s="577">
        <v>-1.1299999999999999E-2</v>
      </c>
      <c r="C1029" s="577">
        <v>1.9754000000000001E-2</v>
      </c>
      <c r="D1029" s="577">
        <v>3.5999999999999999E-3</v>
      </c>
      <c r="E1029" s="577">
        <v>4.1333333333333335E-3</v>
      </c>
      <c r="F1029" s="577">
        <v>4.2166666666666663E-3</v>
      </c>
      <c r="G1029" s="577">
        <v>4.1749999999999999E-3</v>
      </c>
      <c r="H1029" s="577">
        <v>4.4333333333333334E-3</v>
      </c>
      <c r="I1029" s="577">
        <f t="shared" si="167"/>
        <v>-1.49E-2</v>
      </c>
      <c r="J1029" s="577">
        <f t="shared" si="171"/>
        <v>-1.5474999999999999E-2</v>
      </c>
      <c r="K1029" s="577">
        <f t="shared" si="172"/>
        <v>1.5320666666666666E-2</v>
      </c>
      <c r="L1029" s="585">
        <f t="shared" si="168"/>
        <v>0.25953586248430383</v>
      </c>
      <c r="M1029" s="585">
        <f t="shared" si="169"/>
        <v>4.3200000000000002E-2</v>
      </c>
      <c r="N1029" s="585">
        <f t="shared" si="173"/>
        <v>5.0099999999999999E-2</v>
      </c>
      <c r="O1029" s="586">
        <f t="shared" si="170"/>
        <v>0.21633586248430381</v>
      </c>
      <c r="P1029" s="585">
        <f t="shared" si="174"/>
        <v>0.20943586248430382</v>
      </c>
      <c r="Q1029" s="585">
        <f t="shared" si="175"/>
        <v>0.23087447803462391</v>
      </c>
      <c r="R1029" s="585">
        <f t="shared" si="176"/>
        <v>5.3199999999999997E-2</v>
      </c>
      <c r="S1029" s="586">
        <f t="shared" si="177"/>
        <v>0.17767447803462391</v>
      </c>
      <c r="U1029" s="587"/>
      <c r="V1029" s="587"/>
      <c r="W1029" s="587"/>
      <c r="X1029" s="587"/>
      <c r="Y1029" s="587"/>
      <c r="Z1029" s="587"/>
      <c r="AA1029" s="587"/>
      <c r="AB1029" s="587"/>
      <c r="AC1029" s="587"/>
      <c r="AE1029" s="587"/>
      <c r="AF1029" s="587"/>
      <c r="AG1029" s="587"/>
      <c r="AH1029" s="587"/>
      <c r="AI1029" s="587"/>
      <c r="AJ1029" s="587"/>
      <c r="AK1029" s="587"/>
      <c r="AL1029" s="587"/>
      <c r="AM1029" s="587"/>
      <c r="AO1029" s="587"/>
      <c r="AP1029" s="587"/>
      <c r="AQ1029" s="587"/>
      <c r="AR1029" s="587"/>
      <c r="AS1029" s="587"/>
      <c r="AT1029" s="587"/>
      <c r="AU1029" s="587"/>
      <c r="AV1029" s="587"/>
      <c r="AW1029" s="587"/>
    </row>
    <row r="1030" spans="1:49">
      <c r="A1030" s="581">
        <v>40695</v>
      </c>
      <c r="B1030" s="577">
        <v>-1.67E-2</v>
      </c>
      <c r="C1030" s="577">
        <v>-1.2830000000000003E-3</v>
      </c>
      <c r="D1030" s="577">
        <v>3.2000000000000002E-3</v>
      </c>
      <c r="E1030" s="577">
        <v>4.1583333333333333E-3</v>
      </c>
      <c r="F1030" s="577">
        <v>4.1999999999999997E-3</v>
      </c>
      <c r="G1030" s="577">
        <v>4.179166666666667E-3</v>
      </c>
      <c r="H1030" s="577">
        <v>4.3833333333333328E-3</v>
      </c>
      <c r="I1030" s="577">
        <f t="shared" ref="I1030:I1093" si="178">B1030-D1030</f>
        <v>-1.9900000000000001E-2</v>
      </c>
      <c r="J1030" s="577">
        <f t="shared" si="171"/>
        <v>-2.0879166666666667E-2</v>
      </c>
      <c r="K1030" s="577">
        <f t="shared" si="172"/>
        <v>-5.6663333333333331E-3</v>
      </c>
      <c r="L1030" s="585">
        <f t="shared" si="168"/>
        <v>0.30684986132828573</v>
      </c>
      <c r="M1030" s="585">
        <f t="shared" si="169"/>
        <v>3.8400000000000004E-2</v>
      </c>
      <c r="N1030" s="585">
        <f t="shared" si="173"/>
        <v>5.015E-2</v>
      </c>
      <c r="O1030" s="586">
        <f t="shared" si="170"/>
        <v>0.26844986132828574</v>
      </c>
      <c r="P1030" s="585">
        <f t="shared" si="174"/>
        <v>0.25669986132828571</v>
      </c>
      <c r="Q1030" s="585">
        <f t="shared" si="175"/>
        <v>0.2371636267454067</v>
      </c>
      <c r="R1030" s="585">
        <f t="shared" si="176"/>
        <v>5.2599999999999994E-2</v>
      </c>
      <c r="S1030" s="586">
        <f t="shared" si="177"/>
        <v>0.18456362674540672</v>
      </c>
      <c r="U1030" s="587"/>
      <c r="V1030" s="587"/>
      <c r="W1030" s="587"/>
      <c r="X1030" s="587"/>
      <c r="Y1030" s="587"/>
      <c r="Z1030" s="587"/>
      <c r="AA1030" s="587"/>
      <c r="AB1030" s="587"/>
      <c r="AC1030" s="587"/>
      <c r="AE1030" s="587"/>
      <c r="AF1030" s="587"/>
      <c r="AG1030" s="587"/>
      <c r="AH1030" s="587"/>
      <c r="AI1030" s="587"/>
      <c r="AJ1030" s="587"/>
      <c r="AK1030" s="587"/>
      <c r="AL1030" s="587"/>
      <c r="AM1030" s="587"/>
      <c r="AO1030" s="587"/>
      <c r="AP1030" s="587"/>
      <c r="AQ1030" s="587"/>
      <c r="AR1030" s="587"/>
      <c r="AS1030" s="587"/>
      <c r="AT1030" s="587"/>
      <c r="AU1030" s="587"/>
      <c r="AV1030" s="587"/>
      <c r="AW1030" s="587"/>
    </row>
    <row r="1031" spans="1:49">
      <c r="A1031" s="581">
        <v>40725</v>
      </c>
      <c r="B1031" s="577">
        <v>-2.0299999999999999E-2</v>
      </c>
      <c r="C1031" s="577">
        <v>-7.5380000000000013E-3</v>
      </c>
      <c r="D1031" s="577">
        <v>3.2000000000000002E-3</v>
      </c>
      <c r="E1031" s="577">
        <v>4.1083333333333336E-3</v>
      </c>
      <c r="F1031" s="577">
        <v>4.1916666666666665E-3</v>
      </c>
      <c r="G1031" s="577">
        <v>4.15E-3</v>
      </c>
      <c r="H1031" s="577">
        <v>4.3916666666666661E-3</v>
      </c>
      <c r="I1031" s="577">
        <f t="shared" si="178"/>
        <v>-2.35E-2</v>
      </c>
      <c r="J1031" s="577">
        <f t="shared" si="171"/>
        <v>-2.445E-2</v>
      </c>
      <c r="K1031" s="577">
        <f t="shared" si="172"/>
        <v>-1.1929666666666668E-2</v>
      </c>
      <c r="L1031" s="585">
        <f t="shared" si="168"/>
        <v>0.19644968614458613</v>
      </c>
      <c r="M1031" s="585">
        <f t="shared" si="169"/>
        <v>3.8400000000000004E-2</v>
      </c>
      <c r="N1031" s="585">
        <f t="shared" si="173"/>
        <v>4.9799999999999997E-2</v>
      </c>
      <c r="O1031" s="586">
        <f t="shared" si="170"/>
        <v>0.15804968614458614</v>
      </c>
      <c r="P1031" s="585">
        <f t="shared" si="174"/>
        <v>0.14664968614458612</v>
      </c>
      <c r="Q1031" s="585">
        <f t="shared" si="175"/>
        <v>0.13961673687527432</v>
      </c>
      <c r="R1031" s="585">
        <f t="shared" si="176"/>
        <v>5.2699999999999997E-2</v>
      </c>
      <c r="S1031" s="586">
        <f t="shared" si="177"/>
        <v>8.691673687527432E-2</v>
      </c>
      <c r="U1031" s="587"/>
      <c r="V1031" s="587"/>
      <c r="W1031" s="587"/>
      <c r="X1031" s="587"/>
      <c r="Y1031" s="587"/>
      <c r="Z1031" s="587"/>
      <c r="AA1031" s="587"/>
      <c r="AB1031" s="587"/>
      <c r="AC1031" s="587"/>
      <c r="AE1031" s="587"/>
      <c r="AF1031" s="587"/>
      <c r="AG1031" s="587"/>
      <c r="AH1031" s="587"/>
      <c r="AI1031" s="587"/>
      <c r="AJ1031" s="587"/>
      <c r="AK1031" s="587"/>
      <c r="AL1031" s="587"/>
      <c r="AM1031" s="587"/>
      <c r="AO1031" s="587"/>
      <c r="AP1031" s="587"/>
      <c r="AQ1031" s="587"/>
      <c r="AR1031" s="587"/>
      <c r="AS1031" s="587"/>
      <c r="AT1031" s="587"/>
      <c r="AU1031" s="587"/>
      <c r="AV1031" s="587"/>
      <c r="AW1031" s="587"/>
    </row>
    <row r="1032" spans="1:49">
      <c r="A1032" s="581">
        <v>40756</v>
      </c>
      <c r="B1032" s="577">
        <v>-5.4300000000000001E-2</v>
      </c>
      <c r="C1032" s="577">
        <v>2.0388E-2</v>
      </c>
      <c r="D1032" s="577">
        <v>3.3999999999999998E-3</v>
      </c>
      <c r="E1032" s="577">
        <v>3.6416666666666667E-3</v>
      </c>
      <c r="F1032" s="577">
        <v>3.725E-3</v>
      </c>
      <c r="G1032" s="577">
        <v>3.6833333333333336E-3</v>
      </c>
      <c r="H1032" s="577">
        <v>3.908333333333334E-3</v>
      </c>
      <c r="I1032" s="577">
        <f t="shared" si="178"/>
        <v>-5.7700000000000001E-2</v>
      </c>
      <c r="J1032" s="577">
        <f t="shared" si="171"/>
        <v>-5.7983333333333331E-2</v>
      </c>
      <c r="K1032" s="577">
        <f t="shared" si="172"/>
        <v>1.6479666666666667E-2</v>
      </c>
      <c r="L1032" s="585">
        <f t="shared" si="168"/>
        <v>0.18492247165874409</v>
      </c>
      <c r="M1032" s="585">
        <f t="shared" si="169"/>
        <v>4.0799999999999996E-2</v>
      </c>
      <c r="N1032" s="585">
        <f t="shared" si="173"/>
        <v>4.4200000000000003E-2</v>
      </c>
      <c r="O1032" s="586">
        <f t="shared" si="170"/>
        <v>0.14412247165874409</v>
      </c>
      <c r="P1032" s="585">
        <f t="shared" si="174"/>
        <v>0.14072247165874407</v>
      </c>
      <c r="Q1032" s="585">
        <f t="shared" si="175"/>
        <v>0.14849959200499274</v>
      </c>
      <c r="R1032" s="585">
        <f t="shared" si="176"/>
        <v>4.6900000000000011E-2</v>
      </c>
      <c r="S1032" s="586">
        <f t="shared" si="177"/>
        <v>0.10159959200499273</v>
      </c>
      <c r="U1032" s="587"/>
      <c r="V1032" s="587"/>
      <c r="W1032" s="587"/>
      <c r="X1032" s="587"/>
      <c r="Y1032" s="587"/>
      <c r="Z1032" s="587"/>
      <c r="AA1032" s="587"/>
      <c r="AB1032" s="587"/>
      <c r="AC1032" s="587"/>
      <c r="AE1032" s="587"/>
      <c r="AF1032" s="587"/>
      <c r="AG1032" s="587"/>
      <c r="AH1032" s="587"/>
      <c r="AI1032" s="587"/>
      <c r="AJ1032" s="587"/>
      <c r="AK1032" s="587"/>
      <c r="AL1032" s="587"/>
      <c r="AM1032" s="587"/>
      <c r="AO1032" s="587"/>
      <c r="AP1032" s="587"/>
      <c r="AQ1032" s="587"/>
      <c r="AR1032" s="587"/>
      <c r="AS1032" s="587"/>
      <c r="AT1032" s="587"/>
      <c r="AU1032" s="587"/>
      <c r="AV1032" s="587"/>
      <c r="AW1032" s="587"/>
    </row>
    <row r="1033" spans="1:49">
      <c r="A1033" s="581">
        <v>40787</v>
      </c>
      <c r="B1033" s="577">
        <v>-7.0300000000000001E-2</v>
      </c>
      <c r="C1033" s="577">
        <v>2.271E-3</v>
      </c>
      <c r="D1033" s="577">
        <v>2.5999999999999999E-3</v>
      </c>
      <c r="E1033" s="577">
        <v>3.4083333333333331E-3</v>
      </c>
      <c r="F1033" s="577">
        <v>3.5250000000000004E-3</v>
      </c>
      <c r="G1033" s="577">
        <v>3.4666666666666669E-3</v>
      </c>
      <c r="H1033" s="577">
        <v>3.7333333333333333E-3</v>
      </c>
      <c r="I1033" s="577">
        <f t="shared" si="178"/>
        <v>-7.2900000000000006E-2</v>
      </c>
      <c r="J1033" s="577">
        <f t="shared" si="171"/>
        <v>-7.3766666666666675E-2</v>
      </c>
      <c r="K1033" s="577">
        <f t="shared" si="172"/>
        <v>-1.4623333333333333E-3</v>
      </c>
      <c r="L1033" s="585">
        <f t="shared" si="168"/>
        <v>1.1405088047314438E-2</v>
      </c>
      <c r="M1033" s="585">
        <f t="shared" si="169"/>
        <v>3.1199999999999999E-2</v>
      </c>
      <c r="N1033" s="585">
        <f t="shared" si="173"/>
        <v>4.1600000000000005E-2</v>
      </c>
      <c r="O1033" s="586">
        <f t="shared" si="170"/>
        <v>-1.9794911952685561E-2</v>
      </c>
      <c r="P1033" s="585">
        <f t="shared" si="174"/>
        <v>-3.0194911952685567E-2</v>
      </c>
      <c r="Q1033" s="585">
        <f t="shared" si="175"/>
        <v>0.11804174982729365</v>
      </c>
      <c r="R1033" s="585">
        <f t="shared" si="176"/>
        <v>4.48E-2</v>
      </c>
      <c r="S1033" s="586">
        <f t="shared" si="177"/>
        <v>7.3241749827293645E-2</v>
      </c>
      <c r="U1033" s="587"/>
      <c r="V1033" s="587"/>
      <c r="W1033" s="587"/>
      <c r="X1033" s="587"/>
      <c r="Y1033" s="587"/>
      <c r="Z1033" s="587"/>
      <c r="AA1033" s="587"/>
      <c r="AB1033" s="587"/>
      <c r="AC1033" s="587"/>
      <c r="AE1033" s="587"/>
      <c r="AF1033" s="587"/>
      <c r="AG1033" s="587"/>
      <c r="AH1033" s="587"/>
      <c r="AI1033" s="587"/>
      <c r="AJ1033" s="587"/>
      <c r="AK1033" s="587"/>
      <c r="AL1033" s="587"/>
      <c r="AM1033" s="587"/>
      <c r="AO1033" s="587"/>
      <c r="AP1033" s="587"/>
      <c r="AQ1033" s="587"/>
      <c r="AR1033" s="587"/>
      <c r="AS1033" s="587"/>
      <c r="AT1033" s="587"/>
      <c r="AU1033" s="587"/>
      <c r="AV1033" s="587"/>
      <c r="AW1033" s="587"/>
    </row>
    <row r="1034" spans="1:49">
      <c r="A1034" s="581">
        <v>40817</v>
      </c>
      <c r="B1034" s="577">
        <v>0.10929999999999999</v>
      </c>
      <c r="C1034" s="577">
        <v>3.8747000000000004E-2</v>
      </c>
      <c r="D1034" s="577">
        <v>2.2000000000000001E-3</v>
      </c>
      <c r="E1034" s="577">
        <v>3.3166666666666665E-3</v>
      </c>
      <c r="F1034" s="577">
        <v>3.4666666666666669E-3</v>
      </c>
      <c r="G1034" s="577">
        <v>3.3916666666666665E-3</v>
      </c>
      <c r="H1034" s="577">
        <v>3.7666666666666664E-3</v>
      </c>
      <c r="I1034" s="577">
        <f t="shared" si="178"/>
        <v>0.1071</v>
      </c>
      <c r="J1034" s="577">
        <f t="shared" si="171"/>
        <v>0.10590833333333333</v>
      </c>
      <c r="K1034" s="577">
        <f t="shared" si="172"/>
        <v>3.4980333333333335E-2</v>
      </c>
      <c r="L1034" s="585">
        <f t="shared" si="168"/>
        <v>8.0878289181970597E-2</v>
      </c>
      <c r="M1034" s="585">
        <f t="shared" si="169"/>
        <v>2.64E-2</v>
      </c>
      <c r="N1034" s="585">
        <f t="shared" si="173"/>
        <v>4.07E-2</v>
      </c>
      <c r="O1034" s="586">
        <f t="shared" si="170"/>
        <v>5.4478289181970597E-2</v>
      </c>
      <c r="P1034" s="585">
        <f t="shared" si="174"/>
        <v>4.0178289181970597E-2</v>
      </c>
      <c r="Q1034" s="585">
        <f t="shared" si="175"/>
        <v>0.1466068302098813</v>
      </c>
      <c r="R1034" s="585">
        <f t="shared" si="176"/>
        <v>4.5199999999999997E-2</v>
      </c>
      <c r="S1034" s="586">
        <f t="shared" si="177"/>
        <v>0.10140683020988131</v>
      </c>
      <c r="U1034" s="587"/>
      <c r="V1034" s="587"/>
      <c r="W1034" s="587"/>
      <c r="X1034" s="587"/>
      <c r="Y1034" s="587"/>
      <c r="Z1034" s="587"/>
      <c r="AA1034" s="587"/>
      <c r="AB1034" s="587"/>
      <c r="AC1034" s="587"/>
      <c r="AE1034" s="587"/>
      <c r="AF1034" s="587"/>
      <c r="AG1034" s="587"/>
      <c r="AH1034" s="587"/>
      <c r="AI1034" s="587"/>
      <c r="AJ1034" s="587"/>
      <c r="AK1034" s="587"/>
      <c r="AL1034" s="587"/>
      <c r="AM1034" s="587"/>
      <c r="AO1034" s="587"/>
      <c r="AP1034" s="587"/>
      <c r="AQ1034" s="587"/>
      <c r="AR1034" s="587"/>
      <c r="AS1034" s="587"/>
      <c r="AT1034" s="587"/>
      <c r="AU1034" s="587"/>
      <c r="AV1034" s="587"/>
      <c r="AW1034" s="587"/>
    </row>
    <row r="1035" spans="1:49">
      <c r="A1035" s="581">
        <v>40848</v>
      </c>
      <c r="B1035" s="577">
        <v>-2.2000000000000001E-3</v>
      </c>
      <c r="C1035" s="577">
        <v>8.0140000000000003E-3</v>
      </c>
      <c r="D1035" s="577">
        <v>2.3999999999999998E-3</v>
      </c>
      <c r="E1035" s="577">
        <v>3.225E-3</v>
      </c>
      <c r="F1035" s="577">
        <v>3.3083333333333337E-3</v>
      </c>
      <c r="G1035" s="577">
        <v>3.2666666666666664E-3</v>
      </c>
      <c r="H1035" s="577">
        <v>3.5416666666666669E-3</v>
      </c>
      <c r="I1035" s="577">
        <f t="shared" si="178"/>
        <v>-4.5999999999999999E-3</v>
      </c>
      <c r="J1035" s="577">
        <f t="shared" si="171"/>
        <v>-5.4666666666666665E-3</v>
      </c>
      <c r="K1035" s="577">
        <f t="shared" si="172"/>
        <v>4.4723333333333334E-3</v>
      </c>
      <c r="L1035" s="585">
        <f t="shared" si="168"/>
        <v>7.8392517694001018E-2</v>
      </c>
      <c r="M1035" s="585">
        <f t="shared" si="169"/>
        <v>2.8799999999999999E-2</v>
      </c>
      <c r="N1035" s="585">
        <f t="shared" si="173"/>
        <v>3.9199999999999999E-2</v>
      </c>
      <c r="O1035" s="586">
        <f t="shared" si="170"/>
        <v>4.9592517694001019E-2</v>
      </c>
      <c r="P1035" s="585">
        <f t="shared" si="174"/>
        <v>3.9192517694001019E-2</v>
      </c>
      <c r="Q1035" s="585">
        <f t="shared" si="175"/>
        <v>0.19440240632688721</v>
      </c>
      <c r="R1035" s="585">
        <f t="shared" si="176"/>
        <v>4.2500000000000003E-2</v>
      </c>
      <c r="S1035" s="586">
        <f t="shared" si="177"/>
        <v>0.1519024063268872</v>
      </c>
      <c r="U1035" s="587"/>
      <c r="V1035" s="587"/>
      <c r="W1035" s="587"/>
      <c r="X1035" s="587"/>
      <c r="Y1035" s="587"/>
      <c r="Z1035" s="587"/>
      <c r="AA1035" s="587"/>
      <c r="AB1035" s="587"/>
      <c r="AC1035" s="587"/>
      <c r="AE1035" s="587"/>
      <c r="AF1035" s="587"/>
      <c r="AG1035" s="587"/>
      <c r="AH1035" s="587"/>
      <c r="AI1035" s="587"/>
      <c r="AJ1035" s="587"/>
      <c r="AK1035" s="587"/>
      <c r="AL1035" s="587"/>
      <c r="AM1035" s="587"/>
      <c r="AO1035" s="587"/>
      <c r="AP1035" s="587"/>
      <c r="AQ1035" s="587"/>
      <c r="AR1035" s="587"/>
      <c r="AS1035" s="587"/>
      <c r="AT1035" s="587"/>
      <c r="AU1035" s="587"/>
      <c r="AV1035" s="587"/>
      <c r="AW1035" s="587"/>
    </row>
    <row r="1036" spans="1:49">
      <c r="A1036" s="581">
        <v>40878</v>
      </c>
      <c r="B1036" s="577">
        <v>1.0200000000000001E-2</v>
      </c>
      <c r="C1036" s="577">
        <v>3.3766999999999998E-2</v>
      </c>
      <c r="D1036" s="577">
        <v>2.2000000000000001E-3</v>
      </c>
      <c r="E1036" s="577">
        <v>3.2750000000000001E-3</v>
      </c>
      <c r="F1036" s="577">
        <v>3.3583333333333338E-3</v>
      </c>
      <c r="G1036" s="577">
        <v>3.3166666666666665E-3</v>
      </c>
      <c r="H1036" s="577">
        <v>3.6083333333333332E-3</v>
      </c>
      <c r="I1036" s="577">
        <f t="shared" si="178"/>
        <v>8.0000000000000002E-3</v>
      </c>
      <c r="J1036" s="577">
        <f t="shared" si="171"/>
        <v>6.8833333333333342E-3</v>
      </c>
      <c r="K1036" s="577">
        <f t="shared" si="172"/>
        <v>3.0158666666666667E-2</v>
      </c>
      <c r="L1036" s="585">
        <f t="shared" si="168"/>
        <v>2.1177466605249329E-2</v>
      </c>
      <c r="M1036" s="585">
        <f t="shared" si="169"/>
        <v>2.64E-2</v>
      </c>
      <c r="N1036" s="585">
        <f t="shared" si="173"/>
        <v>3.9800000000000002E-2</v>
      </c>
      <c r="O1036" s="586">
        <f t="shared" si="170"/>
        <v>-5.2225333947506711E-3</v>
      </c>
      <c r="P1036" s="585">
        <f t="shared" si="174"/>
        <v>-1.8622533394750673E-2</v>
      </c>
      <c r="Q1036" s="585">
        <f t="shared" si="175"/>
        <v>0.19743257038137663</v>
      </c>
      <c r="R1036" s="585">
        <f t="shared" si="176"/>
        <v>4.3299999999999998E-2</v>
      </c>
      <c r="S1036" s="586">
        <f t="shared" si="177"/>
        <v>0.15413257038137662</v>
      </c>
      <c r="U1036" s="587"/>
      <c r="V1036" s="587"/>
      <c r="W1036" s="587"/>
      <c r="X1036" s="587"/>
      <c r="Y1036" s="587"/>
      <c r="Z1036" s="587"/>
      <c r="AA1036" s="587"/>
      <c r="AB1036" s="587"/>
      <c r="AC1036" s="587"/>
      <c r="AE1036" s="587"/>
      <c r="AF1036" s="587"/>
      <c r="AG1036" s="587"/>
      <c r="AH1036" s="587"/>
      <c r="AI1036" s="587"/>
      <c r="AJ1036" s="587"/>
      <c r="AK1036" s="587"/>
      <c r="AL1036" s="587"/>
      <c r="AM1036" s="587"/>
      <c r="AO1036" s="587"/>
      <c r="AP1036" s="587"/>
      <c r="AQ1036" s="587"/>
      <c r="AR1036" s="587"/>
      <c r="AS1036" s="587"/>
      <c r="AT1036" s="587"/>
      <c r="AU1036" s="587"/>
      <c r="AV1036" s="587"/>
      <c r="AW1036" s="587"/>
    </row>
    <row r="1037" spans="1:49">
      <c r="A1037" s="581">
        <v>40909</v>
      </c>
      <c r="B1037" s="577">
        <v>4.48E-2</v>
      </c>
      <c r="C1037" s="577">
        <v>-3.3237000000000003E-2</v>
      </c>
      <c r="D1037" s="577">
        <v>2.0999999999999999E-3</v>
      </c>
      <c r="E1037" s="577">
        <v>3.3416666666666668E-3</v>
      </c>
      <c r="F1037" s="577">
        <v>3.3416666666666668E-3</v>
      </c>
      <c r="G1037" s="577">
        <v>3.3416666666666668E-3</v>
      </c>
      <c r="H1037" s="577">
        <v>3.6166666666666665E-3</v>
      </c>
      <c r="I1037" s="577">
        <f t="shared" si="178"/>
        <v>4.2700000000000002E-2</v>
      </c>
      <c r="J1037" s="577">
        <f t="shared" si="171"/>
        <v>4.1458333333333333E-2</v>
      </c>
      <c r="K1037" s="577">
        <f t="shared" si="172"/>
        <v>-3.6853666666666667E-2</v>
      </c>
      <c r="L1037" s="585">
        <f t="shared" si="168"/>
        <v>4.2225473389825297E-2</v>
      </c>
      <c r="M1037" s="585">
        <f t="shared" si="169"/>
        <v>2.52E-2</v>
      </c>
      <c r="N1037" s="585">
        <f t="shared" si="173"/>
        <v>4.0100000000000004E-2</v>
      </c>
      <c r="O1037" s="586">
        <f t="shared" si="170"/>
        <v>1.7025473389825296E-2</v>
      </c>
      <c r="P1037" s="585">
        <f t="shared" si="174"/>
        <v>2.1254733898252928E-3</v>
      </c>
      <c r="Q1037" s="585">
        <f t="shared" si="175"/>
        <v>0.14137912393564389</v>
      </c>
      <c r="R1037" s="585">
        <f t="shared" si="176"/>
        <v>4.3399999999999994E-2</v>
      </c>
      <c r="S1037" s="586">
        <f t="shared" si="177"/>
        <v>9.7979123935643897E-2</v>
      </c>
      <c r="U1037" s="587"/>
      <c r="V1037" s="587"/>
      <c r="W1037" s="587"/>
      <c r="X1037" s="587"/>
      <c r="Y1037" s="587"/>
      <c r="Z1037" s="587"/>
      <c r="AA1037" s="587"/>
      <c r="AB1037" s="587"/>
      <c r="AC1037" s="587"/>
      <c r="AE1037" s="587"/>
      <c r="AF1037" s="587"/>
      <c r="AG1037" s="587"/>
      <c r="AH1037" s="587"/>
      <c r="AI1037" s="587"/>
      <c r="AJ1037" s="587"/>
      <c r="AK1037" s="587"/>
      <c r="AL1037" s="587"/>
      <c r="AM1037" s="587"/>
      <c r="AO1037" s="587"/>
      <c r="AP1037" s="587"/>
      <c r="AQ1037" s="587"/>
      <c r="AR1037" s="587"/>
      <c r="AS1037" s="587"/>
      <c r="AT1037" s="587"/>
      <c r="AU1037" s="587"/>
      <c r="AV1037" s="587"/>
      <c r="AW1037" s="587"/>
    </row>
    <row r="1038" spans="1:49">
      <c r="A1038" s="581">
        <v>40940</v>
      </c>
      <c r="B1038" s="577">
        <v>4.3200000000000002E-2</v>
      </c>
      <c r="C1038" s="577">
        <v>3.4509999999999996E-3</v>
      </c>
      <c r="D1038" s="577">
        <v>2E-3</v>
      </c>
      <c r="E1038" s="577">
        <v>3.3250000000000003E-3</v>
      </c>
      <c r="F1038" s="577">
        <v>3.3250000000000003E-3</v>
      </c>
      <c r="G1038" s="577">
        <v>3.3250000000000003E-3</v>
      </c>
      <c r="H1038" s="577">
        <v>3.6333333333333335E-3</v>
      </c>
      <c r="I1038" s="577">
        <f t="shared" si="178"/>
        <v>4.1200000000000001E-2</v>
      </c>
      <c r="J1038" s="577">
        <f t="shared" si="171"/>
        <v>3.9875000000000001E-2</v>
      </c>
      <c r="K1038" s="577">
        <f t="shared" si="172"/>
        <v>-1.8233333333333383E-4</v>
      </c>
      <c r="L1038" s="585">
        <f t="shared" si="168"/>
        <v>5.1193670927454082E-2</v>
      </c>
      <c r="M1038" s="585">
        <f t="shared" si="169"/>
        <v>2.4E-2</v>
      </c>
      <c r="N1038" s="585">
        <f t="shared" si="173"/>
        <v>3.9900000000000005E-2</v>
      </c>
      <c r="O1038" s="586">
        <f t="shared" si="170"/>
        <v>2.7193670927454082E-2</v>
      </c>
      <c r="P1038" s="585">
        <f t="shared" si="174"/>
        <v>1.1293670927454078E-2</v>
      </c>
      <c r="Q1038" s="585">
        <f t="shared" si="175"/>
        <v>0.13259333714947141</v>
      </c>
      <c r="R1038" s="585">
        <f t="shared" si="176"/>
        <v>4.36E-2</v>
      </c>
      <c r="S1038" s="586">
        <f t="shared" si="177"/>
        <v>8.8993337149471413E-2</v>
      </c>
      <c r="U1038" s="587"/>
      <c r="V1038" s="587"/>
      <c r="W1038" s="587"/>
      <c r="X1038" s="587"/>
      <c r="Y1038" s="587"/>
      <c r="Z1038" s="587"/>
      <c r="AA1038" s="587"/>
      <c r="AB1038" s="587"/>
      <c r="AC1038" s="587"/>
      <c r="AE1038" s="587"/>
      <c r="AF1038" s="587"/>
      <c r="AG1038" s="587"/>
      <c r="AH1038" s="587"/>
      <c r="AI1038" s="587"/>
      <c r="AJ1038" s="587"/>
      <c r="AK1038" s="587"/>
      <c r="AL1038" s="587"/>
      <c r="AM1038" s="587"/>
      <c r="AO1038" s="587"/>
      <c r="AP1038" s="587"/>
      <c r="AQ1038" s="587"/>
      <c r="AR1038" s="587"/>
      <c r="AS1038" s="587"/>
      <c r="AT1038" s="587"/>
      <c r="AU1038" s="587"/>
      <c r="AV1038" s="587"/>
      <c r="AW1038" s="587"/>
    </row>
    <row r="1039" spans="1:49">
      <c r="A1039" s="581">
        <v>40969</v>
      </c>
      <c r="B1039" s="577">
        <v>3.2899999999999999E-2</v>
      </c>
      <c r="C1039" s="577">
        <v>1.372E-2</v>
      </c>
      <c r="D1039" s="577">
        <v>2.2000000000000001E-3</v>
      </c>
      <c r="E1039" s="577">
        <v>3.3249999999999998E-3</v>
      </c>
      <c r="F1039" s="577">
        <v>3.4499999999999999E-3</v>
      </c>
      <c r="G1039" s="577">
        <v>3.3874999999999999E-3</v>
      </c>
      <c r="H1039" s="577">
        <v>3.7333333333333333E-3</v>
      </c>
      <c r="I1039" s="577">
        <f t="shared" si="178"/>
        <v>3.0699999999999998E-2</v>
      </c>
      <c r="J1039" s="577">
        <f t="shared" si="171"/>
        <v>2.9512499999999997E-2</v>
      </c>
      <c r="K1039" s="577">
        <f t="shared" si="172"/>
        <v>9.9866666666666663E-3</v>
      </c>
      <c r="L1039" s="585">
        <f t="shared" si="168"/>
        <v>8.5343805178895948E-2</v>
      </c>
      <c r="M1039" s="585">
        <f t="shared" si="169"/>
        <v>2.64E-2</v>
      </c>
      <c r="N1039" s="585">
        <f t="shared" si="173"/>
        <v>4.0649999999999999E-2</v>
      </c>
      <c r="O1039" s="586">
        <f t="shared" si="170"/>
        <v>5.8943805178895949E-2</v>
      </c>
      <c r="P1039" s="585">
        <f t="shared" si="174"/>
        <v>4.469380517889595E-2</v>
      </c>
      <c r="Q1039" s="585">
        <f t="shared" si="175"/>
        <v>0.1464426612524754</v>
      </c>
      <c r="R1039" s="585">
        <f t="shared" si="176"/>
        <v>4.48E-2</v>
      </c>
      <c r="S1039" s="586">
        <f t="shared" si="177"/>
        <v>0.1016426612524754</v>
      </c>
      <c r="U1039" s="587"/>
      <c r="V1039" s="587"/>
      <c r="W1039" s="587"/>
      <c r="X1039" s="587"/>
      <c r="Y1039" s="587"/>
      <c r="Z1039" s="587"/>
      <c r="AA1039" s="587"/>
      <c r="AB1039" s="587"/>
      <c r="AC1039" s="587"/>
      <c r="AE1039" s="587"/>
      <c r="AF1039" s="587"/>
      <c r="AG1039" s="587"/>
      <c r="AH1039" s="587"/>
      <c r="AI1039" s="587"/>
      <c r="AJ1039" s="587"/>
      <c r="AK1039" s="587"/>
      <c r="AL1039" s="587"/>
      <c r="AM1039" s="587"/>
      <c r="AO1039" s="587"/>
      <c r="AP1039" s="587"/>
      <c r="AQ1039" s="587"/>
      <c r="AR1039" s="587"/>
      <c r="AS1039" s="587"/>
      <c r="AT1039" s="587"/>
      <c r="AU1039" s="587"/>
      <c r="AV1039" s="587"/>
      <c r="AW1039" s="587"/>
    </row>
    <row r="1040" spans="1:49">
      <c r="A1040" s="581">
        <v>41000</v>
      </c>
      <c r="B1040" s="577">
        <v>-6.3E-3</v>
      </c>
      <c r="C1040" s="577">
        <v>2.1237000000000002E-2</v>
      </c>
      <c r="D1040" s="577">
        <v>2.5000000000000001E-3</v>
      </c>
      <c r="E1040" s="577">
        <v>3.3000000000000004E-3</v>
      </c>
      <c r="F1040" s="577">
        <v>3.4000000000000002E-3</v>
      </c>
      <c r="G1040" s="577">
        <v>3.3500000000000005E-3</v>
      </c>
      <c r="H1040" s="577">
        <v>3.6666666666666666E-3</v>
      </c>
      <c r="I1040" s="577">
        <f t="shared" si="178"/>
        <v>-8.8000000000000005E-3</v>
      </c>
      <c r="J1040" s="577">
        <f t="shared" si="171"/>
        <v>-9.6500000000000006E-3</v>
      </c>
      <c r="K1040" s="577">
        <f t="shared" si="172"/>
        <v>1.7570333333333337E-2</v>
      </c>
      <c r="L1040" s="585">
        <f t="shared" ref="L1040:L1103" si="179">((1+B1029)*(1+B1030)*(1+B1031)*(1+B1032)*(1+B1033)*(1+B1034)*(1+B1035)*(1+B1036)*(1+B1037)*(1+B1038)*(1+B1039)*(1+B1040))-1</f>
        <v>4.750013520422347E-2</v>
      </c>
      <c r="M1040" s="585">
        <f t="shared" ref="M1040:M1103" si="180">D1040*12</f>
        <v>0.03</v>
      </c>
      <c r="N1040" s="585">
        <f t="shared" si="173"/>
        <v>4.0200000000000007E-2</v>
      </c>
      <c r="O1040" s="586">
        <f t="shared" ref="O1040:O1103" si="181">L1040-M1040</f>
        <v>1.7500135204223471E-2</v>
      </c>
      <c r="P1040" s="585">
        <f t="shared" si="174"/>
        <v>7.3001352042234638E-3</v>
      </c>
      <c r="Q1040" s="585">
        <f t="shared" si="175"/>
        <v>0.12373009512581556</v>
      </c>
      <c r="R1040" s="585">
        <f t="shared" si="176"/>
        <v>4.3999999999999997E-2</v>
      </c>
      <c r="S1040" s="586">
        <f t="shared" si="177"/>
        <v>7.9730095125815567E-2</v>
      </c>
      <c r="U1040" s="587"/>
      <c r="V1040" s="587"/>
      <c r="W1040" s="587"/>
      <c r="X1040" s="587"/>
      <c r="Y1040" s="587"/>
      <c r="Z1040" s="587"/>
      <c r="AA1040" s="587"/>
      <c r="AB1040" s="587"/>
      <c r="AC1040" s="587"/>
      <c r="AE1040" s="587"/>
      <c r="AF1040" s="587"/>
      <c r="AG1040" s="587"/>
      <c r="AH1040" s="587"/>
      <c r="AI1040" s="587"/>
      <c r="AJ1040" s="587"/>
      <c r="AK1040" s="587"/>
      <c r="AL1040" s="587"/>
      <c r="AM1040" s="587"/>
      <c r="AO1040" s="587"/>
      <c r="AP1040" s="587"/>
      <c r="AQ1040" s="587"/>
      <c r="AR1040" s="587"/>
      <c r="AS1040" s="587"/>
      <c r="AT1040" s="587"/>
      <c r="AU1040" s="587"/>
      <c r="AV1040" s="587"/>
      <c r="AW1040" s="587"/>
    </row>
    <row r="1041" spans="1:49">
      <c r="A1041" s="581">
        <v>41030</v>
      </c>
      <c r="B1041" s="577">
        <v>-6.0100000000000001E-2</v>
      </c>
      <c r="C1041" s="577">
        <v>2.1609999999999997E-3</v>
      </c>
      <c r="D1041" s="577">
        <v>2.3E-3</v>
      </c>
      <c r="E1041" s="577">
        <v>3.1666666666666666E-3</v>
      </c>
      <c r="F1041" s="577">
        <v>3.2583333333333336E-3</v>
      </c>
      <c r="G1041" s="577">
        <v>3.2125000000000001E-3</v>
      </c>
      <c r="H1041" s="577">
        <v>3.5000000000000001E-3</v>
      </c>
      <c r="I1041" s="577">
        <f t="shared" si="178"/>
        <v>-6.2399999999999997E-2</v>
      </c>
      <c r="J1041" s="577">
        <f t="shared" si="171"/>
        <v>-6.3312499999999994E-2</v>
      </c>
      <c r="K1041" s="577">
        <f t="shared" si="172"/>
        <v>-1.3390000000000003E-3</v>
      </c>
      <c r="L1041" s="585">
        <f t="shared" si="179"/>
        <v>-4.2021067275717083E-3</v>
      </c>
      <c r="M1041" s="585">
        <f t="shared" si="180"/>
        <v>2.76E-2</v>
      </c>
      <c r="N1041" s="585">
        <f t="shared" si="173"/>
        <v>3.8550000000000001E-2</v>
      </c>
      <c r="O1041" s="586">
        <f t="shared" si="181"/>
        <v>-3.1802106727571708E-2</v>
      </c>
      <c r="P1041" s="585">
        <f t="shared" si="174"/>
        <v>-4.2752106727571709E-2</v>
      </c>
      <c r="Q1041" s="585">
        <f t="shared" si="175"/>
        <v>0.10434327873328542</v>
      </c>
      <c r="R1041" s="585">
        <f t="shared" si="176"/>
        <v>4.2000000000000003E-2</v>
      </c>
      <c r="S1041" s="586">
        <f t="shared" si="177"/>
        <v>6.2343278733285414E-2</v>
      </c>
      <c r="U1041" s="587"/>
      <c r="V1041" s="587"/>
      <c r="W1041" s="587"/>
      <c r="X1041" s="587"/>
      <c r="Y1041" s="587"/>
      <c r="Z1041" s="587"/>
      <c r="AA1041" s="587"/>
      <c r="AB1041" s="587"/>
      <c r="AC1041" s="587"/>
      <c r="AE1041" s="587"/>
      <c r="AF1041" s="587"/>
      <c r="AG1041" s="587"/>
      <c r="AH1041" s="587"/>
      <c r="AI1041" s="587"/>
      <c r="AJ1041" s="587"/>
      <c r="AK1041" s="587"/>
      <c r="AL1041" s="587"/>
      <c r="AM1041" s="587"/>
      <c r="AO1041" s="587"/>
      <c r="AP1041" s="587"/>
      <c r="AQ1041" s="587"/>
      <c r="AR1041" s="587"/>
      <c r="AS1041" s="587"/>
      <c r="AT1041" s="587"/>
      <c r="AU1041" s="587"/>
      <c r="AV1041" s="587"/>
      <c r="AW1041" s="587"/>
    </row>
    <row r="1042" spans="1:49">
      <c r="A1042" s="581">
        <v>41061</v>
      </c>
      <c r="B1042" s="577">
        <v>4.1200000000000001E-2</v>
      </c>
      <c r="C1042" s="577">
        <v>4.1003999999999999E-2</v>
      </c>
      <c r="D1042" s="577">
        <v>1.8E-3</v>
      </c>
      <c r="E1042" s="577">
        <v>3.0333333333333336E-3</v>
      </c>
      <c r="F1042" s="577">
        <v>3.15E-3</v>
      </c>
      <c r="G1042" s="577">
        <v>3.091666666666667E-3</v>
      </c>
      <c r="H1042" s="577">
        <v>3.4000000000000002E-3</v>
      </c>
      <c r="I1042" s="577">
        <f t="shared" si="178"/>
        <v>3.9399999999999998E-2</v>
      </c>
      <c r="J1042" s="577">
        <f t="shared" si="171"/>
        <v>3.8108333333333334E-2</v>
      </c>
      <c r="K1042" s="577">
        <f t="shared" si="172"/>
        <v>3.7603999999999999E-2</v>
      </c>
      <c r="L1042" s="585">
        <f t="shared" si="179"/>
        <v>5.4433811120972342E-2</v>
      </c>
      <c r="M1042" s="585">
        <f t="shared" si="180"/>
        <v>2.1600000000000001E-2</v>
      </c>
      <c r="N1042" s="585">
        <f t="shared" si="173"/>
        <v>3.7100000000000008E-2</v>
      </c>
      <c r="O1042" s="586">
        <f t="shared" si="181"/>
        <v>3.2833811120972341E-2</v>
      </c>
      <c r="P1042" s="585">
        <f t="shared" si="174"/>
        <v>1.7333811120972334E-2</v>
      </c>
      <c r="Q1042" s="585">
        <f t="shared" si="175"/>
        <v>0.15110263521544609</v>
      </c>
      <c r="R1042" s="585">
        <f t="shared" si="176"/>
        <v>4.0800000000000003E-2</v>
      </c>
      <c r="S1042" s="586">
        <f t="shared" si="177"/>
        <v>0.11030263521544609</v>
      </c>
      <c r="U1042" s="587"/>
      <c r="V1042" s="587"/>
      <c r="W1042" s="587"/>
      <c r="X1042" s="587"/>
      <c r="Y1042" s="587"/>
      <c r="Z1042" s="587"/>
      <c r="AA1042" s="587"/>
      <c r="AB1042" s="587"/>
      <c r="AC1042" s="587"/>
      <c r="AE1042" s="587"/>
      <c r="AF1042" s="587"/>
      <c r="AG1042" s="587"/>
      <c r="AH1042" s="587"/>
      <c r="AI1042" s="587"/>
      <c r="AJ1042" s="587"/>
      <c r="AK1042" s="587"/>
      <c r="AL1042" s="587"/>
      <c r="AM1042" s="587"/>
      <c r="AO1042" s="587"/>
      <c r="AP1042" s="587"/>
      <c r="AQ1042" s="587"/>
      <c r="AR1042" s="587"/>
      <c r="AS1042" s="587"/>
      <c r="AT1042" s="587"/>
      <c r="AU1042" s="587"/>
      <c r="AV1042" s="587"/>
      <c r="AW1042" s="587"/>
    </row>
    <row r="1043" spans="1:49">
      <c r="A1043" s="581">
        <v>41091</v>
      </c>
      <c r="B1043" s="577">
        <v>1.3899999999999999E-2</v>
      </c>
      <c r="C1043" s="577">
        <v>2.8439000000000002E-2</v>
      </c>
      <c r="D1043" s="577">
        <v>2E-3</v>
      </c>
      <c r="E1043" s="577">
        <v>2.8333333333333335E-3</v>
      </c>
      <c r="F1043" s="577">
        <v>2.9499999999999999E-3</v>
      </c>
      <c r="G1043" s="577">
        <v>2.8916666666666665E-3</v>
      </c>
      <c r="H1043" s="577">
        <v>3.2750000000000001E-3</v>
      </c>
      <c r="I1043" s="577">
        <f t="shared" si="178"/>
        <v>1.1899999999999999E-2</v>
      </c>
      <c r="J1043" s="577">
        <f t="shared" si="171"/>
        <v>1.1008333333333332E-2</v>
      </c>
      <c r="K1043" s="577">
        <f t="shared" si="172"/>
        <v>2.5164000000000002E-2</v>
      </c>
      <c r="L1043" s="585">
        <f t="shared" si="179"/>
        <v>9.124266724053709E-2</v>
      </c>
      <c r="M1043" s="585">
        <f t="shared" si="180"/>
        <v>2.4E-2</v>
      </c>
      <c r="N1043" s="585">
        <f t="shared" si="173"/>
        <v>3.4699999999999995E-2</v>
      </c>
      <c r="O1043" s="586">
        <f t="shared" si="181"/>
        <v>6.7242667240537096E-2</v>
      </c>
      <c r="P1043" s="585">
        <f t="shared" si="174"/>
        <v>5.6542667240537095E-2</v>
      </c>
      <c r="Q1043" s="585">
        <f t="shared" si="175"/>
        <v>0.19283039860300799</v>
      </c>
      <c r="R1043" s="585">
        <f t="shared" si="176"/>
        <v>3.9300000000000002E-2</v>
      </c>
      <c r="S1043" s="586">
        <f t="shared" si="177"/>
        <v>0.15353039860300799</v>
      </c>
      <c r="U1043" s="587"/>
      <c r="V1043" s="587"/>
      <c r="W1043" s="587"/>
      <c r="X1043" s="587"/>
      <c r="Y1043" s="587"/>
      <c r="Z1043" s="587"/>
      <c r="AA1043" s="587"/>
      <c r="AB1043" s="587"/>
      <c r="AC1043" s="587"/>
      <c r="AE1043" s="587"/>
      <c r="AF1043" s="587"/>
      <c r="AG1043" s="587"/>
      <c r="AH1043" s="587"/>
      <c r="AI1043" s="587"/>
      <c r="AJ1043" s="587"/>
      <c r="AK1043" s="587"/>
      <c r="AL1043" s="587"/>
      <c r="AM1043" s="587"/>
      <c r="AO1043" s="587"/>
      <c r="AP1043" s="587"/>
      <c r="AQ1043" s="587"/>
      <c r="AR1043" s="587"/>
      <c r="AS1043" s="587"/>
      <c r="AT1043" s="587"/>
      <c r="AU1043" s="587"/>
      <c r="AV1043" s="587"/>
      <c r="AW1043" s="587"/>
    </row>
    <row r="1044" spans="1:49">
      <c r="A1044" s="581">
        <v>41122</v>
      </c>
      <c r="B1044" s="577">
        <v>2.2499999999999999E-2</v>
      </c>
      <c r="C1044" s="577">
        <v>-4.4720999999999997E-2</v>
      </c>
      <c r="D1044" s="577">
        <v>1.8E-3</v>
      </c>
      <c r="E1044" s="577">
        <v>2.8999999999999998E-3</v>
      </c>
      <c r="F1044" s="577">
        <v>3.0083333333333333E-3</v>
      </c>
      <c r="G1044" s="577">
        <v>2.9541666666666666E-3</v>
      </c>
      <c r="H1044" s="577">
        <v>3.3333333333333335E-3</v>
      </c>
      <c r="I1044" s="577">
        <f t="shared" si="178"/>
        <v>2.07E-2</v>
      </c>
      <c r="J1044" s="577">
        <f t="shared" si="171"/>
        <v>1.9545833333333332E-2</v>
      </c>
      <c r="K1044" s="577">
        <f t="shared" si="172"/>
        <v>-4.8054333333333331E-2</v>
      </c>
      <c r="L1044" s="585">
        <f t="shared" si="179"/>
        <v>0.17986214153901736</v>
      </c>
      <c r="M1044" s="585">
        <f t="shared" si="180"/>
        <v>2.1600000000000001E-2</v>
      </c>
      <c r="N1044" s="585">
        <f t="shared" si="173"/>
        <v>3.5449999999999995E-2</v>
      </c>
      <c r="O1044" s="586">
        <f t="shared" si="181"/>
        <v>0.15826214153901735</v>
      </c>
      <c r="P1044" s="585">
        <f t="shared" si="174"/>
        <v>0.14441214153901738</v>
      </c>
      <c r="Q1044" s="585">
        <f t="shared" si="175"/>
        <v>0.11671818009138035</v>
      </c>
      <c r="R1044" s="585">
        <f t="shared" si="176"/>
        <v>0.04</v>
      </c>
      <c r="S1044" s="586">
        <f t="shared" si="177"/>
        <v>7.6718180091380345E-2</v>
      </c>
      <c r="U1044" s="587"/>
      <c r="V1044" s="587"/>
      <c r="W1044" s="587"/>
      <c r="X1044" s="587"/>
      <c r="Y1044" s="587"/>
      <c r="Z1044" s="587"/>
      <c r="AA1044" s="587"/>
      <c r="AB1044" s="587"/>
      <c r="AC1044" s="587"/>
      <c r="AE1044" s="587"/>
      <c r="AF1044" s="587"/>
      <c r="AG1044" s="587"/>
      <c r="AH1044" s="587"/>
      <c r="AI1044" s="587"/>
      <c r="AJ1044" s="587"/>
      <c r="AK1044" s="587"/>
      <c r="AL1044" s="587"/>
      <c r="AM1044" s="587"/>
      <c r="AO1044" s="587"/>
      <c r="AP1044" s="587"/>
      <c r="AQ1044" s="587"/>
      <c r="AR1044" s="587"/>
      <c r="AS1044" s="587"/>
      <c r="AT1044" s="587"/>
      <c r="AU1044" s="587"/>
      <c r="AV1044" s="587"/>
      <c r="AW1044" s="587"/>
    </row>
    <row r="1045" spans="1:49">
      <c r="A1045" s="581">
        <v>41153</v>
      </c>
      <c r="B1045" s="577">
        <v>2.58E-2</v>
      </c>
      <c r="C1045" s="577">
        <v>1.2281E-2</v>
      </c>
      <c r="D1045" s="577">
        <v>1.6999999999999999E-3</v>
      </c>
      <c r="E1045" s="577">
        <v>2.9083333333333335E-3</v>
      </c>
      <c r="F1045" s="577">
        <v>3.0666666666666668E-3</v>
      </c>
      <c r="G1045" s="577">
        <v>2.9875000000000001E-3</v>
      </c>
      <c r="H1045" s="577">
        <v>3.3500000000000001E-3</v>
      </c>
      <c r="I1045" s="577">
        <f t="shared" si="178"/>
        <v>2.41E-2</v>
      </c>
      <c r="J1045" s="577">
        <f t="shared" si="171"/>
        <v>2.2812499999999999E-2</v>
      </c>
      <c r="K1045" s="577">
        <f t="shared" si="172"/>
        <v>8.9309999999999997E-3</v>
      </c>
      <c r="L1045" s="585">
        <f t="shared" si="179"/>
        <v>0.30182057092688419</v>
      </c>
      <c r="M1045" s="585">
        <f t="shared" si="180"/>
        <v>2.0399999999999998E-2</v>
      </c>
      <c r="N1045" s="585">
        <f t="shared" si="173"/>
        <v>3.585E-2</v>
      </c>
      <c r="O1045" s="586">
        <f t="shared" si="181"/>
        <v>0.28142057092688422</v>
      </c>
      <c r="P1045" s="585">
        <f t="shared" si="174"/>
        <v>0.2659705709268842</v>
      </c>
      <c r="Q1045" s="585">
        <f t="shared" si="175"/>
        <v>0.12787120056459966</v>
      </c>
      <c r="R1045" s="585">
        <f t="shared" si="176"/>
        <v>4.02E-2</v>
      </c>
      <c r="S1045" s="586">
        <f t="shared" si="177"/>
        <v>8.7671200564599663E-2</v>
      </c>
      <c r="U1045" s="587"/>
      <c r="V1045" s="587"/>
      <c r="W1045" s="587"/>
      <c r="X1045" s="587"/>
      <c r="Y1045" s="587"/>
      <c r="Z1045" s="587"/>
      <c r="AA1045" s="587"/>
      <c r="AB1045" s="587"/>
      <c r="AC1045" s="587"/>
      <c r="AE1045" s="587"/>
      <c r="AF1045" s="587"/>
      <c r="AG1045" s="587"/>
      <c r="AH1045" s="587"/>
      <c r="AI1045" s="587"/>
      <c r="AJ1045" s="587"/>
      <c r="AK1045" s="587"/>
      <c r="AL1045" s="587"/>
      <c r="AM1045" s="587"/>
      <c r="AO1045" s="587"/>
      <c r="AP1045" s="587"/>
      <c r="AQ1045" s="587"/>
      <c r="AR1045" s="587"/>
      <c r="AS1045" s="587"/>
      <c r="AT1045" s="587"/>
      <c r="AU1045" s="587"/>
      <c r="AV1045" s="587"/>
      <c r="AW1045" s="587"/>
    </row>
    <row r="1046" spans="1:49">
      <c r="A1046" s="581">
        <v>41183</v>
      </c>
      <c r="B1046" s="577">
        <v>-1.8499999999999999E-2</v>
      </c>
      <c r="C1046" s="577">
        <v>1.7240000000000002E-2</v>
      </c>
      <c r="D1046" s="577">
        <v>2.0999999999999999E-3</v>
      </c>
      <c r="E1046" s="577">
        <v>2.891666666666667E-3</v>
      </c>
      <c r="F1046" s="577">
        <v>3.0249999999999999E-3</v>
      </c>
      <c r="G1046" s="577">
        <v>2.9583333333333336E-3</v>
      </c>
      <c r="H1046" s="577">
        <v>3.2583333333333336E-3</v>
      </c>
      <c r="I1046" s="577">
        <f t="shared" si="178"/>
        <v>-2.06E-2</v>
      </c>
      <c r="J1046" s="577">
        <f t="shared" si="171"/>
        <v>-2.1458333333333333E-2</v>
      </c>
      <c r="K1046" s="577">
        <f t="shared" si="172"/>
        <v>1.3981666666666668E-2</v>
      </c>
      <c r="L1046" s="585">
        <f t="shared" si="179"/>
        <v>0.15184070167198871</v>
      </c>
      <c r="M1046" s="585">
        <f t="shared" si="180"/>
        <v>2.52E-2</v>
      </c>
      <c r="N1046" s="585">
        <f t="shared" si="173"/>
        <v>3.5500000000000004E-2</v>
      </c>
      <c r="O1046" s="586">
        <f t="shared" si="181"/>
        <v>0.12664070167198871</v>
      </c>
      <c r="P1046" s="585">
        <f t="shared" si="174"/>
        <v>0.11634070167198871</v>
      </c>
      <c r="Q1046" s="585">
        <f t="shared" si="175"/>
        <v>0.10451890601112068</v>
      </c>
      <c r="R1046" s="585">
        <f t="shared" si="176"/>
        <v>3.9100000000000003E-2</v>
      </c>
      <c r="S1046" s="586">
        <f t="shared" si="177"/>
        <v>6.5418906011120687E-2</v>
      </c>
      <c r="U1046" s="587"/>
      <c r="V1046" s="587"/>
      <c r="W1046" s="587"/>
      <c r="X1046" s="587"/>
      <c r="Y1046" s="587"/>
      <c r="Z1046" s="587"/>
      <c r="AA1046" s="587"/>
      <c r="AB1046" s="587"/>
      <c r="AC1046" s="587"/>
      <c r="AE1046" s="587"/>
      <c r="AF1046" s="587"/>
      <c r="AG1046" s="587"/>
      <c r="AH1046" s="587"/>
      <c r="AI1046" s="587"/>
      <c r="AJ1046" s="587"/>
      <c r="AK1046" s="587"/>
      <c r="AL1046" s="587"/>
      <c r="AM1046" s="587"/>
      <c r="AO1046" s="587"/>
      <c r="AP1046" s="587"/>
      <c r="AQ1046" s="587"/>
      <c r="AR1046" s="587"/>
      <c r="AS1046" s="587"/>
      <c r="AT1046" s="587"/>
      <c r="AU1046" s="587"/>
      <c r="AV1046" s="587"/>
      <c r="AW1046" s="587"/>
    </row>
    <row r="1047" spans="1:49">
      <c r="A1047" s="581">
        <v>41214</v>
      </c>
      <c r="B1047" s="577">
        <v>5.7999999999999996E-3</v>
      </c>
      <c r="C1047" s="577">
        <v>-4.6427999999999997E-2</v>
      </c>
      <c r="D1047" s="577">
        <v>1.9E-3</v>
      </c>
      <c r="E1047" s="577">
        <v>2.9166666666666668E-3</v>
      </c>
      <c r="F1047" s="577">
        <v>2.9750000000000002E-3</v>
      </c>
      <c r="G1047" s="577">
        <v>2.9458333333333333E-3</v>
      </c>
      <c r="H1047" s="577">
        <v>3.1999999999999997E-3</v>
      </c>
      <c r="I1047" s="577">
        <f t="shared" si="178"/>
        <v>3.8999999999999998E-3</v>
      </c>
      <c r="J1047" s="577">
        <f t="shared" si="171"/>
        <v>2.8541666666666663E-3</v>
      </c>
      <c r="K1047" s="577">
        <f t="shared" si="172"/>
        <v>-4.9627999999999999E-2</v>
      </c>
      <c r="L1047" s="585">
        <f t="shared" si="179"/>
        <v>0.16107574437932048</v>
      </c>
      <c r="M1047" s="585">
        <f t="shared" si="180"/>
        <v>2.2800000000000001E-2</v>
      </c>
      <c r="N1047" s="585">
        <f t="shared" si="173"/>
        <v>3.5349999999999999E-2</v>
      </c>
      <c r="O1047" s="586">
        <f t="shared" si="181"/>
        <v>0.1382757443793205</v>
      </c>
      <c r="P1047" s="585">
        <f t="shared" si="174"/>
        <v>0.12572574437932049</v>
      </c>
      <c r="Q1047" s="585">
        <f t="shared" si="175"/>
        <v>4.4864756087550584E-2</v>
      </c>
      <c r="R1047" s="585">
        <f t="shared" si="176"/>
        <v>3.8399999999999997E-2</v>
      </c>
      <c r="S1047" s="586">
        <f t="shared" si="177"/>
        <v>6.4647560875505869E-3</v>
      </c>
      <c r="U1047" s="587"/>
      <c r="V1047" s="587"/>
      <c r="W1047" s="587"/>
      <c r="X1047" s="587"/>
      <c r="Y1047" s="587"/>
      <c r="Z1047" s="587"/>
      <c r="AA1047" s="587"/>
      <c r="AB1047" s="587"/>
      <c r="AC1047" s="587"/>
      <c r="AE1047" s="587"/>
      <c r="AF1047" s="587"/>
      <c r="AG1047" s="587"/>
      <c r="AH1047" s="587"/>
      <c r="AI1047" s="587"/>
      <c r="AJ1047" s="587"/>
      <c r="AK1047" s="587"/>
      <c r="AL1047" s="587"/>
      <c r="AM1047" s="587"/>
      <c r="AO1047" s="587"/>
      <c r="AP1047" s="587"/>
      <c r="AQ1047" s="587"/>
      <c r="AR1047" s="587"/>
      <c r="AS1047" s="587"/>
      <c r="AT1047" s="587"/>
      <c r="AU1047" s="587"/>
      <c r="AV1047" s="587"/>
      <c r="AW1047" s="587"/>
    </row>
    <row r="1048" spans="1:49">
      <c r="A1048" s="581">
        <v>41244</v>
      </c>
      <c r="B1048" s="577">
        <v>9.1000000000000004E-3</v>
      </c>
      <c r="C1048" s="577">
        <v>1.108E-3</v>
      </c>
      <c r="D1048" s="577">
        <v>1.9E-3</v>
      </c>
      <c r="E1048" s="577">
        <v>3.0416666666666665E-3</v>
      </c>
      <c r="F1048" s="577">
        <v>3.0833333333333333E-3</v>
      </c>
      <c r="G1048" s="577">
        <v>3.0625000000000001E-3</v>
      </c>
      <c r="H1048" s="577">
        <v>3.3333333333333335E-3</v>
      </c>
      <c r="I1048" s="577">
        <f t="shared" si="178"/>
        <v>7.2000000000000007E-3</v>
      </c>
      <c r="J1048" s="577">
        <f t="shared" si="171"/>
        <v>6.0375000000000003E-3</v>
      </c>
      <c r="K1048" s="577">
        <f t="shared" si="172"/>
        <v>-2.2253333333333335E-3</v>
      </c>
      <c r="L1048" s="585">
        <f t="shared" si="179"/>
        <v>0.15981145679387554</v>
      </c>
      <c r="M1048" s="585">
        <f t="shared" si="180"/>
        <v>2.2800000000000001E-2</v>
      </c>
      <c r="N1048" s="585">
        <f t="shared" si="173"/>
        <v>3.6750000000000005E-2</v>
      </c>
      <c r="O1048" s="586">
        <f t="shared" si="181"/>
        <v>0.13701145679387555</v>
      </c>
      <c r="P1048" s="585">
        <f t="shared" si="174"/>
        <v>0.12306145679387553</v>
      </c>
      <c r="Q1048" s="585">
        <f t="shared" si="175"/>
        <v>1.1855153276604913E-2</v>
      </c>
      <c r="R1048" s="585">
        <f t="shared" si="176"/>
        <v>0.04</v>
      </c>
      <c r="S1048" s="586">
        <f t="shared" si="177"/>
        <v>-2.8144846723395088E-2</v>
      </c>
      <c r="U1048" s="587"/>
      <c r="V1048" s="587"/>
      <c r="W1048" s="587"/>
      <c r="X1048" s="587"/>
      <c r="Y1048" s="587"/>
      <c r="Z1048" s="587"/>
      <c r="AA1048" s="587"/>
      <c r="AB1048" s="587"/>
      <c r="AC1048" s="587"/>
      <c r="AE1048" s="587"/>
      <c r="AF1048" s="587"/>
      <c r="AG1048" s="587"/>
      <c r="AH1048" s="587"/>
      <c r="AI1048" s="587"/>
      <c r="AJ1048" s="587"/>
      <c r="AK1048" s="587"/>
      <c r="AL1048" s="587"/>
      <c r="AM1048" s="587"/>
      <c r="AO1048" s="587"/>
      <c r="AP1048" s="587"/>
      <c r="AQ1048" s="587"/>
      <c r="AR1048" s="587"/>
      <c r="AS1048" s="587"/>
      <c r="AT1048" s="587"/>
      <c r="AU1048" s="587"/>
      <c r="AV1048" s="587"/>
      <c r="AW1048" s="587"/>
    </row>
    <row r="1049" spans="1:49">
      <c r="A1049" s="581">
        <v>41275</v>
      </c>
      <c r="B1049" s="577">
        <v>5.1799999999999999E-2</v>
      </c>
      <c r="C1049" s="577">
        <v>3.5099999999999999E-2</v>
      </c>
      <c r="D1049" s="577">
        <v>2.2000000000000001E-3</v>
      </c>
      <c r="E1049" s="577">
        <v>3.1666666666666666E-3</v>
      </c>
      <c r="F1049" s="577">
        <v>3.225E-3</v>
      </c>
      <c r="G1049" s="577">
        <v>3.1958333333333335E-3</v>
      </c>
      <c r="H1049" s="577">
        <v>3.4583333333333337E-3</v>
      </c>
      <c r="I1049" s="577">
        <f t="shared" si="178"/>
        <v>4.9599999999999998E-2</v>
      </c>
      <c r="J1049" s="577">
        <f t="shared" si="171"/>
        <v>4.8604166666666664E-2</v>
      </c>
      <c r="K1049" s="577">
        <f t="shared" si="172"/>
        <v>3.1641666666666665E-2</v>
      </c>
      <c r="L1049" s="585">
        <f t="shared" si="179"/>
        <v>0.1675820159416137</v>
      </c>
      <c r="M1049" s="585">
        <f t="shared" si="180"/>
        <v>2.64E-2</v>
      </c>
      <c r="N1049" s="585">
        <f t="shared" si="173"/>
        <v>3.8350000000000002E-2</v>
      </c>
      <c r="O1049" s="586">
        <f t="shared" si="181"/>
        <v>0.1411820159416137</v>
      </c>
      <c r="P1049" s="585">
        <f t="shared" si="174"/>
        <v>0.12923201594161371</v>
      </c>
      <c r="Q1049" s="585">
        <f t="shared" si="175"/>
        <v>8.3379555440799002E-2</v>
      </c>
      <c r="R1049" s="585">
        <f t="shared" si="176"/>
        <v>4.1500000000000002E-2</v>
      </c>
      <c r="S1049" s="586">
        <f t="shared" si="177"/>
        <v>4.1879555440799E-2</v>
      </c>
      <c r="U1049" s="587"/>
      <c r="V1049" s="587"/>
      <c r="W1049" s="587"/>
      <c r="X1049" s="587"/>
      <c r="Y1049" s="587"/>
      <c r="Z1049" s="587"/>
      <c r="AA1049" s="587"/>
      <c r="AB1049" s="587"/>
      <c r="AC1049" s="587"/>
      <c r="AE1049" s="587"/>
      <c r="AF1049" s="587"/>
      <c r="AG1049" s="587"/>
      <c r="AH1049" s="587"/>
      <c r="AI1049" s="587"/>
      <c r="AJ1049" s="587"/>
      <c r="AK1049" s="587"/>
      <c r="AL1049" s="587"/>
      <c r="AM1049" s="587"/>
      <c r="AO1049" s="587"/>
      <c r="AP1049" s="587"/>
      <c r="AQ1049" s="587"/>
      <c r="AR1049" s="587"/>
      <c r="AS1049" s="587"/>
      <c r="AT1049" s="587"/>
      <c r="AU1049" s="587"/>
      <c r="AV1049" s="587"/>
      <c r="AW1049" s="587"/>
    </row>
    <row r="1050" spans="1:49">
      <c r="A1050" s="581">
        <v>41306</v>
      </c>
      <c r="B1050" s="577">
        <v>1.3599999999999999E-2</v>
      </c>
      <c r="C1050" s="577">
        <v>3.39E-2</v>
      </c>
      <c r="D1050" s="577">
        <v>2.2000000000000001E-3</v>
      </c>
      <c r="E1050" s="577">
        <v>3.2499999999999999E-3</v>
      </c>
      <c r="F1050" s="577">
        <v>3.2916666666666667E-3</v>
      </c>
      <c r="G1050" s="577">
        <v>3.2708333333333331E-3</v>
      </c>
      <c r="H1050" s="577">
        <v>3.4833333333333331E-3</v>
      </c>
      <c r="I1050" s="577">
        <f t="shared" si="178"/>
        <v>1.1399999999999999E-2</v>
      </c>
      <c r="J1050" s="577">
        <f t="shared" si="171"/>
        <v>1.0329166666666667E-2</v>
      </c>
      <c r="K1050" s="577">
        <f t="shared" si="172"/>
        <v>3.0416666666666668E-2</v>
      </c>
      <c r="L1050" s="585">
        <f t="shared" si="179"/>
        <v>0.13445277162425207</v>
      </c>
      <c r="M1050" s="585">
        <f t="shared" si="180"/>
        <v>2.64E-2</v>
      </c>
      <c r="N1050" s="585">
        <f t="shared" si="173"/>
        <v>3.9249999999999993E-2</v>
      </c>
      <c r="O1050" s="586">
        <f t="shared" si="181"/>
        <v>0.10805277162425206</v>
      </c>
      <c r="P1050" s="585">
        <f t="shared" si="174"/>
        <v>9.5202771624252072E-2</v>
      </c>
      <c r="Q1050" s="585">
        <f t="shared" si="175"/>
        <v>0.11625393005761309</v>
      </c>
      <c r="R1050" s="585">
        <f t="shared" si="176"/>
        <v>4.1799999999999997E-2</v>
      </c>
      <c r="S1050" s="586">
        <f t="shared" si="177"/>
        <v>7.4453930057613082E-2</v>
      </c>
      <c r="U1050" s="587"/>
      <c r="V1050" s="587"/>
      <c r="W1050" s="587"/>
      <c r="X1050" s="587"/>
      <c r="Y1050" s="587"/>
      <c r="Z1050" s="587"/>
      <c r="AA1050" s="587"/>
      <c r="AB1050" s="587"/>
      <c r="AC1050" s="587"/>
      <c r="AE1050" s="587"/>
      <c r="AF1050" s="587"/>
      <c r="AG1050" s="587"/>
      <c r="AH1050" s="587"/>
      <c r="AI1050" s="587"/>
      <c r="AJ1050" s="587"/>
      <c r="AK1050" s="587"/>
      <c r="AL1050" s="587"/>
      <c r="AM1050" s="587"/>
      <c r="AO1050" s="587"/>
      <c r="AP1050" s="587"/>
      <c r="AQ1050" s="587"/>
      <c r="AR1050" s="587"/>
      <c r="AS1050" s="587"/>
      <c r="AT1050" s="587"/>
      <c r="AU1050" s="587"/>
      <c r="AV1050" s="587"/>
      <c r="AW1050" s="587"/>
    </row>
    <row r="1051" spans="1:49">
      <c r="A1051" s="581">
        <v>41334</v>
      </c>
      <c r="B1051" s="577">
        <v>3.7499999999999999E-2</v>
      </c>
      <c r="C1051" s="577">
        <v>5.3999999999999999E-2</v>
      </c>
      <c r="D1051" s="577">
        <v>2.0999999999999999E-3</v>
      </c>
      <c r="E1051" s="577">
        <v>3.1666666666666666E-3</v>
      </c>
      <c r="F1051" s="577">
        <v>3.225E-3</v>
      </c>
      <c r="G1051" s="577">
        <v>3.1958333333333335E-3</v>
      </c>
      <c r="H1051" s="577">
        <v>3.4583333333333337E-3</v>
      </c>
      <c r="I1051" s="577">
        <f t="shared" si="178"/>
        <v>3.5400000000000001E-2</v>
      </c>
      <c r="J1051" s="577">
        <f t="shared" si="171"/>
        <v>3.4304166666666663E-2</v>
      </c>
      <c r="K1051" s="577">
        <f t="shared" si="172"/>
        <v>5.0541666666666665E-2</v>
      </c>
      <c r="L1051" s="585">
        <f t="shared" si="179"/>
        <v>0.1395050349115714</v>
      </c>
      <c r="M1051" s="585">
        <f t="shared" si="180"/>
        <v>2.52E-2</v>
      </c>
      <c r="N1051" s="585">
        <f t="shared" si="173"/>
        <v>3.8350000000000002E-2</v>
      </c>
      <c r="O1051" s="586">
        <f t="shared" si="181"/>
        <v>0.1143050349115714</v>
      </c>
      <c r="P1051" s="585">
        <f t="shared" si="174"/>
        <v>0.10115503491157141</v>
      </c>
      <c r="Q1051" s="585">
        <f t="shared" si="175"/>
        <v>0.1606080991602461</v>
      </c>
      <c r="R1051" s="585">
        <f t="shared" si="176"/>
        <v>4.1500000000000002E-2</v>
      </c>
      <c r="S1051" s="586">
        <f t="shared" si="177"/>
        <v>0.11910809916024609</v>
      </c>
      <c r="U1051" s="587"/>
      <c r="V1051" s="587"/>
      <c r="W1051" s="587"/>
      <c r="X1051" s="587"/>
      <c r="Y1051" s="587"/>
      <c r="Z1051" s="587"/>
      <c r="AA1051" s="587"/>
      <c r="AB1051" s="587"/>
      <c r="AC1051" s="587"/>
      <c r="AE1051" s="587"/>
      <c r="AF1051" s="587"/>
      <c r="AG1051" s="587"/>
      <c r="AH1051" s="587"/>
      <c r="AI1051" s="587"/>
      <c r="AJ1051" s="587"/>
      <c r="AK1051" s="587"/>
      <c r="AL1051" s="587"/>
      <c r="AM1051" s="587"/>
      <c r="AO1051" s="587"/>
      <c r="AP1051" s="587"/>
      <c r="AQ1051" s="587"/>
      <c r="AR1051" s="587"/>
      <c r="AS1051" s="587"/>
      <c r="AT1051" s="587"/>
      <c r="AU1051" s="587"/>
      <c r="AV1051" s="587"/>
      <c r="AW1051" s="587"/>
    </row>
    <row r="1052" spans="1:49">
      <c r="A1052" s="581">
        <v>41365</v>
      </c>
      <c r="B1052" s="577">
        <v>1.9300000000000001E-2</v>
      </c>
      <c r="C1052" s="577">
        <v>5.8999999999999997E-2</v>
      </c>
      <c r="D1052" s="577">
        <v>2.5999999999999999E-3</v>
      </c>
      <c r="E1052" s="577">
        <v>3.1083333333333332E-3</v>
      </c>
      <c r="F1052" s="577">
        <v>3.1416666666666663E-3</v>
      </c>
      <c r="G1052" s="577">
        <v>3.1249999999999997E-3</v>
      </c>
      <c r="H1052" s="577">
        <v>3.3333333333333335E-3</v>
      </c>
      <c r="I1052" s="577">
        <f t="shared" si="178"/>
        <v>1.67E-2</v>
      </c>
      <c r="J1052" s="577">
        <f t="shared" si="171"/>
        <v>1.6175000000000002E-2</v>
      </c>
      <c r="K1052" s="577">
        <f t="shared" si="172"/>
        <v>5.5666666666666663E-2</v>
      </c>
      <c r="L1052" s="585">
        <f t="shared" si="179"/>
        <v>0.16886130832782986</v>
      </c>
      <c r="M1052" s="585">
        <f t="shared" si="180"/>
        <v>3.1199999999999999E-2</v>
      </c>
      <c r="N1052" s="585">
        <f t="shared" si="173"/>
        <v>3.7499999999999999E-2</v>
      </c>
      <c r="O1052" s="586">
        <f t="shared" si="181"/>
        <v>0.13766130832782986</v>
      </c>
      <c r="P1052" s="585">
        <f t="shared" si="174"/>
        <v>0.13136130832782986</v>
      </c>
      <c r="Q1052" s="585">
        <f t="shared" si="175"/>
        <v>0.20352472247940545</v>
      </c>
      <c r="R1052" s="585">
        <f t="shared" si="176"/>
        <v>0.04</v>
      </c>
      <c r="S1052" s="586">
        <f t="shared" si="177"/>
        <v>0.16352472247940544</v>
      </c>
      <c r="U1052" s="587"/>
      <c r="V1052" s="587"/>
      <c r="W1052" s="587"/>
      <c r="X1052" s="587"/>
      <c r="Y1052" s="587"/>
      <c r="Z1052" s="587"/>
      <c r="AA1052" s="587"/>
      <c r="AB1052" s="587"/>
      <c r="AC1052" s="587"/>
      <c r="AE1052" s="587"/>
      <c r="AF1052" s="587"/>
      <c r="AG1052" s="587"/>
      <c r="AH1052" s="587"/>
      <c r="AI1052" s="587"/>
      <c r="AJ1052" s="587"/>
      <c r="AK1052" s="587"/>
      <c r="AL1052" s="587"/>
      <c r="AM1052" s="587"/>
      <c r="AO1052" s="587"/>
      <c r="AP1052" s="587"/>
      <c r="AQ1052" s="587"/>
      <c r="AR1052" s="587"/>
      <c r="AS1052" s="587"/>
      <c r="AT1052" s="587"/>
      <c r="AU1052" s="587"/>
      <c r="AV1052" s="587"/>
      <c r="AW1052" s="587"/>
    </row>
    <row r="1053" spans="1:49">
      <c r="A1053" s="581">
        <v>41395</v>
      </c>
      <c r="B1053" s="577">
        <v>2.3400000000000001E-2</v>
      </c>
      <c r="C1053" s="577">
        <v>-8.9599999999999999E-2</v>
      </c>
      <c r="D1053" s="577">
        <v>2.3E-3</v>
      </c>
      <c r="E1053" s="577">
        <v>3.2416666666666666E-3</v>
      </c>
      <c r="F1053" s="577">
        <v>3.283333333333333E-3</v>
      </c>
      <c r="G1053" s="577">
        <v>3.2624999999999998E-3</v>
      </c>
      <c r="H1053" s="577">
        <v>3.4750000000000002E-3</v>
      </c>
      <c r="I1053" s="577">
        <f t="shared" si="178"/>
        <v>2.1100000000000001E-2</v>
      </c>
      <c r="J1053" s="577">
        <f t="shared" ref="J1053:K1120" si="182">B1053-G1053</f>
        <v>2.0137500000000003E-2</v>
      </c>
      <c r="K1053" s="577">
        <f t="shared" ref="K1053:K1077" si="183">$C1053-H1053</f>
        <v>-9.3075000000000005E-2</v>
      </c>
      <c r="L1053" s="585">
        <f t="shared" si="179"/>
        <v>0.27270205654080359</v>
      </c>
      <c r="M1053" s="585">
        <f t="shared" si="180"/>
        <v>2.76E-2</v>
      </c>
      <c r="N1053" s="585">
        <f t="shared" si="173"/>
        <v>3.9149999999999997E-2</v>
      </c>
      <c r="O1053" s="586">
        <f t="shared" si="181"/>
        <v>0.24510205654080358</v>
      </c>
      <c r="P1053" s="585">
        <f t="shared" si="174"/>
        <v>0.2335520565408036</v>
      </c>
      <c r="Q1053" s="585">
        <f t="shared" si="175"/>
        <v>9.3326229363595914E-2</v>
      </c>
      <c r="R1053" s="585">
        <f t="shared" si="176"/>
        <v>4.1700000000000001E-2</v>
      </c>
      <c r="S1053" s="586">
        <f t="shared" si="177"/>
        <v>5.1626229363595913E-2</v>
      </c>
      <c r="U1053" s="587"/>
      <c r="V1053" s="587"/>
      <c r="W1053" s="587"/>
      <c r="X1053" s="587"/>
      <c r="Y1053" s="587"/>
      <c r="Z1053" s="587"/>
      <c r="AA1053" s="587"/>
      <c r="AB1053" s="587"/>
      <c r="AC1053" s="587"/>
      <c r="AE1053" s="587"/>
      <c r="AF1053" s="587"/>
      <c r="AG1053" s="587"/>
      <c r="AH1053" s="587"/>
      <c r="AI1053" s="587"/>
      <c r="AJ1053" s="587"/>
      <c r="AK1053" s="587"/>
      <c r="AL1053" s="587"/>
      <c r="AM1053" s="587"/>
      <c r="AO1053" s="587"/>
      <c r="AP1053" s="587"/>
      <c r="AQ1053" s="587"/>
      <c r="AR1053" s="587"/>
      <c r="AS1053" s="587"/>
      <c r="AT1053" s="587"/>
      <c r="AU1053" s="587"/>
      <c r="AV1053" s="587"/>
      <c r="AW1053" s="587"/>
    </row>
    <row r="1054" spans="1:49">
      <c r="A1054" s="581">
        <v>41426</v>
      </c>
      <c r="B1054" s="577">
        <v>-1.34E-2</v>
      </c>
      <c r="C1054" s="577">
        <v>1.14E-2</v>
      </c>
      <c r="D1054" s="577">
        <v>2.3999999999999998E-3</v>
      </c>
      <c r="E1054" s="577">
        <v>3.5583333333333335E-3</v>
      </c>
      <c r="F1054" s="577">
        <v>3.6000000000000003E-3</v>
      </c>
      <c r="G1054" s="577">
        <v>3.5791666666666671E-3</v>
      </c>
      <c r="H1054" s="577">
        <v>3.7750000000000001E-3</v>
      </c>
      <c r="I1054" s="577">
        <f t="shared" si="178"/>
        <v>-1.5800000000000002E-2</v>
      </c>
      <c r="J1054" s="577">
        <f t="shared" si="182"/>
        <v>-1.6979166666666667E-2</v>
      </c>
      <c r="K1054" s="577">
        <f t="shared" si="183"/>
        <v>7.6249999999999998E-3</v>
      </c>
      <c r="L1054" s="585">
        <f t="shared" si="179"/>
        <v>0.20596220609215976</v>
      </c>
      <c r="M1054" s="585">
        <f t="shared" si="180"/>
        <v>2.8799999999999999E-2</v>
      </c>
      <c r="N1054" s="585">
        <f t="shared" si="173"/>
        <v>4.2950000000000002E-2</v>
      </c>
      <c r="O1054" s="586">
        <f t="shared" si="181"/>
        <v>0.17716220609215977</v>
      </c>
      <c r="P1054" s="585">
        <f t="shared" si="174"/>
        <v>0.16301220609215977</v>
      </c>
      <c r="Q1054" s="585">
        <f t="shared" si="175"/>
        <v>6.223429341130382E-2</v>
      </c>
      <c r="R1054" s="585">
        <f t="shared" si="176"/>
        <v>4.53E-2</v>
      </c>
      <c r="S1054" s="586">
        <f t="shared" si="177"/>
        <v>1.693429341130382E-2</v>
      </c>
      <c r="U1054" s="587"/>
      <c r="V1054" s="587"/>
      <c r="W1054" s="587"/>
      <c r="X1054" s="587"/>
      <c r="Y1054" s="587"/>
      <c r="Z1054" s="587"/>
      <c r="AA1054" s="587"/>
      <c r="AB1054" s="587"/>
      <c r="AC1054" s="587"/>
      <c r="AE1054" s="587"/>
      <c r="AF1054" s="587"/>
      <c r="AG1054" s="587"/>
      <c r="AH1054" s="587"/>
      <c r="AI1054" s="587"/>
      <c r="AJ1054" s="587"/>
      <c r="AK1054" s="587"/>
      <c r="AL1054" s="587"/>
      <c r="AM1054" s="587"/>
      <c r="AO1054" s="587"/>
      <c r="AP1054" s="587"/>
      <c r="AQ1054" s="587"/>
      <c r="AR1054" s="587"/>
      <c r="AS1054" s="587"/>
      <c r="AT1054" s="587"/>
      <c r="AU1054" s="587"/>
      <c r="AV1054" s="587"/>
      <c r="AW1054" s="587"/>
    </row>
    <row r="1055" spans="1:49">
      <c r="A1055" s="581">
        <v>41456</v>
      </c>
      <c r="B1055" s="577">
        <v>5.0900000000000001E-2</v>
      </c>
      <c r="C1055" s="577">
        <v>3.85E-2</v>
      </c>
      <c r="D1055" s="577">
        <v>3.0000000000000001E-3</v>
      </c>
      <c r="E1055" s="577">
        <v>3.6166666666666669E-3</v>
      </c>
      <c r="F1055" s="577">
        <v>3.7166666666666667E-3</v>
      </c>
      <c r="G1055" s="577">
        <v>3.666666666666667E-3</v>
      </c>
      <c r="H1055" s="577">
        <v>3.9000000000000003E-3</v>
      </c>
      <c r="I1055" s="577">
        <f t="shared" si="178"/>
        <v>4.7899999999999998E-2</v>
      </c>
      <c r="J1055" s="577">
        <f t="shared" si="182"/>
        <v>4.7233333333333336E-2</v>
      </c>
      <c r="K1055" s="577">
        <f t="shared" si="183"/>
        <v>3.4599999999999999E-2</v>
      </c>
      <c r="L1055" s="585">
        <f t="shared" si="179"/>
        <v>0.24997108431033732</v>
      </c>
      <c r="M1055" s="585">
        <f t="shared" si="180"/>
        <v>3.6000000000000004E-2</v>
      </c>
      <c r="N1055" s="585">
        <f t="shared" si="173"/>
        <v>4.4000000000000004E-2</v>
      </c>
      <c r="O1055" s="586">
        <f t="shared" si="181"/>
        <v>0.21397108431033732</v>
      </c>
      <c r="P1055" s="585">
        <f t="shared" si="174"/>
        <v>0.20597108431033731</v>
      </c>
      <c r="Q1055" s="585">
        <f t="shared" si="175"/>
        <v>7.2625905578881156E-2</v>
      </c>
      <c r="R1055" s="585">
        <f t="shared" si="176"/>
        <v>4.6800000000000001E-2</v>
      </c>
      <c r="S1055" s="586">
        <f t="shared" si="177"/>
        <v>2.5825905578881155E-2</v>
      </c>
      <c r="U1055" s="587"/>
      <c r="V1055" s="587"/>
      <c r="W1055" s="587"/>
      <c r="X1055" s="587"/>
      <c r="Y1055" s="587"/>
      <c r="Z1055" s="587"/>
      <c r="AA1055" s="587"/>
      <c r="AB1055" s="587"/>
      <c r="AC1055" s="587"/>
      <c r="AE1055" s="587"/>
      <c r="AF1055" s="587"/>
      <c r="AG1055" s="587"/>
      <c r="AH1055" s="587"/>
      <c r="AI1055" s="587"/>
      <c r="AJ1055" s="587"/>
      <c r="AK1055" s="587"/>
      <c r="AL1055" s="587"/>
      <c r="AM1055" s="587"/>
      <c r="AO1055" s="587"/>
      <c r="AP1055" s="587"/>
      <c r="AQ1055" s="587"/>
      <c r="AR1055" s="587"/>
      <c r="AS1055" s="587"/>
      <c r="AT1055" s="587"/>
      <c r="AU1055" s="587"/>
      <c r="AV1055" s="587"/>
      <c r="AW1055" s="587"/>
    </row>
    <row r="1056" spans="1:49">
      <c r="A1056" s="581">
        <v>41487</v>
      </c>
      <c r="B1056" s="577">
        <v>-2.9000000000000001E-2</v>
      </c>
      <c r="C1056" s="577">
        <v>-0.05</v>
      </c>
      <c r="D1056" s="577">
        <v>2.8E-3</v>
      </c>
      <c r="E1056" s="577">
        <v>3.7833333333333334E-3</v>
      </c>
      <c r="F1056" s="577">
        <v>3.8583333333333334E-3</v>
      </c>
      <c r="G1056" s="577">
        <v>3.8208333333333332E-3</v>
      </c>
      <c r="H1056" s="577">
        <v>3.9416666666666671E-3</v>
      </c>
      <c r="I1056" s="577">
        <f t="shared" si="178"/>
        <v>-3.1800000000000002E-2</v>
      </c>
      <c r="J1056" s="577">
        <f t="shared" si="182"/>
        <v>-3.2820833333333334E-2</v>
      </c>
      <c r="K1056" s="577">
        <f t="shared" si="183"/>
        <v>-5.3941666666666672E-2</v>
      </c>
      <c r="L1056" s="585">
        <f t="shared" si="179"/>
        <v>0.18701410549177222</v>
      </c>
      <c r="M1056" s="585">
        <f t="shared" si="180"/>
        <v>3.3599999999999998E-2</v>
      </c>
      <c r="N1056" s="585">
        <f t="shared" si="173"/>
        <v>4.5850000000000002E-2</v>
      </c>
      <c r="O1056" s="586">
        <f t="shared" si="181"/>
        <v>0.15341410549177223</v>
      </c>
      <c r="P1056" s="585">
        <f t="shared" si="174"/>
        <v>0.14116410549177222</v>
      </c>
      <c r="Q1056" s="585">
        <f t="shared" si="175"/>
        <v>6.6698430824855048E-2</v>
      </c>
      <c r="R1056" s="585">
        <f t="shared" si="176"/>
        <v>4.7300000000000009E-2</v>
      </c>
      <c r="S1056" s="586">
        <f t="shared" si="177"/>
        <v>1.939843082485504E-2</v>
      </c>
      <c r="U1056" s="587"/>
      <c r="V1056" s="587"/>
      <c r="W1056" s="587"/>
      <c r="X1056" s="587"/>
      <c r="Y1056" s="587"/>
      <c r="Z1056" s="587"/>
      <c r="AA1056" s="587"/>
      <c r="AB1056" s="587"/>
      <c r="AC1056" s="587"/>
      <c r="AE1056" s="587"/>
      <c r="AF1056" s="587"/>
      <c r="AG1056" s="587"/>
      <c r="AH1056" s="587"/>
      <c r="AI1056" s="587"/>
      <c r="AJ1056" s="587"/>
      <c r="AK1056" s="587"/>
      <c r="AL1056" s="587"/>
      <c r="AM1056" s="587"/>
      <c r="AO1056" s="587"/>
      <c r="AP1056" s="587"/>
      <c r="AQ1056" s="587"/>
      <c r="AR1056" s="587"/>
      <c r="AS1056" s="587"/>
      <c r="AT1056" s="587"/>
      <c r="AU1056" s="587"/>
      <c r="AV1056" s="587"/>
      <c r="AW1056" s="587"/>
    </row>
    <row r="1057" spans="1:49">
      <c r="A1057" s="581">
        <v>41518</v>
      </c>
      <c r="B1057" s="577">
        <v>3.1399999999999997E-2</v>
      </c>
      <c r="C1057" s="577">
        <v>1.0800000000000001E-2</v>
      </c>
      <c r="D1057" s="577">
        <v>2.8999999999999998E-3</v>
      </c>
      <c r="E1057" s="577">
        <v>3.8666666666666663E-3</v>
      </c>
      <c r="F1057" s="577">
        <v>3.9083333333333331E-3</v>
      </c>
      <c r="G1057" s="577">
        <v>3.8874999999999995E-3</v>
      </c>
      <c r="H1057" s="577">
        <v>4.0000000000000001E-3</v>
      </c>
      <c r="I1057" s="577">
        <f t="shared" si="178"/>
        <v>2.8499999999999998E-2</v>
      </c>
      <c r="J1057" s="577">
        <f t="shared" si="182"/>
        <v>2.7512499999999999E-2</v>
      </c>
      <c r="K1057" s="577">
        <f t="shared" si="183"/>
        <v>6.8000000000000005E-3</v>
      </c>
      <c r="L1057" s="585">
        <f t="shared" si="179"/>
        <v>0.19349419809340396</v>
      </c>
      <c r="M1057" s="585">
        <f t="shared" si="180"/>
        <v>3.4799999999999998E-2</v>
      </c>
      <c r="N1057" s="585">
        <f t="shared" si="173"/>
        <v>4.6649999999999997E-2</v>
      </c>
      <c r="O1057" s="586">
        <f t="shared" si="181"/>
        <v>0.15869419809340396</v>
      </c>
      <c r="P1057" s="585">
        <f t="shared" si="174"/>
        <v>0.14684419809340396</v>
      </c>
      <c r="Q1057" s="585">
        <f t="shared" si="175"/>
        <v>6.5137816355106626E-2</v>
      </c>
      <c r="R1057" s="585">
        <f t="shared" si="176"/>
        <v>4.8000000000000001E-2</v>
      </c>
      <c r="S1057" s="586">
        <f t="shared" si="177"/>
        <v>1.7137816355106625E-2</v>
      </c>
      <c r="U1057" s="587"/>
      <c r="V1057" s="587"/>
      <c r="W1057" s="587"/>
      <c r="X1057" s="587"/>
      <c r="Y1057" s="587"/>
      <c r="Z1057" s="587"/>
      <c r="AA1057" s="587"/>
      <c r="AB1057" s="587"/>
      <c r="AC1057" s="587"/>
      <c r="AE1057" s="587"/>
      <c r="AF1057" s="587"/>
      <c r="AG1057" s="587"/>
      <c r="AH1057" s="587"/>
      <c r="AI1057" s="587"/>
      <c r="AJ1057" s="587"/>
      <c r="AK1057" s="587"/>
      <c r="AL1057" s="587"/>
      <c r="AM1057" s="587"/>
      <c r="AO1057" s="587"/>
      <c r="AP1057" s="587"/>
      <c r="AQ1057" s="587"/>
      <c r="AR1057" s="587"/>
      <c r="AS1057" s="587"/>
      <c r="AT1057" s="587"/>
      <c r="AU1057" s="587"/>
      <c r="AV1057" s="587"/>
      <c r="AW1057" s="587"/>
    </row>
    <row r="1058" spans="1:49">
      <c r="A1058" s="581">
        <v>41548</v>
      </c>
      <c r="B1058" s="577">
        <v>4.5999999999999999E-2</v>
      </c>
      <c r="C1058" s="577">
        <v>3.7699999999999997E-2</v>
      </c>
      <c r="D1058" s="577">
        <v>2.8999999999999998E-3</v>
      </c>
      <c r="E1058" s="577">
        <v>3.7750000000000001E-3</v>
      </c>
      <c r="F1058" s="577">
        <v>3.8250000000000003E-3</v>
      </c>
      <c r="G1058" s="577">
        <v>3.8000000000000004E-3</v>
      </c>
      <c r="H1058" s="577">
        <v>3.9166666666666664E-3</v>
      </c>
      <c r="I1058" s="577">
        <f t="shared" si="178"/>
        <v>4.3099999999999999E-2</v>
      </c>
      <c r="J1058" s="577">
        <f t="shared" si="182"/>
        <v>4.2200000000000001E-2</v>
      </c>
      <c r="K1058" s="577">
        <f t="shared" si="183"/>
        <v>3.3783333333333332E-2</v>
      </c>
      <c r="L1058" s="585">
        <f t="shared" si="179"/>
        <v>0.27192555395384743</v>
      </c>
      <c r="M1058" s="585">
        <f t="shared" si="180"/>
        <v>3.4799999999999998E-2</v>
      </c>
      <c r="N1058" s="585">
        <f t="shared" si="173"/>
        <v>4.5600000000000002E-2</v>
      </c>
      <c r="O1058" s="586">
        <f t="shared" si="181"/>
        <v>0.23712555395384743</v>
      </c>
      <c r="P1058" s="585">
        <f t="shared" si="174"/>
        <v>0.22632555395384743</v>
      </c>
      <c r="Q1058" s="585">
        <f t="shared" si="175"/>
        <v>8.6561196995492251E-2</v>
      </c>
      <c r="R1058" s="585">
        <f t="shared" si="176"/>
        <v>4.7E-2</v>
      </c>
      <c r="S1058" s="586">
        <f t="shared" si="177"/>
        <v>3.9561196995492251E-2</v>
      </c>
      <c r="U1058" s="587"/>
      <c r="V1058" s="587"/>
      <c r="W1058" s="587"/>
      <c r="X1058" s="587"/>
      <c r="Y1058" s="587"/>
      <c r="Z1058" s="587"/>
      <c r="AA1058" s="587"/>
      <c r="AB1058" s="587"/>
      <c r="AC1058" s="587"/>
      <c r="AE1058" s="587"/>
      <c r="AF1058" s="587"/>
      <c r="AG1058" s="587"/>
      <c r="AH1058" s="587"/>
      <c r="AI1058" s="587"/>
      <c r="AJ1058" s="587"/>
      <c r="AK1058" s="587"/>
      <c r="AL1058" s="587"/>
      <c r="AM1058" s="587"/>
      <c r="AO1058" s="587"/>
      <c r="AP1058" s="587"/>
      <c r="AQ1058" s="587"/>
      <c r="AR1058" s="587"/>
      <c r="AS1058" s="587"/>
      <c r="AT1058" s="587"/>
      <c r="AU1058" s="587"/>
      <c r="AV1058" s="587"/>
      <c r="AW1058" s="587"/>
    </row>
    <row r="1059" spans="1:49">
      <c r="A1059" s="581">
        <v>41579</v>
      </c>
      <c r="B1059" s="577">
        <v>3.0499999999999999E-2</v>
      </c>
      <c r="C1059" s="577">
        <v>-1.9900000000000001E-2</v>
      </c>
      <c r="D1059" s="577">
        <v>2.7000000000000001E-3</v>
      </c>
      <c r="E1059" s="577">
        <v>3.8583333333333334E-3</v>
      </c>
      <c r="F1059" s="577">
        <v>3.8916666666666665E-3</v>
      </c>
      <c r="G1059" s="577">
        <v>3.875E-3</v>
      </c>
      <c r="H1059" s="577">
        <v>3.9750000000000002E-3</v>
      </c>
      <c r="I1059" s="577">
        <f t="shared" si="178"/>
        <v>2.7799999999999998E-2</v>
      </c>
      <c r="J1059" s="577">
        <f t="shared" si="182"/>
        <v>2.6624999999999999E-2</v>
      </c>
      <c r="K1059" s="577">
        <f t="shared" si="183"/>
        <v>-2.3875E-2</v>
      </c>
      <c r="L1059" s="585">
        <f t="shared" si="179"/>
        <v>0.3031609498403649</v>
      </c>
      <c r="M1059" s="585">
        <f t="shared" si="180"/>
        <v>3.2399999999999998E-2</v>
      </c>
      <c r="N1059" s="585">
        <f t="shared" si="173"/>
        <v>4.65E-2</v>
      </c>
      <c r="O1059" s="586">
        <f t="shared" si="181"/>
        <v>0.27076094984036492</v>
      </c>
      <c r="P1059" s="585">
        <f t="shared" si="174"/>
        <v>0.25666094984036492</v>
      </c>
      <c r="Q1059" s="585">
        <f t="shared" si="175"/>
        <v>0.11678890443016532</v>
      </c>
      <c r="R1059" s="585">
        <f t="shared" si="176"/>
        <v>4.7700000000000006E-2</v>
      </c>
      <c r="S1059" s="586">
        <f t="shared" si="177"/>
        <v>6.9088904430165313E-2</v>
      </c>
      <c r="U1059" s="587"/>
      <c r="V1059" s="587"/>
      <c r="W1059" s="587"/>
      <c r="X1059" s="587"/>
      <c r="Y1059" s="587"/>
      <c r="Z1059" s="587"/>
      <c r="AA1059" s="587"/>
      <c r="AB1059" s="587"/>
      <c r="AC1059" s="587"/>
      <c r="AE1059" s="587"/>
      <c r="AF1059" s="587"/>
      <c r="AG1059" s="587"/>
      <c r="AH1059" s="587"/>
      <c r="AI1059" s="587"/>
      <c r="AJ1059" s="587"/>
      <c r="AK1059" s="587"/>
      <c r="AL1059" s="587"/>
      <c r="AM1059" s="587"/>
      <c r="AO1059" s="587"/>
      <c r="AP1059" s="587"/>
      <c r="AQ1059" s="587"/>
      <c r="AR1059" s="587"/>
      <c r="AS1059" s="587"/>
      <c r="AT1059" s="587"/>
      <c r="AU1059" s="587"/>
      <c r="AV1059" s="587"/>
      <c r="AW1059" s="587"/>
    </row>
    <row r="1060" spans="1:49">
      <c r="A1060" s="581">
        <v>41609</v>
      </c>
      <c r="B1060" s="577">
        <v>2.53E-2</v>
      </c>
      <c r="C1060" s="577">
        <v>7.6E-3</v>
      </c>
      <c r="D1060" s="577">
        <v>3.0999999999999999E-3</v>
      </c>
      <c r="E1060" s="577">
        <v>3.8499999999999997E-3</v>
      </c>
      <c r="F1060" s="577">
        <v>3.9000000000000003E-3</v>
      </c>
      <c r="G1060" s="577">
        <v>3.875E-3</v>
      </c>
      <c r="H1060" s="577">
        <v>4.0083333333333334E-3</v>
      </c>
      <c r="I1060" s="577">
        <f t="shared" si="178"/>
        <v>2.2200000000000001E-2</v>
      </c>
      <c r="J1060" s="577">
        <f t="shared" si="182"/>
        <v>2.1425E-2</v>
      </c>
      <c r="K1060" s="577">
        <f t="shared" si="183"/>
        <v>3.5916666666666666E-3</v>
      </c>
      <c r="L1060" s="585">
        <f t="shared" si="179"/>
        <v>0.3240817776943079</v>
      </c>
      <c r="M1060" s="585">
        <f t="shared" si="180"/>
        <v>3.7199999999999997E-2</v>
      </c>
      <c r="N1060" s="585">
        <f t="shared" si="173"/>
        <v>4.65E-2</v>
      </c>
      <c r="O1060" s="586">
        <f t="shared" si="181"/>
        <v>0.28688177769430789</v>
      </c>
      <c r="P1060" s="585">
        <f t="shared" si="174"/>
        <v>0.27758177769430792</v>
      </c>
      <c r="Q1060" s="585">
        <f t="shared" si="175"/>
        <v>0.12403107367420341</v>
      </c>
      <c r="R1060" s="585">
        <f t="shared" si="176"/>
        <v>4.8100000000000004E-2</v>
      </c>
      <c r="S1060" s="586">
        <f t="shared" si="177"/>
        <v>7.5931073674203403E-2</v>
      </c>
      <c r="U1060" s="587"/>
      <c r="V1060" s="587"/>
      <c r="W1060" s="587"/>
      <c r="X1060" s="587"/>
      <c r="Y1060" s="587"/>
      <c r="Z1060" s="587"/>
      <c r="AA1060" s="587"/>
      <c r="AB1060" s="587"/>
      <c r="AC1060" s="587"/>
      <c r="AE1060" s="587"/>
      <c r="AF1060" s="587"/>
      <c r="AG1060" s="587"/>
      <c r="AH1060" s="587"/>
      <c r="AI1060" s="587"/>
      <c r="AJ1060" s="587"/>
      <c r="AK1060" s="587"/>
      <c r="AL1060" s="587"/>
      <c r="AM1060" s="587"/>
      <c r="AO1060" s="587"/>
      <c r="AP1060" s="587"/>
      <c r="AQ1060" s="587"/>
      <c r="AR1060" s="587"/>
      <c r="AS1060" s="587"/>
      <c r="AT1060" s="587"/>
      <c r="AU1060" s="587"/>
      <c r="AV1060" s="587"/>
      <c r="AW1060" s="587"/>
    </row>
    <row r="1061" spans="1:49">
      <c r="A1061" s="581">
        <v>41640</v>
      </c>
      <c r="B1061" s="577">
        <v>-3.4599999999999999E-2</v>
      </c>
      <c r="C1061" s="577">
        <v>2.81E-2</v>
      </c>
      <c r="D1061" s="577">
        <v>3.2000000000000002E-3</v>
      </c>
      <c r="E1061" s="577">
        <v>3.741666666666667E-3</v>
      </c>
      <c r="F1061" s="577">
        <v>3.7750000000000001E-3</v>
      </c>
      <c r="G1061" s="577">
        <v>3.7583333333333336E-3</v>
      </c>
      <c r="H1061" s="577">
        <v>3.8583333333333334E-3</v>
      </c>
      <c r="I1061" s="577">
        <f t="shared" si="178"/>
        <v>-3.78E-2</v>
      </c>
      <c r="J1061" s="577">
        <f t="shared" si="182"/>
        <v>-3.8358333333333335E-2</v>
      </c>
      <c r="K1061" s="577">
        <f t="shared" si="183"/>
        <v>2.4241666666666668E-2</v>
      </c>
      <c r="L1061" s="585">
        <f t="shared" si="179"/>
        <v>0.2153152198004229</v>
      </c>
      <c r="M1061" s="585">
        <f t="shared" si="180"/>
        <v>3.8400000000000004E-2</v>
      </c>
      <c r="N1061" s="585">
        <f t="shared" si="173"/>
        <v>4.5100000000000001E-2</v>
      </c>
      <c r="O1061" s="586">
        <f t="shared" si="181"/>
        <v>0.17691521980042291</v>
      </c>
      <c r="P1061" s="585">
        <f t="shared" si="174"/>
        <v>0.1702152198004229</v>
      </c>
      <c r="Q1061" s="585">
        <f t="shared" si="175"/>
        <v>0.11642966558250278</v>
      </c>
      <c r="R1061" s="585">
        <f t="shared" si="176"/>
        <v>4.6300000000000001E-2</v>
      </c>
      <c r="S1061" s="586">
        <f t="shared" si="177"/>
        <v>7.0129665582502776E-2</v>
      </c>
      <c r="U1061" s="587"/>
      <c r="V1061" s="587"/>
      <c r="W1061" s="587"/>
      <c r="X1061" s="587"/>
      <c r="Y1061" s="587"/>
      <c r="Z1061" s="587"/>
      <c r="AA1061" s="587"/>
      <c r="AB1061" s="587"/>
      <c r="AC1061" s="587"/>
      <c r="AE1061" s="587"/>
      <c r="AF1061" s="587"/>
      <c r="AG1061" s="587"/>
      <c r="AH1061" s="587"/>
      <c r="AI1061" s="587"/>
      <c r="AJ1061" s="587"/>
      <c r="AK1061" s="587"/>
      <c r="AL1061" s="587"/>
      <c r="AM1061" s="587"/>
      <c r="AO1061" s="587"/>
      <c r="AP1061" s="587"/>
      <c r="AQ1061" s="587"/>
      <c r="AR1061" s="587"/>
      <c r="AS1061" s="587"/>
      <c r="AT1061" s="587"/>
      <c r="AU1061" s="587"/>
      <c r="AV1061" s="587"/>
      <c r="AW1061" s="587"/>
    </row>
    <row r="1062" spans="1:49">
      <c r="A1062" s="581">
        <v>41671</v>
      </c>
      <c r="B1062" s="577">
        <v>4.5699999999999998E-2</v>
      </c>
      <c r="C1062" s="577">
        <v>3.3500000000000002E-2</v>
      </c>
      <c r="D1062" s="577">
        <v>2.5999999999999999E-3</v>
      </c>
      <c r="E1062" s="577">
        <v>3.708333333333333E-3</v>
      </c>
      <c r="F1062" s="577">
        <v>3.7166666666666667E-3</v>
      </c>
      <c r="G1062" s="577">
        <v>3.7124999999999997E-3</v>
      </c>
      <c r="H1062" s="577">
        <v>3.7750000000000001E-3</v>
      </c>
      <c r="I1062" s="577">
        <f t="shared" si="178"/>
        <v>4.3099999999999999E-2</v>
      </c>
      <c r="J1062" s="577">
        <f t="shared" si="182"/>
        <v>4.1987499999999997E-2</v>
      </c>
      <c r="K1062" s="577">
        <f t="shared" si="183"/>
        <v>2.9725000000000001E-2</v>
      </c>
      <c r="L1062" s="585">
        <f t="shared" si="179"/>
        <v>0.2538033991173072</v>
      </c>
      <c r="M1062" s="585">
        <f t="shared" si="180"/>
        <v>3.1199999999999999E-2</v>
      </c>
      <c r="N1062" s="585">
        <f t="shared" si="173"/>
        <v>4.4549999999999992E-2</v>
      </c>
      <c r="O1062" s="586">
        <f t="shared" si="181"/>
        <v>0.2226033991173072</v>
      </c>
      <c r="P1062" s="585">
        <f t="shared" si="174"/>
        <v>0.20925339911730723</v>
      </c>
      <c r="Q1062" s="585">
        <f t="shared" si="175"/>
        <v>0.1159977361248834</v>
      </c>
      <c r="R1062" s="585">
        <f t="shared" si="176"/>
        <v>4.53E-2</v>
      </c>
      <c r="S1062" s="586">
        <f t="shared" si="177"/>
        <v>7.0697736124883392E-2</v>
      </c>
      <c r="U1062" s="587"/>
      <c r="V1062" s="587"/>
      <c r="W1062" s="587"/>
      <c r="X1062" s="587"/>
      <c r="Y1062" s="587"/>
      <c r="Z1062" s="587"/>
      <c r="AA1062" s="587"/>
      <c r="AB1062" s="587"/>
      <c r="AC1062" s="587"/>
      <c r="AE1062" s="587"/>
      <c r="AF1062" s="587"/>
      <c r="AG1062" s="587"/>
      <c r="AH1062" s="587"/>
      <c r="AI1062" s="587"/>
      <c r="AJ1062" s="587"/>
      <c r="AK1062" s="587"/>
      <c r="AL1062" s="587"/>
      <c r="AM1062" s="587"/>
      <c r="AO1062" s="587"/>
      <c r="AP1062" s="587"/>
      <c r="AQ1062" s="587"/>
      <c r="AR1062" s="587"/>
      <c r="AS1062" s="587"/>
      <c r="AT1062" s="587"/>
      <c r="AU1062" s="587"/>
      <c r="AV1062" s="587"/>
      <c r="AW1062" s="587"/>
    </row>
    <row r="1063" spans="1:49">
      <c r="A1063" s="581">
        <v>41699</v>
      </c>
      <c r="B1063" s="577">
        <v>8.3999999999999995E-3</v>
      </c>
      <c r="C1063" s="577">
        <v>3.3700000000000001E-2</v>
      </c>
      <c r="D1063" s="577">
        <v>2.8999999999999998E-3</v>
      </c>
      <c r="E1063" s="577">
        <v>3.65E-3</v>
      </c>
      <c r="F1063" s="577">
        <v>3.7000000000000002E-3</v>
      </c>
      <c r="G1063" s="577">
        <v>3.6750000000000003E-3</v>
      </c>
      <c r="H1063" s="594">
        <v>3.7583333333333336E-3</v>
      </c>
      <c r="I1063" s="577">
        <f t="shared" si="178"/>
        <v>5.4999999999999997E-3</v>
      </c>
      <c r="J1063" s="577">
        <f t="shared" si="182"/>
        <v>4.7249999999999992E-3</v>
      </c>
      <c r="K1063" s="577">
        <f t="shared" si="183"/>
        <v>2.9941666666666669E-2</v>
      </c>
      <c r="L1063" s="585">
        <f t="shared" si="179"/>
        <v>0.21863647968182387</v>
      </c>
      <c r="M1063" s="585">
        <f t="shared" si="180"/>
        <v>3.4799999999999998E-2</v>
      </c>
      <c r="N1063" s="585">
        <f t="shared" si="173"/>
        <v>4.41E-2</v>
      </c>
      <c r="O1063" s="586">
        <f t="shared" si="181"/>
        <v>0.18383647968182387</v>
      </c>
      <c r="P1063" s="585">
        <f t="shared" si="174"/>
        <v>0.17453647968182387</v>
      </c>
      <c r="Q1063" s="585">
        <f t="shared" si="175"/>
        <v>9.4503662079973294E-2</v>
      </c>
      <c r="R1063" s="585">
        <f t="shared" si="176"/>
        <v>4.5100000000000001E-2</v>
      </c>
      <c r="S1063" s="586">
        <f t="shared" si="177"/>
        <v>4.9403662079973293E-2</v>
      </c>
      <c r="U1063" s="587"/>
      <c r="V1063" s="587"/>
      <c r="W1063" s="587"/>
      <c r="X1063" s="587"/>
      <c r="Y1063" s="587"/>
      <c r="Z1063" s="587"/>
      <c r="AA1063" s="587"/>
      <c r="AB1063" s="587"/>
      <c r="AC1063" s="587"/>
      <c r="AE1063" s="587"/>
      <c r="AF1063" s="587"/>
      <c r="AG1063" s="587"/>
      <c r="AH1063" s="587"/>
      <c r="AI1063" s="587"/>
      <c r="AJ1063" s="587"/>
      <c r="AK1063" s="587"/>
      <c r="AL1063" s="587"/>
      <c r="AM1063" s="587"/>
      <c r="AO1063" s="587"/>
      <c r="AP1063" s="587"/>
      <c r="AQ1063" s="587"/>
      <c r="AR1063" s="587"/>
      <c r="AS1063" s="587"/>
      <c r="AT1063" s="587"/>
      <c r="AU1063" s="587"/>
      <c r="AV1063" s="587"/>
      <c r="AW1063" s="587"/>
    </row>
    <row r="1064" spans="1:49">
      <c r="A1064" s="581">
        <v>41730</v>
      </c>
      <c r="B1064" s="577">
        <v>7.4000000000000003E-3</v>
      </c>
      <c r="C1064" s="577">
        <v>4.2599999999999999E-2</v>
      </c>
      <c r="D1064" s="577">
        <v>2.8E-3</v>
      </c>
      <c r="E1064" s="577">
        <v>3.5333333333333332E-3</v>
      </c>
      <c r="F1064" s="577">
        <v>3.6083333333333332E-3</v>
      </c>
      <c r="G1064" s="577">
        <v>3.570833333333333E-3</v>
      </c>
      <c r="H1064" s="594">
        <v>3.6749999999999999E-3</v>
      </c>
      <c r="I1064" s="577">
        <f t="shared" si="178"/>
        <v>4.5999999999999999E-3</v>
      </c>
      <c r="J1064" s="577">
        <f t="shared" si="182"/>
        <v>3.8291666666666673E-3</v>
      </c>
      <c r="K1064" s="577">
        <f t="shared" si="183"/>
        <v>3.8925000000000001E-2</v>
      </c>
      <c r="L1064" s="585">
        <f t="shared" si="179"/>
        <v>0.20440929032813648</v>
      </c>
      <c r="M1064" s="585">
        <f t="shared" si="180"/>
        <v>3.3599999999999998E-2</v>
      </c>
      <c r="N1064" s="585">
        <f t="shared" ref="N1064:N1132" si="184">G1064*12</f>
        <v>4.2849999999999999E-2</v>
      </c>
      <c r="O1064" s="586">
        <f t="shared" si="181"/>
        <v>0.17080929032813649</v>
      </c>
      <c r="P1064" s="585">
        <f t="shared" ref="P1064:P1127" si="185">L1064-N1064</f>
        <v>0.16155929032813648</v>
      </c>
      <c r="Q1064" s="585">
        <f t="shared" ref="Q1064:Q1127" si="186">((1+C1053)*(1+C1054)*(1+C1055)*(1+C1056)*(1+C1057)*(1+C1058)*(1+C1059)*(1+C1060)*(1+C1061)*(1+C1062)*(1+C1063)*(1+C1064))-1</f>
        <v>7.755384143964128E-2</v>
      </c>
      <c r="R1064" s="585">
        <f t="shared" ref="R1064:R1132" si="187">H1064*12</f>
        <v>4.41E-2</v>
      </c>
      <c r="S1064" s="586">
        <f t="shared" ref="S1064:S1127" si="188">Q1064-R1064</f>
        <v>3.345384143964128E-2</v>
      </c>
      <c r="U1064" s="587"/>
      <c r="V1064" s="587"/>
      <c r="W1064" s="587"/>
      <c r="X1064" s="587"/>
      <c r="Y1064" s="587"/>
      <c r="Z1064" s="587"/>
      <c r="AA1064" s="587"/>
      <c r="AB1064" s="587"/>
      <c r="AC1064" s="587"/>
      <c r="AE1064" s="587"/>
      <c r="AF1064" s="587"/>
      <c r="AG1064" s="587"/>
      <c r="AH1064" s="587"/>
      <c r="AI1064" s="587"/>
      <c r="AJ1064" s="587"/>
      <c r="AK1064" s="587"/>
      <c r="AL1064" s="587"/>
      <c r="AM1064" s="587"/>
      <c r="AO1064" s="587"/>
      <c r="AP1064" s="587"/>
      <c r="AQ1064" s="587"/>
      <c r="AR1064" s="587"/>
      <c r="AS1064" s="587"/>
      <c r="AT1064" s="587"/>
      <c r="AU1064" s="587"/>
      <c r="AV1064" s="587"/>
      <c r="AW1064" s="587"/>
    </row>
    <row r="1065" spans="1:49">
      <c r="A1065" s="597">
        <v>41760</v>
      </c>
      <c r="B1065" s="577">
        <v>2.35E-2</v>
      </c>
      <c r="C1065" s="577">
        <v>-1.0500000000000001E-2</v>
      </c>
      <c r="D1065" s="577">
        <v>2.8E-3</v>
      </c>
      <c r="E1065" s="577">
        <v>3.4666666666666665E-3</v>
      </c>
      <c r="F1065" s="577">
        <v>3.5000000000000001E-3</v>
      </c>
      <c r="G1065" s="577">
        <v>3.4833333333333331E-3</v>
      </c>
      <c r="H1065" s="594">
        <v>3.5499999999999998E-3</v>
      </c>
      <c r="I1065" s="577">
        <f t="shared" si="178"/>
        <v>2.07E-2</v>
      </c>
      <c r="J1065" s="577">
        <f t="shared" si="182"/>
        <v>2.0016666666666669E-2</v>
      </c>
      <c r="K1065" s="577">
        <f t="shared" si="183"/>
        <v>-1.405E-2</v>
      </c>
      <c r="L1065" s="585">
        <f t="shared" si="179"/>
        <v>0.20452697738015191</v>
      </c>
      <c r="M1065" s="585">
        <f t="shared" si="180"/>
        <v>3.3599999999999998E-2</v>
      </c>
      <c r="N1065" s="585">
        <f t="shared" si="184"/>
        <v>4.1799999999999997E-2</v>
      </c>
      <c r="O1065" s="586">
        <f t="shared" si="181"/>
        <v>0.17092697738015192</v>
      </c>
      <c r="P1065" s="585">
        <f t="shared" si="185"/>
        <v>0.1627269773801519</v>
      </c>
      <c r="Q1065" s="585">
        <f t="shared" si="186"/>
        <v>0.171176983858222</v>
      </c>
      <c r="R1065" s="585">
        <f t="shared" si="187"/>
        <v>4.2599999999999999E-2</v>
      </c>
      <c r="S1065" s="586">
        <f t="shared" si="188"/>
        <v>0.128576983858222</v>
      </c>
      <c r="U1065" s="587"/>
      <c r="V1065" s="587"/>
      <c r="W1065" s="587"/>
      <c r="X1065" s="587"/>
      <c r="Y1065" s="587"/>
      <c r="Z1065" s="587"/>
      <c r="AA1065" s="587"/>
      <c r="AB1065" s="587"/>
      <c r="AC1065" s="587"/>
      <c r="AE1065" s="587"/>
      <c r="AF1065" s="587"/>
      <c r="AG1065" s="587"/>
      <c r="AH1065" s="587"/>
      <c r="AI1065" s="587"/>
      <c r="AJ1065" s="587"/>
      <c r="AK1065" s="587"/>
      <c r="AL1065" s="587"/>
      <c r="AM1065" s="587"/>
      <c r="AO1065" s="587"/>
      <c r="AP1065" s="587"/>
      <c r="AQ1065" s="587"/>
      <c r="AR1065" s="587"/>
      <c r="AS1065" s="587"/>
      <c r="AT1065" s="587"/>
      <c r="AU1065" s="587"/>
      <c r="AV1065" s="587"/>
      <c r="AW1065" s="587"/>
    </row>
    <row r="1066" spans="1:49">
      <c r="A1066" s="597">
        <v>41791</v>
      </c>
      <c r="B1066" s="577">
        <v>2.07E-2</v>
      </c>
      <c r="C1066" s="577">
        <v>4.48E-2</v>
      </c>
      <c r="D1066" s="577">
        <v>2.5000000000000001E-3</v>
      </c>
      <c r="E1066" s="577">
        <v>3.5416666666666669E-3</v>
      </c>
      <c r="F1066" s="577">
        <v>3.5499999999999998E-3</v>
      </c>
      <c r="G1066" s="577">
        <v>3.5458333333333331E-3</v>
      </c>
      <c r="H1066" s="594">
        <v>3.5750000000000001E-3</v>
      </c>
      <c r="I1066" s="577">
        <f t="shared" si="178"/>
        <v>1.8200000000000001E-2</v>
      </c>
      <c r="J1066" s="577">
        <f t="shared" si="182"/>
        <v>1.7154166666666665E-2</v>
      </c>
      <c r="K1066" s="577">
        <f t="shared" si="183"/>
        <v>4.1224999999999998E-2</v>
      </c>
      <c r="L1066" s="585">
        <f t="shared" si="179"/>
        <v>0.24615921935122764</v>
      </c>
      <c r="M1066" s="585">
        <f t="shared" si="180"/>
        <v>0.03</v>
      </c>
      <c r="N1066" s="585">
        <f t="shared" si="184"/>
        <v>4.2549999999999998E-2</v>
      </c>
      <c r="O1066" s="586">
        <f t="shared" si="181"/>
        <v>0.21615921935122764</v>
      </c>
      <c r="P1066" s="585">
        <f t="shared" si="185"/>
        <v>0.20360921935122764</v>
      </c>
      <c r="Q1066" s="585">
        <f t="shared" si="186"/>
        <v>0.20985338415569554</v>
      </c>
      <c r="R1066" s="585">
        <f t="shared" si="187"/>
        <v>4.2900000000000001E-2</v>
      </c>
      <c r="S1066" s="586">
        <f t="shared" si="188"/>
        <v>0.16695338415569555</v>
      </c>
      <c r="U1066" s="587"/>
      <c r="V1066" s="587"/>
      <c r="W1066" s="587"/>
      <c r="X1066" s="587"/>
      <c r="Y1066" s="587"/>
      <c r="Z1066" s="587"/>
      <c r="AA1066" s="587"/>
      <c r="AB1066" s="587"/>
      <c r="AC1066" s="587"/>
      <c r="AE1066" s="587"/>
      <c r="AF1066" s="587"/>
      <c r="AG1066" s="587"/>
      <c r="AH1066" s="587"/>
      <c r="AI1066" s="587"/>
      <c r="AJ1066" s="587"/>
      <c r="AK1066" s="587"/>
      <c r="AL1066" s="587"/>
      <c r="AM1066" s="587"/>
      <c r="AO1066" s="587"/>
      <c r="AP1066" s="587"/>
      <c r="AQ1066" s="587"/>
      <c r="AR1066" s="587"/>
      <c r="AS1066" s="587"/>
      <c r="AT1066" s="587"/>
      <c r="AU1066" s="587"/>
      <c r="AV1066" s="587"/>
      <c r="AW1066" s="587"/>
    </row>
    <row r="1067" spans="1:49">
      <c r="A1067" s="597">
        <v>41821</v>
      </c>
      <c r="B1067" s="577">
        <v>-1.38E-2</v>
      </c>
      <c r="C1067" s="577">
        <v>-6.8000000000000005E-2</v>
      </c>
      <c r="D1067" s="577">
        <v>2.7000000000000001E-3</v>
      </c>
      <c r="E1067" s="577">
        <v>3.4666666666666665E-3</v>
      </c>
      <c r="F1067" s="577">
        <v>3.5000000000000001E-3</v>
      </c>
      <c r="G1067" s="577">
        <v>3.4833333333333331E-3</v>
      </c>
      <c r="H1067" s="594">
        <v>3.5249999999999999E-3</v>
      </c>
      <c r="I1067" s="577">
        <f t="shared" si="178"/>
        <v>-1.6500000000000001E-2</v>
      </c>
      <c r="J1067" s="577">
        <f t="shared" si="182"/>
        <v>-1.7283333333333331E-2</v>
      </c>
      <c r="K1067" s="577">
        <f t="shared" si="183"/>
        <v>-7.1525000000000005E-2</v>
      </c>
      <c r="L1067" s="585">
        <f t="shared" si="179"/>
        <v>0.16943783625861708</v>
      </c>
      <c r="M1067" s="585">
        <f t="shared" si="180"/>
        <v>3.2399999999999998E-2</v>
      </c>
      <c r="N1067" s="585">
        <f t="shared" si="184"/>
        <v>4.1799999999999997E-2</v>
      </c>
      <c r="O1067" s="586">
        <f t="shared" si="181"/>
        <v>0.1370378362586171</v>
      </c>
      <c r="P1067" s="585">
        <f t="shared" si="185"/>
        <v>0.12763783625861708</v>
      </c>
      <c r="Q1067" s="585">
        <f t="shared" si="186"/>
        <v>8.5780793483974938E-2</v>
      </c>
      <c r="R1067" s="585">
        <f t="shared" si="187"/>
        <v>4.2299999999999997E-2</v>
      </c>
      <c r="S1067" s="586">
        <f t="shared" si="188"/>
        <v>4.348079348397494E-2</v>
      </c>
      <c r="U1067" s="587"/>
      <c r="V1067" s="587"/>
      <c r="W1067" s="587"/>
      <c r="X1067" s="587"/>
      <c r="Y1067" s="587"/>
      <c r="Z1067" s="587"/>
      <c r="AA1067" s="587"/>
      <c r="AB1067" s="587"/>
      <c r="AC1067" s="587"/>
      <c r="AE1067" s="587"/>
      <c r="AF1067" s="587"/>
      <c r="AG1067" s="587"/>
      <c r="AH1067" s="587"/>
      <c r="AI1067" s="587"/>
      <c r="AJ1067" s="587"/>
      <c r="AK1067" s="587"/>
      <c r="AL1067" s="587"/>
      <c r="AM1067" s="587"/>
      <c r="AO1067" s="587"/>
      <c r="AP1067" s="587"/>
      <c r="AQ1067" s="587"/>
      <c r="AR1067" s="587"/>
      <c r="AS1067" s="587"/>
      <c r="AT1067" s="587"/>
      <c r="AU1067" s="587"/>
      <c r="AV1067" s="587"/>
      <c r="AW1067" s="587"/>
    </row>
    <row r="1068" spans="1:49">
      <c r="A1068" s="597">
        <v>41852</v>
      </c>
      <c r="B1068" s="577">
        <v>0.04</v>
      </c>
      <c r="C1068" s="577">
        <v>4.9500000000000002E-2</v>
      </c>
      <c r="D1068" s="577">
        <v>2.5999999999999999E-3</v>
      </c>
      <c r="E1068" s="577">
        <v>3.4000000000000002E-3</v>
      </c>
      <c r="F1068" s="577">
        <v>3.4166666666666668E-3</v>
      </c>
      <c r="G1068" s="577">
        <v>3.4083333333333335E-3</v>
      </c>
      <c r="H1068" s="594">
        <v>3.4416666666666671E-3</v>
      </c>
      <c r="I1068" s="577">
        <f t="shared" si="178"/>
        <v>3.7400000000000003E-2</v>
      </c>
      <c r="J1068" s="577">
        <f t="shared" si="182"/>
        <v>3.6591666666666668E-2</v>
      </c>
      <c r="K1068" s="577">
        <f t="shared" si="183"/>
        <v>4.6058333333333333E-2</v>
      </c>
      <c r="L1068" s="585">
        <f t="shared" si="179"/>
        <v>0.25253898013281373</v>
      </c>
      <c r="M1068" s="585">
        <f t="shared" si="180"/>
        <v>3.1199999999999999E-2</v>
      </c>
      <c r="N1068" s="585">
        <f t="shared" si="184"/>
        <v>4.0900000000000006E-2</v>
      </c>
      <c r="O1068" s="586">
        <f t="shared" si="181"/>
        <v>0.22133898013281372</v>
      </c>
      <c r="P1068" s="585">
        <f t="shared" si="185"/>
        <v>0.21163898013281374</v>
      </c>
      <c r="Q1068" s="585">
        <f t="shared" si="186"/>
        <v>0.1995020450120335</v>
      </c>
      <c r="R1068" s="585">
        <f t="shared" si="187"/>
        <v>4.1300000000000003E-2</v>
      </c>
      <c r="S1068" s="586">
        <f t="shared" si="188"/>
        <v>0.1582020450120335</v>
      </c>
      <c r="U1068" s="587"/>
      <c r="V1068" s="587"/>
      <c r="W1068" s="587"/>
      <c r="X1068" s="587"/>
      <c r="Y1068" s="587"/>
      <c r="Z1068" s="587"/>
      <c r="AA1068" s="587"/>
      <c r="AB1068" s="587"/>
      <c r="AC1068" s="587"/>
      <c r="AE1068" s="587"/>
      <c r="AF1068" s="587"/>
      <c r="AG1068" s="587"/>
      <c r="AH1068" s="587"/>
      <c r="AI1068" s="587"/>
      <c r="AJ1068" s="587"/>
      <c r="AK1068" s="587"/>
      <c r="AL1068" s="587"/>
      <c r="AM1068" s="587"/>
      <c r="AO1068" s="587"/>
      <c r="AP1068" s="587"/>
      <c r="AQ1068" s="587"/>
      <c r="AR1068" s="587"/>
      <c r="AS1068" s="587"/>
      <c r="AT1068" s="587"/>
      <c r="AU1068" s="587"/>
      <c r="AV1068" s="587"/>
      <c r="AW1068" s="587"/>
    </row>
    <row r="1069" spans="1:49" ht="15" thickBot="1">
      <c r="A1069" s="597">
        <v>41883</v>
      </c>
      <c r="B1069" s="577">
        <v>-1.4E-2</v>
      </c>
      <c r="C1069" s="577">
        <v>-1.8599999999999998E-2</v>
      </c>
      <c r="D1069" s="577">
        <v>2.3E-3</v>
      </c>
      <c r="E1069" s="577">
        <v>3.4249999999999997E-3</v>
      </c>
      <c r="F1069" s="577">
        <v>3.4916666666666668E-3</v>
      </c>
      <c r="G1069" s="577">
        <v>3.4583333333333332E-3</v>
      </c>
      <c r="H1069" s="594">
        <v>3.5333333333333332E-3</v>
      </c>
      <c r="I1069" s="577">
        <f t="shared" si="178"/>
        <v>-1.6300000000000002E-2</v>
      </c>
      <c r="J1069" s="577">
        <f t="shared" si="182"/>
        <v>-1.7458333333333333E-2</v>
      </c>
      <c r="K1069" s="577">
        <f t="shared" si="183"/>
        <v>-2.2133333333333331E-2</v>
      </c>
      <c r="L1069" s="585">
        <f t="shared" si="179"/>
        <v>0.19740491992529963</v>
      </c>
      <c r="M1069" s="585">
        <f t="shared" si="180"/>
        <v>2.76E-2</v>
      </c>
      <c r="N1069" s="585">
        <f t="shared" si="184"/>
        <v>4.1499999999999995E-2</v>
      </c>
      <c r="O1069" s="586">
        <f t="shared" si="181"/>
        <v>0.16980491992529961</v>
      </c>
      <c r="P1069" s="585">
        <f t="shared" si="185"/>
        <v>0.15590491992529965</v>
      </c>
      <c r="Q1069" s="585">
        <f t="shared" si="186"/>
        <v>0.16461348137594944</v>
      </c>
      <c r="R1069" s="585">
        <f t="shared" si="187"/>
        <v>4.24E-2</v>
      </c>
      <c r="S1069" s="586">
        <f t="shared" si="188"/>
        <v>0.12221348137594945</v>
      </c>
      <c r="U1069" s="587"/>
      <c r="V1069" s="587"/>
      <c r="W1069" s="587"/>
      <c r="X1069" s="587"/>
      <c r="Y1069" s="587"/>
      <c r="Z1069" s="587"/>
      <c r="AA1069" s="587"/>
      <c r="AB1069" s="587"/>
      <c r="AC1069" s="587"/>
      <c r="AE1069" s="598"/>
      <c r="AF1069" s="598"/>
      <c r="AG1069" s="598"/>
      <c r="AH1069" s="587"/>
      <c r="AI1069" s="587"/>
      <c r="AJ1069" s="587"/>
      <c r="AK1069" s="587"/>
      <c r="AL1069" s="587"/>
      <c r="AM1069" s="587"/>
      <c r="AO1069" s="598"/>
      <c r="AP1069" s="598"/>
      <c r="AQ1069" s="598"/>
      <c r="AR1069" s="587"/>
      <c r="AS1069" s="587"/>
      <c r="AT1069" s="587"/>
      <c r="AU1069" s="587"/>
      <c r="AV1069" s="587"/>
      <c r="AW1069" s="587"/>
    </row>
    <row r="1070" spans="1:49">
      <c r="A1070" s="597">
        <v>41913</v>
      </c>
      <c r="B1070" s="577">
        <v>2.4400000000000002E-2</v>
      </c>
      <c r="C1070" s="577">
        <v>8.0199999999999994E-2</v>
      </c>
      <c r="D1070" s="577">
        <v>2.5000000000000001E-3</v>
      </c>
      <c r="E1070" s="577">
        <v>3.2666666666666664E-3</v>
      </c>
      <c r="F1070" s="577">
        <v>3.3249999999999998E-3</v>
      </c>
      <c r="G1070" s="577">
        <v>3.2958333333333329E-3</v>
      </c>
      <c r="H1070" s="594">
        <v>3.3833333333333332E-3</v>
      </c>
      <c r="I1070" s="577">
        <f t="shared" si="178"/>
        <v>2.1900000000000003E-2</v>
      </c>
      <c r="J1070" s="577">
        <f t="shared" si="182"/>
        <v>2.1104166666666667E-2</v>
      </c>
      <c r="K1070" s="577">
        <f t="shared" si="183"/>
        <v>7.6816666666666658E-2</v>
      </c>
      <c r="L1070" s="585">
        <f t="shared" si="179"/>
        <v>0.17267839385418404</v>
      </c>
      <c r="M1070" s="585">
        <f t="shared" si="180"/>
        <v>0.03</v>
      </c>
      <c r="N1070" s="585">
        <f t="shared" si="184"/>
        <v>3.9549999999999995E-2</v>
      </c>
      <c r="O1070" s="586">
        <f t="shared" si="181"/>
        <v>0.14267839385418404</v>
      </c>
      <c r="P1070" s="585">
        <f t="shared" si="185"/>
        <v>0.13312839385418404</v>
      </c>
      <c r="Q1070" s="585">
        <f t="shared" si="186"/>
        <v>0.21231134488031334</v>
      </c>
      <c r="R1070" s="585">
        <f t="shared" si="187"/>
        <v>4.0599999999999997E-2</v>
      </c>
      <c r="S1070" s="586">
        <f t="shared" si="188"/>
        <v>0.17171134488031334</v>
      </c>
      <c r="U1070" s="587"/>
      <c r="V1070" s="587"/>
      <c r="W1070" s="587"/>
      <c r="X1070" s="587"/>
      <c r="Y1070" s="587"/>
      <c r="Z1070" s="587"/>
      <c r="AA1070" s="587"/>
      <c r="AB1070" s="587"/>
      <c r="AC1070" s="587"/>
    </row>
    <row r="1071" spans="1:49">
      <c r="A1071" s="597">
        <v>41944</v>
      </c>
      <c r="B1071" s="577">
        <v>2.69E-2</v>
      </c>
      <c r="C1071" s="577">
        <v>1.2E-2</v>
      </c>
      <c r="D1071" s="577">
        <v>2.3E-3</v>
      </c>
      <c r="E1071" s="577">
        <v>3.2666666666666664E-3</v>
      </c>
      <c r="F1071" s="577">
        <v>3.3666666666666667E-3</v>
      </c>
      <c r="G1071" s="577">
        <v>3.3166666666666665E-3</v>
      </c>
      <c r="H1071" s="594">
        <v>3.4083333333333331E-3</v>
      </c>
      <c r="I1071" s="577">
        <f t="shared" si="178"/>
        <v>2.46E-2</v>
      </c>
      <c r="J1071" s="577">
        <f t="shared" si="182"/>
        <v>2.3583333333333335E-2</v>
      </c>
      <c r="K1071" s="577">
        <f t="shared" si="183"/>
        <v>8.5916666666666676E-3</v>
      </c>
      <c r="L1071" s="585">
        <f t="shared" si="179"/>
        <v>0.1685817007752175</v>
      </c>
      <c r="M1071" s="585">
        <f t="shared" si="180"/>
        <v>2.76E-2</v>
      </c>
      <c r="N1071" s="585">
        <f t="shared" si="184"/>
        <v>3.9800000000000002E-2</v>
      </c>
      <c r="O1071" s="586">
        <f t="shared" si="181"/>
        <v>0.14098170077521749</v>
      </c>
      <c r="P1071" s="585">
        <f t="shared" si="185"/>
        <v>0.1287817007752175</v>
      </c>
      <c r="Q1071" s="585">
        <f t="shared" si="186"/>
        <v>0.25176928988764069</v>
      </c>
      <c r="R1071" s="585">
        <f t="shared" si="187"/>
        <v>4.0899999999999999E-2</v>
      </c>
      <c r="S1071" s="586">
        <f t="shared" si="188"/>
        <v>0.2108692898876407</v>
      </c>
      <c r="U1071" s="587"/>
      <c r="V1071" s="587"/>
      <c r="W1071" s="587"/>
      <c r="X1071" s="587"/>
      <c r="Y1071" s="587"/>
      <c r="Z1071" s="587"/>
      <c r="AA1071" s="587"/>
      <c r="AB1071" s="587"/>
      <c r="AC1071" s="587"/>
    </row>
    <row r="1072" spans="1:49">
      <c r="A1072" s="597">
        <v>41974</v>
      </c>
      <c r="B1072" s="577">
        <v>-2.5000000000000001E-3</v>
      </c>
      <c r="C1072" s="577">
        <v>3.5000000000000003E-2</v>
      </c>
      <c r="D1072" s="577">
        <v>2.2000000000000001E-3</v>
      </c>
      <c r="E1072" s="577">
        <v>3.1583333333333337E-3</v>
      </c>
      <c r="F1072" s="577">
        <v>3.2416666666666666E-3</v>
      </c>
      <c r="G1072" s="577">
        <v>3.2000000000000002E-3</v>
      </c>
      <c r="H1072" s="594">
        <v>3.2916666666666667E-3</v>
      </c>
      <c r="I1072" s="577">
        <f t="shared" si="178"/>
        <v>-4.7000000000000002E-3</v>
      </c>
      <c r="J1072" s="577">
        <f t="shared" si="182"/>
        <v>-5.7000000000000002E-3</v>
      </c>
      <c r="K1072" s="577">
        <f t="shared" si="183"/>
        <v>3.1708333333333338E-2</v>
      </c>
      <c r="L1072" s="585">
        <f t="shared" si="179"/>
        <v>0.1368967585324099</v>
      </c>
      <c r="M1072" s="585">
        <f t="shared" si="180"/>
        <v>2.64E-2</v>
      </c>
      <c r="N1072" s="585">
        <f t="shared" si="184"/>
        <v>3.8400000000000004E-2</v>
      </c>
      <c r="O1072" s="586">
        <f t="shared" si="181"/>
        <v>0.11049675853240989</v>
      </c>
      <c r="P1072" s="585">
        <f t="shared" si="185"/>
        <v>9.8496758532409898E-2</v>
      </c>
      <c r="Q1072" s="585">
        <f t="shared" si="186"/>
        <v>0.28580906613111168</v>
      </c>
      <c r="R1072" s="585">
        <f t="shared" si="187"/>
        <v>3.95E-2</v>
      </c>
      <c r="S1072" s="586">
        <f t="shared" si="188"/>
        <v>0.24630906613111167</v>
      </c>
      <c r="U1072" s="587"/>
      <c r="V1072" s="587"/>
      <c r="W1072" s="587"/>
      <c r="X1072" s="587"/>
      <c r="Y1072" s="587"/>
      <c r="Z1072" s="587"/>
      <c r="AA1072" s="587"/>
      <c r="AB1072" s="587"/>
      <c r="AC1072" s="587"/>
    </row>
    <row r="1073" spans="1:29">
      <c r="A1073" s="597">
        <v>42005</v>
      </c>
      <c r="B1073" s="577">
        <v>-0.03</v>
      </c>
      <c r="C1073" s="577">
        <v>2.3300000000000001E-2</v>
      </c>
      <c r="D1073" s="577">
        <v>2E-3</v>
      </c>
      <c r="E1073" s="577">
        <v>2.8833333333333332E-3</v>
      </c>
      <c r="F1073" s="577">
        <v>2.9499999999999999E-3</v>
      </c>
      <c r="G1073" s="577">
        <v>2.9166666666666664E-3</v>
      </c>
      <c r="H1073" s="594">
        <v>2.9833333333333331E-3</v>
      </c>
      <c r="I1073" s="577">
        <f t="shared" si="178"/>
        <v>-3.2000000000000001E-2</v>
      </c>
      <c r="J1073" s="577">
        <f t="shared" si="182"/>
        <v>-3.2916666666666664E-2</v>
      </c>
      <c r="K1073" s="577">
        <f t="shared" si="183"/>
        <v>2.0316666666666667E-2</v>
      </c>
      <c r="L1073" s="585">
        <f t="shared" si="179"/>
        <v>0.14231391731555543</v>
      </c>
      <c r="M1073" s="585">
        <f t="shared" si="180"/>
        <v>2.4E-2</v>
      </c>
      <c r="N1073" s="585">
        <f t="shared" si="184"/>
        <v>3.4999999999999996E-2</v>
      </c>
      <c r="O1073" s="586">
        <f t="shared" si="181"/>
        <v>0.11831391731555543</v>
      </c>
      <c r="P1073" s="585">
        <f t="shared" si="185"/>
        <v>0.10731391731555542</v>
      </c>
      <c r="Q1073" s="585">
        <f t="shared" si="186"/>
        <v>0.27980587235868715</v>
      </c>
      <c r="R1073" s="585">
        <f t="shared" si="187"/>
        <v>3.5799999999999998E-2</v>
      </c>
      <c r="S1073" s="586">
        <f t="shared" si="188"/>
        <v>0.24400587235868715</v>
      </c>
      <c r="U1073" s="587"/>
      <c r="V1073" s="587"/>
      <c r="W1073" s="587"/>
      <c r="X1073" s="587"/>
      <c r="Y1073" s="587"/>
      <c r="Z1073" s="587"/>
      <c r="AA1073" s="587"/>
      <c r="AB1073" s="587"/>
      <c r="AC1073" s="587"/>
    </row>
    <row r="1074" spans="1:29">
      <c r="A1074" s="597">
        <v>42036</v>
      </c>
      <c r="B1074" s="577">
        <v>5.7500000000000002E-2</v>
      </c>
      <c r="C1074" s="577">
        <v>-6.3299999999999995E-2</v>
      </c>
      <c r="D1074" s="577">
        <v>1.5E-3</v>
      </c>
      <c r="E1074" s="577">
        <v>3.0083333333333333E-3</v>
      </c>
      <c r="F1074" s="577">
        <v>3.0333333333333336E-3</v>
      </c>
      <c r="G1074" s="577">
        <v>3.0208333333333337E-3</v>
      </c>
      <c r="H1074" s="594">
        <v>3.0583333333333335E-3</v>
      </c>
      <c r="I1074" s="577">
        <f t="shared" si="178"/>
        <v>5.6000000000000001E-2</v>
      </c>
      <c r="J1074" s="577">
        <f t="shared" si="182"/>
        <v>5.4479166666666669E-2</v>
      </c>
      <c r="K1074" s="577">
        <f t="shared" si="183"/>
        <v>-6.6358333333333325E-2</v>
      </c>
      <c r="L1074" s="585">
        <f t="shared" si="179"/>
        <v>0.15520413843473224</v>
      </c>
      <c r="M1074" s="585">
        <f t="shared" si="180"/>
        <v>1.8000000000000002E-2</v>
      </c>
      <c r="N1074" s="585">
        <f t="shared" si="184"/>
        <v>3.6250000000000004E-2</v>
      </c>
      <c r="O1074" s="586">
        <f t="shared" si="181"/>
        <v>0.13720413843473223</v>
      </c>
      <c r="P1074" s="585">
        <f t="shared" si="185"/>
        <v>0.11895413843473224</v>
      </c>
      <c r="Q1074" s="585">
        <f t="shared" si="186"/>
        <v>0.15993629476379545</v>
      </c>
      <c r="R1074" s="585">
        <f t="shared" si="187"/>
        <v>3.6700000000000003E-2</v>
      </c>
      <c r="S1074" s="586">
        <f t="shared" si="188"/>
        <v>0.12323629476379544</v>
      </c>
      <c r="U1074" s="587"/>
      <c r="V1074" s="587"/>
      <c r="W1074" s="587"/>
      <c r="X1074" s="587"/>
      <c r="Y1074" s="587"/>
      <c r="Z1074" s="587"/>
      <c r="AA1074" s="587"/>
      <c r="AB1074" s="587"/>
      <c r="AC1074" s="587"/>
    </row>
    <row r="1075" spans="1:29">
      <c r="A1075" s="597">
        <v>42064</v>
      </c>
      <c r="B1075" s="577">
        <v>-1.5800000000000002E-2</v>
      </c>
      <c r="C1075" s="577">
        <v>-4.8999999999999998E-3</v>
      </c>
      <c r="D1075" s="577">
        <v>2.0999999999999999E-3</v>
      </c>
      <c r="E1075" s="577">
        <v>3.0333333333333336E-3</v>
      </c>
      <c r="F1075" s="577">
        <v>3.0833333333333333E-3</v>
      </c>
      <c r="G1075" s="577">
        <v>3.0583333333333335E-3</v>
      </c>
      <c r="H1075" s="594">
        <v>3.1166666666666669E-3</v>
      </c>
      <c r="I1075" s="577">
        <f t="shared" si="178"/>
        <v>-1.7900000000000003E-2</v>
      </c>
      <c r="J1075" s="577">
        <f t="shared" si="182"/>
        <v>-1.8858333333333335E-2</v>
      </c>
      <c r="K1075" s="577">
        <f t="shared" si="183"/>
        <v>-8.0166666666666667E-3</v>
      </c>
      <c r="L1075" s="585">
        <f t="shared" si="179"/>
        <v>0.1274810720423083</v>
      </c>
      <c r="M1075" s="585">
        <f t="shared" si="180"/>
        <v>2.52E-2</v>
      </c>
      <c r="N1075" s="585">
        <f t="shared" si="184"/>
        <v>3.6700000000000003E-2</v>
      </c>
      <c r="O1075" s="586">
        <f t="shared" si="181"/>
        <v>0.1022810720423083</v>
      </c>
      <c r="P1075" s="585">
        <f t="shared" si="185"/>
        <v>9.0781072042308286E-2</v>
      </c>
      <c r="Q1075" s="585">
        <f t="shared" si="186"/>
        <v>0.11662243099492398</v>
      </c>
      <c r="R1075" s="585">
        <f t="shared" si="187"/>
        <v>3.7400000000000003E-2</v>
      </c>
      <c r="S1075" s="586">
        <f t="shared" si="188"/>
        <v>7.9222430994923973E-2</v>
      </c>
      <c r="U1075" s="587"/>
      <c r="V1075" s="587"/>
      <c r="W1075" s="587"/>
      <c r="X1075" s="587"/>
      <c r="Y1075" s="587"/>
      <c r="Z1075" s="587"/>
      <c r="AA1075" s="587"/>
      <c r="AB1075" s="587"/>
      <c r="AC1075" s="587"/>
    </row>
    <row r="1076" spans="1:29">
      <c r="A1076" s="597">
        <v>42095</v>
      </c>
      <c r="B1076" s="577">
        <v>9.5999999999999992E-3</v>
      </c>
      <c r="C1076" s="577">
        <v>-1.29E-2</v>
      </c>
      <c r="D1076" s="577">
        <v>1.9E-3</v>
      </c>
      <c r="E1076" s="577">
        <v>2.9333333333333334E-3</v>
      </c>
      <c r="F1076" s="577">
        <v>3.0333333333333336E-3</v>
      </c>
      <c r="G1076" s="577">
        <v>2.9833333333333335E-3</v>
      </c>
      <c r="H1076" s="577">
        <v>3.1249999999999997E-3</v>
      </c>
      <c r="I1076" s="577">
        <f t="shared" si="178"/>
        <v>7.6999999999999994E-3</v>
      </c>
      <c r="J1076" s="577">
        <f t="shared" si="182"/>
        <v>6.6166666666666657E-3</v>
      </c>
      <c r="K1076" s="577">
        <f t="shared" si="183"/>
        <v>-1.6025000000000001E-2</v>
      </c>
      <c r="L1076" s="585">
        <f t="shared" si="179"/>
        <v>0.12994330984109048</v>
      </c>
      <c r="M1076" s="585">
        <f t="shared" si="180"/>
        <v>2.2800000000000001E-2</v>
      </c>
      <c r="N1076" s="585">
        <f t="shared" si="184"/>
        <v>3.5799999999999998E-2</v>
      </c>
      <c r="O1076" s="586">
        <f t="shared" si="181"/>
        <v>0.10714330984109048</v>
      </c>
      <c r="P1076" s="585">
        <f t="shared" si="185"/>
        <v>9.4143309841090483E-2</v>
      </c>
      <c r="Q1076" s="585">
        <f t="shared" si="186"/>
        <v>5.718204645606062E-2</v>
      </c>
      <c r="R1076" s="585">
        <f t="shared" si="187"/>
        <v>3.7499999999999999E-2</v>
      </c>
      <c r="S1076" s="586">
        <f t="shared" si="188"/>
        <v>1.9682046456060621E-2</v>
      </c>
      <c r="U1076" s="587"/>
      <c r="V1076" s="587"/>
      <c r="W1076" s="587"/>
      <c r="X1076" s="587"/>
      <c r="Y1076" s="587"/>
      <c r="Z1076" s="587"/>
      <c r="AA1076" s="587"/>
      <c r="AB1076" s="587"/>
      <c r="AC1076" s="587"/>
    </row>
    <row r="1077" spans="1:29">
      <c r="A1077" s="597">
        <v>42125</v>
      </c>
      <c r="B1077" s="577">
        <v>1.29E-2</v>
      </c>
      <c r="C1077" s="577">
        <v>6.4999999999999997E-3</v>
      </c>
      <c r="D1077" s="577">
        <v>2E-3</v>
      </c>
      <c r="E1077" s="577">
        <v>3.316666666666667E-3</v>
      </c>
      <c r="F1077" s="577">
        <v>3.4000000000000002E-3</v>
      </c>
      <c r="G1077" s="577">
        <v>3.3583333333333338E-3</v>
      </c>
      <c r="H1077" s="577">
        <v>3.4750000000000002E-3</v>
      </c>
      <c r="I1077" s="577">
        <f t="shared" si="178"/>
        <v>1.09E-2</v>
      </c>
      <c r="J1077" s="577">
        <f t="shared" si="182"/>
        <v>9.541666666666667E-3</v>
      </c>
      <c r="K1077" s="577">
        <f t="shared" si="183"/>
        <v>3.0249999999999995E-3</v>
      </c>
      <c r="L1077" s="585">
        <f t="shared" si="179"/>
        <v>0.11824091698880324</v>
      </c>
      <c r="M1077" s="585">
        <f t="shared" si="180"/>
        <v>2.4E-2</v>
      </c>
      <c r="N1077" s="585">
        <f t="shared" si="184"/>
        <v>4.0300000000000002E-2</v>
      </c>
      <c r="O1077" s="586">
        <f t="shared" si="181"/>
        <v>9.4240916988803242E-2</v>
      </c>
      <c r="P1077" s="585">
        <f t="shared" si="185"/>
        <v>7.7940916988803233E-2</v>
      </c>
      <c r="Q1077" s="585">
        <f t="shared" si="186"/>
        <v>7.5344850690273191E-2</v>
      </c>
      <c r="R1077" s="585">
        <f t="shared" si="187"/>
        <v>4.1700000000000001E-2</v>
      </c>
      <c r="S1077" s="586">
        <f t="shared" si="188"/>
        <v>3.364485069027319E-2</v>
      </c>
      <c r="U1077" s="587"/>
      <c r="V1077" s="587"/>
      <c r="W1077" s="587"/>
      <c r="X1077" s="587"/>
      <c r="Y1077" s="587"/>
      <c r="Z1077" s="587"/>
      <c r="AA1077" s="587"/>
      <c r="AB1077" s="587"/>
      <c r="AC1077" s="587"/>
    </row>
    <row r="1078" spans="1:29">
      <c r="A1078" s="597">
        <v>42156</v>
      </c>
      <c r="B1078" s="577">
        <v>-1.9400000000000001E-2</v>
      </c>
      <c r="C1078" s="599">
        <v>-0.06</v>
      </c>
      <c r="D1078" s="577">
        <v>2.3E-3</v>
      </c>
      <c r="E1078" s="577">
        <v>3.4916666666666668E-3</v>
      </c>
      <c r="F1078" s="577">
        <v>3.5583333333333326E-3</v>
      </c>
      <c r="G1078" s="577">
        <f t="shared" ref="G1078:G1141" si="189">AVERAGE(E1078:F1078)</f>
        <v>3.5249999999999995E-3</v>
      </c>
      <c r="H1078" s="577">
        <v>3.6583333333333329E-3</v>
      </c>
      <c r="I1078" s="577">
        <f t="shared" si="178"/>
        <v>-2.1700000000000001E-2</v>
      </c>
      <c r="J1078" s="577">
        <f t="shared" si="182"/>
        <v>-2.2925000000000001E-2</v>
      </c>
      <c r="K1078" s="577">
        <f t="shared" si="182"/>
        <v>-6.3658333333333331E-2</v>
      </c>
      <c r="L1078" s="585">
        <f t="shared" si="179"/>
        <v>7.4308850004135119E-2</v>
      </c>
      <c r="M1078" s="585">
        <f t="shared" si="180"/>
        <v>2.76E-2</v>
      </c>
      <c r="N1078" s="585">
        <f t="shared" si="184"/>
        <v>4.229999999999999E-2</v>
      </c>
      <c r="O1078" s="586">
        <f t="shared" si="181"/>
        <v>4.6708850004135119E-2</v>
      </c>
      <c r="P1078" s="585">
        <f t="shared" si="185"/>
        <v>3.2008850004135128E-2</v>
      </c>
      <c r="Q1078" s="585">
        <f t="shared" si="186"/>
        <v>-3.2518989616331595E-2</v>
      </c>
      <c r="R1078" s="585">
        <f t="shared" si="187"/>
        <v>4.3899999999999995E-2</v>
      </c>
      <c r="S1078" s="586">
        <f t="shared" si="188"/>
        <v>-7.641898961633159E-2</v>
      </c>
      <c r="U1078" s="587"/>
      <c r="V1078" s="587"/>
      <c r="W1078" s="587"/>
      <c r="X1078" s="587"/>
      <c r="Y1078" s="587"/>
      <c r="Z1078" s="587"/>
      <c r="AA1078" s="587"/>
      <c r="AB1078" s="587"/>
      <c r="AC1078" s="587"/>
    </row>
    <row r="1079" spans="1:29">
      <c r="A1079" s="597">
        <v>42186</v>
      </c>
      <c r="B1079" s="577">
        <v>2.1000000000000001E-2</v>
      </c>
      <c r="C1079" s="599">
        <v>4.8099999999999997E-2</v>
      </c>
      <c r="D1079" s="577">
        <v>2.3999999999999998E-3</v>
      </c>
      <c r="E1079" s="577">
        <v>3.4583333333333337E-3</v>
      </c>
      <c r="F1079" s="577">
        <v>3.5416666666666669E-3</v>
      </c>
      <c r="G1079" s="577">
        <f t="shared" si="189"/>
        <v>3.5000000000000005E-3</v>
      </c>
      <c r="H1079" s="577">
        <v>3.666666666666667E-3</v>
      </c>
      <c r="I1079" s="577">
        <f t="shared" si="178"/>
        <v>1.8600000000000002E-2</v>
      </c>
      <c r="J1079" s="577">
        <f t="shared" si="182"/>
        <v>1.7500000000000002E-2</v>
      </c>
      <c r="K1079" s="577">
        <f t="shared" si="182"/>
        <v>4.4433333333333332E-2</v>
      </c>
      <c r="L1079" s="585">
        <f t="shared" si="179"/>
        <v>0.11221794347416547</v>
      </c>
      <c r="M1079" s="585">
        <f t="shared" si="180"/>
        <v>2.8799999999999999E-2</v>
      </c>
      <c r="N1079" s="585">
        <f t="shared" si="184"/>
        <v>4.200000000000001E-2</v>
      </c>
      <c r="O1079" s="586">
        <f t="shared" si="181"/>
        <v>8.3417943474165479E-2</v>
      </c>
      <c r="P1079" s="585">
        <f t="shared" si="185"/>
        <v>7.0217943474165462E-2</v>
      </c>
      <c r="Q1079" s="585">
        <f t="shared" si="186"/>
        <v>8.8000908780174525E-2</v>
      </c>
      <c r="R1079" s="585">
        <f t="shared" si="187"/>
        <v>4.4000000000000004E-2</v>
      </c>
      <c r="S1079" s="586">
        <f t="shared" si="188"/>
        <v>4.4000908780174521E-2</v>
      </c>
      <c r="U1079" s="587"/>
      <c r="V1079" s="587"/>
      <c r="W1079" s="587"/>
      <c r="X1079" s="587"/>
      <c r="Y1079" s="587"/>
      <c r="Z1079" s="587"/>
      <c r="AA1079" s="587"/>
      <c r="AB1079" s="587"/>
      <c r="AC1079" s="587"/>
    </row>
    <row r="1080" spans="1:29">
      <c r="A1080" s="597">
        <v>42217</v>
      </c>
      <c r="B1080" s="577">
        <v>-6.0299999999999999E-2</v>
      </c>
      <c r="C1080" s="599">
        <v>-3.9699999999999999E-2</v>
      </c>
      <c r="D1080" s="577">
        <v>2.2000000000000001E-3</v>
      </c>
      <c r="E1080" s="577">
        <v>3.3666666666666667E-3</v>
      </c>
      <c r="F1080" s="577">
        <v>3.4416666666666667E-3</v>
      </c>
      <c r="G1080" s="577">
        <f t="shared" si="189"/>
        <v>3.4041666666666665E-3</v>
      </c>
      <c r="H1080" s="577">
        <v>3.5416666666666669E-3</v>
      </c>
      <c r="I1080" s="577">
        <f t="shared" si="178"/>
        <v>-6.25E-2</v>
      </c>
      <c r="J1080" s="577">
        <f t="shared" si="182"/>
        <v>-6.3704166666666673E-2</v>
      </c>
      <c r="K1080" s="577">
        <f t="shared" si="182"/>
        <v>-4.3241666666666664E-2</v>
      </c>
      <c r="L1080" s="585">
        <f t="shared" si="179"/>
        <v>4.9530783487243824E-3</v>
      </c>
      <c r="M1080" s="585">
        <f t="shared" si="180"/>
        <v>2.64E-2</v>
      </c>
      <c r="N1080" s="585">
        <f t="shared" si="184"/>
        <v>4.0849999999999997E-2</v>
      </c>
      <c r="O1080" s="586">
        <f t="shared" si="181"/>
        <v>-2.1446921651275618E-2</v>
      </c>
      <c r="P1080" s="585">
        <f t="shared" si="185"/>
        <v>-3.5896921651275615E-2</v>
      </c>
      <c r="Q1080" s="585">
        <f t="shared" si="186"/>
        <v>-4.4713933286305574E-3</v>
      </c>
      <c r="R1080" s="585">
        <f t="shared" si="187"/>
        <v>4.2500000000000003E-2</v>
      </c>
      <c r="S1080" s="586">
        <f t="shared" si="188"/>
        <v>-4.697139332863056E-2</v>
      </c>
      <c r="U1080" s="587"/>
      <c r="V1080" s="587"/>
      <c r="W1080" s="587"/>
      <c r="X1080" s="587"/>
      <c r="Y1080" s="587"/>
      <c r="Z1080" s="587"/>
      <c r="AA1080" s="587"/>
      <c r="AB1080" s="587"/>
      <c r="AC1080" s="587"/>
    </row>
    <row r="1081" spans="1:29">
      <c r="A1081" s="597">
        <v>42248</v>
      </c>
      <c r="B1081" s="577">
        <v>-2.47E-2</v>
      </c>
      <c r="C1081" s="599">
        <v>2.9000000000000001E-2</v>
      </c>
      <c r="D1081" s="577">
        <v>2.0999999999999999E-3</v>
      </c>
      <c r="E1081" s="577">
        <v>3.3916666666666665E-3</v>
      </c>
      <c r="F1081" s="577">
        <v>3.5083333333333334E-3</v>
      </c>
      <c r="G1081" s="577">
        <f t="shared" si="189"/>
        <v>3.4499999999999999E-3</v>
      </c>
      <c r="H1081" s="577">
        <v>3.6583333333333329E-3</v>
      </c>
      <c r="I1081" s="577">
        <f t="shared" si="178"/>
        <v>-2.6800000000000001E-2</v>
      </c>
      <c r="J1081" s="577">
        <f t="shared" si="182"/>
        <v>-2.8150000000000001E-2</v>
      </c>
      <c r="K1081" s="577">
        <f t="shared" si="182"/>
        <v>2.5341666666666669E-2</v>
      </c>
      <c r="L1081" s="585">
        <f t="shared" si="179"/>
        <v>-5.9525990735186385E-3</v>
      </c>
      <c r="M1081" s="585">
        <f t="shared" si="180"/>
        <v>2.52E-2</v>
      </c>
      <c r="N1081" s="585">
        <f t="shared" si="184"/>
        <v>4.1399999999999999E-2</v>
      </c>
      <c r="O1081" s="586">
        <f t="shared" si="181"/>
        <v>-3.1152599073518639E-2</v>
      </c>
      <c r="P1081" s="585">
        <f t="shared" si="185"/>
        <v>-4.7352599073518638E-2</v>
      </c>
      <c r="Q1081" s="585">
        <f t="shared" si="186"/>
        <v>4.3813874327326641E-2</v>
      </c>
      <c r="R1081" s="585">
        <f t="shared" si="187"/>
        <v>4.3899999999999995E-2</v>
      </c>
      <c r="S1081" s="586">
        <f t="shared" si="188"/>
        <v>-8.6125672673353915E-5</v>
      </c>
      <c r="U1081" s="587"/>
      <c r="V1081" s="587"/>
      <c r="W1081" s="587"/>
      <c r="X1081" s="587"/>
      <c r="Y1081" s="587"/>
      <c r="Z1081" s="587"/>
      <c r="AA1081" s="587"/>
      <c r="AB1081" s="587"/>
      <c r="AC1081" s="587"/>
    </row>
    <row r="1082" spans="1:29">
      <c r="A1082" s="597">
        <v>42278</v>
      </c>
      <c r="B1082" s="577">
        <v>8.4400000000000003E-2</v>
      </c>
      <c r="C1082" s="599">
        <v>1.0800000000000001E-2</v>
      </c>
      <c r="D1082" s="577">
        <v>2.0999999999999999E-3</v>
      </c>
      <c r="E1082" s="577">
        <v>3.2916666666666667E-3</v>
      </c>
      <c r="F1082" s="577">
        <v>3.4250000000000001E-3</v>
      </c>
      <c r="G1082" s="577">
        <f t="shared" si="189"/>
        <v>3.3583333333333334E-3</v>
      </c>
      <c r="H1082" s="577">
        <v>3.5750000000000001E-3</v>
      </c>
      <c r="I1082" s="577">
        <f t="shared" si="178"/>
        <v>8.2299999999999998E-2</v>
      </c>
      <c r="J1082" s="577">
        <f t="shared" si="182"/>
        <v>8.1041666666666665E-2</v>
      </c>
      <c r="K1082" s="577">
        <f t="shared" si="182"/>
        <v>7.2250000000000005E-3</v>
      </c>
      <c r="L1082" s="585">
        <f t="shared" si="179"/>
        <v>5.2269622769110624E-2</v>
      </c>
      <c r="M1082" s="585">
        <f t="shared" si="180"/>
        <v>2.52E-2</v>
      </c>
      <c r="N1082" s="585">
        <f t="shared" si="184"/>
        <v>4.0300000000000002E-2</v>
      </c>
      <c r="O1082" s="586">
        <f t="shared" si="181"/>
        <v>2.7069622769110624E-2</v>
      </c>
      <c r="P1082" s="585">
        <f t="shared" si="185"/>
        <v>1.1969622769110622E-2</v>
      </c>
      <c r="Q1082" s="585">
        <f t="shared" si="186"/>
        <v>-2.3248413099368648E-2</v>
      </c>
      <c r="R1082" s="585">
        <f t="shared" si="187"/>
        <v>4.2900000000000001E-2</v>
      </c>
      <c r="S1082" s="586">
        <f t="shared" si="188"/>
        <v>-6.6148413099368641E-2</v>
      </c>
      <c r="U1082" s="587"/>
      <c r="V1082" s="587"/>
      <c r="W1082" s="587"/>
      <c r="X1082" s="587"/>
      <c r="Y1082" s="587"/>
      <c r="Z1082" s="587"/>
      <c r="AA1082" s="587"/>
      <c r="AB1082" s="587"/>
      <c r="AC1082" s="587"/>
    </row>
    <row r="1083" spans="1:29">
      <c r="A1083" s="597">
        <v>42309</v>
      </c>
      <c r="B1083" s="577">
        <v>3.0000000000000001E-3</v>
      </c>
      <c r="C1083" s="599">
        <v>-2.1299999999999999E-2</v>
      </c>
      <c r="D1083" s="577">
        <v>2.2000000000000001E-3</v>
      </c>
      <c r="E1083" s="577">
        <v>3.3833333333333332E-3</v>
      </c>
      <c r="F1083" s="577">
        <v>3.5083333333333334E-3</v>
      </c>
      <c r="G1083" s="577">
        <f t="shared" si="189"/>
        <v>3.4458333333333333E-3</v>
      </c>
      <c r="H1083" s="577">
        <v>3.666666666666667E-3</v>
      </c>
      <c r="I1083" s="577">
        <f t="shared" si="178"/>
        <v>7.9999999999999993E-4</v>
      </c>
      <c r="J1083" s="577">
        <f t="shared" si="182"/>
        <v>-4.4583333333333324E-4</v>
      </c>
      <c r="K1083" s="577">
        <f t="shared" si="182"/>
        <v>-2.4966666666666665E-2</v>
      </c>
      <c r="L1083" s="585">
        <f t="shared" si="179"/>
        <v>2.7779171912958756E-2</v>
      </c>
      <c r="M1083" s="585">
        <f t="shared" si="180"/>
        <v>2.64E-2</v>
      </c>
      <c r="N1083" s="585">
        <f t="shared" si="184"/>
        <v>4.1349999999999998E-2</v>
      </c>
      <c r="O1083" s="586">
        <f t="shared" si="181"/>
        <v>1.3791719129587557E-3</v>
      </c>
      <c r="P1083" s="585">
        <f t="shared" si="185"/>
        <v>-1.3570828087041242E-2</v>
      </c>
      <c r="Q1083" s="585">
        <f t="shared" si="186"/>
        <v>-5.538855919007124E-2</v>
      </c>
      <c r="R1083" s="585">
        <f t="shared" si="187"/>
        <v>4.4000000000000004E-2</v>
      </c>
      <c r="S1083" s="586">
        <f t="shared" si="188"/>
        <v>-9.9388559190071252E-2</v>
      </c>
      <c r="U1083" s="587"/>
      <c r="V1083" s="587"/>
      <c r="W1083" s="587"/>
      <c r="X1083" s="587"/>
      <c r="Y1083" s="587"/>
      <c r="Z1083" s="587"/>
      <c r="AA1083" s="587"/>
      <c r="AB1083" s="587"/>
      <c r="AC1083" s="587"/>
    </row>
    <row r="1084" spans="1:29">
      <c r="A1084" s="597">
        <v>42339</v>
      </c>
      <c r="B1084" s="577">
        <v>-1.5800000000000002E-2</v>
      </c>
      <c r="C1084" s="599">
        <v>2.1600000000000001E-2</v>
      </c>
      <c r="D1084" s="577">
        <v>2.2000000000000001E-3</v>
      </c>
      <c r="E1084" s="577">
        <v>3.3083333333333333E-3</v>
      </c>
      <c r="F1084" s="577">
        <v>3.4666666666666669E-3</v>
      </c>
      <c r="G1084" s="577">
        <f t="shared" si="189"/>
        <v>3.3874999999999999E-3</v>
      </c>
      <c r="H1084" s="577">
        <v>3.6249999999999998E-3</v>
      </c>
      <c r="I1084" s="577">
        <f t="shared" si="178"/>
        <v>-1.8000000000000002E-2</v>
      </c>
      <c r="J1084" s="577">
        <f t="shared" si="182"/>
        <v>-1.9187500000000003E-2</v>
      </c>
      <c r="K1084" s="577">
        <f t="shared" si="182"/>
        <v>1.7975000000000001E-2</v>
      </c>
      <c r="L1084" s="585">
        <f t="shared" si="179"/>
        <v>1.4075449620785996E-2</v>
      </c>
      <c r="M1084" s="585">
        <f t="shared" si="180"/>
        <v>2.64E-2</v>
      </c>
      <c r="N1084" s="585">
        <f t="shared" si="184"/>
        <v>4.0649999999999999E-2</v>
      </c>
      <c r="O1084" s="586">
        <f t="shared" si="181"/>
        <v>-1.2324550379214004E-2</v>
      </c>
      <c r="P1084" s="585">
        <f t="shared" si="185"/>
        <v>-2.6574550379214003E-2</v>
      </c>
      <c r="Q1084" s="585">
        <f t="shared" si="186"/>
        <v>-6.7618311177368939E-2</v>
      </c>
      <c r="R1084" s="585">
        <f t="shared" si="187"/>
        <v>4.3499999999999997E-2</v>
      </c>
      <c r="S1084" s="586">
        <f t="shared" si="188"/>
        <v>-0.11111831117736894</v>
      </c>
      <c r="U1084" s="587"/>
      <c r="V1084" s="587"/>
      <c r="W1084" s="587"/>
      <c r="X1084" s="587"/>
      <c r="Y1084" s="587"/>
      <c r="Z1084" s="587"/>
      <c r="AA1084" s="587"/>
      <c r="AB1084" s="587"/>
      <c r="AC1084" s="587"/>
    </row>
    <row r="1085" spans="1:29">
      <c r="A1085" s="600">
        <v>42370</v>
      </c>
      <c r="B1085" s="577">
        <v>-4.9599999999999998E-2</v>
      </c>
      <c r="C1085" s="599">
        <v>4.9222952667868664E-2</v>
      </c>
      <c r="D1085" s="577">
        <v>2.0999999999999999E-3</v>
      </c>
      <c r="E1085" s="577">
        <v>3.3333333333333331E-3</v>
      </c>
      <c r="F1085" s="577">
        <v>3.4333333333333334E-3</v>
      </c>
      <c r="G1085" s="577">
        <f t="shared" si="189"/>
        <v>3.3833333333333332E-3</v>
      </c>
      <c r="H1085" s="577">
        <v>3.5583333333333326E-3</v>
      </c>
      <c r="I1085" s="577">
        <f t="shared" si="178"/>
        <v>-5.1699999999999996E-2</v>
      </c>
      <c r="J1085" s="577">
        <f t="shared" si="182"/>
        <v>-5.2983333333333334E-2</v>
      </c>
      <c r="K1085" s="577">
        <f t="shared" si="182"/>
        <v>4.5664619334535334E-2</v>
      </c>
      <c r="L1085" s="585">
        <f t="shared" si="179"/>
        <v>-6.4151470932010124E-3</v>
      </c>
      <c r="M1085" s="585">
        <f t="shared" si="180"/>
        <v>2.52E-2</v>
      </c>
      <c r="N1085" s="585">
        <f t="shared" si="184"/>
        <v>4.0599999999999997E-2</v>
      </c>
      <c r="O1085" s="586">
        <f t="shared" si="181"/>
        <v>-3.1615147093201013E-2</v>
      </c>
      <c r="P1085" s="585">
        <f t="shared" si="185"/>
        <v>-4.701514709320101E-2</v>
      </c>
      <c r="Q1085" s="585">
        <f t="shared" si="186"/>
        <v>-4.3998564878398483E-2</v>
      </c>
      <c r="R1085" s="585">
        <f t="shared" si="187"/>
        <v>4.2699999999999988E-2</v>
      </c>
      <c r="S1085" s="586">
        <f t="shared" si="188"/>
        <v>-8.6698564878398471E-2</v>
      </c>
    </row>
    <row r="1086" spans="1:29">
      <c r="A1086" s="600">
        <v>42401</v>
      </c>
      <c r="B1086" s="577">
        <v>-1.2999999999999999E-3</v>
      </c>
      <c r="C1086" s="599">
        <v>1.94081804074543E-2</v>
      </c>
      <c r="D1086" s="577">
        <v>2E-3</v>
      </c>
      <c r="E1086" s="577">
        <v>3.3E-3</v>
      </c>
      <c r="F1086" s="577">
        <v>3.3166666666666665E-3</v>
      </c>
      <c r="G1086" s="577">
        <f t="shared" si="189"/>
        <v>3.3083333333333333E-3</v>
      </c>
      <c r="H1086" s="577">
        <v>3.4250000000000001E-3</v>
      </c>
      <c r="I1086" s="577">
        <f t="shared" si="178"/>
        <v>-3.3E-3</v>
      </c>
      <c r="J1086" s="577">
        <f t="shared" si="182"/>
        <v>-4.6083333333333332E-3</v>
      </c>
      <c r="K1086" s="577">
        <f t="shared" si="182"/>
        <v>1.5983180407454299E-2</v>
      </c>
      <c r="L1086" s="585">
        <f t="shared" si="179"/>
        <v>-6.1661283595253025E-2</v>
      </c>
      <c r="M1086" s="585">
        <f t="shared" si="180"/>
        <v>2.4E-2</v>
      </c>
      <c r="N1086" s="585">
        <f t="shared" si="184"/>
        <v>3.9699999999999999E-2</v>
      </c>
      <c r="O1086" s="586">
        <f t="shared" si="181"/>
        <v>-8.5661283595253018E-2</v>
      </c>
      <c r="P1086" s="585">
        <f t="shared" si="185"/>
        <v>-0.10136128359525302</v>
      </c>
      <c r="Q1086" s="585">
        <f t="shared" si="186"/>
        <v>4.0413882186641326E-2</v>
      </c>
      <c r="R1086" s="585">
        <f t="shared" si="187"/>
        <v>4.1099999999999998E-2</v>
      </c>
      <c r="S1086" s="586">
        <f t="shared" si="188"/>
        <v>-6.8611781335867206E-4</v>
      </c>
    </row>
    <row r="1087" spans="1:29">
      <c r="A1087" s="600">
        <v>42430</v>
      </c>
      <c r="B1087" s="577">
        <v>6.7799999999999999E-2</v>
      </c>
      <c r="C1087" s="599">
        <v>8.14E-2</v>
      </c>
      <c r="D1087" s="577">
        <v>1.8E-3</v>
      </c>
      <c r="E1087" s="577">
        <v>3.1833333333333332E-3</v>
      </c>
      <c r="F1087" s="577">
        <v>3.2583333333333336E-3</v>
      </c>
      <c r="G1087" s="577">
        <f t="shared" si="189"/>
        <v>3.2208333333333334E-3</v>
      </c>
      <c r="H1087" s="577">
        <v>3.4666666666666669E-3</v>
      </c>
      <c r="I1087" s="577">
        <f t="shared" si="178"/>
        <v>6.6000000000000003E-2</v>
      </c>
      <c r="J1087" s="577">
        <f t="shared" si="182"/>
        <v>6.457916666666666E-2</v>
      </c>
      <c r="K1087" s="577">
        <f t="shared" si="182"/>
        <v>7.7933333333333327E-2</v>
      </c>
      <c r="L1087" s="585">
        <f t="shared" si="179"/>
        <v>1.8043163358046677E-2</v>
      </c>
      <c r="M1087" s="585">
        <f t="shared" si="180"/>
        <v>2.1600000000000001E-2</v>
      </c>
      <c r="N1087" s="585">
        <f t="shared" si="184"/>
        <v>3.8650000000000004E-2</v>
      </c>
      <c r="O1087" s="586">
        <f t="shared" si="181"/>
        <v>-3.5568366419533246E-3</v>
      </c>
      <c r="P1087" s="585">
        <f t="shared" si="185"/>
        <v>-2.0606836641953327E-2</v>
      </c>
      <c r="Q1087" s="585">
        <f t="shared" si="186"/>
        <v>0.13064372645626965</v>
      </c>
      <c r="R1087" s="585">
        <f t="shared" si="187"/>
        <v>4.1600000000000005E-2</v>
      </c>
      <c r="S1087" s="586">
        <f t="shared" si="188"/>
        <v>8.9043726456269651E-2</v>
      </c>
    </row>
    <row r="1088" spans="1:29">
      <c r="A1088" s="600">
        <v>42461</v>
      </c>
      <c r="B1088" s="577">
        <v>3.8999999999999998E-3</v>
      </c>
      <c r="C1088" s="599">
        <v>-2.41E-2</v>
      </c>
      <c r="D1088" s="577">
        <v>1.6999999999999999E-3</v>
      </c>
      <c r="E1088" s="577">
        <v>3.1833333333333332E-3</v>
      </c>
      <c r="F1088" s="577">
        <v>3.2583333333333336E-3</v>
      </c>
      <c r="G1088" s="577">
        <f t="shared" si="189"/>
        <v>3.2208333333333334E-3</v>
      </c>
      <c r="H1088" s="577">
        <v>3.4666666666666669E-3</v>
      </c>
      <c r="I1088" s="577">
        <f t="shared" si="178"/>
        <v>2.1999999999999997E-3</v>
      </c>
      <c r="J1088" s="577">
        <f t="shared" si="182"/>
        <v>6.7916666666666646E-4</v>
      </c>
      <c r="K1088" s="577">
        <f t="shared" si="182"/>
        <v>-2.7566666666666666E-2</v>
      </c>
      <c r="L1088" s="585">
        <f t="shared" si="179"/>
        <v>1.2295494943683316E-2</v>
      </c>
      <c r="M1088" s="585">
        <f t="shared" si="180"/>
        <v>2.0399999999999998E-2</v>
      </c>
      <c r="N1088" s="585">
        <f t="shared" si="184"/>
        <v>3.8650000000000004E-2</v>
      </c>
      <c r="O1088" s="586">
        <f t="shared" si="181"/>
        <v>-8.1045050563166819E-3</v>
      </c>
      <c r="P1088" s="585">
        <f t="shared" si="185"/>
        <v>-2.6354505056316688E-2</v>
      </c>
      <c r="Q1088" s="585">
        <f t="shared" si="186"/>
        <v>0.11781502649039965</v>
      </c>
      <c r="R1088" s="585">
        <f t="shared" si="187"/>
        <v>4.1600000000000005E-2</v>
      </c>
      <c r="S1088" s="586">
        <f t="shared" si="188"/>
        <v>7.6215026490399657E-2</v>
      </c>
    </row>
    <row r="1089" spans="1:19">
      <c r="A1089" s="600">
        <v>42491</v>
      </c>
      <c r="B1089" s="577">
        <v>1.7999999999999999E-2</v>
      </c>
      <c r="C1089" s="599">
        <v>1.5100000000000001E-2</v>
      </c>
      <c r="D1089" s="577">
        <v>2E-3</v>
      </c>
      <c r="E1089" s="577">
        <v>3.0416666666666665E-3</v>
      </c>
      <c r="F1089" s="577">
        <v>3.0833333333333333E-3</v>
      </c>
      <c r="G1089" s="577">
        <f t="shared" si="189"/>
        <v>3.0625000000000001E-3</v>
      </c>
      <c r="H1089" s="577">
        <v>3.2750000000000001E-3</v>
      </c>
      <c r="I1089" s="577">
        <f t="shared" si="178"/>
        <v>1.6E-2</v>
      </c>
      <c r="J1089" s="577">
        <f t="shared" si="182"/>
        <v>1.4937499999999999E-2</v>
      </c>
      <c r="K1089" s="577">
        <f t="shared" si="182"/>
        <v>1.1825E-2</v>
      </c>
      <c r="L1089" s="585">
        <f t="shared" si="179"/>
        <v>1.7392451231779793E-2</v>
      </c>
      <c r="M1089" s="585">
        <f t="shared" si="180"/>
        <v>2.4E-2</v>
      </c>
      <c r="N1089" s="585">
        <f t="shared" si="184"/>
        <v>3.6750000000000005E-2</v>
      </c>
      <c r="O1089" s="586">
        <f t="shared" si="181"/>
        <v>-6.6075487682202075E-3</v>
      </c>
      <c r="P1089" s="585">
        <f t="shared" si="185"/>
        <v>-1.9357548768220212E-2</v>
      </c>
      <c r="Q1089" s="585">
        <f t="shared" si="186"/>
        <v>0.12736615339334789</v>
      </c>
      <c r="R1089" s="585">
        <f t="shared" si="187"/>
        <v>3.9300000000000002E-2</v>
      </c>
      <c r="S1089" s="586">
        <f t="shared" si="188"/>
        <v>8.806615339334789E-2</v>
      </c>
    </row>
    <row r="1090" spans="1:19">
      <c r="A1090" s="600">
        <v>42522</v>
      </c>
      <c r="B1090" s="577">
        <v>2.5999999999999999E-3</v>
      </c>
      <c r="C1090" s="599">
        <v>7.7899999999999997E-2</v>
      </c>
      <c r="D1090" s="577">
        <v>1.8E-3</v>
      </c>
      <c r="E1090" s="577">
        <v>2.9166666666666668E-3</v>
      </c>
      <c r="F1090" s="577">
        <v>3.0000000000000001E-3</v>
      </c>
      <c r="G1090" s="577">
        <f t="shared" si="189"/>
        <v>2.9583333333333336E-3</v>
      </c>
      <c r="H1090" s="577">
        <v>3.15E-3</v>
      </c>
      <c r="I1090" s="577">
        <f t="shared" si="178"/>
        <v>7.9999999999999993E-4</v>
      </c>
      <c r="J1090" s="577">
        <f t="shared" si="182"/>
        <v>-3.5833333333333377E-4</v>
      </c>
      <c r="K1090" s="577">
        <f t="shared" si="182"/>
        <v>7.4749999999999997E-2</v>
      </c>
      <c r="L1090" s="585">
        <f t="shared" si="179"/>
        <v>4.0217898842527688E-2</v>
      </c>
      <c r="M1090" s="585">
        <f t="shared" si="180"/>
        <v>2.1600000000000001E-2</v>
      </c>
      <c r="N1090" s="585">
        <f t="shared" si="184"/>
        <v>3.5500000000000004E-2</v>
      </c>
      <c r="O1090" s="586">
        <f t="shared" si="181"/>
        <v>1.8617898842527687E-2</v>
      </c>
      <c r="P1090" s="585">
        <f t="shared" si="185"/>
        <v>4.7178988425276847E-3</v>
      </c>
      <c r="Q1090" s="585">
        <f t="shared" si="186"/>
        <v>0.2927531667475427</v>
      </c>
      <c r="R1090" s="585">
        <f t="shared" si="187"/>
        <v>3.78E-2</v>
      </c>
      <c r="S1090" s="586">
        <f t="shared" si="188"/>
        <v>0.2549531667475427</v>
      </c>
    </row>
    <row r="1091" spans="1:19">
      <c r="A1091" s="600">
        <v>42552</v>
      </c>
      <c r="B1091" s="577">
        <v>3.6900000000000002E-2</v>
      </c>
      <c r="C1091" s="599">
        <v>-8.0000000000000002E-3</v>
      </c>
      <c r="D1091" s="577">
        <v>1.4E-3</v>
      </c>
      <c r="E1091" s="577">
        <v>2.7333333333333337E-3</v>
      </c>
      <c r="F1091" s="577">
        <v>2.8250000000000003E-3</v>
      </c>
      <c r="G1091" s="577">
        <f t="shared" si="189"/>
        <v>2.7791666666666668E-3</v>
      </c>
      <c r="H1091" s="577">
        <v>2.9749999999999998E-3</v>
      </c>
      <c r="I1091" s="577">
        <f t="shared" si="178"/>
        <v>3.5500000000000004E-2</v>
      </c>
      <c r="J1091" s="577">
        <f t="shared" si="182"/>
        <v>3.4120833333333336E-2</v>
      </c>
      <c r="K1091" s="577">
        <f t="shared" si="182"/>
        <v>-1.0975E-2</v>
      </c>
      <c r="L1091" s="585">
        <f t="shared" si="179"/>
        <v>5.641717856005557E-2</v>
      </c>
      <c r="M1091" s="585">
        <f t="shared" si="180"/>
        <v>1.6799999999999999E-2</v>
      </c>
      <c r="N1091" s="585">
        <f t="shared" si="184"/>
        <v>3.3350000000000005E-2</v>
      </c>
      <c r="O1091" s="586">
        <f t="shared" si="181"/>
        <v>3.9617178560055574E-2</v>
      </c>
      <c r="P1091" s="585">
        <f t="shared" si="185"/>
        <v>2.3067178560055565E-2</v>
      </c>
      <c r="Q1091" s="585">
        <f t="shared" si="186"/>
        <v>0.22355800153951177</v>
      </c>
      <c r="R1091" s="585">
        <f t="shared" si="187"/>
        <v>3.5699999999999996E-2</v>
      </c>
      <c r="S1091" s="586">
        <f t="shared" si="188"/>
        <v>0.18785800153951177</v>
      </c>
    </row>
    <row r="1092" spans="1:19">
      <c r="A1092" s="600">
        <v>42583</v>
      </c>
      <c r="B1092" s="577">
        <v>1.4E-3</v>
      </c>
      <c r="C1092" s="599">
        <v>-5.5100000000000003E-2</v>
      </c>
      <c r="D1092" s="577">
        <v>1.6000000000000001E-3</v>
      </c>
      <c r="E1092" s="577">
        <v>2.7666666666666668E-3</v>
      </c>
      <c r="F1092" s="577">
        <v>2.8499999999999997E-3</v>
      </c>
      <c r="G1092" s="577">
        <f t="shared" si="189"/>
        <v>2.8083333333333333E-3</v>
      </c>
      <c r="H1092" s="577">
        <v>2.9916666666666663E-3</v>
      </c>
      <c r="I1092" s="577">
        <f t="shared" si="178"/>
        <v>-2.0000000000000009E-4</v>
      </c>
      <c r="J1092" s="577">
        <f t="shared" si="182"/>
        <v>-1.4083333333333333E-3</v>
      </c>
      <c r="K1092" s="577">
        <f t="shared" si="182"/>
        <v>-5.8091666666666666E-2</v>
      </c>
      <c r="L1092" s="585">
        <f t="shared" si="179"/>
        <v>0.12578074131109873</v>
      </c>
      <c r="M1092" s="585">
        <f t="shared" si="180"/>
        <v>1.9200000000000002E-2</v>
      </c>
      <c r="N1092" s="585">
        <f t="shared" si="184"/>
        <v>3.3700000000000001E-2</v>
      </c>
      <c r="O1092" s="586">
        <f t="shared" si="181"/>
        <v>0.10658074131109874</v>
      </c>
      <c r="P1092" s="585">
        <f t="shared" si="185"/>
        <v>9.2080741311098724E-2</v>
      </c>
      <c r="Q1092" s="585">
        <f t="shared" si="186"/>
        <v>0.20393622373704501</v>
      </c>
      <c r="R1092" s="585">
        <f t="shared" si="187"/>
        <v>3.5899999999999994E-2</v>
      </c>
      <c r="S1092" s="586">
        <f t="shared" si="188"/>
        <v>0.16803622373704502</v>
      </c>
    </row>
    <row r="1093" spans="1:19">
      <c r="A1093" s="600">
        <v>42614</v>
      </c>
      <c r="B1093" s="577">
        <v>2.0000000000000001E-4</v>
      </c>
      <c r="C1093" s="599">
        <v>4.0000000000000001E-3</v>
      </c>
      <c r="D1093" s="577">
        <v>1.5E-3</v>
      </c>
      <c r="E1093" s="577">
        <v>2.8416666666666668E-3</v>
      </c>
      <c r="F1093" s="577">
        <v>2.9166666666666668E-3</v>
      </c>
      <c r="G1093" s="577">
        <f t="shared" si="189"/>
        <v>2.879166666666667E-3</v>
      </c>
      <c r="H1093" s="577">
        <v>3.0499999999999998E-3</v>
      </c>
      <c r="I1093" s="577">
        <f t="shared" si="178"/>
        <v>-1.2999999999999999E-3</v>
      </c>
      <c r="J1093" s="577">
        <f t="shared" si="182"/>
        <v>-2.6791666666666669E-3</v>
      </c>
      <c r="K1093" s="577">
        <f t="shared" si="182"/>
        <v>9.5000000000000032E-4</v>
      </c>
      <c r="L1093" s="585">
        <f t="shared" si="179"/>
        <v>0.15452260582319388</v>
      </c>
      <c r="M1093" s="585">
        <f t="shared" si="180"/>
        <v>1.8000000000000002E-2</v>
      </c>
      <c r="N1093" s="585">
        <f t="shared" si="184"/>
        <v>3.4550000000000004E-2</v>
      </c>
      <c r="O1093" s="586">
        <f t="shared" si="181"/>
        <v>0.13652260582319387</v>
      </c>
      <c r="P1093" s="585">
        <f t="shared" si="185"/>
        <v>0.11997260582319388</v>
      </c>
      <c r="Q1093" s="585">
        <f t="shared" si="186"/>
        <v>0.17468607252866231</v>
      </c>
      <c r="R1093" s="585">
        <f t="shared" si="187"/>
        <v>3.6599999999999994E-2</v>
      </c>
      <c r="S1093" s="586">
        <f t="shared" si="188"/>
        <v>0.13808607252866231</v>
      </c>
    </row>
    <row r="1094" spans="1:19">
      <c r="A1094" s="600">
        <v>42644</v>
      </c>
      <c r="B1094" s="577">
        <v>-1.8200000000000001E-2</v>
      </c>
      <c r="C1094" s="599">
        <v>8.6E-3</v>
      </c>
      <c r="D1094" s="577">
        <v>1.6000000000000001E-3</v>
      </c>
      <c r="E1094" s="577">
        <v>2.8416666666666668E-3</v>
      </c>
      <c r="F1094" s="577">
        <v>2.9166666666666668E-3</v>
      </c>
      <c r="G1094" s="577">
        <f t="shared" si="189"/>
        <v>2.879166666666667E-3</v>
      </c>
      <c r="H1094" s="577">
        <v>3.0499999999999998E-3</v>
      </c>
      <c r="I1094" s="577">
        <f t="shared" ref="I1094:I1144" si="190">B1094-D1094</f>
        <v>-1.9800000000000002E-2</v>
      </c>
      <c r="J1094" s="577">
        <f t="shared" si="182"/>
        <v>-2.107916666666667E-2</v>
      </c>
      <c r="K1094" s="577">
        <f t="shared" si="182"/>
        <v>5.5500000000000002E-3</v>
      </c>
      <c r="L1094" s="585">
        <f t="shared" si="179"/>
        <v>4.5287988193666751E-2</v>
      </c>
      <c r="M1094" s="585">
        <f t="shared" si="180"/>
        <v>1.9200000000000002E-2</v>
      </c>
      <c r="N1094" s="585">
        <f t="shared" si="184"/>
        <v>3.4550000000000004E-2</v>
      </c>
      <c r="O1094" s="586">
        <f t="shared" si="181"/>
        <v>2.6087988193666749E-2</v>
      </c>
      <c r="P1094" s="585">
        <f t="shared" si="185"/>
        <v>1.0737988193666746E-2</v>
      </c>
      <c r="Q1094" s="585">
        <f t="shared" si="186"/>
        <v>0.17212937549704077</v>
      </c>
      <c r="R1094" s="585">
        <f t="shared" si="187"/>
        <v>3.6599999999999994E-2</v>
      </c>
      <c r="S1094" s="586">
        <f t="shared" si="188"/>
        <v>0.13552937549704078</v>
      </c>
    </row>
    <row r="1095" spans="1:19">
      <c r="A1095" s="600">
        <v>42675</v>
      </c>
      <c r="B1095" s="577">
        <v>3.6999999999999998E-2</v>
      </c>
      <c r="C1095" s="599">
        <v>-5.3900000000000003E-2</v>
      </c>
      <c r="D1095" s="577">
        <v>1.8E-3</v>
      </c>
      <c r="E1095" s="577">
        <v>3.2166666666666667E-3</v>
      </c>
      <c r="F1095" s="577">
        <v>3.2750000000000001E-3</v>
      </c>
      <c r="G1095" s="577">
        <f t="shared" si="189"/>
        <v>3.2458333333333332E-3</v>
      </c>
      <c r="H1095" s="577">
        <v>3.4000000000000002E-3</v>
      </c>
      <c r="I1095" s="577">
        <f t="shared" si="190"/>
        <v>3.5199999999999995E-2</v>
      </c>
      <c r="J1095" s="577">
        <f t="shared" si="182"/>
        <v>3.3754166666666668E-2</v>
      </c>
      <c r="K1095" s="577">
        <f t="shared" si="182"/>
        <v>-5.7300000000000004E-2</v>
      </c>
      <c r="L1095" s="585">
        <f t="shared" si="179"/>
        <v>8.0721479318875522E-2</v>
      </c>
      <c r="M1095" s="585">
        <f t="shared" si="180"/>
        <v>2.1600000000000001E-2</v>
      </c>
      <c r="N1095" s="585">
        <f t="shared" si="184"/>
        <v>3.8949999999999999E-2</v>
      </c>
      <c r="O1095" s="586">
        <f t="shared" si="181"/>
        <v>5.9121479318875521E-2</v>
      </c>
      <c r="P1095" s="585">
        <f t="shared" si="185"/>
        <v>4.1771479318875523E-2</v>
      </c>
      <c r="Q1095" s="585">
        <f t="shared" si="186"/>
        <v>0.13308634122586094</v>
      </c>
      <c r="R1095" s="585">
        <f t="shared" si="187"/>
        <v>4.0800000000000003E-2</v>
      </c>
      <c r="S1095" s="586">
        <f t="shared" si="188"/>
        <v>9.2286341225860935E-2</v>
      </c>
    </row>
    <row r="1096" spans="1:19" s="577" customFormat="1">
      <c r="A1096" s="600">
        <v>42705</v>
      </c>
      <c r="B1096" s="577">
        <v>1.9800000000000002E-2</v>
      </c>
      <c r="C1096" s="599">
        <v>4.9399999999999999E-2</v>
      </c>
      <c r="D1096" s="577">
        <v>2.2000000000000001E-3</v>
      </c>
      <c r="E1096" s="577">
        <v>3.3833333333333332E-3</v>
      </c>
      <c r="F1096" s="577">
        <v>3.4333333333333334E-3</v>
      </c>
      <c r="G1096" s="577">
        <f t="shared" si="189"/>
        <v>3.4083333333333335E-3</v>
      </c>
      <c r="H1096" s="577">
        <v>3.5583333333333326E-3</v>
      </c>
      <c r="I1096" s="577">
        <f t="shared" si="190"/>
        <v>1.7600000000000001E-2</v>
      </c>
      <c r="J1096" s="577">
        <f t="shared" si="182"/>
        <v>1.6391666666666669E-2</v>
      </c>
      <c r="K1096" s="577">
        <f t="shared" si="182"/>
        <v>4.5841666666666669E-2</v>
      </c>
      <c r="L1096" s="585">
        <f t="shared" si="179"/>
        <v>0.11981280695934715</v>
      </c>
      <c r="M1096" s="585">
        <f t="shared" si="180"/>
        <v>2.64E-2</v>
      </c>
      <c r="N1096" s="585">
        <f t="shared" si="184"/>
        <v>4.0900000000000006E-2</v>
      </c>
      <c r="O1096" s="586">
        <f t="shared" si="181"/>
        <v>9.3412806959347144E-2</v>
      </c>
      <c r="P1096" s="585">
        <f t="shared" si="185"/>
        <v>7.8912806959347145E-2</v>
      </c>
      <c r="Q1096" s="585">
        <f t="shared" si="186"/>
        <v>0.16392013163901531</v>
      </c>
      <c r="R1096" s="585">
        <f t="shared" si="187"/>
        <v>4.2699999999999988E-2</v>
      </c>
      <c r="S1096" s="586">
        <f t="shared" si="188"/>
        <v>0.12122013163901532</v>
      </c>
    </row>
    <row r="1097" spans="1:19" s="577" customFormat="1">
      <c r="A1097" s="600">
        <v>42736</v>
      </c>
      <c r="B1097" s="577">
        <v>1.9E-2</v>
      </c>
      <c r="C1097" s="577">
        <v>1.26E-2</v>
      </c>
      <c r="D1097" s="577">
        <v>2.3999999999999998E-3</v>
      </c>
      <c r="E1097" s="577">
        <v>3.2666666666666664E-3</v>
      </c>
      <c r="F1097" s="577">
        <v>3.3166666666666665E-3</v>
      </c>
      <c r="G1097" s="577">
        <f t="shared" si="189"/>
        <v>3.2916666666666667E-3</v>
      </c>
      <c r="H1097" s="577">
        <v>3.3E-3</v>
      </c>
      <c r="I1097" s="577">
        <f t="shared" si="190"/>
        <v>1.66E-2</v>
      </c>
      <c r="J1097" s="577">
        <f t="shared" si="182"/>
        <v>1.5708333333333331E-2</v>
      </c>
      <c r="K1097" s="577">
        <f t="shared" si="182"/>
        <v>9.2999999999999992E-3</v>
      </c>
      <c r="L1097" s="585">
        <f t="shared" si="179"/>
        <v>0.20064104618221212</v>
      </c>
      <c r="M1097" s="585">
        <f t="shared" si="180"/>
        <v>2.8799999999999999E-2</v>
      </c>
      <c r="N1097" s="585">
        <f t="shared" si="184"/>
        <v>3.95E-2</v>
      </c>
      <c r="O1097" s="586">
        <f t="shared" si="181"/>
        <v>0.17184104618221213</v>
      </c>
      <c r="P1097" s="585">
        <f t="shared" si="185"/>
        <v>0.16114104618221212</v>
      </c>
      <c r="Q1097" s="585">
        <f t="shared" si="186"/>
        <v>0.12329369301430848</v>
      </c>
      <c r="R1097" s="585">
        <f t="shared" si="187"/>
        <v>3.9599999999999996E-2</v>
      </c>
      <c r="S1097" s="586">
        <f t="shared" si="188"/>
        <v>8.3693693014308485E-2</v>
      </c>
    </row>
    <row r="1098" spans="1:19" s="577" customFormat="1">
      <c r="A1098" s="600">
        <v>42767</v>
      </c>
      <c r="B1098" s="577">
        <v>3.9699999999999999E-2</v>
      </c>
      <c r="C1098" s="577">
        <v>5.2600000000000001E-2</v>
      </c>
      <c r="D1098" s="577">
        <v>2.0999999999999999E-3</v>
      </c>
      <c r="E1098" s="577">
        <v>3.2916666666666667E-3</v>
      </c>
      <c r="F1098" s="577">
        <v>3.3416666666666668E-3</v>
      </c>
      <c r="G1098" s="577">
        <f t="shared" si="189"/>
        <v>3.3166666666666665E-3</v>
      </c>
      <c r="H1098" s="577">
        <v>3.3250000000000003E-3</v>
      </c>
      <c r="I1098" s="577">
        <f t="shared" si="190"/>
        <v>3.7600000000000001E-2</v>
      </c>
      <c r="J1098" s="577">
        <f t="shared" si="182"/>
        <v>3.638333333333333E-2</v>
      </c>
      <c r="K1098" s="577">
        <f t="shared" si="182"/>
        <v>4.9274999999999999E-2</v>
      </c>
      <c r="L1098" s="585">
        <f t="shared" si="179"/>
        <v>0.24993140654415336</v>
      </c>
      <c r="M1098" s="585">
        <f t="shared" si="180"/>
        <v>2.52E-2</v>
      </c>
      <c r="N1098" s="585">
        <f t="shared" si="184"/>
        <v>3.9800000000000002E-2</v>
      </c>
      <c r="O1098" s="586">
        <f t="shared" si="181"/>
        <v>0.22473140654415336</v>
      </c>
      <c r="P1098" s="585">
        <f t="shared" si="185"/>
        <v>0.21013140654415335</v>
      </c>
      <c r="Q1098" s="585">
        <f t="shared" si="186"/>
        <v>0.15986801360988445</v>
      </c>
      <c r="R1098" s="585">
        <f t="shared" si="187"/>
        <v>3.9900000000000005E-2</v>
      </c>
      <c r="S1098" s="586">
        <f t="shared" si="188"/>
        <v>0.11996801360988445</v>
      </c>
    </row>
    <row r="1099" spans="1:19" s="577" customFormat="1">
      <c r="A1099" s="600">
        <v>42795</v>
      </c>
      <c r="B1099" s="577">
        <v>1.1999999999999999E-3</v>
      </c>
      <c r="C1099" s="577">
        <v>2.98E-2</v>
      </c>
      <c r="D1099" s="577">
        <v>2.3E-3</v>
      </c>
      <c r="E1099" s="577">
        <v>3.2916666666666667E-3</v>
      </c>
      <c r="F1099" s="577">
        <v>3.3416666666666668E-3</v>
      </c>
      <c r="G1099" s="577">
        <f t="shared" si="189"/>
        <v>3.3166666666666665E-3</v>
      </c>
      <c r="H1099" s="577">
        <v>3.3250000000000003E-3</v>
      </c>
      <c r="I1099" s="577">
        <f t="shared" si="190"/>
        <v>-1.1000000000000001E-3</v>
      </c>
      <c r="J1099" s="577">
        <f t="shared" si="182"/>
        <v>-2.1166666666666669E-3</v>
      </c>
      <c r="K1099" s="577">
        <f t="shared" si="182"/>
        <v>2.6474999999999999E-2</v>
      </c>
      <c r="L1099" s="585">
        <f t="shared" si="179"/>
        <v>0.17197164659300102</v>
      </c>
      <c r="M1099" s="585">
        <f t="shared" si="180"/>
        <v>2.76E-2</v>
      </c>
      <c r="N1099" s="585">
        <f t="shared" si="184"/>
        <v>3.9800000000000002E-2</v>
      </c>
      <c r="O1099" s="586">
        <f t="shared" si="181"/>
        <v>0.144371646593001</v>
      </c>
      <c r="P1099" s="585">
        <f t="shared" si="185"/>
        <v>0.13217164659300101</v>
      </c>
      <c r="Q1099" s="585">
        <f t="shared" si="186"/>
        <v>0.10452383985154334</v>
      </c>
      <c r="R1099" s="585">
        <f t="shared" si="187"/>
        <v>3.9900000000000005E-2</v>
      </c>
      <c r="S1099" s="586">
        <f t="shared" si="188"/>
        <v>6.4623839851543338E-2</v>
      </c>
    </row>
    <row r="1100" spans="1:19" s="577" customFormat="1">
      <c r="A1100" s="600">
        <v>42826</v>
      </c>
      <c r="B1100" s="577">
        <v>1.03E-2</v>
      </c>
      <c r="C1100" s="577">
        <v>7.7999999999999996E-3</v>
      </c>
      <c r="D1100" s="577">
        <v>2.0999999999999999E-3</v>
      </c>
      <c r="E1100" s="577">
        <v>3.225E-3</v>
      </c>
      <c r="F1100" s="577">
        <v>3.2750000000000001E-3</v>
      </c>
      <c r="G1100" s="577">
        <f t="shared" si="189"/>
        <v>3.2500000000000003E-3</v>
      </c>
      <c r="H1100" s="577">
        <v>3.2750000000000001E-3</v>
      </c>
      <c r="I1100" s="577">
        <f t="shared" si="190"/>
        <v>8.2000000000000007E-3</v>
      </c>
      <c r="J1100" s="577">
        <f t="shared" si="182"/>
        <v>7.0499999999999998E-3</v>
      </c>
      <c r="K1100" s="577">
        <f t="shared" si="182"/>
        <v>4.5249999999999995E-3</v>
      </c>
      <c r="L1100" s="585">
        <f t="shared" si="179"/>
        <v>0.17944312636010462</v>
      </c>
      <c r="M1100" s="585">
        <f t="shared" si="180"/>
        <v>2.52E-2</v>
      </c>
      <c r="N1100" s="585">
        <f t="shared" si="184"/>
        <v>3.9000000000000007E-2</v>
      </c>
      <c r="O1100" s="586">
        <f t="shared" si="181"/>
        <v>0.15424312636010462</v>
      </c>
      <c r="P1100" s="585">
        <f t="shared" si="185"/>
        <v>0.14044312636010461</v>
      </c>
      <c r="Q1100" s="585">
        <f t="shared" si="186"/>
        <v>0.14062826703800146</v>
      </c>
      <c r="R1100" s="585">
        <f t="shared" si="187"/>
        <v>3.9300000000000002E-2</v>
      </c>
      <c r="S1100" s="586">
        <f t="shared" si="188"/>
        <v>0.10132826703800146</v>
      </c>
    </row>
    <row r="1101" spans="1:19" s="577" customFormat="1">
      <c r="A1101" s="600">
        <v>42856</v>
      </c>
      <c r="B1101" s="577">
        <v>1.41E-2</v>
      </c>
      <c r="C1101" s="577">
        <v>4.2200000000000001E-2</v>
      </c>
      <c r="D1101" s="577">
        <v>2.3999999999999998E-3</v>
      </c>
      <c r="E1101" s="577">
        <v>3.2083333333333334E-3</v>
      </c>
      <c r="F1101" s="577">
        <v>3.2750000000000001E-3</v>
      </c>
      <c r="G1101" s="577">
        <f t="shared" si="189"/>
        <v>3.241666666666667E-3</v>
      </c>
      <c r="H1101" s="577">
        <v>3.2750000000000001E-3</v>
      </c>
      <c r="I1101" s="577">
        <f t="shared" si="190"/>
        <v>1.17E-2</v>
      </c>
      <c r="J1101" s="577">
        <f t="shared" si="182"/>
        <v>1.0858333333333333E-2</v>
      </c>
      <c r="K1101" s="577">
        <f t="shared" si="182"/>
        <v>3.8925000000000001E-2</v>
      </c>
      <c r="L1101" s="585">
        <f t="shared" si="179"/>
        <v>0.17492463108230072</v>
      </c>
      <c r="M1101" s="585">
        <f t="shared" si="180"/>
        <v>2.8799999999999999E-2</v>
      </c>
      <c r="N1101" s="585">
        <f t="shared" si="184"/>
        <v>3.8900000000000004E-2</v>
      </c>
      <c r="O1101" s="586">
        <f t="shared" si="181"/>
        <v>0.14612463108230073</v>
      </c>
      <c r="P1101" s="585">
        <f t="shared" si="185"/>
        <v>0.13602463108230073</v>
      </c>
      <c r="Q1101" s="585">
        <f t="shared" si="186"/>
        <v>0.1710794797625903</v>
      </c>
      <c r="R1101" s="585">
        <f t="shared" si="187"/>
        <v>3.9300000000000002E-2</v>
      </c>
      <c r="S1101" s="586">
        <f t="shared" si="188"/>
        <v>0.1317794797625903</v>
      </c>
    </row>
    <row r="1102" spans="1:19" s="577" customFormat="1">
      <c r="A1102" s="600">
        <v>42887</v>
      </c>
      <c r="B1102" s="577">
        <v>6.1999999999999998E-3</v>
      </c>
      <c r="C1102" s="577">
        <v>-2.7E-2</v>
      </c>
      <c r="D1102" s="577">
        <v>2.0999999999999999E-3</v>
      </c>
      <c r="E1102" s="577">
        <v>3.0666666666666672E-3</v>
      </c>
      <c r="F1102" s="577">
        <v>3.1416666666666663E-3</v>
      </c>
      <c r="G1102" s="577">
        <f t="shared" si="189"/>
        <v>3.1041666666666665E-3</v>
      </c>
      <c r="H1102" s="577">
        <v>3.1416666666666663E-3</v>
      </c>
      <c r="I1102" s="577">
        <f t="shared" si="190"/>
        <v>4.0999999999999995E-3</v>
      </c>
      <c r="J1102" s="577">
        <f t="shared" si="182"/>
        <v>3.0958333333333332E-3</v>
      </c>
      <c r="K1102" s="577">
        <f t="shared" si="182"/>
        <v>-3.0141666666666667E-2</v>
      </c>
      <c r="L1102" s="585">
        <f t="shared" si="179"/>
        <v>0.17914339097846721</v>
      </c>
      <c r="M1102" s="585">
        <f t="shared" si="180"/>
        <v>2.52E-2</v>
      </c>
      <c r="N1102" s="585">
        <f t="shared" si="184"/>
        <v>3.7249999999999998E-2</v>
      </c>
      <c r="O1102" s="586">
        <f t="shared" si="181"/>
        <v>0.15394339097846721</v>
      </c>
      <c r="P1102" s="585">
        <f t="shared" si="185"/>
        <v>0.1418933909784672</v>
      </c>
      <c r="Q1102" s="585">
        <f t="shared" si="186"/>
        <v>5.711135894702668E-2</v>
      </c>
      <c r="R1102" s="585">
        <f t="shared" si="187"/>
        <v>3.7699999999999997E-2</v>
      </c>
      <c r="S1102" s="586">
        <f t="shared" si="188"/>
        <v>1.9411358947026683E-2</v>
      </c>
    </row>
    <row r="1103" spans="1:19" s="577" customFormat="1">
      <c r="A1103" s="600">
        <v>42917</v>
      </c>
      <c r="B1103" s="577">
        <v>2.06E-2</v>
      </c>
      <c r="C1103" s="577">
        <v>2.4400000000000002E-2</v>
      </c>
      <c r="D1103" s="577">
        <v>2.2000000000000001E-3</v>
      </c>
      <c r="E1103" s="577">
        <v>3.15E-3</v>
      </c>
      <c r="F1103" s="577">
        <v>3.225E-3</v>
      </c>
      <c r="G1103" s="577">
        <f t="shared" si="189"/>
        <v>3.1875000000000002E-3</v>
      </c>
      <c r="H1103" s="577">
        <v>3.2333333333333329E-3</v>
      </c>
      <c r="I1103" s="577">
        <f t="shared" si="190"/>
        <v>1.84E-2</v>
      </c>
      <c r="J1103" s="577">
        <f t="shared" si="182"/>
        <v>1.7412500000000001E-2</v>
      </c>
      <c r="K1103" s="577">
        <f t="shared" si="182"/>
        <v>2.1166666666666667E-2</v>
      </c>
      <c r="L1103" s="585">
        <f t="shared" si="179"/>
        <v>0.16060733420062023</v>
      </c>
      <c r="M1103" s="585">
        <f t="shared" si="180"/>
        <v>2.64E-2</v>
      </c>
      <c r="N1103" s="585">
        <f t="shared" si="184"/>
        <v>3.8250000000000006E-2</v>
      </c>
      <c r="O1103" s="586">
        <f t="shared" si="181"/>
        <v>0.13420733420062023</v>
      </c>
      <c r="P1103" s="585">
        <f t="shared" si="185"/>
        <v>0.12235733420062023</v>
      </c>
      <c r="Q1103" s="585">
        <f t="shared" si="186"/>
        <v>9.16379799448932E-2</v>
      </c>
      <c r="R1103" s="585">
        <f t="shared" si="187"/>
        <v>3.8799999999999994E-2</v>
      </c>
      <c r="S1103" s="586">
        <f t="shared" si="188"/>
        <v>5.2837979944893206E-2</v>
      </c>
    </row>
    <row r="1104" spans="1:19" s="577" customFormat="1">
      <c r="A1104" s="600">
        <v>42948</v>
      </c>
      <c r="B1104" s="577">
        <v>3.0999999999999999E-3</v>
      </c>
      <c r="C1104" s="577">
        <v>3.2399999999999998E-2</v>
      </c>
      <c r="D1104" s="577">
        <v>2.2000000000000001E-3</v>
      </c>
      <c r="E1104" s="577">
        <v>3.0833333333333333E-3</v>
      </c>
      <c r="F1104" s="577">
        <v>3.1666666666666666E-3</v>
      </c>
      <c r="G1104" s="577">
        <f t="shared" si="189"/>
        <v>3.1250000000000002E-3</v>
      </c>
      <c r="H1104" s="577">
        <v>3.1833333333333332E-3</v>
      </c>
      <c r="I1104" s="577">
        <f t="shared" si="190"/>
        <v>8.9999999999999976E-4</v>
      </c>
      <c r="J1104" s="577">
        <f t="shared" si="182"/>
        <v>-2.5000000000000282E-5</v>
      </c>
      <c r="K1104" s="577">
        <f t="shared" si="182"/>
        <v>2.9216666666666665E-2</v>
      </c>
      <c r="L1104" s="585">
        <f t="shared" ref="L1104:L1144" si="191">((1+B1093)*(1+B1094)*(1+B1095)*(1+B1096)*(1+B1097)*(1+B1098)*(1+B1099)*(1+B1100)*(1+B1101)*(1+B1102)*(1+B1103)*(1+B1104))-1</f>
        <v>0.1625776082850432</v>
      </c>
      <c r="M1104" s="585">
        <f t="shared" ref="M1104:M1144" si="192">D1104*12</f>
        <v>2.64E-2</v>
      </c>
      <c r="N1104" s="585">
        <f t="shared" si="184"/>
        <v>3.7500000000000006E-2</v>
      </c>
      <c r="O1104" s="586">
        <f t="shared" ref="O1104:O1144" si="193">L1104-M1104</f>
        <v>0.13617760828504319</v>
      </c>
      <c r="P1104" s="585">
        <f t="shared" si="185"/>
        <v>0.12507760828504319</v>
      </c>
      <c r="Q1104" s="585">
        <f t="shared" si="186"/>
        <v>0.19272626785385505</v>
      </c>
      <c r="R1104" s="585">
        <f t="shared" si="187"/>
        <v>3.8199999999999998E-2</v>
      </c>
      <c r="S1104" s="586">
        <f t="shared" si="188"/>
        <v>0.15452626785385504</v>
      </c>
    </row>
    <row r="1105" spans="1:19" s="577" customFormat="1">
      <c r="A1105" s="600">
        <v>42979</v>
      </c>
      <c r="B1105" s="577">
        <v>2.06E-2</v>
      </c>
      <c r="C1105" s="577">
        <v>-2.7300000000000001E-2</v>
      </c>
      <c r="D1105" s="577">
        <v>1.9E-3</v>
      </c>
      <c r="E1105" s="577">
        <v>3.0249999999999999E-3</v>
      </c>
      <c r="F1105" s="577">
        <v>3.0999999999999999E-3</v>
      </c>
      <c r="G1105" s="577">
        <f t="shared" si="189"/>
        <v>3.0625000000000001E-3</v>
      </c>
      <c r="H1105" s="577">
        <v>3.0583333333333335E-3</v>
      </c>
      <c r="I1105" s="577">
        <f t="shared" si="190"/>
        <v>1.8700000000000001E-2</v>
      </c>
      <c r="J1105" s="577">
        <f t="shared" si="182"/>
        <v>1.7537500000000001E-2</v>
      </c>
      <c r="K1105" s="577">
        <f t="shared" si="182"/>
        <v>-3.0358333333333334E-2</v>
      </c>
      <c r="L1105" s="585">
        <f t="shared" si="191"/>
        <v>0.18628944912588996</v>
      </c>
      <c r="M1105" s="585">
        <f t="shared" si="192"/>
        <v>2.2800000000000001E-2</v>
      </c>
      <c r="N1105" s="585">
        <f t="shared" si="184"/>
        <v>3.6750000000000005E-2</v>
      </c>
      <c r="O1105" s="586">
        <f t="shared" si="193"/>
        <v>0.16348944912588997</v>
      </c>
      <c r="P1105" s="585">
        <f t="shared" si="185"/>
        <v>0.14953944912588996</v>
      </c>
      <c r="Q1105" s="585">
        <f t="shared" si="186"/>
        <v>0.15554267006120037</v>
      </c>
      <c r="R1105" s="585">
        <f t="shared" si="187"/>
        <v>3.6700000000000003E-2</v>
      </c>
      <c r="S1105" s="586">
        <f t="shared" si="188"/>
        <v>0.11884267006120036</v>
      </c>
    </row>
    <row r="1106" spans="1:19" s="577" customFormat="1">
      <c r="A1106" s="600">
        <v>43009</v>
      </c>
      <c r="B1106" s="577">
        <v>2.3300000000000001E-2</v>
      </c>
      <c r="C1106" s="577">
        <v>3.9E-2</v>
      </c>
      <c r="D1106" s="577">
        <v>2.2000000000000001E-3</v>
      </c>
      <c r="E1106" s="577">
        <v>3.0000000000000001E-3</v>
      </c>
      <c r="F1106" s="577">
        <v>3.1166666666666669E-3</v>
      </c>
      <c r="G1106" s="577">
        <f t="shared" si="189"/>
        <v>3.0583333333333335E-3</v>
      </c>
      <c r="H1106" s="577">
        <v>3.1166666666666669E-3</v>
      </c>
      <c r="I1106" s="577">
        <f t="shared" si="190"/>
        <v>2.1100000000000001E-2</v>
      </c>
      <c r="J1106" s="577">
        <f t="shared" si="182"/>
        <v>2.0241666666666668E-2</v>
      </c>
      <c r="K1106" s="577">
        <f t="shared" si="182"/>
        <v>3.5883333333333337E-2</v>
      </c>
      <c r="L1106" s="585">
        <f t="shared" si="191"/>
        <v>0.23643307526025992</v>
      </c>
      <c r="M1106" s="585">
        <f t="shared" si="192"/>
        <v>2.64E-2</v>
      </c>
      <c r="N1106" s="585">
        <f t="shared" si="184"/>
        <v>3.6700000000000003E-2</v>
      </c>
      <c r="O1106" s="586">
        <f t="shared" si="193"/>
        <v>0.21003307526025991</v>
      </c>
      <c r="P1106" s="585">
        <f t="shared" si="185"/>
        <v>0.19973307526025991</v>
      </c>
      <c r="Q1106" s="585">
        <f t="shared" si="186"/>
        <v>0.19037163810587621</v>
      </c>
      <c r="R1106" s="585">
        <f t="shared" si="187"/>
        <v>3.7400000000000003E-2</v>
      </c>
      <c r="S1106" s="586">
        <f t="shared" si="188"/>
        <v>0.15297163810587622</v>
      </c>
    </row>
    <row r="1107" spans="1:19" s="577" customFormat="1">
      <c r="A1107" s="600">
        <v>43040</v>
      </c>
      <c r="B1107" s="577">
        <v>3.0700000000000002E-2</v>
      </c>
      <c r="C1107" s="577">
        <v>2.75E-2</v>
      </c>
      <c r="D1107" s="577">
        <v>2.0999999999999999E-3</v>
      </c>
      <c r="E1107" s="577">
        <v>3.0000000000000001E-3</v>
      </c>
      <c r="F1107" s="577">
        <v>3.1166666666666669E-3</v>
      </c>
      <c r="G1107" s="577">
        <f t="shared" si="189"/>
        <v>3.0583333333333335E-3</v>
      </c>
      <c r="H1107" s="577">
        <v>3.1166666666666669E-3</v>
      </c>
      <c r="I1107" s="577">
        <f t="shared" si="190"/>
        <v>2.86E-2</v>
      </c>
      <c r="J1107" s="577">
        <f t="shared" si="182"/>
        <v>2.7641666666666669E-2</v>
      </c>
      <c r="K1107" s="577">
        <f t="shared" si="182"/>
        <v>2.4383333333333333E-2</v>
      </c>
      <c r="L1107" s="585">
        <f t="shared" si="191"/>
        <v>0.22892147605665381</v>
      </c>
      <c r="M1107" s="585">
        <f t="shared" si="192"/>
        <v>2.52E-2</v>
      </c>
      <c r="N1107" s="585">
        <f t="shared" si="184"/>
        <v>3.6700000000000003E-2</v>
      </c>
      <c r="O1107" s="586">
        <f t="shared" si="193"/>
        <v>0.20372147605665381</v>
      </c>
      <c r="P1107" s="585">
        <f t="shared" si="185"/>
        <v>0.19222147605665379</v>
      </c>
      <c r="Q1107" s="585">
        <f t="shared" si="186"/>
        <v>0.29278813883710808</v>
      </c>
      <c r="R1107" s="585">
        <f t="shared" si="187"/>
        <v>3.7400000000000003E-2</v>
      </c>
      <c r="S1107" s="586">
        <f t="shared" si="188"/>
        <v>0.25538813883710809</v>
      </c>
    </row>
    <row r="1108" spans="1:19" s="577" customFormat="1">
      <c r="A1108" s="600">
        <v>43070</v>
      </c>
      <c r="B1108" s="577">
        <v>1.11E-2</v>
      </c>
      <c r="C1108" s="577">
        <v>-6.13E-2</v>
      </c>
      <c r="D1108" s="577">
        <v>2E-3</v>
      </c>
      <c r="E1108" s="577">
        <v>2.9249999999999996E-3</v>
      </c>
      <c r="F1108" s="577">
        <v>3.0083333333333333E-3</v>
      </c>
      <c r="G1108" s="577">
        <f t="shared" si="189"/>
        <v>2.9666666666666665E-3</v>
      </c>
      <c r="H1108" s="577">
        <v>3.0166666666666671E-3</v>
      </c>
      <c r="I1108" s="577">
        <f t="shared" si="190"/>
        <v>9.1000000000000004E-3</v>
      </c>
      <c r="J1108" s="577">
        <f t="shared" si="182"/>
        <v>8.1333333333333344E-3</v>
      </c>
      <c r="K1108" s="577">
        <f t="shared" si="182"/>
        <v>-6.4316666666666661E-2</v>
      </c>
      <c r="L1108" s="585">
        <f t="shared" si="191"/>
        <v>0.21843744306813351</v>
      </c>
      <c r="M1108" s="585">
        <f t="shared" si="192"/>
        <v>2.4E-2</v>
      </c>
      <c r="N1108" s="585">
        <f t="shared" si="184"/>
        <v>3.56E-2</v>
      </c>
      <c r="O1108" s="586">
        <f t="shared" si="193"/>
        <v>0.19443744306813351</v>
      </c>
      <c r="P1108" s="585">
        <f t="shared" si="185"/>
        <v>0.18283744306813351</v>
      </c>
      <c r="Q1108" s="585">
        <f t="shared" si="186"/>
        <v>0.15641340377967738</v>
      </c>
      <c r="R1108" s="585">
        <f t="shared" si="187"/>
        <v>3.6200000000000003E-2</v>
      </c>
      <c r="S1108" s="586">
        <f t="shared" si="188"/>
        <v>0.12021340377967737</v>
      </c>
    </row>
    <row r="1109" spans="1:19" s="577" customFormat="1">
      <c r="A1109" s="600">
        <v>43101</v>
      </c>
      <c r="B1109" s="601">
        <v>5.7299999999999997E-2</v>
      </c>
      <c r="C1109" s="601">
        <v>-3.0700000000000002E-2</v>
      </c>
      <c r="D1109" s="601">
        <v>2.3999999999999998E-3</v>
      </c>
      <c r="E1109" s="601">
        <v>2.9249999999999996E-3</v>
      </c>
      <c r="F1109" s="601">
        <v>3.0083333333333333E-3</v>
      </c>
      <c r="G1109" s="601">
        <f t="shared" si="189"/>
        <v>2.9666666666666665E-3</v>
      </c>
      <c r="H1109" s="601">
        <v>3.1583333333333337E-3</v>
      </c>
      <c r="I1109" s="577">
        <f t="shared" si="190"/>
        <v>5.4899999999999997E-2</v>
      </c>
      <c r="J1109" s="601">
        <f t="shared" si="182"/>
        <v>5.4333333333333331E-2</v>
      </c>
      <c r="K1109" s="601">
        <f t="shared" si="182"/>
        <v>-3.3858333333333338E-2</v>
      </c>
      <c r="L1109" s="585">
        <f t="shared" si="191"/>
        <v>0.26423347257697594</v>
      </c>
      <c r="M1109" s="585">
        <f t="shared" si="192"/>
        <v>2.8799999999999999E-2</v>
      </c>
      <c r="N1109" s="602">
        <f t="shared" si="184"/>
        <v>3.56E-2</v>
      </c>
      <c r="O1109" s="586">
        <f t="shared" si="193"/>
        <v>0.23543347257697594</v>
      </c>
      <c r="P1109" s="585">
        <f t="shared" si="185"/>
        <v>0.22863347257697594</v>
      </c>
      <c r="Q1109" s="585">
        <f t="shared" si="186"/>
        <v>0.10696376879680214</v>
      </c>
      <c r="R1109" s="602">
        <f t="shared" si="187"/>
        <v>3.7900000000000003E-2</v>
      </c>
      <c r="S1109" s="586">
        <f t="shared" si="188"/>
        <v>6.9063768796802136E-2</v>
      </c>
    </row>
    <row r="1110" spans="1:19" s="577" customFormat="1">
      <c r="A1110" s="600">
        <v>43132</v>
      </c>
      <c r="B1110" s="601">
        <v>-3.6900000000000002E-2</v>
      </c>
      <c r="C1110" s="601">
        <v>-3.8399999999999997E-2</v>
      </c>
      <c r="D1110" s="601">
        <v>2.2000000000000001E-3</v>
      </c>
      <c r="E1110" s="601">
        <v>2.9583333333333332E-3</v>
      </c>
      <c r="F1110" s="601">
        <v>3.0666666666666672E-3</v>
      </c>
      <c r="G1110" s="601">
        <f t="shared" si="189"/>
        <v>3.0125000000000004E-3</v>
      </c>
      <c r="H1110" s="601">
        <v>3.2166666666666667E-3</v>
      </c>
      <c r="I1110" s="577">
        <f t="shared" si="190"/>
        <v>-3.9100000000000003E-2</v>
      </c>
      <c r="J1110" s="601">
        <f t="shared" si="182"/>
        <v>-3.9912500000000004E-2</v>
      </c>
      <c r="K1110" s="601">
        <f t="shared" si="182"/>
        <v>-4.1616666666666663E-2</v>
      </c>
      <c r="L1110" s="585">
        <f t="shared" si="191"/>
        <v>0.1710909468489803</v>
      </c>
      <c r="M1110" s="585">
        <f t="shared" si="192"/>
        <v>2.64E-2</v>
      </c>
      <c r="N1110" s="602">
        <f t="shared" si="184"/>
        <v>3.6150000000000002E-2</v>
      </c>
      <c r="O1110" s="586">
        <f t="shared" si="193"/>
        <v>0.14469094684898029</v>
      </c>
      <c r="P1110" s="585">
        <f t="shared" si="185"/>
        <v>0.13494094684898028</v>
      </c>
      <c r="Q1110" s="585">
        <f t="shared" si="186"/>
        <v>1.1263879987654546E-2</v>
      </c>
      <c r="R1110" s="602">
        <f t="shared" si="187"/>
        <v>3.8600000000000002E-2</v>
      </c>
      <c r="S1110" s="586">
        <f t="shared" si="188"/>
        <v>-2.7336120012345456E-2</v>
      </c>
    </row>
    <row r="1111" spans="1:19" s="577" customFormat="1">
      <c r="A1111" s="600">
        <v>43160</v>
      </c>
      <c r="B1111" s="601">
        <v>-2.5399999999999999E-2</v>
      </c>
      <c r="C1111" s="601">
        <v>3.7699999999999997E-2</v>
      </c>
      <c r="D1111" s="601">
        <v>2.3999999999999998E-3</v>
      </c>
      <c r="E1111" s="601">
        <v>3.225E-3</v>
      </c>
      <c r="F1111" s="601">
        <v>3.3250000000000003E-3</v>
      </c>
      <c r="G1111" s="601">
        <f t="shared" si="189"/>
        <v>3.2750000000000001E-3</v>
      </c>
      <c r="H1111" s="601">
        <v>3.4416666666666667E-3</v>
      </c>
      <c r="I1111" s="577">
        <f t="shared" si="190"/>
        <v>-2.7799999999999998E-2</v>
      </c>
      <c r="J1111" s="601">
        <f t="shared" si="182"/>
        <v>-2.8674999999999999E-2</v>
      </c>
      <c r="K1111" s="601">
        <f t="shared" si="182"/>
        <v>3.4258333333333328E-2</v>
      </c>
      <c r="L1111" s="585">
        <f t="shared" si="191"/>
        <v>0.13997726408211797</v>
      </c>
      <c r="M1111" s="585">
        <f t="shared" si="192"/>
        <v>2.8799999999999999E-2</v>
      </c>
      <c r="N1111" s="602">
        <f t="shared" si="184"/>
        <v>3.9300000000000002E-2</v>
      </c>
      <c r="O1111" s="586">
        <f t="shared" si="193"/>
        <v>0.11117726408211798</v>
      </c>
      <c r="P1111" s="585">
        <f t="shared" si="185"/>
        <v>0.10067726408211797</v>
      </c>
      <c r="Q1111" s="585">
        <f t="shared" si="186"/>
        <v>1.9021682135549556E-2</v>
      </c>
      <c r="R1111" s="602">
        <f t="shared" si="187"/>
        <v>4.1300000000000003E-2</v>
      </c>
      <c r="S1111" s="586">
        <f t="shared" si="188"/>
        <v>-2.2278317864450448E-2</v>
      </c>
    </row>
    <row r="1112" spans="1:19" s="577" customFormat="1">
      <c r="A1112" s="600">
        <v>43191</v>
      </c>
      <c r="B1112" s="601">
        <v>3.8E-3</v>
      </c>
      <c r="C1112" s="601">
        <v>2.1000000000000001E-2</v>
      </c>
      <c r="D1112" s="601">
        <v>2.5000000000000001E-3</v>
      </c>
      <c r="E1112" s="601">
        <v>3.2083333333333334E-3</v>
      </c>
      <c r="F1112" s="601">
        <v>3.3416666666666668E-3</v>
      </c>
      <c r="G1112" s="601">
        <f t="shared" si="189"/>
        <v>3.2750000000000001E-3</v>
      </c>
      <c r="H1112" s="601">
        <v>3.4749999999999998E-3</v>
      </c>
      <c r="I1112" s="577">
        <f t="shared" si="190"/>
        <v>1.2999999999999999E-3</v>
      </c>
      <c r="J1112" s="601">
        <f t="shared" si="182"/>
        <v>5.2499999999999986E-4</v>
      </c>
      <c r="K1112" s="601">
        <f t="shared" si="182"/>
        <v>1.7525000000000002E-2</v>
      </c>
      <c r="L1112" s="585">
        <f t="shared" si="191"/>
        <v>0.13264295524658998</v>
      </c>
      <c r="M1112" s="585">
        <f t="shared" si="192"/>
        <v>0.03</v>
      </c>
      <c r="N1112" s="602">
        <f t="shared" si="184"/>
        <v>3.9300000000000002E-2</v>
      </c>
      <c r="O1112" s="586">
        <f t="shared" si="193"/>
        <v>0.10264295524658998</v>
      </c>
      <c r="P1112" s="585">
        <f t="shared" si="185"/>
        <v>9.3342955246589976E-2</v>
      </c>
      <c r="Q1112" s="585">
        <f t="shared" si="186"/>
        <v>3.2368661897594908E-2</v>
      </c>
      <c r="R1112" s="602">
        <f t="shared" si="187"/>
        <v>4.1700000000000001E-2</v>
      </c>
      <c r="S1112" s="586">
        <f t="shared" si="188"/>
        <v>-9.3313381024050929E-3</v>
      </c>
    </row>
    <row r="1113" spans="1:19" s="577" customFormat="1">
      <c r="A1113" s="600">
        <v>43221</v>
      </c>
      <c r="B1113" s="601">
        <v>2.41E-2</v>
      </c>
      <c r="C1113" s="601">
        <v>-1.14E-2</v>
      </c>
      <c r="D1113" s="601">
        <v>2.5000000000000001E-3</v>
      </c>
      <c r="E1113" s="601">
        <v>3.3250000000000003E-3</v>
      </c>
      <c r="F1113" s="601">
        <v>3.4333333333333334E-3</v>
      </c>
      <c r="G1113" s="601">
        <f t="shared" si="189"/>
        <v>3.3791666666666666E-3</v>
      </c>
      <c r="H1113" s="601">
        <v>3.5666666666666668E-3</v>
      </c>
      <c r="I1113" s="577">
        <f t="shared" si="190"/>
        <v>2.1600000000000001E-2</v>
      </c>
      <c r="J1113" s="601">
        <f t="shared" si="182"/>
        <v>2.0720833333333334E-2</v>
      </c>
      <c r="K1113" s="601">
        <f t="shared" si="182"/>
        <v>-1.4966666666666666E-2</v>
      </c>
      <c r="L1113" s="585">
        <f t="shared" si="191"/>
        <v>0.14381190264079735</v>
      </c>
      <c r="M1113" s="585">
        <f t="shared" si="192"/>
        <v>0.03</v>
      </c>
      <c r="N1113" s="602">
        <f t="shared" si="184"/>
        <v>4.0550000000000003E-2</v>
      </c>
      <c r="O1113" s="586">
        <f t="shared" si="193"/>
        <v>0.11381190264079735</v>
      </c>
      <c r="P1113" s="585">
        <f t="shared" si="185"/>
        <v>0.10326190264079735</v>
      </c>
      <c r="Q1113" s="585">
        <f t="shared" si="186"/>
        <v>-2.0725715647704979E-2</v>
      </c>
      <c r="R1113" s="602">
        <f t="shared" si="187"/>
        <v>4.2800000000000005E-2</v>
      </c>
      <c r="S1113" s="586">
        <f t="shared" si="188"/>
        <v>-6.3525715647704983E-2</v>
      </c>
    </row>
    <row r="1114" spans="1:19" s="577" customFormat="1">
      <c r="A1114" s="600">
        <v>43252</v>
      </c>
      <c r="B1114" s="601">
        <v>6.1999999999999998E-3</v>
      </c>
      <c r="C1114" s="601">
        <v>2.7300000000000001E-2</v>
      </c>
      <c r="D1114" s="601">
        <v>2.3E-3</v>
      </c>
      <c r="E1114" s="601">
        <v>3.3E-3</v>
      </c>
      <c r="F1114" s="601">
        <v>3.4250000000000001E-3</v>
      </c>
      <c r="G1114" s="601">
        <f t="shared" si="189"/>
        <v>3.3625E-3</v>
      </c>
      <c r="H1114" s="601">
        <v>3.5583333333333326E-3</v>
      </c>
      <c r="I1114" s="577">
        <f t="shared" si="190"/>
        <v>3.8999999999999998E-3</v>
      </c>
      <c r="J1114" s="601">
        <f t="shared" si="182"/>
        <v>2.8374999999999997E-3</v>
      </c>
      <c r="K1114" s="601">
        <f t="shared" si="182"/>
        <v>2.3741666666666668E-2</v>
      </c>
      <c r="L1114" s="585">
        <f t="shared" si="191"/>
        <v>0.14381190264079713</v>
      </c>
      <c r="M1114" s="585">
        <f t="shared" si="192"/>
        <v>2.76E-2</v>
      </c>
      <c r="N1114" s="602">
        <f t="shared" si="184"/>
        <v>4.0349999999999997E-2</v>
      </c>
      <c r="O1114" s="586">
        <f t="shared" si="193"/>
        <v>0.11621190264079713</v>
      </c>
      <c r="P1114" s="585">
        <f t="shared" si="185"/>
        <v>0.10346190264079713</v>
      </c>
      <c r="Q1114" s="585">
        <f t="shared" si="186"/>
        <v>3.3924431978533232E-2</v>
      </c>
      <c r="R1114" s="602">
        <f t="shared" si="187"/>
        <v>4.2699999999999988E-2</v>
      </c>
      <c r="S1114" s="586">
        <f t="shared" si="188"/>
        <v>-8.7755680214667564E-3</v>
      </c>
    </row>
    <row r="1115" spans="1:19" s="577" customFormat="1">
      <c r="A1115" s="600">
        <v>43282</v>
      </c>
      <c r="B1115" s="601">
        <v>3.7199999999999997E-2</v>
      </c>
      <c r="C1115" s="601">
        <v>1.8599999999999998E-2</v>
      </c>
      <c r="D1115" s="601">
        <v>2.5000000000000001E-3</v>
      </c>
      <c r="E1115" s="601">
        <v>3.225E-3</v>
      </c>
      <c r="F1115" s="601">
        <v>3.3916666666666665E-3</v>
      </c>
      <c r="G1115" s="601">
        <f t="shared" si="189"/>
        <v>3.3083333333333333E-3</v>
      </c>
      <c r="H1115" s="601">
        <v>3.5583333333333326E-3</v>
      </c>
      <c r="I1115" s="577">
        <f t="shared" si="190"/>
        <v>3.4699999999999995E-2</v>
      </c>
      <c r="J1115" s="601">
        <f t="shared" si="182"/>
        <v>3.3891666666666667E-2</v>
      </c>
      <c r="K1115" s="601">
        <f t="shared" si="182"/>
        <v>1.5041666666666665E-2</v>
      </c>
      <c r="L1115" s="585">
        <f t="shared" si="191"/>
        <v>0.16241593711447644</v>
      </c>
      <c r="M1115" s="585">
        <f t="shared" si="192"/>
        <v>0.03</v>
      </c>
      <c r="N1115" s="602">
        <f t="shared" si="184"/>
        <v>3.9699999999999999E-2</v>
      </c>
      <c r="O1115" s="586">
        <f t="shared" si="193"/>
        <v>0.13241593711447644</v>
      </c>
      <c r="P1115" s="585">
        <f t="shared" si="185"/>
        <v>0.12271593711447644</v>
      </c>
      <c r="Q1115" s="585">
        <f t="shared" si="186"/>
        <v>2.8070506065339895E-2</v>
      </c>
      <c r="R1115" s="602">
        <f t="shared" si="187"/>
        <v>4.2699999999999988E-2</v>
      </c>
      <c r="S1115" s="586">
        <f t="shared" si="188"/>
        <v>-1.4629493934660093E-2</v>
      </c>
    </row>
    <row r="1116" spans="1:19" s="577" customFormat="1">
      <c r="A1116" s="600">
        <v>43313</v>
      </c>
      <c r="B1116" s="601">
        <v>3.2599999999999997E-2</v>
      </c>
      <c r="C1116" s="601">
        <v>1.1299999999999999E-2</v>
      </c>
      <c r="D1116" s="601">
        <v>2.5000000000000001E-3</v>
      </c>
      <c r="E1116" s="601">
        <v>3.2333333333333329E-3</v>
      </c>
      <c r="F1116" s="601">
        <v>3.3749999999999995E-3</v>
      </c>
      <c r="G1116" s="601">
        <f t="shared" si="189"/>
        <v>3.3041666666666662E-3</v>
      </c>
      <c r="H1116" s="601">
        <v>3.5499999999999998E-3</v>
      </c>
      <c r="I1116" s="577">
        <f t="shared" si="190"/>
        <v>3.0099999999999998E-2</v>
      </c>
      <c r="J1116" s="601">
        <f t="shared" si="182"/>
        <v>2.929583333333333E-2</v>
      </c>
      <c r="K1116" s="601">
        <f t="shared" si="182"/>
        <v>7.7499999999999999E-3</v>
      </c>
      <c r="L1116" s="585">
        <f t="shared" si="191"/>
        <v>0.19660123284259634</v>
      </c>
      <c r="M1116" s="585">
        <f t="shared" si="192"/>
        <v>0.03</v>
      </c>
      <c r="N1116" s="602">
        <f t="shared" si="184"/>
        <v>3.9649999999999991E-2</v>
      </c>
      <c r="O1116" s="586">
        <f t="shared" si="193"/>
        <v>0.16660123284259634</v>
      </c>
      <c r="P1116" s="585">
        <f t="shared" si="185"/>
        <v>0.15695123284259635</v>
      </c>
      <c r="Q1116" s="585">
        <f t="shared" si="186"/>
        <v>7.0589914605561077E-3</v>
      </c>
      <c r="R1116" s="602">
        <f t="shared" si="187"/>
        <v>4.2599999999999999E-2</v>
      </c>
      <c r="S1116" s="586">
        <f t="shared" si="188"/>
        <v>-3.5541008539443891E-2</v>
      </c>
    </row>
    <row r="1117" spans="1:19" s="577" customFormat="1">
      <c r="A1117" s="600">
        <v>43344</v>
      </c>
      <c r="B1117" s="601">
        <v>5.7000000000000002E-3</v>
      </c>
      <c r="C1117" s="601">
        <v>-6.0000000000000001E-3</v>
      </c>
      <c r="D1117" s="601">
        <v>2.2000000000000001E-3</v>
      </c>
      <c r="E1117" s="601">
        <v>3.2333333333333329E-3</v>
      </c>
      <c r="F1117" s="601">
        <v>3.3749999999999995E-3</v>
      </c>
      <c r="G1117" s="601">
        <f t="shared" si="189"/>
        <v>3.3041666666666662E-3</v>
      </c>
      <c r="H1117" s="601">
        <v>3.5499999999999998E-3</v>
      </c>
      <c r="I1117" s="577">
        <f t="shared" si="190"/>
        <v>3.5000000000000001E-3</v>
      </c>
      <c r="J1117" s="601">
        <f t="shared" si="182"/>
        <v>2.395833333333334E-3</v>
      </c>
      <c r="K1117" s="601">
        <f t="shared" si="182"/>
        <v>-9.5499999999999995E-3</v>
      </c>
      <c r="L1117" s="585">
        <f t="shared" si="191"/>
        <v>0.17913174590417347</v>
      </c>
      <c r="M1117" s="585">
        <f t="shared" si="192"/>
        <v>2.64E-2</v>
      </c>
      <c r="N1117" s="602">
        <f t="shared" si="184"/>
        <v>3.9649999999999991E-2</v>
      </c>
      <c r="O1117" s="586">
        <f t="shared" si="193"/>
        <v>0.15273174590417346</v>
      </c>
      <c r="P1117" s="585">
        <f t="shared" si="185"/>
        <v>0.13948174590417348</v>
      </c>
      <c r="Q1117" s="585">
        <f t="shared" si="186"/>
        <v>2.9111378134874855E-2</v>
      </c>
      <c r="R1117" s="602">
        <f t="shared" si="187"/>
        <v>4.2599999999999999E-2</v>
      </c>
      <c r="S1117" s="586">
        <f t="shared" si="188"/>
        <v>-1.3488621865125144E-2</v>
      </c>
    </row>
    <row r="1118" spans="1:19" s="577" customFormat="1">
      <c r="A1118" s="600">
        <v>43374</v>
      </c>
      <c r="B1118" s="601">
        <v>-6.8400000000000002E-2</v>
      </c>
      <c r="C1118" s="601">
        <v>1.95E-2</v>
      </c>
      <c r="D1118" s="601">
        <v>3.0000000000000001E-3</v>
      </c>
      <c r="E1118" s="601">
        <v>3.4499999999999999E-3</v>
      </c>
      <c r="F1118" s="601">
        <v>3.5666666666666663E-3</v>
      </c>
      <c r="G1118" s="601">
        <f t="shared" si="189"/>
        <v>3.5083333333333329E-3</v>
      </c>
      <c r="H1118" s="601">
        <v>3.7083333333333334E-3</v>
      </c>
      <c r="I1118" s="577">
        <f t="shared" si="190"/>
        <v>-7.1400000000000005E-2</v>
      </c>
      <c r="J1118" s="601">
        <f t="shared" si="182"/>
        <v>-7.1908333333333338E-2</v>
      </c>
      <c r="K1118" s="601">
        <f t="shared" si="182"/>
        <v>1.5791666666666666E-2</v>
      </c>
      <c r="L1118" s="585">
        <f t="shared" si="191"/>
        <v>7.3467345337953294E-2</v>
      </c>
      <c r="M1118" s="585">
        <f t="shared" si="192"/>
        <v>3.6000000000000004E-2</v>
      </c>
      <c r="N1118" s="602">
        <f t="shared" si="184"/>
        <v>4.2099999999999999E-2</v>
      </c>
      <c r="O1118" s="586">
        <f t="shared" si="193"/>
        <v>3.7467345337953289E-2</v>
      </c>
      <c r="P1118" s="585">
        <f t="shared" si="185"/>
        <v>3.1367345337953295E-2</v>
      </c>
      <c r="Q1118" s="585">
        <f t="shared" si="186"/>
        <v>9.7969682468770358E-3</v>
      </c>
      <c r="R1118" s="602">
        <f t="shared" si="187"/>
        <v>4.4499999999999998E-2</v>
      </c>
      <c r="S1118" s="586">
        <f t="shared" si="188"/>
        <v>-3.4703031753122962E-2</v>
      </c>
    </row>
    <row r="1119" spans="1:19">
      <c r="A1119" s="600">
        <v>43405</v>
      </c>
      <c r="B1119" s="601">
        <v>2.0400000000000001E-2</v>
      </c>
      <c r="C1119" s="601">
        <v>3.5499999999999997E-2</v>
      </c>
      <c r="D1119" s="601">
        <v>2.8E-3</v>
      </c>
      <c r="E1119" s="601">
        <v>3.5166666666666662E-3</v>
      </c>
      <c r="F1119" s="601">
        <v>3.6833333333333336E-3</v>
      </c>
      <c r="G1119" s="601">
        <f t="shared" si="189"/>
        <v>3.5999999999999999E-3</v>
      </c>
      <c r="H1119" s="601">
        <v>3.7750000000000001E-3</v>
      </c>
      <c r="I1119" s="577">
        <f t="shared" si="190"/>
        <v>1.7600000000000001E-2</v>
      </c>
      <c r="J1119" s="601">
        <f t="shared" si="182"/>
        <v>1.6800000000000002E-2</v>
      </c>
      <c r="K1119" s="601">
        <f t="shared" si="182"/>
        <v>3.1724999999999996E-2</v>
      </c>
      <c r="L1119" s="585">
        <f t="shared" si="191"/>
        <v>6.2739962339039002E-2</v>
      </c>
      <c r="M1119" s="585">
        <f t="shared" si="192"/>
        <v>3.3599999999999998E-2</v>
      </c>
      <c r="N1119" s="602">
        <f t="shared" si="184"/>
        <v>4.3200000000000002E-2</v>
      </c>
      <c r="O1119" s="586">
        <f t="shared" si="193"/>
        <v>2.9139962339039004E-2</v>
      </c>
      <c r="P1119" s="585">
        <f t="shared" si="185"/>
        <v>1.9539962339038999E-2</v>
      </c>
      <c r="Q1119" s="585">
        <f t="shared" si="186"/>
        <v>1.7659134423008371E-2</v>
      </c>
      <c r="R1119" s="602">
        <f t="shared" si="187"/>
        <v>4.53E-2</v>
      </c>
      <c r="S1119" s="586">
        <f t="shared" si="188"/>
        <v>-2.7640865576991629E-2</v>
      </c>
    </row>
    <row r="1120" spans="1:19">
      <c r="A1120" s="600">
        <v>43435</v>
      </c>
      <c r="B1120" s="601">
        <v>-9.0300000000000005E-2</v>
      </c>
      <c r="C1120" s="601">
        <v>-4.0099999999999997E-2</v>
      </c>
      <c r="D1120" s="601">
        <v>2.7000000000000001E-3</v>
      </c>
      <c r="E1120" s="601">
        <v>3.5166666666666662E-3</v>
      </c>
      <c r="F1120" s="601">
        <v>3.6416666666666667E-3</v>
      </c>
      <c r="G1120" s="601">
        <f t="shared" si="189"/>
        <v>3.5791666666666663E-3</v>
      </c>
      <c r="H1120" s="601">
        <v>3.7750000000000001E-3</v>
      </c>
      <c r="I1120" s="577">
        <f t="shared" si="190"/>
        <v>-9.2999999999999999E-2</v>
      </c>
      <c r="J1120" s="601">
        <f t="shared" si="182"/>
        <v>-9.3879166666666666E-2</v>
      </c>
      <c r="K1120" s="601">
        <f t="shared" si="182"/>
        <v>-4.3874999999999997E-2</v>
      </c>
      <c r="L1120" s="585">
        <f t="shared" si="191"/>
        <v>-4.3838845079790523E-2</v>
      </c>
      <c r="M1120" s="585">
        <f t="shared" si="192"/>
        <v>3.2399999999999998E-2</v>
      </c>
      <c r="N1120" s="602">
        <f t="shared" si="184"/>
        <v>4.2949999999999995E-2</v>
      </c>
      <c r="O1120" s="586">
        <f t="shared" si="193"/>
        <v>-7.6238845079790521E-2</v>
      </c>
      <c r="P1120" s="585">
        <f t="shared" si="185"/>
        <v>-8.6788845079790511E-2</v>
      </c>
      <c r="Q1120" s="585">
        <f t="shared" si="186"/>
        <v>4.0642381093688895E-2</v>
      </c>
      <c r="R1120" s="602">
        <f t="shared" si="187"/>
        <v>4.53E-2</v>
      </c>
      <c r="S1120" s="586">
        <f t="shared" si="188"/>
        <v>-4.6576189063111048E-3</v>
      </c>
    </row>
    <row r="1121" spans="1:19">
      <c r="A1121" s="600">
        <v>43466</v>
      </c>
      <c r="B1121" s="577">
        <v>8.0100000000000005E-2</v>
      </c>
      <c r="C1121" s="577">
        <v>4.8399999999999999E-2</v>
      </c>
      <c r="D1121" s="577">
        <v>2.5000000000000001E-3</v>
      </c>
      <c r="E1121" s="577">
        <v>3.2750000000000001E-3</v>
      </c>
      <c r="F1121" s="577">
        <v>3.4499999999999999E-3</v>
      </c>
      <c r="G1121" s="601">
        <f t="shared" si="189"/>
        <v>3.3625E-3</v>
      </c>
      <c r="H1121" s="577">
        <v>3.6249999999999998E-3</v>
      </c>
      <c r="I1121" s="577">
        <f t="shared" si="190"/>
        <v>7.7600000000000002E-2</v>
      </c>
      <c r="J1121" s="601">
        <f t="shared" ref="J1121:K1136" si="194">B1121-G1121</f>
        <v>7.67375E-2</v>
      </c>
      <c r="K1121" s="601">
        <f t="shared" si="194"/>
        <v>4.4774999999999995E-2</v>
      </c>
      <c r="L1121" s="585">
        <f t="shared" si="191"/>
        <v>-2.3219839752843363E-2</v>
      </c>
      <c r="M1121" s="585">
        <f t="shared" si="192"/>
        <v>0.03</v>
      </c>
      <c r="N1121" s="602">
        <f t="shared" si="184"/>
        <v>4.0349999999999997E-2</v>
      </c>
      <c r="O1121" s="586">
        <f t="shared" si="193"/>
        <v>-5.3219839752843362E-2</v>
      </c>
      <c r="P1121" s="585">
        <f t="shared" si="185"/>
        <v>-6.356983975284336E-2</v>
      </c>
      <c r="Q1121" s="585">
        <f t="shared" si="186"/>
        <v>0.12556429623297571</v>
      </c>
      <c r="R1121" s="602">
        <f t="shared" si="187"/>
        <v>4.3499999999999997E-2</v>
      </c>
      <c r="S1121" s="586">
        <f t="shared" si="188"/>
        <v>8.2064296232975717E-2</v>
      </c>
    </row>
    <row r="1122" spans="1:19">
      <c r="A1122" s="600">
        <v>43497</v>
      </c>
      <c r="B1122" s="577">
        <v>3.2099999999999997E-2</v>
      </c>
      <c r="C1122" s="577">
        <v>4.1099999999999998E-2</v>
      </c>
      <c r="D1122" s="577">
        <v>2.2000000000000001E-3</v>
      </c>
      <c r="E1122" s="577">
        <v>3.1583333333333337E-3</v>
      </c>
      <c r="F1122" s="577">
        <v>3.3250000000000003E-3</v>
      </c>
      <c r="G1122" s="601">
        <f t="shared" si="189"/>
        <v>3.241666666666667E-3</v>
      </c>
      <c r="H1122" s="577">
        <v>3.5416666666666669E-3</v>
      </c>
      <c r="I1122" s="577">
        <f t="shared" si="190"/>
        <v>2.9899999999999996E-2</v>
      </c>
      <c r="J1122" s="601">
        <f t="shared" si="194"/>
        <v>2.885833333333333E-2</v>
      </c>
      <c r="K1122" s="601">
        <f t="shared" si="194"/>
        <v>3.7558333333333332E-2</v>
      </c>
      <c r="L1122" s="585">
        <f t="shared" si="191"/>
        <v>4.6760256869577521E-2</v>
      </c>
      <c r="M1122" s="585">
        <f t="shared" si="192"/>
        <v>2.64E-2</v>
      </c>
      <c r="N1122" s="602">
        <f t="shared" si="184"/>
        <v>3.8900000000000004E-2</v>
      </c>
      <c r="O1122" s="586">
        <f t="shared" si="193"/>
        <v>2.0360256869577521E-2</v>
      </c>
      <c r="P1122" s="585">
        <f t="shared" si="185"/>
        <v>7.8602568695775171E-3</v>
      </c>
      <c r="Q1122" s="585">
        <f t="shared" si="186"/>
        <v>0.21861999668068921</v>
      </c>
      <c r="R1122" s="602">
        <f t="shared" si="187"/>
        <v>4.2500000000000003E-2</v>
      </c>
      <c r="S1122" s="586">
        <f t="shared" si="188"/>
        <v>0.1761199966806892</v>
      </c>
    </row>
    <row r="1123" spans="1:19">
      <c r="A1123" s="600">
        <v>43525</v>
      </c>
      <c r="B1123" s="577">
        <v>1.9400000000000001E-2</v>
      </c>
      <c r="C1123" s="577">
        <v>2.8799999999999999E-2</v>
      </c>
      <c r="D1123" s="577">
        <v>2.3E-3</v>
      </c>
      <c r="E1123" s="577">
        <v>3.1583333333333337E-3</v>
      </c>
      <c r="F1123" s="577">
        <v>3.3250000000000003E-3</v>
      </c>
      <c r="G1123" s="601">
        <f t="shared" si="189"/>
        <v>3.241666666666667E-3</v>
      </c>
      <c r="H1123" s="577">
        <v>3.5416666666666669E-3</v>
      </c>
      <c r="I1123" s="577">
        <f t="shared" si="190"/>
        <v>1.7100000000000001E-2</v>
      </c>
      <c r="J1123" s="601">
        <f t="shared" si="194"/>
        <v>1.6158333333333334E-2</v>
      </c>
      <c r="K1123" s="601">
        <f t="shared" si="194"/>
        <v>2.5258333333333334E-2</v>
      </c>
      <c r="L1123" s="585">
        <f t="shared" si="191"/>
        <v>9.4877288993276743E-2</v>
      </c>
      <c r="M1123" s="585">
        <f t="shared" si="192"/>
        <v>2.76E-2</v>
      </c>
      <c r="N1123" s="602">
        <f t="shared" si="184"/>
        <v>3.8900000000000004E-2</v>
      </c>
      <c r="O1123" s="586">
        <f t="shared" si="193"/>
        <v>6.7277288993276743E-2</v>
      </c>
      <c r="P1123" s="585">
        <f t="shared" si="185"/>
        <v>5.5977288993276739E-2</v>
      </c>
      <c r="Q1123" s="585">
        <f t="shared" si="186"/>
        <v>0.20816830739625414</v>
      </c>
      <c r="R1123" s="602">
        <f t="shared" si="187"/>
        <v>4.2500000000000003E-2</v>
      </c>
      <c r="S1123" s="586">
        <f t="shared" si="188"/>
        <v>0.16566830739625413</v>
      </c>
    </row>
    <row r="1124" spans="1:19">
      <c r="A1124" s="600">
        <v>43556</v>
      </c>
      <c r="B1124" s="577">
        <v>4.0500000000000001E-2</v>
      </c>
      <c r="C1124" s="577">
        <v>9.2999999999999992E-3</v>
      </c>
      <c r="D1124" s="577">
        <v>2.3E-3</v>
      </c>
      <c r="E1124" s="577">
        <v>3.075E-3</v>
      </c>
      <c r="F1124" s="577">
        <v>3.2083333333333334E-3</v>
      </c>
      <c r="G1124" s="601">
        <f t="shared" si="189"/>
        <v>3.1416666666666667E-3</v>
      </c>
      <c r="H1124" s="577">
        <v>3.4000000000000002E-3</v>
      </c>
      <c r="I1124" s="577">
        <f t="shared" si="190"/>
        <v>3.8199999999999998E-2</v>
      </c>
      <c r="J1124" s="601">
        <f t="shared" si="194"/>
        <v>3.7358333333333334E-2</v>
      </c>
      <c r="K1124" s="601">
        <f t="shared" si="194"/>
        <v>5.899999999999999E-3</v>
      </c>
      <c r="L1124" s="585">
        <f t="shared" si="191"/>
        <v>0.13490717194411661</v>
      </c>
      <c r="M1124" s="585">
        <f t="shared" si="192"/>
        <v>2.76E-2</v>
      </c>
      <c r="N1124" s="602">
        <f t="shared" si="184"/>
        <v>3.7699999999999997E-2</v>
      </c>
      <c r="O1124" s="586">
        <f t="shared" si="193"/>
        <v>0.10730717194411661</v>
      </c>
      <c r="P1124" s="585">
        <f t="shared" si="185"/>
        <v>9.7207171944116613E-2</v>
      </c>
      <c r="Q1124" s="585">
        <f t="shared" si="186"/>
        <v>0.19432347958378005</v>
      </c>
      <c r="R1124" s="602">
        <f t="shared" si="187"/>
        <v>4.0800000000000003E-2</v>
      </c>
      <c r="S1124" s="586">
        <f t="shared" si="188"/>
        <v>0.15352347958378004</v>
      </c>
    </row>
    <row r="1125" spans="1:19">
      <c r="A1125" s="600">
        <v>43586</v>
      </c>
      <c r="B1125" s="577">
        <v>-6.3500000000000001E-2</v>
      </c>
      <c r="C1125" s="577">
        <v>-7.7999999999999996E-3</v>
      </c>
      <c r="D1125" s="577">
        <v>2.3E-3</v>
      </c>
      <c r="E1125" s="577">
        <v>3.0583333333333335E-3</v>
      </c>
      <c r="F1125" s="577">
        <v>3.1666666666666666E-3</v>
      </c>
      <c r="G1125" s="601">
        <f t="shared" si="189"/>
        <v>3.1124999999999998E-3</v>
      </c>
      <c r="H1125" s="577">
        <v>3.3166666666666665E-3</v>
      </c>
      <c r="I1125" s="577">
        <f t="shared" si="190"/>
        <v>-6.5799999999999997E-2</v>
      </c>
      <c r="J1125" s="601">
        <f t="shared" si="194"/>
        <v>-6.6612500000000005E-2</v>
      </c>
      <c r="K1125" s="601">
        <f t="shared" si="194"/>
        <v>-1.1116666666666667E-2</v>
      </c>
      <c r="L1125" s="585">
        <f t="shared" si="191"/>
        <v>3.7828890270154458E-2</v>
      </c>
      <c r="M1125" s="585">
        <f t="shared" si="192"/>
        <v>2.76E-2</v>
      </c>
      <c r="N1125" s="602">
        <f t="shared" si="184"/>
        <v>3.7349999999999994E-2</v>
      </c>
      <c r="O1125" s="586">
        <f t="shared" si="193"/>
        <v>1.0228890270154459E-2</v>
      </c>
      <c r="P1125" s="585">
        <f t="shared" si="185"/>
        <v>4.7889027015446395E-4</v>
      </c>
      <c r="Q1125" s="585">
        <f t="shared" si="186"/>
        <v>0.19867262436073885</v>
      </c>
      <c r="R1125" s="602">
        <f t="shared" si="187"/>
        <v>3.9800000000000002E-2</v>
      </c>
      <c r="S1125" s="586">
        <f t="shared" si="188"/>
        <v>0.15887262436073885</v>
      </c>
    </row>
    <row r="1126" spans="1:19">
      <c r="A1126" s="600">
        <v>43617</v>
      </c>
      <c r="B1126" s="577">
        <v>7.0499999999999993E-2</v>
      </c>
      <c r="C1126" s="577">
        <v>3.2199999999999999E-2</v>
      </c>
      <c r="D1126" s="577">
        <v>1.8E-3</v>
      </c>
      <c r="E1126" s="577">
        <v>3.0583333333333335E-3</v>
      </c>
      <c r="F1126" s="577">
        <v>3.1666666666666666E-3</v>
      </c>
      <c r="G1126" s="601">
        <f t="shared" si="189"/>
        <v>3.1124999999999998E-3</v>
      </c>
      <c r="H1126" s="577">
        <v>3.3166666666666665E-3</v>
      </c>
      <c r="I1126" s="577">
        <f t="shared" si="190"/>
        <v>6.8699999999999997E-2</v>
      </c>
      <c r="J1126" s="601">
        <f t="shared" si="194"/>
        <v>6.7387499999999989E-2</v>
      </c>
      <c r="K1126" s="601">
        <f t="shared" si="194"/>
        <v>2.8883333333333334E-2</v>
      </c>
      <c r="L1126" s="585">
        <f t="shared" si="191"/>
        <v>0.10415009643629514</v>
      </c>
      <c r="M1126" s="585">
        <f t="shared" si="192"/>
        <v>2.1600000000000001E-2</v>
      </c>
      <c r="N1126" s="602">
        <f t="shared" si="184"/>
        <v>3.7349999999999994E-2</v>
      </c>
      <c r="O1126" s="586">
        <f t="shared" si="193"/>
        <v>8.2550096436295128E-2</v>
      </c>
      <c r="P1126" s="585">
        <f t="shared" si="185"/>
        <v>6.6800096436295142E-2</v>
      </c>
      <c r="Q1126" s="585">
        <f t="shared" si="186"/>
        <v>0.20439003491205576</v>
      </c>
      <c r="R1126" s="602">
        <f t="shared" si="187"/>
        <v>3.9800000000000002E-2</v>
      </c>
      <c r="S1126" s="586">
        <f t="shared" si="188"/>
        <v>0.16459003491205576</v>
      </c>
    </row>
    <row r="1127" spans="1:19">
      <c r="A1127" s="600">
        <v>43647</v>
      </c>
      <c r="B1127" s="577">
        <v>1.44E-2</v>
      </c>
      <c r="C1127" s="577">
        <v>-2.7000000000000001E-3</v>
      </c>
      <c r="D1127" s="577">
        <v>2.0999999999999999E-3</v>
      </c>
      <c r="E1127" s="577">
        <v>2.7416666666666666E-3</v>
      </c>
      <c r="F1127" s="577">
        <v>2.8833333333333332E-3</v>
      </c>
      <c r="G1127" s="601">
        <f t="shared" si="189"/>
        <v>2.8124999999999999E-3</v>
      </c>
      <c r="H1127" s="577">
        <v>3.075E-3</v>
      </c>
      <c r="I1127" s="577">
        <f t="shared" si="190"/>
        <v>1.23E-2</v>
      </c>
      <c r="J1127" s="601">
        <f t="shared" si="194"/>
        <v>1.1587500000000001E-2</v>
      </c>
      <c r="K1127" s="601">
        <f t="shared" si="194"/>
        <v>-5.7750000000000006E-3</v>
      </c>
      <c r="L1127" s="585">
        <f t="shared" si="191"/>
        <v>7.9878382014055394E-2</v>
      </c>
      <c r="M1127" s="585">
        <f t="shared" si="192"/>
        <v>2.52E-2</v>
      </c>
      <c r="N1127" s="602">
        <f t="shared" si="184"/>
        <v>3.3750000000000002E-2</v>
      </c>
      <c r="O1127" s="586">
        <f t="shared" si="193"/>
        <v>5.4678382014055393E-2</v>
      </c>
      <c r="P1127" s="585">
        <f t="shared" si="185"/>
        <v>4.6128382014055391E-2</v>
      </c>
      <c r="Q1127" s="585">
        <f t="shared" si="186"/>
        <v>0.17920496938719155</v>
      </c>
      <c r="R1127" s="602">
        <f t="shared" si="187"/>
        <v>3.6900000000000002E-2</v>
      </c>
      <c r="S1127" s="586">
        <f t="shared" si="188"/>
        <v>0.14230496938719156</v>
      </c>
    </row>
    <row r="1128" spans="1:19">
      <c r="A1128" s="600">
        <v>43678</v>
      </c>
      <c r="B1128" s="577">
        <v>-1.5800000000000002E-2</v>
      </c>
      <c r="C1128" s="577">
        <v>5.1299999999999998E-2</v>
      </c>
      <c r="D1128" s="577">
        <v>1.9E-3</v>
      </c>
      <c r="E1128" s="577">
        <v>2.7416666666666666E-3</v>
      </c>
      <c r="F1128" s="577">
        <v>2.8833333333333332E-3</v>
      </c>
      <c r="G1128" s="601">
        <f t="shared" si="189"/>
        <v>2.8124999999999999E-3</v>
      </c>
      <c r="H1128" s="577">
        <v>3.075E-3</v>
      </c>
      <c r="I1128" s="577">
        <f t="shared" si="190"/>
        <v>-1.77E-2</v>
      </c>
      <c r="J1128" s="601">
        <f t="shared" si="194"/>
        <v>-1.8612500000000001E-2</v>
      </c>
      <c r="K1128" s="601">
        <f t="shared" si="194"/>
        <v>4.8224999999999997E-2</v>
      </c>
      <c r="L1128" s="585">
        <f t="shared" si="191"/>
        <v>2.9262350937665271E-2</v>
      </c>
      <c r="M1128" s="585">
        <f t="shared" si="192"/>
        <v>2.2800000000000001E-2</v>
      </c>
      <c r="N1128" s="602">
        <f t="shared" si="184"/>
        <v>3.3750000000000002E-2</v>
      </c>
      <c r="O1128" s="586">
        <f t="shared" si="193"/>
        <v>6.4623509376652705E-3</v>
      </c>
      <c r="P1128" s="585">
        <f>L1128-N1128</f>
        <v>-4.4876490623347309E-3</v>
      </c>
      <c r="Q1128" s="585">
        <f t="shared" ref="Q1128:Q1156" si="195">((1+C1117)*(1+C1118)*(1+C1119)*(1+C1120)*(1+C1121)*(1+C1122)*(1+C1123)*(1+C1124)*(1+C1125)*(1+C1126)*(1+C1127)*(1+C1128))-1</f>
        <v>0.22584612312543673</v>
      </c>
      <c r="R1128" s="602">
        <f t="shared" si="187"/>
        <v>3.6900000000000002E-2</v>
      </c>
      <c r="S1128" s="586">
        <f>Q1128-R1128</f>
        <v>0.18894612312543674</v>
      </c>
    </row>
    <row r="1129" spans="1:19">
      <c r="A1129" s="600">
        <v>43709</v>
      </c>
      <c r="B1129" s="577">
        <v>1.8700000000000001E-2</v>
      </c>
      <c r="C1129" s="577">
        <v>4.2500000000000003E-2</v>
      </c>
      <c r="D1129" s="577">
        <v>1.5E-3</v>
      </c>
      <c r="E1129" s="577">
        <v>2.4833333333333331E-3</v>
      </c>
      <c r="F1129" s="577">
        <v>2.5666666666666667E-3</v>
      </c>
      <c r="G1129" s="601">
        <f t="shared" si="189"/>
        <v>2.5249999999999999E-3</v>
      </c>
      <c r="H1129" s="577">
        <v>2.7416666666666666E-3</v>
      </c>
      <c r="I1129" s="577">
        <f t="shared" si="190"/>
        <v>1.72E-2</v>
      </c>
      <c r="J1129" s="601">
        <f t="shared" si="194"/>
        <v>1.6175000000000002E-2</v>
      </c>
      <c r="K1129" s="601">
        <f t="shared" si="194"/>
        <v>3.975833333333334E-2</v>
      </c>
      <c r="L1129" s="585">
        <f t="shared" si="191"/>
        <v>4.2566925425275626E-2</v>
      </c>
      <c r="M1129" s="585">
        <f t="shared" si="192"/>
        <v>1.8000000000000002E-2</v>
      </c>
      <c r="N1129" s="602">
        <f t="shared" si="184"/>
        <v>3.0300000000000001E-2</v>
      </c>
      <c r="O1129" s="586">
        <f t="shared" si="193"/>
        <v>2.4566925425275624E-2</v>
      </c>
      <c r="P1129" s="585">
        <f>L1129-N1129</f>
        <v>1.2266925425275625E-2</v>
      </c>
      <c r="Q1129" s="585">
        <f t="shared" si="195"/>
        <v>0.28565853456566126</v>
      </c>
      <c r="R1129" s="602">
        <f t="shared" si="187"/>
        <v>3.2899999999999999E-2</v>
      </c>
      <c r="S1129" s="586">
        <f>Q1129-R1129</f>
        <v>0.25275853456566127</v>
      </c>
    </row>
    <row r="1130" spans="1:19">
      <c r="A1130" s="600">
        <v>43739</v>
      </c>
      <c r="B1130" s="577">
        <v>2.1700000000000001E-2</v>
      </c>
      <c r="C1130" s="577">
        <v>-7.7000000000000002E-3</v>
      </c>
      <c r="D1130" s="577">
        <v>1.6000000000000001E-3</v>
      </c>
      <c r="E1130" s="577">
        <v>2.5249999999999999E-3</v>
      </c>
      <c r="F1130" s="577">
        <v>2.6083333333333332E-3</v>
      </c>
      <c r="G1130" s="601">
        <f t="shared" si="189"/>
        <v>2.5666666666666667E-3</v>
      </c>
      <c r="H1130" s="577">
        <v>2.8083333333333333E-3</v>
      </c>
      <c r="I1130" s="577">
        <f t="shared" si="190"/>
        <v>2.01E-2</v>
      </c>
      <c r="J1130" s="601">
        <f t="shared" si="194"/>
        <v>1.9133333333333336E-2</v>
      </c>
      <c r="K1130" s="601">
        <f t="shared" si="194"/>
        <v>-1.0508333333333333E-2</v>
      </c>
      <c r="L1130" s="585">
        <f t="shared" si="191"/>
        <v>0.1433991280667708</v>
      </c>
      <c r="M1130" s="585">
        <f t="shared" si="192"/>
        <v>1.9200000000000002E-2</v>
      </c>
      <c r="N1130" s="602">
        <f t="shared" si="184"/>
        <v>3.0800000000000001E-2</v>
      </c>
      <c r="O1130" s="586">
        <f t="shared" si="193"/>
        <v>0.1241991280667708</v>
      </c>
      <c r="P1130" s="585">
        <f>L1130-N1130</f>
        <v>0.1125991280667708</v>
      </c>
      <c r="Q1130" s="585">
        <f t="shared" si="195"/>
        <v>0.25135749274105557</v>
      </c>
      <c r="R1130" s="602">
        <f t="shared" si="187"/>
        <v>3.3700000000000001E-2</v>
      </c>
      <c r="S1130" s="586">
        <f>Q1130-R1130</f>
        <v>0.21765749274105556</v>
      </c>
    </row>
    <row r="1131" spans="1:19">
      <c r="A1131" s="600">
        <v>43770</v>
      </c>
      <c r="B1131" s="577">
        <v>3.6299999999999999E-2</v>
      </c>
      <c r="C1131" s="577">
        <v>-1.8599999999999998E-2</v>
      </c>
      <c r="D1131" s="577">
        <v>1.6000000000000001E-3</v>
      </c>
      <c r="E1131" s="577">
        <v>2.558333333333333E-3</v>
      </c>
      <c r="F1131" s="577">
        <v>2.6416666666666667E-3</v>
      </c>
      <c r="G1131" s="601">
        <f t="shared" si="189"/>
        <v>2.5999999999999999E-3</v>
      </c>
      <c r="H1131" s="577">
        <v>2.8583333333333334E-3</v>
      </c>
      <c r="I1131" s="577">
        <f t="shared" si="190"/>
        <v>3.4700000000000002E-2</v>
      </c>
      <c r="J1131" s="601">
        <f t="shared" si="194"/>
        <v>3.3700000000000001E-2</v>
      </c>
      <c r="K1131" s="601">
        <f t="shared" si="194"/>
        <v>-2.1458333333333333E-2</v>
      </c>
      <c r="L1131" s="585">
        <f t="shared" si="191"/>
        <v>0.16121571581300942</v>
      </c>
      <c r="M1131" s="585">
        <f t="shared" si="192"/>
        <v>1.9200000000000002E-2</v>
      </c>
      <c r="N1131" s="602">
        <f t="shared" si="184"/>
        <v>3.1199999999999999E-2</v>
      </c>
      <c r="O1131" s="586">
        <f t="shared" si="193"/>
        <v>0.14201571581300942</v>
      </c>
      <c r="P1131" s="585">
        <f>L1131-N1131</f>
        <v>0.13001571581300941</v>
      </c>
      <c r="Q1131" s="585">
        <f t="shared" si="195"/>
        <v>0.18597995497447739</v>
      </c>
      <c r="R1131" s="602">
        <f t="shared" si="187"/>
        <v>3.4299999999999997E-2</v>
      </c>
      <c r="S1131" s="586">
        <f>Q1131-R1131</f>
        <v>0.15167995497447739</v>
      </c>
    </row>
    <row r="1132" spans="1:19">
      <c r="A1132" s="600">
        <v>43800</v>
      </c>
      <c r="B1132" s="577">
        <v>3.0200000000000001E-2</v>
      </c>
      <c r="C1132" s="577">
        <v>3.4299999999999997E-2</v>
      </c>
      <c r="D1132" s="577">
        <v>1.8E-3</v>
      </c>
      <c r="E1132" s="577">
        <v>2.5083333333333329E-3</v>
      </c>
      <c r="F1132" s="577">
        <v>2.5916666666666666E-3</v>
      </c>
      <c r="G1132" s="601">
        <f t="shared" si="189"/>
        <v>2.5499999999999997E-3</v>
      </c>
      <c r="H1132" s="577">
        <v>2.8333333333333331E-3</v>
      </c>
      <c r="I1132" s="577">
        <f t="shared" si="190"/>
        <v>2.8400000000000002E-2</v>
      </c>
      <c r="J1132" s="601">
        <f t="shared" si="194"/>
        <v>2.7650000000000001E-2</v>
      </c>
      <c r="K1132" s="601">
        <f t="shared" si="194"/>
        <v>3.1466666666666664E-2</v>
      </c>
      <c r="L1132" s="585">
        <f t="shared" si="191"/>
        <v>0.31503180216616733</v>
      </c>
      <c r="M1132" s="585">
        <f t="shared" si="192"/>
        <v>2.1600000000000001E-2</v>
      </c>
      <c r="N1132" s="602">
        <f t="shared" si="184"/>
        <v>3.0599999999999995E-2</v>
      </c>
      <c r="O1132" s="586">
        <f t="shared" si="193"/>
        <v>0.29343180216616732</v>
      </c>
      <c r="P1132" s="585">
        <f>L1132-N1132</f>
        <v>0.28443180216616731</v>
      </c>
      <c r="Q1132" s="585">
        <f t="shared" si="195"/>
        <v>0.27790297679977294</v>
      </c>
      <c r="R1132" s="602">
        <f t="shared" si="187"/>
        <v>3.3999999999999996E-2</v>
      </c>
      <c r="S1132" s="586">
        <f>Q1132-R1132</f>
        <v>0.24390297679977294</v>
      </c>
    </row>
    <row r="1133" spans="1:19">
      <c r="A1133" s="600">
        <v>43831</v>
      </c>
      <c r="B1133" s="577">
        <v>-4.0000000000000002E-4</v>
      </c>
      <c r="C1133" s="577">
        <v>6.6537157778004855E-2</v>
      </c>
      <c r="D1133" s="577">
        <v>2E-3</v>
      </c>
      <c r="E1133" s="577">
        <v>2.4499999999999999E-3</v>
      </c>
      <c r="F1133" s="577">
        <v>2.5083333333333333E-3</v>
      </c>
      <c r="G1133" s="601">
        <f t="shared" si="189"/>
        <v>2.4791666666666668E-3</v>
      </c>
      <c r="H1133" s="577">
        <v>2.7333333333333337E-3</v>
      </c>
      <c r="I1133" s="577">
        <f t="shared" si="190"/>
        <v>-2.4000000000000002E-3</v>
      </c>
      <c r="J1133" s="601">
        <f t="shared" si="194"/>
        <v>-2.879166666666667E-3</v>
      </c>
      <c r="K1133" s="601">
        <f t="shared" si="194"/>
        <v>6.3803824444671517E-2</v>
      </c>
      <c r="L1133" s="585">
        <f t="shared" si="191"/>
        <v>0.21702230297685499</v>
      </c>
      <c r="M1133" s="585">
        <f t="shared" si="192"/>
        <v>2.4E-2</v>
      </c>
      <c r="N1133" s="602">
        <f t="shared" ref="N1133:N1144" si="196">G1133*12</f>
        <v>2.9750000000000002E-2</v>
      </c>
      <c r="O1133" s="586">
        <f t="shared" si="193"/>
        <v>0.19302230297685499</v>
      </c>
      <c r="P1133" s="585">
        <f t="shared" ref="P1133:P1144" si="197">L1133-N1133</f>
        <v>0.18727230297685499</v>
      </c>
      <c r="Q1133" s="585">
        <f t="shared" si="195"/>
        <v>0.30001050056474821</v>
      </c>
      <c r="R1133" s="602">
        <f t="shared" ref="R1133:R1144" si="198">H1133*12</f>
        <v>3.2800000000000003E-2</v>
      </c>
      <c r="S1133" s="586">
        <f t="shared" ref="S1133:S1144" si="199">Q1133-R1133</f>
        <v>0.26721050056474821</v>
      </c>
    </row>
    <row r="1134" spans="1:19">
      <c r="A1134" s="600">
        <v>43862</v>
      </c>
      <c r="B1134" s="577">
        <v>-8.2299999999999998E-2</v>
      </c>
      <c r="C1134" s="577">
        <v>-9.8453153025931217E-2</v>
      </c>
      <c r="D1134" s="577">
        <v>1.5E-3</v>
      </c>
      <c r="E1134" s="577">
        <v>2.316666666666667E-3</v>
      </c>
      <c r="F1134" s="577">
        <v>2.3749999999999999E-3</v>
      </c>
      <c r="G1134" s="601">
        <f t="shared" si="189"/>
        <v>2.3458333333333335E-3</v>
      </c>
      <c r="H1134" s="577">
        <v>2.5916666666666666E-3</v>
      </c>
      <c r="I1134" s="577">
        <f t="shared" si="190"/>
        <v>-8.3799999999999999E-2</v>
      </c>
      <c r="J1134" s="601">
        <f t="shared" si="194"/>
        <v>-8.4645833333333337E-2</v>
      </c>
      <c r="K1134" s="601">
        <f t="shared" si="194"/>
        <v>-0.10104481969259789</v>
      </c>
      <c r="L1134" s="585">
        <f t="shared" si="191"/>
        <v>8.2125150122913659E-2</v>
      </c>
      <c r="M1134" s="585">
        <f t="shared" si="192"/>
        <v>1.8000000000000002E-2</v>
      </c>
      <c r="N1134" s="602">
        <f t="shared" si="196"/>
        <v>2.8150000000000001E-2</v>
      </c>
      <c r="O1134" s="586">
        <f t="shared" si="193"/>
        <v>6.4125150122913657E-2</v>
      </c>
      <c r="P1134" s="585">
        <f t="shared" si="197"/>
        <v>5.3975150122913658E-2</v>
      </c>
      <c r="Q1134" s="585">
        <f t="shared" si="195"/>
        <v>0.1257519621720582</v>
      </c>
      <c r="R1134" s="602">
        <f t="shared" si="198"/>
        <v>3.1099999999999999E-2</v>
      </c>
      <c r="S1134" s="586">
        <f t="shared" si="199"/>
        <v>9.4651962172058193E-2</v>
      </c>
    </row>
    <row r="1135" spans="1:19">
      <c r="A1135" s="600">
        <v>43891</v>
      </c>
      <c r="B1135" s="577">
        <v>-0.1235</v>
      </c>
      <c r="C1135" s="577">
        <v>-9.9852632884989301E-2</v>
      </c>
      <c r="D1135" s="577">
        <v>1.2999999999999999E-3</v>
      </c>
      <c r="E1135" s="577">
        <v>2.5166666666666666E-3</v>
      </c>
      <c r="F1135" s="577">
        <v>2.5666666666666667E-3</v>
      </c>
      <c r="G1135" s="601">
        <f t="shared" si="189"/>
        <v>2.5416666666666669E-3</v>
      </c>
      <c r="H1135" s="577">
        <v>2.9166666666666668E-3</v>
      </c>
      <c r="I1135" s="577">
        <f t="shared" si="190"/>
        <v>-0.12479999999999999</v>
      </c>
      <c r="J1135" s="601">
        <f t="shared" si="194"/>
        <v>-0.12604166666666666</v>
      </c>
      <c r="K1135" s="601">
        <f t="shared" si="194"/>
        <v>-0.10276929955165597</v>
      </c>
      <c r="L1135" s="585">
        <f t="shared" si="191"/>
        <v>-6.956769267928764E-2</v>
      </c>
      <c r="M1135" s="585">
        <f t="shared" si="192"/>
        <v>1.5599999999999999E-2</v>
      </c>
      <c r="N1135" s="602">
        <f t="shared" si="196"/>
        <v>3.0500000000000003E-2</v>
      </c>
      <c r="O1135" s="586">
        <f t="shared" si="193"/>
        <v>-8.5167692679287643E-2</v>
      </c>
      <c r="P1135" s="585">
        <f t="shared" si="197"/>
        <v>-0.10006769267928764</v>
      </c>
      <c r="Q1135" s="585">
        <f t="shared" si="195"/>
        <v>-1.5024625997535845E-2</v>
      </c>
      <c r="R1135" s="602">
        <f t="shared" si="198"/>
        <v>3.5000000000000003E-2</v>
      </c>
      <c r="S1135" s="586">
        <f t="shared" si="199"/>
        <v>-5.0024625997535849E-2</v>
      </c>
    </row>
    <row r="1136" spans="1:19">
      <c r="A1136" s="600">
        <v>43922</v>
      </c>
      <c r="B1136" s="577">
        <v>0.12820000000000001</v>
      </c>
      <c r="C1136" s="577">
        <v>3.2286679387277528E-2</v>
      </c>
      <c r="D1136" s="577">
        <v>8.9999999999999998E-4</v>
      </c>
      <c r="E1136" s="577">
        <v>2.0250000000000003E-3</v>
      </c>
      <c r="F1136" s="577">
        <v>2.2916666666666667E-3</v>
      </c>
      <c r="G1136" s="601">
        <f t="shared" si="189"/>
        <v>2.1583333333333333E-3</v>
      </c>
      <c r="H1136" s="577">
        <v>2.6583333333333333E-3</v>
      </c>
      <c r="I1136" s="577">
        <f t="shared" si="190"/>
        <v>0.1273</v>
      </c>
      <c r="J1136" s="601">
        <f t="shared" si="194"/>
        <v>0.12604166666666666</v>
      </c>
      <c r="K1136" s="601">
        <f t="shared" si="194"/>
        <v>2.9628346053944196E-2</v>
      </c>
      <c r="L1136" s="585">
        <f t="shared" si="191"/>
        <v>8.8550976638424039E-3</v>
      </c>
      <c r="M1136" s="585">
        <f t="shared" si="192"/>
        <v>1.0800000000000001E-2</v>
      </c>
      <c r="N1136" s="602">
        <f t="shared" si="196"/>
        <v>2.5899999999999999E-2</v>
      </c>
      <c r="O1136" s="586">
        <f t="shared" si="193"/>
        <v>-1.9449023361575966E-3</v>
      </c>
      <c r="P1136" s="585">
        <f t="shared" si="197"/>
        <v>-1.7044902336157595E-2</v>
      </c>
      <c r="Q1136" s="585">
        <f t="shared" si="195"/>
        <v>7.4080631202275704E-3</v>
      </c>
      <c r="R1136" s="602">
        <f t="shared" si="198"/>
        <v>3.1899999999999998E-2</v>
      </c>
      <c r="S1136" s="586">
        <f t="shared" si="199"/>
        <v>-2.4491936879772427E-2</v>
      </c>
    </row>
    <row r="1137" spans="1:19">
      <c r="A1137" s="600">
        <v>43952</v>
      </c>
      <c r="B1137" s="577">
        <v>4.7600000000000003E-2</v>
      </c>
      <c r="C1137" s="577">
        <v>4.3538153333576746E-2</v>
      </c>
      <c r="D1137" s="577">
        <v>8.9999999999999998E-4</v>
      </c>
      <c r="E1137" s="577">
        <v>2.075E-3</v>
      </c>
      <c r="F1137" s="577">
        <v>2.2666666666666664E-3</v>
      </c>
      <c r="G1137" s="601">
        <f t="shared" si="189"/>
        <v>2.1708333333333332E-3</v>
      </c>
      <c r="H1137" s="577">
        <v>2.6166666666666669E-3</v>
      </c>
      <c r="I1137" s="577">
        <f t="shared" si="190"/>
        <v>4.6700000000000005E-2</v>
      </c>
      <c r="J1137" s="601">
        <f t="shared" ref="J1137:K1152" si="200">B1137-G1137</f>
        <v>4.5429166666666673E-2</v>
      </c>
      <c r="K1137" s="601">
        <f t="shared" si="200"/>
        <v>4.0921486666910076E-2</v>
      </c>
      <c r="L1137" s="585">
        <f t="shared" si="191"/>
        <v>0.12853881506955789</v>
      </c>
      <c r="M1137" s="585">
        <f t="shared" si="192"/>
        <v>1.0800000000000001E-2</v>
      </c>
      <c r="N1137" s="602">
        <f t="shared" si="196"/>
        <v>2.6049999999999997E-2</v>
      </c>
      <c r="O1137" s="586">
        <f t="shared" si="193"/>
        <v>0.11773881506955788</v>
      </c>
      <c r="P1137" s="585">
        <f t="shared" si="197"/>
        <v>0.1024888150695579</v>
      </c>
      <c r="Q1137" s="585">
        <f t="shared" si="195"/>
        <v>5.9533108084899533E-2</v>
      </c>
      <c r="R1137" s="602">
        <f t="shared" si="198"/>
        <v>3.1400000000000004E-2</v>
      </c>
      <c r="S1137" s="586">
        <f t="shared" si="199"/>
        <v>2.8133108084899529E-2</v>
      </c>
    </row>
    <row r="1138" spans="1:19">
      <c r="A1138" s="600">
        <v>43983</v>
      </c>
      <c r="B1138" s="577">
        <v>1.9900000000000001E-2</v>
      </c>
      <c r="C1138" s="577">
        <v>-4.6515481975296112E-2</v>
      </c>
      <c r="D1138" s="577">
        <v>8.9999999999999998E-4</v>
      </c>
      <c r="E1138" s="577">
        <v>2.0083333333333333E-3</v>
      </c>
      <c r="F1138" s="577">
        <v>2.1916666666666664E-3</v>
      </c>
      <c r="G1138" s="601">
        <f t="shared" si="189"/>
        <v>2.0999999999999999E-3</v>
      </c>
      <c r="H1138" s="577">
        <v>2.558333333333333E-3</v>
      </c>
      <c r="I1138" s="577">
        <f t="shared" si="190"/>
        <v>1.9E-2</v>
      </c>
      <c r="J1138" s="601">
        <f t="shared" si="200"/>
        <v>1.78E-2</v>
      </c>
      <c r="K1138" s="601">
        <f t="shared" si="200"/>
        <v>-4.9073815308629448E-2</v>
      </c>
      <c r="L1138" s="585">
        <f t="shared" si="191"/>
        <v>7.5195457720170333E-2</v>
      </c>
      <c r="M1138" s="585">
        <f t="shared" si="192"/>
        <v>1.0800000000000001E-2</v>
      </c>
      <c r="N1138" s="602">
        <f t="shared" si="196"/>
        <v>2.52E-2</v>
      </c>
      <c r="O1138" s="586">
        <f t="shared" si="193"/>
        <v>6.4395457720170329E-2</v>
      </c>
      <c r="P1138" s="585">
        <f t="shared" si="197"/>
        <v>4.9995457720170333E-2</v>
      </c>
      <c r="Q1138" s="585">
        <f t="shared" si="195"/>
        <v>-2.1266794329057537E-2</v>
      </c>
      <c r="R1138" s="602">
        <f t="shared" si="198"/>
        <v>3.0699999999999998E-2</v>
      </c>
      <c r="S1138" s="586">
        <f t="shared" si="199"/>
        <v>-5.1966794329057535E-2</v>
      </c>
    </row>
    <row r="1139" spans="1:19">
      <c r="A1139" s="600">
        <v>44013</v>
      </c>
      <c r="B1139" s="577">
        <v>5.6399999999999999E-2</v>
      </c>
      <c r="C1139" s="577">
        <v>7.8155639399125773E-2</v>
      </c>
      <c r="D1139" s="577">
        <v>1E-3</v>
      </c>
      <c r="E1139" s="577">
        <v>1.7833333333333334E-3</v>
      </c>
      <c r="F1139" s="577">
        <v>1.9333333333333331E-3</v>
      </c>
      <c r="G1139" s="601">
        <f t="shared" si="189"/>
        <v>1.8583333333333334E-3</v>
      </c>
      <c r="H1139" s="577">
        <v>2.2833333333333334E-3</v>
      </c>
      <c r="I1139" s="577">
        <f t="shared" si="190"/>
        <v>5.5399999999999998E-2</v>
      </c>
      <c r="J1139" s="601">
        <f t="shared" si="200"/>
        <v>5.4541666666666669E-2</v>
      </c>
      <c r="K1139" s="601">
        <f t="shared" si="200"/>
        <v>7.5872306065792441E-2</v>
      </c>
      <c r="L1139" s="585">
        <f t="shared" si="191"/>
        <v>0.11971261981031933</v>
      </c>
      <c r="M1139" s="585">
        <f t="shared" si="192"/>
        <v>1.2E-2</v>
      </c>
      <c r="N1139" s="602">
        <f t="shared" si="196"/>
        <v>2.23E-2</v>
      </c>
      <c r="O1139" s="586">
        <f t="shared" si="193"/>
        <v>0.10771261981031933</v>
      </c>
      <c r="P1139" s="585">
        <f t="shared" si="197"/>
        <v>9.7412619810319331E-2</v>
      </c>
      <c r="Q1139" s="585">
        <f t="shared" si="195"/>
        <v>5.808355074833238E-2</v>
      </c>
      <c r="R1139" s="602">
        <f t="shared" si="198"/>
        <v>2.7400000000000001E-2</v>
      </c>
      <c r="S1139" s="586">
        <f t="shared" si="199"/>
        <v>3.0683550748332379E-2</v>
      </c>
    </row>
    <row r="1140" spans="1:19">
      <c r="A1140" s="600">
        <v>44044</v>
      </c>
      <c r="B1140" s="577">
        <v>7.1900000000000006E-2</v>
      </c>
      <c r="C1140" s="577">
        <v>-2.6496057598276487E-2</v>
      </c>
      <c r="D1140" s="577">
        <v>8.0000000000000004E-4</v>
      </c>
      <c r="E1140" s="577">
        <v>1.8749999999999999E-3</v>
      </c>
      <c r="F1140" s="577">
        <v>1.9750000000000002E-3</v>
      </c>
      <c r="G1140" s="601">
        <f t="shared" si="189"/>
        <v>1.9250000000000001E-3</v>
      </c>
      <c r="H1140" s="577">
        <v>2.2750000000000001E-3</v>
      </c>
      <c r="I1140" s="577">
        <f t="shared" si="190"/>
        <v>7.110000000000001E-2</v>
      </c>
      <c r="J1140" s="601">
        <f t="shared" si="200"/>
        <v>6.9975000000000009E-2</v>
      </c>
      <c r="K1140" s="601">
        <f t="shared" si="200"/>
        <v>-2.8771057598276487E-2</v>
      </c>
      <c r="L1140" s="585">
        <f t="shared" si="191"/>
        <v>0.21948786544877219</v>
      </c>
      <c r="M1140" s="585">
        <f t="shared" si="192"/>
        <v>9.6000000000000009E-3</v>
      </c>
      <c r="N1140" s="602">
        <f t="shared" si="196"/>
        <v>2.3100000000000002E-2</v>
      </c>
      <c r="O1140" s="586">
        <f t="shared" si="193"/>
        <v>0.20988786544877219</v>
      </c>
      <c r="P1140" s="585">
        <f t="shared" si="197"/>
        <v>0.19638786544877218</v>
      </c>
      <c r="Q1140" s="585">
        <f t="shared" si="195"/>
        <v>-2.0214488686469023E-2</v>
      </c>
      <c r="R1140" s="602">
        <f t="shared" si="198"/>
        <v>2.7300000000000001E-2</v>
      </c>
      <c r="S1140" s="586">
        <f t="shared" si="199"/>
        <v>-4.7514488686469028E-2</v>
      </c>
    </row>
    <row r="1141" spans="1:19">
      <c r="A1141" s="600">
        <v>44075</v>
      </c>
      <c r="B1141" s="577">
        <v>-3.7999999999999999E-2</v>
      </c>
      <c r="C1141" s="577">
        <v>1.1208634977297001E-2</v>
      </c>
      <c r="D1141" s="577">
        <v>0</v>
      </c>
      <c r="E1141" s="577">
        <v>1.9250000000000001E-3</v>
      </c>
      <c r="F1141" s="577">
        <v>2.058333333333333E-3</v>
      </c>
      <c r="G1141" s="601">
        <f t="shared" si="189"/>
        <v>1.9916666666666668E-3</v>
      </c>
      <c r="H1141" s="577">
        <v>2.3666666666666667E-3</v>
      </c>
      <c r="I1141" s="577">
        <f t="shared" si="190"/>
        <v>-3.7999999999999999E-2</v>
      </c>
      <c r="J1141" s="601">
        <f t="shared" si="200"/>
        <v>-3.9991666666666668E-2</v>
      </c>
      <c r="K1141" s="601">
        <f t="shared" si="200"/>
        <v>8.8419683106303344E-3</v>
      </c>
      <c r="L1141" s="585">
        <f t="shared" si="191"/>
        <v>0.15161217881782529</v>
      </c>
      <c r="M1141" s="585">
        <f t="shared" si="192"/>
        <v>0</v>
      </c>
      <c r="N1141" s="602">
        <f t="shared" si="196"/>
        <v>2.3900000000000001E-2</v>
      </c>
      <c r="O1141" s="586">
        <f t="shared" si="193"/>
        <v>0.15161217881782529</v>
      </c>
      <c r="P1141" s="585">
        <f t="shared" si="197"/>
        <v>0.12771217881782529</v>
      </c>
      <c r="Q1141" s="585">
        <f t="shared" si="195"/>
        <v>-4.9623434565094549E-2</v>
      </c>
      <c r="R1141" s="602">
        <f t="shared" si="198"/>
        <v>2.8400000000000002E-2</v>
      </c>
      <c r="S1141" s="586">
        <f t="shared" si="199"/>
        <v>-7.8023434565094557E-2</v>
      </c>
    </row>
    <row r="1142" spans="1:19">
      <c r="A1142" s="600">
        <v>44105</v>
      </c>
      <c r="B1142" s="577">
        <v>-2.6599999999999999E-2</v>
      </c>
      <c r="C1142" s="577">
        <v>5.0416695141057254E-2</v>
      </c>
      <c r="D1142" s="577">
        <v>8.9999999999999998E-4</v>
      </c>
      <c r="E1142" s="577">
        <v>1.9583333333333332E-3</v>
      </c>
      <c r="F1142" s="577">
        <v>2.1249999999999997E-3</v>
      </c>
      <c r="G1142" s="601">
        <f>AVERAGE(E1142:F1142)</f>
        <v>2.0416666666666665E-3</v>
      </c>
      <c r="H1142" s="577">
        <v>2.4583333333333336E-3</v>
      </c>
      <c r="I1142" s="577">
        <f t="shared" si="190"/>
        <v>-2.75E-2</v>
      </c>
      <c r="J1142" s="601">
        <f t="shared" si="200"/>
        <v>-2.8641666666666666E-2</v>
      </c>
      <c r="K1142" s="601">
        <f t="shared" si="200"/>
        <v>4.795836180772392E-2</v>
      </c>
      <c r="L1142" s="585">
        <f t="shared" si="191"/>
        <v>9.7170690869404996E-2</v>
      </c>
      <c r="M1142" s="585">
        <f t="shared" si="192"/>
        <v>1.0800000000000001E-2</v>
      </c>
      <c r="N1142" s="602">
        <f t="shared" si="196"/>
        <v>2.4499999999999997E-2</v>
      </c>
      <c r="O1142" s="586">
        <f t="shared" si="193"/>
        <v>8.6370690869404992E-2</v>
      </c>
      <c r="P1142" s="585">
        <f t="shared" si="197"/>
        <v>7.2670690869405002E-2</v>
      </c>
      <c r="Q1142" s="585">
        <f t="shared" si="195"/>
        <v>6.0379028556305503E-3</v>
      </c>
      <c r="R1142" s="602">
        <f t="shared" si="198"/>
        <v>2.9500000000000005E-2</v>
      </c>
      <c r="S1142" s="586">
        <f t="shared" si="199"/>
        <v>-2.3462097144369455E-2</v>
      </c>
    </row>
    <row r="1143" spans="1:19">
      <c r="A1143" s="600">
        <v>44136</v>
      </c>
      <c r="B1143" s="577">
        <v>0.1095</v>
      </c>
      <c r="C1143" s="577">
        <v>7.3522810716743856E-3</v>
      </c>
      <c r="D1143" s="577">
        <v>1.1000000000000001E-3</v>
      </c>
      <c r="E1143" s="577">
        <v>1.9166666666666666E-3</v>
      </c>
      <c r="F1143" s="577">
        <v>2.058333333333333E-3</v>
      </c>
      <c r="G1143" s="601">
        <f>AVERAGE(E1143:F1143)</f>
        <v>1.9874999999999997E-3</v>
      </c>
      <c r="H1143" s="577">
        <v>2.3749999999999999E-3</v>
      </c>
      <c r="I1143" s="577">
        <f t="shared" si="190"/>
        <v>0.1084</v>
      </c>
      <c r="J1143" s="601">
        <f t="shared" si="200"/>
        <v>0.1075125</v>
      </c>
      <c r="K1143" s="601">
        <f t="shared" si="200"/>
        <v>4.9772810716743852E-3</v>
      </c>
      <c r="L1143" s="585">
        <f t="shared" si="191"/>
        <v>0.17467034789115599</v>
      </c>
      <c r="M1143" s="585">
        <f t="shared" si="192"/>
        <v>1.32E-2</v>
      </c>
      <c r="N1143" s="602">
        <f t="shared" si="196"/>
        <v>2.3849999999999996E-2</v>
      </c>
      <c r="O1143" s="586">
        <f t="shared" si="193"/>
        <v>0.161470347891156</v>
      </c>
      <c r="P1143" s="585">
        <f t="shared" si="197"/>
        <v>0.150820347891156</v>
      </c>
      <c r="Q1143" s="585">
        <f t="shared" si="195"/>
        <v>3.2641712131834977E-2</v>
      </c>
      <c r="R1143" s="602">
        <f t="shared" si="198"/>
        <v>2.8499999999999998E-2</v>
      </c>
      <c r="S1143" s="586">
        <f t="shared" si="199"/>
        <v>4.1417121318349792E-3</v>
      </c>
    </row>
    <row r="1144" spans="1:19">
      <c r="A1144" s="600">
        <v>44166</v>
      </c>
      <c r="B1144" s="577">
        <v>3.8399999999999997E-2</v>
      </c>
      <c r="C1144" s="577">
        <v>7.0325529758781969E-3</v>
      </c>
      <c r="D1144" s="577">
        <v>1.1000000000000001E-3</v>
      </c>
      <c r="E1144" s="577">
        <v>1.8833333333333332E-3</v>
      </c>
      <c r="F1144" s="577">
        <v>2.0333333333333332E-3</v>
      </c>
      <c r="G1144" s="601">
        <f>AVERAGE(E1144:F1144)</f>
        <v>1.9583333333333332E-3</v>
      </c>
      <c r="H1144" s="577">
        <v>2.3083333333333332E-3</v>
      </c>
      <c r="I1144" s="577">
        <f t="shared" si="190"/>
        <v>3.73E-2</v>
      </c>
      <c r="J1144" s="601">
        <f t="shared" si="200"/>
        <v>3.6441666666666664E-2</v>
      </c>
      <c r="K1144" s="601">
        <f t="shared" si="200"/>
        <v>4.7242196425448637E-3</v>
      </c>
      <c r="L1144" s="585">
        <f t="shared" si="191"/>
        <v>0.18402027688815403</v>
      </c>
      <c r="M1144" s="585">
        <f t="shared" si="192"/>
        <v>1.32E-2</v>
      </c>
      <c r="N1144" s="602">
        <f t="shared" si="196"/>
        <v>2.35E-2</v>
      </c>
      <c r="O1144" s="586">
        <f t="shared" si="193"/>
        <v>0.17082027688815404</v>
      </c>
      <c r="P1144" s="585">
        <f t="shared" si="197"/>
        <v>0.16052027688815404</v>
      </c>
      <c r="Q1144" s="585">
        <f t="shared" si="195"/>
        <v>5.4179828652263229E-3</v>
      </c>
      <c r="R1144" s="602">
        <f t="shared" si="198"/>
        <v>2.7699999999999999E-2</v>
      </c>
      <c r="S1144" s="586">
        <f t="shared" si="199"/>
        <v>-2.2282017134773676E-2</v>
      </c>
    </row>
    <row r="1145" spans="1:19">
      <c r="A1145" s="603">
        <v>44197</v>
      </c>
      <c r="B1145" s="577">
        <v>-1.01E-2</v>
      </c>
      <c r="C1145" s="577">
        <v>-9.1490879490143378E-3</v>
      </c>
      <c r="D1145" s="577">
        <v>1.1000000000000001E-3</v>
      </c>
      <c r="E1145" s="577">
        <v>2.0416666666666669E-3</v>
      </c>
      <c r="F1145" s="577">
        <v>2.1749999999999999E-3</v>
      </c>
      <c r="G1145" s="601">
        <f t="shared" ref="G1145:G1156" si="201">AVERAGE(E1145:F1145)</f>
        <v>2.1083333333333336E-3</v>
      </c>
      <c r="H1145" s="577">
        <v>2.4250000000000001E-3</v>
      </c>
      <c r="I1145" s="577">
        <f t="shared" ref="I1145:I1156" si="202">B1145-D1145</f>
        <v>-1.12E-2</v>
      </c>
      <c r="J1145" s="601">
        <f t="shared" ref="J1145:K1156" si="203">B1145-G1145</f>
        <v>-1.2208333333333333E-2</v>
      </c>
      <c r="K1145" s="601">
        <f t="shared" si="200"/>
        <v>-1.1574087949014338E-2</v>
      </c>
      <c r="L1145" s="585">
        <f t="shared" ref="L1145:L1156" si="204">((1+B1134)*(1+B1135)*(1+B1136)*(1+B1137)*(1+B1138)*(1+B1139)*(1+B1140)*(1+B1141)*(1+B1142)*(1+B1143)*(1+B1144)*(1+B1145))-1</f>
        <v>0.17253068436532981</v>
      </c>
      <c r="M1145" s="585">
        <f t="shared" ref="M1145:M1156" si="205">D1145*12</f>
        <v>1.32E-2</v>
      </c>
      <c r="N1145" s="602">
        <f t="shared" ref="N1145:N1156" si="206">G1145*12</f>
        <v>2.5300000000000003E-2</v>
      </c>
      <c r="O1145" s="586">
        <f t="shared" ref="O1145:O1156" si="207">L1145-M1145</f>
        <v>0.15933068436532982</v>
      </c>
      <c r="P1145" s="585">
        <f t="shared" ref="P1145:P1156" si="208">L1145-N1145</f>
        <v>0.14723068436532982</v>
      </c>
      <c r="Q1145" s="585">
        <f t="shared" si="195"/>
        <v>-6.5930972916153685E-2</v>
      </c>
      <c r="R1145" s="602">
        <f t="shared" ref="R1145:R1156" si="209">H1145*12</f>
        <v>2.9100000000000001E-2</v>
      </c>
      <c r="S1145" s="586">
        <f t="shared" ref="S1145:S1156" si="210">Q1145-R1145</f>
        <v>-9.5030972916153686E-2</v>
      </c>
    </row>
    <row r="1146" spans="1:19">
      <c r="A1146" s="603">
        <v>44228</v>
      </c>
      <c r="B1146" s="577">
        <v>2.76E-2</v>
      </c>
      <c r="C1146" s="577">
        <v>-6.0949635783169254E-2</v>
      </c>
      <c r="D1146" s="577">
        <v>1.1999999999999999E-3</v>
      </c>
      <c r="E1146" s="577">
        <v>2.2500000000000003E-3</v>
      </c>
      <c r="F1146" s="577">
        <v>2.3583333333333334E-3</v>
      </c>
      <c r="G1146" s="601">
        <f t="shared" si="201"/>
        <v>2.304166666666667E-3</v>
      </c>
      <c r="H1146" s="577">
        <v>2.575E-3</v>
      </c>
      <c r="I1146" s="577">
        <f t="shared" si="202"/>
        <v>2.64E-2</v>
      </c>
      <c r="J1146" s="601">
        <f t="shared" si="203"/>
        <v>2.5295833333333333E-2</v>
      </c>
      <c r="K1146" s="601">
        <f t="shared" si="200"/>
        <v>-6.3524635783169248E-2</v>
      </c>
      <c r="L1146" s="585">
        <f t="shared" si="204"/>
        <v>0.31294816525423719</v>
      </c>
      <c r="M1146" s="585">
        <f t="shared" si="205"/>
        <v>1.44E-2</v>
      </c>
      <c r="N1146" s="602">
        <f t="shared" si="206"/>
        <v>2.7650000000000004E-2</v>
      </c>
      <c r="O1146" s="586">
        <f t="shared" si="207"/>
        <v>0.29854816525423716</v>
      </c>
      <c r="P1146" s="585">
        <f t="shared" si="208"/>
        <v>0.28529816525423718</v>
      </c>
      <c r="Q1146" s="585">
        <f t="shared" si="195"/>
        <v>-2.707456297944788E-2</v>
      </c>
      <c r="R1146" s="602">
        <f t="shared" si="209"/>
        <v>3.09E-2</v>
      </c>
      <c r="S1146" s="586">
        <f t="shared" si="210"/>
        <v>-5.7974562979447877E-2</v>
      </c>
    </row>
    <row r="1147" spans="1:19">
      <c r="A1147" s="603">
        <v>44256</v>
      </c>
      <c r="B1147" s="577">
        <v>4.3799999999999999E-2</v>
      </c>
      <c r="C1147" s="577">
        <v>0.10498835014976989</v>
      </c>
      <c r="D1147" s="577">
        <v>1.8E-3</v>
      </c>
      <c r="E1147" s="577">
        <v>2.5333333333333336E-3</v>
      </c>
      <c r="F1147" s="577">
        <v>2.6416666666666667E-3</v>
      </c>
      <c r="G1147" s="601">
        <f t="shared" si="201"/>
        <v>2.5875000000000004E-3</v>
      </c>
      <c r="H1147" s="577">
        <v>2.8666666666666667E-3</v>
      </c>
      <c r="I1147" s="577">
        <f t="shared" si="202"/>
        <v>4.1999999999999996E-2</v>
      </c>
      <c r="J1147" s="601">
        <f t="shared" si="203"/>
        <v>4.1212499999999999E-2</v>
      </c>
      <c r="K1147" s="601">
        <f t="shared" si="200"/>
        <v>0.10212168348310321</v>
      </c>
      <c r="L1147" s="585">
        <f t="shared" si="204"/>
        <v>0.56355424403008891</v>
      </c>
      <c r="M1147" s="585">
        <f t="shared" si="205"/>
        <v>2.1600000000000001E-2</v>
      </c>
      <c r="N1147" s="602">
        <f t="shared" si="206"/>
        <v>3.1050000000000005E-2</v>
      </c>
      <c r="O1147" s="586">
        <f t="shared" si="207"/>
        <v>0.54195424403008896</v>
      </c>
      <c r="P1147" s="585">
        <f t="shared" si="208"/>
        <v>0.53250424403008889</v>
      </c>
      <c r="Q1147" s="585">
        <f t="shared" si="195"/>
        <v>0.1943280764323152</v>
      </c>
      <c r="R1147" s="602">
        <f t="shared" si="209"/>
        <v>3.44E-2</v>
      </c>
      <c r="S1147" s="586">
        <f t="shared" si="210"/>
        <v>0.15992807643231521</v>
      </c>
    </row>
    <row r="1148" spans="1:19">
      <c r="A1148" s="603">
        <v>44287</v>
      </c>
      <c r="B1148" s="577">
        <v>5.3400000000000003E-2</v>
      </c>
      <c r="C1148" s="577">
        <v>4.2771092437836097E-2</v>
      </c>
      <c r="D1148" s="577">
        <v>1.9E-3</v>
      </c>
      <c r="E1148" s="577">
        <v>2.4166666666666668E-3</v>
      </c>
      <c r="F1148" s="577">
        <v>2.5249999999999999E-3</v>
      </c>
      <c r="G1148" s="601">
        <f t="shared" si="201"/>
        <v>2.4708333333333336E-3</v>
      </c>
      <c r="H1148" s="577">
        <v>2.7499999999999998E-3</v>
      </c>
      <c r="I1148" s="577">
        <f t="shared" si="202"/>
        <v>5.1500000000000004E-2</v>
      </c>
      <c r="J1148" s="601">
        <f t="shared" si="203"/>
        <v>5.0929166666666671E-2</v>
      </c>
      <c r="K1148" s="601">
        <f t="shared" si="200"/>
        <v>4.0021092437836095E-2</v>
      </c>
      <c r="L1148" s="585">
        <f t="shared" si="204"/>
        <v>0.45989012645035854</v>
      </c>
      <c r="M1148" s="585">
        <f t="shared" si="205"/>
        <v>2.2800000000000001E-2</v>
      </c>
      <c r="N1148" s="602">
        <f t="shared" si="206"/>
        <v>2.9650000000000003E-2</v>
      </c>
      <c r="O1148" s="586">
        <f t="shared" si="207"/>
        <v>0.43709012645035855</v>
      </c>
      <c r="P1148" s="585">
        <f t="shared" si="208"/>
        <v>0.43024012645035853</v>
      </c>
      <c r="Q1148" s="585">
        <f t="shared" si="195"/>
        <v>0.20645826189458227</v>
      </c>
      <c r="R1148" s="602">
        <f t="shared" si="209"/>
        <v>3.3000000000000002E-2</v>
      </c>
      <c r="S1148" s="586">
        <f t="shared" si="210"/>
        <v>0.17345826189458227</v>
      </c>
    </row>
    <row r="1149" spans="1:19">
      <c r="A1149" s="603">
        <v>44317</v>
      </c>
      <c r="B1149" s="577">
        <v>7.0000000000000001E-3</v>
      </c>
      <c r="C1149" s="577">
        <v>-2.3727991736619838E-2</v>
      </c>
      <c r="D1149" s="577">
        <v>1.8E-3</v>
      </c>
      <c r="E1149" s="577">
        <v>2.4666666666666669E-3</v>
      </c>
      <c r="F1149" s="577">
        <v>2.558333333333333E-3</v>
      </c>
      <c r="G1149" s="601">
        <f t="shared" si="201"/>
        <v>2.5125E-3</v>
      </c>
      <c r="H1149" s="577">
        <v>2.7750000000000001E-3</v>
      </c>
      <c r="I1149" s="577">
        <f t="shared" si="202"/>
        <v>5.1999999999999998E-3</v>
      </c>
      <c r="J1149" s="601">
        <f t="shared" si="203"/>
        <v>4.4875000000000002E-3</v>
      </c>
      <c r="K1149" s="601">
        <f t="shared" si="200"/>
        <v>-2.6502991736619838E-2</v>
      </c>
      <c r="L1149" s="585">
        <f t="shared" si="204"/>
        <v>0.40331171948788769</v>
      </c>
      <c r="M1149" s="585">
        <f t="shared" si="205"/>
        <v>2.1600000000000001E-2</v>
      </c>
      <c r="N1149" s="602">
        <f t="shared" si="206"/>
        <v>3.015E-2</v>
      </c>
      <c r="O1149" s="586">
        <f t="shared" si="207"/>
        <v>0.38171171948788768</v>
      </c>
      <c r="P1149" s="585">
        <f t="shared" si="208"/>
        <v>0.37316171948788768</v>
      </c>
      <c r="Q1149" s="585">
        <f t="shared" si="195"/>
        <v>0.12869033725618473</v>
      </c>
      <c r="R1149" s="602">
        <f t="shared" si="209"/>
        <v>3.3300000000000003E-2</v>
      </c>
      <c r="S1149" s="586">
        <f t="shared" si="210"/>
        <v>9.5390337256184732E-2</v>
      </c>
    </row>
    <row r="1150" spans="1:19">
      <c r="A1150" s="603">
        <v>44348</v>
      </c>
      <c r="B1150" s="577">
        <v>2.3300000000000001E-2</v>
      </c>
      <c r="C1150" s="577">
        <v>-2.1629631904666716E-2</v>
      </c>
      <c r="D1150" s="577">
        <v>1.6999999999999999E-3</v>
      </c>
      <c r="E1150" s="577">
        <v>2.3250000000000002E-3</v>
      </c>
      <c r="F1150" s="577">
        <v>2.4250000000000001E-3</v>
      </c>
      <c r="G1150" s="601">
        <f t="shared" si="201"/>
        <v>2.3750000000000004E-3</v>
      </c>
      <c r="H1150" s="577">
        <v>2.6333333333333334E-3</v>
      </c>
      <c r="I1150" s="577">
        <f t="shared" si="202"/>
        <v>2.1600000000000001E-2</v>
      </c>
      <c r="J1150" s="601">
        <f t="shared" si="203"/>
        <v>2.0924999999999999E-2</v>
      </c>
      <c r="K1150" s="601">
        <f t="shared" si="200"/>
        <v>-2.4262965238000051E-2</v>
      </c>
      <c r="L1150" s="585">
        <f t="shared" si="204"/>
        <v>0.40798988386307999</v>
      </c>
      <c r="M1150" s="585">
        <f t="shared" si="205"/>
        <v>2.0399999999999998E-2</v>
      </c>
      <c r="N1150" s="602">
        <f t="shared" si="206"/>
        <v>2.8500000000000004E-2</v>
      </c>
      <c r="O1150" s="586">
        <f t="shared" si="207"/>
        <v>0.38758988386308002</v>
      </c>
      <c r="P1150" s="585">
        <f t="shared" si="208"/>
        <v>0.37948988386307997</v>
      </c>
      <c r="Q1150" s="585">
        <f t="shared" si="195"/>
        <v>0.1581490415960467</v>
      </c>
      <c r="R1150" s="602">
        <f t="shared" si="209"/>
        <v>3.1600000000000003E-2</v>
      </c>
      <c r="S1150" s="586">
        <f t="shared" si="210"/>
        <v>0.12654904159604669</v>
      </c>
    </row>
    <row r="1151" spans="1:19">
      <c r="A1151" s="603">
        <v>44378</v>
      </c>
      <c r="B1151" s="577">
        <v>2.3800000000000002E-2</v>
      </c>
      <c r="C1151" s="577">
        <v>3.8580129254477007E-2</v>
      </c>
      <c r="D1151" s="577">
        <v>1.6000000000000001E-3</v>
      </c>
      <c r="E1151" s="577">
        <v>2.1416666666666663E-3</v>
      </c>
      <c r="F1151" s="577">
        <v>2.2583333333333331E-3</v>
      </c>
      <c r="G1151" s="601">
        <f t="shared" si="201"/>
        <v>2.1999999999999997E-3</v>
      </c>
      <c r="H1151" s="577">
        <v>2.4583333333333336E-3</v>
      </c>
      <c r="I1151" s="577">
        <f t="shared" si="202"/>
        <v>2.2200000000000001E-2</v>
      </c>
      <c r="J1151" s="601">
        <f t="shared" si="203"/>
        <v>2.1600000000000001E-2</v>
      </c>
      <c r="K1151" s="601">
        <f t="shared" si="200"/>
        <v>3.6121795921143673E-2</v>
      </c>
      <c r="L1151" s="585">
        <f t="shared" si="204"/>
        <v>0.36453998778779018</v>
      </c>
      <c r="M1151" s="585">
        <f t="shared" si="205"/>
        <v>1.9200000000000002E-2</v>
      </c>
      <c r="N1151" s="602">
        <f t="shared" si="206"/>
        <v>2.6399999999999996E-2</v>
      </c>
      <c r="O1151" s="586">
        <f t="shared" si="207"/>
        <v>0.34533998778779018</v>
      </c>
      <c r="P1151" s="585">
        <f t="shared" si="208"/>
        <v>0.3381399877877902</v>
      </c>
      <c r="Q1151" s="585">
        <f t="shared" si="195"/>
        <v>0.11563723952427551</v>
      </c>
      <c r="R1151" s="602">
        <f t="shared" si="209"/>
        <v>2.9500000000000005E-2</v>
      </c>
      <c r="S1151" s="586">
        <f t="shared" si="210"/>
        <v>8.6137239524275516E-2</v>
      </c>
    </row>
    <row r="1152" spans="1:19">
      <c r="A1152" s="603">
        <v>44409</v>
      </c>
      <c r="B1152" s="577">
        <v>3.04E-2</v>
      </c>
      <c r="C1152" s="577">
        <v>3.9754994769648354E-2</v>
      </c>
      <c r="D1152" s="577">
        <v>1.5E-3</v>
      </c>
      <c r="E1152" s="577">
        <v>2.1250000000000002E-3</v>
      </c>
      <c r="F1152" s="577">
        <v>2.2750000000000001E-3</v>
      </c>
      <c r="G1152" s="601">
        <f t="shared" si="201"/>
        <v>2.2000000000000001E-3</v>
      </c>
      <c r="H1152" s="577">
        <v>2.4583333333333336E-3</v>
      </c>
      <c r="I1152" s="577">
        <f t="shared" si="202"/>
        <v>2.8899999999999999E-2</v>
      </c>
      <c r="J1152" s="601">
        <f t="shared" si="203"/>
        <v>2.8199999999999999E-2</v>
      </c>
      <c r="K1152" s="601">
        <f t="shared" si="200"/>
        <v>3.7296661436315021E-2</v>
      </c>
      <c r="L1152" s="585">
        <f t="shared" si="204"/>
        <v>0.3117100507664321</v>
      </c>
      <c r="M1152" s="585">
        <f t="shared" si="205"/>
        <v>1.8000000000000002E-2</v>
      </c>
      <c r="N1152" s="602">
        <f t="shared" si="206"/>
        <v>2.64E-2</v>
      </c>
      <c r="O1152" s="586">
        <f t="shared" si="207"/>
        <v>0.29371005076643208</v>
      </c>
      <c r="P1152" s="585">
        <f t="shared" si="208"/>
        <v>0.28531005076643212</v>
      </c>
      <c r="Q1152" s="585">
        <f t="shared" si="195"/>
        <v>0.19156106269542938</v>
      </c>
      <c r="R1152" s="602">
        <f t="shared" si="209"/>
        <v>2.9500000000000005E-2</v>
      </c>
      <c r="S1152" s="586">
        <f t="shared" si="210"/>
        <v>0.16206106269542939</v>
      </c>
    </row>
    <row r="1153" spans="1:19">
      <c r="A1153" s="603">
        <v>44440</v>
      </c>
      <c r="B1153" s="577">
        <v>-4.65E-2</v>
      </c>
      <c r="C1153" s="577">
        <v>-6.1694618844009501E-2</v>
      </c>
      <c r="D1153" s="577">
        <v>1.4E-3</v>
      </c>
      <c r="E1153" s="577">
        <v>2.1083333333333332E-3</v>
      </c>
      <c r="F1153" s="577">
        <v>2.2750000000000001E-3</v>
      </c>
      <c r="G1153" s="601">
        <f t="shared" si="201"/>
        <v>2.1916666666666664E-3</v>
      </c>
      <c r="H1153" s="577">
        <v>2.4666666666666669E-3</v>
      </c>
      <c r="I1153" s="577">
        <f t="shared" si="202"/>
        <v>-4.7899999999999998E-2</v>
      </c>
      <c r="J1153" s="601">
        <f t="shared" si="203"/>
        <v>-4.8691666666666668E-2</v>
      </c>
      <c r="K1153" s="601">
        <f t="shared" si="203"/>
        <v>-6.4161285510676166E-2</v>
      </c>
      <c r="L1153" s="585">
        <f t="shared" si="204"/>
        <v>0.30012009709541876</v>
      </c>
      <c r="M1153" s="585">
        <f t="shared" si="205"/>
        <v>1.6799999999999999E-2</v>
      </c>
      <c r="N1153" s="602">
        <f t="shared" si="206"/>
        <v>2.6299999999999997E-2</v>
      </c>
      <c r="O1153" s="586">
        <f t="shared" si="207"/>
        <v>0.28332009709541878</v>
      </c>
      <c r="P1153" s="585">
        <f t="shared" si="208"/>
        <v>0.27382009709541877</v>
      </c>
      <c r="Q1153" s="585">
        <f t="shared" si="195"/>
        <v>0.10565527076237213</v>
      </c>
      <c r="R1153" s="602">
        <f t="shared" si="209"/>
        <v>2.9600000000000001E-2</v>
      </c>
      <c r="S1153" s="586">
        <f t="shared" si="210"/>
        <v>7.6055270762372132E-2</v>
      </c>
    </row>
    <row r="1154" spans="1:19">
      <c r="A1154" s="603">
        <v>44470</v>
      </c>
      <c r="B1154" s="577">
        <v>7.0099999999999996E-2</v>
      </c>
      <c r="C1154" s="577">
        <v>4.7338249999999998E-2</v>
      </c>
      <c r="D1154" s="577">
        <v>1.5E-3</v>
      </c>
      <c r="E1154" s="577">
        <v>2.2333333333333337E-3</v>
      </c>
      <c r="F1154" s="577">
        <v>2.3833333333333332E-3</v>
      </c>
      <c r="G1154" s="601">
        <f t="shared" si="201"/>
        <v>2.3083333333333332E-3</v>
      </c>
      <c r="H1154" s="577">
        <v>2.575E-3</v>
      </c>
      <c r="I1154" s="577">
        <f t="shared" si="202"/>
        <v>6.8599999999999994E-2</v>
      </c>
      <c r="J1154" s="601">
        <f t="shared" si="203"/>
        <v>6.7791666666666667E-2</v>
      </c>
      <c r="K1154" s="601">
        <f t="shared" si="203"/>
        <v>4.4763249999999997E-2</v>
      </c>
      <c r="L1154" s="585">
        <f t="shared" si="204"/>
        <v>0.4292772918654284</v>
      </c>
      <c r="M1154" s="585">
        <f t="shared" si="205"/>
        <v>1.8000000000000002E-2</v>
      </c>
      <c r="N1154" s="602">
        <f t="shared" si="206"/>
        <v>2.7699999999999999E-2</v>
      </c>
      <c r="O1154" s="586">
        <f t="shared" si="207"/>
        <v>0.41127729186542838</v>
      </c>
      <c r="P1154" s="585">
        <f t="shared" si="208"/>
        <v>0.4015772918654284</v>
      </c>
      <c r="Q1154" s="585">
        <f t="shared" si="195"/>
        <v>0.1024149385097457</v>
      </c>
      <c r="R1154" s="602">
        <f t="shared" si="209"/>
        <v>3.09E-2</v>
      </c>
      <c r="S1154" s="586">
        <f t="shared" si="210"/>
        <v>7.1514938509745704E-2</v>
      </c>
    </row>
    <row r="1155" spans="1:19">
      <c r="A1155" s="603">
        <v>44501</v>
      </c>
      <c r="B1155" s="577">
        <v>-6.8999999999999999E-3</v>
      </c>
      <c r="C1155" s="577">
        <v>-1.6393896390234163E-2</v>
      </c>
      <c r="D1155" s="577">
        <v>1.6999999999999999E-3</v>
      </c>
      <c r="E1155" s="577">
        <v>2.1833333333333336E-3</v>
      </c>
      <c r="F1155" s="577">
        <v>2.3083333333333332E-3</v>
      </c>
      <c r="G1155" s="601">
        <f t="shared" si="201"/>
        <v>2.2458333333333332E-3</v>
      </c>
      <c r="H1155" s="577">
        <v>2.5166666666666666E-3</v>
      </c>
      <c r="I1155" s="577">
        <f t="shared" si="202"/>
        <v>-8.6E-3</v>
      </c>
      <c r="J1155" s="601">
        <f t="shared" si="203"/>
        <v>-9.1458333333333322E-3</v>
      </c>
      <c r="K1155" s="601">
        <f t="shared" si="203"/>
        <v>-1.891056305690083E-2</v>
      </c>
      <c r="L1155" s="585">
        <f t="shared" si="204"/>
        <v>0.27932877742366591</v>
      </c>
      <c r="M1155" s="585">
        <f t="shared" si="205"/>
        <v>2.0399999999999998E-2</v>
      </c>
      <c r="N1155" s="602">
        <f t="shared" si="206"/>
        <v>2.6949999999999998E-2</v>
      </c>
      <c r="O1155" s="586">
        <f t="shared" si="207"/>
        <v>0.25892877742366593</v>
      </c>
      <c r="P1155" s="585">
        <f t="shared" si="208"/>
        <v>0.25237877742366593</v>
      </c>
      <c r="Q1155" s="585">
        <f t="shared" si="195"/>
        <v>7.6427862033716432E-2</v>
      </c>
      <c r="R1155" s="602">
        <f t="shared" si="209"/>
        <v>3.0199999999999998E-2</v>
      </c>
      <c r="S1155" s="586">
        <f t="shared" si="210"/>
        <v>4.6227862033716434E-2</v>
      </c>
    </row>
    <row r="1156" spans="1:19">
      <c r="A1156" s="603">
        <v>44531</v>
      </c>
      <c r="B1156" s="577">
        <v>4.48E-2</v>
      </c>
      <c r="C1156" s="577">
        <v>9.6216364270722721E-2</v>
      </c>
      <c r="D1156" s="577">
        <v>1.5E-3</v>
      </c>
      <c r="E1156" s="577">
        <v>2.2000000000000001E-3</v>
      </c>
      <c r="F1156" s="577">
        <v>2.3083333333333332E-3</v>
      </c>
      <c r="G1156" s="601">
        <f t="shared" si="201"/>
        <v>2.2541666666666665E-3</v>
      </c>
      <c r="H1156" s="577">
        <v>2.5333333333333336E-3</v>
      </c>
      <c r="I1156" s="577">
        <f t="shared" si="202"/>
        <v>4.3299999999999998E-2</v>
      </c>
      <c r="J1156" s="601">
        <f t="shared" si="203"/>
        <v>4.2545833333333331E-2</v>
      </c>
      <c r="K1156" s="601">
        <f t="shared" si="203"/>
        <v>9.3683030937389389E-2</v>
      </c>
      <c r="L1156" s="585">
        <f t="shared" si="204"/>
        <v>0.28721370055108419</v>
      </c>
      <c r="M1156" s="585">
        <f t="shared" si="205"/>
        <v>1.8000000000000002E-2</v>
      </c>
      <c r="N1156" s="602">
        <f t="shared" si="206"/>
        <v>2.7049999999999998E-2</v>
      </c>
      <c r="O1156" s="586">
        <f t="shared" si="207"/>
        <v>0.26921370055108418</v>
      </c>
      <c r="P1156" s="585">
        <f t="shared" si="208"/>
        <v>0.26016370055108418</v>
      </c>
      <c r="Q1156" s="585">
        <f t="shared" si="195"/>
        <v>0.171757391388492</v>
      </c>
      <c r="R1156" s="602">
        <f t="shared" si="209"/>
        <v>3.0400000000000003E-2</v>
      </c>
      <c r="S1156" s="586">
        <f t="shared" si="210"/>
        <v>0.14135739138849199</v>
      </c>
    </row>
  </sheetData>
  <mergeCells count="1">
    <mergeCell ref="I1:J3"/>
  </mergeCells>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OutlineSymbols="0" zoomScale="60" zoomScaleNormal="60" workbookViewId="0">
      <selection activeCell="A12" sqref="A12"/>
    </sheetView>
  </sheetViews>
  <sheetFormatPr defaultColWidth="9" defaultRowHeight="15.75"/>
  <cols>
    <col min="1" max="1" width="9" style="605"/>
    <col min="2" max="2" width="40" style="605" bestFit="1" customWidth="1"/>
    <col min="3" max="3" width="18.5703125" style="605" bestFit="1" customWidth="1"/>
    <col min="4" max="4" width="29" style="605" bestFit="1" customWidth="1"/>
    <col min="5" max="5" width="27.28515625" style="605" bestFit="1" customWidth="1"/>
    <col min="6" max="6" width="27" style="605" customWidth="1"/>
    <col min="7" max="7" width="26.28515625" style="605" bestFit="1" customWidth="1"/>
    <col min="8" max="8" width="2" style="605" bestFit="1" customWidth="1"/>
    <col min="9" max="9" width="12.5703125" style="605" customWidth="1"/>
    <col min="10" max="10" width="2" style="605" customWidth="1"/>
    <col min="11" max="11" width="10.7109375" style="605" customWidth="1"/>
    <col min="12" max="12" width="9" style="605"/>
    <col min="13" max="13" width="9.28515625" style="605" bestFit="1" customWidth="1"/>
    <col min="14" max="14" width="15" style="605" customWidth="1"/>
    <col min="15" max="15" width="10" style="605" bestFit="1" customWidth="1"/>
    <col min="16" max="16384" width="9" style="605"/>
  </cols>
  <sheetData>
    <row r="1" spans="1:15">
      <c r="B1" s="606"/>
      <c r="C1" s="606"/>
      <c r="D1" s="606"/>
      <c r="E1" s="606"/>
      <c r="F1" s="606"/>
      <c r="G1" s="606"/>
      <c r="H1" s="606"/>
      <c r="I1" s="606"/>
      <c r="J1" s="606"/>
      <c r="K1" s="606"/>
    </row>
    <row r="2" spans="1:15" ht="47.25">
      <c r="A2" s="611" t="s">
        <v>181</v>
      </c>
      <c r="B2" s="612" t="s">
        <v>4105</v>
      </c>
      <c r="C2" s="612" t="s">
        <v>4106</v>
      </c>
      <c r="D2" s="613" t="s">
        <v>4107</v>
      </c>
      <c r="E2" s="613" t="s">
        <v>4108</v>
      </c>
      <c r="F2" s="613" t="s">
        <v>4109</v>
      </c>
      <c r="G2" s="613"/>
      <c r="H2" s="611"/>
      <c r="I2" s="611"/>
      <c r="J2" s="611"/>
      <c r="K2" s="611"/>
    </row>
    <row r="3" spans="1:15" ht="46.15" customHeight="1">
      <c r="A3" s="611"/>
      <c r="B3" s="611"/>
      <c r="C3" s="611"/>
      <c r="D3" s="614" t="s">
        <v>4358</v>
      </c>
      <c r="E3" s="614" t="s">
        <v>4358</v>
      </c>
      <c r="F3" s="614" t="s">
        <v>4358</v>
      </c>
      <c r="G3" s="615"/>
      <c r="H3" s="611"/>
      <c r="I3" s="616" t="s">
        <v>4111</v>
      </c>
      <c r="J3" s="616"/>
      <c r="K3" s="616" t="s">
        <v>4112</v>
      </c>
      <c r="M3" s="617"/>
      <c r="O3" s="605" t="s">
        <v>4114</v>
      </c>
    </row>
    <row r="4" spans="1:15">
      <c r="A4" s="611"/>
      <c r="B4" s="611"/>
      <c r="C4" s="611"/>
      <c r="D4" s="614"/>
      <c r="E4" s="614"/>
      <c r="F4" s="614"/>
      <c r="G4" s="614"/>
      <c r="H4" s="611"/>
      <c r="I4" s="614" t="s">
        <v>4386</v>
      </c>
      <c r="J4" s="614"/>
      <c r="K4" s="614" t="s">
        <v>4386</v>
      </c>
    </row>
    <row r="5" spans="1:15">
      <c r="A5" s="618" t="s">
        <v>2333</v>
      </c>
      <c r="B5" s="610" t="s">
        <v>3928</v>
      </c>
      <c r="C5" s="618">
        <v>4057157</v>
      </c>
      <c r="D5" s="619">
        <v>7906889</v>
      </c>
      <c r="E5" s="619">
        <v>0</v>
      </c>
      <c r="F5" s="619">
        <v>7563090</v>
      </c>
      <c r="G5" s="614"/>
      <c r="H5" s="611"/>
      <c r="I5" s="621">
        <f t="shared" ref="I5:I11" si="0">(D5)/SUM($D5:$F5)</f>
        <v>0.51111181211041079</v>
      </c>
      <c r="J5" s="621"/>
      <c r="K5" s="621">
        <f t="shared" ref="K5:K11" si="1">(F5)/SUM($D5:$F5)</f>
        <v>0.48888818788958927</v>
      </c>
      <c r="O5" s="609">
        <f>SUM(I5,K5)</f>
        <v>1</v>
      </c>
    </row>
    <row r="6" spans="1:15">
      <c r="A6" s="618" t="s">
        <v>3051</v>
      </c>
      <c r="B6" s="610" t="s">
        <v>4116</v>
      </c>
      <c r="C6" s="618">
        <v>4061755</v>
      </c>
      <c r="D6" s="619">
        <v>1418298</v>
      </c>
      <c r="E6" s="619">
        <v>0</v>
      </c>
      <c r="F6" s="619">
        <v>1104062</v>
      </c>
      <c r="G6" s="620"/>
      <c r="H6" s="611"/>
      <c r="I6" s="621">
        <f t="shared" si="0"/>
        <v>0.56229007754642479</v>
      </c>
      <c r="J6" s="621"/>
      <c r="K6" s="621">
        <f t="shared" si="1"/>
        <v>0.43770992245357521</v>
      </c>
      <c r="M6" s="621"/>
      <c r="O6" s="609">
        <f t="shared" ref="O6:O11" si="2">SUM(I6,K6)</f>
        <v>1</v>
      </c>
    </row>
    <row r="7" spans="1:15">
      <c r="A7" s="618" t="s">
        <v>214</v>
      </c>
      <c r="B7" s="627" t="s">
        <v>4250</v>
      </c>
      <c r="C7" s="618">
        <v>4012860</v>
      </c>
      <c r="D7" s="619">
        <v>2499656.2439999999</v>
      </c>
      <c r="E7" s="619">
        <v>0</v>
      </c>
      <c r="F7" s="619">
        <v>2498919.2940000002</v>
      </c>
      <c r="G7" s="620"/>
      <c r="H7" s="611"/>
      <c r="I7" s="622">
        <f t="shared" si="0"/>
        <v>0.50007371600112838</v>
      </c>
      <c r="J7" s="622"/>
      <c r="K7" s="622">
        <f t="shared" si="1"/>
        <v>0.49992628399887151</v>
      </c>
      <c r="M7" s="621"/>
      <c r="O7" s="609">
        <f t="shared" si="2"/>
        <v>0.99999999999999989</v>
      </c>
    </row>
    <row r="8" spans="1:15">
      <c r="A8" s="618" t="s">
        <v>3052</v>
      </c>
      <c r="B8" s="610" t="s">
        <v>4040</v>
      </c>
      <c r="C8" s="618">
        <v>10344596</v>
      </c>
      <c r="D8" s="619">
        <v>977807</v>
      </c>
      <c r="E8" s="619">
        <v>0</v>
      </c>
      <c r="F8" s="619">
        <v>1067199</v>
      </c>
      <c r="H8" s="611"/>
      <c r="I8" s="621">
        <f t="shared" si="0"/>
        <v>0.47814382940685751</v>
      </c>
      <c r="J8" s="621"/>
      <c r="K8" s="621">
        <f t="shared" si="1"/>
        <v>0.52185617059314249</v>
      </c>
      <c r="L8" s="605" t="s">
        <v>4380</v>
      </c>
      <c r="M8" s="622"/>
      <c r="O8" s="609">
        <f t="shared" si="2"/>
        <v>1</v>
      </c>
    </row>
    <row r="9" spans="1:15">
      <c r="A9" s="610" t="s">
        <v>3053</v>
      </c>
      <c r="B9" s="610" t="s">
        <v>3062</v>
      </c>
      <c r="C9" s="610">
        <v>4427129</v>
      </c>
      <c r="D9" s="605">
        <v>2349532</v>
      </c>
      <c r="E9" s="605">
        <v>0</v>
      </c>
      <c r="F9" s="605">
        <v>3714589</v>
      </c>
      <c r="G9" s="620"/>
      <c r="H9" s="611"/>
      <c r="I9" s="621">
        <f t="shared" si="0"/>
        <v>0.38744807367794937</v>
      </c>
      <c r="J9" s="620"/>
      <c r="K9" s="621">
        <f t="shared" si="1"/>
        <v>0.61255192632205058</v>
      </c>
      <c r="M9" s="621"/>
      <c r="O9" s="609">
        <f t="shared" si="2"/>
        <v>1</v>
      </c>
    </row>
    <row r="10" spans="1:15">
      <c r="A10" s="610" t="s">
        <v>3055</v>
      </c>
      <c r="B10" s="610" t="s">
        <v>3059</v>
      </c>
      <c r="C10" s="610">
        <v>4004296</v>
      </c>
      <c r="D10" s="605">
        <v>881500</v>
      </c>
      <c r="E10" s="605">
        <v>0</v>
      </c>
      <c r="F10" s="605">
        <v>625800</v>
      </c>
      <c r="G10" s="620"/>
      <c r="H10" s="611"/>
      <c r="I10" s="621">
        <f t="shared" si="0"/>
        <v>0.58482054003847939</v>
      </c>
      <c r="J10" s="621"/>
      <c r="K10" s="621">
        <f t="shared" si="1"/>
        <v>0.41517945996152061</v>
      </c>
      <c r="M10" s="620"/>
      <c r="O10" s="609">
        <f t="shared" si="2"/>
        <v>1</v>
      </c>
    </row>
    <row r="11" spans="1:15">
      <c r="A11" s="618" t="s">
        <v>3055</v>
      </c>
      <c r="B11" s="610" t="s">
        <v>3060</v>
      </c>
      <c r="C11" s="618">
        <v>4060957</v>
      </c>
      <c r="D11" s="623">
        <v>1577900</v>
      </c>
      <c r="E11" s="623">
        <v>0</v>
      </c>
      <c r="F11" s="623">
        <v>1339700</v>
      </c>
      <c r="G11" s="620"/>
      <c r="H11" s="611"/>
      <c r="I11" s="621">
        <f t="shared" si="0"/>
        <v>0.54082122292295032</v>
      </c>
      <c r="J11" s="620"/>
      <c r="K11" s="621">
        <f t="shared" si="1"/>
        <v>0.45917877707704963</v>
      </c>
      <c r="M11" s="621"/>
      <c r="O11" s="609">
        <f t="shared" si="2"/>
        <v>1</v>
      </c>
    </row>
    <row r="12" spans="1:15">
      <c r="A12" s="624"/>
      <c r="B12" s="625"/>
      <c r="C12" s="614"/>
      <c r="D12" s="620"/>
      <c r="E12" s="620"/>
      <c r="F12" s="620"/>
      <c r="G12" s="620"/>
      <c r="H12" s="611"/>
      <c r="I12" s="621"/>
      <c r="J12" s="621"/>
      <c r="K12" s="621"/>
      <c r="M12" s="620"/>
    </row>
    <row r="13" spans="1:15">
      <c r="A13" s="624"/>
      <c r="B13" s="625"/>
      <c r="C13" s="614"/>
      <c r="D13" s="620"/>
      <c r="E13" s="620"/>
      <c r="F13" s="620"/>
      <c r="G13" s="620"/>
      <c r="H13" s="611"/>
      <c r="I13" s="621"/>
      <c r="J13" s="621"/>
      <c r="K13" s="621"/>
      <c r="M13" s="621"/>
      <c r="O13" s="609"/>
    </row>
    <row r="14" spans="1:15">
      <c r="A14" s="624"/>
      <c r="B14" s="625"/>
      <c r="C14" s="614"/>
      <c r="D14" s="620"/>
      <c r="E14" s="620"/>
      <c r="F14" s="620"/>
      <c r="G14" s="620"/>
      <c r="H14" s="611"/>
      <c r="I14" s="621"/>
      <c r="J14" s="621"/>
      <c r="K14" s="621"/>
      <c r="M14" s="621"/>
      <c r="O14" s="609"/>
    </row>
    <row r="15" spans="1:15">
      <c r="A15" s="624"/>
      <c r="B15" s="625"/>
      <c r="C15" s="614"/>
      <c r="D15" s="620"/>
      <c r="E15" s="620"/>
      <c r="F15" s="620"/>
      <c r="G15" s="620"/>
      <c r="H15" s="611"/>
      <c r="I15" s="621"/>
      <c r="J15" s="621"/>
      <c r="K15" s="621"/>
      <c r="M15" s="621"/>
      <c r="O15" s="609"/>
    </row>
    <row r="16" spans="1:15">
      <c r="A16" s="624"/>
      <c r="B16" s="625"/>
      <c r="C16" s="614"/>
      <c r="D16" s="620"/>
      <c r="E16" s="620"/>
      <c r="F16" s="620"/>
      <c r="G16" s="620"/>
      <c r="H16" s="611"/>
      <c r="I16" s="621"/>
      <c r="J16" s="621"/>
      <c r="K16" s="621"/>
      <c r="M16" s="621"/>
      <c r="O16" s="609"/>
    </row>
    <row r="17" spans="1:15">
      <c r="A17" s="624"/>
      <c r="B17" s="625"/>
      <c r="C17" s="614"/>
      <c r="D17" s="620"/>
      <c r="E17" s="620"/>
      <c r="F17" s="620"/>
      <c r="G17" s="620"/>
      <c r="H17" s="611"/>
      <c r="I17" s="621"/>
      <c r="J17" s="621"/>
      <c r="K17" s="621"/>
      <c r="M17" s="621"/>
      <c r="O17" s="609"/>
    </row>
    <row r="18" spans="1:15">
      <c r="A18" s="624"/>
      <c r="B18" s="625"/>
      <c r="C18" s="614"/>
      <c r="D18" s="620"/>
      <c r="E18" s="620"/>
      <c r="F18" s="620"/>
      <c r="G18" s="620"/>
      <c r="H18" s="611"/>
      <c r="I18" s="621"/>
      <c r="J18" s="621"/>
      <c r="K18" s="621"/>
      <c r="M18" s="621"/>
      <c r="O18" s="609"/>
    </row>
    <row r="19" spans="1:15">
      <c r="B19" s="607"/>
      <c r="C19" s="618"/>
      <c r="D19" s="626"/>
      <c r="E19" s="626"/>
      <c r="F19" s="626"/>
      <c r="G19" s="620"/>
      <c r="H19" s="611"/>
      <c r="I19" s="621"/>
      <c r="J19" s="621"/>
      <c r="M19" s="621"/>
      <c r="O19" s="609"/>
    </row>
    <row r="20" spans="1:15">
      <c r="B20" s="607"/>
      <c r="C20" s="618"/>
      <c r="D20" s="626"/>
      <c r="E20" s="626"/>
      <c r="F20" s="626"/>
      <c r="G20" s="626"/>
      <c r="I20" s="621"/>
      <c r="J20" s="621"/>
    </row>
    <row r="21" spans="1:15">
      <c r="G21" s="626"/>
      <c r="I21" s="621"/>
      <c r="J21" s="621"/>
    </row>
    <row r="22" spans="1:15">
      <c r="G22" s="626"/>
      <c r="I22" s="621"/>
      <c r="J22" s="621"/>
    </row>
    <row r="23" spans="1:15">
      <c r="G23" s="626"/>
      <c r="I23" s="621"/>
      <c r="J23" s="621"/>
    </row>
    <row r="24" spans="1:15">
      <c r="G24" s="626"/>
      <c r="I24" s="621"/>
      <c r="J24" s="621"/>
    </row>
    <row r="25" spans="1:15">
      <c r="G25" s="626"/>
    </row>
    <row r="27" spans="1:15">
      <c r="G27" s="627"/>
    </row>
    <row r="28" spans="1:15">
      <c r="B28" s="610"/>
      <c r="C28" s="610"/>
      <c r="D28" s="610"/>
      <c r="E28" s="610"/>
      <c r="F28" s="610"/>
      <c r="G28" s="618"/>
    </row>
    <row r="29" spans="1:15">
      <c r="B29" s="610"/>
      <c r="C29" s="610"/>
      <c r="D29" s="610"/>
      <c r="E29" s="610"/>
      <c r="F29" s="610"/>
      <c r="G29" s="610"/>
    </row>
    <row r="30" spans="1:15">
      <c r="G30" s="61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S1188"/>
  <sheetViews>
    <sheetView view="pageBreakPreview" zoomScale="60" zoomScaleNormal="85" workbookViewId="0">
      <pane ySplit="1" topLeftCell="A1150" activePane="bottomLeft" state="frozen"/>
      <selection pane="bottomLeft" activeCell="A1168" sqref="A1168"/>
    </sheetView>
  </sheetViews>
  <sheetFormatPr defaultColWidth="9" defaultRowHeight="15.75"/>
  <cols>
    <col min="1" max="1" width="26" style="629" bestFit="1" customWidth="1"/>
    <col min="2" max="7" width="13.28515625" style="629" customWidth="1"/>
    <col min="8" max="8" width="14.85546875" style="629" customWidth="1"/>
    <col min="9" max="9" width="13.28515625" style="629" customWidth="1"/>
    <col min="10" max="10" width="17" style="629" customWidth="1"/>
    <col min="11" max="16384" width="9" style="629"/>
  </cols>
  <sheetData>
    <row r="1" spans="1:19">
      <c r="B1" s="236" t="s">
        <v>2333</v>
      </c>
      <c r="C1" s="236" t="s">
        <v>3051</v>
      </c>
      <c r="D1" s="236" t="s">
        <v>214</v>
      </c>
      <c r="E1" s="236" t="s">
        <v>3052</v>
      </c>
      <c r="F1" s="236" t="s">
        <v>3053</v>
      </c>
      <c r="G1" s="236" t="s">
        <v>3055</v>
      </c>
      <c r="H1" s="629" t="s">
        <v>1301</v>
      </c>
      <c r="I1" s="629" t="s">
        <v>1300</v>
      </c>
      <c r="J1" s="629" t="s">
        <v>1299</v>
      </c>
    </row>
    <row r="2" spans="1:19">
      <c r="B2" s="629" t="s">
        <v>4583</v>
      </c>
      <c r="C2" s="629" t="s">
        <v>4584</v>
      </c>
      <c r="D2" s="629" t="s">
        <v>4585</v>
      </c>
      <c r="E2" s="629" t="s">
        <v>4586</v>
      </c>
      <c r="F2" s="629" t="s">
        <v>4587</v>
      </c>
      <c r="G2" s="629" t="s">
        <v>4588</v>
      </c>
      <c r="H2" s="629" t="s">
        <v>4590</v>
      </c>
      <c r="I2" s="629" t="s">
        <v>4591</v>
      </c>
      <c r="J2" s="629" t="s">
        <v>4592</v>
      </c>
    </row>
    <row r="3" spans="1:19">
      <c r="B3" s="629" t="s">
        <v>4589</v>
      </c>
      <c r="C3" s="629" t="s">
        <v>4589</v>
      </c>
      <c r="D3" s="629" t="s">
        <v>4589</v>
      </c>
      <c r="E3" s="629" t="s">
        <v>4589</v>
      </c>
      <c r="F3" s="629" t="s">
        <v>4589</v>
      </c>
      <c r="G3" s="629" t="s">
        <v>4589</v>
      </c>
      <c r="H3" s="629" t="s">
        <v>4589</v>
      </c>
      <c r="I3" s="629" t="s">
        <v>4589</v>
      </c>
      <c r="J3" s="629" t="s">
        <v>4589</v>
      </c>
    </row>
    <row r="5" spans="1:19">
      <c r="A5" s="629" t="s">
        <v>1298</v>
      </c>
      <c r="G5" s="629">
        <v>6.5942562462275602E-4</v>
      </c>
      <c r="H5" s="734">
        <v>1.2535482069544501E-3</v>
      </c>
      <c r="I5" s="734"/>
      <c r="J5" s="734"/>
      <c r="L5" s="84"/>
      <c r="M5" s="84"/>
      <c r="N5" s="84"/>
      <c r="O5" s="84"/>
      <c r="P5" s="84"/>
      <c r="Q5" s="84"/>
      <c r="R5" s="84"/>
      <c r="S5" s="84"/>
    </row>
    <row r="6" spans="1:19">
      <c r="A6" s="629" t="s">
        <v>1297</v>
      </c>
      <c r="G6" s="629">
        <v>6.8852943906320496E-4</v>
      </c>
      <c r="H6" s="734">
        <v>1.1546025084102499E-3</v>
      </c>
      <c r="I6" s="734"/>
      <c r="J6" s="734"/>
      <c r="L6" s="84"/>
      <c r="M6" s="84"/>
      <c r="N6" s="84"/>
      <c r="O6" s="84"/>
      <c r="P6" s="84"/>
      <c r="Q6" s="84"/>
      <c r="R6" s="84"/>
      <c r="S6" s="84"/>
    </row>
    <row r="7" spans="1:19">
      <c r="A7" s="629" t="s">
        <v>1296</v>
      </c>
      <c r="G7" s="629">
        <v>6.8269666939601095E-4</v>
      </c>
      <c r="H7" s="734">
        <v>1.32937791891644E-3</v>
      </c>
      <c r="I7" s="735"/>
      <c r="J7" s="735"/>
      <c r="L7" s="84"/>
      <c r="M7" s="84"/>
      <c r="N7" s="84"/>
      <c r="O7" s="84"/>
      <c r="P7" s="84"/>
      <c r="Q7" s="84"/>
      <c r="R7" s="84"/>
      <c r="S7" s="84"/>
    </row>
    <row r="8" spans="1:19">
      <c r="A8" s="629" t="s">
        <v>1295</v>
      </c>
      <c r="G8" s="629">
        <v>8.1222245156698902E-4</v>
      </c>
      <c r="H8" s="734">
        <v>1.75813846862506E-3</v>
      </c>
      <c r="I8" s="735"/>
      <c r="J8" s="735"/>
      <c r="L8" s="84"/>
      <c r="M8" s="84"/>
      <c r="N8" s="84"/>
      <c r="O8" s="84"/>
      <c r="P8" s="84"/>
      <c r="Q8" s="84"/>
      <c r="R8" s="84"/>
      <c r="S8" s="84"/>
    </row>
    <row r="9" spans="1:19">
      <c r="A9" s="629" t="s">
        <v>1294</v>
      </c>
      <c r="G9" s="629">
        <v>8.0074492684375305E-4</v>
      </c>
      <c r="H9" s="734">
        <v>1.60021832672548E-3</v>
      </c>
      <c r="I9" s="735"/>
      <c r="J9" s="735"/>
      <c r="L9" s="84"/>
      <c r="M9" s="84"/>
      <c r="N9" s="84"/>
      <c r="O9" s="84"/>
      <c r="P9" s="84"/>
      <c r="Q9" s="84"/>
      <c r="R9" s="84"/>
      <c r="S9" s="84"/>
    </row>
    <row r="10" spans="1:19">
      <c r="A10" s="629" t="s">
        <v>1293</v>
      </c>
      <c r="G10" s="629">
        <v>7.8357462461759505E-4</v>
      </c>
      <c r="H10" s="734">
        <v>1.44671196799182E-3</v>
      </c>
      <c r="I10" s="735"/>
      <c r="J10" s="735"/>
      <c r="L10" s="84"/>
      <c r="M10" s="84"/>
      <c r="N10" s="84"/>
      <c r="O10" s="84"/>
      <c r="P10" s="84"/>
      <c r="Q10" s="84"/>
      <c r="R10" s="84"/>
      <c r="S10" s="84"/>
    </row>
    <row r="11" spans="1:19">
      <c r="A11" s="629" t="s">
        <v>1292</v>
      </c>
      <c r="G11" s="629">
        <v>8.1293643815761403E-4</v>
      </c>
      <c r="H11" s="734">
        <v>1.4950942341493501E-3</v>
      </c>
      <c r="I11" s="735"/>
      <c r="J11" s="735"/>
      <c r="L11" s="84"/>
      <c r="M11" s="84"/>
      <c r="N11" s="84"/>
      <c r="O11" s="84"/>
      <c r="P11" s="84"/>
      <c r="Q11" s="84"/>
      <c r="R11" s="84"/>
      <c r="S11" s="84"/>
    </row>
    <row r="12" spans="1:19">
      <c r="A12" s="629" t="s">
        <v>1291</v>
      </c>
      <c r="G12" s="629">
        <v>1.0654315359315001E-3</v>
      </c>
      <c r="H12" s="734">
        <v>1.5578179929539001E-3</v>
      </c>
      <c r="I12" s="735"/>
      <c r="J12" s="735"/>
      <c r="L12" s="84"/>
      <c r="M12" s="84"/>
      <c r="N12" s="84"/>
      <c r="O12" s="84"/>
      <c r="P12" s="84"/>
      <c r="Q12" s="84"/>
      <c r="R12" s="84"/>
      <c r="S12" s="84"/>
    </row>
    <row r="13" spans="1:19">
      <c r="A13" s="629" t="s">
        <v>1290</v>
      </c>
      <c r="G13" s="629">
        <v>1.0211211348767301E-3</v>
      </c>
      <c r="H13" s="734">
        <v>1.4356873944034699E-3</v>
      </c>
      <c r="I13" s="735"/>
      <c r="J13" s="735"/>
      <c r="L13" s="84"/>
      <c r="M13" s="84"/>
      <c r="N13" s="84"/>
      <c r="O13" s="84"/>
      <c r="P13" s="84"/>
      <c r="Q13" s="84"/>
      <c r="R13" s="84"/>
      <c r="S13" s="84"/>
    </row>
    <row r="14" spans="1:19">
      <c r="A14" s="629" t="s">
        <v>1289</v>
      </c>
      <c r="G14" s="629">
        <v>1.04046342614469E-3</v>
      </c>
      <c r="H14" s="734">
        <v>1.33930056752959E-3</v>
      </c>
      <c r="I14" s="735"/>
      <c r="J14" s="735"/>
      <c r="L14" s="84"/>
      <c r="M14" s="84"/>
      <c r="N14" s="84"/>
      <c r="O14" s="84"/>
      <c r="P14" s="84"/>
      <c r="Q14" s="84"/>
      <c r="R14" s="84"/>
      <c r="S14" s="84"/>
    </row>
    <row r="15" spans="1:19">
      <c r="A15" s="629" t="s">
        <v>1288</v>
      </c>
      <c r="G15" s="629">
        <v>1.0012918380904901E-3</v>
      </c>
      <c r="H15" s="734">
        <v>1.38327817252538E-3</v>
      </c>
      <c r="I15" s="735"/>
      <c r="J15" s="735"/>
      <c r="L15" s="84"/>
      <c r="M15" s="84"/>
      <c r="N15" s="84"/>
      <c r="O15" s="84"/>
      <c r="P15" s="84"/>
      <c r="Q15" s="84"/>
      <c r="R15" s="84"/>
      <c r="S15" s="84"/>
    </row>
    <row r="16" spans="1:19">
      <c r="A16" s="629" t="s">
        <v>1287</v>
      </c>
      <c r="G16" s="629">
        <v>1.4672389865342801E-3</v>
      </c>
      <c r="H16" s="734">
        <v>1.3525739330294299E-3</v>
      </c>
      <c r="I16" s="735"/>
      <c r="J16" s="735"/>
      <c r="L16" s="84"/>
      <c r="M16" s="84"/>
      <c r="N16" s="84"/>
      <c r="O16" s="84"/>
      <c r="P16" s="84"/>
      <c r="Q16" s="84"/>
      <c r="R16" s="84"/>
      <c r="S16" s="84"/>
    </row>
    <row r="17" spans="1:19">
      <c r="A17" s="629" t="s">
        <v>1286</v>
      </c>
      <c r="G17" s="629">
        <v>1.59160053453932E-3</v>
      </c>
      <c r="H17" s="734">
        <v>1.2499109340126399E-3</v>
      </c>
      <c r="I17" s="735"/>
      <c r="J17" s="735"/>
      <c r="L17" s="84"/>
      <c r="M17" s="84"/>
      <c r="N17" s="84"/>
      <c r="O17" s="84"/>
      <c r="P17" s="84"/>
      <c r="Q17" s="84"/>
      <c r="R17" s="84"/>
      <c r="S17" s="84"/>
    </row>
    <row r="18" spans="1:19">
      <c r="A18" s="629" t="s">
        <v>1285</v>
      </c>
      <c r="G18" s="629">
        <v>1.49631200007473E-3</v>
      </c>
      <c r="H18" s="734">
        <v>1.2344337008200999E-3</v>
      </c>
      <c r="I18" s="735"/>
      <c r="J18" s="735"/>
      <c r="L18" s="84"/>
      <c r="M18" s="84"/>
      <c r="N18" s="84"/>
      <c r="O18" s="84"/>
      <c r="P18" s="84"/>
      <c r="Q18" s="84"/>
      <c r="R18" s="84"/>
      <c r="S18" s="84"/>
    </row>
    <row r="19" spans="1:19">
      <c r="A19" s="629" t="s">
        <v>1284</v>
      </c>
      <c r="G19" s="629">
        <v>1.80673423726951E-3</v>
      </c>
      <c r="H19" s="734">
        <v>1.4234978875918001E-3</v>
      </c>
      <c r="I19" s="735"/>
      <c r="J19" s="735"/>
      <c r="L19" s="84"/>
      <c r="M19" s="84"/>
      <c r="N19" s="84"/>
      <c r="O19" s="84"/>
      <c r="P19" s="84"/>
      <c r="Q19" s="84"/>
      <c r="R19" s="84"/>
      <c r="S19" s="84"/>
    </row>
    <row r="20" spans="1:19">
      <c r="A20" s="629" t="s">
        <v>1283</v>
      </c>
      <c r="G20" s="629">
        <v>1.7016723107149401E-3</v>
      </c>
      <c r="H20" s="734">
        <v>1.2882195098389501E-3</v>
      </c>
      <c r="I20" s="735"/>
      <c r="J20" s="735"/>
      <c r="L20" s="84"/>
      <c r="M20" s="84"/>
      <c r="N20" s="84"/>
      <c r="O20" s="84"/>
      <c r="P20" s="84"/>
      <c r="Q20" s="84"/>
      <c r="R20" s="84"/>
      <c r="S20" s="84"/>
    </row>
    <row r="21" spans="1:19">
      <c r="A21" s="629" t="s">
        <v>1282</v>
      </c>
      <c r="G21" s="629">
        <v>2.3495226800447099E-3</v>
      </c>
      <c r="H21" s="734">
        <v>1.20040497169373E-3</v>
      </c>
      <c r="I21" s="735"/>
      <c r="J21" s="735"/>
      <c r="L21" s="84"/>
      <c r="M21" s="84"/>
      <c r="N21" s="84"/>
      <c r="O21" s="84"/>
      <c r="P21" s="84"/>
      <c r="Q21" s="84"/>
      <c r="R21" s="84"/>
      <c r="S21" s="84"/>
    </row>
    <row r="22" spans="1:19">
      <c r="A22" s="629" t="s">
        <v>1281</v>
      </c>
      <c r="G22" s="629">
        <v>6.7825284609467603E-3</v>
      </c>
      <c r="H22" s="734">
        <v>1.4882475524241601E-3</v>
      </c>
      <c r="I22" s="735"/>
      <c r="J22" s="735"/>
      <c r="L22" s="84"/>
      <c r="M22" s="84"/>
      <c r="N22" s="84"/>
      <c r="O22" s="84"/>
      <c r="P22" s="84"/>
      <c r="Q22" s="84"/>
      <c r="R22" s="84"/>
      <c r="S22" s="84"/>
    </row>
    <row r="23" spans="1:19">
      <c r="A23" s="629" t="s">
        <v>1280</v>
      </c>
      <c r="G23" s="629">
        <v>6.34579068714081E-3</v>
      </c>
      <c r="H23" s="734">
        <v>1.3665938806320299E-3</v>
      </c>
      <c r="I23" s="735"/>
      <c r="J23" s="735"/>
      <c r="L23" s="84"/>
      <c r="M23" s="84"/>
      <c r="N23" s="84"/>
      <c r="O23" s="84"/>
      <c r="P23" s="84"/>
      <c r="Q23" s="84"/>
      <c r="R23" s="84"/>
      <c r="S23" s="84"/>
    </row>
    <row r="24" spans="1:19">
      <c r="A24" s="629" t="s">
        <v>1279</v>
      </c>
      <c r="G24" s="629">
        <v>5.7823696503500497E-3</v>
      </c>
      <c r="H24" s="734">
        <v>1.71267416813809E-3</v>
      </c>
      <c r="I24" s="735"/>
      <c r="J24" s="735"/>
      <c r="L24" s="84"/>
      <c r="M24" s="84"/>
      <c r="N24" s="84"/>
      <c r="O24" s="84"/>
      <c r="P24" s="84"/>
      <c r="Q24" s="84"/>
      <c r="R24" s="84"/>
      <c r="S24" s="84"/>
    </row>
    <row r="25" spans="1:19">
      <c r="A25" s="629" t="s">
        <v>1278</v>
      </c>
      <c r="G25" s="629">
        <v>5.25884961287287E-3</v>
      </c>
      <c r="H25" s="734">
        <v>1.77075427049495E-3</v>
      </c>
      <c r="I25" s="735"/>
      <c r="J25" s="735"/>
      <c r="L25" s="84"/>
      <c r="M25" s="84"/>
      <c r="N25" s="84"/>
      <c r="O25" s="84"/>
      <c r="P25" s="84"/>
      <c r="Q25" s="84"/>
      <c r="R25" s="84"/>
      <c r="S25" s="84"/>
    </row>
    <row r="26" spans="1:19">
      <c r="A26" s="629" t="s">
        <v>1277</v>
      </c>
      <c r="G26" s="629">
        <v>5.9505634527985104E-3</v>
      </c>
      <c r="H26" s="734">
        <v>1.75066544096312E-3</v>
      </c>
      <c r="I26" s="735"/>
      <c r="J26" s="735"/>
      <c r="L26" s="84"/>
      <c r="M26" s="84"/>
      <c r="N26" s="84"/>
      <c r="O26" s="84"/>
      <c r="P26" s="84"/>
      <c r="Q26" s="84"/>
      <c r="R26" s="84"/>
      <c r="S26" s="84"/>
    </row>
    <row r="27" spans="1:19">
      <c r="A27" s="629" t="s">
        <v>1276</v>
      </c>
      <c r="G27" s="629">
        <v>5.40724993321272E-3</v>
      </c>
      <c r="H27" s="734">
        <v>2.0013167856125199E-3</v>
      </c>
      <c r="I27" s="735"/>
      <c r="J27" s="735"/>
      <c r="L27" s="84"/>
      <c r="M27" s="84"/>
      <c r="N27" s="84"/>
      <c r="O27" s="84"/>
      <c r="P27" s="84"/>
      <c r="Q27" s="84"/>
      <c r="R27" s="84"/>
      <c r="S27" s="84"/>
    </row>
    <row r="28" spans="1:19">
      <c r="A28" s="629" t="s">
        <v>1275</v>
      </c>
      <c r="G28" s="629">
        <v>5.0644812346512698E-3</v>
      </c>
      <c r="H28" s="734">
        <v>2.2849683158488602E-3</v>
      </c>
      <c r="I28" s="735"/>
      <c r="J28" s="735"/>
      <c r="L28" s="84"/>
      <c r="M28" s="84"/>
      <c r="N28" s="84"/>
      <c r="O28" s="84"/>
      <c r="P28" s="84"/>
      <c r="Q28" s="84"/>
      <c r="R28" s="84"/>
      <c r="S28" s="84"/>
    </row>
    <row r="29" spans="1:19">
      <c r="A29" s="629" t="s">
        <v>1274</v>
      </c>
      <c r="G29" s="629">
        <v>5.6840683656384696E-3</v>
      </c>
      <c r="H29" s="734">
        <v>2.0389734673404501E-3</v>
      </c>
      <c r="I29" s="735">
        <v>2.7157672581057898E-3</v>
      </c>
      <c r="J29" s="735">
        <v>2.2817976139644998E-3</v>
      </c>
      <c r="L29" s="84"/>
      <c r="M29" s="84"/>
      <c r="N29" s="84"/>
      <c r="O29" s="84"/>
      <c r="P29" s="84"/>
      <c r="Q29" s="84"/>
      <c r="R29" s="84"/>
      <c r="S29" s="84"/>
    </row>
    <row r="30" spans="1:19">
      <c r="A30" s="629" t="s">
        <v>1273</v>
      </c>
      <c r="G30" s="629">
        <v>1.0291634765586999E-2</v>
      </c>
      <c r="H30" s="734">
        <v>1.8155467928230101E-3</v>
      </c>
      <c r="I30" s="735">
        <v>2.5136198087874098E-3</v>
      </c>
      <c r="J30" s="735">
        <v>2.0171967588548602E-3</v>
      </c>
      <c r="L30" s="84"/>
      <c r="M30" s="84"/>
      <c r="N30" s="84"/>
      <c r="O30" s="84"/>
      <c r="P30" s="84"/>
      <c r="Q30" s="84"/>
      <c r="R30" s="84"/>
      <c r="S30" s="84"/>
    </row>
    <row r="31" spans="1:19">
      <c r="A31" s="629" t="s">
        <v>1272</v>
      </c>
      <c r="G31" s="629">
        <v>9.3170492029053392E-3</v>
      </c>
      <c r="H31" s="734">
        <v>1.66527396309958E-3</v>
      </c>
      <c r="I31" s="735">
        <v>2.27189682457437E-3</v>
      </c>
      <c r="J31" s="735">
        <v>1.8357788742599801E-3</v>
      </c>
      <c r="L31" s="84"/>
      <c r="M31" s="84"/>
      <c r="N31" s="84"/>
      <c r="O31" s="84"/>
      <c r="P31" s="84"/>
      <c r="Q31" s="84"/>
      <c r="R31" s="84"/>
      <c r="S31" s="84"/>
    </row>
    <row r="32" spans="1:19">
      <c r="A32" s="629" t="s">
        <v>1271</v>
      </c>
      <c r="G32" s="629">
        <v>9.08070755943193E-3</v>
      </c>
      <c r="H32" s="734">
        <v>2.85204423492199E-3</v>
      </c>
      <c r="I32" s="735">
        <v>2.4861571455703901E-3</v>
      </c>
      <c r="J32" s="735">
        <v>2.98124041318438E-3</v>
      </c>
      <c r="L32" s="84"/>
      <c r="M32" s="84"/>
      <c r="N32" s="84"/>
      <c r="O32" s="84"/>
      <c r="P32" s="84"/>
      <c r="Q32" s="84"/>
      <c r="R32" s="84"/>
      <c r="S32" s="84"/>
    </row>
    <row r="33" spans="1:19">
      <c r="A33" s="629" t="s">
        <v>1270</v>
      </c>
      <c r="G33" s="629">
        <v>8.2277442171560296E-3</v>
      </c>
      <c r="H33" s="734">
        <v>2.5316812198171801E-3</v>
      </c>
      <c r="I33" s="735">
        <v>3.1077852915705599E-3</v>
      </c>
      <c r="J33" s="735">
        <v>2.6357249668667801E-3</v>
      </c>
      <c r="L33" s="84"/>
      <c r="M33" s="84"/>
      <c r="N33" s="84"/>
      <c r="O33" s="84"/>
      <c r="P33" s="84"/>
      <c r="Q33" s="84"/>
      <c r="R33" s="84"/>
      <c r="S33" s="84"/>
    </row>
    <row r="34" spans="1:19">
      <c r="A34" s="629" t="s">
        <v>1269</v>
      </c>
      <c r="G34" s="629">
        <v>7.4606335778907998E-3</v>
      </c>
      <c r="H34" s="734">
        <v>2.2096262032769002E-3</v>
      </c>
      <c r="I34" s="735">
        <v>2.7784168228821501E-3</v>
      </c>
      <c r="J34" s="735">
        <v>2.2932523650324201E-3</v>
      </c>
      <c r="L34" s="84"/>
      <c r="M34" s="84"/>
      <c r="N34" s="84"/>
      <c r="O34" s="84"/>
      <c r="P34" s="84"/>
      <c r="Q34" s="84"/>
      <c r="R34" s="84"/>
      <c r="S34" s="84"/>
    </row>
    <row r="35" spans="1:19">
      <c r="A35" s="629" t="s">
        <v>1268</v>
      </c>
      <c r="G35" s="629">
        <v>6.9660077367671202E-3</v>
      </c>
      <c r="H35" s="734">
        <v>2.2342076628917799E-3</v>
      </c>
      <c r="I35" s="735">
        <v>2.7285180817359501E-3</v>
      </c>
      <c r="J35" s="735">
        <v>2.3133622749407601E-3</v>
      </c>
      <c r="L35" s="84"/>
      <c r="M35" s="84"/>
      <c r="N35" s="84"/>
      <c r="O35" s="84"/>
      <c r="P35" s="84"/>
      <c r="Q35" s="84"/>
      <c r="R35" s="84"/>
      <c r="S35" s="84"/>
    </row>
    <row r="36" spans="1:19">
      <c r="A36" s="629" t="s">
        <v>1267</v>
      </c>
      <c r="G36" s="629">
        <v>6.5726140989303501E-3</v>
      </c>
      <c r="H36" s="734">
        <v>1.95677278715272E-3</v>
      </c>
      <c r="I36" s="735">
        <v>2.4595544352294099E-3</v>
      </c>
      <c r="J36" s="735">
        <v>2.0193576834546798E-3</v>
      </c>
      <c r="L36" s="84"/>
      <c r="M36" s="84"/>
      <c r="N36" s="84"/>
      <c r="O36" s="84"/>
      <c r="P36" s="84"/>
      <c r="Q36" s="84"/>
      <c r="R36" s="84"/>
      <c r="S36" s="84"/>
    </row>
    <row r="37" spans="1:19">
      <c r="A37" s="629" t="s">
        <v>1266</v>
      </c>
      <c r="G37" s="629">
        <v>7.9986766544352002E-3</v>
      </c>
      <c r="H37" s="734">
        <v>2.3913451088150902E-3</v>
      </c>
      <c r="I37" s="735">
        <v>2.5878716833075098E-3</v>
      </c>
      <c r="J37" s="735">
        <v>2.4388798736334999E-3</v>
      </c>
      <c r="L37" s="84"/>
      <c r="M37" s="84"/>
      <c r="N37" s="84"/>
      <c r="O37" s="84"/>
      <c r="P37" s="84"/>
      <c r="Q37" s="84"/>
      <c r="R37" s="84"/>
      <c r="S37" s="84"/>
    </row>
    <row r="38" spans="1:19">
      <c r="A38" s="629" t="s">
        <v>1265</v>
      </c>
      <c r="G38" s="629">
        <v>8.5446684061442207E-3</v>
      </c>
      <c r="H38" s="734">
        <v>2.1160391618391598E-3</v>
      </c>
      <c r="I38" s="735">
        <v>2.3550357479228102E-3</v>
      </c>
      <c r="J38" s="735">
        <v>2.15200792960219E-3</v>
      </c>
      <c r="L38" s="84"/>
      <c r="M38" s="84"/>
      <c r="N38" s="84"/>
      <c r="O38" s="84"/>
      <c r="P38" s="84"/>
      <c r="Q38" s="84"/>
      <c r="R38" s="84"/>
      <c r="S38" s="84"/>
    </row>
    <row r="39" spans="1:19">
      <c r="A39" s="629" t="s">
        <v>1264</v>
      </c>
      <c r="G39" s="629">
        <v>7.7463460317959698E-3</v>
      </c>
      <c r="H39" s="734">
        <v>1.8639548727375E-3</v>
      </c>
      <c r="I39" s="735">
        <v>2.1374242329022099E-3</v>
      </c>
      <c r="J39" s="735">
        <v>1.8908388277387601E-3</v>
      </c>
      <c r="L39" s="84"/>
      <c r="M39" s="84"/>
      <c r="N39" s="84"/>
      <c r="O39" s="84"/>
      <c r="P39" s="84"/>
      <c r="Q39" s="84"/>
      <c r="R39" s="84"/>
      <c r="S39" s="84"/>
    </row>
    <row r="40" spans="1:19">
      <c r="A40" s="629" t="s">
        <v>1263</v>
      </c>
      <c r="G40" s="629">
        <v>7.0181422173674199E-3</v>
      </c>
      <c r="H40" s="734">
        <v>3.55354311276645E-3</v>
      </c>
      <c r="I40" s="735">
        <v>6.5391376883064097E-3</v>
      </c>
      <c r="J40" s="735">
        <v>3.5786157686715698E-3</v>
      </c>
      <c r="L40" s="84"/>
      <c r="M40" s="84"/>
      <c r="N40" s="84"/>
      <c r="O40" s="84"/>
      <c r="P40" s="84"/>
      <c r="Q40" s="84"/>
      <c r="R40" s="84"/>
      <c r="S40" s="84"/>
    </row>
    <row r="41" spans="1:19">
      <c r="A41" s="629" t="s">
        <v>1262</v>
      </c>
      <c r="G41" s="629">
        <v>6.3730485811082102E-3</v>
      </c>
      <c r="H41" s="734">
        <v>3.0484325056911702E-3</v>
      </c>
      <c r="I41" s="735">
        <v>5.7564813587085003E-3</v>
      </c>
      <c r="J41" s="735">
        <v>3.0708357636636701E-3</v>
      </c>
      <c r="L41" s="84"/>
      <c r="M41" s="84"/>
      <c r="N41" s="84"/>
      <c r="O41" s="84"/>
      <c r="P41" s="84"/>
      <c r="Q41" s="84"/>
      <c r="R41" s="84"/>
      <c r="S41" s="84"/>
    </row>
    <row r="42" spans="1:19">
      <c r="A42" s="629" t="s">
        <v>1261</v>
      </c>
      <c r="G42" s="629">
        <v>5.9810119050245896E-3</v>
      </c>
      <c r="H42" s="734">
        <v>2.8998310772740698E-3</v>
      </c>
      <c r="I42" s="735">
        <v>6.6093448921985603E-3</v>
      </c>
      <c r="J42" s="735">
        <v>2.9220628630904702E-3</v>
      </c>
      <c r="L42" s="84"/>
      <c r="M42" s="84"/>
      <c r="N42" s="84"/>
      <c r="O42" s="84"/>
      <c r="P42" s="84"/>
      <c r="Q42" s="84"/>
      <c r="R42" s="84"/>
      <c r="S42" s="84"/>
    </row>
    <row r="43" spans="1:19">
      <c r="A43" s="629" t="s">
        <v>1260</v>
      </c>
      <c r="G43" s="629">
        <v>5.4629544065442201E-3</v>
      </c>
      <c r="H43" s="734">
        <v>2.52473375221356E-3</v>
      </c>
      <c r="I43" s="735">
        <v>5.9670591700389901E-3</v>
      </c>
      <c r="J43" s="735">
        <v>2.5445523637752298E-3</v>
      </c>
      <c r="L43" s="84"/>
      <c r="M43" s="84"/>
      <c r="N43" s="84"/>
      <c r="O43" s="84"/>
      <c r="P43" s="84"/>
      <c r="Q43" s="84"/>
      <c r="R43" s="84"/>
      <c r="S43" s="84"/>
    </row>
    <row r="44" spans="1:19">
      <c r="A44" s="629" t="s">
        <v>1259</v>
      </c>
      <c r="G44" s="629">
        <v>4.9816168130163499E-3</v>
      </c>
      <c r="H44" s="734">
        <v>2.21077197140896E-3</v>
      </c>
      <c r="I44" s="735">
        <v>5.3196293074280303E-3</v>
      </c>
      <c r="J44" s="735">
        <v>2.2274630788503801E-3</v>
      </c>
      <c r="L44" s="84"/>
      <c r="M44" s="84"/>
      <c r="N44" s="84"/>
      <c r="O44" s="84"/>
      <c r="P44" s="84"/>
      <c r="Q44" s="84"/>
      <c r="R44" s="84"/>
      <c r="S44" s="84"/>
    </row>
    <row r="45" spans="1:19">
      <c r="A45" s="629" t="s">
        <v>1258</v>
      </c>
      <c r="G45" s="629">
        <v>4.6809485934822797E-3</v>
      </c>
      <c r="H45" s="734">
        <v>1.9420028433289199E-3</v>
      </c>
      <c r="I45" s="735">
        <v>4.7450011506908699E-3</v>
      </c>
      <c r="J45" s="735">
        <v>1.9540386901048899E-3</v>
      </c>
      <c r="L45" s="84"/>
      <c r="M45" s="84"/>
      <c r="N45" s="84"/>
      <c r="O45" s="84"/>
      <c r="P45" s="84"/>
      <c r="Q45" s="84"/>
      <c r="R45" s="84"/>
      <c r="S45" s="84"/>
    </row>
    <row r="46" spans="1:19">
      <c r="A46" s="629" t="s">
        <v>1257</v>
      </c>
      <c r="G46" s="629">
        <v>4.5034534714940202E-3</v>
      </c>
      <c r="H46" s="734">
        <v>1.98003783100913E-3</v>
      </c>
      <c r="I46" s="735">
        <v>4.32594168058467E-3</v>
      </c>
      <c r="J46" s="735">
        <v>1.9950229657525998E-3</v>
      </c>
      <c r="L46" s="84"/>
      <c r="M46" s="84"/>
      <c r="N46" s="84"/>
      <c r="O46" s="84"/>
      <c r="P46" s="84"/>
      <c r="Q46" s="84"/>
      <c r="R46" s="84"/>
      <c r="S46" s="84"/>
    </row>
    <row r="47" spans="1:19">
      <c r="A47" s="629" t="s">
        <v>1256</v>
      </c>
      <c r="G47" s="629">
        <v>4.2425314987868997E-3</v>
      </c>
      <c r="H47" s="734">
        <v>3.1846578679281898E-3</v>
      </c>
      <c r="I47" s="735">
        <v>8.4279270279420098E-3</v>
      </c>
      <c r="J47" s="735">
        <v>3.1989721321943501E-3</v>
      </c>
      <c r="L47" s="84"/>
      <c r="M47" s="84"/>
      <c r="N47" s="84"/>
      <c r="O47" s="84"/>
      <c r="P47" s="84"/>
      <c r="Q47" s="84"/>
      <c r="R47" s="84"/>
      <c r="S47" s="84"/>
    </row>
    <row r="48" spans="1:19">
      <c r="A48" s="629" t="s">
        <v>1255</v>
      </c>
      <c r="G48" s="629">
        <v>3.8778443308499499E-3</v>
      </c>
      <c r="H48" s="734">
        <v>2.8870585290919001E-3</v>
      </c>
      <c r="I48" s="735">
        <v>7.9797456442572603E-3</v>
      </c>
      <c r="J48" s="735">
        <v>2.9035582271607499E-3</v>
      </c>
      <c r="L48" s="84"/>
      <c r="M48" s="84"/>
      <c r="N48" s="84"/>
      <c r="O48" s="84"/>
      <c r="P48" s="84"/>
      <c r="Q48" s="84"/>
      <c r="R48" s="84"/>
      <c r="S48" s="84"/>
    </row>
    <row r="49" spans="1:19">
      <c r="A49" s="629" t="s">
        <v>1254</v>
      </c>
      <c r="G49" s="629">
        <v>5.9091133419607597E-3</v>
      </c>
      <c r="H49" s="734">
        <v>3.56982235058041E-3</v>
      </c>
      <c r="I49" s="735">
        <v>7.8202443705393705E-3</v>
      </c>
      <c r="J49" s="735">
        <v>3.5947519928772602E-3</v>
      </c>
      <c r="L49" s="84"/>
      <c r="M49" s="84"/>
      <c r="N49" s="84"/>
      <c r="O49" s="84"/>
      <c r="P49" s="84"/>
      <c r="Q49" s="84"/>
      <c r="R49" s="84"/>
      <c r="S49" s="84"/>
    </row>
    <row r="50" spans="1:19">
      <c r="A50" s="629" t="s">
        <v>1253</v>
      </c>
      <c r="G50" s="629">
        <v>6.7707242566594E-3</v>
      </c>
      <c r="H50" s="734">
        <v>3.5489728350593399E-3</v>
      </c>
      <c r="I50" s="735">
        <v>6.89903915902732E-3</v>
      </c>
      <c r="J50" s="735">
        <v>3.5735948948851801E-3</v>
      </c>
      <c r="L50" s="84"/>
      <c r="M50" s="84"/>
      <c r="N50" s="84"/>
      <c r="O50" s="84"/>
      <c r="P50" s="84"/>
      <c r="Q50" s="84"/>
      <c r="R50" s="84"/>
      <c r="S50" s="84"/>
    </row>
    <row r="51" spans="1:19">
      <c r="A51" s="629" t="s">
        <v>1252</v>
      </c>
      <c r="G51" s="629">
        <v>1.2224381224583501E-2</v>
      </c>
      <c r="H51" s="734">
        <v>8.8593479917986606E-3</v>
      </c>
      <c r="I51" s="735">
        <v>1.6886284634011199E-2</v>
      </c>
      <c r="J51" s="735">
        <v>8.9485652445870697E-3</v>
      </c>
      <c r="L51" s="84"/>
      <c r="M51" s="84"/>
      <c r="N51" s="84"/>
      <c r="O51" s="84"/>
      <c r="P51" s="84"/>
      <c r="Q51" s="84"/>
      <c r="R51" s="84"/>
      <c r="S51" s="84"/>
    </row>
    <row r="52" spans="1:19">
      <c r="A52" s="629" t="s">
        <v>1251</v>
      </c>
      <c r="G52" s="629">
        <v>1.46140363389697E-2</v>
      </c>
      <c r="H52" s="734">
        <v>1.0506949738186999E-2</v>
      </c>
      <c r="I52" s="735">
        <v>1.7975722597731499E-2</v>
      </c>
      <c r="J52" s="735">
        <v>1.05835988295852E-2</v>
      </c>
      <c r="L52" s="84"/>
      <c r="M52" s="84"/>
      <c r="N52" s="84"/>
      <c r="O52" s="84"/>
      <c r="P52" s="84"/>
      <c r="Q52" s="84"/>
      <c r="R52" s="84"/>
      <c r="S52" s="84"/>
    </row>
    <row r="53" spans="1:19">
      <c r="A53" s="629" t="s">
        <v>1250</v>
      </c>
      <c r="G53" s="629">
        <v>1.32628262257347E-2</v>
      </c>
      <c r="H53" s="734">
        <v>8.7579937573988298E-3</v>
      </c>
      <c r="I53" s="735">
        <v>1.5867951928420498E-2</v>
      </c>
      <c r="J53" s="735">
        <v>8.8399954738811008E-3</v>
      </c>
      <c r="L53" s="84"/>
      <c r="M53" s="84"/>
      <c r="N53" s="84"/>
      <c r="O53" s="84"/>
      <c r="P53" s="84"/>
      <c r="Q53" s="84"/>
      <c r="R53" s="84"/>
      <c r="S53" s="84"/>
    </row>
    <row r="54" spans="1:19">
      <c r="A54" s="629" t="s">
        <v>1249</v>
      </c>
      <c r="G54" s="629">
        <v>1.2310249634464599E-2</v>
      </c>
      <c r="H54" s="734">
        <v>7.4665002763113697E-3</v>
      </c>
      <c r="I54" s="735">
        <v>1.41109923114601E-2</v>
      </c>
      <c r="J54" s="735">
        <v>7.5696525848033902E-3</v>
      </c>
      <c r="L54" s="84"/>
      <c r="M54" s="84"/>
      <c r="N54" s="84"/>
      <c r="O54" s="84"/>
      <c r="P54" s="84"/>
      <c r="Q54" s="84"/>
      <c r="R54" s="84"/>
      <c r="S54" s="84"/>
    </row>
    <row r="55" spans="1:19">
      <c r="A55" s="629" t="s">
        <v>1248</v>
      </c>
      <c r="G55" s="629">
        <v>1.1115479865830301E-2</v>
      </c>
      <c r="H55" s="734">
        <v>6.2532165215478299E-3</v>
      </c>
      <c r="I55" s="735">
        <v>1.27785609307733E-2</v>
      </c>
      <c r="J55" s="735">
        <v>6.3520840731491803E-3</v>
      </c>
      <c r="L55" s="84"/>
      <c r="M55" s="84"/>
      <c r="N55" s="84"/>
      <c r="O55" s="84"/>
      <c r="P55" s="84"/>
      <c r="Q55" s="84"/>
      <c r="R55" s="84"/>
      <c r="S55" s="84"/>
    </row>
    <row r="56" spans="1:19">
      <c r="A56" s="629" t="s">
        <v>1247</v>
      </c>
      <c r="G56" s="629">
        <v>1.01462273583028E-2</v>
      </c>
      <c r="H56" s="734">
        <v>5.7124790386328403E-3</v>
      </c>
      <c r="I56" s="735">
        <v>1.1654236073306699E-2</v>
      </c>
      <c r="J56" s="735">
        <v>5.8236810647004401E-3</v>
      </c>
      <c r="L56" s="84"/>
      <c r="M56" s="84"/>
      <c r="N56" s="84"/>
      <c r="O56" s="84"/>
      <c r="P56" s="84"/>
      <c r="Q56" s="84"/>
      <c r="R56" s="84"/>
      <c r="S56" s="84"/>
    </row>
    <row r="57" spans="1:19">
      <c r="A57" s="629" t="s">
        <v>1246</v>
      </c>
      <c r="G57" s="629">
        <v>9.1866706432021002E-3</v>
      </c>
      <c r="H57" s="734">
        <v>4.9158832680565798E-3</v>
      </c>
      <c r="I57" s="735">
        <v>1.0230159584714901E-2</v>
      </c>
      <c r="J57" s="735">
        <v>5.01391437327768E-3</v>
      </c>
      <c r="L57" s="84"/>
      <c r="M57" s="84"/>
      <c r="N57" s="84"/>
      <c r="O57" s="84"/>
      <c r="P57" s="84"/>
      <c r="Q57" s="84"/>
      <c r="R57" s="84"/>
      <c r="S57" s="84"/>
    </row>
    <row r="58" spans="1:19">
      <c r="A58" s="629" t="s">
        <v>1245</v>
      </c>
      <c r="G58" s="629">
        <v>8.3232903723713097E-3</v>
      </c>
      <c r="H58" s="734">
        <v>4.2552476825542503E-3</v>
      </c>
      <c r="I58" s="735">
        <v>9.1748936046316502E-3</v>
      </c>
      <c r="J58" s="735">
        <v>4.3417473691259199E-3</v>
      </c>
      <c r="L58" s="84"/>
      <c r="M58" s="84"/>
      <c r="N58" s="84"/>
      <c r="O58" s="84"/>
      <c r="P58" s="84"/>
      <c r="Q58" s="84"/>
      <c r="R58" s="84"/>
      <c r="S58" s="84"/>
    </row>
    <row r="59" spans="1:19">
      <c r="A59" s="629" t="s">
        <v>1244</v>
      </c>
      <c r="G59" s="629">
        <v>7.5359755319713796E-3</v>
      </c>
      <c r="H59" s="734">
        <v>7.7698612963851199E-3</v>
      </c>
      <c r="I59" s="735">
        <v>1.2724969569921101E-2</v>
      </c>
      <c r="J59" s="735">
        <v>7.8886857026421904E-3</v>
      </c>
      <c r="L59" s="84"/>
      <c r="M59" s="84"/>
      <c r="N59" s="84"/>
      <c r="O59" s="84"/>
      <c r="P59" s="84"/>
      <c r="Q59" s="84"/>
      <c r="R59" s="84"/>
      <c r="S59" s="84"/>
    </row>
    <row r="60" spans="1:19">
      <c r="A60" s="629" t="s">
        <v>1243</v>
      </c>
      <c r="G60" s="629">
        <v>7.0451833276915397E-3</v>
      </c>
      <c r="H60" s="734">
        <v>6.5211682409807197E-3</v>
      </c>
      <c r="I60" s="735">
        <v>1.1151720208183599E-2</v>
      </c>
      <c r="J60" s="735">
        <v>6.6382531043090703E-3</v>
      </c>
      <c r="L60" s="84"/>
      <c r="M60" s="84"/>
      <c r="N60" s="84"/>
      <c r="O60" s="84"/>
      <c r="P60" s="84"/>
      <c r="Q60" s="84"/>
      <c r="R60" s="84"/>
      <c r="S60" s="84"/>
    </row>
    <row r="61" spans="1:19">
      <c r="A61" s="629" t="s">
        <v>1242</v>
      </c>
      <c r="G61" s="629">
        <v>6.4740175651128596E-3</v>
      </c>
      <c r="H61" s="734">
        <v>5.4858778388817602E-3</v>
      </c>
      <c r="I61" s="735">
        <v>9.7958082583309899E-3</v>
      </c>
      <c r="J61" s="735">
        <v>5.5917852713932899E-3</v>
      </c>
      <c r="L61" s="84"/>
      <c r="M61" s="84"/>
      <c r="N61" s="84"/>
      <c r="O61" s="84"/>
      <c r="P61" s="84"/>
      <c r="Q61" s="84"/>
      <c r="R61" s="84"/>
      <c r="S61" s="84"/>
    </row>
    <row r="62" spans="1:19">
      <c r="A62" s="629" t="s">
        <v>1241</v>
      </c>
      <c r="G62" s="629">
        <v>6.0492371791064396E-3</v>
      </c>
      <c r="H62" s="734">
        <v>7.4809647581585903E-3</v>
      </c>
      <c r="I62" s="735">
        <v>1.04045181657324E-2</v>
      </c>
      <c r="J62" s="735">
        <v>7.5854740170083696E-3</v>
      </c>
      <c r="L62" s="84"/>
      <c r="M62" s="84"/>
      <c r="N62" s="84"/>
      <c r="O62" s="84"/>
      <c r="P62" s="84"/>
      <c r="Q62" s="84"/>
      <c r="R62" s="84"/>
      <c r="S62" s="84"/>
    </row>
    <row r="63" spans="1:19">
      <c r="A63" s="629" t="s">
        <v>1240</v>
      </c>
      <c r="G63" s="629">
        <v>5.5014146181569298E-3</v>
      </c>
      <c r="H63" s="734">
        <v>7.8768240801961008E-3</v>
      </c>
      <c r="I63" s="735">
        <v>1.0236838757250601E-2</v>
      </c>
      <c r="J63" s="735">
        <v>7.9625923048277508E-3</v>
      </c>
      <c r="L63" s="84"/>
      <c r="M63" s="84"/>
      <c r="N63" s="84"/>
      <c r="O63" s="84"/>
      <c r="P63" s="84"/>
      <c r="Q63" s="84"/>
      <c r="R63" s="84"/>
      <c r="S63" s="84"/>
    </row>
    <row r="64" spans="1:19">
      <c r="A64" s="629" t="s">
        <v>1239</v>
      </c>
      <c r="G64" s="629">
        <v>5.0087136307224098E-3</v>
      </c>
      <c r="H64" s="734">
        <v>6.7561945068833297E-3</v>
      </c>
      <c r="I64" s="735">
        <v>9.9027295512317606E-3</v>
      </c>
      <c r="J64" s="735">
        <v>6.8324029579555096E-3</v>
      </c>
      <c r="L64" s="84"/>
      <c r="M64" s="84"/>
      <c r="N64" s="84"/>
      <c r="O64" s="84"/>
      <c r="P64" s="84"/>
      <c r="Q64" s="84"/>
      <c r="R64" s="84"/>
      <c r="S64" s="84"/>
    </row>
    <row r="65" spans="1:19">
      <c r="A65" s="629" t="s">
        <v>1238</v>
      </c>
      <c r="G65" s="629">
        <v>4.7047368157537E-3</v>
      </c>
      <c r="H65" s="734">
        <v>6.8254044937387497E-3</v>
      </c>
      <c r="I65" s="735">
        <v>8.9918208926704803E-3</v>
      </c>
      <c r="J65" s="735">
        <v>6.8897588495228897E-3</v>
      </c>
      <c r="L65" s="84"/>
      <c r="M65" s="84"/>
      <c r="N65" s="84"/>
      <c r="O65" s="84"/>
      <c r="P65" s="84"/>
      <c r="Q65" s="84"/>
      <c r="R65" s="84"/>
      <c r="S65" s="84"/>
    </row>
    <row r="66" spans="1:19">
      <c r="A66" s="629" t="s">
        <v>1237</v>
      </c>
      <c r="G66" s="629">
        <v>4.2927906436153098E-3</v>
      </c>
      <c r="H66" s="734">
        <v>5.8178803350811799E-3</v>
      </c>
      <c r="I66" s="735">
        <v>8.0337314355985508E-3</v>
      </c>
      <c r="J66" s="735">
        <v>5.8923130545713003E-3</v>
      </c>
      <c r="L66" s="84"/>
      <c r="M66" s="84"/>
      <c r="N66" s="84"/>
      <c r="O66" s="84"/>
      <c r="P66" s="84"/>
      <c r="Q66" s="84"/>
      <c r="R66" s="84"/>
      <c r="S66" s="84"/>
    </row>
    <row r="67" spans="1:19">
      <c r="A67" s="629" t="s">
        <v>1236</v>
      </c>
      <c r="G67" s="629">
        <v>4.12857819005289E-3</v>
      </c>
      <c r="H67" s="734">
        <v>6.173940778311E-3</v>
      </c>
      <c r="I67" s="735">
        <v>9.0476447861038804E-3</v>
      </c>
      <c r="J67" s="735">
        <v>6.2767308842486703E-3</v>
      </c>
      <c r="L67" s="84"/>
      <c r="M67" s="84"/>
      <c r="N67" s="84"/>
      <c r="O67" s="84"/>
      <c r="P67" s="84"/>
      <c r="Q67" s="84"/>
      <c r="R67" s="84"/>
      <c r="S67" s="84"/>
    </row>
    <row r="68" spans="1:19">
      <c r="A68" s="629" t="s">
        <v>1235</v>
      </c>
      <c r="G68" s="629">
        <v>3.7710436848685199E-3</v>
      </c>
      <c r="H68" s="734">
        <v>6.23244646687654E-3</v>
      </c>
      <c r="I68" s="735">
        <v>8.12970450277011E-3</v>
      </c>
      <c r="J68" s="735">
        <v>6.3177948549558403E-3</v>
      </c>
      <c r="L68" s="84"/>
      <c r="M68" s="84"/>
      <c r="N68" s="84"/>
      <c r="O68" s="84"/>
      <c r="P68" s="84"/>
      <c r="Q68" s="84"/>
      <c r="R68" s="84"/>
      <c r="S68" s="84"/>
    </row>
    <row r="69" spans="1:19">
      <c r="A69" s="629" t="s">
        <v>1234</v>
      </c>
      <c r="G69" s="629">
        <v>3.4534065791078498E-3</v>
      </c>
      <c r="H69" s="734">
        <v>6.9742491744360499E-3</v>
      </c>
      <c r="I69" s="735">
        <v>8.73725236058954E-3</v>
      </c>
      <c r="J69" s="735">
        <v>7.0531360495883003E-3</v>
      </c>
      <c r="L69" s="84"/>
      <c r="M69" s="84"/>
      <c r="N69" s="84"/>
      <c r="O69" s="84"/>
      <c r="P69" s="84"/>
      <c r="Q69" s="84"/>
      <c r="R69" s="84"/>
      <c r="S69" s="84"/>
    </row>
    <row r="70" spans="1:19">
      <c r="A70" s="629" t="s">
        <v>1233</v>
      </c>
      <c r="G70" s="629">
        <v>3.1940516709881399E-3</v>
      </c>
      <c r="H70" s="734">
        <v>8.8589480013025294E-3</v>
      </c>
      <c r="I70" s="735">
        <v>9.2254886544298302E-3</v>
      </c>
      <c r="J70" s="735">
        <v>8.9364146019412904E-3</v>
      </c>
      <c r="L70" s="84"/>
      <c r="M70" s="84"/>
      <c r="N70" s="84"/>
      <c r="O70" s="84"/>
      <c r="P70" s="84"/>
      <c r="Q70" s="84"/>
      <c r="R70" s="84"/>
      <c r="S70" s="84"/>
    </row>
    <row r="71" spans="1:19">
      <c r="A71" s="629" t="s">
        <v>1232</v>
      </c>
      <c r="G71" s="629">
        <v>3.0456597684722802E-3</v>
      </c>
      <c r="H71" s="734">
        <v>9.0381536641901093E-3</v>
      </c>
      <c r="I71" s="735">
        <v>9.6256556901201905E-3</v>
      </c>
      <c r="J71" s="735">
        <v>9.1962024360972804E-3</v>
      </c>
      <c r="L71" s="84"/>
      <c r="M71" s="84"/>
      <c r="N71" s="84"/>
      <c r="O71" s="84"/>
      <c r="P71" s="84"/>
      <c r="Q71" s="84"/>
      <c r="R71" s="84"/>
      <c r="S71" s="84"/>
    </row>
    <row r="72" spans="1:19">
      <c r="A72" s="629" t="s">
        <v>1231</v>
      </c>
      <c r="G72" s="629">
        <v>3.4332241451102202E-3</v>
      </c>
      <c r="H72" s="734">
        <v>8.9185015106622301E-3</v>
      </c>
      <c r="I72" s="735">
        <v>9.1488870740741007E-3</v>
      </c>
      <c r="J72" s="735">
        <v>9.0430320241328202E-3</v>
      </c>
      <c r="L72" s="84"/>
      <c r="M72" s="84"/>
      <c r="N72" s="84"/>
      <c r="O72" s="84"/>
      <c r="P72" s="84"/>
      <c r="Q72" s="84"/>
      <c r="R72" s="84"/>
      <c r="S72" s="84"/>
    </row>
    <row r="73" spans="1:19">
      <c r="A73" s="629" t="s">
        <v>1230</v>
      </c>
      <c r="G73" s="629">
        <v>3.1724214300411502E-3</v>
      </c>
      <c r="H73" s="734">
        <v>7.4645445350388596E-3</v>
      </c>
      <c r="I73" s="735">
        <v>8.0363955568428097E-3</v>
      </c>
      <c r="J73" s="735">
        <v>7.58076312591539E-3</v>
      </c>
      <c r="L73" s="84"/>
      <c r="M73" s="84"/>
      <c r="N73" s="84"/>
      <c r="O73" s="84"/>
      <c r="P73" s="84"/>
      <c r="Q73" s="84"/>
      <c r="R73" s="84"/>
      <c r="S73" s="84"/>
    </row>
    <row r="74" spans="1:19">
      <c r="A74" s="629" t="s">
        <v>1229</v>
      </c>
      <c r="G74" s="629">
        <v>3.5160797670141801E-3</v>
      </c>
      <c r="H74" s="734">
        <v>1.9855829695180301E-2</v>
      </c>
      <c r="I74" s="735">
        <v>1.88674411503954E-2</v>
      </c>
      <c r="J74" s="735">
        <v>2.0064718057521101E-2</v>
      </c>
      <c r="L74" s="84"/>
      <c r="M74" s="84"/>
      <c r="N74" s="84"/>
      <c r="O74" s="84"/>
      <c r="P74" s="84"/>
      <c r="Q74" s="84"/>
      <c r="R74" s="84"/>
      <c r="S74" s="84"/>
    </row>
    <row r="75" spans="1:19">
      <c r="A75" s="629" t="s">
        <v>1228</v>
      </c>
      <c r="G75" s="629">
        <v>3.2244912865317501E-3</v>
      </c>
      <c r="H75" s="734">
        <v>1.65198946607375E-2</v>
      </c>
      <c r="I75" s="735">
        <v>1.6967934453826501E-2</v>
      </c>
      <c r="J75" s="735">
        <v>1.67795460767334E-2</v>
      </c>
      <c r="L75" s="84"/>
      <c r="M75" s="84"/>
      <c r="N75" s="84"/>
      <c r="O75" s="84"/>
      <c r="P75" s="84"/>
      <c r="Q75" s="84"/>
      <c r="R75" s="84"/>
      <c r="S75" s="84"/>
    </row>
    <row r="76" spans="1:19">
      <c r="A76" s="629" t="s">
        <v>1227</v>
      </c>
      <c r="G76" s="629">
        <v>3.16113266941419E-3</v>
      </c>
      <c r="H76" s="734">
        <v>1.6019369444183099E-2</v>
      </c>
      <c r="I76" s="735">
        <v>1.5753390796283701E-2</v>
      </c>
      <c r="J76" s="735">
        <v>1.6175925757031299E-2</v>
      </c>
      <c r="L76" s="84"/>
      <c r="M76" s="84"/>
      <c r="N76" s="84"/>
      <c r="O76" s="84"/>
      <c r="P76" s="84"/>
      <c r="Q76" s="84"/>
      <c r="R76" s="84"/>
      <c r="S76" s="84"/>
    </row>
    <row r="77" spans="1:19">
      <c r="A77" s="629" t="s">
        <v>1226</v>
      </c>
      <c r="G77" s="629">
        <v>9.9650595539552897E-3</v>
      </c>
      <c r="H77" s="734">
        <v>1.8106951089167399E-2</v>
      </c>
      <c r="I77" s="735">
        <v>1.6454615170588101E-2</v>
      </c>
      <c r="J77" s="735">
        <v>1.8163640718230699E-2</v>
      </c>
      <c r="L77" s="84"/>
      <c r="M77" s="84"/>
      <c r="N77" s="84"/>
      <c r="O77" s="84"/>
      <c r="P77" s="84"/>
      <c r="Q77" s="84"/>
      <c r="R77" s="84"/>
      <c r="S77" s="84"/>
    </row>
    <row r="78" spans="1:19">
      <c r="A78" s="629" t="s">
        <v>1225</v>
      </c>
      <c r="G78" s="629">
        <v>9.0248239638744607E-3</v>
      </c>
      <c r="H78" s="734">
        <v>1.5956974855811198E-2</v>
      </c>
      <c r="I78" s="735">
        <v>1.46703149304045E-2</v>
      </c>
      <c r="J78" s="735">
        <v>1.5960166577464598E-2</v>
      </c>
      <c r="L78" s="84"/>
      <c r="M78" s="84"/>
      <c r="N78" s="84"/>
      <c r="O78" s="84"/>
      <c r="P78" s="84"/>
      <c r="Q78" s="84"/>
      <c r="R78" s="84"/>
      <c r="S78" s="84"/>
    </row>
    <row r="79" spans="1:19">
      <c r="A79" s="629" t="s">
        <v>1224</v>
      </c>
      <c r="G79" s="629">
        <v>9.2700686835912195E-3</v>
      </c>
      <c r="H79" s="734">
        <v>1.3232508221907101E-2</v>
      </c>
      <c r="I79" s="735">
        <v>1.31378919613695E-2</v>
      </c>
      <c r="J79" s="735">
        <v>1.3281270664840901E-2</v>
      </c>
      <c r="L79" s="84"/>
      <c r="M79" s="84"/>
      <c r="N79" s="84"/>
      <c r="O79" s="84"/>
      <c r="P79" s="84"/>
      <c r="Q79" s="84"/>
      <c r="R79" s="84"/>
      <c r="S79" s="84"/>
    </row>
    <row r="80" spans="1:19">
      <c r="A80" s="629" t="s">
        <v>1223</v>
      </c>
      <c r="G80" s="629">
        <v>8.5504876212383393E-3</v>
      </c>
      <c r="H80" s="734">
        <v>1.4309383420067399E-2</v>
      </c>
      <c r="I80" s="735">
        <v>1.33486829535088E-2</v>
      </c>
      <c r="J80" s="735">
        <v>1.4298002980237401E-2</v>
      </c>
      <c r="L80" s="84"/>
      <c r="M80" s="84"/>
      <c r="N80" s="84"/>
      <c r="O80" s="84"/>
      <c r="P80" s="84"/>
      <c r="Q80" s="84"/>
      <c r="R80" s="84"/>
      <c r="S80" s="84"/>
    </row>
    <row r="81" spans="1:19">
      <c r="A81" s="629" t="s">
        <v>1222</v>
      </c>
      <c r="G81" s="629">
        <v>1.1967110071915201E-2</v>
      </c>
      <c r="H81" s="734">
        <v>1.9809253589012098E-2</v>
      </c>
      <c r="I81" s="735">
        <v>1.5156589511823601E-2</v>
      </c>
      <c r="J81" s="735">
        <v>1.97270344819571E-2</v>
      </c>
      <c r="L81" s="84"/>
      <c r="M81" s="84"/>
      <c r="N81" s="84"/>
      <c r="O81" s="84"/>
      <c r="P81" s="84"/>
      <c r="Q81" s="84"/>
      <c r="R81" s="84"/>
      <c r="S81" s="84"/>
    </row>
    <row r="82" spans="1:19">
      <c r="A82" s="629" t="s">
        <v>1221</v>
      </c>
      <c r="G82" s="629">
        <v>1.6106040136334699E-2</v>
      </c>
      <c r="H82" s="734">
        <v>2.6855556615641301E-2</v>
      </c>
      <c r="I82" s="735">
        <v>2.3589174272692401E-2</v>
      </c>
      <c r="J82" s="735">
        <v>2.6607683488218601E-2</v>
      </c>
      <c r="L82" s="84"/>
      <c r="M82" s="84"/>
      <c r="N82" s="84"/>
      <c r="O82" s="84"/>
      <c r="P82" s="84"/>
      <c r="Q82" s="84"/>
      <c r="R82" s="84"/>
      <c r="S82" s="84"/>
    </row>
    <row r="83" spans="1:19">
      <c r="A83" s="629" t="s">
        <v>1220</v>
      </c>
      <c r="G83" s="629">
        <v>2.6393952149615998E-2</v>
      </c>
      <c r="H83" s="734">
        <v>2.3179734998097199E-2</v>
      </c>
      <c r="I83" s="735">
        <v>2.0738600813360802E-2</v>
      </c>
      <c r="J83" s="735">
        <v>2.2888902719582799E-2</v>
      </c>
      <c r="L83" s="84"/>
      <c r="M83" s="84"/>
      <c r="N83" s="84"/>
      <c r="O83" s="84"/>
      <c r="P83" s="84"/>
      <c r="Q83" s="84"/>
      <c r="R83" s="84"/>
      <c r="S83" s="84"/>
    </row>
    <row r="84" spans="1:19">
      <c r="A84" s="629" t="s">
        <v>1219</v>
      </c>
      <c r="G84" s="629">
        <v>2.3830120091203201E-2</v>
      </c>
      <c r="H84" s="734">
        <v>3.1512685045204998E-2</v>
      </c>
      <c r="I84" s="735">
        <v>2.74456942185419E-2</v>
      </c>
      <c r="J84" s="735">
        <v>3.20474756439669E-2</v>
      </c>
      <c r="L84" s="84"/>
      <c r="M84" s="84"/>
      <c r="N84" s="84"/>
      <c r="O84" s="84"/>
      <c r="P84" s="84"/>
      <c r="Q84" s="84"/>
      <c r="R84" s="84"/>
      <c r="S84" s="84"/>
    </row>
    <row r="85" spans="1:19">
      <c r="A85" s="629" t="s">
        <v>1218</v>
      </c>
      <c r="G85" s="629">
        <v>3.2620472000438001E-2</v>
      </c>
      <c r="H85" s="734">
        <v>3.67947202564093E-2</v>
      </c>
      <c r="I85" s="735">
        <v>3.7614367031014E-2</v>
      </c>
      <c r="J85" s="735">
        <v>3.8061443358223299E-2</v>
      </c>
      <c r="L85" s="84"/>
      <c r="M85" s="84"/>
      <c r="N85" s="84"/>
      <c r="O85" s="84"/>
      <c r="P85" s="84"/>
      <c r="Q85" s="84"/>
      <c r="R85" s="84"/>
      <c r="S85" s="84"/>
    </row>
    <row r="86" spans="1:19">
      <c r="A86" s="629" t="s">
        <v>1217</v>
      </c>
      <c r="G86" s="629">
        <v>2.98370734346061E-2</v>
      </c>
      <c r="H86" s="734">
        <v>3.3287508406264502E-2</v>
      </c>
      <c r="I86" s="735">
        <v>3.3702440395335202E-2</v>
      </c>
      <c r="J86" s="735">
        <v>3.4178278698429397E-2</v>
      </c>
      <c r="L86" s="84"/>
      <c r="M86" s="84"/>
      <c r="N86" s="84"/>
      <c r="O86" s="84"/>
      <c r="P86" s="84"/>
      <c r="Q86" s="84"/>
      <c r="R86" s="84"/>
      <c r="S86" s="84"/>
    </row>
    <row r="87" spans="1:19">
      <c r="A87" s="629" t="s">
        <v>1216</v>
      </c>
      <c r="G87" s="629">
        <v>2.6961414817072399E-2</v>
      </c>
      <c r="H87" s="734">
        <v>3.4964245398185503E-2</v>
      </c>
      <c r="I87" s="735">
        <v>3.2217795244634397E-2</v>
      </c>
      <c r="J87" s="735">
        <v>3.5418059696333E-2</v>
      </c>
      <c r="L87" s="84"/>
      <c r="M87" s="84"/>
      <c r="N87" s="84"/>
      <c r="O87" s="84"/>
      <c r="P87" s="84"/>
      <c r="Q87" s="84"/>
      <c r="R87" s="84"/>
      <c r="S87" s="84"/>
    </row>
    <row r="88" spans="1:19">
      <c r="A88" s="629" t="s">
        <v>1215</v>
      </c>
      <c r="G88" s="629">
        <v>2.4281711425677501E-2</v>
      </c>
      <c r="H88" s="734">
        <v>3.1842019903504201E-2</v>
      </c>
      <c r="I88" s="735">
        <v>2.90005662618372E-2</v>
      </c>
      <c r="J88" s="735">
        <v>3.1994372082630403E-2</v>
      </c>
      <c r="L88" s="84"/>
      <c r="M88" s="84"/>
      <c r="N88" s="84"/>
      <c r="O88" s="84"/>
      <c r="P88" s="84"/>
      <c r="Q88" s="84"/>
      <c r="R88" s="84"/>
      <c r="S88" s="84"/>
    </row>
    <row r="89" spans="1:19">
      <c r="A89" s="629" t="s">
        <v>1214</v>
      </c>
      <c r="G89" s="629">
        <v>2.28371077374111E-2</v>
      </c>
      <c r="H89" s="734">
        <v>2.6532098462209101E-2</v>
      </c>
      <c r="I89" s="735">
        <v>2.55135909989249E-2</v>
      </c>
      <c r="J89" s="735">
        <v>2.6653303926480999E-2</v>
      </c>
      <c r="L89" s="84"/>
      <c r="M89" s="84"/>
      <c r="N89" s="84"/>
      <c r="O89" s="84"/>
      <c r="P89" s="84"/>
      <c r="Q89" s="84"/>
      <c r="R89" s="84"/>
      <c r="S89" s="84"/>
    </row>
    <row r="90" spans="1:19">
      <c r="A90" s="629" t="s">
        <v>1213</v>
      </c>
      <c r="G90" s="629">
        <v>2.14665851823207E-2</v>
      </c>
      <c r="H90" s="734">
        <v>2.26593809676792E-2</v>
      </c>
      <c r="I90" s="735">
        <v>2.2893064023570699E-2</v>
      </c>
      <c r="J90" s="735">
        <v>2.26979647666774E-2</v>
      </c>
      <c r="L90" s="84"/>
      <c r="M90" s="84"/>
      <c r="N90" s="84"/>
      <c r="O90" s="84"/>
      <c r="P90" s="84"/>
      <c r="Q90" s="84"/>
      <c r="R90" s="84"/>
      <c r="S90" s="84"/>
    </row>
    <row r="91" spans="1:19">
      <c r="A91" s="629" t="s">
        <v>1212</v>
      </c>
      <c r="G91" s="629">
        <v>2.17703391700124E-2</v>
      </c>
      <c r="H91" s="734">
        <v>2.6825400414816899E-2</v>
      </c>
      <c r="I91" s="735">
        <v>2.6106099153031002E-2</v>
      </c>
      <c r="J91" s="735">
        <v>2.6637830729069601E-2</v>
      </c>
      <c r="L91" s="84"/>
      <c r="M91" s="84"/>
      <c r="N91" s="84"/>
      <c r="O91" s="84"/>
      <c r="P91" s="84"/>
      <c r="Q91" s="84"/>
      <c r="R91" s="84"/>
      <c r="S91" s="84"/>
    </row>
    <row r="92" spans="1:19">
      <c r="A92" s="629" t="s">
        <v>1211</v>
      </c>
      <c r="G92" s="629">
        <v>1.9799532183291502E-2</v>
      </c>
      <c r="H92" s="734">
        <v>2.2481157470778699E-2</v>
      </c>
      <c r="I92" s="735">
        <v>2.5331337991079901E-2</v>
      </c>
      <c r="J92" s="735">
        <v>2.2303364817375101E-2</v>
      </c>
      <c r="L92" s="84"/>
      <c r="M92" s="84"/>
      <c r="N92" s="84"/>
      <c r="O92" s="84"/>
      <c r="P92" s="84"/>
      <c r="Q92" s="84"/>
      <c r="R92" s="84"/>
      <c r="S92" s="84"/>
    </row>
    <row r="93" spans="1:19">
      <c r="A93" s="629" t="s">
        <v>1210</v>
      </c>
      <c r="G93" s="629">
        <v>2.9764153376697199E-2</v>
      </c>
      <c r="H93" s="734">
        <v>3.4957905186709902E-2</v>
      </c>
      <c r="I93" s="735">
        <v>2.7310301197873199E-2</v>
      </c>
      <c r="J93" s="735">
        <v>3.5685449034653899E-2</v>
      </c>
      <c r="L93" s="84"/>
      <c r="M93" s="84"/>
      <c r="N93" s="84"/>
      <c r="O93" s="84"/>
      <c r="P93" s="84"/>
      <c r="Q93" s="84"/>
      <c r="R93" s="84"/>
      <c r="S93" s="84"/>
    </row>
    <row r="94" spans="1:19">
      <c r="A94" s="629" t="s">
        <v>1209</v>
      </c>
      <c r="G94" s="629">
        <v>4.7651067438988302E-2</v>
      </c>
      <c r="H94" s="734">
        <v>2.9285274645364501E-2</v>
      </c>
      <c r="I94" s="735">
        <v>2.5579915051026001E-2</v>
      </c>
      <c r="J94" s="735">
        <v>3.01310561193401E-2</v>
      </c>
      <c r="L94" s="84"/>
      <c r="M94" s="84"/>
      <c r="N94" s="84"/>
      <c r="O94" s="84"/>
      <c r="P94" s="84"/>
      <c r="Q94" s="84"/>
      <c r="R94" s="84"/>
      <c r="S94" s="84"/>
    </row>
    <row r="95" spans="1:19">
      <c r="A95" s="629" t="s">
        <v>1208</v>
      </c>
      <c r="G95" s="629">
        <v>5.2547320169256298E-2</v>
      </c>
      <c r="H95" s="734">
        <v>2.4405434481066E-2</v>
      </c>
      <c r="I95" s="735">
        <v>2.3402434207407698E-2</v>
      </c>
      <c r="J95" s="735">
        <v>2.5259306258032199E-2</v>
      </c>
      <c r="L95" s="84"/>
      <c r="M95" s="84"/>
      <c r="N95" s="84"/>
      <c r="O95" s="84"/>
      <c r="P95" s="84"/>
      <c r="Q95" s="84"/>
      <c r="R95" s="84"/>
      <c r="S95" s="84"/>
    </row>
    <row r="96" spans="1:19">
      <c r="A96" s="629" t="s">
        <v>1207</v>
      </c>
      <c r="G96" s="629">
        <v>5.2409447897406501E-2</v>
      </c>
      <c r="H96" s="734">
        <v>2.3664950047271899E-2</v>
      </c>
      <c r="I96" s="735">
        <v>2.32418389497238E-2</v>
      </c>
      <c r="J96" s="735">
        <v>2.42715627667923E-2</v>
      </c>
      <c r="L96" s="84"/>
      <c r="M96" s="84"/>
      <c r="N96" s="84"/>
      <c r="O96" s="84"/>
      <c r="P96" s="84"/>
      <c r="Q96" s="84"/>
      <c r="R96" s="84"/>
      <c r="S96" s="84"/>
    </row>
    <row r="97" spans="1:19">
      <c r="A97" s="629" t="s">
        <v>1206</v>
      </c>
      <c r="G97" s="629">
        <v>4.7392996009117498E-2</v>
      </c>
      <c r="H97" s="734">
        <v>1.9832104150667398E-2</v>
      </c>
      <c r="I97" s="735">
        <v>2.0544167496697598E-2</v>
      </c>
      <c r="J97" s="735">
        <v>2.0465755639195799E-2</v>
      </c>
      <c r="L97" s="84"/>
      <c r="M97" s="84"/>
      <c r="N97" s="84"/>
      <c r="O97" s="84"/>
      <c r="P97" s="84"/>
      <c r="Q97" s="84"/>
      <c r="R97" s="84"/>
      <c r="S97" s="84"/>
    </row>
    <row r="98" spans="1:19">
      <c r="A98" s="629" t="s">
        <v>1205</v>
      </c>
      <c r="G98" s="629">
        <v>5.0142153226468901E-2</v>
      </c>
      <c r="H98" s="734">
        <v>2.0414583605057501E-2</v>
      </c>
      <c r="I98" s="735">
        <v>2.2818924148784399E-2</v>
      </c>
      <c r="J98" s="735">
        <v>2.0869145867819499E-2</v>
      </c>
      <c r="L98" s="84"/>
      <c r="M98" s="84"/>
      <c r="N98" s="84"/>
      <c r="O98" s="84"/>
      <c r="P98" s="84"/>
      <c r="Q98" s="84"/>
      <c r="R98" s="84"/>
      <c r="S98" s="84"/>
    </row>
    <row r="99" spans="1:19">
      <c r="A99" s="629" t="s">
        <v>1204</v>
      </c>
      <c r="G99" s="629">
        <v>5.1127696659348201E-2</v>
      </c>
      <c r="H99" s="734">
        <v>1.9855253134470702E-2</v>
      </c>
      <c r="I99" s="735">
        <v>2.1278312927189499E-2</v>
      </c>
      <c r="J99" s="735">
        <v>2.0143549106623301E-2</v>
      </c>
      <c r="L99" s="84"/>
      <c r="M99" s="84"/>
      <c r="N99" s="84"/>
      <c r="O99" s="84"/>
      <c r="P99" s="84"/>
      <c r="Q99" s="84"/>
      <c r="R99" s="84"/>
      <c r="S99" s="84"/>
    </row>
    <row r="100" spans="1:19">
      <c r="A100" s="629" t="s">
        <v>1203</v>
      </c>
      <c r="G100" s="629">
        <v>4.6497959707052401E-2</v>
      </c>
      <c r="H100" s="734">
        <v>1.6749850407260299E-2</v>
      </c>
      <c r="I100" s="735">
        <v>1.8945512941630899E-2</v>
      </c>
      <c r="J100" s="735">
        <v>1.7102999213096999E-2</v>
      </c>
      <c r="L100" s="84"/>
      <c r="M100" s="84"/>
      <c r="N100" s="84"/>
      <c r="O100" s="84"/>
      <c r="P100" s="84"/>
      <c r="Q100" s="84"/>
      <c r="R100" s="84"/>
      <c r="S100" s="84"/>
    </row>
    <row r="101" spans="1:19">
      <c r="A101" s="629" t="s">
        <v>1202</v>
      </c>
      <c r="G101" s="629">
        <v>4.2560750744416599E-2</v>
      </c>
      <c r="H101" s="734">
        <v>1.3989544850903901E-2</v>
      </c>
      <c r="I101" s="735">
        <v>1.6624646635139899E-2</v>
      </c>
      <c r="J101" s="735">
        <v>1.42980048433045E-2</v>
      </c>
      <c r="L101" s="84"/>
      <c r="M101" s="84"/>
      <c r="N101" s="84"/>
      <c r="O101" s="84"/>
      <c r="P101" s="84"/>
      <c r="Q101" s="84"/>
      <c r="R101" s="84"/>
      <c r="S101" s="84"/>
    </row>
    <row r="102" spans="1:19">
      <c r="A102" s="629" t="s">
        <v>1201</v>
      </c>
      <c r="G102" s="629">
        <v>3.8401425296451498E-2</v>
      </c>
      <c r="H102" s="734">
        <v>1.21000977051501E-2</v>
      </c>
      <c r="I102" s="735">
        <v>1.6774336061222E-2</v>
      </c>
      <c r="J102" s="735">
        <v>1.24435710390664E-2</v>
      </c>
      <c r="L102" s="84"/>
      <c r="M102" s="84"/>
      <c r="N102" s="84"/>
      <c r="O102" s="84"/>
      <c r="P102" s="84"/>
      <c r="Q102" s="84"/>
      <c r="R102" s="84"/>
      <c r="S102" s="84"/>
    </row>
    <row r="103" spans="1:19">
      <c r="A103" s="629" t="s">
        <v>1200</v>
      </c>
      <c r="G103" s="629">
        <v>3.4687396945273299E-2</v>
      </c>
      <c r="H103" s="734">
        <v>1.0731243115816301E-2</v>
      </c>
      <c r="I103" s="735">
        <v>1.49981668098994E-2</v>
      </c>
      <c r="J103" s="735">
        <v>1.10145554894782E-2</v>
      </c>
      <c r="L103" s="84"/>
      <c r="M103" s="84"/>
      <c r="N103" s="84"/>
      <c r="O103" s="84"/>
      <c r="P103" s="84"/>
      <c r="Q103" s="84"/>
      <c r="R103" s="84"/>
      <c r="S103" s="84"/>
    </row>
    <row r="104" spans="1:19">
      <c r="A104" s="629" t="s">
        <v>1199</v>
      </c>
      <c r="G104" s="629">
        <v>3.6556595681121497E-2</v>
      </c>
      <c r="H104" s="734">
        <v>9.1010882185383994E-3</v>
      </c>
      <c r="I104" s="735">
        <v>1.32902985007484E-2</v>
      </c>
      <c r="J104" s="735">
        <v>9.3417618845814503E-3</v>
      </c>
      <c r="L104" s="84"/>
      <c r="M104" s="84"/>
      <c r="N104" s="84"/>
      <c r="O104" s="84"/>
      <c r="P104" s="84"/>
      <c r="Q104" s="84"/>
      <c r="R104" s="84"/>
      <c r="S104" s="84"/>
    </row>
    <row r="105" spans="1:19">
      <c r="A105" s="629" t="s">
        <v>1198</v>
      </c>
      <c r="G105" s="629">
        <v>3.30868588577274E-2</v>
      </c>
      <c r="H105" s="734">
        <v>7.99827336592095E-3</v>
      </c>
      <c r="I105" s="735">
        <v>1.2025929213958699E-2</v>
      </c>
      <c r="J105" s="735">
        <v>8.1995756613056307E-3</v>
      </c>
      <c r="L105" s="84"/>
      <c r="M105" s="84"/>
      <c r="N105" s="84"/>
      <c r="O105" s="84"/>
      <c r="P105" s="84"/>
      <c r="Q105" s="84"/>
      <c r="R105" s="84"/>
      <c r="S105" s="84"/>
    </row>
    <row r="106" spans="1:19">
      <c r="A106" s="629" t="s">
        <v>1197</v>
      </c>
      <c r="G106" s="629">
        <v>2.9873274510290902E-2</v>
      </c>
      <c r="H106" s="734">
        <v>8.0113482105217994E-3</v>
      </c>
      <c r="I106" s="735">
        <v>1.1598418526746999E-2</v>
      </c>
      <c r="J106" s="735">
        <v>8.1776995082019407E-3</v>
      </c>
      <c r="L106" s="84"/>
      <c r="M106" s="84"/>
      <c r="N106" s="84"/>
      <c r="O106" s="84"/>
      <c r="P106" s="84"/>
      <c r="Q106" s="84"/>
      <c r="R106" s="84"/>
      <c r="S106" s="84"/>
    </row>
    <row r="107" spans="1:19">
      <c r="A107" s="629" t="s">
        <v>1196</v>
      </c>
      <c r="G107" s="629">
        <v>3.3432806585053702E-2</v>
      </c>
      <c r="H107" s="734">
        <v>6.7030256187940104E-3</v>
      </c>
      <c r="I107" s="735">
        <v>1.02366477845831E-2</v>
      </c>
      <c r="J107" s="735">
        <v>6.8542911334931803E-3</v>
      </c>
      <c r="L107" s="84"/>
      <c r="M107" s="84"/>
      <c r="N107" s="84"/>
      <c r="O107" s="84"/>
      <c r="P107" s="84"/>
      <c r="Q107" s="84"/>
      <c r="R107" s="84"/>
      <c r="S107" s="84"/>
    </row>
    <row r="108" spans="1:19">
      <c r="A108" s="629" t="s">
        <v>1195</v>
      </c>
      <c r="G108" s="629">
        <v>4.6326126007154599E-2</v>
      </c>
      <c r="H108" s="734">
        <v>8.0448167278966108E-3</v>
      </c>
      <c r="I108" s="735">
        <v>1.24737017970826E-2</v>
      </c>
      <c r="J108" s="735">
        <v>8.1806782044394795E-3</v>
      </c>
      <c r="L108" s="84"/>
      <c r="M108" s="84"/>
      <c r="N108" s="84"/>
      <c r="O108" s="84"/>
      <c r="P108" s="84"/>
      <c r="Q108" s="84"/>
      <c r="R108" s="84"/>
      <c r="S108" s="84"/>
    </row>
    <row r="109" spans="1:19">
      <c r="A109" s="629" t="s">
        <v>1194</v>
      </c>
      <c r="G109" s="629">
        <v>4.1810321296188398E-2</v>
      </c>
      <c r="H109" s="734">
        <v>6.87950923331993E-3</v>
      </c>
      <c r="I109" s="735">
        <v>1.0930158685936499E-2</v>
      </c>
      <c r="J109" s="735">
        <v>7.0213854603316597E-3</v>
      </c>
      <c r="L109" s="84"/>
      <c r="M109" s="84"/>
      <c r="N109" s="84"/>
      <c r="O109" s="84"/>
      <c r="P109" s="84"/>
      <c r="Q109" s="84"/>
      <c r="R109" s="84"/>
      <c r="S109" s="84"/>
    </row>
    <row r="110" spans="1:19">
      <c r="A110" s="629" t="s">
        <v>1193</v>
      </c>
      <c r="G110" s="629">
        <v>3.7596921952408997E-2</v>
      </c>
      <c r="H110" s="734">
        <v>5.8638729240130701E-3</v>
      </c>
      <c r="I110" s="735">
        <v>9.5979434760060604E-3</v>
      </c>
      <c r="J110" s="735">
        <v>5.9883987751690199E-3</v>
      </c>
      <c r="L110" s="84"/>
      <c r="M110" s="84"/>
      <c r="N110" s="84"/>
      <c r="O110" s="84"/>
      <c r="P110" s="84"/>
      <c r="Q110" s="84"/>
      <c r="R110" s="84"/>
      <c r="S110" s="84"/>
    </row>
    <row r="111" spans="1:19">
      <c r="A111" s="629" t="s">
        <v>1192</v>
      </c>
      <c r="G111" s="629">
        <v>3.4454859868043398E-2</v>
      </c>
      <c r="H111" s="734">
        <v>5.2532817812968001E-3</v>
      </c>
      <c r="I111" s="735">
        <v>9.2112975049057598E-3</v>
      </c>
      <c r="J111" s="735">
        <v>5.35680053269797E-3</v>
      </c>
      <c r="L111" s="84"/>
      <c r="M111" s="84"/>
      <c r="N111" s="84"/>
      <c r="O111" s="84"/>
      <c r="P111" s="84"/>
      <c r="Q111" s="84"/>
      <c r="R111" s="84"/>
      <c r="S111" s="84"/>
    </row>
    <row r="112" spans="1:19">
      <c r="A112" s="629" t="s">
        <v>1191</v>
      </c>
      <c r="G112" s="629">
        <v>3.1003952263073301E-2</v>
      </c>
      <c r="H112" s="734">
        <v>5.1803405794142096E-3</v>
      </c>
      <c r="I112" s="735">
        <v>8.1427592870954302E-3</v>
      </c>
      <c r="J112" s="735">
        <v>5.2954722514437702E-3</v>
      </c>
      <c r="L112" s="84"/>
      <c r="M112" s="84"/>
      <c r="N112" s="84"/>
      <c r="O112" s="84"/>
      <c r="P112" s="84"/>
      <c r="Q112" s="84"/>
      <c r="R112" s="84"/>
      <c r="S112" s="84"/>
    </row>
    <row r="113" spans="1:19">
      <c r="A113" s="629" t="s">
        <v>1190</v>
      </c>
      <c r="G113" s="629">
        <v>2.8293584017927802E-2</v>
      </c>
      <c r="H113" s="734">
        <v>4.4237961826570204E-3</v>
      </c>
      <c r="I113" s="735">
        <v>7.9658462211145697E-3</v>
      </c>
      <c r="J113" s="735">
        <v>4.5231012531958704E-3</v>
      </c>
      <c r="L113" s="84"/>
      <c r="M113" s="84"/>
      <c r="N113" s="84"/>
      <c r="O113" s="84"/>
      <c r="P113" s="84"/>
      <c r="Q113" s="84"/>
      <c r="R113" s="84"/>
      <c r="S113" s="84"/>
    </row>
    <row r="114" spans="1:19">
      <c r="A114" s="629" t="s">
        <v>1189</v>
      </c>
      <c r="G114" s="629">
        <v>2.6585629155840999E-2</v>
      </c>
      <c r="H114" s="734">
        <v>4.1795528196639196E-3</v>
      </c>
      <c r="I114" s="735">
        <v>7.1665772635957801E-3</v>
      </c>
      <c r="J114" s="735">
        <v>4.2651144502941704E-3</v>
      </c>
      <c r="L114" s="84"/>
      <c r="M114" s="84"/>
      <c r="N114" s="84"/>
      <c r="O114" s="84"/>
      <c r="P114" s="84"/>
      <c r="Q114" s="84"/>
      <c r="R114" s="84"/>
      <c r="S114" s="84"/>
    </row>
    <row r="115" spans="1:19">
      <c r="A115" s="629" t="s">
        <v>1188</v>
      </c>
      <c r="G115" s="629">
        <v>3.1716973422790298E-2</v>
      </c>
      <c r="H115" s="734">
        <v>3.8659655657199399E-3</v>
      </c>
      <c r="I115" s="735">
        <v>8.0812096766218304E-3</v>
      </c>
      <c r="J115" s="735">
        <v>3.9438066583985599E-3</v>
      </c>
      <c r="L115" s="84"/>
      <c r="M115" s="84"/>
      <c r="N115" s="84"/>
      <c r="O115" s="84"/>
      <c r="P115" s="84"/>
      <c r="Q115" s="84"/>
      <c r="R115" s="84"/>
      <c r="S115" s="84"/>
    </row>
    <row r="116" spans="1:19">
      <c r="A116" s="629" t="s">
        <v>1187</v>
      </c>
      <c r="G116" s="629">
        <v>3.36508571202212E-2</v>
      </c>
      <c r="H116" s="734">
        <v>3.5322113463794602E-3</v>
      </c>
      <c r="I116" s="735">
        <v>7.9311805773840394E-3</v>
      </c>
      <c r="J116" s="735">
        <v>3.6015003416369901E-3</v>
      </c>
      <c r="L116" s="84"/>
      <c r="M116" s="84"/>
      <c r="N116" s="84"/>
      <c r="O116" s="84"/>
      <c r="P116" s="84"/>
      <c r="Q116" s="84"/>
      <c r="R116" s="84"/>
      <c r="S116" s="84"/>
    </row>
    <row r="117" spans="1:19">
      <c r="A117" s="629" t="s">
        <v>1186</v>
      </c>
      <c r="G117" s="629">
        <v>4.1292155196292299E-2</v>
      </c>
      <c r="H117" s="734">
        <v>3.9604677450988503E-3</v>
      </c>
      <c r="I117" s="735">
        <v>8.0820216898526507E-3</v>
      </c>
      <c r="J117" s="735">
        <v>4.0343424181818301E-3</v>
      </c>
      <c r="L117" s="84"/>
      <c r="M117" s="84"/>
      <c r="N117" s="84"/>
      <c r="O117" s="84"/>
      <c r="P117" s="84"/>
      <c r="Q117" s="84"/>
      <c r="R117" s="84"/>
      <c r="S117" s="84"/>
    </row>
    <row r="118" spans="1:19">
      <c r="A118" s="629" t="s">
        <v>1185</v>
      </c>
      <c r="G118" s="629">
        <v>3.9895577476118098E-2</v>
      </c>
      <c r="H118" s="734">
        <v>3.4637918089039598E-3</v>
      </c>
      <c r="I118" s="735">
        <v>8.0598977509005205E-3</v>
      </c>
      <c r="J118" s="735">
        <v>3.5309545349988501E-3</v>
      </c>
      <c r="L118" s="84"/>
      <c r="M118" s="84"/>
      <c r="N118" s="84"/>
      <c r="O118" s="84"/>
      <c r="P118" s="84"/>
      <c r="Q118" s="84"/>
      <c r="R118" s="84"/>
      <c r="S118" s="84"/>
    </row>
    <row r="119" spans="1:19">
      <c r="A119" s="629" t="s">
        <v>1184</v>
      </c>
      <c r="G119" s="629">
        <v>4.4555140027569301E-2</v>
      </c>
      <c r="H119" s="734">
        <v>3.3895009682937101E-3</v>
      </c>
      <c r="I119" s="735">
        <v>7.9055012193223802E-3</v>
      </c>
      <c r="J119" s="735">
        <v>3.4529091702830499E-3</v>
      </c>
      <c r="L119" s="84"/>
      <c r="M119" s="84"/>
      <c r="N119" s="84"/>
      <c r="O119" s="84"/>
      <c r="P119" s="84"/>
      <c r="Q119" s="84"/>
      <c r="R119" s="84"/>
      <c r="S119" s="84"/>
    </row>
    <row r="120" spans="1:19">
      <c r="A120" s="629" t="s">
        <v>1183</v>
      </c>
      <c r="G120" s="629">
        <v>6.6877606127862393E-2</v>
      </c>
      <c r="H120" s="734">
        <v>3.5836715823014701E-3</v>
      </c>
      <c r="I120" s="735">
        <v>7.4927838946793699E-3</v>
      </c>
      <c r="J120" s="735">
        <v>3.6520637071923798E-3</v>
      </c>
      <c r="L120" s="84"/>
      <c r="M120" s="84"/>
      <c r="N120" s="84"/>
      <c r="O120" s="84"/>
      <c r="P120" s="84"/>
      <c r="Q120" s="84"/>
      <c r="R120" s="84"/>
      <c r="S120" s="84"/>
    </row>
    <row r="121" spans="1:19">
      <c r="A121" s="629" t="s">
        <v>1182</v>
      </c>
      <c r="G121" s="629">
        <v>6.14484143004854E-2</v>
      </c>
      <c r="H121" s="734">
        <v>3.09110418468802E-3</v>
      </c>
      <c r="I121" s="735">
        <v>6.7687940343999203E-3</v>
      </c>
      <c r="J121" s="735">
        <v>3.1508477015391601E-3</v>
      </c>
      <c r="L121" s="84"/>
      <c r="M121" s="84"/>
      <c r="N121" s="84"/>
      <c r="O121" s="84"/>
      <c r="P121" s="84"/>
      <c r="Q121" s="84"/>
      <c r="R121" s="84"/>
      <c r="S121" s="84"/>
    </row>
    <row r="122" spans="1:19">
      <c r="A122" s="629" t="s">
        <v>1181</v>
      </c>
      <c r="G122" s="629">
        <v>6.0281800869815202E-2</v>
      </c>
      <c r="H122" s="734">
        <v>2.6830725703138802E-3</v>
      </c>
      <c r="I122" s="735">
        <v>6.0285803811188999E-3</v>
      </c>
      <c r="J122" s="735">
        <v>2.7336203985834401E-3</v>
      </c>
      <c r="L122" s="84"/>
      <c r="M122" s="84"/>
      <c r="N122" s="84"/>
      <c r="O122" s="84"/>
      <c r="P122" s="84"/>
      <c r="Q122" s="84"/>
      <c r="R122" s="84"/>
      <c r="S122" s="84"/>
    </row>
    <row r="123" spans="1:19">
      <c r="A123" s="629" t="s">
        <v>1180</v>
      </c>
      <c r="G123" s="629">
        <v>5.4178075766086499E-2</v>
      </c>
      <c r="H123" s="734">
        <v>2.91167790095105E-3</v>
      </c>
      <c r="I123" s="735">
        <v>6.6008412193149599E-3</v>
      </c>
      <c r="J123" s="735">
        <v>2.9610686130564002E-3</v>
      </c>
      <c r="L123" s="84"/>
      <c r="M123" s="84"/>
      <c r="N123" s="84"/>
      <c r="O123" s="84"/>
      <c r="P123" s="84"/>
      <c r="Q123" s="84"/>
      <c r="R123" s="84"/>
      <c r="S123" s="84"/>
    </row>
    <row r="124" spans="1:19">
      <c r="A124" s="629" t="s">
        <v>1179</v>
      </c>
      <c r="G124" s="629">
        <v>4.8852542309903997E-2</v>
      </c>
      <c r="H124" s="734">
        <v>2.68050943880942E-3</v>
      </c>
      <c r="I124" s="735">
        <v>5.8093085041057996E-3</v>
      </c>
      <c r="J124" s="735">
        <v>2.72611903186453E-3</v>
      </c>
      <c r="L124" s="84"/>
      <c r="M124" s="84"/>
      <c r="N124" s="84"/>
      <c r="O124" s="84"/>
      <c r="P124" s="84"/>
      <c r="Q124" s="84"/>
      <c r="R124" s="84"/>
      <c r="S124" s="84"/>
    </row>
    <row r="125" spans="1:19">
      <c r="A125" s="629" t="s">
        <v>1178</v>
      </c>
      <c r="G125" s="629">
        <v>4.4464481296475102E-2</v>
      </c>
      <c r="H125" s="734">
        <v>2.4288668498254899E-3</v>
      </c>
      <c r="I125" s="735">
        <v>5.2538275239646997E-3</v>
      </c>
      <c r="J125" s="735">
        <v>2.4691460981396299E-3</v>
      </c>
      <c r="L125" s="84"/>
      <c r="M125" s="84"/>
      <c r="N125" s="84"/>
      <c r="O125" s="84"/>
      <c r="P125" s="84"/>
      <c r="Q125" s="84"/>
      <c r="R125" s="84"/>
      <c r="S125" s="84"/>
    </row>
    <row r="126" spans="1:19">
      <c r="A126" s="629" t="s">
        <v>1177</v>
      </c>
      <c r="G126" s="629">
        <v>5.1509397443061503E-2</v>
      </c>
      <c r="H126" s="734">
        <v>2.54024487864919E-3</v>
      </c>
      <c r="I126" s="735">
        <v>5.6840826136240396E-3</v>
      </c>
      <c r="J126" s="735">
        <v>2.5813054800607302E-3</v>
      </c>
      <c r="L126" s="84"/>
      <c r="M126" s="84"/>
      <c r="N126" s="84"/>
      <c r="O126" s="84"/>
      <c r="P126" s="84"/>
      <c r="Q126" s="84"/>
      <c r="R126" s="84"/>
      <c r="S126" s="84"/>
    </row>
    <row r="127" spans="1:19">
      <c r="A127" s="629" t="s">
        <v>1176</v>
      </c>
      <c r="G127" s="629">
        <v>5.2137389745604501E-2</v>
      </c>
      <c r="H127" s="734">
        <v>2.2253054294372201E-3</v>
      </c>
      <c r="I127" s="735">
        <v>5.2398317126714803E-3</v>
      </c>
      <c r="J127" s="735">
        <v>2.2590187208159401E-3</v>
      </c>
      <c r="L127" s="84"/>
      <c r="M127" s="84"/>
      <c r="N127" s="84"/>
      <c r="O127" s="84"/>
      <c r="P127" s="84"/>
      <c r="Q127" s="84"/>
      <c r="R127" s="84"/>
      <c r="S127" s="84"/>
    </row>
    <row r="128" spans="1:19">
      <c r="A128" s="629" t="s">
        <v>1175</v>
      </c>
      <c r="G128" s="629">
        <v>4.6883966572620998E-2</v>
      </c>
      <c r="H128" s="734">
        <v>1.98707109989731E-3</v>
      </c>
      <c r="I128" s="735">
        <v>4.6289080464729697E-3</v>
      </c>
      <c r="J128" s="735">
        <v>2.0144542830840199E-3</v>
      </c>
      <c r="L128" s="84"/>
      <c r="M128" s="84"/>
      <c r="N128" s="84"/>
      <c r="O128" s="84"/>
      <c r="P128" s="84"/>
      <c r="Q128" s="84"/>
      <c r="R128" s="84"/>
      <c r="S128" s="84"/>
    </row>
    <row r="129" spans="1:19">
      <c r="A129" s="629" t="s">
        <v>1174</v>
      </c>
      <c r="G129" s="629">
        <v>4.77067915377343E-2</v>
      </c>
      <c r="H129" s="734">
        <v>2.6584722244260301E-3</v>
      </c>
      <c r="I129" s="735">
        <v>4.9977374936415898E-3</v>
      </c>
      <c r="J129" s="735">
        <v>2.6913897551459199E-3</v>
      </c>
      <c r="L129" s="84"/>
      <c r="M129" s="84"/>
      <c r="N129" s="84"/>
      <c r="O129" s="84"/>
      <c r="P129" s="84"/>
      <c r="Q129" s="84"/>
      <c r="R129" s="84"/>
      <c r="S129" s="84"/>
    </row>
    <row r="130" spans="1:19">
      <c r="A130" s="629" t="s">
        <v>1173</v>
      </c>
      <c r="G130" s="629">
        <v>4.31683473505622E-2</v>
      </c>
      <c r="H130" s="734">
        <v>2.5570051814541301E-3</v>
      </c>
      <c r="I130" s="735">
        <v>4.8659120926394404E-3</v>
      </c>
      <c r="J130" s="735">
        <v>2.58908532051503E-3</v>
      </c>
      <c r="L130" s="84"/>
      <c r="M130" s="84"/>
      <c r="N130" s="84"/>
      <c r="O130" s="84"/>
      <c r="P130" s="84"/>
      <c r="Q130" s="84"/>
      <c r="R130" s="84"/>
      <c r="S130" s="84"/>
    </row>
    <row r="131" spans="1:19">
      <c r="A131" s="629" t="s">
        <v>1172</v>
      </c>
      <c r="G131" s="629">
        <v>3.9408763354574203E-2</v>
      </c>
      <c r="H131" s="734">
        <v>2.28868675663488E-3</v>
      </c>
      <c r="I131" s="735">
        <v>4.3586122858827302E-3</v>
      </c>
      <c r="J131" s="735">
        <v>2.31739291620039E-3</v>
      </c>
      <c r="L131" s="84"/>
      <c r="M131" s="84"/>
      <c r="N131" s="84"/>
      <c r="O131" s="84"/>
      <c r="P131" s="84"/>
      <c r="Q131" s="84"/>
      <c r="R131" s="84"/>
      <c r="S131" s="84"/>
    </row>
    <row r="132" spans="1:19">
      <c r="A132" s="629" t="s">
        <v>1171</v>
      </c>
      <c r="G132" s="629">
        <v>3.6573587070565697E-2</v>
      </c>
      <c r="H132" s="734">
        <v>2.4809254809769299E-3</v>
      </c>
      <c r="I132" s="735">
        <v>4.7419044731536603E-3</v>
      </c>
      <c r="J132" s="735">
        <v>2.5126535806319901E-3</v>
      </c>
      <c r="L132" s="84"/>
      <c r="M132" s="84"/>
      <c r="N132" s="84"/>
      <c r="O132" s="84"/>
      <c r="P132" s="84"/>
      <c r="Q132" s="84"/>
      <c r="R132" s="84"/>
      <c r="S132" s="84"/>
    </row>
    <row r="133" spans="1:19">
      <c r="A133" s="629" t="s">
        <v>1170</v>
      </c>
      <c r="G133" s="629">
        <v>3.3077125922725097E-2</v>
      </c>
      <c r="H133" s="734">
        <v>2.1603070521525E-3</v>
      </c>
      <c r="I133" s="735">
        <v>4.2041593716392704E-3</v>
      </c>
      <c r="J133" s="735">
        <v>2.1856886719140902E-3</v>
      </c>
      <c r="L133" s="84"/>
      <c r="M133" s="84"/>
      <c r="N133" s="84"/>
      <c r="O133" s="84"/>
      <c r="P133" s="84"/>
      <c r="Q133" s="84"/>
      <c r="R133" s="84"/>
      <c r="S133" s="84"/>
    </row>
    <row r="134" spans="1:19">
      <c r="A134" s="629" t="s">
        <v>1169</v>
      </c>
      <c r="G134" s="629">
        <v>2.98387569815892E-2</v>
      </c>
      <c r="H134" s="734">
        <v>1.8974783955437199E-3</v>
      </c>
      <c r="I134" s="735">
        <v>3.8307640063900499E-3</v>
      </c>
      <c r="J134" s="735">
        <v>1.91620952724393E-3</v>
      </c>
      <c r="L134" s="84"/>
      <c r="M134" s="84"/>
      <c r="N134" s="84"/>
      <c r="O134" s="84"/>
      <c r="P134" s="84"/>
      <c r="Q134" s="84"/>
      <c r="R134" s="84"/>
      <c r="S134" s="84"/>
    </row>
    <row r="135" spans="1:19">
      <c r="A135" s="629" t="s">
        <v>1168</v>
      </c>
      <c r="G135" s="629">
        <v>2.7505440144471802E-2</v>
      </c>
      <c r="H135" s="734">
        <v>2.3055506675925298E-3</v>
      </c>
      <c r="I135" s="735">
        <v>3.6350155431329502E-3</v>
      </c>
      <c r="J135" s="735">
        <v>2.3295571128116202E-3</v>
      </c>
      <c r="L135" s="84"/>
      <c r="M135" s="84"/>
      <c r="N135" s="84"/>
      <c r="O135" s="84"/>
      <c r="P135" s="84"/>
      <c r="Q135" s="84"/>
      <c r="R135" s="84"/>
      <c r="S135" s="84"/>
    </row>
    <row r="136" spans="1:19">
      <c r="A136" s="629" t="s">
        <v>1167</v>
      </c>
      <c r="G136" s="629">
        <v>2.4825475514197299E-2</v>
      </c>
      <c r="H136" s="734">
        <v>2.0149175909188102E-3</v>
      </c>
      <c r="I136" s="735">
        <v>3.29369695578596E-3</v>
      </c>
      <c r="J136" s="735">
        <v>2.0332376519567501E-3</v>
      </c>
      <c r="L136" s="84"/>
      <c r="M136" s="84"/>
      <c r="N136" s="84"/>
      <c r="O136" s="84"/>
      <c r="P136" s="84"/>
      <c r="Q136" s="84"/>
      <c r="R136" s="84"/>
      <c r="S136" s="84"/>
    </row>
    <row r="137" spans="1:19">
      <c r="A137" s="629" t="s">
        <v>1166</v>
      </c>
      <c r="G137" s="629">
        <v>2.6885544684812902E-2</v>
      </c>
      <c r="H137" s="734">
        <v>1.7904892748850901E-3</v>
      </c>
      <c r="I137" s="735">
        <v>2.9954503883521202E-3</v>
      </c>
      <c r="J137" s="735">
        <v>1.80262053212323E-3</v>
      </c>
      <c r="L137" s="84"/>
      <c r="M137" s="84"/>
      <c r="N137" s="84"/>
      <c r="O137" s="84"/>
      <c r="P137" s="84"/>
      <c r="Q137" s="84"/>
      <c r="R137" s="84"/>
      <c r="S137" s="84"/>
    </row>
    <row r="138" spans="1:19">
      <c r="A138" s="629" t="s">
        <v>1165</v>
      </c>
      <c r="G138" s="629">
        <v>2.4533035124523601E-2</v>
      </c>
      <c r="H138" s="734">
        <v>1.71822854839639E-3</v>
      </c>
      <c r="I138" s="735">
        <v>2.6798230039290398E-3</v>
      </c>
      <c r="J138" s="735">
        <v>1.7267865279896699E-3</v>
      </c>
      <c r="L138" s="84"/>
      <c r="M138" s="84"/>
      <c r="N138" s="84"/>
      <c r="O138" s="84"/>
      <c r="P138" s="84"/>
      <c r="Q138" s="84"/>
      <c r="R138" s="84"/>
      <c r="S138" s="84"/>
    </row>
    <row r="139" spans="1:19">
      <c r="A139" s="629" t="s">
        <v>1164</v>
      </c>
      <c r="G139" s="629">
        <v>2.3951745930482101E-2</v>
      </c>
      <c r="H139" s="734">
        <v>1.5483833880097499E-3</v>
      </c>
      <c r="I139" s="735">
        <v>2.58507384590119E-3</v>
      </c>
      <c r="J139" s="735">
        <v>1.5515744092568101E-3</v>
      </c>
      <c r="L139" s="84"/>
      <c r="M139" s="84"/>
      <c r="N139" s="84"/>
      <c r="O139" s="84"/>
      <c r="P139" s="84"/>
      <c r="Q139" s="84"/>
      <c r="R139" s="84"/>
      <c r="S139" s="84"/>
    </row>
    <row r="140" spans="1:19">
      <c r="A140" s="629" t="s">
        <v>1163</v>
      </c>
      <c r="G140" s="629">
        <v>2.20304791899231E-2</v>
      </c>
      <c r="H140" s="734">
        <v>1.4185596781573599E-3</v>
      </c>
      <c r="I140" s="735">
        <v>2.7554750944053601E-3</v>
      </c>
      <c r="J140" s="735">
        <v>1.4179811516849101E-3</v>
      </c>
      <c r="L140" s="84"/>
      <c r="M140" s="84"/>
      <c r="N140" s="84"/>
      <c r="O140" s="84"/>
      <c r="P140" s="84"/>
      <c r="Q140" s="84"/>
      <c r="R140" s="84"/>
      <c r="S140" s="84"/>
    </row>
    <row r="141" spans="1:19">
      <c r="A141" s="629" t="s">
        <v>1162</v>
      </c>
      <c r="G141" s="629">
        <v>2.1363029057275901E-2</v>
      </c>
      <c r="H141" s="734">
        <v>2.2840762545806399E-3</v>
      </c>
      <c r="I141" s="735">
        <v>3.1645390864903202E-3</v>
      </c>
      <c r="J141" s="735">
        <v>2.2952485183175401E-3</v>
      </c>
      <c r="L141" s="84"/>
      <c r="M141" s="84"/>
      <c r="N141" s="84"/>
      <c r="O141" s="84"/>
      <c r="P141" s="84"/>
      <c r="Q141" s="84"/>
      <c r="R141" s="84"/>
      <c r="S141" s="84"/>
    </row>
    <row r="142" spans="1:19">
      <c r="A142" s="629" t="s">
        <v>1161</v>
      </c>
      <c r="G142" s="629">
        <v>1.9384700544598999E-2</v>
      </c>
      <c r="H142" s="734">
        <v>2.0126152243403802E-3</v>
      </c>
      <c r="I142" s="735">
        <v>3.1962673310276801E-3</v>
      </c>
      <c r="J142" s="735">
        <v>2.0198527737239399E-3</v>
      </c>
      <c r="L142" s="84"/>
      <c r="M142" s="84"/>
      <c r="N142" s="84"/>
      <c r="O142" s="84"/>
      <c r="P142" s="84"/>
      <c r="Q142" s="84"/>
      <c r="R142" s="84"/>
      <c r="S142" s="84"/>
    </row>
    <row r="143" spans="1:19">
      <c r="A143" s="629" t="s">
        <v>1160</v>
      </c>
      <c r="G143" s="629">
        <v>2.0840674764597299E-2</v>
      </c>
      <c r="H143" s="734">
        <v>2.2273241700227998E-3</v>
      </c>
      <c r="I143" s="735">
        <v>3.16400964823368E-3</v>
      </c>
      <c r="J143" s="735">
        <v>2.2307720992852699E-3</v>
      </c>
      <c r="L143" s="84"/>
      <c r="M143" s="84"/>
      <c r="N143" s="84"/>
      <c r="O143" s="84"/>
      <c r="P143" s="84"/>
      <c r="Q143" s="84"/>
      <c r="R143" s="84"/>
      <c r="S143" s="84"/>
    </row>
    <row r="144" spans="1:19">
      <c r="A144" s="629" t="s">
        <v>1159</v>
      </c>
      <c r="G144" s="629">
        <v>2.0208100770396299E-2</v>
      </c>
      <c r="H144" s="734">
        <v>3.1327929377756901E-3</v>
      </c>
      <c r="I144" s="735">
        <v>5.53141699137459E-3</v>
      </c>
      <c r="J144" s="735">
        <v>3.1590537587406599E-3</v>
      </c>
      <c r="L144" s="84"/>
      <c r="M144" s="84"/>
      <c r="N144" s="84"/>
      <c r="O144" s="84"/>
      <c r="P144" s="84"/>
      <c r="Q144" s="84"/>
      <c r="R144" s="84"/>
      <c r="S144" s="84"/>
    </row>
    <row r="145" spans="1:19">
      <c r="A145" s="629" t="s">
        <v>1158</v>
      </c>
      <c r="G145" s="629">
        <v>1.8323908088052902E-2</v>
      </c>
      <c r="H145" s="734">
        <v>3.1653803182311699E-3</v>
      </c>
      <c r="I145" s="735">
        <v>5.9939362916113497E-3</v>
      </c>
      <c r="J145" s="735">
        <v>3.1854420610455902E-3</v>
      </c>
      <c r="L145" s="84"/>
      <c r="M145" s="84"/>
      <c r="N145" s="84"/>
      <c r="O145" s="84"/>
      <c r="P145" s="84"/>
      <c r="Q145" s="84"/>
      <c r="R145" s="84"/>
      <c r="S145" s="84"/>
    </row>
    <row r="146" spans="1:19">
      <c r="A146" s="629" t="s">
        <v>1157</v>
      </c>
      <c r="G146" s="629">
        <v>2.75486268151654E-2</v>
      </c>
      <c r="H146" s="734">
        <v>5.7461088964330803E-3</v>
      </c>
      <c r="I146" s="735">
        <v>7.0917256260674298E-3</v>
      </c>
      <c r="J146" s="735">
        <v>5.7822560913022196E-3</v>
      </c>
      <c r="L146" s="84"/>
      <c r="M146" s="84"/>
      <c r="N146" s="84"/>
      <c r="O146" s="84"/>
      <c r="P146" s="84"/>
      <c r="Q146" s="84"/>
      <c r="R146" s="84"/>
      <c r="S146" s="84"/>
    </row>
    <row r="147" spans="1:19">
      <c r="A147" s="629" t="s">
        <v>1156</v>
      </c>
      <c r="G147" s="629">
        <v>2.5211194571626901E-2</v>
      </c>
      <c r="H147" s="734">
        <v>6.6571229935614802E-3</v>
      </c>
      <c r="I147" s="735">
        <v>6.7019287695642901E-3</v>
      </c>
      <c r="J147" s="735">
        <v>6.6775228471663397E-3</v>
      </c>
      <c r="L147" s="84"/>
      <c r="M147" s="84"/>
      <c r="N147" s="84"/>
      <c r="O147" s="84"/>
      <c r="P147" s="84"/>
      <c r="Q147" s="84"/>
      <c r="R147" s="84"/>
      <c r="S147" s="84"/>
    </row>
    <row r="148" spans="1:19">
      <c r="A148" s="629" t="s">
        <v>1155</v>
      </c>
      <c r="G148" s="629">
        <v>2.3705320649044001E-2</v>
      </c>
      <c r="H148" s="734">
        <v>7.1502389687829E-3</v>
      </c>
      <c r="I148" s="735">
        <v>5.8999231553401501E-3</v>
      </c>
      <c r="J148" s="735">
        <v>7.1467759411726504E-3</v>
      </c>
      <c r="L148" s="84"/>
      <c r="M148" s="84"/>
      <c r="N148" s="84"/>
      <c r="O148" s="84"/>
      <c r="P148" s="84"/>
      <c r="Q148" s="84"/>
      <c r="R148" s="84"/>
      <c r="S148" s="84"/>
    </row>
    <row r="149" spans="1:19">
      <c r="A149" s="629" t="s">
        <v>1154</v>
      </c>
      <c r="G149" s="629">
        <v>2.45411242576592E-2</v>
      </c>
      <c r="H149" s="734">
        <v>6.6349956422441904E-3</v>
      </c>
      <c r="I149" s="735">
        <v>6.43856915791771E-3</v>
      </c>
      <c r="J149" s="735">
        <v>6.6170479457665597E-3</v>
      </c>
      <c r="L149" s="84"/>
      <c r="M149" s="84"/>
      <c r="N149" s="84"/>
      <c r="O149" s="84"/>
      <c r="P149" s="84"/>
      <c r="Q149" s="84"/>
      <c r="R149" s="84"/>
      <c r="S149" s="84"/>
    </row>
    <row r="150" spans="1:19">
      <c r="A150" s="629" t="s">
        <v>1153</v>
      </c>
      <c r="G150" s="629">
        <v>2.3671855576755101E-2</v>
      </c>
      <c r="H150" s="734">
        <v>5.5772184356244299E-3</v>
      </c>
      <c r="I150" s="735">
        <v>5.9350626263178401E-3</v>
      </c>
      <c r="J150" s="735">
        <v>5.5704296387831696E-3</v>
      </c>
      <c r="L150" s="84"/>
      <c r="M150" s="84"/>
      <c r="N150" s="84"/>
      <c r="O150" s="84"/>
      <c r="P150" s="84"/>
      <c r="Q150" s="84"/>
      <c r="R150" s="84"/>
      <c r="S150" s="84"/>
    </row>
    <row r="151" spans="1:19">
      <c r="A151" s="629" t="s">
        <v>1152</v>
      </c>
      <c r="G151" s="629">
        <v>2.2463606592553101E-2</v>
      </c>
      <c r="H151" s="734">
        <v>5.0040099114034599E-3</v>
      </c>
      <c r="I151" s="735">
        <v>5.2786975774722503E-3</v>
      </c>
      <c r="J151" s="735">
        <v>5.02652946187712E-3</v>
      </c>
      <c r="L151" s="84"/>
      <c r="M151" s="84"/>
      <c r="N151" s="84"/>
      <c r="O151" s="84"/>
      <c r="P151" s="84"/>
      <c r="Q151" s="84"/>
      <c r="R151" s="84"/>
      <c r="S151" s="84"/>
    </row>
    <row r="152" spans="1:19">
      <c r="A152" s="629" t="s">
        <v>1151</v>
      </c>
      <c r="G152" s="629">
        <v>3.6440642826777898E-2</v>
      </c>
      <c r="H152" s="734">
        <v>1.34865545096494E-2</v>
      </c>
      <c r="I152" s="735">
        <v>9.3876876965225294E-3</v>
      </c>
      <c r="J152" s="735">
        <v>1.35538800409718E-2</v>
      </c>
      <c r="L152" s="84"/>
      <c r="M152" s="84"/>
      <c r="N152" s="84"/>
      <c r="O152" s="84"/>
      <c r="P152" s="84"/>
      <c r="Q152" s="84"/>
      <c r="R152" s="84"/>
      <c r="S152" s="84"/>
    </row>
    <row r="153" spans="1:19">
      <c r="A153" s="629" t="s">
        <v>1150</v>
      </c>
      <c r="G153" s="629">
        <v>3.4738655525947501E-2</v>
      </c>
      <c r="H153" s="734">
        <v>1.2534597505033499E-2</v>
      </c>
      <c r="I153" s="735">
        <v>1.02315753560912E-2</v>
      </c>
      <c r="J153" s="735">
        <v>1.2741405738783299E-2</v>
      </c>
      <c r="L153" s="84"/>
      <c r="M153" s="84"/>
      <c r="N153" s="84"/>
      <c r="O153" s="84"/>
      <c r="P153" s="84"/>
      <c r="Q153" s="84"/>
      <c r="R153" s="84"/>
      <c r="S153" s="84"/>
    </row>
    <row r="154" spans="1:19">
      <c r="A154" s="629" t="s">
        <v>1149</v>
      </c>
      <c r="G154" s="629">
        <v>3.1459484819110699E-2</v>
      </c>
      <c r="H154" s="734">
        <v>1.1124894687195E-2</v>
      </c>
      <c r="I154" s="735">
        <v>8.9740801483836705E-3</v>
      </c>
      <c r="J154" s="735">
        <v>1.12736409834297E-2</v>
      </c>
      <c r="L154" s="84"/>
      <c r="M154" s="84"/>
      <c r="N154" s="84"/>
      <c r="O154" s="84"/>
      <c r="P154" s="84"/>
      <c r="Q154" s="84"/>
      <c r="R154" s="84"/>
      <c r="S154" s="84"/>
    </row>
    <row r="155" spans="1:19">
      <c r="A155" s="629" t="s">
        <v>1148</v>
      </c>
      <c r="G155" s="629">
        <v>3.5346723735371899E-2</v>
      </c>
      <c r="H155" s="734">
        <v>1.5239947325561101E-2</v>
      </c>
      <c r="I155" s="735">
        <v>1.01475110412874E-2</v>
      </c>
      <c r="J155" s="735">
        <v>1.5617165473041501E-2</v>
      </c>
      <c r="L155" s="84"/>
      <c r="M155" s="84"/>
      <c r="N155" s="84"/>
      <c r="O155" s="84"/>
      <c r="P155" s="84"/>
      <c r="Q155" s="84"/>
      <c r="R155" s="84"/>
      <c r="S155" s="84"/>
    </row>
    <row r="156" spans="1:19">
      <c r="A156" s="629" t="s">
        <v>1147</v>
      </c>
      <c r="G156" s="629">
        <v>3.2052060973911001E-2</v>
      </c>
      <c r="H156" s="734">
        <v>1.2725590424646801E-2</v>
      </c>
      <c r="I156" s="735">
        <v>8.9023113029262201E-3</v>
      </c>
      <c r="J156" s="735">
        <v>1.30997349355688E-2</v>
      </c>
      <c r="L156" s="84"/>
      <c r="M156" s="84"/>
      <c r="N156" s="84"/>
      <c r="O156" s="84"/>
      <c r="P156" s="84"/>
      <c r="Q156" s="84"/>
      <c r="R156" s="84"/>
      <c r="S156" s="84"/>
    </row>
    <row r="157" spans="1:19">
      <c r="A157" s="629" t="s">
        <v>1146</v>
      </c>
      <c r="G157" s="629">
        <v>3.3384856151841398E-2</v>
      </c>
      <c r="H157" s="734">
        <v>1.11057947069111E-2</v>
      </c>
      <c r="I157" s="735">
        <v>8.3793186985466599E-3</v>
      </c>
      <c r="J157" s="735">
        <v>1.1404985037270599E-2</v>
      </c>
      <c r="L157" s="84"/>
      <c r="M157" s="84"/>
      <c r="N157" s="84"/>
      <c r="O157" s="84"/>
      <c r="P157" s="84"/>
      <c r="Q157" s="84"/>
      <c r="R157" s="84"/>
      <c r="S157" s="84"/>
    </row>
    <row r="158" spans="1:19">
      <c r="A158" s="629" t="s">
        <v>1145</v>
      </c>
      <c r="G158" s="629">
        <v>3.03743545238047E-2</v>
      </c>
      <c r="H158" s="734">
        <v>9.2933125546453398E-3</v>
      </c>
      <c r="I158" s="735">
        <v>7.3601174236256799E-3</v>
      </c>
      <c r="J158" s="735">
        <v>9.5540131531307408E-3</v>
      </c>
      <c r="L158" s="84"/>
      <c r="M158" s="84"/>
      <c r="N158" s="84"/>
      <c r="O158" s="84"/>
      <c r="P158" s="84"/>
      <c r="Q158" s="84"/>
      <c r="R158" s="84"/>
      <c r="S158" s="84"/>
    </row>
    <row r="159" spans="1:19">
      <c r="A159" s="629" t="s">
        <v>1144</v>
      </c>
      <c r="G159" s="629">
        <v>2.7524072779508298E-2</v>
      </c>
      <c r="H159" s="734">
        <v>8.0412848798682504E-3</v>
      </c>
      <c r="I159" s="735">
        <v>9.4256648039969006E-3</v>
      </c>
      <c r="J159" s="735">
        <v>8.3033826793391108E-3</v>
      </c>
      <c r="L159" s="84"/>
      <c r="M159" s="84"/>
      <c r="N159" s="84"/>
      <c r="O159" s="84"/>
      <c r="P159" s="84"/>
      <c r="Q159" s="84"/>
      <c r="R159" s="84"/>
      <c r="S159" s="84"/>
    </row>
    <row r="160" spans="1:19">
      <c r="A160" s="629" t="s">
        <v>1143</v>
      </c>
      <c r="G160" s="629">
        <v>2.8426675470075401E-2</v>
      </c>
      <c r="H160" s="734">
        <v>7.1067606659358396E-3</v>
      </c>
      <c r="I160" s="735">
        <v>8.9500255352209304E-3</v>
      </c>
      <c r="J160" s="735">
        <v>7.3230758444697E-3</v>
      </c>
      <c r="L160" s="84"/>
      <c r="M160" s="84"/>
      <c r="N160" s="84"/>
      <c r="O160" s="84"/>
      <c r="P160" s="84"/>
      <c r="Q160" s="84"/>
      <c r="R160" s="84"/>
      <c r="S160" s="84"/>
    </row>
    <row r="161" spans="1:19">
      <c r="A161" s="629" t="s">
        <v>1142</v>
      </c>
      <c r="G161" s="629">
        <v>2.5822424276679998E-2</v>
      </c>
      <c r="H161" s="734">
        <v>5.9914778948012603E-3</v>
      </c>
      <c r="I161" s="735">
        <v>7.9105339568177196E-3</v>
      </c>
      <c r="J161" s="735">
        <v>6.1888624234020303E-3</v>
      </c>
      <c r="L161" s="84"/>
      <c r="M161" s="84"/>
      <c r="N161" s="84"/>
      <c r="O161" s="84"/>
      <c r="P161" s="84"/>
      <c r="Q161" s="84"/>
      <c r="R161" s="84"/>
      <c r="S161" s="84"/>
    </row>
    <row r="162" spans="1:19">
      <c r="A162" s="629" t="s">
        <v>1141</v>
      </c>
      <c r="G162" s="629">
        <v>2.3465055295225301E-2</v>
      </c>
      <c r="H162" s="734">
        <v>6.0487787943013498E-3</v>
      </c>
      <c r="I162" s="735">
        <v>6.9505491078239497E-3</v>
      </c>
      <c r="J162" s="735">
        <v>6.2111259361602097E-3</v>
      </c>
      <c r="L162" s="84"/>
      <c r="M162" s="84"/>
      <c r="N162" s="84"/>
      <c r="O162" s="84"/>
      <c r="P162" s="84"/>
      <c r="Q162" s="84"/>
      <c r="R162" s="84"/>
      <c r="S162" s="84"/>
    </row>
    <row r="163" spans="1:19">
      <c r="A163" s="629" t="s">
        <v>1140</v>
      </c>
      <c r="G163" s="629">
        <v>2.1674189238948802E-2</v>
      </c>
      <c r="H163" s="734">
        <v>5.1332393446314297E-3</v>
      </c>
      <c r="I163" s="735">
        <v>6.58964141205284E-3</v>
      </c>
      <c r="J163" s="735">
        <v>5.2818118890264696E-3</v>
      </c>
      <c r="L163" s="84"/>
      <c r="M163" s="84"/>
      <c r="N163" s="84"/>
      <c r="O163" s="84"/>
      <c r="P163" s="84"/>
      <c r="Q163" s="84"/>
      <c r="R163" s="84"/>
      <c r="S163" s="84"/>
    </row>
    <row r="164" spans="1:19">
      <c r="A164" s="629" t="s">
        <v>1139</v>
      </c>
      <c r="G164" s="629">
        <v>2.7795060080486302E-2</v>
      </c>
      <c r="H164" s="734">
        <v>7.34053998280853E-3</v>
      </c>
      <c r="I164" s="735">
        <v>8.2435183531708797E-3</v>
      </c>
      <c r="J164" s="735">
        <v>7.4742895831892003E-3</v>
      </c>
      <c r="L164" s="84"/>
      <c r="M164" s="84"/>
      <c r="N164" s="84"/>
      <c r="O164" s="84"/>
      <c r="P164" s="84"/>
      <c r="Q164" s="84"/>
      <c r="R164" s="84"/>
      <c r="S164" s="84"/>
    </row>
    <row r="165" spans="1:19">
      <c r="A165" s="629" t="s">
        <v>1138</v>
      </c>
      <c r="G165" s="629">
        <v>2.5312000484121699E-2</v>
      </c>
      <c r="H165" s="734">
        <v>6.2455833406296502E-3</v>
      </c>
      <c r="I165" s="735">
        <v>7.2588749685308304E-3</v>
      </c>
      <c r="J165" s="735">
        <v>6.3601098693969798E-3</v>
      </c>
      <c r="L165" s="84"/>
      <c r="M165" s="84"/>
      <c r="N165" s="84"/>
      <c r="O165" s="84"/>
      <c r="P165" s="84"/>
      <c r="Q165" s="84"/>
      <c r="R165" s="84"/>
      <c r="S165" s="84"/>
    </row>
    <row r="166" spans="1:19">
      <c r="A166" s="629" t="s">
        <v>1137</v>
      </c>
      <c r="G166" s="629">
        <v>2.4793221584201101E-2</v>
      </c>
      <c r="H166" s="734">
        <v>5.6049050137417199E-3</v>
      </c>
      <c r="I166" s="735">
        <v>6.6792075910832799E-3</v>
      </c>
      <c r="J166" s="735">
        <v>5.7320466292874704E-3</v>
      </c>
      <c r="L166" s="84"/>
      <c r="M166" s="84"/>
      <c r="N166" s="84"/>
      <c r="O166" s="84"/>
      <c r="P166" s="84"/>
      <c r="Q166" s="84"/>
      <c r="R166" s="84"/>
      <c r="S166" s="84"/>
    </row>
    <row r="167" spans="1:19">
      <c r="A167" s="629" t="s">
        <v>1136</v>
      </c>
      <c r="G167" s="629">
        <v>2.51137875407316E-2</v>
      </c>
      <c r="H167" s="734">
        <v>5.5626163950592503E-3</v>
      </c>
      <c r="I167" s="735">
        <v>6.2061934099087003E-3</v>
      </c>
      <c r="J167" s="735">
        <v>5.6683098551896698E-3</v>
      </c>
      <c r="L167" s="84"/>
      <c r="M167" s="84"/>
      <c r="N167" s="84"/>
      <c r="O167" s="84"/>
      <c r="P167" s="84"/>
      <c r="Q167" s="84"/>
      <c r="R167" s="84"/>
      <c r="S167" s="84"/>
    </row>
    <row r="168" spans="1:19">
      <c r="A168" s="629" t="s">
        <v>1135</v>
      </c>
      <c r="G168" s="629">
        <v>2.2608615890339499E-2</v>
      </c>
      <c r="H168" s="734">
        <v>5.7823988647198003E-3</v>
      </c>
      <c r="I168" s="735">
        <v>6.7307979278088403E-3</v>
      </c>
      <c r="J168" s="735">
        <v>5.9174608777799202E-3</v>
      </c>
      <c r="L168" s="84"/>
      <c r="M168" s="84"/>
      <c r="N168" s="84"/>
      <c r="O168" s="84"/>
      <c r="P168" s="84"/>
      <c r="Q168" s="84"/>
      <c r="R168" s="84"/>
      <c r="S168" s="84"/>
    </row>
    <row r="169" spans="1:19">
      <c r="A169" s="629" t="s">
        <v>1134</v>
      </c>
      <c r="G169" s="629">
        <v>2.0445271290744398E-2</v>
      </c>
      <c r="H169" s="734">
        <v>5.79742007818117E-3</v>
      </c>
      <c r="I169" s="735">
        <v>6.5722989010732801E-3</v>
      </c>
      <c r="J169" s="735">
        <v>5.9094317557132703E-3</v>
      </c>
      <c r="L169" s="84"/>
      <c r="M169" s="84"/>
      <c r="N169" s="84"/>
      <c r="O169" s="84"/>
      <c r="P169" s="84"/>
      <c r="Q169" s="84"/>
      <c r="R169" s="84"/>
      <c r="S169" s="84"/>
    </row>
    <row r="170" spans="1:19">
      <c r="A170" s="629" t="s">
        <v>1133</v>
      </c>
      <c r="G170" s="629">
        <v>2.02655435272944E-2</v>
      </c>
      <c r="H170" s="734">
        <v>7.7255090726750103E-3</v>
      </c>
      <c r="I170" s="735">
        <v>5.8741278874521498E-3</v>
      </c>
      <c r="J170" s="735">
        <v>7.8951169940469704E-3</v>
      </c>
      <c r="L170" s="84"/>
      <c r="M170" s="84"/>
      <c r="N170" s="84"/>
      <c r="O170" s="84"/>
      <c r="P170" s="84"/>
      <c r="Q170" s="84"/>
      <c r="R170" s="84"/>
      <c r="S170" s="84"/>
    </row>
    <row r="171" spans="1:19">
      <c r="A171" s="629" t="s">
        <v>1132</v>
      </c>
      <c r="G171" s="629">
        <v>1.8570866846847701E-2</v>
      </c>
      <c r="H171" s="734">
        <v>6.65729939125685E-3</v>
      </c>
      <c r="I171" s="735">
        <v>5.1749463266727302E-3</v>
      </c>
      <c r="J171" s="735">
        <v>6.7962868495109801E-3</v>
      </c>
      <c r="L171" s="84"/>
      <c r="M171" s="84"/>
      <c r="N171" s="84"/>
      <c r="O171" s="84"/>
      <c r="P171" s="84"/>
      <c r="Q171" s="84"/>
      <c r="R171" s="84"/>
      <c r="S171" s="84"/>
    </row>
    <row r="172" spans="1:19">
      <c r="A172" s="629" t="s">
        <v>1131</v>
      </c>
      <c r="G172" s="629">
        <v>2.13084695821288E-2</v>
      </c>
      <c r="H172" s="734">
        <v>6.0933535437202903E-3</v>
      </c>
      <c r="I172" s="735">
        <v>4.64021306381925E-3</v>
      </c>
      <c r="J172" s="735">
        <v>6.2038090743796797E-3</v>
      </c>
      <c r="L172" s="84"/>
      <c r="M172" s="84"/>
      <c r="N172" s="84"/>
      <c r="O172" s="84"/>
      <c r="P172" s="84"/>
      <c r="Q172" s="84"/>
      <c r="R172" s="84"/>
      <c r="S172" s="84"/>
    </row>
    <row r="173" spans="1:19">
      <c r="A173" s="629" t="s">
        <v>1130</v>
      </c>
      <c r="G173" s="629">
        <v>1.91959453053871E-2</v>
      </c>
      <c r="H173" s="734">
        <v>5.1303191724454697E-3</v>
      </c>
      <c r="I173" s="735">
        <v>4.1312925217988497E-3</v>
      </c>
      <c r="J173" s="735">
        <v>5.2331516641245697E-3</v>
      </c>
      <c r="L173" s="84"/>
      <c r="M173" s="84"/>
      <c r="N173" s="84"/>
      <c r="O173" s="84"/>
      <c r="P173" s="84"/>
      <c r="Q173" s="84"/>
      <c r="R173" s="84"/>
      <c r="S173" s="84"/>
    </row>
    <row r="174" spans="1:19">
      <c r="A174" s="629" t="s">
        <v>1129</v>
      </c>
      <c r="G174" s="629">
        <v>1.7415637784937599E-2</v>
      </c>
      <c r="H174" s="734">
        <v>4.6774797593497801E-3</v>
      </c>
      <c r="I174" s="735">
        <v>3.6557657156956898E-3</v>
      </c>
      <c r="J174" s="735">
        <v>4.7599170931761801E-3</v>
      </c>
      <c r="L174" s="84"/>
      <c r="M174" s="84"/>
      <c r="N174" s="84"/>
      <c r="O174" s="84"/>
      <c r="P174" s="84"/>
      <c r="Q174" s="84"/>
      <c r="R174" s="84"/>
      <c r="S174" s="84"/>
    </row>
    <row r="175" spans="1:19">
      <c r="A175" s="629" t="s">
        <v>1128</v>
      </c>
      <c r="G175" s="629">
        <v>1.5806718215025301E-2</v>
      </c>
      <c r="H175" s="734">
        <v>3.9626449237324998E-3</v>
      </c>
      <c r="I175" s="735">
        <v>3.2776595353110598E-3</v>
      </c>
      <c r="J175" s="735">
        <v>4.0354523077750703E-3</v>
      </c>
      <c r="L175" s="84"/>
      <c r="M175" s="84"/>
      <c r="N175" s="84"/>
      <c r="O175" s="84"/>
      <c r="P175" s="84"/>
      <c r="Q175" s="84"/>
      <c r="R175" s="84"/>
      <c r="S175" s="84"/>
    </row>
    <row r="176" spans="1:19">
      <c r="A176" s="629" t="s">
        <v>1127</v>
      </c>
      <c r="G176" s="629">
        <v>1.49601413975986E-2</v>
      </c>
      <c r="H176" s="734">
        <v>3.3746009414917098E-3</v>
      </c>
      <c r="I176" s="735">
        <v>2.91127902702484E-3</v>
      </c>
      <c r="J176" s="735">
        <v>3.43758616323879E-3</v>
      </c>
      <c r="L176" s="84"/>
      <c r="M176" s="84"/>
      <c r="N176" s="84"/>
      <c r="O176" s="84"/>
      <c r="P176" s="84"/>
      <c r="Q176" s="84"/>
      <c r="R176" s="84"/>
      <c r="S176" s="84"/>
    </row>
    <row r="177" spans="1:19">
      <c r="A177" s="629" t="s">
        <v>1126</v>
      </c>
      <c r="G177" s="629">
        <v>1.59173220601256E-2</v>
      </c>
      <c r="H177" s="734">
        <v>2.9186918793951901E-3</v>
      </c>
      <c r="I177" s="735">
        <v>2.6202418506492201E-3</v>
      </c>
      <c r="J177" s="735">
        <v>2.9709891074636398E-3</v>
      </c>
      <c r="L177" s="84"/>
      <c r="M177" s="84"/>
      <c r="N177" s="84"/>
      <c r="O177" s="84"/>
      <c r="P177" s="84"/>
      <c r="Q177" s="84"/>
      <c r="R177" s="84"/>
      <c r="S177" s="84"/>
    </row>
    <row r="178" spans="1:19">
      <c r="A178" s="629" t="s">
        <v>1125</v>
      </c>
      <c r="G178" s="629">
        <v>2.7929651873664901E-2</v>
      </c>
      <c r="H178" s="734">
        <v>1.0016907843262699E-2</v>
      </c>
      <c r="I178" s="735">
        <v>6.7760342457076203E-3</v>
      </c>
      <c r="J178" s="735">
        <v>1.0142975570436299E-2</v>
      </c>
      <c r="L178" s="84"/>
      <c r="M178" s="84"/>
      <c r="N178" s="84"/>
      <c r="O178" s="84"/>
      <c r="P178" s="84"/>
      <c r="Q178" s="84"/>
      <c r="R178" s="84"/>
      <c r="S178" s="84"/>
    </row>
    <row r="179" spans="1:19">
      <c r="A179" s="629" t="s">
        <v>1124</v>
      </c>
      <c r="G179" s="629">
        <v>4.39503374396168E-2</v>
      </c>
      <c r="H179" s="734">
        <v>8.6529863973602694E-3</v>
      </c>
      <c r="I179" s="735">
        <v>7.9952976262283801E-3</v>
      </c>
      <c r="J179" s="735">
        <v>8.8148167855425594E-3</v>
      </c>
      <c r="L179" s="84"/>
      <c r="M179" s="84"/>
      <c r="N179" s="84"/>
      <c r="O179" s="84"/>
      <c r="P179" s="84"/>
      <c r="Q179" s="84"/>
      <c r="R179" s="84"/>
      <c r="S179" s="84"/>
    </row>
    <row r="180" spans="1:19">
      <c r="A180" s="629" t="s">
        <v>1123</v>
      </c>
      <c r="G180" s="629">
        <v>3.9986283411387699E-2</v>
      </c>
      <c r="H180" s="734">
        <v>7.2321196858397196E-3</v>
      </c>
      <c r="I180" s="735">
        <v>7.0317255455674202E-3</v>
      </c>
      <c r="J180" s="735">
        <v>7.3864205105585298E-3</v>
      </c>
      <c r="L180" s="84"/>
      <c r="M180" s="84"/>
      <c r="N180" s="84"/>
      <c r="O180" s="84"/>
      <c r="P180" s="84"/>
      <c r="Q180" s="84"/>
      <c r="R180" s="84"/>
      <c r="S180" s="84"/>
    </row>
    <row r="181" spans="1:19">
      <c r="A181" s="629" t="s">
        <v>1122</v>
      </c>
      <c r="G181" s="629">
        <v>3.7377322070158502E-2</v>
      </c>
      <c r="H181" s="734">
        <v>6.0761904902835702E-3</v>
      </c>
      <c r="I181" s="735">
        <v>6.2398393606483901E-3</v>
      </c>
      <c r="J181" s="735">
        <v>6.2212625423983398E-3</v>
      </c>
      <c r="L181" s="84"/>
      <c r="M181" s="84"/>
      <c r="N181" s="84"/>
      <c r="O181" s="84"/>
      <c r="P181" s="84"/>
      <c r="Q181" s="84"/>
      <c r="R181" s="84"/>
      <c r="S181" s="84"/>
    </row>
    <row r="182" spans="1:19">
      <c r="A182" s="629" t="s">
        <v>1121</v>
      </c>
      <c r="G182" s="629">
        <v>3.36168350558846E-2</v>
      </c>
      <c r="H182" s="734">
        <v>5.1194705335026102E-3</v>
      </c>
      <c r="I182" s="735">
        <v>5.6124721018882004E-3</v>
      </c>
      <c r="J182" s="735">
        <v>5.2465145272959099E-3</v>
      </c>
      <c r="L182" s="84"/>
      <c r="M182" s="84"/>
      <c r="N182" s="84"/>
      <c r="O182" s="84"/>
      <c r="P182" s="84"/>
      <c r="Q182" s="84"/>
      <c r="R182" s="84"/>
      <c r="S182" s="84"/>
    </row>
    <row r="183" spans="1:19">
      <c r="A183" s="629" t="s">
        <v>1120</v>
      </c>
      <c r="G183" s="629">
        <v>3.0874730469215499E-2</v>
      </c>
      <c r="H183" s="734">
        <v>4.4043814561032998E-3</v>
      </c>
      <c r="I183" s="735">
        <v>4.9920868100000702E-3</v>
      </c>
      <c r="J183" s="735">
        <v>4.5221600680388002E-3</v>
      </c>
      <c r="L183" s="84"/>
      <c r="M183" s="84"/>
      <c r="N183" s="84"/>
      <c r="O183" s="84"/>
      <c r="P183" s="84"/>
      <c r="Q183" s="84"/>
      <c r="R183" s="84"/>
      <c r="S183" s="84"/>
    </row>
    <row r="184" spans="1:19">
      <c r="A184" s="629" t="s">
        <v>1119</v>
      </c>
      <c r="G184" s="629">
        <v>2.9082821690841799E-2</v>
      </c>
      <c r="H184" s="734">
        <v>4.0242788254893401E-3</v>
      </c>
      <c r="I184" s="735">
        <v>6.2482028092773201E-3</v>
      </c>
      <c r="J184" s="735">
        <v>4.12202684427352E-3</v>
      </c>
      <c r="L184" s="84"/>
      <c r="M184" s="84"/>
      <c r="N184" s="84"/>
      <c r="O184" s="84"/>
      <c r="P184" s="84"/>
      <c r="Q184" s="84"/>
      <c r="R184" s="84"/>
      <c r="S184" s="84"/>
    </row>
    <row r="185" spans="1:19">
      <c r="A185" s="629" t="s">
        <v>1118</v>
      </c>
      <c r="G185" s="629">
        <v>2.7619084728386499E-2</v>
      </c>
      <c r="H185" s="734">
        <v>3.4474142943740202E-3</v>
      </c>
      <c r="I185" s="735">
        <v>5.5021559640266501E-3</v>
      </c>
      <c r="J185" s="735">
        <v>3.5300324307083498E-3</v>
      </c>
      <c r="L185" s="84"/>
      <c r="M185" s="84"/>
      <c r="N185" s="84"/>
      <c r="O185" s="84"/>
      <c r="P185" s="84"/>
      <c r="Q185" s="84"/>
      <c r="R185" s="84"/>
      <c r="S185" s="84"/>
    </row>
    <row r="186" spans="1:19">
      <c r="A186" s="629" t="s">
        <v>1117</v>
      </c>
      <c r="G186" s="629">
        <v>2.5410750653970901E-2</v>
      </c>
      <c r="H186" s="734">
        <v>3.3970167020120302E-3</v>
      </c>
      <c r="I186" s="735">
        <v>4.8909284987753597E-3</v>
      </c>
      <c r="J186" s="735">
        <v>3.4697407200503E-3</v>
      </c>
      <c r="L186" s="84"/>
      <c r="M186" s="84"/>
      <c r="N186" s="84"/>
      <c r="O186" s="84"/>
      <c r="P186" s="84"/>
      <c r="Q186" s="84"/>
      <c r="R186" s="84"/>
      <c r="S186" s="84"/>
    </row>
    <row r="187" spans="1:19">
      <c r="A187" s="629" t="s">
        <v>1116</v>
      </c>
      <c r="G187" s="629">
        <v>2.3062412531425502E-2</v>
      </c>
      <c r="H187" s="734">
        <v>2.9518487544726501E-3</v>
      </c>
      <c r="I187" s="735">
        <v>4.4375683403679997E-3</v>
      </c>
      <c r="J187" s="735">
        <v>3.0130644718848699E-3</v>
      </c>
      <c r="L187" s="84"/>
      <c r="M187" s="84"/>
      <c r="N187" s="84"/>
      <c r="O187" s="84"/>
      <c r="P187" s="84"/>
      <c r="Q187" s="84"/>
      <c r="R187" s="84"/>
      <c r="S187" s="84"/>
    </row>
    <row r="188" spans="1:19">
      <c r="A188" s="629" t="s">
        <v>1115</v>
      </c>
      <c r="G188" s="629">
        <v>2.0876484441457399E-2</v>
      </c>
      <c r="H188" s="734">
        <v>2.5455588958357899E-3</v>
      </c>
      <c r="I188" s="735">
        <v>4.0725707408450201E-3</v>
      </c>
      <c r="J188" s="735">
        <v>2.5959906246809301E-3</v>
      </c>
      <c r="L188" s="84"/>
      <c r="M188" s="84"/>
      <c r="N188" s="84"/>
      <c r="O188" s="84"/>
      <c r="P188" s="84"/>
      <c r="Q188" s="84"/>
      <c r="R188" s="84"/>
      <c r="S188" s="84"/>
    </row>
    <row r="189" spans="1:19">
      <c r="A189" s="629" t="s">
        <v>1114</v>
      </c>
      <c r="G189" s="629">
        <v>1.9352254583880599E-2</v>
      </c>
      <c r="H189" s="734">
        <v>2.8622332918265699E-3</v>
      </c>
      <c r="I189" s="735">
        <v>4.5384822479909099E-3</v>
      </c>
      <c r="J189" s="735">
        <v>2.9114050357819301E-3</v>
      </c>
      <c r="L189" s="84"/>
      <c r="M189" s="84"/>
      <c r="N189" s="84"/>
      <c r="O189" s="84"/>
      <c r="P189" s="84"/>
      <c r="Q189" s="84"/>
      <c r="R189" s="84"/>
      <c r="S189" s="84"/>
    </row>
    <row r="190" spans="1:19">
      <c r="A190" s="629" t="s">
        <v>1113</v>
      </c>
      <c r="G190" s="629">
        <v>1.7519325673859401E-2</v>
      </c>
      <c r="H190" s="734">
        <v>2.4780779870831001E-3</v>
      </c>
      <c r="I190" s="735">
        <v>4.2106869987190701E-3</v>
      </c>
      <c r="J190" s="735">
        <v>2.5189041752856E-3</v>
      </c>
      <c r="L190" s="84"/>
      <c r="M190" s="84"/>
      <c r="N190" s="84"/>
      <c r="O190" s="84"/>
      <c r="P190" s="84"/>
      <c r="Q190" s="84"/>
      <c r="R190" s="84"/>
      <c r="S190" s="84"/>
    </row>
    <row r="191" spans="1:19">
      <c r="A191" s="629" t="s">
        <v>1112</v>
      </c>
      <c r="G191" s="629">
        <v>1.6707790333086E-2</v>
      </c>
      <c r="H191" s="734">
        <v>2.46267937098752E-3</v>
      </c>
      <c r="I191" s="735">
        <v>3.7547561963890402E-3</v>
      </c>
      <c r="J191" s="735">
        <v>2.4986786698325998E-3</v>
      </c>
      <c r="L191" s="84"/>
      <c r="M191" s="84"/>
      <c r="N191" s="84"/>
      <c r="O191" s="84"/>
      <c r="P191" s="84"/>
      <c r="Q191" s="84"/>
      <c r="R191" s="84"/>
      <c r="S191" s="84"/>
    </row>
    <row r="192" spans="1:19">
      <c r="A192" s="629" t="s">
        <v>1111</v>
      </c>
      <c r="G192" s="629">
        <v>6.4474605863079903E-2</v>
      </c>
      <c r="H192" s="734">
        <v>2.4518971595939099E-3</v>
      </c>
      <c r="I192" s="735">
        <v>3.5505604371275199E-3</v>
      </c>
      <c r="J192" s="735">
        <v>2.48442373036488E-3</v>
      </c>
      <c r="L192" s="84"/>
      <c r="M192" s="84"/>
      <c r="N192" s="84"/>
      <c r="O192" s="84"/>
      <c r="P192" s="84"/>
      <c r="Q192" s="84"/>
      <c r="R192" s="84"/>
      <c r="S192" s="84"/>
    </row>
    <row r="193" spans="1:19">
      <c r="A193" s="629" t="s">
        <v>1110</v>
      </c>
      <c r="G193" s="629">
        <v>5.8308783944554E-2</v>
      </c>
      <c r="H193" s="734">
        <v>2.1415361755809598E-3</v>
      </c>
      <c r="I193" s="735">
        <v>3.2278034975103502E-3</v>
      </c>
      <c r="J193" s="735">
        <v>2.1671155247436299E-3</v>
      </c>
      <c r="L193" s="84"/>
      <c r="M193" s="84"/>
      <c r="N193" s="84"/>
      <c r="O193" s="84"/>
      <c r="P193" s="84"/>
      <c r="Q193" s="84"/>
      <c r="R193" s="84"/>
      <c r="S193" s="84"/>
    </row>
    <row r="194" spans="1:19">
      <c r="A194" s="629" t="s">
        <v>1109</v>
      </c>
      <c r="G194" s="629">
        <v>5.4543042963595398E-2</v>
      </c>
      <c r="H194" s="734">
        <v>1.9071563531525199E-3</v>
      </c>
      <c r="I194" s="735">
        <v>3.0038827853203099E-3</v>
      </c>
      <c r="J194" s="735">
        <v>1.92672410502221E-3</v>
      </c>
      <c r="L194" s="84"/>
      <c r="M194" s="84"/>
      <c r="N194" s="84"/>
      <c r="O194" s="84"/>
      <c r="P194" s="84"/>
      <c r="Q194" s="84"/>
      <c r="R194" s="84"/>
      <c r="S194" s="84"/>
    </row>
    <row r="195" spans="1:19">
      <c r="A195" s="629" t="s">
        <v>1108</v>
      </c>
      <c r="G195" s="629">
        <v>4.9203625859190497E-2</v>
      </c>
      <c r="H195" s="734">
        <v>2.3835380042053602E-3</v>
      </c>
      <c r="I195" s="735">
        <v>3.58001595944489E-3</v>
      </c>
      <c r="J195" s="735">
        <v>2.4084465300649501E-3</v>
      </c>
      <c r="L195" s="84"/>
      <c r="M195" s="84"/>
      <c r="N195" s="84"/>
      <c r="O195" s="84"/>
      <c r="P195" s="84"/>
      <c r="Q195" s="84"/>
      <c r="R195" s="84"/>
      <c r="S195" s="84"/>
    </row>
    <row r="196" spans="1:19">
      <c r="A196" s="629" t="s">
        <v>1107</v>
      </c>
      <c r="G196" s="629">
        <v>4.5969809744613101E-2</v>
      </c>
      <c r="H196" s="734">
        <v>2.2564555996372701E-3</v>
      </c>
      <c r="I196" s="735">
        <v>3.7497534018678599E-3</v>
      </c>
      <c r="J196" s="735">
        <v>2.27950305559395E-3</v>
      </c>
      <c r="L196" s="84"/>
      <c r="M196" s="84"/>
      <c r="N196" s="84"/>
      <c r="O196" s="84"/>
      <c r="P196" s="84"/>
      <c r="Q196" s="84"/>
      <c r="R196" s="84"/>
      <c r="S196" s="84"/>
    </row>
    <row r="197" spans="1:19">
      <c r="A197" s="629" t="s">
        <v>1106</v>
      </c>
      <c r="G197" s="629">
        <v>5.2488760567694602E-2</v>
      </c>
      <c r="H197" s="734">
        <v>2.28845710570814E-3</v>
      </c>
      <c r="I197" s="735">
        <v>3.9446713183170197E-3</v>
      </c>
      <c r="J197" s="735">
        <v>2.3107645443948498E-3</v>
      </c>
      <c r="L197" s="84"/>
      <c r="M197" s="84"/>
      <c r="N197" s="84"/>
      <c r="O197" s="84"/>
      <c r="P197" s="84"/>
      <c r="Q197" s="84"/>
      <c r="R197" s="84"/>
      <c r="S197" s="84"/>
    </row>
    <row r="198" spans="1:19">
      <c r="A198" s="629" t="s">
        <v>1105</v>
      </c>
      <c r="G198" s="629">
        <v>4.7638024418697099E-2</v>
      </c>
      <c r="H198" s="734">
        <v>2.0050093330590802E-3</v>
      </c>
      <c r="I198" s="735">
        <v>3.5222969683344298E-3</v>
      </c>
      <c r="J198" s="735">
        <v>2.0224567780894498E-3</v>
      </c>
      <c r="L198" s="84"/>
      <c r="M198" s="84"/>
      <c r="N198" s="84"/>
      <c r="O198" s="84"/>
      <c r="P198" s="84"/>
      <c r="Q198" s="84"/>
      <c r="R198" s="84"/>
      <c r="S198" s="84"/>
    </row>
    <row r="199" spans="1:19">
      <c r="A199" s="629" t="s">
        <v>1104</v>
      </c>
      <c r="G199" s="629">
        <v>4.2831248015383003E-2</v>
      </c>
      <c r="H199" s="734">
        <v>1.8405847201199499E-3</v>
      </c>
      <c r="I199" s="735">
        <v>3.3124743488372002E-3</v>
      </c>
      <c r="J199" s="735">
        <v>1.85256235223781E-3</v>
      </c>
      <c r="L199" s="84"/>
      <c r="M199" s="84"/>
      <c r="N199" s="84"/>
      <c r="O199" s="84"/>
      <c r="P199" s="84"/>
      <c r="Q199" s="84"/>
      <c r="R199" s="84"/>
      <c r="S199" s="84"/>
    </row>
    <row r="200" spans="1:19">
      <c r="A200" s="629" t="s">
        <v>1103</v>
      </c>
      <c r="G200" s="629">
        <v>3.9466739044459298E-2</v>
      </c>
      <c r="H200" s="734">
        <v>2.3249481174364402E-3</v>
      </c>
      <c r="I200" s="735">
        <v>4.2962343676233297E-3</v>
      </c>
      <c r="J200" s="735">
        <v>2.3358380075669898E-3</v>
      </c>
      <c r="L200" s="84"/>
      <c r="M200" s="84"/>
      <c r="N200" s="84"/>
      <c r="O200" s="84"/>
      <c r="P200" s="84"/>
      <c r="Q200" s="84"/>
      <c r="R200" s="84"/>
      <c r="S200" s="84"/>
    </row>
    <row r="201" spans="1:19">
      <c r="A201" s="629" t="s">
        <v>1102</v>
      </c>
      <c r="G201" s="629">
        <v>3.7770837092121402E-2</v>
      </c>
      <c r="H201" s="734">
        <v>2.3422984105153999E-3</v>
      </c>
      <c r="I201" s="735">
        <v>4.09333129559971E-3</v>
      </c>
      <c r="J201" s="735">
        <v>2.3491662329583099E-3</v>
      </c>
      <c r="L201" s="84"/>
      <c r="M201" s="84"/>
      <c r="N201" s="84"/>
      <c r="O201" s="84"/>
      <c r="P201" s="84"/>
      <c r="Q201" s="84"/>
      <c r="R201" s="84"/>
      <c r="S201" s="84"/>
    </row>
    <row r="202" spans="1:19">
      <c r="A202" s="629" t="s">
        <v>1101</v>
      </c>
      <c r="G202" s="629">
        <v>3.8724403189898102E-2</v>
      </c>
      <c r="H202" s="734">
        <v>2.6917778684586802E-3</v>
      </c>
      <c r="I202" s="735">
        <v>4.4324726002079396E-3</v>
      </c>
      <c r="J202" s="735">
        <v>2.7091054887012698E-3</v>
      </c>
      <c r="L202" s="84"/>
      <c r="M202" s="84"/>
      <c r="N202" s="84"/>
      <c r="O202" s="84"/>
      <c r="P202" s="84"/>
      <c r="Q202" s="84"/>
      <c r="R202" s="84"/>
      <c r="S202" s="84"/>
    </row>
    <row r="203" spans="1:19">
      <c r="A203" s="629" t="s">
        <v>1100</v>
      </c>
      <c r="G203" s="629">
        <v>3.6477635711662099E-2</v>
      </c>
      <c r="H203" s="734">
        <v>2.3480402918858198E-3</v>
      </c>
      <c r="I203" s="735">
        <v>3.9192802797902403E-3</v>
      </c>
      <c r="J203" s="735">
        <v>2.3636625297321899E-3</v>
      </c>
      <c r="L203" s="84"/>
      <c r="M203" s="84"/>
      <c r="N203" s="84"/>
      <c r="O203" s="84"/>
      <c r="P203" s="84"/>
      <c r="Q203" s="84"/>
      <c r="R203" s="84"/>
      <c r="S203" s="84"/>
    </row>
    <row r="204" spans="1:19">
      <c r="A204" s="629" t="s">
        <v>1099</v>
      </c>
      <c r="G204" s="629">
        <v>3.3315204797890699E-2</v>
      </c>
      <c r="H204" s="734">
        <v>2.1252934732255199E-3</v>
      </c>
      <c r="I204" s="735">
        <v>3.4726289735646002E-3</v>
      </c>
      <c r="J204" s="735">
        <v>2.1404458894883401E-3</v>
      </c>
      <c r="L204" s="84"/>
      <c r="M204" s="84"/>
      <c r="N204" s="84"/>
      <c r="O204" s="84"/>
      <c r="P204" s="84"/>
      <c r="Q204" s="84"/>
      <c r="R204" s="84"/>
      <c r="S204" s="84"/>
    </row>
    <row r="205" spans="1:19">
      <c r="A205" s="629" t="s">
        <v>1098</v>
      </c>
      <c r="G205" s="629">
        <v>3.02054972255291E-2</v>
      </c>
      <c r="H205" s="734">
        <v>1.8724876861326101E-3</v>
      </c>
      <c r="I205" s="735">
        <v>3.0839597067328101E-3</v>
      </c>
      <c r="J205" s="735">
        <v>1.88356878519684E-3</v>
      </c>
      <c r="L205" s="84"/>
      <c r="M205" s="84"/>
      <c r="N205" s="84"/>
      <c r="O205" s="84"/>
      <c r="P205" s="84"/>
      <c r="Q205" s="84"/>
      <c r="R205" s="84"/>
      <c r="S205" s="84"/>
    </row>
    <row r="206" spans="1:19">
      <c r="A206" s="629" t="s">
        <v>1097</v>
      </c>
      <c r="G206" s="629">
        <v>3.0032268578032699E-2</v>
      </c>
      <c r="H206" s="734">
        <v>1.71583553451652E-3</v>
      </c>
      <c r="I206" s="735">
        <v>2.9086258637743799E-3</v>
      </c>
      <c r="J206" s="735">
        <v>1.72386714462213E-3</v>
      </c>
      <c r="L206" s="84"/>
      <c r="M206" s="84"/>
      <c r="N206" s="84"/>
      <c r="O206" s="84"/>
      <c r="P206" s="84"/>
      <c r="Q206" s="84"/>
      <c r="R206" s="84"/>
      <c r="S206" s="84"/>
    </row>
    <row r="207" spans="1:19">
      <c r="A207" s="629" t="s">
        <v>1096</v>
      </c>
      <c r="G207" s="629">
        <v>2.7129798829126198E-2</v>
      </c>
      <c r="H207" s="734">
        <v>2.0048070741702801E-3</v>
      </c>
      <c r="I207" s="735">
        <v>4.3850636094944096E-3</v>
      </c>
      <c r="J207" s="735">
        <v>2.0186249931202298E-3</v>
      </c>
      <c r="L207" s="84"/>
      <c r="M207" s="84"/>
      <c r="N207" s="84"/>
      <c r="O207" s="84"/>
      <c r="P207" s="84"/>
      <c r="Q207" s="84"/>
      <c r="R207" s="84"/>
      <c r="S207" s="84"/>
    </row>
    <row r="208" spans="1:19">
      <c r="A208" s="629" t="s">
        <v>1095</v>
      </c>
      <c r="G208" s="629">
        <v>2.6175019743824701E-2</v>
      </c>
      <c r="H208" s="734">
        <v>1.77928609365128E-3</v>
      </c>
      <c r="I208" s="735">
        <v>3.8888894656771002E-3</v>
      </c>
      <c r="J208" s="735">
        <v>1.78747654719384E-3</v>
      </c>
      <c r="L208" s="84"/>
      <c r="M208" s="84"/>
      <c r="N208" s="84"/>
      <c r="O208" s="84"/>
      <c r="P208" s="84"/>
      <c r="Q208" s="84"/>
      <c r="R208" s="84"/>
      <c r="S208" s="84"/>
    </row>
    <row r="209" spans="1:19">
      <c r="A209" s="629" t="s">
        <v>1094</v>
      </c>
      <c r="G209" s="629">
        <v>2.3630496710202901E-2</v>
      </c>
      <c r="H209" s="734">
        <v>1.8727734103978E-3</v>
      </c>
      <c r="I209" s="735">
        <v>3.5076364074576902E-3</v>
      </c>
      <c r="J209" s="735">
        <v>1.88368227937838E-3</v>
      </c>
      <c r="L209" s="84"/>
      <c r="M209" s="84"/>
      <c r="N209" s="84"/>
      <c r="O209" s="84"/>
      <c r="P209" s="84"/>
      <c r="Q209" s="84"/>
      <c r="R209" s="84"/>
      <c r="S209" s="84"/>
    </row>
    <row r="210" spans="1:19">
      <c r="A210" s="629" t="s">
        <v>1093</v>
      </c>
      <c r="G210" s="629">
        <v>2.1856424347271499E-2</v>
      </c>
      <c r="H210" s="734">
        <v>2.2247786143055602E-3</v>
      </c>
      <c r="I210" s="735">
        <v>4.5051358411112002E-3</v>
      </c>
      <c r="J210" s="735">
        <v>2.2423252084008802E-3</v>
      </c>
      <c r="L210" s="84"/>
      <c r="M210" s="84"/>
      <c r="N210" s="84"/>
      <c r="O210" s="84"/>
      <c r="P210" s="84"/>
      <c r="Q210" s="84"/>
      <c r="R210" s="84"/>
      <c r="S210" s="84"/>
    </row>
    <row r="211" spans="1:19">
      <c r="A211" s="629" t="s">
        <v>1092</v>
      </c>
      <c r="G211" s="629">
        <v>2.0154502934146699E-2</v>
      </c>
      <c r="H211" s="734">
        <v>2.2670678106827299E-3</v>
      </c>
      <c r="I211" s="735">
        <v>4.4018622497056297E-3</v>
      </c>
      <c r="J211" s="735">
        <v>2.2872246361488298E-3</v>
      </c>
      <c r="L211" s="84"/>
      <c r="M211" s="84"/>
      <c r="N211" s="84"/>
      <c r="O211" s="84"/>
      <c r="P211" s="84"/>
      <c r="Q211" s="84"/>
      <c r="R211" s="84"/>
      <c r="S211" s="84"/>
    </row>
    <row r="212" spans="1:19">
      <c r="A212" s="629" t="s">
        <v>1091</v>
      </c>
      <c r="G212" s="629">
        <v>2.3840170842457001E-2</v>
      </c>
      <c r="H212" s="734">
        <v>2.2506071742479801E-3</v>
      </c>
      <c r="I212" s="735">
        <v>4.00132393328237E-3</v>
      </c>
      <c r="J212" s="735">
        <v>2.2746919443044399E-3</v>
      </c>
      <c r="L212" s="84"/>
      <c r="M212" s="84"/>
      <c r="N212" s="84"/>
      <c r="O212" s="84"/>
      <c r="P212" s="84"/>
      <c r="Q212" s="84"/>
      <c r="R212" s="84"/>
      <c r="S212" s="84"/>
    </row>
    <row r="213" spans="1:19">
      <c r="A213" s="629" t="s">
        <v>1090</v>
      </c>
      <c r="G213" s="629">
        <v>2.1567678660223501E-2</v>
      </c>
      <c r="H213" s="734">
        <v>1.9713526775242498E-3</v>
      </c>
      <c r="I213" s="735">
        <v>3.6395184124144598E-3</v>
      </c>
      <c r="J213" s="735">
        <v>1.9888260662573099E-3</v>
      </c>
      <c r="L213" s="84"/>
      <c r="M213" s="84"/>
      <c r="N213" s="84"/>
      <c r="O213" s="84"/>
      <c r="P213" s="84"/>
      <c r="Q213" s="84"/>
      <c r="R213" s="84"/>
      <c r="S213" s="84"/>
    </row>
    <row r="214" spans="1:19">
      <c r="A214" s="629" t="s">
        <v>1089</v>
      </c>
      <c r="G214" s="629">
        <v>1.9794431954773001E-2</v>
      </c>
      <c r="H214" s="734">
        <v>2.0294877735835201E-3</v>
      </c>
      <c r="I214" s="735">
        <v>3.3029910010665699E-3</v>
      </c>
      <c r="J214" s="735">
        <v>2.0474437926986701E-3</v>
      </c>
      <c r="L214" s="84"/>
      <c r="M214" s="84"/>
      <c r="N214" s="84"/>
      <c r="O214" s="84"/>
      <c r="P214" s="84"/>
      <c r="Q214" s="84"/>
      <c r="R214" s="84"/>
      <c r="S214" s="84"/>
    </row>
    <row r="215" spans="1:19">
      <c r="A215" s="629" t="s">
        <v>1088</v>
      </c>
      <c r="G215" s="629">
        <v>1.8090307831261199E-2</v>
      </c>
      <c r="H215" s="734">
        <v>1.8113560613145601E-3</v>
      </c>
      <c r="I215" s="735">
        <v>3.1636229235683399E-3</v>
      </c>
      <c r="J215" s="735">
        <v>1.8255227247370399E-3</v>
      </c>
      <c r="L215" s="84"/>
      <c r="M215" s="84"/>
      <c r="N215" s="84"/>
      <c r="O215" s="84"/>
      <c r="P215" s="84"/>
      <c r="Q215" s="84"/>
      <c r="R215" s="84"/>
      <c r="S215" s="84"/>
    </row>
    <row r="216" spans="1:19">
      <c r="A216" s="629" t="s">
        <v>1087</v>
      </c>
      <c r="G216" s="629">
        <v>1.8388335404393101E-2</v>
      </c>
      <c r="H216" s="734">
        <v>2.0803776420255499E-3</v>
      </c>
      <c r="I216" s="735">
        <v>2.8128629082863001E-3</v>
      </c>
      <c r="J216" s="735">
        <v>2.0888814049573701E-3</v>
      </c>
      <c r="L216" s="84"/>
      <c r="M216" s="84"/>
      <c r="N216" s="84"/>
      <c r="O216" s="84"/>
      <c r="P216" s="84"/>
      <c r="Q216" s="84"/>
      <c r="R216" s="84"/>
      <c r="S216" s="84"/>
    </row>
    <row r="217" spans="1:19">
      <c r="A217" s="629" t="s">
        <v>1086</v>
      </c>
      <c r="G217" s="629">
        <v>1.6782861102033399E-2</v>
      </c>
      <c r="H217" s="734">
        <v>1.8373757496542001E-3</v>
      </c>
      <c r="I217" s="735">
        <v>2.50726054130424E-3</v>
      </c>
      <c r="J217" s="735">
        <v>1.8432531764698099E-3</v>
      </c>
      <c r="L217" s="84"/>
      <c r="M217" s="84"/>
      <c r="N217" s="84"/>
      <c r="O217" s="84"/>
      <c r="P217" s="84"/>
      <c r="Q217" s="84"/>
      <c r="R217" s="84"/>
      <c r="S217" s="84"/>
    </row>
    <row r="218" spans="1:19">
      <c r="A218" s="629" t="s">
        <v>1085</v>
      </c>
      <c r="G218" s="629">
        <v>1.5845618564759901E-2</v>
      </c>
      <c r="H218" s="734">
        <v>1.67348033052131E-3</v>
      </c>
      <c r="I218" s="735">
        <v>2.3121293122811601E-3</v>
      </c>
      <c r="J218" s="735">
        <v>1.6773677081596201E-3</v>
      </c>
      <c r="L218" s="84"/>
      <c r="M218" s="84"/>
      <c r="N218" s="84"/>
      <c r="O218" s="84"/>
      <c r="P218" s="84"/>
      <c r="Q218" s="84"/>
      <c r="R218" s="84"/>
      <c r="S218" s="84"/>
    </row>
    <row r="219" spans="1:19">
      <c r="A219" s="629" t="s">
        <v>1084</v>
      </c>
      <c r="G219" s="629">
        <v>1.5474619914461901E-2</v>
      </c>
      <c r="H219" s="734">
        <v>1.53530476228922E-3</v>
      </c>
      <c r="I219" s="735">
        <v>2.06968384725406E-3</v>
      </c>
      <c r="J219" s="735">
        <v>1.5341697255007499E-3</v>
      </c>
      <c r="L219" s="84"/>
      <c r="M219" s="84"/>
      <c r="N219" s="84"/>
      <c r="O219" s="84"/>
      <c r="P219" s="84"/>
      <c r="Q219" s="84"/>
      <c r="R219" s="84"/>
      <c r="S219" s="84"/>
    </row>
    <row r="220" spans="1:19">
      <c r="A220" s="629" t="s">
        <v>1083</v>
      </c>
      <c r="G220" s="629">
        <v>1.7314484494478199E-2</v>
      </c>
      <c r="H220" s="734">
        <v>2.0601732809197599E-3</v>
      </c>
      <c r="I220" s="735">
        <v>2.6010587877062399E-3</v>
      </c>
      <c r="J220" s="735">
        <v>2.0580771471618801E-3</v>
      </c>
      <c r="L220" s="84"/>
      <c r="M220" s="84"/>
      <c r="N220" s="84"/>
      <c r="O220" s="84"/>
      <c r="P220" s="84"/>
      <c r="Q220" s="84"/>
      <c r="R220" s="84"/>
      <c r="S220" s="84"/>
    </row>
    <row r="221" spans="1:19">
      <c r="A221" s="629" t="s">
        <v>1082</v>
      </c>
      <c r="G221" s="629">
        <v>1.5750993591484699E-2</v>
      </c>
      <c r="H221" s="734">
        <v>2.1815450100181898E-3</v>
      </c>
      <c r="I221" s="735">
        <v>2.6047487484371699E-3</v>
      </c>
      <c r="J221" s="735">
        <v>2.1890148361228402E-3</v>
      </c>
      <c r="L221" s="84"/>
      <c r="M221" s="84"/>
      <c r="N221" s="84"/>
      <c r="O221" s="84"/>
      <c r="P221" s="84"/>
      <c r="Q221" s="84"/>
      <c r="R221" s="84"/>
      <c r="S221" s="84"/>
    </row>
    <row r="222" spans="1:19">
      <c r="A222" s="629" t="s">
        <v>1081</v>
      </c>
      <c r="G222" s="629">
        <v>1.4423848460085899E-2</v>
      </c>
      <c r="H222" s="734">
        <v>1.9198147422307399E-3</v>
      </c>
      <c r="I222" s="735">
        <v>2.3261413139114102E-3</v>
      </c>
      <c r="J222" s="735">
        <v>1.9251299862344899E-3</v>
      </c>
      <c r="L222" s="84"/>
      <c r="M222" s="84"/>
      <c r="N222" s="84"/>
      <c r="O222" s="84"/>
      <c r="P222" s="84"/>
      <c r="Q222" s="84"/>
      <c r="R222" s="84"/>
      <c r="S222" s="84"/>
    </row>
    <row r="223" spans="1:19">
      <c r="A223" s="629" t="s">
        <v>1080</v>
      </c>
      <c r="G223" s="629">
        <v>1.3314578389531E-2</v>
      </c>
      <c r="H223" s="734">
        <v>1.6975237172860999E-3</v>
      </c>
      <c r="I223" s="735">
        <v>2.0965378191753702E-3</v>
      </c>
      <c r="J223" s="735">
        <v>1.6987009521969301E-3</v>
      </c>
      <c r="L223" s="84"/>
      <c r="M223" s="84"/>
      <c r="N223" s="84"/>
      <c r="O223" s="84"/>
      <c r="P223" s="84"/>
      <c r="Q223" s="84"/>
      <c r="R223" s="84"/>
      <c r="S223" s="84"/>
    </row>
    <row r="224" spans="1:19">
      <c r="A224" s="629" t="s">
        <v>1079</v>
      </c>
      <c r="G224" s="629">
        <v>1.22453075135944E-2</v>
      </c>
      <c r="H224" s="734">
        <v>1.5325108238942199E-3</v>
      </c>
      <c r="I224" s="735">
        <v>1.88360188909799E-3</v>
      </c>
      <c r="J224" s="735">
        <v>1.53135237827972E-3</v>
      </c>
      <c r="L224" s="84"/>
      <c r="M224" s="84"/>
      <c r="N224" s="84"/>
      <c r="O224" s="84"/>
      <c r="P224" s="84"/>
      <c r="Q224" s="84"/>
      <c r="R224" s="84"/>
      <c r="S224" s="84"/>
    </row>
    <row r="225" spans="1:19">
      <c r="A225" s="629" t="s">
        <v>1078</v>
      </c>
      <c r="G225" s="629">
        <v>1.1642462685807899E-2</v>
      </c>
      <c r="H225" s="734">
        <v>1.4139086397159399E-3</v>
      </c>
      <c r="I225" s="735">
        <v>1.71800276578491E-3</v>
      </c>
      <c r="J225" s="735">
        <v>1.4084112737148501E-3</v>
      </c>
      <c r="L225" s="84"/>
      <c r="M225" s="84"/>
      <c r="N225" s="84"/>
      <c r="O225" s="84"/>
      <c r="P225" s="84"/>
      <c r="Q225" s="84"/>
      <c r="R225" s="84"/>
      <c r="S225" s="84"/>
    </row>
    <row r="226" spans="1:19">
      <c r="A226" s="629" t="s">
        <v>1077</v>
      </c>
      <c r="G226" s="629">
        <v>1.2275561849103301E-2</v>
      </c>
      <c r="H226" s="734">
        <v>1.53229208278662E-3</v>
      </c>
      <c r="I226" s="735">
        <v>1.6183578692550301E-3</v>
      </c>
      <c r="J226" s="735">
        <v>1.5312857034030999E-3</v>
      </c>
      <c r="L226" s="84"/>
      <c r="M226" s="84"/>
      <c r="N226" s="84"/>
      <c r="O226" s="84"/>
      <c r="P226" s="84"/>
      <c r="Q226" s="84"/>
      <c r="R226" s="84"/>
      <c r="S226" s="84"/>
    </row>
    <row r="227" spans="1:19">
      <c r="A227" s="629" t="s">
        <v>1076</v>
      </c>
      <c r="G227" s="629">
        <v>1.14201166091372E-2</v>
      </c>
      <c r="H227" s="734">
        <v>1.6730184177882899E-3</v>
      </c>
      <c r="I227" s="735">
        <v>1.7084739738084699E-3</v>
      </c>
      <c r="J227" s="735">
        <v>1.6748536802698301E-3</v>
      </c>
      <c r="L227" s="84"/>
      <c r="M227" s="84"/>
      <c r="N227" s="84"/>
      <c r="O227" s="84"/>
      <c r="P227" s="84"/>
      <c r="Q227" s="84"/>
      <c r="R227" s="84"/>
      <c r="S227" s="84"/>
    </row>
    <row r="228" spans="1:19">
      <c r="A228" s="629" t="s">
        <v>1075</v>
      </c>
      <c r="G228" s="629">
        <v>1.1574377353115801E-2</v>
      </c>
      <c r="H228" s="734">
        <v>1.5848110618208601E-3</v>
      </c>
      <c r="I228" s="735">
        <v>1.5433419760877401E-3</v>
      </c>
      <c r="J228" s="735">
        <v>1.5812857174763799E-3</v>
      </c>
      <c r="L228" s="84"/>
      <c r="M228" s="84"/>
      <c r="N228" s="84"/>
      <c r="O228" s="84"/>
      <c r="P228" s="84"/>
      <c r="Q228" s="84"/>
      <c r="R228" s="84"/>
      <c r="S228" s="84"/>
    </row>
    <row r="229" spans="1:19">
      <c r="A229" s="629" t="s">
        <v>1074</v>
      </c>
      <c r="G229" s="629">
        <v>1.0489923595849601E-2</v>
      </c>
      <c r="H229" s="734">
        <v>1.4304632479367201E-3</v>
      </c>
      <c r="I229" s="735">
        <v>1.50159184733764E-3</v>
      </c>
      <c r="J229" s="735">
        <v>1.42462849809181E-3</v>
      </c>
      <c r="L229" s="84"/>
      <c r="M229" s="84"/>
      <c r="N229" s="84"/>
      <c r="O229" s="84"/>
      <c r="P229" s="84"/>
      <c r="Q229" s="84"/>
      <c r="R229" s="84"/>
      <c r="S229" s="84"/>
    </row>
    <row r="230" spans="1:19">
      <c r="A230" s="629" t="s">
        <v>1073</v>
      </c>
      <c r="G230" s="629">
        <v>9.4857146136591106E-3</v>
      </c>
      <c r="H230" s="734">
        <v>1.3004121053493301E-3</v>
      </c>
      <c r="I230" s="735">
        <v>1.4043046714006999E-3</v>
      </c>
      <c r="J230" s="735">
        <v>1.2909073842525499E-3</v>
      </c>
      <c r="L230" s="84"/>
      <c r="M230" s="84"/>
      <c r="N230" s="84"/>
      <c r="O230" s="84"/>
      <c r="P230" s="84"/>
      <c r="Q230" s="84"/>
      <c r="R230" s="84"/>
      <c r="S230" s="84"/>
    </row>
    <row r="231" spans="1:19">
      <c r="A231" s="629" t="s">
        <v>1072</v>
      </c>
      <c r="G231" s="629">
        <v>8.5849884399594907E-3</v>
      </c>
      <c r="H231" s="734">
        <v>1.1886886858736899E-3</v>
      </c>
      <c r="I231" s="735">
        <v>1.2869718804699301E-3</v>
      </c>
      <c r="J231" s="735">
        <v>1.1758449358619E-3</v>
      </c>
      <c r="L231" s="84"/>
      <c r="M231" s="84"/>
      <c r="N231" s="84"/>
      <c r="O231" s="84"/>
      <c r="P231" s="84"/>
      <c r="Q231" s="84"/>
      <c r="R231" s="84"/>
      <c r="S231" s="84"/>
    </row>
    <row r="232" spans="1:19">
      <c r="A232" s="629" t="s">
        <v>1071</v>
      </c>
      <c r="G232" s="629">
        <v>8.0380657416761307E-3</v>
      </c>
      <c r="H232" s="734">
        <v>1.1026663109706999E-3</v>
      </c>
      <c r="I232" s="735">
        <v>1.2079859973419E-3</v>
      </c>
      <c r="J232" s="735">
        <v>1.08737187087197E-3</v>
      </c>
      <c r="L232" s="84"/>
      <c r="M232" s="84"/>
      <c r="N232" s="84"/>
      <c r="O232" s="84"/>
      <c r="P232" s="84"/>
      <c r="Q232" s="84"/>
      <c r="R232" s="84"/>
      <c r="S232" s="84"/>
    </row>
    <row r="233" spans="1:19">
      <c r="A233" s="629" t="s">
        <v>1070</v>
      </c>
      <c r="G233" s="629">
        <v>7.4991447683733104E-3</v>
      </c>
      <c r="H233" s="734">
        <v>1.1581179138830599E-3</v>
      </c>
      <c r="I233" s="735">
        <v>1.1913348962962001E-3</v>
      </c>
      <c r="J233" s="735">
        <v>1.1431733553346399E-3</v>
      </c>
      <c r="L233" s="84"/>
      <c r="M233" s="84"/>
      <c r="N233" s="84"/>
      <c r="O233" s="84"/>
      <c r="P233" s="84"/>
      <c r="Q233" s="84"/>
      <c r="R233" s="84"/>
      <c r="S233" s="84"/>
    </row>
    <row r="234" spans="1:19">
      <c r="A234" s="629" t="s">
        <v>1069</v>
      </c>
      <c r="G234" s="629">
        <v>1.14938837471079E-2</v>
      </c>
      <c r="H234" s="734">
        <v>1.0833413551374601E-3</v>
      </c>
      <c r="I234" s="735">
        <v>1.31362958654596E-3</v>
      </c>
      <c r="J234" s="735">
        <v>1.0667367482454901E-3</v>
      </c>
      <c r="L234" s="84"/>
      <c r="M234" s="84"/>
      <c r="N234" s="84"/>
      <c r="O234" s="84"/>
      <c r="P234" s="84"/>
      <c r="Q234" s="84"/>
      <c r="R234" s="84"/>
      <c r="S234" s="84"/>
    </row>
    <row r="235" spans="1:19">
      <c r="A235" s="629" t="s">
        <v>1068</v>
      </c>
      <c r="G235" s="629">
        <v>1.03974305684356E-2</v>
      </c>
      <c r="H235" s="734">
        <v>1.5293041801676501E-3</v>
      </c>
      <c r="I235" s="735">
        <v>1.6533055131798099E-3</v>
      </c>
      <c r="J235" s="735">
        <v>1.51673101659055E-3</v>
      </c>
      <c r="L235" s="84"/>
      <c r="M235" s="84"/>
      <c r="N235" s="84"/>
      <c r="O235" s="84"/>
      <c r="P235" s="84"/>
      <c r="Q235" s="84"/>
      <c r="R235" s="84"/>
      <c r="S235" s="84"/>
    </row>
    <row r="236" spans="1:19">
      <c r="A236" s="629" t="s">
        <v>1067</v>
      </c>
      <c r="G236" s="629">
        <v>1.9990369561731901E-2</v>
      </c>
      <c r="H236" s="734">
        <v>1.7114856508956E-3</v>
      </c>
      <c r="I236" s="735">
        <v>1.67280285748739E-3</v>
      </c>
      <c r="J236" s="735">
        <v>1.6969771427308199E-3</v>
      </c>
      <c r="L236" s="84"/>
      <c r="M236" s="84"/>
      <c r="N236" s="84"/>
      <c r="O236" s="84"/>
      <c r="P236" s="84"/>
      <c r="Q236" s="84"/>
      <c r="R236" s="84"/>
      <c r="S236" s="84"/>
    </row>
    <row r="237" spans="1:19">
      <c r="A237" s="629" t="s">
        <v>1066</v>
      </c>
      <c r="G237" s="629">
        <v>1.8202736734447899E-2</v>
      </c>
      <c r="H237" s="734">
        <v>2.4246436451271099E-3</v>
      </c>
      <c r="I237" s="735">
        <v>2.6220244956591801E-3</v>
      </c>
      <c r="J237" s="735">
        <v>2.4277967228194699E-3</v>
      </c>
      <c r="L237" s="84"/>
      <c r="M237" s="84"/>
      <c r="N237" s="84"/>
      <c r="O237" s="84"/>
      <c r="P237" s="84"/>
      <c r="Q237" s="84"/>
      <c r="R237" s="84"/>
      <c r="S237" s="84"/>
    </row>
    <row r="238" spans="1:19">
      <c r="A238" s="629" t="s">
        <v>1065</v>
      </c>
      <c r="G238" s="629">
        <v>1.6700288367607799E-2</v>
      </c>
      <c r="H238" s="734">
        <v>2.1240286523074498E-3</v>
      </c>
      <c r="I238" s="735">
        <v>2.3516243379675E-3</v>
      </c>
      <c r="J238" s="735">
        <v>2.1267755958427402E-3</v>
      </c>
      <c r="L238" s="84"/>
      <c r="M238" s="84"/>
      <c r="N238" s="84"/>
      <c r="O238" s="84"/>
      <c r="P238" s="84"/>
      <c r="Q238" s="84"/>
      <c r="R238" s="84"/>
      <c r="S238" s="84"/>
    </row>
    <row r="239" spans="1:19">
      <c r="A239" s="629" t="s">
        <v>1064</v>
      </c>
      <c r="G239" s="629">
        <v>1.53126094944071E-2</v>
      </c>
      <c r="H239" s="734">
        <v>1.87437887016453E-3</v>
      </c>
      <c r="I239" s="735">
        <v>2.4938426213138801E-3</v>
      </c>
      <c r="J239" s="735">
        <v>1.87348824845777E-3</v>
      </c>
      <c r="L239" s="84"/>
      <c r="M239" s="84"/>
      <c r="N239" s="84"/>
      <c r="O239" s="84"/>
      <c r="P239" s="84"/>
      <c r="Q239" s="84"/>
      <c r="R239" s="84"/>
      <c r="S239" s="84"/>
    </row>
    <row r="240" spans="1:19">
      <c r="A240" s="629" t="s">
        <v>1063</v>
      </c>
      <c r="G240" s="629">
        <v>1.3835056698626299E-2</v>
      </c>
      <c r="H240" s="734">
        <v>1.74358210208978E-3</v>
      </c>
      <c r="I240" s="735">
        <v>2.2412007581227998E-3</v>
      </c>
      <c r="J240" s="735">
        <v>1.73923808540871E-3</v>
      </c>
      <c r="L240" s="84"/>
      <c r="M240" s="84"/>
      <c r="N240" s="84"/>
      <c r="O240" s="84"/>
      <c r="P240" s="84"/>
      <c r="Q240" s="84"/>
      <c r="R240" s="84"/>
      <c r="S240" s="84"/>
    </row>
    <row r="241" spans="1:19">
      <c r="A241" s="629" t="s">
        <v>1062</v>
      </c>
      <c r="G241" s="629">
        <v>1.26115696143054E-2</v>
      </c>
      <c r="H241" s="734">
        <v>1.9727342640625599E-3</v>
      </c>
      <c r="I241" s="735">
        <v>2.0080656379456701E-3</v>
      </c>
      <c r="J241" s="735">
        <v>1.9758428739907801E-3</v>
      </c>
      <c r="L241" s="84"/>
      <c r="M241" s="84"/>
      <c r="N241" s="84"/>
      <c r="O241" s="84"/>
      <c r="P241" s="84"/>
      <c r="Q241" s="84"/>
      <c r="R241" s="84"/>
      <c r="S241" s="84"/>
    </row>
    <row r="242" spans="1:19">
      <c r="A242" s="629" t="s">
        <v>1061</v>
      </c>
      <c r="G242" s="629">
        <v>1.1651070861448801E-2</v>
      </c>
      <c r="H242" s="734">
        <v>1.9078870792619601E-3</v>
      </c>
      <c r="I242" s="735">
        <v>2.3090917590792201E-3</v>
      </c>
      <c r="J242" s="735">
        <v>1.9123660244932501E-3</v>
      </c>
      <c r="L242" s="84"/>
      <c r="M242" s="84"/>
      <c r="N242" s="84"/>
      <c r="O242" s="84"/>
      <c r="P242" s="84"/>
      <c r="Q242" s="84"/>
      <c r="R242" s="84"/>
      <c r="S242" s="84"/>
    </row>
    <row r="243" spans="1:19">
      <c r="A243" s="629" t="s">
        <v>1060</v>
      </c>
      <c r="G243" s="629">
        <v>1.0993347164361299E-2</v>
      </c>
      <c r="H243" s="734">
        <v>1.7639568319788299E-3</v>
      </c>
      <c r="I243" s="735">
        <v>2.43166616642003E-3</v>
      </c>
      <c r="J243" s="735">
        <v>1.76787433919125E-3</v>
      </c>
      <c r="L243" s="84"/>
      <c r="M243" s="84"/>
      <c r="N243" s="84"/>
      <c r="O243" s="84"/>
      <c r="P243" s="84"/>
      <c r="Q243" s="84"/>
      <c r="R243" s="84"/>
      <c r="S243" s="84"/>
    </row>
    <row r="244" spans="1:19">
      <c r="A244" s="629" t="s">
        <v>1059</v>
      </c>
      <c r="G244" s="629">
        <v>1.13541732523344E-2</v>
      </c>
      <c r="H244" s="734">
        <v>1.7045982209494099E-3</v>
      </c>
      <c r="I244" s="735">
        <v>2.35503844529752E-3</v>
      </c>
      <c r="J244" s="735">
        <v>1.7078909502366E-3</v>
      </c>
      <c r="L244" s="84"/>
      <c r="M244" s="84"/>
      <c r="N244" s="84"/>
      <c r="O244" s="84"/>
      <c r="P244" s="84"/>
      <c r="Q244" s="84"/>
      <c r="R244" s="84"/>
      <c r="S244" s="84"/>
    </row>
    <row r="245" spans="1:19">
      <c r="A245" s="629" t="s">
        <v>1058</v>
      </c>
      <c r="G245" s="629">
        <v>1.0679720749198301E-2</v>
      </c>
      <c r="H245" s="734">
        <v>1.52164661199131E-3</v>
      </c>
      <c r="I245" s="735">
        <v>2.1397773593090602E-3</v>
      </c>
      <c r="J245" s="735">
        <v>1.5210495061429899E-3</v>
      </c>
      <c r="L245" s="84"/>
      <c r="M245" s="84"/>
      <c r="N245" s="84"/>
      <c r="O245" s="84"/>
      <c r="P245" s="84"/>
      <c r="Q245" s="84"/>
      <c r="R245" s="84"/>
      <c r="S245" s="84"/>
    </row>
    <row r="246" spans="1:19">
      <c r="A246" s="629" t="s">
        <v>1057</v>
      </c>
      <c r="G246" s="629">
        <v>1.704084707316E-2</v>
      </c>
      <c r="H246" s="734">
        <v>1.92049124132681E-3</v>
      </c>
      <c r="I246" s="735">
        <v>3.3267269023612902E-3</v>
      </c>
      <c r="J246" s="735">
        <v>1.9245369281630999E-3</v>
      </c>
      <c r="L246" s="84"/>
      <c r="M246" s="84"/>
      <c r="N246" s="84"/>
      <c r="O246" s="84"/>
      <c r="P246" s="84"/>
      <c r="Q246" s="84"/>
      <c r="R246" s="84"/>
      <c r="S246" s="84"/>
    </row>
    <row r="247" spans="1:19">
      <c r="A247" s="629" t="s">
        <v>1056</v>
      </c>
      <c r="G247" s="629">
        <v>1.73390141085395E-2</v>
      </c>
      <c r="H247" s="734">
        <v>2.3631816371324299E-3</v>
      </c>
      <c r="I247" s="735">
        <v>3.5002836668453401E-3</v>
      </c>
      <c r="J247" s="735">
        <v>2.37145075231721E-3</v>
      </c>
      <c r="L247" s="84"/>
      <c r="M247" s="84"/>
      <c r="N247" s="84"/>
      <c r="O247" s="84"/>
      <c r="P247" s="84"/>
      <c r="Q247" s="84"/>
      <c r="R247" s="84"/>
      <c r="S247" s="84"/>
    </row>
    <row r="248" spans="1:19">
      <c r="A248" s="629" t="s">
        <v>1055</v>
      </c>
      <c r="G248" s="629">
        <v>1.56415335267986E-2</v>
      </c>
      <c r="H248" s="734">
        <v>2.2600877433773098E-3</v>
      </c>
      <c r="I248" s="735">
        <v>3.4371688926735401E-3</v>
      </c>
      <c r="J248" s="735">
        <v>2.27113993728028E-3</v>
      </c>
      <c r="L248" s="84"/>
      <c r="M248" s="84"/>
      <c r="N248" s="84"/>
      <c r="O248" s="84"/>
      <c r="P248" s="84"/>
      <c r="Q248" s="84"/>
      <c r="R248" s="84"/>
      <c r="S248" s="84"/>
    </row>
    <row r="249" spans="1:19">
      <c r="A249" s="629" t="s">
        <v>1054</v>
      </c>
      <c r="G249" s="629">
        <v>1.4330701928218999E-2</v>
      </c>
      <c r="H249" s="734">
        <v>2.0980815231118402E-3</v>
      </c>
      <c r="I249" s="735">
        <v>3.1248490510138401E-3</v>
      </c>
      <c r="J249" s="735">
        <v>2.1098410119688698E-3</v>
      </c>
      <c r="L249" s="84"/>
      <c r="M249" s="84"/>
      <c r="N249" s="84"/>
      <c r="O249" s="84"/>
      <c r="P249" s="84"/>
      <c r="Q249" s="84"/>
      <c r="R249" s="84"/>
      <c r="S249" s="84"/>
    </row>
    <row r="250" spans="1:19">
      <c r="A250" s="629" t="s">
        <v>1053</v>
      </c>
      <c r="G250" s="629">
        <v>1.51001456164403E-2</v>
      </c>
      <c r="H250" s="734">
        <v>1.8974199613161101E-3</v>
      </c>
      <c r="I250" s="735">
        <v>2.8351993697686099E-3</v>
      </c>
      <c r="J250" s="735">
        <v>1.90749701846E-3</v>
      </c>
      <c r="L250" s="84"/>
      <c r="M250" s="84"/>
      <c r="N250" s="84"/>
      <c r="O250" s="84"/>
      <c r="P250" s="84"/>
      <c r="Q250" s="84"/>
      <c r="R250" s="84"/>
      <c r="S250" s="84"/>
    </row>
    <row r="251" spans="1:19">
      <c r="A251" s="629" t="s">
        <v>1052</v>
      </c>
      <c r="G251" s="629">
        <v>1.5088726386713099E-2</v>
      </c>
      <c r="H251" s="734">
        <v>1.93479558191147E-3</v>
      </c>
      <c r="I251" s="735">
        <v>2.6507206508093102E-3</v>
      </c>
      <c r="J251" s="735">
        <v>1.94222325577082E-3</v>
      </c>
      <c r="L251" s="84"/>
      <c r="M251" s="84"/>
      <c r="N251" s="84"/>
      <c r="O251" s="84"/>
      <c r="P251" s="84"/>
      <c r="Q251" s="84"/>
      <c r="R251" s="84"/>
      <c r="S251" s="84"/>
    </row>
    <row r="252" spans="1:19">
      <c r="A252" s="629" t="s">
        <v>1051</v>
      </c>
      <c r="G252" s="629">
        <v>1.42266794756786E-2</v>
      </c>
      <c r="H252" s="734">
        <v>1.8394541094941799E-3</v>
      </c>
      <c r="I252" s="735">
        <v>2.5897008196376701E-3</v>
      </c>
      <c r="J252" s="735">
        <v>1.8408123082716099E-3</v>
      </c>
      <c r="L252" s="84"/>
      <c r="M252" s="84"/>
      <c r="N252" s="84"/>
      <c r="O252" s="84"/>
      <c r="P252" s="84"/>
      <c r="Q252" s="84"/>
      <c r="R252" s="84"/>
      <c r="S252" s="84"/>
    </row>
    <row r="253" spans="1:19">
      <c r="A253" s="629" t="s">
        <v>1050</v>
      </c>
      <c r="G253" s="629">
        <v>1.3068939195888101E-2</v>
      </c>
      <c r="H253" s="734">
        <v>2.3586401271441801E-3</v>
      </c>
      <c r="I253" s="735">
        <v>2.9755738932459E-3</v>
      </c>
      <c r="J253" s="735">
        <v>2.3624311363244798E-3</v>
      </c>
      <c r="L253" s="84"/>
      <c r="M253" s="84"/>
      <c r="N253" s="84"/>
      <c r="O253" s="84"/>
      <c r="P253" s="84"/>
      <c r="Q253" s="84"/>
      <c r="R253" s="84"/>
      <c r="S253" s="84"/>
    </row>
    <row r="254" spans="1:19">
      <c r="A254" s="629" t="s">
        <v>1049</v>
      </c>
      <c r="G254" s="629">
        <v>1.34494618464628E-2</v>
      </c>
      <c r="H254" s="734">
        <v>3.5990295138702299E-3</v>
      </c>
      <c r="I254" s="735">
        <v>3.9947718419649303E-3</v>
      </c>
      <c r="J254" s="735">
        <v>3.60915435646916E-3</v>
      </c>
      <c r="L254" s="84"/>
      <c r="M254" s="84"/>
      <c r="N254" s="84"/>
      <c r="O254" s="84"/>
      <c r="P254" s="84"/>
      <c r="Q254" s="84"/>
      <c r="R254" s="84"/>
      <c r="S254" s="84"/>
    </row>
    <row r="255" spans="1:19">
      <c r="A255" s="629" t="s">
        <v>1048</v>
      </c>
      <c r="G255" s="629">
        <v>1.22538960754505E-2</v>
      </c>
      <c r="H255" s="734">
        <v>3.1222660441549699E-3</v>
      </c>
      <c r="I255" s="735">
        <v>3.5562112747818098E-3</v>
      </c>
      <c r="J255" s="735">
        <v>3.12887980937429E-3</v>
      </c>
      <c r="L255" s="84"/>
      <c r="M255" s="84"/>
      <c r="N255" s="84"/>
      <c r="O255" s="84"/>
      <c r="P255" s="84"/>
      <c r="Q255" s="84"/>
      <c r="R255" s="84"/>
      <c r="S255" s="84"/>
    </row>
    <row r="256" spans="1:19">
      <c r="A256" s="629" t="s">
        <v>1047</v>
      </c>
      <c r="G256" s="629">
        <v>1.18458162662735E-2</v>
      </c>
      <c r="H256" s="734">
        <v>2.7095913304418001E-3</v>
      </c>
      <c r="I256" s="735">
        <v>3.15424722523386E-3</v>
      </c>
      <c r="J256" s="735">
        <v>2.71364556309743E-3</v>
      </c>
      <c r="L256" s="84"/>
      <c r="M256" s="84"/>
      <c r="N256" s="84"/>
      <c r="O256" s="84"/>
      <c r="P256" s="84"/>
      <c r="Q256" s="84"/>
      <c r="R256" s="84"/>
      <c r="S256" s="84"/>
    </row>
    <row r="257" spans="1:19">
      <c r="A257" s="629" t="s">
        <v>1046</v>
      </c>
      <c r="G257" s="629">
        <v>1.10645885856137E-2</v>
      </c>
      <c r="H257" s="734">
        <v>2.5090449768301001E-3</v>
      </c>
      <c r="I257" s="735">
        <v>3.23718642718434E-3</v>
      </c>
      <c r="J257" s="735">
        <v>2.5198337100669401E-3</v>
      </c>
      <c r="L257" s="84"/>
      <c r="M257" s="84"/>
      <c r="N257" s="84"/>
      <c r="O257" s="84"/>
      <c r="P257" s="84"/>
      <c r="Q257" s="84"/>
      <c r="R257" s="84"/>
      <c r="S257" s="84"/>
    </row>
    <row r="258" spans="1:19">
      <c r="A258" s="629" t="s">
        <v>1045</v>
      </c>
      <c r="G258" s="629">
        <v>1.02127566363288E-2</v>
      </c>
      <c r="H258" s="734">
        <v>2.2133260835017102E-3</v>
      </c>
      <c r="I258" s="735">
        <v>2.8815718465427399E-3</v>
      </c>
      <c r="J258" s="735">
        <v>2.2234824912528502E-3</v>
      </c>
      <c r="L258" s="84"/>
      <c r="M258" s="84"/>
      <c r="N258" s="84"/>
      <c r="O258" s="84"/>
      <c r="P258" s="84"/>
      <c r="Q258" s="84"/>
      <c r="R258" s="84"/>
      <c r="S258" s="84"/>
    </row>
    <row r="259" spans="1:19">
      <c r="A259" s="629" t="s">
        <v>1044</v>
      </c>
      <c r="G259" s="629">
        <v>1.02900341345637E-2</v>
      </c>
      <c r="H259" s="734">
        <v>1.9706814166510801E-3</v>
      </c>
      <c r="I259" s="735">
        <v>2.5916426310886201E-3</v>
      </c>
      <c r="J259" s="735">
        <v>1.9767170697522398E-3</v>
      </c>
      <c r="L259" s="84"/>
      <c r="M259" s="84"/>
      <c r="N259" s="84"/>
      <c r="O259" s="84"/>
      <c r="P259" s="84"/>
      <c r="Q259" s="84"/>
      <c r="R259" s="84"/>
      <c r="S259" s="84"/>
    </row>
    <row r="260" spans="1:19">
      <c r="A260" s="629" t="s">
        <v>1043</v>
      </c>
      <c r="G260" s="629">
        <v>9.71096521712159E-3</v>
      </c>
      <c r="H260" s="734">
        <v>1.8050360822492199E-3</v>
      </c>
      <c r="I260" s="735">
        <v>2.5081078890923899E-3</v>
      </c>
      <c r="J260" s="735">
        <v>1.80633302386777E-3</v>
      </c>
      <c r="L260" s="84"/>
      <c r="M260" s="84"/>
      <c r="N260" s="84"/>
      <c r="O260" s="84"/>
      <c r="P260" s="84"/>
      <c r="Q260" s="84"/>
      <c r="R260" s="84"/>
      <c r="S260" s="84"/>
    </row>
    <row r="261" spans="1:19">
      <c r="A261" s="629" t="s">
        <v>1042</v>
      </c>
      <c r="G261" s="629">
        <v>9.7260919799039194E-3</v>
      </c>
      <c r="H261" s="734">
        <v>1.84875117946686E-3</v>
      </c>
      <c r="I261" s="735">
        <v>2.3958518414274699E-3</v>
      </c>
      <c r="J261" s="735">
        <v>1.84788191625177E-3</v>
      </c>
      <c r="L261" s="84"/>
      <c r="M261" s="84"/>
      <c r="N261" s="84"/>
      <c r="O261" s="84"/>
      <c r="P261" s="84"/>
      <c r="Q261" s="84"/>
      <c r="R261" s="84"/>
      <c r="S261" s="84"/>
    </row>
    <row r="262" spans="1:19">
      <c r="A262" s="629" t="s">
        <v>1041</v>
      </c>
      <c r="G262" s="629">
        <v>8.9133626078932698E-3</v>
      </c>
      <c r="H262" s="734">
        <v>1.64200937291223E-3</v>
      </c>
      <c r="I262" s="735">
        <v>2.2649717161328802E-3</v>
      </c>
      <c r="J262" s="735">
        <v>1.6379219410712E-3</v>
      </c>
      <c r="L262" s="84"/>
      <c r="M262" s="84"/>
      <c r="N262" s="84"/>
      <c r="O262" s="84"/>
      <c r="P262" s="84"/>
      <c r="Q262" s="84"/>
      <c r="R262" s="84"/>
      <c r="S262" s="84"/>
    </row>
    <row r="263" spans="1:19">
      <c r="A263" s="629" t="s">
        <v>1040</v>
      </c>
      <c r="G263" s="629">
        <v>8.0656493452904293E-3</v>
      </c>
      <c r="H263" s="734">
        <v>1.7739934569404E-3</v>
      </c>
      <c r="I263" s="735">
        <v>2.1760847552507899E-3</v>
      </c>
      <c r="J263" s="735">
        <v>1.7749965761201E-3</v>
      </c>
      <c r="L263" s="84"/>
      <c r="M263" s="84"/>
      <c r="N263" s="84"/>
      <c r="O263" s="84"/>
      <c r="P263" s="84"/>
      <c r="Q263" s="84"/>
      <c r="R263" s="84"/>
      <c r="S263" s="84"/>
    </row>
    <row r="264" spans="1:19">
      <c r="A264" s="629" t="s">
        <v>1039</v>
      </c>
      <c r="G264" s="629">
        <v>7.4608009161766103E-3</v>
      </c>
      <c r="H264" s="734">
        <v>1.7002103537382899E-3</v>
      </c>
      <c r="I264" s="735">
        <v>1.97745461262679E-3</v>
      </c>
      <c r="J264" s="735">
        <v>1.7013554387418799E-3</v>
      </c>
      <c r="L264" s="84"/>
      <c r="M264" s="84"/>
      <c r="N264" s="84"/>
      <c r="O264" s="84"/>
      <c r="P264" s="84"/>
      <c r="Q264" s="84"/>
      <c r="R264" s="84"/>
      <c r="S264" s="84"/>
    </row>
    <row r="265" spans="1:19">
      <c r="A265" s="629" t="s">
        <v>1038</v>
      </c>
      <c r="G265" s="629">
        <v>9.1271095810874503E-3</v>
      </c>
      <c r="H265" s="734">
        <v>1.6119457542893901E-3</v>
      </c>
      <c r="I265" s="735">
        <v>1.7833779352682199E-3</v>
      </c>
      <c r="J265" s="735">
        <v>1.60974976148312E-3</v>
      </c>
      <c r="L265" s="84"/>
      <c r="M265" s="84"/>
      <c r="N265" s="84"/>
      <c r="O265" s="84"/>
      <c r="P265" s="84"/>
      <c r="Q265" s="84"/>
      <c r="R265" s="84"/>
      <c r="S265" s="84"/>
    </row>
    <row r="266" spans="1:19">
      <c r="A266" s="629" t="s">
        <v>1037</v>
      </c>
      <c r="G266" s="629">
        <v>8.9254087688726402E-3</v>
      </c>
      <c r="H266" s="734">
        <v>1.4843308206763299E-3</v>
      </c>
      <c r="I266" s="735">
        <v>1.6479781353899801E-3</v>
      </c>
      <c r="J266" s="735">
        <v>1.47850429498271E-3</v>
      </c>
      <c r="L266" s="84"/>
      <c r="M266" s="84"/>
      <c r="N266" s="84"/>
      <c r="O266" s="84"/>
      <c r="P266" s="84"/>
      <c r="Q266" s="84"/>
      <c r="R266" s="84"/>
      <c r="S266" s="84"/>
    </row>
    <row r="267" spans="1:19">
      <c r="A267" s="629" t="s">
        <v>1036</v>
      </c>
      <c r="G267" s="629">
        <v>8.3602149120201603E-3</v>
      </c>
      <c r="H267" s="734">
        <v>1.3776626936955699E-3</v>
      </c>
      <c r="I267" s="735">
        <v>1.5257393089984899E-3</v>
      </c>
      <c r="J267" s="735">
        <v>1.36935327332553E-3</v>
      </c>
      <c r="L267" s="84"/>
      <c r="M267" s="84"/>
      <c r="N267" s="84"/>
      <c r="O267" s="84"/>
      <c r="P267" s="84"/>
      <c r="Q267" s="84"/>
      <c r="R267" s="84"/>
      <c r="S267" s="84"/>
    </row>
    <row r="268" spans="1:19">
      <c r="A268" s="629" t="s">
        <v>1035</v>
      </c>
      <c r="G268" s="629">
        <v>8.1668735430969995E-3</v>
      </c>
      <c r="H268" s="734">
        <v>1.3218878543411099E-3</v>
      </c>
      <c r="I268" s="735">
        <v>2.2006460995212798E-3</v>
      </c>
      <c r="J268" s="735">
        <v>1.31233591178966E-3</v>
      </c>
      <c r="L268" s="84"/>
      <c r="M268" s="84"/>
      <c r="N268" s="84"/>
      <c r="O268" s="84"/>
      <c r="P268" s="84"/>
      <c r="Q268" s="84"/>
      <c r="R268" s="84"/>
      <c r="S268" s="84"/>
    </row>
    <row r="269" spans="1:19">
      <c r="A269" s="629" t="s">
        <v>1034</v>
      </c>
      <c r="G269" s="629">
        <v>7.4540469054475899E-3</v>
      </c>
      <c r="H269" s="734">
        <v>1.2428281483261199E-3</v>
      </c>
      <c r="I269" s="735">
        <v>1.99017371380702E-3</v>
      </c>
      <c r="J269" s="735">
        <v>1.2315109571687799E-3</v>
      </c>
      <c r="L269" s="84"/>
      <c r="M269" s="84"/>
      <c r="N269" s="84"/>
      <c r="O269" s="84"/>
      <c r="P269" s="84"/>
      <c r="Q269" s="84"/>
      <c r="R269" s="84"/>
      <c r="S269" s="84"/>
    </row>
    <row r="270" spans="1:19">
      <c r="A270" s="629" t="s">
        <v>1033</v>
      </c>
      <c r="G270" s="629">
        <v>6.9248457629483397E-3</v>
      </c>
      <c r="H270" s="734">
        <v>1.38881763437583E-3</v>
      </c>
      <c r="I270" s="735">
        <v>1.78867014793621E-3</v>
      </c>
      <c r="J270" s="735">
        <v>1.3773494139160899E-3</v>
      </c>
      <c r="L270" s="84"/>
      <c r="M270" s="84"/>
      <c r="N270" s="84"/>
      <c r="O270" s="84"/>
      <c r="P270" s="84"/>
      <c r="Q270" s="84"/>
      <c r="R270" s="84"/>
      <c r="S270" s="84"/>
    </row>
    <row r="271" spans="1:19">
      <c r="A271" s="629" t="s">
        <v>1032</v>
      </c>
      <c r="G271" s="629">
        <v>6.38299983939791E-3</v>
      </c>
      <c r="H271" s="734">
        <v>1.5232055824526099E-3</v>
      </c>
      <c r="I271" s="735">
        <v>1.8066767529033201E-3</v>
      </c>
      <c r="J271" s="735">
        <v>1.51270997578832E-3</v>
      </c>
      <c r="L271" s="84"/>
      <c r="M271" s="84"/>
      <c r="N271" s="84"/>
      <c r="O271" s="84"/>
      <c r="P271" s="84"/>
      <c r="Q271" s="84"/>
      <c r="R271" s="84"/>
      <c r="S271" s="84"/>
    </row>
    <row r="272" spans="1:19">
      <c r="A272" s="629" t="s">
        <v>1031</v>
      </c>
      <c r="G272" s="629">
        <v>5.8750768224821804E-3</v>
      </c>
      <c r="H272" s="734">
        <v>2.0544235199988401E-3</v>
      </c>
      <c r="I272" s="735">
        <v>1.9710625799091502E-3</v>
      </c>
      <c r="J272" s="735">
        <v>2.05779237608895E-3</v>
      </c>
      <c r="L272" s="84"/>
      <c r="M272" s="84"/>
      <c r="N272" s="84"/>
      <c r="O272" s="84"/>
      <c r="P272" s="84"/>
      <c r="Q272" s="84"/>
      <c r="R272" s="84"/>
      <c r="S272" s="84"/>
    </row>
    <row r="273" spans="1:19">
      <c r="A273" s="629" t="s">
        <v>1030</v>
      </c>
      <c r="G273" s="629">
        <v>5.74670638726975E-3</v>
      </c>
      <c r="H273" s="734">
        <v>1.8633548306073099E-3</v>
      </c>
      <c r="I273" s="735">
        <v>1.7837114317089901E-3</v>
      </c>
      <c r="J273" s="735">
        <v>1.86629562166229E-3</v>
      </c>
      <c r="L273" s="84"/>
      <c r="M273" s="84"/>
      <c r="N273" s="84"/>
      <c r="O273" s="84"/>
      <c r="P273" s="84"/>
      <c r="Q273" s="84"/>
      <c r="R273" s="84"/>
      <c r="S273" s="84"/>
    </row>
    <row r="274" spans="1:19">
      <c r="A274" s="629" t="s">
        <v>1029</v>
      </c>
      <c r="G274" s="629">
        <v>6.2970017530586597E-3</v>
      </c>
      <c r="H274" s="734">
        <v>2.4925771151334702E-3</v>
      </c>
      <c r="I274" s="735">
        <v>1.91216364404669E-3</v>
      </c>
      <c r="J274" s="735">
        <v>2.5050913849266601E-3</v>
      </c>
      <c r="L274" s="84"/>
      <c r="M274" s="84"/>
      <c r="N274" s="84"/>
      <c r="O274" s="84"/>
      <c r="P274" s="84"/>
      <c r="Q274" s="84"/>
      <c r="R274" s="84"/>
      <c r="S274" s="84"/>
    </row>
    <row r="275" spans="1:19">
      <c r="A275" s="629" t="s">
        <v>1028</v>
      </c>
      <c r="G275" s="629">
        <v>5.7561970218141098E-3</v>
      </c>
      <c r="H275" s="734">
        <v>2.1688224914643301E-3</v>
      </c>
      <c r="I275" s="735">
        <v>1.74743407799739E-3</v>
      </c>
      <c r="J275" s="735">
        <v>2.1773259808987502E-3</v>
      </c>
      <c r="L275" s="84"/>
      <c r="M275" s="84"/>
      <c r="N275" s="84"/>
      <c r="O275" s="84"/>
      <c r="P275" s="84"/>
      <c r="Q275" s="84"/>
      <c r="R275" s="84"/>
      <c r="S275" s="84"/>
    </row>
    <row r="276" spans="1:19">
      <c r="A276" s="629" t="s">
        <v>1027</v>
      </c>
      <c r="G276" s="629">
        <v>5.3069756502505602E-3</v>
      </c>
      <c r="H276" s="734">
        <v>2.3599827805981699E-3</v>
      </c>
      <c r="I276" s="735">
        <v>1.83979759451556E-3</v>
      </c>
      <c r="J276" s="735">
        <v>2.3669775523655701E-3</v>
      </c>
      <c r="L276" s="84"/>
      <c r="M276" s="84"/>
      <c r="N276" s="84"/>
      <c r="O276" s="84"/>
      <c r="P276" s="84"/>
      <c r="Q276" s="84"/>
      <c r="R276" s="84"/>
      <c r="S276" s="84"/>
    </row>
    <row r="277" spans="1:19">
      <c r="A277" s="629" t="s">
        <v>1026</v>
      </c>
      <c r="G277" s="629">
        <v>4.9049101284744396E-3</v>
      </c>
      <c r="H277" s="734">
        <v>2.0628673111109802E-3</v>
      </c>
      <c r="I277" s="735">
        <v>1.6576566517308899E-3</v>
      </c>
      <c r="J277" s="735">
        <v>2.06796014193534E-3</v>
      </c>
      <c r="L277" s="84"/>
      <c r="M277" s="84"/>
      <c r="N277" s="84"/>
      <c r="O277" s="84"/>
      <c r="P277" s="84"/>
      <c r="Q277" s="84"/>
      <c r="R277" s="84"/>
      <c r="S277" s="84"/>
    </row>
    <row r="278" spans="1:19">
      <c r="A278" s="629" t="s">
        <v>1025</v>
      </c>
      <c r="G278" s="629">
        <v>4.4678837595680697E-3</v>
      </c>
      <c r="H278" s="734">
        <v>1.9816997175894002E-3</v>
      </c>
      <c r="I278" s="735">
        <v>1.5144386342762499E-3</v>
      </c>
      <c r="J278" s="735">
        <v>1.9828485992220298E-3</v>
      </c>
      <c r="L278" s="84"/>
      <c r="M278" s="84"/>
      <c r="N278" s="84"/>
      <c r="O278" s="84"/>
      <c r="P278" s="84"/>
      <c r="Q278" s="84"/>
      <c r="R278" s="84"/>
      <c r="S278" s="84"/>
    </row>
    <row r="279" spans="1:19">
      <c r="A279" s="629" t="s">
        <v>1024</v>
      </c>
      <c r="G279" s="629">
        <v>4.20752132510938E-3</v>
      </c>
      <c r="H279" s="734">
        <v>2.2648974070126299E-3</v>
      </c>
      <c r="I279" s="735">
        <v>1.5090118921334799E-3</v>
      </c>
      <c r="J279" s="735">
        <v>2.2728668359862799E-3</v>
      </c>
      <c r="L279" s="84"/>
      <c r="M279" s="84"/>
      <c r="N279" s="84"/>
      <c r="O279" s="84"/>
      <c r="P279" s="84"/>
      <c r="Q279" s="84"/>
      <c r="R279" s="84"/>
      <c r="S279" s="84"/>
    </row>
    <row r="280" spans="1:19">
      <c r="A280" s="629" t="s">
        <v>1023</v>
      </c>
      <c r="G280" s="629">
        <v>6.0307948481035899E-3</v>
      </c>
      <c r="H280" s="734">
        <v>3.4218861827254301E-3</v>
      </c>
      <c r="I280" s="735">
        <v>2.3633434552022101E-3</v>
      </c>
      <c r="J280" s="735">
        <v>3.4329143589164599E-3</v>
      </c>
      <c r="L280" s="84"/>
      <c r="M280" s="84"/>
      <c r="N280" s="84"/>
      <c r="O280" s="84"/>
      <c r="P280" s="84"/>
      <c r="Q280" s="84"/>
      <c r="R280" s="84"/>
      <c r="S280" s="84"/>
    </row>
    <row r="281" spans="1:19">
      <c r="A281" s="629" t="s">
        <v>1022</v>
      </c>
      <c r="G281" s="629">
        <v>5.5254798728490498E-3</v>
      </c>
      <c r="H281" s="734">
        <v>2.9937076578254E-3</v>
      </c>
      <c r="I281" s="735">
        <v>2.1412029619293101E-3</v>
      </c>
      <c r="J281" s="735">
        <v>3.0098957407188099E-3</v>
      </c>
      <c r="L281" s="84"/>
      <c r="M281" s="84"/>
      <c r="N281" s="84"/>
      <c r="O281" s="84"/>
      <c r="P281" s="84"/>
      <c r="Q281" s="84"/>
      <c r="R281" s="84"/>
      <c r="S281" s="84"/>
    </row>
    <row r="282" spans="1:19">
      <c r="A282" s="629" t="s">
        <v>1021</v>
      </c>
      <c r="G282" s="629">
        <v>6.3402798589772503E-3</v>
      </c>
      <c r="H282" s="734">
        <v>2.5850306836292798E-3</v>
      </c>
      <c r="I282" s="735">
        <v>2.1346049546889299E-3</v>
      </c>
      <c r="J282" s="735">
        <v>2.5974812184545899E-3</v>
      </c>
      <c r="L282" s="84"/>
      <c r="M282" s="84"/>
      <c r="N282" s="84"/>
      <c r="O282" s="84"/>
      <c r="P282" s="84"/>
      <c r="Q282" s="84"/>
      <c r="R282" s="84"/>
      <c r="S282" s="84"/>
    </row>
    <row r="283" spans="1:19">
      <c r="A283" s="629" t="s">
        <v>1020</v>
      </c>
      <c r="G283" s="629">
        <v>5.7756593213335204E-3</v>
      </c>
      <c r="H283" s="734">
        <v>2.4441324577063502E-3</v>
      </c>
      <c r="I283" s="735">
        <v>1.9173253876944101E-3</v>
      </c>
      <c r="J283" s="735">
        <v>2.4523739748068601E-3</v>
      </c>
      <c r="L283" s="84"/>
      <c r="M283" s="84"/>
      <c r="N283" s="84"/>
      <c r="O283" s="84"/>
      <c r="P283" s="84"/>
      <c r="Q283" s="84"/>
      <c r="R283" s="84"/>
      <c r="S283" s="84"/>
    </row>
    <row r="284" spans="1:19">
      <c r="A284" s="629" t="s">
        <v>1019</v>
      </c>
      <c r="G284" s="629">
        <v>8.1623735735842102E-3</v>
      </c>
      <c r="H284" s="734">
        <v>2.1980430747140399E-3</v>
      </c>
      <c r="I284" s="735">
        <v>1.8283732946820599E-3</v>
      </c>
      <c r="J284" s="735">
        <v>2.2071382328041401E-3</v>
      </c>
      <c r="L284" s="84"/>
      <c r="M284" s="84"/>
      <c r="N284" s="84"/>
      <c r="O284" s="84"/>
      <c r="P284" s="84"/>
      <c r="Q284" s="84"/>
      <c r="R284" s="84"/>
      <c r="S284" s="84"/>
    </row>
    <row r="285" spans="1:19">
      <c r="A285" s="629" t="s">
        <v>1018</v>
      </c>
      <c r="G285" s="629">
        <v>7.5971967834168701E-3</v>
      </c>
      <c r="H285" s="734">
        <v>2.0155752098284701E-3</v>
      </c>
      <c r="I285" s="735">
        <v>1.6474104343379701E-3</v>
      </c>
      <c r="J285" s="735">
        <v>2.0204711220758601E-3</v>
      </c>
      <c r="L285" s="84"/>
      <c r="M285" s="84"/>
      <c r="N285" s="84"/>
      <c r="O285" s="84"/>
      <c r="P285" s="84"/>
      <c r="Q285" s="84"/>
      <c r="R285" s="84"/>
      <c r="S285" s="84"/>
    </row>
    <row r="286" spans="1:19">
      <c r="A286" s="629" t="s">
        <v>1017</v>
      </c>
      <c r="G286" s="629">
        <v>6.8937553645362299E-3</v>
      </c>
      <c r="H286" s="734">
        <v>1.9251000955743699E-3</v>
      </c>
      <c r="I286" s="735">
        <v>1.48986059773026E-3</v>
      </c>
      <c r="J286" s="735">
        <v>1.9249647449824101E-3</v>
      </c>
      <c r="L286" s="84"/>
      <c r="M286" s="84"/>
      <c r="N286" s="84"/>
      <c r="O286" s="84"/>
      <c r="P286" s="84"/>
      <c r="Q286" s="84"/>
      <c r="R286" s="84"/>
      <c r="S286" s="84"/>
    </row>
    <row r="287" spans="1:19">
      <c r="A287" s="629" t="s">
        <v>1016</v>
      </c>
      <c r="G287" s="629">
        <v>6.3942032325924004E-3</v>
      </c>
      <c r="H287" s="734">
        <v>1.70544237184861E-3</v>
      </c>
      <c r="I287" s="735">
        <v>1.38752589949471E-3</v>
      </c>
      <c r="J287" s="735">
        <v>1.70203324655358E-3</v>
      </c>
      <c r="L287" s="84"/>
      <c r="M287" s="84"/>
      <c r="N287" s="84"/>
      <c r="O287" s="84"/>
      <c r="P287" s="84"/>
      <c r="Q287" s="84"/>
      <c r="R287" s="84"/>
      <c r="S287" s="84"/>
    </row>
    <row r="288" spans="1:19">
      <c r="A288" s="629" t="s">
        <v>1015</v>
      </c>
      <c r="G288" s="629">
        <v>5.8982475593182E-3</v>
      </c>
      <c r="H288" s="734">
        <v>1.95964636495262E-3</v>
      </c>
      <c r="I288" s="735">
        <v>1.5580575494311699E-3</v>
      </c>
      <c r="J288" s="735">
        <v>1.95972316345174E-3</v>
      </c>
      <c r="L288" s="84"/>
      <c r="M288" s="84"/>
      <c r="N288" s="84"/>
      <c r="O288" s="84"/>
      <c r="P288" s="84"/>
      <c r="Q288" s="84"/>
      <c r="R288" s="84"/>
      <c r="S288" s="84"/>
    </row>
    <row r="289" spans="1:19">
      <c r="A289" s="629" t="s">
        <v>1014</v>
      </c>
      <c r="G289" s="629">
        <v>5.79765725461157E-3</v>
      </c>
      <c r="H289" s="734">
        <v>1.75402236219739E-3</v>
      </c>
      <c r="I289" s="735">
        <v>1.50752354786785E-3</v>
      </c>
      <c r="J289" s="735">
        <v>1.7529524074178101E-3</v>
      </c>
      <c r="L289" s="84"/>
      <c r="M289" s="84"/>
      <c r="N289" s="84"/>
      <c r="O289" s="84"/>
      <c r="P289" s="84"/>
      <c r="Q289" s="84"/>
      <c r="R289" s="84"/>
      <c r="S289" s="84"/>
    </row>
    <row r="290" spans="1:19">
      <c r="A290" s="629" t="s">
        <v>1013</v>
      </c>
      <c r="G290" s="629">
        <v>5.2688537427699996E-3</v>
      </c>
      <c r="H290" s="734">
        <v>1.6077396086959599E-3</v>
      </c>
      <c r="I290" s="735">
        <v>1.48218157298385E-3</v>
      </c>
      <c r="J290" s="735">
        <v>1.604611968564E-3</v>
      </c>
      <c r="L290" s="84"/>
      <c r="M290" s="84"/>
      <c r="N290" s="84"/>
      <c r="O290" s="84"/>
      <c r="P290" s="84"/>
      <c r="Q290" s="84"/>
      <c r="R290" s="84"/>
      <c r="S290" s="84"/>
    </row>
    <row r="291" spans="1:19">
      <c r="A291" s="629" t="s">
        <v>1012</v>
      </c>
      <c r="G291" s="629">
        <v>5.1753416285554498E-3</v>
      </c>
      <c r="H291" s="734">
        <v>1.53637410153059E-3</v>
      </c>
      <c r="I291" s="735">
        <v>1.3502071029479999E-3</v>
      </c>
      <c r="J291" s="735">
        <v>1.53232270418554E-3</v>
      </c>
      <c r="L291" s="84"/>
      <c r="M291" s="84"/>
      <c r="N291" s="84"/>
      <c r="O291" s="84"/>
      <c r="P291" s="84"/>
      <c r="Q291" s="84"/>
      <c r="R291" s="84"/>
      <c r="S291" s="84"/>
    </row>
    <row r="292" spans="1:19">
      <c r="A292" s="629" t="s">
        <v>1011</v>
      </c>
      <c r="G292" s="629">
        <v>4.7603815208779503E-3</v>
      </c>
      <c r="H292" s="734">
        <v>1.3967418843137799E-3</v>
      </c>
      <c r="I292" s="735">
        <v>1.2447109429804799E-3</v>
      </c>
      <c r="J292" s="735">
        <v>1.38967009144689E-3</v>
      </c>
      <c r="L292" s="84"/>
      <c r="M292" s="84"/>
      <c r="N292" s="84"/>
      <c r="O292" s="84"/>
      <c r="P292" s="84"/>
      <c r="Q292" s="84"/>
      <c r="R292" s="84"/>
      <c r="S292" s="84"/>
    </row>
    <row r="293" spans="1:19">
      <c r="A293" s="629" t="s">
        <v>1010</v>
      </c>
      <c r="G293" s="629">
        <v>4.3377690521730601E-3</v>
      </c>
      <c r="H293" s="734">
        <v>1.50296453668264E-3</v>
      </c>
      <c r="I293" s="735">
        <v>1.27321672818369E-3</v>
      </c>
      <c r="J293" s="735">
        <v>1.49595385354158E-3</v>
      </c>
      <c r="L293" s="84"/>
      <c r="M293" s="84"/>
      <c r="N293" s="84"/>
      <c r="O293" s="84"/>
      <c r="P293" s="84"/>
      <c r="Q293" s="84"/>
      <c r="R293" s="84"/>
      <c r="S293" s="84"/>
    </row>
    <row r="294" spans="1:19">
      <c r="A294" s="629" t="s">
        <v>1009</v>
      </c>
      <c r="G294" s="629">
        <v>4.7138553011569599E-3</v>
      </c>
      <c r="H294" s="734">
        <v>1.3762977358903799E-3</v>
      </c>
      <c r="I294" s="735">
        <v>1.2671431205359799E-3</v>
      </c>
      <c r="J294" s="735">
        <v>1.3672337031847199E-3</v>
      </c>
      <c r="L294" s="84"/>
      <c r="M294" s="84"/>
      <c r="N294" s="84"/>
      <c r="O294" s="84"/>
      <c r="P294" s="84"/>
      <c r="Q294" s="84"/>
      <c r="R294" s="84"/>
      <c r="S294" s="84"/>
    </row>
    <row r="295" spans="1:19">
      <c r="A295" s="629" t="s">
        <v>1008</v>
      </c>
      <c r="G295" s="629">
        <v>4.35174307630142E-3</v>
      </c>
      <c r="H295" s="734">
        <v>1.2750375740936599E-3</v>
      </c>
      <c r="I295" s="735">
        <v>1.1616342427185999E-3</v>
      </c>
      <c r="J295" s="735">
        <v>1.26306937135306E-3</v>
      </c>
      <c r="L295" s="84"/>
      <c r="M295" s="84"/>
      <c r="N295" s="84"/>
      <c r="O295" s="84"/>
      <c r="P295" s="84"/>
      <c r="Q295" s="84"/>
      <c r="R295" s="84"/>
      <c r="S295" s="84"/>
    </row>
    <row r="296" spans="1:19">
      <c r="A296" s="629" t="s">
        <v>1007</v>
      </c>
      <c r="G296" s="629">
        <v>4.1117326329656702E-3</v>
      </c>
      <c r="H296" s="734">
        <v>1.1661853118620101E-3</v>
      </c>
      <c r="I296" s="735">
        <v>1.06807706448329E-3</v>
      </c>
      <c r="J296" s="735">
        <v>1.1515058040385601E-3</v>
      </c>
      <c r="L296" s="84"/>
      <c r="M296" s="84"/>
      <c r="N296" s="84"/>
      <c r="O296" s="84"/>
      <c r="P296" s="84"/>
      <c r="Q296" s="84"/>
      <c r="R296" s="84"/>
      <c r="S296" s="84"/>
    </row>
    <row r="297" spans="1:19">
      <c r="A297" s="629" t="s">
        <v>1006</v>
      </c>
      <c r="G297" s="629">
        <v>3.758355729723E-3</v>
      </c>
      <c r="H297" s="734">
        <v>1.32258699608622E-3</v>
      </c>
      <c r="I297" s="735">
        <v>1.00731342755253E-3</v>
      </c>
      <c r="J297" s="735">
        <v>1.30686911906897E-3</v>
      </c>
      <c r="L297" s="84"/>
      <c r="M297" s="84"/>
      <c r="N297" s="84"/>
      <c r="O297" s="84"/>
      <c r="P297" s="84"/>
      <c r="Q297" s="84"/>
      <c r="R297" s="84"/>
      <c r="S297" s="84"/>
    </row>
    <row r="298" spans="1:19">
      <c r="A298" s="629" t="s">
        <v>1005</v>
      </c>
      <c r="G298" s="629">
        <v>3.5251331278875202E-3</v>
      </c>
      <c r="H298" s="734">
        <v>1.4686271838964999E-3</v>
      </c>
      <c r="I298" s="735">
        <v>9.5683007632609604E-4</v>
      </c>
      <c r="J298" s="735">
        <v>1.456736567079E-3</v>
      </c>
      <c r="L298" s="84"/>
      <c r="M298" s="84"/>
      <c r="N298" s="84"/>
      <c r="O298" s="84"/>
      <c r="P298" s="84"/>
      <c r="Q298" s="84"/>
      <c r="R298" s="84"/>
      <c r="S298" s="84"/>
    </row>
    <row r="299" spans="1:19">
      <c r="A299" s="629" t="s">
        <v>1004</v>
      </c>
      <c r="G299" s="629">
        <v>4.2079648716604598E-3</v>
      </c>
      <c r="H299" s="734">
        <v>1.81062709558028E-3</v>
      </c>
      <c r="I299" s="735">
        <v>1.59109090342852E-3</v>
      </c>
      <c r="J299" s="735">
        <v>1.80255619253728E-3</v>
      </c>
      <c r="L299" s="84"/>
      <c r="M299" s="84"/>
      <c r="N299" s="84"/>
      <c r="O299" s="84"/>
      <c r="P299" s="84"/>
      <c r="Q299" s="84"/>
      <c r="R299" s="84"/>
      <c r="S299" s="84"/>
    </row>
    <row r="300" spans="1:19">
      <c r="A300" s="629" t="s">
        <v>1003</v>
      </c>
      <c r="G300" s="629">
        <v>4.0275854464976698E-3</v>
      </c>
      <c r="H300" s="734">
        <v>1.60873555721494E-3</v>
      </c>
      <c r="I300" s="735">
        <v>1.69186881609662E-3</v>
      </c>
      <c r="J300" s="735">
        <v>1.5991248171684199E-3</v>
      </c>
      <c r="L300" s="84"/>
      <c r="M300" s="84"/>
      <c r="N300" s="84"/>
      <c r="O300" s="84"/>
      <c r="P300" s="84"/>
      <c r="Q300" s="84"/>
      <c r="R300" s="84"/>
      <c r="S300" s="84"/>
    </row>
    <row r="301" spans="1:19">
      <c r="A301" s="629" t="s">
        <v>1002</v>
      </c>
      <c r="G301" s="629">
        <v>3.7921391216452498E-3</v>
      </c>
      <c r="H301" s="734">
        <v>1.6243104492930001E-3</v>
      </c>
      <c r="I301" s="735">
        <v>1.54028442228843E-3</v>
      </c>
      <c r="J301" s="735">
        <v>1.61678749471589E-3</v>
      </c>
      <c r="L301" s="84"/>
      <c r="M301" s="84"/>
      <c r="N301" s="84"/>
      <c r="O301" s="84"/>
      <c r="P301" s="84"/>
      <c r="Q301" s="84"/>
      <c r="R301" s="84"/>
      <c r="S301" s="84"/>
    </row>
    <row r="302" spans="1:19">
      <c r="A302" s="629" t="s">
        <v>1001</v>
      </c>
      <c r="G302" s="629">
        <v>3.6270294648245902E-3</v>
      </c>
      <c r="H302" s="734">
        <v>1.8128756222705201E-3</v>
      </c>
      <c r="I302" s="735">
        <v>1.5444496767918099E-3</v>
      </c>
      <c r="J302" s="735">
        <v>1.8083686494866601E-3</v>
      </c>
      <c r="L302" s="84"/>
      <c r="M302" s="84"/>
      <c r="N302" s="84"/>
      <c r="O302" s="84"/>
      <c r="P302" s="84"/>
      <c r="Q302" s="84"/>
      <c r="R302" s="84"/>
      <c r="S302" s="84"/>
    </row>
    <row r="303" spans="1:19">
      <c r="A303" s="629" t="s">
        <v>1000</v>
      </c>
      <c r="G303" s="629">
        <v>3.3231028059886101E-3</v>
      </c>
      <c r="H303" s="734">
        <v>1.60832609671899E-3</v>
      </c>
      <c r="I303" s="735">
        <v>1.4057268458793899E-3</v>
      </c>
      <c r="J303" s="735">
        <v>1.6015266115307E-3</v>
      </c>
      <c r="L303" s="84"/>
      <c r="M303" s="84"/>
      <c r="N303" s="84"/>
      <c r="O303" s="84"/>
      <c r="P303" s="84"/>
      <c r="Q303" s="84"/>
      <c r="R303" s="84"/>
      <c r="S303" s="84"/>
    </row>
    <row r="304" spans="1:19">
      <c r="A304" s="629" t="s">
        <v>999</v>
      </c>
      <c r="G304" s="629">
        <v>3.7763450629529102E-3</v>
      </c>
      <c r="H304" s="734">
        <v>1.4533076796889399E-3</v>
      </c>
      <c r="I304" s="735">
        <v>1.33150478471538E-3</v>
      </c>
      <c r="J304" s="735">
        <v>1.4443745698611401E-3</v>
      </c>
      <c r="L304" s="84"/>
      <c r="M304" s="84"/>
      <c r="N304" s="84"/>
      <c r="O304" s="84"/>
      <c r="P304" s="84"/>
      <c r="Q304" s="84"/>
      <c r="R304" s="84"/>
      <c r="S304" s="84"/>
    </row>
    <row r="305" spans="1:19">
      <c r="A305" s="629" t="s">
        <v>998</v>
      </c>
      <c r="G305" s="629">
        <v>3.5171593577146601E-3</v>
      </c>
      <c r="H305" s="734">
        <v>1.5771987931363001E-3</v>
      </c>
      <c r="I305" s="735">
        <v>1.2913785212213E-3</v>
      </c>
      <c r="J305" s="735">
        <v>1.56998912027548E-3</v>
      </c>
      <c r="L305" s="84"/>
      <c r="M305" s="84"/>
      <c r="N305" s="84"/>
      <c r="O305" s="84"/>
      <c r="P305" s="84"/>
      <c r="Q305" s="84"/>
      <c r="R305" s="84"/>
      <c r="S305" s="84"/>
    </row>
    <row r="306" spans="1:19">
      <c r="A306" s="629" t="s">
        <v>997</v>
      </c>
      <c r="G306" s="629">
        <v>3.3057916127871502E-3</v>
      </c>
      <c r="H306" s="734">
        <v>1.83617586101576E-3</v>
      </c>
      <c r="I306" s="735">
        <v>1.3468220566696899E-3</v>
      </c>
      <c r="J306" s="735">
        <v>1.83681147714063E-3</v>
      </c>
      <c r="L306" s="84"/>
      <c r="M306" s="84"/>
      <c r="N306" s="84"/>
      <c r="O306" s="84"/>
      <c r="P306" s="84"/>
      <c r="Q306" s="84"/>
      <c r="R306" s="84"/>
      <c r="S306" s="84"/>
    </row>
    <row r="307" spans="1:19">
      <c r="A307" s="629" t="s">
        <v>996</v>
      </c>
      <c r="G307" s="629">
        <v>3.04598296769882E-3</v>
      </c>
      <c r="H307" s="734">
        <v>1.63616986926812E-3</v>
      </c>
      <c r="I307" s="735">
        <v>1.2814234419266401E-3</v>
      </c>
      <c r="J307" s="735">
        <v>1.6338535672175501E-3</v>
      </c>
      <c r="L307" s="84"/>
      <c r="M307" s="84"/>
      <c r="N307" s="84"/>
      <c r="O307" s="84"/>
      <c r="P307" s="84"/>
      <c r="Q307" s="84"/>
      <c r="R307" s="84"/>
      <c r="S307" s="84"/>
    </row>
    <row r="308" spans="1:19">
      <c r="A308" s="629" t="s">
        <v>995</v>
      </c>
      <c r="G308" s="629">
        <v>2.8570992146938301E-3</v>
      </c>
      <c r="H308" s="734">
        <v>1.5288512824619201E-3</v>
      </c>
      <c r="I308" s="735">
        <v>1.2216431180303499E-3</v>
      </c>
      <c r="J308" s="735">
        <v>1.52322975356559E-3</v>
      </c>
      <c r="L308" s="84"/>
      <c r="M308" s="84"/>
      <c r="N308" s="84"/>
      <c r="O308" s="84"/>
      <c r="P308" s="84"/>
      <c r="Q308" s="84"/>
      <c r="R308" s="84"/>
      <c r="S308" s="84"/>
    </row>
    <row r="309" spans="1:19">
      <c r="A309" s="629" t="s">
        <v>994</v>
      </c>
      <c r="G309" s="629">
        <v>2.6749696844963E-3</v>
      </c>
      <c r="H309" s="734">
        <v>1.62958343669845E-3</v>
      </c>
      <c r="I309" s="735">
        <v>1.1200397488897601E-3</v>
      </c>
      <c r="J309" s="735">
        <v>1.6257254724774499E-3</v>
      </c>
      <c r="L309" s="84"/>
      <c r="M309" s="84"/>
      <c r="N309" s="84"/>
      <c r="O309" s="84"/>
      <c r="P309" s="84"/>
      <c r="Q309" s="84"/>
      <c r="R309" s="84"/>
      <c r="S309" s="84"/>
    </row>
    <row r="310" spans="1:19">
      <c r="A310" s="629" t="s">
        <v>993</v>
      </c>
      <c r="G310" s="629">
        <v>2.48161175160359E-3</v>
      </c>
      <c r="H310" s="734">
        <v>1.6358867799680201E-3</v>
      </c>
      <c r="I310" s="735">
        <v>1.0303542422866101E-3</v>
      </c>
      <c r="J310" s="735">
        <v>1.6288637625618101E-3</v>
      </c>
      <c r="L310" s="84"/>
      <c r="M310" s="84"/>
      <c r="N310" s="84"/>
      <c r="O310" s="84"/>
      <c r="P310" s="84"/>
      <c r="Q310" s="84"/>
      <c r="R310" s="84"/>
      <c r="S310" s="84"/>
    </row>
    <row r="311" spans="1:19">
      <c r="A311" s="629" t="s">
        <v>992</v>
      </c>
      <c r="G311" s="629">
        <v>2.3517049717686899E-3</v>
      </c>
      <c r="H311" s="734">
        <v>1.57846302910092E-3</v>
      </c>
      <c r="I311" s="735">
        <v>9.5889951508185004E-4</v>
      </c>
      <c r="J311" s="735">
        <v>1.56954845204193E-3</v>
      </c>
      <c r="L311" s="84"/>
      <c r="M311" s="84"/>
      <c r="N311" s="84"/>
      <c r="O311" s="84"/>
      <c r="P311" s="84"/>
      <c r="Q311" s="84"/>
      <c r="R311" s="84"/>
      <c r="S311" s="84"/>
    </row>
    <row r="312" spans="1:19">
      <c r="A312" s="629" t="s">
        <v>991</v>
      </c>
      <c r="G312" s="629">
        <v>2.1924788866054101E-3</v>
      </c>
      <c r="H312" s="734">
        <v>1.94909317096894E-3</v>
      </c>
      <c r="I312" s="735">
        <v>1.05904181852733E-3</v>
      </c>
      <c r="J312" s="735">
        <v>1.95164410897355E-3</v>
      </c>
      <c r="L312" s="84"/>
      <c r="M312" s="84"/>
      <c r="N312" s="84"/>
      <c r="O312" s="84"/>
      <c r="P312" s="84"/>
      <c r="Q312" s="84"/>
      <c r="R312" s="84"/>
      <c r="S312" s="84"/>
    </row>
    <row r="313" spans="1:19">
      <c r="A313" s="629" t="s">
        <v>990</v>
      </c>
      <c r="G313" s="629">
        <v>2.12334414584457E-3</v>
      </c>
      <c r="H313" s="734">
        <v>1.92571453828704E-3</v>
      </c>
      <c r="I313" s="735">
        <v>9.8946194198562109E-4</v>
      </c>
      <c r="J313" s="735">
        <v>1.9314009842950901E-3</v>
      </c>
      <c r="L313" s="84"/>
      <c r="M313" s="84"/>
      <c r="N313" s="84"/>
      <c r="O313" s="84"/>
      <c r="P313" s="84"/>
      <c r="Q313" s="84"/>
      <c r="R313" s="84"/>
      <c r="S313" s="84"/>
    </row>
    <row r="314" spans="1:19">
      <c r="A314" s="629" t="s">
        <v>989</v>
      </c>
      <c r="G314" s="629">
        <v>2.3578297890851098E-3</v>
      </c>
      <c r="H314" s="734">
        <v>1.7061188275486101E-3</v>
      </c>
      <c r="I314" s="735">
        <v>9.1809971632011002E-4</v>
      </c>
      <c r="J314" s="735">
        <v>1.7076923280578799E-3</v>
      </c>
      <c r="L314" s="84"/>
      <c r="M314" s="84"/>
      <c r="N314" s="84"/>
      <c r="O314" s="84"/>
      <c r="P314" s="84"/>
      <c r="Q314" s="84"/>
      <c r="R314" s="84"/>
      <c r="S314" s="84"/>
    </row>
    <row r="315" spans="1:19">
      <c r="A315" s="629" t="s">
        <v>988</v>
      </c>
      <c r="G315" s="629">
        <v>2.19387668985071E-3</v>
      </c>
      <c r="H315" s="734">
        <v>1.56165593764406E-3</v>
      </c>
      <c r="I315" s="735">
        <v>8.5386057755665399E-4</v>
      </c>
      <c r="J315" s="735">
        <v>1.5578019590978499E-3</v>
      </c>
      <c r="L315" s="84"/>
      <c r="M315" s="84"/>
      <c r="N315" s="84"/>
      <c r="O315" s="84"/>
      <c r="P315" s="84"/>
      <c r="Q315" s="84"/>
      <c r="R315" s="84"/>
      <c r="S315" s="84"/>
    </row>
    <row r="316" spans="1:19">
      <c r="A316" s="629" t="s">
        <v>987</v>
      </c>
      <c r="G316" s="629">
        <v>2.1060505258351501E-3</v>
      </c>
      <c r="H316" s="734">
        <v>1.40242802949877E-3</v>
      </c>
      <c r="I316" s="735">
        <v>8.0460013775246302E-4</v>
      </c>
      <c r="J316" s="735">
        <v>1.3953885099409499E-3</v>
      </c>
      <c r="L316" s="84"/>
      <c r="M316" s="84"/>
      <c r="N316" s="84"/>
      <c r="O316" s="84"/>
      <c r="P316" s="84"/>
      <c r="Q316" s="84"/>
      <c r="R316" s="84"/>
      <c r="S316" s="84"/>
    </row>
    <row r="317" spans="1:19">
      <c r="A317" s="629" t="s">
        <v>986</v>
      </c>
      <c r="G317" s="629">
        <v>2.4569040791463299E-3</v>
      </c>
      <c r="H317" s="734">
        <v>1.4388124999572E-3</v>
      </c>
      <c r="I317" s="735">
        <v>8.5970503982190803E-4</v>
      </c>
      <c r="J317" s="735">
        <v>1.4324323076964701E-3</v>
      </c>
      <c r="L317" s="84"/>
      <c r="M317" s="84"/>
      <c r="N317" s="84"/>
      <c r="O317" s="84"/>
      <c r="P317" s="84"/>
      <c r="Q317" s="84"/>
      <c r="R317" s="84"/>
      <c r="S317" s="84"/>
    </row>
    <row r="318" spans="1:19">
      <c r="A318" s="629" t="s">
        <v>985</v>
      </c>
      <c r="G318" s="629">
        <v>2.2720808038611501E-3</v>
      </c>
      <c r="H318" s="734">
        <v>1.31745760812072E-3</v>
      </c>
      <c r="I318" s="735">
        <v>8.7806772483409905E-4</v>
      </c>
      <c r="J318" s="735">
        <v>1.30898495874287E-3</v>
      </c>
      <c r="L318" s="84"/>
      <c r="M318" s="84"/>
      <c r="N318" s="84"/>
      <c r="O318" s="84"/>
      <c r="P318" s="84"/>
      <c r="Q318" s="84"/>
      <c r="R318" s="84"/>
      <c r="S318" s="84"/>
    </row>
    <row r="319" spans="1:19">
      <c r="A319" s="629" t="s">
        <v>984</v>
      </c>
      <c r="G319" s="629">
        <v>2.2089402690712201E-3</v>
      </c>
      <c r="H319" s="734">
        <v>1.35469494637992E-3</v>
      </c>
      <c r="I319" s="735">
        <v>8.1919584372845103E-4</v>
      </c>
      <c r="J319" s="735">
        <v>1.3440955255056199E-3</v>
      </c>
      <c r="L319" s="84"/>
      <c r="M319" s="84"/>
      <c r="N319" s="84"/>
      <c r="O319" s="84"/>
      <c r="P319" s="84"/>
      <c r="Q319" s="84"/>
      <c r="R319" s="84"/>
      <c r="S319" s="84"/>
    </row>
    <row r="320" spans="1:19">
      <c r="A320" s="629" t="s">
        <v>983</v>
      </c>
      <c r="G320" s="629">
        <v>2.0579953306374501E-3</v>
      </c>
      <c r="H320" s="734">
        <v>1.48228190944801E-3</v>
      </c>
      <c r="I320" s="735">
        <v>7.8751971546011095E-4</v>
      </c>
      <c r="J320" s="735">
        <v>1.4757620809832399E-3</v>
      </c>
      <c r="L320" s="84"/>
      <c r="M320" s="84"/>
      <c r="N320" s="84"/>
      <c r="O320" s="84"/>
      <c r="P320" s="84"/>
      <c r="Q320" s="84"/>
      <c r="R320" s="84"/>
      <c r="S320" s="84"/>
    </row>
    <row r="321" spans="1:19">
      <c r="A321" s="629" t="s">
        <v>982</v>
      </c>
      <c r="G321" s="629">
        <v>2.0216307164456502E-3</v>
      </c>
      <c r="H321" s="734">
        <v>1.62382432407224E-3</v>
      </c>
      <c r="I321" s="735">
        <v>7.7988808423440597E-4</v>
      </c>
      <c r="J321" s="735">
        <v>1.6148806644996701E-3</v>
      </c>
      <c r="L321" s="84"/>
      <c r="M321" s="84"/>
      <c r="N321" s="84"/>
      <c r="O321" s="84"/>
      <c r="P321" s="84"/>
      <c r="Q321" s="84"/>
      <c r="R321" s="84"/>
      <c r="S321" s="84"/>
    </row>
    <row r="322" spans="1:19">
      <c r="A322" s="629" t="s">
        <v>981</v>
      </c>
      <c r="G322" s="629">
        <v>2.6205625774635699E-3</v>
      </c>
      <c r="H322" s="734">
        <v>1.5499511706165701E-3</v>
      </c>
      <c r="I322" s="735">
        <v>7.5784362829767898E-4</v>
      </c>
      <c r="J322" s="735">
        <v>1.54089015772039E-3</v>
      </c>
      <c r="L322" s="84"/>
      <c r="M322" s="84"/>
      <c r="N322" s="84"/>
      <c r="O322" s="84"/>
      <c r="P322" s="84"/>
      <c r="Q322" s="84"/>
      <c r="R322" s="84"/>
      <c r="S322" s="84"/>
    </row>
    <row r="323" spans="1:19">
      <c r="A323" s="629" t="s">
        <v>980</v>
      </c>
      <c r="G323" s="629">
        <v>2.62592964818362E-3</v>
      </c>
      <c r="H323" s="734">
        <v>1.6225545844699501E-3</v>
      </c>
      <c r="I323" s="735">
        <v>7.1411829339905898E-4</v>
      </c>
      <c r="J323" s="735">
        <v>1.6171564782388201E-3</v>
      </c>
      <c r="L323" s="84"/>
      <c r="M323" s="84"/>
      <c r="N323" s="84"/>
      <c r="O323" s="84"/>
      <c r="P323" s="84"/>
      <c r="Q323" s="84"/>
      <c r="R323" s="84"/>
      <c r="S323" s="84"/>
    </row>
    <row r="324" spans="1:19">
      <c r="A324" s="629" t="s">
        <v>979</v>
      </c>
      <c r="G324" s="629">
        <v>2.4818531577768602E-3</v>
      </c>
      <c r="H324" s="734">
        <v>1.4716507767333601E-3</v>
      </c>
      <c r="I324" s="735">
        <v>7.0634412969635297E-4</v>
      </c>
      <c r="J324" s="735">
        <v>1.46458499556076E-3</v>
      </c>
      <c r="L324" s="84"/>
      <c r="M324" s="84"/>
      <c r="N324" s="84"/>
      <c r="O324" s="84"/>
      <c r="P324" s="84"/>
      <c r="Q324" s="84"/>
      <c r="R324" s="84"/>
      <c r="S324" s="84"/>
    </row>
    <row r="325" spans="1:19">
      <c r="A325" s="629" t="s">
        <v>978</v>
      </c>
      <c r="G325" s="629">
        <v>2.3020161949929602E-3</v>
      </c>
      <c r="H325" s="734">
        <v>1.35205106567512E-3</v>
      </c>
      <c r="I325" s="735">
        <v>6.9847213055012399E-4</v>
      </c>
      <c r="J325" s="735">
        <v>1.34183042569717E-3</v>
      </c>
      <c r="L325" s="84"/>
      <c r="M325" s="84"/>
      <c r="N325" s="84"/>
      <c r="O325" s="84"/>
      <c r="P325" s="84"/>
      <c r="Q325" s="84"/>
      <c r="R325" s="84"/>
      <c r="S325" s="84"/>
    </row>
    <row r="326" spans="1:19">
      <c r="A326" s="629" t="s">
        <v>977</v>
      </c>
      <c r="G326" s="629">
        <v>2.1401411247083798E-3</v>
      </c>
      <c r="H326" s="734">
        <v>1.3046935556210999E-3</v>
      </c>
      <c r="I326" s="735">
        <v>6.6278118450064304E-4</v>
      </c>
      <c r="J326" s="735">
        <v>1.2908398042618301E-3</v>
      </c>
      <c r="L326" s="84"/>
      <c r="M326" s="84"/>
      <c r="N326" s="84"/>
      <c r="O326" s="84"/>
      <c r="P326" s="84"/>
      <c r="Q326" s="84"/>
      <c r="R326" s="84"/>
      <c r="S326" s="84"/>
    </row>
    <row r="327" spans="1:19">
      <c r="A327" s="629" t="s">
        <v>976</v>
      </c>
      <c r="G327" s="629">
        <v>1.9951226086042302E-3</v>
      </c>
      <c r="H327" s="734">
        <v>1.1927480768850001E-3</v>
      </c>
      <c r="I327" s="735">
        <v>6.35485372327978E-4</v>
      </c>
      <c r="J327" s="735">
        <v>1.17632255141323E-3</v>
      </c>
      <c r="L327" s="84"/>
      <c r="M327" s="84"/>
      <c r="N327" s="84"/>
      <c r="O327" s="84"/>
      <c r="P327" s="84"/>
      <c r="Q327" s="84"/>
      <c r="R327" s="84"/>
      <c r="S327" s="84"/>
    </row>
    <row r="328" spans="1:19">
      <c r="A328" s="629" t="s">
        <v>975</v>
      </c>
      <c r="G328" s="629">
        <v>1.8570458084864901E-3</v>
      </c>
      <c r="H328" s="734">
        <v>1.44233320263261E-3</v>
      </c>
      <c r="I328" s="735">
        <v>7.6785883725563999E-4</v>
      </c>
      <c r="J328" s="735">
        <v>1.4288037848343E-3</v>
      </c>
      <c r="L328" s="84"/>
      <c r="M328" s="84"/>
      <c r="N328" s="84"/>
      <c r="O328" s="84"/>
      <c r="P328" s="84"/>
      <c r="Q328" s="84"/>
      <c r="R328" s="84"/>
      <c r="S328" s="84"/>
    </row>
    <row r="329" spans="1:19">
      <c r="A329" s="629" t="s">
        <v>974</v>
      </c>
      <c r="G329" s="629">
        <v>2.3440382390752601E-3</v>
      </c>
      <c r="H329" s="734">
        <v>1.4318992295007701E-3</v>
      </c>
      <c r="I329" s="735">
        <v>7.5547976822586799E-4</v>
      </c>
      <c r="J329" s="735">
        <v>1.4216643189492899E-3</v>
      </c>
      <c r="L329" s="84"/>
      <c r="M329" s="84"/>
      <c r="N329" s="84"/>
      <c r="O329" s="84"/>
      <c r="P329" s="84"/>
      <c r="Q329" s="84"/>
      <c r="R329" s="84"/>
      <c r="S329" s="84"/>
    </row>
    <row r="330" spans="1:19">
      <c r="A330" s="629" t="s">
        <v>973</v>
      </c>
      <c r="G330" s="629">
        <v>2.1758183806879299E-3</v>
      </c>
      <c r="H330" s="734">
        <v>1.31238326730374E-3</v>
      </c>
      <c r="I330" s="735">
        <v>7.16401083155694E-4</v>
      </c>
      <c r="J330" s="735">
        <v>1.2989606173610499E-3</v>
      </c>
      <c r="L330" s="84"/>
      <c r="M330" s="84"/>
      <c r="N330" s="84"/>
      <c r="O330" s="84"/>
      <c r="P330" s="84"/>
      <c r="Q330" s="84"/>
      <c r="R330" s="84"/>
      <c r="S330" s="84"/>
    </row>
    <row r="331" spans="1:19">
      <c r="A331" s="629" t="s">
        <v>972</v>
      </c>
      <c r="G331" s="629">
        <v>2.4706248111617101E-3</v>
      </c>
      <c r="H331" s="734">
        <v>1.2331496759247101E-3</v>
      </c>
      <c r="I331" s="735">
        <v>6.8980936998568304E-4</v>
      </c>
      <c r="J331" s="735">
        <v>1.2178212056473E-3</v>
      </c>
      <c r="L331" s="84"/>
      <c r="M331" s="84"/>
      <c r="N331" s="84"/>
      <c r="O331" s="84"/>
      <c r="P331" s="84"/>
      <c r="Q331" s="84"/>
      <c r="R331" s="84"/>
      <c r="S331" s="84"/>
    </row>
    <row r="332" spans="1:19">
      <c r="A332" s="629" t="s">
        <v>971</v>
      </c>
      <c r="G332" s="629">
        <v>2.3322868161609598E-3</v>
      </c>
      <c r="H332" s="734">
        <v>1.2300965491119399E-3</v>
      </c>
      <c r="I332" s="735">
        <v>6.6181967402028795E-4</v>
      </c>
      <c r="J332" s="735">
        <v>1.2113191652207301E-3</v>
      </c>
      <c r="L332" s="84"/>
      <c r="M332" s="84"/>
      <c r="N332" s="84"/>
      <c r="O332" s="84"/>
      <c r="P332" s="84"/>
      <c r="Q332" s="84"/>
      <c r="R332" s="84"/>
      <c r="S332" s="84"/>
    </row>
    <row r="333" spans="1:19">
      <c r="A333" s="629" t="s">
        <v>970</v>
      </c>
      <c r="G333" s="629">
        <v>2.3563443245369999E-3</v>
      </c>
      <c r="H333" s="734">
        <v>1.2454791528005099E-3</v>
      </c>
      <c r="I333" s="735">
        <v>6.8765714185192001E-4</v>
      </c>
      <c r="J333" s="735">
        <v>1.2253053100960999E-3</v>
      </c>
      <c r="L333" s="84"/>
      <c r="M333" s="84"/>
      <c r="N333" s="84"/>
      <c r="O333" s="84"/>
      <c r="P333" s="84"/>
      <c r="Q333" s="84"/>
      <c r="R333" s="84"/>
      <c r="S333" s="84"/>
    </row>
    <row r="334" spans="1:19">
      <c r="A334" s="629" t="s">
        <v>969</v>
      </c>
      <c r="G334" s="629">
        <v>2.1818183865381698E-3</v>
      </c>
      <c r="H334" s="734">
        <v>1.1419675250268499E-3</v>
      </c>
      <c r="I334" s="735">
        <v>6.5310162550192901E-4</v>
      </c>
      <c r="J334" s="735">
        <v>1.1204317344978699E-3</v>
      </c>
      <c r="L334" s="84"/>
      <c r="M334" s="84"/>
      <c r="N334" s="84"/>
      <c r="O334" s="84"/>
      <c r="P334" s="84"/>
      <c r="Q334" s="84"/>
      <c r="R334" s="84"/>
      <c r="S334" s="84"/>
    </row>
    <row r="335" spans="1:19">
      <c r="A335" s="629" t="s">
        <v>968</v>
      </c>
      <c r="G335" s="629">
        <v>2.0575535199163198E-3</v>
      </c>
      <c r="H335" s="734">
        <v>1.10676663839164E-3</v>
      </c>
      <c r="I335" s="735">
        <v>7.2861704008592295E-4</v>
      </c>
      <c r="J335" s="735">
        <v>1.08300041223747E-3</v>
      </c>
      <c r="L335" s="84"/>
      <c r="M335" s="84"/>
      <c r="N335" s="84"/>
      <c r="O335" s="84"/>
      <c r="P335" s="84"/>
      <c r="Q335" s="84"/>
      <c r="R335" s="84"/>
      <c r="S335" s="84"/>
    </row>
    <row r="336" spans="1:19">
      <c r="A336" s="629" t="s">
        <v>967</v>
      </c>
      <c r="G336" s="629">
        <v>1.9215604232976401E-3</v>
      </c>
      <c r="H336" s="734">
        <v>1.08750241438526E-3</v>
      </c>
      <c r="I336" s="735">
        <v>7.8754262340436699E-4</v>
      </c>
      <c r="J336" s="735">
        <v>1.0642333330243899E-3</v>
      </c>
      <c r="L336" s="84"/>
      <c r="M336" s="84"/>
      <c r="N336" s="84"/>
      <c r="O336" s="84"/>
      <c r="P336" s="84"/>
      <c r="Q336" s="84"/>
      <c r="R336" s="84"/>
      <c r="S336" s="84"/>
    </row>
    <row r="337" spans="1:19">
      <c r="A337" s="629" t="s">
        <v>966</v>
      </c>
      <c r="G337" s="629">
        <v>1.8230753802211399E-3</v>
      </c>
      <c r="H337" s="734">
        <v>1.4201336278741E-3</v>
      </c>
      <c r="I337" s="735">
        <v>7.4062051679446301E-4</v>
      </c>
      <c r="J337" s="735">
        <v>1.39835053889229E-3</v>
      </c>
      <c r="L337" s="84"/>
      <c r="M337" s="84"/>
      <c r="N337" s="84"/>
      <c r="O337" s="84"/>
      <c r="P337" s="84"/>
      <c r="Q337" s="84"/>
      <c r="R337" s="84"/>
      <c r="S337" s="84"/>
    </row>
    <row r="338" spans="1:19">
      <c r="A338" s="629" t="s">
        <v>965</v>
      </c>
      <c r="G338" s="629">
        <v>1.7612775629628199E-3</v>
      </c>
      <c r="H338" s="734">
        <v>1.28674351290682E-3</v>
      </c>
      <c r="I338" s="735">
        <v>7.0545300446176904E-4</v>
      </c>
      <c r="J338" s="735">
        <v>1.26416874593712E-3</v>
      </c>
      <c r="L338" s="84"/>
      <c r="M338" s="84"/>
      <c r="N338" s="84"/>
      <c r="O338" s="84"/>
      <c r="P338" s="84"/>
      <c r="Q338" s="84"/>
      <c r="R338" s="84"/>
      <c r="S338" s="84"/>
    </row>
    <row r="339" spans="1:19">
      <c r="A339" s="629" t="s">
        <v>964</v>
      </c>
      <c r="G339" s="629">
        <v>2.5470980285373498E-3</v>
      </c>
      <c r="H339" s="734">
        <v>1.4731654130492799E-3</v>
      </c>
      <c r="I339" s="735">
        <v>8.1652102363173802E-4</v>
      </c>
      <c r="J339" s="735">
        <v>1.4549720948274E-3</v>
      </c>
      <c r="L339" s="84"/>
      <c r="M339" s="84"/>
      <c r="N339" s="84"/>
      <c r="O339" s="84"/>
      <c r="P339" s="84"/>
      <c r="Q339" s="84"/>
      <c r="R339" s="84"/>
      <c r="S339" s="84"/>
    </row>
    <row r="340" spans="1:19">
      <c r="A340" s="629" t="s">
        <v>963</v>
      </c>
      <c r="G340" s="629">
        <v>2.3948847141145898E-3</v>
      </c>
      <c r="H340" s="734">
        <v>1.3524818323900701E-3</v>
      </c>
      <c r="I340" s="735">
        <v>8.2367902939416398E-4</v>
      </c>
      <c r="J340" s="735">
        <v>1.3346207405617199E-3</v>
      </c>
      <c r="L340" s="84"/>
      <c r="M340" s="84"/>
      <c r="N340" s="84"/>
      <c r="O340" s="84"/>
      <c r="P340" s="84"/>
      <c r="Q340" s="84"/>
      <c r="R340" s="84"/>
      <c r="S340" s="84"/>
    </row>
    <row r="341" spans="1:19">
      <c r="A341" s="629" t="s">
        <v>962</v>
      </c>
      <c r="G341" s="629">
        <v>2.2669390077967402E-3</v>
      </c>
      <c r="H341" s="734">
        <v>1.2298369501485E-3</v>
      </c>
      <c r="I341" s="735">
        <v>7.7198205542778004E-4</v>
      </c>
      <c r="J341" s="735">
        <v>1.2104179744401001E-3</v>
      </c>
      <c r="L341" s="84"/>
      <c r="M341" s="84"/>
      <c r="N341" s="84"/>
      <c r="O341" s="84"/>
      <c r="P341" s="84"/>
      <c r="Q341" s="84"/>
      <c r="R341" s="84"/>
      <c r="S341" s="84"/>
    </row>
    <row r="342" spans="1:19">
      <c r="A342" s="629" t="s">
        <v>961</v>
      </c>
      <c r="G342" s="629">
        <v>2.1408503392147502E-3</v>
      </c>
      <c r="H342" s="734">
        <v>1.42360410926219E-3</v>
      </c>
      <c r="I342" s="735">
        <v>8.1529141380172498E-4</v>
      </c>
      <c r="J342" s="735">
        <v>1.4085472245685901E-3</v>
      </c>
      <c r="L342" s="84"/>
      <c r="M342" s="84"/>
      <c r="N342" s="84"/>
      <c r="O342" s="84"/>
      <c r="P342" s="84"/>
      <c r="Q342" s="84"/>
      <c r="R342" s="84"/>
      <c r="S342" s="84"/>
    </row>
    <row r="343" spans="1:19">
      <c r="A343" s="629" t="s">
        <v>960</v>
      </c>
      <c r="G343" s="629">
        <v>2.17978791274058E-3</v>
      </c>
      <c r="H343" s="734">
        <v>1.2907216028597999E-3</v>
      </c>
      <c r="I343" s="735">
        <v>7.7057683321451803E-4</v>
      </c>
      <c r="J343" s="735">
        <v>1.2741882352366801E-3</v>
      </c>
      <c r="L343" s="84"/>
      <c r="M343" s="84"/>
      <c r="N343" s="84"/>
      <c r="O343" s="84"/>
      <c r="P343" s="84"/>
      <c r="Q343" s="84"/>
      <c r="R343" s="84"/>
      <c r="S343" s="84"/>
    </row>
    <row r="344" spans="1:19">
      <c r="A344" s="629" t="s">
        <v>959</v>
      </c>
      <c r="G344" s="629">
        <v>2.0644148401031698E-3</v>
      </c>
      <c r="H344" s="734">
        <v>1.26735304716752E-3</v>
      </c>
      <c r="I344" s="735">
        <v>7.8296950240636098E-4</v>
      </c>
      <c r="J344" s="735">
        <v>1.2538285905771399E-3</v>
      </c>
      <c r="L344" s="84"/>
      <c r="M344" s="84"/>
      <c r="N344" s="84"/>
      <c r="O344" s="84"/>
      <c r="P344" s="84"/>
      <c r="Q344" s="84"/>
      <c r="R344" s="84"/>
      <c r="S344" s="84"/>
    </row>
    <row r="345" spans="1:19">
      <c r="A345" s="629" t="s">
        <v>958</v>
      </c>
      <c r="G345" s="629">
        <v>1.9193733229949501E-3</v>
      </c>
      <c r="H345" s="734">
        <v>1.4299646891021501E-3</v>
      </c>
      <c r="I345" s="735">
        <v>7.4327160081986E-4</v>
      </c>
      <c r="J345" s="735">
        <v>1.42038989966895E-3</v>
      </c>
      <c r="L345" s="84"/>
      <c r="M345" s="84"/>
      <c r="N345" s="84"/>
      <c r="O345" s="84"/>
      <c r="P345" s="84"/>
      <c r="Q345" s="84"/>
      <c r="R345" s="84"/>
      <c r="S345" s="84"/>
    </row>
    <row r="346" spans="1:19">
      <c r="A346" s="629" t="s">
        <v>957</v>
      </c>
      <c r="G346" s="629">
        <v>2.5424491171154502E-3</v>
      </c>
      <c r="H346" s="734">
        <v>1.45693000628518E-3</v>
      </c>
      <c r="I346" s="735">
        <v>7.5313171566547305E-4</v>
      </c>
      <c r="J346" s="735">
        <v>1.4473604508811501E-3</v>
      </c>
      <c r="L346" s="84"/>
      <c r="M346" s="84"/>
      <c r="N346" s="84"/>
      <c r="O346" s="84"/>
      <c r="P346" s="84"/>
      <c r="Q346" s="84"/>
      <c r="R346" s="84"/>
      <c r="S346" s="84"/>
    </row>
    <row r="347" spans="1:19">
      <c r="A347" s="629" t="s">
        <v>956</v>
      </c>
      <c r="G347" s="629">
        <v>2.3639183970282701E-3</v>
      </c>
      <c r="H347" s="734">
        <v>1.31737172978138E-3</v>
      </c>
      <c r="I347" s="735">
        <v>7.1353399574363005E-4</v>
      </c>
      <c r="J347" s="735">
        <v>1.3046844976530099E-3</v>
      </c>
      <c r="L347" s="84"/>
      <c r="M347" s="84"/>
      <c r="N347" s="84"/>
      <c r="O347" s="84"/>
      <c r="P347" s="84"/>
      <c r="Q347" s="84"/>
      <c r="R347" s="84"/>
      <c r="S347" s="84"/>
    </row>
    <row r="348" spans="1:19">
      <c r="A348" s="629" t="s">
        <v>955</v>
      </c>
      <c r="G348" s="629">
        <v>2.1884513131303E-3</v>
      </c>
      <c r="H348" s="734">
        <v>1.56261577685453E-3</v>
      </c>
      <c r="I348" s="735">
        <v>9.0097606286168098E-4</v>
      </c>
      <c r="J348" s="735">
        <v>1.5552861670994199E-3</v>
      </c>
      <c r="L348" s="84"/>
      <c r="M348" s="84"/>
      <c r="N348" s="84"/>
      <c r="O348" s="84"/>
      <c r="P348" s="84"/>
      <c r="Q348" s="84"/>
      <c r="R348" s="84"/>
      <c r="S348" s="84"/>
    </row>
    <row r="349" spans="1:19">
      <c r="A349" s="629" t="s">
        <v>954</v>
      </c>
      <c r="G349" s="629">
        <v>2.1047176540087099E-3</v>
      </c>
      <c r="H349" s="734">
        <v>1.5583935436740901E-3</v>
      </c>
      <c r="I349" s="735">
        <v>8.7016112023313404E-4</v>
      </c>
      <c r="J349" s="735">
        <v>1.54678199788903E-3</v>
      </c>
      <c r="L349" s="84"/>
      <c r="M349" s="84"/>
      <c r="N349" s="84"/>
      <c r="O349" s="84"/>
      <c r="P349" s="84"/>
      <c r="Q349" s="84"/>
      <c r="R349" s="84"/>
      <c r="S349" s="84"/>
    </row>
    <row r="350" spans="1:19">
      <c r="A350" s="629" t="s">
        <v>953</v>
      </c>
      <c r="G350" s="629">
        <v>1.9690060959387098E-3</v>
      </c>
      <c r="H350" s="734">
        <v>2.19515830225592E-3</v>
      </c>
      <c r="I350" s="735">
        <v>8.3263920251133001E-4</v>
      </c>
      <c r="J350" s="735">
        <v>2.1983337363098801E-3</v>
      </c>
      <c r="L350" s="84"/>
      <c r="M350" s="84"/>
      <c r="N350" s="84"/>
      <c r="O350" s="84"/>
      <c r="P350" s="84"/>
      <c r="Q350" s="84"/>
      <c r="R350" s="84"/>
      <c r="S350" s="84"/>
    </row>
    <row r="351" spans="1:19">
      <c r="A351" s="629" t="s">
        <v>952</v>
      </c>
      <c r="G351" s="629">
        <v>1.9565571220416002E-3</v>
      </c>
      <c r="H351" s="734">
        <v>2.00704158058758E-3</v>
      </c>
      <c r="I351" s="735">
        <v>9.5707998769877195E-4</v>
      </c>
      <c r="J351" s="735">
        <v>2.0060907573923202E-3</v>
      </c>
      <c r="L351" s="84"/>
      <c r="M351" s="84"/>
      <c r="N351" s="84"/>
      <c r="O351" s="84"/>
      <c r="P351" s="84"/>
      <c r="Q351" s="84"/>
      <c r="R351" s="84"/>
      <c r="S351" s="84"/>
    </row>
    <row r="352" spans="1:19">
      <c r="A352" s="629" t="s">
        <v>951</v>
      </c>
      <c r="G352" s="629">
        <v>2.69242425787212E-3</v>
      </c>
      <c r="H352" s="734">
        <v>2.6543959397004801E-3</v>
      </c>
      <c r="I352" s="735">
        <v>1.1836500804108701E-3</v>
      </c>
      <c r="J352" s="735">
        <v>2.6741936100155199E-3</v>
      </c>
      <c r="L352" s="84"/>
      <c r="M352" s="84"/>
      <c r="N352" s="84"/>
      <c r="O352" s="84"/>
      <c r="P352" s="84"/>
      <c r="Q352" s="84"/>
      <c r="R352" s="84"/>
      <c r="S352" s="84"/>
    </row>
    <row r="353" spans="1:19">
      <c r="A353" s="629" t="s">
        <v>950</v>
      </c>
      <c r="G353" s="629">
        <v>3.2174392779655099E-3</v>
      </c>
      <c r="H353" s="734">
        <v>2.5401577810787298E-3</v>
      </c>
      <c r="I353" s="735">
        <v>1.18018999864786E-3</v>
      </c>
      <c r="J353" s="735">
        <v>2.5668203611938002E-3</v>
      </c>
      <c r="L353" s="84"/>
      <c r="M353" s="84"/>
      <c r="N353" s="84"/>
      <c r="O353" s="84"/>
      <c r="P353" s="84"/>
      <c r="Q353" s="84"/>
      <c r="R353" s="84"/>
      <c r="S353" s="84"/>
    </row>
    <row r="354" spans="1:19">
      <c r="A354" s="629" t="s">
        <v>949</v>
      </c>
      <c r="G354" s="629">
        <v>3.0507174949394602E-3</v>
      </c>
      <c r="H354" s="734">
        <v>2.2177630251644801E-3</v>
      </c>
      <c r="I354" s="735">
        <v>1.09277253039505E-3</v>
      </c>
      <c r="J354" s="735">
        <v>2.2401783637968102E-3</v>
      </c>
      <c r="L354" s="84"/>
      <c r="M354" s="84"/>
      <c r="N354" s="84"/>
      <c r="O354" s="84"/>
      <c r="P354" s="84"/>
      <c r="Q354" s="84"/>
      <c r="R354" s="84"/>
      <c r="S354" s="84"/>
    </row>
    <row r="355" spans="1:19">
      <c r="A355" s="629" t="s">
        <v>948</v>
      </c>
      <c r="G355" s="629">
        <v>3.13489364496171E-3</v>
      </c>
      <c r="H355" s="734">
        <v>1.9406436361885701E-3</v>
      </c>
      <c r="I355" s="735">
        <v>1.10361364957747E-3</v>
      </c>
      <c r="J355" s="735">
        <v>1.9571960490101098E-3</v>
      </c>
      <c r="L355" s="84"/>
      <c r="M355" s="84"/>
      <c r="N355" s="84"/>
      <c r="O355" s="84"/>
      <c r="P355" s="84"/>
      <c r="Q355" s="84"/>
      <c r="R355" s="84"/>
      <c r="S355" s="84"/>
    </row>
    <row r="356" spans="1:19">
      <c r="A356" s="629" t="s">
        <v>947</v>
      </c>
      <c r="G356" s="629">
        <v>2.8797801137785098E-3</v>
      </c>
      <c r="H356" s="734">
        <v>1.7296753157854199E-3</v>
      </c>
      <c r="I356" s="735">
        <v>1.04065497152149E-3</v>
      </c>
      <c r="J356" s="735">
        <v>1.73932519867592E-3</v>
      </c>
      <c r="L356" s="84"/>
      <c r="M356" s="84"/>
      <c r="N356" s="84"/>
      <c r="O356" s="84"/>
      <c r="P356" s="84"/>
      <c r="Q356" s="84"/>
      <c r="R356" s="84"/>
      <c r="S356" s="84"/>
    </row>
    <row r="357" spans="1:19">
      <c r="A357" s="629" t="s">
        <v>946</v>
      </c>
      <c r="G357" s="629">
        <v>2.6517282285150202E-3</v>
      </c>
      <c r="H357" s="734">
        <v>1.6739492969798399E-3</v>
      </c>
      <c r="I357" s="735">
        <v>9.8808882112495105E-4</v>
      </c>
      <c r="J357" s="735">
        <v>1.68201195298931E-3</v>
      </c>
      <c r="L357" s="84"/>
      <c r="M357" s="84"/>
      <c r="N357" s="84"/>
      <c r="O357" s="84"/>
      <c r="P357" s="84"/>
      <c r="Q357" s="84"/>
      <c r="R357" s="84"/>
      <c r="S357" s="84"/>
    </row>
    <row r="358" spans="1:19">
      <c r="A358" s="629" t="s">
        <v>945</v>
      </c>
      <c r="G358" s="629">
        <v>2.4468664027456899E-3</v>
      </c>
      <c r="H358" s="734">
        <v>1.4943280252135401E-3</v>
      </c>
      <c r="I358" s="735">
        <v>9.2541431911559002E-4</v>
      </c>
      <c r="J358" s="735">
        <v>1.4970892382211499E-3</v>
      </c>
      <c r="L358" s="84"/>
      <c r="M358" s="84"/>
      <c r="N358" s="84"/>
      <c r="O358" s="84"/>
      <c r="P358" s="84"/>
      <c r="Q358" s="84"/>
      <c r="R358" s="84"/>
      <c r="S358" s="84"/>
    </row>
    <row r="359" spans="1:19">
      <c r="A359" s="629" t="s">
        <v>944</v>
      </c>
      <c r="G359" s="629">
        <v>2.2617473878733599E-3</v>
      </c>
      <c r="H359" s="734">
        <v>2.1242034679253298E-3</v>
      </c>
      <c r="I359" s="735">
        <v>8.9125203684542399E-4</v>
      </c>
      <c r="J359" s="735">
        <v>2.1373005449538398E-3</v>
      </c>
      <c r="L359" s="84"/>
      <c r="M359" s="84"/>
      <c r="N359" s="84"/>
      <c r="O359" s="84"/>
      <c r="P359" s="84"/>
      <c r="Q359" s="84"/>
      <c r="R359" s="84"/>
      <c r="S359" s="84"/>
    </row>
    <row r="360" spans="1:19">
      <c r="A360" s="629" t="s">
        <v>943</v>
      </c>
      <c r="G360" s="629">
        <v>2.4621946075127099E-3</v>
      </c>
      <c r="H360" s="734">
        <v>2.2355985716184198E-3</v>
      </c>
      <c r="I360" s="735">
        <v>1.02523975294551E-3</v>
      </c>
      <c r="J360" s="735">
        <v>2.2548941240131499E-3</v>
      </c>
      <c r="L360" s="84"/>
      <c r="M360" s="84"/>
      <c r="N360" s="84"/>
      <c r="O360" s="84"/>
      <c r="P360" s="84"/>
      <c r="Q360" s="84"/>
      <c r="R360" s="84"/>
      <c r="S360" s="84"/>
    </row>
    <row r="361" spans="1:19">
      <c r="A361" s="629" t="s">
        <v>942</v>
      </c>
      <c r="G361" s="629">
        <v>2.3641124152594399E-3</v>
      </c>
      <c r="H361" s="734">
        <v>1.9741768381799801E-3</v>
      </c>
      <c r="I361" s="735">
        <v>9.4723097187946403E-4</v>
      </c>
      <c r="J361" s="735">
        <v>1.9859192778171201E-3</v>
      </c>
      <c r="L361" s="84"/>
      <c r="M361" s="84"/>
      <c r="N361" s="84"/>
      <c r="O361" s="84"/>
      <c r="P361" s="84"/>
      <c r="Q361" s="84"/>
      <c r="R361" s="84"/>
      <c r="S361" s="84"/>
    </row>
    <row r="362" spans="1:19">
      <c r="A362" s="629" t="s">
        <v>941</v>
      </c>
      <c r="G362" s="629">
        <v>2.2940997037461598E-3</v>
      </c>
      <c r="H362" s="734">
        <v>1.7431147646388299E-3</v>
      </c>
      <c r="I362" s="735">
        <v>9.9742538253444393E-4</v>
      </c>
      <c r="J362" s="735">
        <v>1.7505791247196399E-3</v>
      </c>
      <c r="L362" s="84"/>
      <c r="M362" s="84"/>
      <c r="N362" s="84"/>
      <c r="O362" s="84"/>
      <c r="P362" s="84"/>
      <c r="Q362" s="84"/>
      <c r="R362" s="84"/>
      <c r="S362" s="84"/>
    </row>
    <row r="363" spans="1:19">
      <c r="A363" s="629" t="s">
        <v>940</v>
      </c>
      <c r="G363" s="629">
        <v>2.1676743969260399E-3</v>
      </c>
      <c r="H363" s="734">
        <v>1.7219840628934901E-3</v>
      </c>
      <c r="I363" s="735">
        <v>9.4041339951686596E-4</v>
      </c>
      <c r="J363" s="735">
        <v>1.7225725582433399E-3</v>
      </c>
      <c r="L363" s="84"/>
      <c r="M363" s="84"/>
      <c r="N363" s="84"/>
      <c r="O363" s="84"/>
      <c r="P363" s="84"/>
      <c r="Q363" s="84"/>
      <c r="R363" s="84"/>
      <c r="S363" s="84"/>
    </row>
    <row r="364" spans="1:19">
      <c r="A364" s="629" t="s">
        <v>939</v>
      </c>
      <c r="G364" s="629">
        <v>2.0123064962926001E-3</v>
      </c>
      <c r="H364" s="734">
        <v>2.2675928785995301E-3</v>
      </c>
      <c r="I364" s="735">
        <v>9.4042405839212396E-4</v>
      </c>
      <c r="J364" s="735">
        <v>2.2817928530013201E-3</v>
      </c>
      <c r="L364" s="84"/>
      <c r="M364" s="84"/>
      <c r="N364" s="84"/>
      <c r="O364" s="84"/>
      <c r="P364" s="84"/>
      <c r="Q364" s="84"/>
      <c r="R364" s="84"/>
      <c r="S364" s="84"/>
    </row>
    <row r="365" spans="1:19">
      <c r="A365" s="629" t="s">
        <v>938</v>
      </c>
      <c r="G365" s="629">
        <v>2.3074537616177599E-3</v>
      </c>
      <c r="H365" s="734">
        <v>1.9895497314267999E-3</v>
      </c>
      <c r="I365" s="735">
        <v>8.8601415636079895E-4</v>
      </c>
      <c r="J365" s="735">
        <v>1.9984914699650198E-3</v>
      </c>
      <c r="L365" s="84"/>
      <c r="M365" s="84"/>
      <c r="N365" s="84"/>
      <c r="O365" s="84"/>
      <c r="P365" s="84"/>
      <c r="Q365" s="84"/>
      <c r="R365" s="84"/>
      <c r="S365" s="84"/>
    </row>
    <row r="366" spans="1:19">
      <c r="A366" s="629" t="s">
        <v>937</v>
      </c>
      <c r="G366" s="629">
        <v>2.1513174841152199E-3</v>
      </c>
      <c r="H366" s="734">
        <v>1.9977028973964701E-3</v>
      </c>
      <c r="I366" s="735">
        <v>8.2587785147836604E-4</v>
      </c>
      <c r="J366" s="735">
        <v>1.9994842353638401E-3</v>
      </c>
      <c r="L366" s="84"/>
      <c r="M366" s="84"/>
      <c r="N366" s="84"/>
      <c r="O366" s="84"/>
      <c r="P366" s="84"/>
      <c r="Q366" s="84"/>
      <c r="R366" s="84"/>
      <c r="S366" s="84"/>
    </row>
    <row r="367" spans="1:19">
      <c r="A367" s="629" t="s">
        <v>936</v>
      </c>
      <c r="G367" s="629">
        <v>2.0710965429302001E-3</v>
      </c>
      <c r="H367" s="734">
        <v>1.9007720793505301E-3</v>
      </c>
      <c r="I367" s="735">
        <v>7.9380777589137198E-4</v>
      </c>
      <c r="J367" s="735">
        <v>1.9047874702539801E-3</v>
      </c>
      <c r="L367" s="84"/>
      <c r="M367" s="84"/>
      <c r="N367" s="84"/>
      <c r="O367" s="84"/>
      <c r="P367" s="84"/>
      <c r="Q367" s="84"/>
      <c r="R367" s="84"/>
      <c r="S367" s="84"/>
    </row>
    <row r="368" spans="1:19">
      <c r="A368" s="629" t="s">
        <v>935</v>
      </c>
      <c r="G368" s="629">
        <v>2.0869443463711998E-3</v>
      </c>
      <c r="H368" s="734">
        <v>2.1959082826605602E-3</v>
      </c>
      <c r="I368" s="735">
        <v>8.8053931611709296E-4</v>
      </c>
      <c r="J368" s="735">
        <v>2.2085629518086201E-3</v>
      </c>
      <c r="L368" s="84"/>
      <c r="M368" s="84"/>
      <c r="N368" s="84"/>
      <c r="O368" s="84"/>
      <c r="P368" s="84"/>
      <c r="Q368" s="84"/>
      <c r="R368" s="84"/>
      <c r="S368" s="84"/>
    </row>
    <row r="369" spans="1:19">
      <c r="A369" s="629" t="s">
        <v>934</v>
      </c>
      <c r="G369" s="629">
        <v>1.97753388874396E-3</v>
      </c>
      <c r="H369" s="734">
        <v>1.93496454161003E-3</v>
      </c>
      <c r="I369" s="735">
        <v>9.3719648026266596E-4</v>
      </c>
      <c r="J369" s="735">
        <v>1.9419679147924501E-3</v>
      </c>
      <c r="L369" s="84"/>
      <c r="M369" s="84"/>
      <c r="N369" s="84"/>
      <c r="O369" s="84"/>
      <c r="P369" s="84"/>
      <c r="Q369" s="84"/>
      <c r="R369" s="84"/>
      <c r="S369" s="84"/>
    </row>
    <row r="370" spans="1:19">
      <c r="A370" s="629" t="s">
        <v>933</v>
      </c>
      <c r="G370" s="629">
        <v>1.84101784199025E-3</v>
      </c>
      <c r="H370" s="734">
        <v>2.3086150615381999E-3</v>
      </c>
      <c r="I370" s="735">
        <v>9.05704448765336E-4</v>
      </c>
      <c r="J370" s="735">
        <v>2.3106992528148101E-3</v>
      </c>
      <c r="L370" s="84"/>
      <c r="M370" s="84"/>
      <c r="N370" s="84"/>
      <c r="O370" s="84"/>
      <c r="P370" s="84"/>
      <c r="Q370" s="84"/>
      <c r="R370" s="84"/>
      <c r="S370" s="84"/>
    </row>
    <row r="371" spans="1:19">
      <c r="A371" s="629" t="s">
        <v>932</v>
      </c>
      <c r="G371" s="629">
        <v>1.77048754579662E-3</v>
      </c>
      <c r="H371" s="734">
        <v>2.1448618650479201E-3</v>
      </c>
      <c r="I371" s="735">
        <v>8.7332712226280201E-4</v>
      </c>
      <c r="J371" s="735">
        <v>2.1493631918810502E-3</v>
      </c>
      <c r="L371" s="84"/>
      <c r="M371" s="84"/>
      <c r="N371" s="84"/>
      <c r="O371" s="84"/>
      <c r="P371" s="84"/>
      <c r="Q371" s="84"/>
      <c r="R371" s="84"/>
      <c r="S371" s="84"/>
    </row>
    <row r="372" spans="1:19">
      <c r="A372" s="629" t="s">
        <v>931</v>
      </c>
      <c r="G372" s="629">
        <v>1.66665358244899E-3</v>
      </c>
      <c r="H372" s="734">
        <v>2.1312633736067801E-3</v>
      </c>
      <c r="I372" s="735">
        <v>1.0647233170203601E-3</v>
      </c>
      <c r="J372" s="735">
        <v>2.1424524537873202E-3</v>
      </c>
      <c r="L372" s="84"/>
      <c r="M372" s="84"/>
      <c r="N372" s="84"/>
      <c r="O372" s="84"/>
      <c r="P372" s="84"/>
      <c r="Q372" s="84"/>
      <c r="R372" s="84"/>
      <c r="S372" s="84"/>
    </row>
    <row r="373" spans="1:19">
      <c r="A373" s="629" t="s">
        <v>930</v>
      </c>
      <c r="G373" s="629">
        <v>1.5623447400851601E-3</v>
      </c>
      <c r="H373" s="734">
        <v>2.0989550312788098E-3</v>
      </c>
      <c r="I373" s="735">
        <v>1.0819022028113899E-3</v>
      </c>
      <c r="J373" s="735">
        <v>2.1043163967132202E-3</v>
      </c>
      <c r="L373" s="84"/>
      <c r="M373" s="84"/>
      <c r="N373" s="84"/>
      <c r="O373" s="84"/>
      <c r="P373" s="84"/>
      <c r="Q373" s="84"/>
      <c r="R373" s="84"/>
      <c r="S373" s="84"/>
    </row>
    <row r="374" spans="1:19">
      <c r="A374" s="629" t="s">
        <v>929</v>
      </c>
      <c r="G374" s="629">
        <v>1.4739453247244001E-3</v>
      </c>
      <c r="H374" s="734">
        <v>2.2085949552312599E-3</v>
      </c>
      <c r="I374" s="735">
        <v>1.1409712053303601E-3</v>
      </c>
      <c r="J374" s="735">
        <v>2.2124773888983701E-3</v>
      </c>
      <c r="L374" s="84"/>
      <c r="M374" s="84"/>
      <c r="N374" s="84"/>
      <c r="O374" s="84"/>
      <c r="P374" s="84"/>
      <c r="Q374" s="84"/>
      <c r="R374" s="84"/>
      <c r="S374" s="84"/>
    </row>
    <row r="375" spans="1:19">
      <c r="A375" s="629" t="s">
        <v>928</v>
      </c>
      <c r="G375" s="629">
        <v>1.3894562565415899E-3</v>
      </c>
      <c r="H375" s="734">
        <v>1.93425855428722E-3</v>
      </c>
      <c r="I375" s="735">
        <v>1.0482534455208501E-3</v>
      </c>
      <c r="J375" s="735">
        <v>1.93496050200362E-3</v>
      </c>
      <c r="L375" s="84"/>
      <c r="M375" s="84"/>
      <c r="N375" s="84"/>
      <c r="O375" s="84"/>
      <c r="P375" s="84"/>
      <c r="Q375" s="84"/>
      <c r="R375" s="84"/>
      <c r="S375" s="84"/>
    </row>
    <row r="376" spans="1:19">
      <c r="A376" s="629" t="s">
        <v>927</v>
      </c>
      <c r="G376" s="629">
        <v>1.3133946135509499E-3</v>
      </c>
      <c r="H376" s="734">
        <v>1.7318625926922701E-3</v>
      </c>
      <c r="I376" s="735">
        <v>9.6762106015964397E-4</v>
      </c>
      <c r="J376" s="735">
        <v>1.7289465386503501E-3</v>
      </c>
      <c r="L376" s="84"/>
      <c r="M376" s="84"/>
      <c r="N376" s="84"/>
      <c r="O376" s="84"/>
      <c r="P376" s="84"/>
      <c r="Q376" s="84"/>
      <c r="R376" s="84"/>
      <c r="S376" s="84"/>
    </row>
    <row r="377" spans="1:19">
      <c r="A377" s="629" t="s">
        <v>926</v>
      </c>
      <c r="G377" s="629">
        <v>1.2648772854679301E-3</v>
      </c>
      <c r="H377" s="734">
        <v>1.65022748794916E-3</v>
      </c>
      <c r="I377" s="735">
        <v>9.0035785673017905E-4</v>
      </c>
      <c r="J377" s="735">
        <v>1.6476203489759699E-3</v>
      </c>
      <c r="L377" s="84"/>
      <c r="M377" s="84"/>
      <c r="N377" s="84"/>
      <c r="O377" s="84"/>
      <c r="P377" s="84"/>
      <c r="Q377" s="84"/>
      <c r="R377" s="84"/>
      <c r="S377" s="84"/>
    </row>
    <row r="378" spans="1:19">
      <c r="A378" s="629" t="s">
        <v>925</v>
      </c>
      <c r="G378" s="629">
        <v>1.3845084759643901E-3</v>
      </c>
      <c r="H378" s="734">
        <v>1.77563917762399E-3</v>
      </c>
      <c r="I378" s="735">
        <v>9.2097155628905402E-4</v>
      </c>
      <c r="J378" s="735">
        <v>1.7701425802072099E-3</v>
      </c>
      <c r="L378" s="84"/>
      <c r="M378" s="84"/>
      <c r="N378" s="84"/>
      <c r="O378" s="84"/>
      <c r="P378" s="84"/>
      <c r="Q378" s="84"/>
      <c r="R378" s="84"/>
      <c r="S378" s="84"/>
    </row>
    <row r="379" spans="1:19">
      <c r="A379" s="629" t="s">
        <v>924</v>
      </c>
      <c r="G379" s="629">
        <v>1.3500175883618599E-3</v>
      </c>
      <c r="H379" s="734">
        <v>1.7312042755400199E-3</v>
      </c>
      <c r="I379" s="735">
        <v>8.6894539118709496E-4</v>
      </c>
      <c r="J379" s="735">
        <v>1.7253295830728199E-3</v>
      </c>
      <c r="L379" s="84"/>
      <c r="M379" s="84"/>
      <c r="N379" s="84"/>
      <c r="O379" s="84"/>
      <c r="P379" s="84"/>
      <c r="Q379" s="84"/>
      <c r="R379" s="84"/>
      <c r="S379" s="84"/>
    </row>
    <row r="380" spans="1:19">
      <c r="A380" s="629" t="s">
        <v>923</v>
      </c>
      <c r="G380" s="629">
        <v>1.2765583305825599E-3</v>
      </c>
      <c r="H380" s="734">
        <v>1.5648843660646099E-3</v>
      </c>
      <c r="I380" s="735">
        <v>8.1190110549952802E-4</v>
      </c>
      <c r="J380" s="735">
        <v>1.5572548855402801E-3</v>
      </c>
      <c r="L380" s="84"/>
      <c r="M380" s="84"/>
      <c r="N380" s="84"/>
      <c r="O380" s="84"/>
      <c r="P380" s="84"/>
      <c r="Q380" s="84"/>
      <c r="R380" s="84"/>
      <c r="S380" s="84"/>
    </row>
    <row r="381" spans="1:19">
      <c r="A381" s="629" t="s">
        <v>922</v>
      </c>
      <c r="G381" s="629">
        <v>1.2503952728256499E-3</v>
      </c>
      <c r="H381" s="734">
        <v>1.5303453775470199E-3</v>
      </c>
      <c r="I381" s="735">
        <v>8.9763343937372198E-4</v>
      </c>
      <c r="J381" s="735">
        <v>1.52466594096905E-3</v>
      </c>
      <c r="L381" s="84"/>
      <c r="M381" s="84"/>
      <c r="N381" s="84"/>
      <c r="O381" s="84"/>
      <c r="P381" s="84"/>
      <c r="Q381" s="84"/>
      <c r="R381" s="84"/>
      <c r="S381" s="84"/>
    </row>
    <row r="382" spans="1:19">
      <c r="A382" s="629" t="s">
        <v>921</v>
      </c>
      <c r="G382" s="629">
        <v>1.2278855597627699E-3</v>
      </c>
      <c r="H382" s="734">
        <v>1.54586839693191E-3</v>
      </c>
      <c r="I382" s="735">
        <v>8.5488686420102098E-4</v>
      </c>
      <c r="J382" s="735">
        <v>1.54213604511577E-3</v>
      </c>
      <c r="L382" s="84"/>
      <c r="M382" s="84"/>
      <c r="N382" s="84"/>
      <c r="O382" s="84"/>
      <c r="P382" s="84"/>
      <c r="Q382" s="84"/>
      <c r="R382" s="84"/>
      <c r="S382" s="84"/>
    </row>
    <row r="383" spans="1:19">
      <c r="A383" s="629" t="s">
        <v>920</v>
      </c>
      <c r="G383" s="629">
        <v>1.32591307364981E-3</v>
      </c>
      <c r="H383" s="734">
        <v>1.39460143521814E-3</v>
      </c>
      <c r="I383" s="735">
        <v>1.0312555806938201E-3</v>
      </c>
      <c r="J383" s="735">
        <v>1.38801469235313E-3</v>
      </c>
      <c r="L383" s="84"/>
      <c r="M383" s="84"/>
      <c r="N383" s="84"/>
      <c r="O383" s="84"/>
      <c r="P383" s="84"/>
      <c r="Q383" s="84"/>
      <c r="R383" s="84"/>
      <c r="S383" s="84"/>
    </row>
    <row r="384" spans="1:19">
      <c r="A384" s="629" t="s">
        <v>919</v>
      </c>
      <c r="G384" s="629">
        <v>1.27161175623266E-3</v>
      </c>
      <c r="H384" s="734">
        <v>1.2681895367691301E-3</v>
      </c>
      <c r="I384" s="735">
        <v>9.5264488137942105E-4</v>
      </c>
      <c r="J384" s="735">
        <v>1.25897284764829E-3</v>
      </c>
      <c r="L384" s="84"/>
      <c r="M384" s="84"/>
      <c r="N384" s="84"/>
      <c r="O384" s="84"/>
      <c r="P384" s="84"/>
      <c r="Q384" s="84"/>
      <c r="R384" s="84"/>
      <c r="S384" s="84"/>
    </row>
    <row r="385" spans="1:19">
      <c r="A385" s="629" t="s">
        <v>918</v>
      </c>
      <c r="G385" s="629">
        <v>1.25095017080636E-3</v>
      </c>
      <c r="H385" s="734">
        <v>1.5900965685761901E-3</v>
      </c>
      <c r="I385" s="735">
        <v>1.0117868352073399E-3</v>
      </c>
      <c r="J385" s="735">
        <v>1.58332115446234E-3</v>
      </c>
      <c r="L385" s="84"/>
      <c r="M385" s="84"/>
      <c r="N385" s="84"/>
      <c r="O385" s="84"/>
      <c r="P385" s="84"/>
      <c r="Q385" s="84"/>
      <c r="R385" s="84"/>
      <c r="S385" s="84"/>
    </row>
    <row r="386" spans="1:19">
      <c r="A386" s="629" t="s">
        <v>917</v>
      </c>
      <c r="G386" s="629">
        <v>1.18764558030628E-3</v>
      </c>
      <c r="H386" s="734">
        <v>2.0313335183210499E-3</v>
      </c>
      <c r="I386" s="735">
        <v>9.7476598844963101E-4</v>
      </c>
      <c r="J386" s="735">
        <v>2.0267146463517202E-3</v>
      </c>
      <c r="L386" s="84"/>
      <c r="M386" s="84"/>
      <c r="N386" s="84"/>
      <c r="O386" s="84"/>
      <c r="P386" s="84"/>
      <c r="Q386" s="84"/>
      <c r="R386" s="84"/>
      <c r="S386" s="84"/>
    </row>
    <row r="387" spans="1:19">
      <c r="A387" s="629" t="s">
        <v>916</v>
      </c>
      <c r="G387" s="629">
        <v>1.68292768033474E-3</v>
      </c>
      <c r="H387" s="734">
        <v>1.9912674214130101E-3</v>
      </c>
      <c r="I387" s="735">
        <v>9.2053970588942303E-4</v>
      </c>
      <c r="J387" s="735">
        <v>1.9842129662905801E-3</v>
      </c>
      <c r="L387" s="84"/>
      <c r="M387" s="84"/>
      <c r="N387" s="84"/>
      <c r="O387" s="84"/>
      <c r="P387" s="84"/>
      <c r="Q387" s="84"/>
      <c r="R387" s="84"/>
      <c r="S387" s="84"/>
    </row>
    <row r="388" spans="1:19">
      <c r="A388" s="629" t="s">
        <v>915</v>
      </c>
      <c r="G388" s="629">
        <v>2.0832853676889802E-3</v>
      </c>
      <c r="H388" s="734">
        <v>1.7803815075692899E-3</v>
      </c>
      <c r="I388" s="735">
        <v>1.0075175907535601E-3</v>
      </c>
      <c r="J388" s="735">
        <v>1.77264407579418E-3</v>
      </c>
      <c r="L388" s="84"/>
      <c r="M388" s="84"/>
      <c r="N388" s="84"/>
      <c r="O388" s="84"/>
      <c r="P388" s="84"/>
      <c r="Q388" s="84"/>
      <c r="R388" s="84"/>
      <c r="S388" s="84"/>
    </row>
    <row r="389" spans="1:19">
      <c r="A389" s="629" t="s">
        <v>914</v>
      </c>
      <c r="G389" s="629">
        <v>1.93470225385471E-3</v>
      </c>
      <c r="H389" s="734">
        <v>1.8800656292169301E-3</v>
      </c>
      <c r="I389" s="735">
        <v>9.5378813734300503E-4</v>
      </c>
      <c r="J389" s="735">
        <v>1.87117257435315E-3</v>
      </c>
      <c r="L389" s="84"/>
      <c r="M389" s="84"/>
      <c r="N389" s="84"/>
      <c r="O389" s="84"/>
      <c r="P389" s="84"/>
      <c r="Q389" s="84"/>
      <c r="R389" s="84"/>
      <c r="S389" s="84"/>
    </row>
    <row r="390" spans="1:19">
      <c r="A390" s="629" t="s">
        <v>913</v>
      </c>
      <c r="G390" s="629">
        <v>2.6659221901935899E-3</v>
      </c>
      <c r="H390" s="734">
        <v>1.83253606275246E-3</v>
      </c>
      <c r="I390" s="735">
        <v>1.2158583115412999E-3</v>
      </c>
      <c r="J390" s="735">
        <v>1.8271444217993101E-3</v>
      </c>
      <c r="L390" s="84"/>
      <c r="M390" s="84"/>
      <c r="N390" s="84"/>
      <c r="O390" s="84"/>
      <c r="P390" s="84"/>
      <c r="Q390" s="84"/>
      <c r="R390" s="84"/>
      <c r="S390" s="84"/>
    </row>
    <row r="391" spans="1:19">
      <c r="A391" s="629" t="s">
        <v>912</v>
      </c>
      <c r="G391" s="629">
        <v>3.02924365226545E-3</v>
      </c>
      <c r="H391" s="734">
        <v>1.68845690357629E-3</v>
      </c>
      <c r="I391" s="735">
        <v>1.12120036380479E-3</v>
      </c>
      <c r="J391" s="735">
        <v>1.68120617711713E-3</v>
      </c>
      <c r="L391" s="84"/>
      <c r="M391" s="84"/>
      <c r="N391" s="84"/>
      <c r="O391" s="84"/>
      <c r="P391" s="84"/>
      <c r="Q391" s="84"/>
      <c r="R391" s="84"/>
      <c r="S391" s="84"/>
    </row>
    <row r="392" spans="1:19">
      <c r="A392" s="629" t="s">
        <v>911</v>
      </c>
      <c r="G392" s="629">
        <v>2.8754057558453001E-3</v>
      </c>
      <c r="H392" s="734">
        <v>1.5867077428610801E-3</v>
      </c>
      <c r="I392" s="735">
        <v>1.05453584474954E-3</v>
      </c>
      <c r="J392" s="735">
        <v>1.57961633522814E-3</v>
      </c>
      <c r="L392" s="84"/>
      <c r="M392" s="84"/>
      <c r="N392" s="84"/>
      <c r="O392" s="84"/>
      <c r="P392" s="84"/>
      <c r="Q392" s="84"/>
      <c r="R392" s="84"/>
      <c r="S392" s="84"/>
    </row>
    <row r="393" spans="1:19">
      <c r="A393" s="629" t="s">
        <v>910</v>
      </c>
      <c r="G393" s="629">
        <v>2.7933857809010901E-3</v>
      </c>
      <c r="H393" s="734">
        <v>1.5118634708401299E-3</v>
      </c>
      <c r="I393" s="735">
        <v>1.2073132598722099E-3</v>
      </c>
      <c r="J393" s="735">
        <v>1.5039323787615301E-3</v>
      </c>
      <c r="L393" s="84"/>
      <c r="M393" s="84"/>
      <c r="N393" s="84"/>
      <c r="O393" s="84"/>
      <c r="P393" s="84"/>
      <c r="Q393" s="84"/>
      <c r="R393" s="84"/>
      <c r="S393" s="84"/>
    </row>
    <row r="394" spans="1:19">
      <c r="A394" s="629" t="s">
        <v>909</v>
      </c>
      <c r="G394" s="629">
        <v>2.7638157595951001E-3</v>
      </c>
      <c r="H394" s="734">
        <v>1.3867362278012099E-3</v>
      </c>
      <c r="I394" s="735">
        <v>1.11943215917073E-3</v>
      </c>
      <c r="J394" s="735">
        <v>1.37596121474371E-3</v>
      </c>
      <c r="L394" s="84"/>
      <c r="M394" s="84"/>
      <c r="N394" s="84"/>
      <c r="O394" s="84"/>
      <c r="P394" s="84"/>
      <c r="Q394" s="84"/>
      <c r="R394" s="84"/>
      <c r="S394" s="84"/>
    </row>
    <row r="395" spans="1:19">
      <c r="A395" s="629" t="s">
        <v>908</v>
      </c>
      <c r="G395" s="629">
        <v>2.6164408248762899E-3</v>
      </c>
      <c r="H395" s="734">
        <v>1.3150062937409999E-3</v>
      </c>
      <c r="I395" s="735">
        <v>1.0452011137425199E-3</v>
      </c>
      <c r="J395" s="735">
        <v>1.3031788575774E-3</v>
      </c>
      <c r="L395" s="84"/>
      <c r="M395" s="84"/>
      <c r="N395" s="84"/>
      <c r="O395" s="84"/>
      <c r="P395" s="84"/>
      <c r="Q395" s="84"/>
      <c r="R395" s="84"/>
      <c r="S395" s="84"/>
    </row>
    <row r="396" spans="1:19">
      <c r="A396" s="629" t="s">
        <v>907</v>
      </c>
      <c r="G396" s="629">
        <v>2.4884650313027699E-3</v>
      </c>
      <c r="H396" s="734">
        <v>1.3889029578757501E-3</v>
      </c>
      <c r="I396" s="735">
        <v>9.6834095133619899E-4</v>
      </c>
      <c r="J396" s="735">
        <v>1.37756533613857E-3</v>
      </c>
      <c r="L396" s="84"/>
      <c r="M396" s="84"/>
      <c r="N396" s="84"/>
      <c r="O396" s="84"/>
      <c r="P396" s="84"/>
      <c r="Q396" s="84"/>
      <c r="R396" s="84"/>
      <c r="S396" s="84"/>
    </row>
    <row r="397" spans="1:19">
      <c r="A397" s="629" t="s">
        <v>906</v>
      </c>
      <c r="G397" s="629">
        <v>2.3109436010255399E-3</v>
      </c>
      <c r="H397" s="734">
        <v>1.2743020839064501E-3</v>
      </c>
      <c r="I397" s="735">
        <v>9.1236785163031702E-4</v>
      </c>
      <c r="J397" s="735">
        <v>1.2604974737958101E-3</v>
      </c>
      <c r="L397" s="84"/>
      <c r="M397" s="84"/>
      <c r="N397" s="84"/>
      <c r="O397" s="84"/>
      <c r="P397" s="84"/>
      <c r="Q397" s="84"/>
      <c r="R397" s="84"/>
      <c r="S397" s="84"/>
    </row>
    <row r="398" spans="1:19">
      <c r="A398" s="629" t="s">
        <v>905</v>
      </c>
      <c r="G398" s="629">
        <v>2.1427967341045399E-3</v>
      </c>
      <c r="H398" s="734">
        <v>1.4065555213536799E-3</v>
      </c>
      <c r="I398" s="735">
        <v>9.3318249288919404E-4</v>
      </c>
      <c r="J398" s="735">
        <v>1.39607182493455E-3</v>
      </c>
      <c r="L398" s="84"/>
      <c r="M398" s="84"/>
      <c r="N398" s="84"/>
      <c r="O398" s="84"/>
      <c r="P398" s="84"/>
      <c r="Q398" s="84"/>
      <c r="R398" s="84"/>
      <c r="S398" s="84"/>
    </row>
    <row r="399" spans="1:19">
      <c r="A399" s="629" t="s">
        <v>904</v>
      </c>
      <c r="G399" s="629">
        <v>2.0289235502366702E-3</v>
      </c>
      <c r="H399" s="734">
        <v>1.3235833464565101E-3</v>
      </c>
      <c r="I399" s="735">
        <v>1.0015238627326E-3</v>
      </c>
      <c r="J399" s="735">
        <v>1.3124269733127E-3</v>
      </c>
      <c r="L399" s="84"/>
      <c r="M399" s="84"/>
      <c r="N399" s="84"/>
      <c r="O399" s="84"/>
      <c r="P399" s="84"/>
      <c r="Q399" s="84"/>
      <c r="R399" s="84"/>
      <c r="S399" s="84"/>
    </row>
    <row r="400" spans="1:19">
      <c r="A400" s="629" t="s">
        <v>903</v>
      </c>
      <c r="G400" s="629">
        <v>1.88612330332827E-3</v>
      </c>
      <c r="H400" s="734">
        <v>1.26640797973172E-3</v>
      </c>
      <c r="I400" s="735">
        <v>9.7413151829582698E-4</v>
      </c>
      <c r="J400" s="735">
        <v>1.25234198323427E-3</v>
      </c>
      <c r="L400" s="84"/>
      <c r="M400" s="84"/>
      <c r="N400" s="84"/>
      <c r="O400" s="84"/>
      <c r="P400" s="84"/>
      <c r="Q400" s="84"/>
      <c r="R400" s="84"/>
      <c r="S400" s="84"/>
    </row>
    <row r="401" spans="1:19">
      <c r="A401" s="629" t="s">
        <v>902</v>
      </c>
      <c r="G401" s="629">
        <v>3.25738004177893E-3</v>
      </c>
      <c r="H401" s="734">
        <v>1.43880920170929E-3</v>
      </c>
      <c r="I401" s="735">
        <v>1.2933878959268401E-3</v>
      </c>
      <c r="J401" s="735">
        <v>1.4301580878014299E-3</v>
      </c>
      <c r="L401" s="84"/>
      <c r="M401" s="84"/>
      <c r="N401" s="84"/>
      <c r="O401" s="84"/>
      <c r="P401" s="84"/>
      <c r="Q401" s="84"/>
      <c r="R401" s="84"/>
      <c r="S401" s="84"/>
    </row>
    <row r="402" spans="1:19">
      <c r="A402" s="629" t="s">
        <v>901</v>
      </c>
      <c r="G402" s="629">
        <v>2.9910137436727799E-3</v>
      </c>
      <c r="H402" s="734">
        <v>1.30116951831787E-3</v>
      </c>
      <c r="I402" s="735">
        <v>1.1872543076029999E-3</v>
      </c>
      <c r="J402" s="735">
        <v>1.2896048526078699E-3</v>
      </c>
      <c r="L402" s="84"/>
      <c r="M402" s="84"/>
      <c r="N402" s="84"/>
      <c r="O402" s="84"/>
      <c r="P402" s="84"/>
      <c r="Q402" s="84"/>
      <c r="R402" s="84"/>
      <c r="S402" s="84"/>
    </row>
    <row r="403" spans="1:19">
      <c r="A403" s="629" t="s">
        <v>900</v>
      </c>
      <c r="G403" s="629">
        <v>2.8572853291856798E-3</v>
      </c>
      <c r="H403" s="734">
        <v>1.1880649634415999E-3</v>
      </c>
      <c r="I403" s="735">
        <v>1.11274259550699E-3</v>
      </c>
      <c r="J403" s="735">
        <v>1.17371921062362E-3</v>
      </c>
      <c r="L403" s="84"/>
      <c r="M403" s="84"/>
      <c r="N403" s="84"/>
      <c r="O403" s="84"/>
      <c r="P403" s="84"/>
      <c r="Q403" s="84"/>
      <c r="R403" s="84"/>
      <c r="S403" s="84"/>
    </row>
    <row r="404" spans="1:19">
      <c r="A404" s="629" t="s">
        <v>899</v>
      </c>
      <c r="G404" s="629">
        <v>2.6863485565055099E-3</v>
      </c>
      <c r="H404" s="734">
        <v>1.09795800175449E-3</v>
      </c>
      <c r="I404" s="735">
        <v>1.0258897385912299E-3</v>
      </c>
      <c r="J404" s="735">
        <v>1.0804649392767199E-3</v>
      </c>
      <c r="L404" s="84"/>
      <c r="M404" s="84"/>
      <c r="N404" s="84"/>
      <c r="O404" s="84"/>
      <c r="P404" s="84"/>
      <c r="Q404" s="84"/>
      <c r="R404" s="84"/>
      <c r="S404" s="84"/>
    </row>
    <row r="405" spans="1:19">
      <c r="A405" s="629" t="s">
        <v>898</v>
      </c>
      <c r="G405" s="629">
        <v>2.9481626561992402E-3</v>
      </c>
      <c r="H405" s="734">
        <v>1.16720356763565E-3</v>
      </c>
      <c r="I405" s="735">
        <v>9.5486270337271696E-4</v>
      </c>
      <c r="J405" s="735">
        <v>1.1508129619390399E-3</v>
      </c>
      <c r="L405" s="84"/>
      <c r="M405" s="84"/>
      <c r="N405" s="84"/>
      <c r="O405" s="84"/>
      <c r="P405" s="84"/>
      <c r="Q405" s="84"/>
      <c r="R405" s="84"/>
      <c r="S405" s="84"/>
    </row>
    <row r="406" spans="1:19">
      <c r="A406" s="629" t="s">
        <v>897</v>
      </c>
      <c r="G406" s="629">
        <v>3.25422089691179E-3</v>
      </c>
      <c r="H406" s="734">
        <v>1.11561654149154E-3</v>
      </c>
      <c r="I406" s="735">
        <v>9.18437787981955E-4</v>
      </c>
      <c r="J406" s="735">
        <v>1.0977529012549201E-3</v>
      </c>
      <c r="L406" s="84"/>
      <c r="M406" s="84"/>
      <c r="N406" s="84"/>
      <c r="O406" s="84"/>
      <c r="P406" s="84"/>
      <c r="Q406" s="84"/>
      <c r="R406" s="84"/>
      <c r="S406" s="84"/>
    </row>
    <row r="407" spans="1:19">
      <c r="A407" s="629" t="s">
        <v>896</v>
      </c>
      <c r="G407" s="629">
        <v>3.20927175051998E-3</v>
      </c>
      <c r="H407" s="734">
        <v>1.04607361773402E-3</v>
      </c>
      <c r="I407" s="735">
        <v>8.7584498608707904E-4</v>
      </c>
      <c r="J407" s="735">
        <v>1.0255082717215999E-3</v>
      </c>
      <c r="L407" s="84"/>
      <c r="M407" s="84"/>
      <c r="N407" s="84"/>
      <c r="O407" s="84"/>
      <c r="P407" s="84"/>
      <c r="Q407" s="84"/>
      <c r="R407" s="84"/>
      <c r="S407" s="84"/>
    </row>
    <row r="408" spans="1:19">
      <c r="A408" s="629" t="s">
        <v>895</v>
      </c>
      <c r="G408" s="629">
        <v>2.94852497228297E-3</v>
      </c>
      <c r="H408" s="734">
        <v>1.0921105269756199E-3</v>
      </c>
      <c r="I408" s="735">
        <v>9.2498205187529505E-4</v>
      </c>
      <c r="J408" s="735">
        <v>1.0722893031988999E-3</v>
      </c>
      <c r="L408" s="84"/>
      <c r="M408" s="84"/>
      <c r="N408" s="84"/>
      <c r="O408" s="84"/>
      <c r="P408" s="84"/>
      <c r="Q408" s="84"/>
      <c r="R408" s="84"/>
      <c r="S408" s="84"/>
    </row>
    <row r="409" spans="1:19">
      <c r="A409" s="629" t="s">
        <v>894</v>
      </c>
      <c r="G409" s="629">
        <v>2.7258240370032901E-3</v>
      </c>
      <c r="H409" s="734">
        <v>1.0535926815003699E-3</v>
      </c>
      <c r="I409" s="735">
        <v>8.7526057881753697E-4</v>
      </c>
      <c r="J409" s="735">
        <v>1.03156710375415E-3</v>
      </c>
      <c r="L409" s="84"/>
      <c r="M409" s="84"/>
      <c r="N409" s="84"/>
      <c r="O409" s="84"/>
      <c r="P409" s="84"/>
      <c r="Q409" s="84"/>
      <c r="R409" s="84"/>
      <c r="S409" s="84"/>
    </row>
    <row r="410" spans="1:19">
      <c r="A410" s="629" t="s">
        <v>893</v>
      </c>
      <c r="G410" s="629">
        <v>2.6461827236836499E-3</v>
      </c>
      <c r="H410" s="734">
        <v>1.32249307302551E-3</v>
      </c>
      <c r="I410" s="735">
        <v>1.03245974704021E-3</v>
      </c>
      <c r="J410" s="735">
        <v>1.3034985767338299E-3</v>
      </c>
      <c r="L410" s="84"/>
      <c r="M410" s="84"/>
      <c r="N410" s="84"/>
      <c r="O410" s="84"/>
      <c r="P410" s="84"/>
      <c r="Q410" s="84"/>
      <c r="R410" s="84"/>
      <c r="S410" s="84"/>
    </row>
    <row r="411" spans="1:19">
      <c r="A411" s="629" t="s">
        <v>892</v>
      </c>
      <c r="G411" s="629">
        <v>2.4997817533563998E-3</v>
      </c>
      <c r="H411" s="734">
        <v>1.2085496447744801E-3</v>
      </c>
      <c r="I411" s="735">
        <v>9.6418138901951803E-4</v>
      </c>
      <c r="J411" s="735">
        <v>1.1884002114190299E-3</v>
      </c>
      <c r="L411" s="84"/>
      <c r="M411" s="84"/>
      <c r="N411" s="84"/>
      <c r="O411" s="84"/>
      <c r="P411" s="84"/>
      <c r="Q411" s="84"/>
      <c r="R411" s="84"/>
      <c r="S411" s="84"/>
    </row>
    <row r="412" spans="1:19">
      <c r="A412" s="629" t="s">
        <v>891</v>
      </c>
      <c r="G412" s="629">
        <v>2.3468960236182898E-3</v>
      </c>
      <c r="H412" s="734">
        <v>1.1282796119066699E-3</v>
      </c>
      <c r="I412" s="735">
        <v>8.97092808447333E-4</v>
      </c>
      <c r="J412" s="735">
        <v>1.1071907194943999E-3</v>
      </c>
      <c r="L412" s="84"/>
      <c r="M412" s="84"/>
      <c r="N412" s="84"/>
      <c r="O412" s="84"/>
      <c r="P412" s="84"/>
      <c r="Q412" s="84"/>
      <c r="R412" s="84"/>
      <c r="S412" s="84"/>
    </row>
    <row r="413" spans="1:19">
      <c r="A413" s="629" t="s">
        <v>890</v>
      </c>
      <c r="G413" s="629">
        <v>2.6211556811382999E-3</v>
      </c>
      <c r="H413" s="734">
        <v>1.1093496637186199E-3</v>
      </c>
      <c r="I413" s="735">
        <v>8.6835869351731395E-4</v>
      </c>
      <c r="J413" s="735">
        <v>1.08848794238511E-3</v>
      </c>
      <c r="L413" s="84"/>
      <c r="M413" s="84"/>
      <c r="N413" s="84"/>
      <c r="O413" s="84"/>
      <c r="P413" s="84"/>
      <c r="Q413" s="84"/>
      <c r="R413" s="84"/>
      <c r="S413" s="84"/>
    </row>
    <row r="414" spans="1:19">
      <c r="A414" s="629" t="s">
        <v>889</v>
      </c>
      <c r="G414" s="629">
        <v>3.07672546474417E-3</v>
      </c>
      <c r="H414" s="734">
        <v>1.8015165523485399E-3</v>
      </c>
      <c r="I414" s="735">
        <v>8.3894140405117495E-4</v>
      </c>
      <c r="J414" s="735">
        <v>1.78856672275177E-3</v>
      </c>
      <c r="L414" s="84"/>
      <c r="M414" s="84"/>
      <c r="N414" s="84"/>
      <c r="O414" s="84"/>
      <c r="P414" s="84"/>
      <c r="Q414" s="84"/>
      <c r="R414" s="84"/>
      <c r="S414" s="84"/>
    </row>
    <row r="415" spans="1:19">
      <c r="A415" s="629" t="s">
        <v>888</v>
      </c>
      <c r="G415" s="629">
        <v>2.9261259476652001E-3</v>
      </c>
      <c r="H415" s="734">
        <v>1.6024636815558501E-3</v>
      </c>
      <c r="I415" s="735">
        <v>8.0193921827977598E-4</v>
      </c>
      <c r="J415" s="735">
        <v>1.5893095603151299E-3</v>
      </c>
      <c r="L415" s="84"/>
      <c r="M415" s="84"/>
      <c r="N415" s="84"/>
      <c r="O415" s="84"/>
      <c r="P415" s="84"/>
      <c r="Q415" s="84"/>
      <c r="R415" s="84"/>
      <c r="S415" s="84"/>
    </row>
    <row r="416" spans="1:19">
      <c r="A416" s="629" t="s">
        <v>887</v>
      </c>
      <c r="G416" s="629">
        <v>3.0939395123874901E-3</v>
      </c>
      <c r="H416" s="734">
        <v>1.4915256487554999E-3</v>
      </c>
      <c r="I416" s="735">
        <v>7.6075244677991001E-4</v>
      </c>
      <c r="J416" s="735">
        <v>1.4754135709751999E-3</v>
      </c>
      <c r="L416" s="84"/>
      <c r="M416" s="84"/>
      <c r="N416" s="84"/>
      <c r="O416" s="84"/>
      <c r="P416" s="84"/>
      <c r="Q416" s="84"/>
      <c r="R416" s="84"/>
      <c r="S416" s="84"/>
    </row>
    <row r="417" spans="1:19">
      <c r="A417" s="629" t="s">
        <v>886</v>
      </c>
      <c r="G417" s="629">
        <v>3.6778124710444399E-3</v>
      </c>
      <c r="H417" s="734">
        <v>1.4182154467678699E-3</v>
      </c>
      <c r="I417" s="735">
        <v>7.1712757322240598E-4</v>
      </c>
      <c r="J417" s="735">
        <v>1.40173734301217E-3</v>
      </c>
      <c r="L417" s="84"/>
      <c r="M417" s="84"/>
      <c r="N417" s="84"/>
      <c r="O417" s="84"/>
      <c r="P417" s="84"/>
      <c r="Q417" s="84"/>
      <c r="R417" s="84"/>
      <c r="S417" s="84"/>
    </row>
    <row r="418" spans="1:19">
      <c r="A418" s="629" t="s">
        <v>885</v>
      </c>
      <c r="G418" s="629">
        <v>3.3708817267665602E-3</v>
      </c>
      <c r="H418" s="734">
        <v>1.36226568521246E-3</v>
      </c>
      <c r="I418" s="735">
        <v>7.1396894298957905E-4</v>
      </c>
      <c r="J418" s="735">
        <v>1.3482872159331001E-3</v>
      </c>
      <c r="L418" s="84"/>
      <c r="M418" s="84"/>
      <c r="N418" s="84"/>
      <c r="O418" s="84"/>
      <c r="P418" s="84"/>
      <c r="Q418" s="84"/>
      <c r="R418" s="84"/>
      <c r="S418" s="84"/>
    </row>
    <row r="419" spans="1:19">
      <c r="A419" s="629" t="s">
        <v>884</v>
      </c>
      <c r="G419" s="629">
        <v>3.1652128057691599E-3</v>
      </c>
      <c r="H419" s="734">
        <v>1.2615019534894E-3</v>
      </c>
      <c r="I419" s="735">
        <v>8.12686108822532E-4</v>
      </c>
      <c r="J419" s="735">
        <v>1.2462015681643499E-3</v>
      </c>
      <c r="L419" s="84"/>
      <c r="M419" s="84"/>
      <c r="N419" s="84"/>
      <c r="O419" s="84"/>
      <c r="P419" s="84"/>
      <c r="Q419" s="84"/>
      <c r="R419" s="84"/>
      <c r="S419" s="84"/>
    </row>
    <row r="420" spans="1:19">
      <c r="A420" s="629" t="s">
        <v>883</v>
      </c>
      <c r="G420" s="629">
        <v>2.9151132075040001E-3</v>
      </c>
      <c r="H420" s="734">
        <v>1.2759784587555701E-3</v>
      </c>
      <c r="I420" s="735">
        <v>7.8675115017885603E-4</v>
      </c>
      <c r="J420" s="735">
        <v>1.2605677227578199E-3</v>
      </c>
      <c r="L420" s="84"/>
      <c r="M420" s="84"/>
      <c r="N420" s="84"/>
      <c r="O420" s="84"/>
      <c r="P420" s="84"/>
      <c r="Q420" s="84"/>
      <c r="R420" s="84"/>
      <c r="S420" s="84"/>
    </row>
    <row r="421" spans="1:19">
      <c r="A421" s="629" t="s">
        <v>882</v>
      </c>
      <c r="G421" s="629">
        <v>3.5368751144233801E-3</v>
      </c>
      <c r="H421" s="734">
        <v>1.2443498786854901E-3</v>
      </c>
      <c r="I421" s="735">
        <v>9.5834511739219198E-4</v>
      </c>
      <c r="J421" s="735">
        <v>1.22944526446263E-3</v>
      </c>
      <c r="L421" s="84"/>
      <c r="M421" s="84"/>
      <c r="N421" s="84"/>
      <c r="O421" s="84"/>
      <c r="P421" s="84"/>
      <c r="Q421" s="84"/>
      <c r="R421" s="84"/>
      <c r="S421" s="84"/>
    </row>
    <row r="422" spans="1:19">
      <c r="A422" s="629" t="s">
        <v>881</v>
      </c>
      <c r="G422" s="629">
        <v>3.49555614203107E-3</v>
      </c>
      <c r="H422" s="734">
        <v>1.7094256820256899E-3</v>
      </c>
      <c r="I422" s="735">
        <v>1.23417713392917E-3</v>
      </c>
      <c r="J422" s="735">
        <v>1.69865826215681E-3</v>
      </c>
      <c r="L422" s="84"/>
      <c r="M422" s="84"/>
      <c r="N422" s="84"/>
      <c r="O422" s="84"/>
      <c r="P422" s="84"/>
      <c r="Q422" s="84"/>
      <c r="R422" s="84"/>
      <c r="S422" s="84"/>
    </row>
    <row r="423" spans="1:19">
      <c r="A423" s="629" t="s">
        <v>880</v>
      </c>
      <c r="G423" s="629">
        <v>3.5514865532916698E-3</v>
      </c>
      <c r="H423" s="734">
        <v>1.5340279305812801E-3</v>
      </c>
      <c r="I423" s="735">
        <v>1.1344520853602E-3</v>
      </c>
      <c r="J423" s="735">
        <v>1.5210764965021199E-3</v>
      </c>
      <c r="L423" s="84"/>
      <c r="M423" s="84"/>
      <c r="N423" s="84"/>
      <c r="O423" s="84"/>
      <c r="P423" s="84"/>
      <c r="Q423" s="84"/>
      <c r="R423" s="84"/>
      <c r="S423" s="84"/>
    </row>
    <row r="424" spans="1:19">
      <c r="A424" s="629" t="s">
        <v>879</v>
      </c>
      <c r="G424" s="629">
        <v>4.3534529048768903E-3</v>
      </c>
      <c r="H424" s="734">
        <v>1.57315414373802E-3</v>
      </c>
      <c r="I424" s="735">
        <v>1.1596677928715001E-3</v>
      </c>
      <c r="J424" s="735">
        <v>1.5620700860292599E-3</v>
      </c>
      <c r="L424" s="84"/>
      <c r="M424" s="84"/>
      <c r="N424" s="84"/>
      <c r="O424" s="84"/>
      <c r="P424" s="84"/>
      <c r="Q424" s="84"/>
      <c r="R424" s="84"/>
      <c r="S424" s="84"/>
    </row>
    <row r="425" spans="1:19">
      <c r="A425" s="629" t="s">
        <v>878</v>
      </c>
      <c r="G425" s="629">
        <v>4.15926807455143E-3</v>
      </c>
      <c r="H425" s="734">
        <v>1.61737015849912E-3</v>
      </c>
      <c r="I425" s="735">
        <v>1.5437649574653401E-3</v>
      </c>
      <c r="J425" s="735">
        <v>1.6089727470637201E-3</v>
      </c>
      <c r="L425" s="84"/>
      <c r="M425" s="84"/>
      <c r="N425" s="84"/>
      <c r="O425" s="84"/>
      <c r="P425" s="84"/>
      <c r="Q425" s="84"/>
      <c r="R425" s="84"/>
      <c r="S425" s="84"/>
    </row>
    <row r="426" spans="1:19">
      <c r="A426" s="629" t="s">
        <v>877</v>
      </c>
      <c r="G426" s="629">
        <v>3.92872314489154E-3</v>
      </c>
      <c r="H426" s="734">
        <v>1.8599854198413999E-3</v>
      </c>
      <c r="I426" s="735">
        <v>1.7327827824439299E-3</v>
      </c>
      <c r="J426" s="735">
        <v>1.85791080811183E-3</v>
      </c>
      <c r="L426" s="84"/>
      <c r="M426" s="84"/>
      <c r="N426" s="84"/>
      <c r="O426" s="84"/>
      <c r="P426" s="84"/>
      <c r="Q426" s="84"/>
      <c r="R426" s="84"/>
      <c r="S426" s="84"/>
    </row>
    <row r="427" spans="1:19">
      <c r="A427" s="629" t="s">
        <v>876</v>
      </c>
      <c r="G427" s="629">
        <v>4.0396434307597897E-3</v>
      </c>
      <c r="H427" s="734">
        <v>1.71680717927684E-3</v>
      </c>
      <c r="I427" s="735">
        <v>1.65600493530556E-3</v>
      </c>
      <c r="J427" s="735">
        <v>1.7131439479006799E-3</v>
      </c>
      <c r="L427" s="84"/>
      <c r="M427" s="84"/>
      <c r="N427" s="84"/>
      <c r="O427" s="84"/>
      <c r="P427" s="84"/>
      <c r="Q427" s="84"/>
      <c r="R427" s="84"/>
      <c r="S427" s="84"/>
    </row>
    <row r="428" spans="1:19">
      <c r="A428" s="629" t="s">
        <v>875</v>
      </c>
      <c r="G428" s="629">
        <v>3.9768973983380701E-3</v>
      </c>
      <c r="H428" s="734">
        <v>1.57426737316297E-3</v>
      </c>
      <c r="I428" s="735">
        <v>1.5678576549674899E-3</v>
      </c>
      <c r="J428" s="735">
        <v>1.56901370910712E-3</v>
      </c>
      <c r="L428" s="84"/>
      <c r="M428" s="84"/>
      <c r="N428" s="84"/>
      <c r="O428" s="84"/>
      <c r="P428" s="84"/>
      <c r="Q428" s="84"/>
      <c r="R428" s="84"/>
      <c r="S428" s="84"/>
    </row>
    <row r="429" spans="1:19">
      <c r="A429" s="629" t="s">
        <v>874</v>
      </c>
      <c r="G429" s="629">
        <v>3.6389306309740502E-3</v>
      </c>
      <c r="H429" s="734">
        <v>1.4128735514613599E-3</v>
      </c>
      <c r="I429" s="735">
        <v>1.42269869518384E-3</v>
      </c>
      <c r="J429" s="735">
        <v>1.4045526503801099E-3</v>
      </c>
      <c r="L429" s="84"/>
      <c r="M429" s="84"/>
      <c r="N429" s="84"/>
      <c r="O429" s="84"/>
      <c r="P429" s="84"/>
      <c r="Q429" s="84"/>
      <c r="R429" s="84"/>
      <c r="S429" s="84"/>
    </row>
    <row r="430" spans="1:19">
      <c r="A430" s="629" t="s">
        <v>873</v>
      </c>
      <c r="G430" s="629">
        <v>3.8860928368207098E-3</v>
      </c>
      <c r="H430" s="734">
        <v>1.31333091845974E-3</v>
      </c>
      <c r="I430" s="735">
        <v>1.2995190775250301E-3</v>
      </c>
      <c r="J430" s="735">
        <v>1.30375589186269E-3</v>
      </c>
      <c r="L430" s="84"/>
      <c r="M430" s="84"/>
      <c r="N430" s="84"/>
      <c r="O430" s="84"/>
      <c r="P430" s="84"/>
      <c r="Q430" s="84"/>
      <c r="R430" s="84"/>
      <c r="S430" s="84"/>
    </row>
    <row r="431" spans="1:19">
      <c r="A431" s="629" t="s">
        <v>872</v>
      </c>
      <c r="G431" s="629">
        <v>4.3404130052955899E-3</v>
      </c>
      <c r="H431" s="734">
        <v>1.3547951556889301E-3</v>
      </c>
      <c r="I431" s="735">
        <v>1.27353990825603E-3</v>
      </c>
      <c r="J431" s="735">
        <v>1.3440595830077899E-3</v>
      </c>
      <c r="L431" s="84"/>
      <c r="M431" s="84"/>
      <c r="N431" s="84"/>
      <c r="O431" s="84"/>
      <c r="P431" s="84"/>
      <c r="Q431" s="84"/>
      <c r="R431" s="84"/>
      <c r="S431" s="84"/>
    </row>
    <row r="432" spans="1:19">
      <c r="A432" s="629" t="s">
        <v>871</v>
      </c>
      <c r="G432" s="629">
        <v>3.9634359331524698E-3</v>
      </c>
      <c r="H432" s="734">
        <v>1.3248453730945399E-3</v>
      </c>
      <c r="I432" s="735">
        <v>1.3076265127619699E-3</v>
      </c>
      <c r="J432" s="735">
        <v>1.31313446745712E-3</v>
      </c>
      <c r="L432" s="84"/>
      <c r="M432" s="84"/>
      <c r="N432" s="84"/>
      <c r="O432" s="84"/>
      <c r="P432" s="84"/>
      <c r="Q432" s="84"/>
      <c r="R432" s="84"/>
      <c r="S432" s="84"/>
    </row>
    <row r="433" spans="1:19">
      <c r="A433" s="629" t="s">
        <v>870</v>
      </c>
      <c r="G433" s="629">
        <v>3.6406254034731301E-3</v>
      </c>
      <c r="H433" s="734">
        <v>1.2443283364431199E-3</v>
      </c>
      <c r="I433" s="735">
        <v>1.3609203103591601E-3</v>
      </c>
      <c r="J433" s="735">
        <v>1.23061095248917E-3</v>
      </c>
      <c r="L433" s="84"/>
      <c r="M433" s="84"/>
      <c r="N433" s="84"/>
      <c r="O433" s="84"/>
      <c r="P433" s="84"/>
      <c r="Q433" s="84"/>
      <c r="R433" s="84"/>
      <c r="S433" s="84"/>
    </row>
    <row r="434" spans="1:19">
      <c r="A434" s="629" t="s">
        <v>869</v>
      </c>
      <c r="G434" s="629">
        <v>3.5425481041093201E-3</v>
      </c>
      <c r="H434" s="734">
        <v>1.2250231449691801E-3</v>
      </c>
      <c r="I434" s="735">
        <v>1.25718675917414E-3</v>
      </c>
      <c r="J434" s="735">
        <v>1.2105633244531499E-3</v>
      </c>
      <c r="L434" s="84"/>
      <c r="M434" s="84"/>
      <c r="N434" s="84"/>
      <c r="O434" s="84"/>
      <c r="P434" s="84"/>
      <c r="Q434" s="84"/>
      <c r="R434" s="84"/>
      <c r="S434" s="84"/>
    </row>
    <row r="435" spans="1:19">
      <c r="A435" s="629" t="s">
        <v>868</v>
      </c>
      <c r="G435" s="629">
        <v>3.28521055705586E-3</v>
      </c>
      <c r="H435" s="734">
        <v>1.19178077021183E-3</v>
      </c>
      <c r="I435" s="735">
        <v>1.3405919394595899E-3</v>
      </c>
      <c r="J435" s="735">
        <v>1.1764757632192E-3</v>
      </c>
      <c r="L435" s="84"/>
      <c r="M435" s="84"/>
      <c r="N435" s="84"/>
      <c r="O435" s="84"/>
      <c r="P435" s="84"/>
      <c r="Q435" s="84"/>
      <c r="R435" s="84"/>
      <c r="S435" s="84"/>
    </row>
    <row r="436" spans="1:19">
      <c r="A436" s="629" t="s">
        <v>867</v>
      </c>
      <c r="G436" s="629">
        <v>3.0173503195942801E-3</v>
      </c>
      <c r="H436" s="734">
        <v>1.28445890355557E-3</v>
      </c>
      <c r="I436" s="735">
        <v>1.3038005323640399E-3</v>
      </c>
      <c r="J436" s="735">
        <v>1.2685486303883099E-3</v>
      </c>
      <c r="L436" s="84"/>
      <c r="M436" s="84"/>
      <c r="N436" s="84"/>
      <c r="O436" s="84"/>
      <c r="P436" s="84"/>
      <c r="Q436" s="84"/>
      <c r="R436" s="84"/>
      <c r="S436" s="84"/>
    </row>
    <row r="437" spans="1:19">
      <c r="A437" s="629" t="s">
        <v>866</v>
      </c>
      <c r="G437" s="629">
        <v>3.1034558346055298E-3</v>
      </c>
      <c r="H437" s="734">
        <v>1.17448488225797E-3</v>
      </c>
      <c r="I437" s="735">
        <v>1.32219638620139E-3</v>
      </c>
      <c r="J437" s="735">
        <v>1.15666136151749E-3</v>
      </c>
      <c r="L437" s="84"/>
      <c r="M437" s="84"/>
      <c r="N437" s="84"/>
      <c r="O437" s="84"/>
      <c r="P437" s="84"/>
      <c r="Q437" s="84"/>
      <c r="R437" s="84"/>
      <c r="S437" s="84"/>
    </row>
    <row r="438" spans="1:19">
      <c r="A438" s="629" t="s">
        <v>865</v>
      </c>
      <c r="G438" s="629">
        <v>3.45465358509537E-3</v>
      </c>
      <c r="H438" s="734">
        <v>1.3348405248787901E-3</v>
      </c>
      <c r="I438" s="735">
        <v>1.4001872190015599E-3</v>
      </c>
      <c r="J438" s="735">
        <v>1.3135195489905401E-3</v>
      </c>
      <c r="L438" s="84"/>
      <c r="M438" s="84"/>
      <c r="N438" s="84"/>
      <c r="O438" s="84"/>
      <c r="P438" s="84"/>
      <c r="Q438" s="84"/>
      <c r="R438" s="84"/>
      <c r="S438" s="84"/>
    </row>
    <row r="439" spans="1:19">
      <c r="A439" s="629" t="s">
        <v>864</v>
      </c>
      <c r="G439" s="629">
        <v>3.18771155964631E-3</v>
      </c>
      <c r="H439" s="734">
        <v>1.2392657130921899E-3</v>
      </c>
      <c r="I439" s="735">
        <v>1.3359439895847601E-3</v>
      </c>
      <c r="J439" s="735">
        <v>1.2172564430791501E-3</v>
      </c>
      <c r="L439" s="84"/>
      <c r="M439" s="84"/>
      <c r="N439" s="84"/>
      <c r="O439" s="84"/>
      <c r="P439" s="84"/>
      <c r="Q439" s="84"/>
      <c r="R439" s="84"/>
      <c r="S439" s="84"/>
    </row>
    <row r="440" spans="1:19">
      <c r="A440" s="629" t="s">
        <v>863</v>
      </c>
      <c r="G440" s="629">
        <v>2.9312488286947699E-3</v>
      </c>
      <c r="H440" s="734">
        <v>1.1544379112013699E-3</v>
      </c>
      <c r="I440" s="735">
        <v>1.2185565923013E-3</v>
      </c>
      <c r="J440" s="735">
        <v>1.1313541895661501E-3</v>
      </c>
      <c r="L440" s="84"/>
      <c r="M440" s="84"/>
      <c r="N440" s="84"/>
      <c r="O440" s="84"/>
      <c r="P440" s="84"/>
      <c r="Q440" s="84"/>
      <c r="R440" s="84"/>
      <c r="S440" s="84"/>
    </row>
    <row r="441" spans="1:19">
      <c r="A441" s="629" t="s">
        <v>862</v>
      </c>
      <c r="G441" s="629">
        <v>2.7960838729749098E-3</v>
      </c>
      <c r="H441" s="734">
        <v>1.66211415811362E-3</v>
      </c>
      <c r="I441" s="735">
        <v>1.29629188238691E-3</v>
      </c>
      <c r="J441" s="735">
        <v>1.6442238431755799E-3</v>
      </c>
      <c r="L441" s="84"/>
      <c r="M441" s="84"/>
      <c r="N441" s="84"/>
      <c r="O441" s="84"/>
      <c r="P441" s="84"/>
      <c r="Q441" s="84"/>
      <c r="R441" s="84"/>
      <c r="S441" s="84"/>
    </row>
    <row r="442" spans="1:19">
      <c r="A442" s="629" t="s">
        <v>861</v>
      </c>
      <c r="G442" s="629">
        <v>3.72067577541316E-3</v>
      </c>
      <c r="H442" s="734">
        <v>2.52683423014697E-3</v>
      </c>
      <c r="I442" s="735">
        <v>2.1940062649167999E-3</v>
      </c>
      <c r="J442" s="735">
        <v>2.51764761213478E-3</v>
      </c>
      <c r="L442" s="84"/>
      <c r="M442" s="84"/>
      <c r="N442" s="84"/>
      <c r="O442" s="84"/>
      <c r="P442" s="84"/>
      <c r="Q442" s="84"/>
      <c r="R442" s="84"/>
      <c r="S442" s="84"/>
    </row>
    <row r="443" spans="1:19">
      <c r="A443" s="629" t="s">
        <v>860</v>
      </c>
      <c r="G443" s="629">
        <v>3.42910966329165E-3</v>
      </c>
      <c r="H443" s="734">
        <v>3.2762162067568701E-3</v>
      </c>
      <c r="I443" s="735">
        <v>2.3778684488622399E-3</v>
      </c>
      <c r="J443" s="735">
        <v>3.2755126687230201E-3</v>
      </c>
      <c r="L443" s="84"/>
      <c r="M443" s="84"/>
      <c r="N443" s="84"/>
      <c r="O443" s="84"/>
      <c r="P443" s="84"/>
      <c r="Q443" s="84"/>
      <c r="R443" s="84"/>
      <c r="S443" s="84"/>
    </row>
    <row r="444" spans="1:19">
      <c r="A444" s="629" t="s">
        <v>859</v>
      </c>
      <c r="G444" s="629">
        <v>3.1774496708442202E-3</v>
      </c>
      <c r="H444" s="734">
        <v>3.1597577498083699E-3</v>
      </c>
      <c r="I444" s="735">
        <v>2.5337748854205801E-3</v>
      </c>
      <c r="J444" s="735">
        <v>3.1767190528466101E-3</v>
      </c>
      <c r="L444" s="84"/>
      <c r="M444" s="84"/>
      <c r="N444" s="84"/>
      <c r="O444" s="84"/>
      <c r="P444" s="84"/>
      <c r="Q444" s="84"/>
      <c r="R444" s="84"/>
      <c r="S444" s="84"/>
    </row>
    <row r="445" spans="1:19">
      <c r="A445" s="629" t="s">
        <v>858</v>
      </c>
      <c r="G445" s="629">
        <v>2.9181015600452799E-3</v>
      </c>
      <c r="H445" s="734">
        <v>2.7223119419730502E-3</v>
      </c>
      <c r="I445" s="735">
        <v>2.3031998344175699E-3</v>
      </c>
      <c r="J445" s="735">
        <v>2.7388017567505502E-3</v>
      </c>
      <c r="L445" s="84"/>
      <c r="M445" s="84"/>
      <c r="N445" s="84"/>
      <c r="O445" s="84"/>
      <c r="P445" s="84"/>
      <c r="Q445" s="84"/>
      <c r="R445" s="84"/>
      <c r="S445" s="84"/>
    </row>
    <row r="446" spans="1:19">
      <c r="A446" s="629" t="s">
        <v>857</v>
      </c>
      <c r="G446" s="629">
        <v>2.7441173314685799E-3</v>
      </c>
      <c r="H446" s="734">
        <v>2.79177469613905E-3</v>
      </c>
      <c r="I446" s="735">
        <v>2.2391838205153801E-3</v>
      </c>
      <c r="J446" s="735">
        <v>2.8070103497264101E-3</v>
      </c>
      <c r="L446" s="84"/>
      <c r="M446" s="84"/>
      <c r="N446" s="84"/>
      <c r="O446" s="84"/>
      <c r="P446" s="84"/>
      <c r="Q446" s="84"/>
      <c r="R446" s="84"/>
      <c r="S446" s="84"/>
    </row>
    <row r="447" spans="1:19">
      <c r="A447" s="629" t="s">
        <v>856</v>
      </c>
      <c r="G447" s="629">
        <v>2.5475794021707198E-3</v>
      </c>
      <c r="H447" s="734">
        <v>2.4163782555950701E-3</v>
      </c>
      <c r="I447" s="735">
        <v>2.0134109835715898E-3</v>
      </c>
      <c r="J447" s="735">
        <v>2.4275555036329601E-3</v>
      </c>
      <c r="L447" s="84"/>
      <c r="M447" s="84"/>
      <c r="N447" s="84"/>
      <c r="O447" s="84"/>
      <c r="P447" s="84"/>
      <c r="Q447" s="84"/>
      <c r="R447" s="84"/>
      <c r="S447" s="84"/>
    </row>
    <row r="448" spans="1:19">
      <c r="A448" s="629" t="s">
        <v>855</v>
      </c>
      <c r="G448" s="629">
        <v>2.69086138211343E-3</v>
      </c>
      <c r="H448" s="734">
        <v>3.35929051037006E-3</v>
      </c>
      <c r="I448" s="735">
        <v>2.3362341846532202E-3</v>
      </c>
      <c r="J448" s="735">
        <v>3.39150941443817E-3</v>
      </c>
      <c r="L448" s="84"/>
      <c r="M448" s="84"/>
      <c r="N448" s="84"/>
      <c r="O448" s="84"/>
      <c r="P448" s="84"/>
      <c r="Q448" s="84"/>
      <c r="R448" s="84"/>
      <c r="S448" s="84"/>
    </row>
    <row r="449" spans="1:19">
      <c r="A449" s="629" t="s">
        <v>854</v>
      </c>
      <c r="D449" s="629">
        <v>4.3773631775935497E-3</v>
      </c>
      <c r="G449" s="629">
        <v>2.7780341559523998E-3</v>
      </c>
      <c r="H449" s="734">
        <v>2.8789210458239302E-3</v>
      </c>
      <c r="I449" s="735">
        <v>2.1518689349864901E-3</v>
      </c>
      <c r="J449" s="735">
        <v>2.9072447136252E-3</v>
      </c>
      <c r="L449" s="84"/>
      <c r="M449" s="84"/>
      <c r="N449" s="84"/>
      <c r="O449" s="84"/>
      <c r="P449" s="84"/>
      <c r="Q449" s="84"/>
      <c r="R449" s="84"/>
      <c r="S449" s="84"/>
    </row>
    <row r="450" spans="1:19">
      <c r="A450" s="629" t="s">
        <v>853</v>
      </c>
      <c r="D450" s="629">
        <v>5.3902028118981097E-3</v>
      </c>
      <c r="G450" s="629">
        <v>3.8182773925388401E-3</v>
      </c>
      <c r="H450" s="734">
        <v>2.6779497422560199E-3</v>
      </c>
      <c r="I450" s="735">
        <v>2.1863272941508899E-3</v>
      </c>
      <c r="J450" s="735">
        <v>2.7093850671923098E-3</v>
      </c>
      <c r="L450" s="84"/>
      <c r="M450" s="84"/>
      <c r="N450" s="84"/>
      <c r="O450" s="84"/>
      <c r="P450" s="84"/>
      <c r="Q450" s="84"/>
      <c r="R450" s="84"/>
      <c r="S450" s="84"/>
    </row>
    <row r="451" spans="1:19">
      <c r="A451" s="629" t="s">
        <v>852</v>
      </c>
      <c r="D451" s="629">
        <v>4.6174583754237204E-3</v>
      </c>
      <c r="G451" s="629">
        <v>3.69732258162509E-3</v>
      </c>
      <c r="H451" s="734">
        <v>2.4786225710717001E-3</v>
      </c>
      <c r="I451" s="735">
        <v>2.04119684127416E-3</v>
      </c>
      <c r="J451" s="735">
        <v>2.5043664401611801E-3</v>
      </c>
      <c r="L451" s="84"/>
      <c r="M451" s="84"/>
      <c r="N451" s="84"/>
      <c r="O451" s="84"/>
      <c r="P451" s="84"/>
      <c r="Q451" s="84"/>
      <c r="R451" s="84"/>
      <c r="S451" s="84"/>
    </row>
    <row r="452" spans="1:19">
      <c r="A452" s="629" t="s">
        <v>851</v>
      </c>
      <c r="D452" s="629">
        <v>3.67328180476633E-3</v>
      </c>
      <c r="G452" s="629">
        <v>4.1459457789928501E-3</v>
      </c>
      <c r="H452" s="734">
        <v>2.2451541832181699E-3</v>
      </c>
      <c r="I452" s="735">
        <v>1.8480551411092601E-3</v>
      </c>
      <c r="J452" s="735">
        <v>2.2686440685203099E-3</v>
      </c>
      <c r="L452" s="84"/>
      <c r="M452" s="84"/>
      <c r="N452" s="84"/>
      <c r="O452" s="84"/>
      <c r="P452" s="84"/>
      <c r="Q452" s="84"/>
      <c r="R452" s="84"/>
      <c r="S452" s="84"/>
    </row>
    <row r="453" spans="1:19">
      <c r="A453" s="629" t="s">
        <v>850</v>
      </c>
      <c r="D453" s="629">
        <v>5.7923889076956902E-3</v>
      </c>
      <c r="G453" s="629">
        <v>3.9574230674872301E-3</v>
      </c>
      <c r="H453" s="734">
        <v>2.1688930470209699E-3</v>
      </c>
      <c r="I453" s="735">
        <v>1.6947141188742301E-3</v>
      </c>
      <c r="J453" s="735">
        <v>2.1948006650159401E-3</v>
      </c>
      <c r="L453" s="84"/>
      <c r="M453" s="84"/>
      <c r="N453" s="84"/>
      <c r="O453" s="84"/>
      <c r="P453" s="84"/>
      <c r="Q453" s="84"/>
      <c r="R453" s="84"/>
      <c r="S453" s="84"/>
    </row>
    <row r="454" spans="1:19">
      <c r="A454" s="629" t="s">
        <v>849</v>
      </c>
      <c r="D454" s="629">
        <v>4.3076077399746299E-3</v>
      </c>
      <c r="G454" s="629">
        <v>3.79683290687022E-3</v>
      </c>
      <c r="H454" s="734">
        <v>1.9118131635643099E-3</v>
      </c>
      <c r="I454" s="735">
        <v>1.5309075362862699E-3</v>
      </c>
      <c r="J454" s="735">
        <v>1.9321662083394101E-3</v>
      </c>
      <c r="L454" s="84"/>
      <c r="M454" s="84"/>
      <c r="N454" s="84"/>
      <c r="O454" s="84"/>
      <c r="P454" s="84"/>
      <c r="Q454" s="84"/>
      <c r="R454" s="84"/>
      <c r="S454" s="84"/>
    </row>
    <row r="455" spans="1:19">
      <c r="A455" s="629" t="s">
        <v>848</v>
      </c>
      <c r="D455" s="629">
        <v>3.1711973652087098E-3</v>
      </c>
      <c r="G455" s="629">
        <v>3.47644674283155E-3</v>
      </c>
      <c r="H455" s="734">
        <v>1.78902333232356E-3</v>
      </c>
      <c r="I455" s="735">
        <v>1.4239170394181901E-3</v>
      </c>
      <c r="J455" s="735">
        <v>1.8039946334490499E-3</v>
      </c>
      <c r="L455" s="84"/>
      <c r="M455" s="84"/>
      <c r="N455" s="84"/>
      <c r="O455" s="84"/>
      <c r="P455" s="84"/>
      <c r="Q455" s="84"/>
      <c r="R455" s="84"/>
      <c r="S455" s="84"/>
    </row>
    <row r="456" spans="1:19">
      <c r="A456" s="629" t="s">
        <v>847</v>
      </c>
      <c r="D456" s="629">
        <v>3.54151123974847E-3</v>
      </c>
      <c r="G456" s="629">
        <v>3.1854522586114899E-3</v>
      </c>
      <c r="H456" s="734">
        <v>1.6049045311723601E-3</v>
      </c>
      <c r="I456" s="735">
        <v>1.2992503655139299E-3</v>
      </c>
      <c r="J456" s="735">
        <v>1.6124903723388E-3</v>
      </c>
      <c r="L456" s="84"/>
      <c r="M456" s="84"/>
      <c r="N456" s="84"/>
      <c r="O456" s="84"/>
      <c r="P456" s="84"/>
      <c r="Q456" s="84"/>
      <c r="R456" s="84"/>
      <c r="S456" s="84"/>
    </row>
    <row r="457" spans="1:19">
      <c r="A457" s="629" t="s">
        <v>846</v>
      </c>
      <c r="D457" s="629">
        <v>2.7139970088245402E-3</v>
      </c>
      <c r="G457" s="629">
        <v>3.01705437184585E-3</v>
      </c>
      <c r="H457" s="734">
        <v>1.7045304655859601E-3</v>
      </c>
      <c r="I457" s="735">
        <v>1.33230249682937E-3</v>
      </c>
      <c r="J457" s="735">
        <v>1.7130268306008701E-3</v>
      </c>
      <c r="L457" s="84"/>
      <c r="M457" s="84"/>
      <c r="N457" s="84"/>
      <c r="O457" s="84"/>
      <c r="P457" s="84"/>
      <c r="Q457" s="84"/>
      <c r="R457" s="84"/>
      <c r="S457" s="84"/>
    </row>
    <row r="458" spans="1:19">
      <c r="A458" s="629" t="s">
        <v>845</v>
      </c>
      <c r="D458" s="629">
        <v>2.48225339514528E-3</v>
      </c>
      <c r="G458" s="629">
        <v>3.0377010544990202E-3</v>
      </c>
      <c r="H458" s="734">
        <v>1.5626869533696701E-3</v>
      </c>
      <c r="I458" s="735">
        <v>1.3215287266048E-3</v>
      </c>
      <c r="J458" s="735">
        <v>1.5651133617350301E-3</v>
      </c>
      <c r="L458" s="84"/>
      <c r="M458" s="84"/>
      <c r="N458" s="84"/>
      <c r="O458" s="84"/>
      <c r="P458" s="84"/>
      <c r="Q458" s="84"/>
      <c r="R458" s="84"/>
      <c r="S458" s="84"/>
    </row>
    <row r="459" spans="1:19">
      <c r="A459" s="629" t="s">
        <v>844</v>
      </c>
      <c r="D459" s="629">
        <v>2.62319014877012E-3</v>
      </c>
      <c r="G459" s="629">
        <v>2.8287787263224502E-3</v>
      </c>
      <c r="H459" s="734">
        <v>1.4885591504352699E-3</v>
      </c>
      <c r="I459" s="735">
        <v>1.21414643240413E-3</v>
      </c>
      <c r="J459" s="735">
        <v>1.4896802994653401E-3</v>
      </c>
      <c r="L459" s="84"/>
      <c r="M459" s="84"/>
      <c r="N459" s="84"/>
      <c r="O459" s="84"/>
      <c r="P459" s="84"/>
      <c r="Q459" s="84"/>
      <c r="R459" s="84"/>
      <c r="S459" s="84"/>
    </row>
    <row r="460" spans="1:19">
      <c r="A460" s="629" t="s">
        <v>843</v>
      </c>
      <c r="D460" s="629">
        <v>2.88782939928816E-3</v>
      </c>
      <c r="G460" s="629">
        <v>2.7407560544977201E-3</v>
      </c>
      <c r="H460" s="734">
        <v>1.3613565189672899E-3</v>
      </c>
      <c r="I460" s="735">
        <v>1.13211315071683E-3</v>
      </c>
      <c r="J460" s="735">
        <v>1.35815118512418E-3</v>
      </c>
      <c r="L460" s="84"/>
      <c r="M460" s="84"/>
      <c r="N460" s="84"/>
      <c r="O460" s="84"/>
      <c r="P460" s="84"/>
      <c r="Q460" s="84"/>
      <c r="R460" s="84"/>
      <c r="S460" s="84"/>
    </row>
    <row r="461" spans="1:19">
      <c r="A461" s="629" t="s">
        <v>842</v>
      </c>
      <c r="D461" s="629">
        <v>2.5852377662098601E-3</v>
      </c>
      <c r="G461" s="629">
        <v>2.59635390781323E-3</v>
      </c>
      <c r="H461" s="734">
        <v>1.28119446277465E-3</v>
      </c>
      <c r="I461" s="735">
        <v>1.1145052290859501E-3</v>
      </c>
      <c r="J461" s="735">
        <v>1.27656179447765E-3</v>
      </c>
      <c r="L461" s="84"/>
      <c r="M461" s="84"/>
      <c r="N461" s="84"/>
      <c r="O461" s="84"/>
      <c r="P461" s="84"/>
      <c r="Q461" s="84"/>
      <c r="R461" s="84"/>
      <c r="S461" s="84"/>
    </row>
    <row r="462" spans="1:19">
      <c r="A462" s="629" t="s">
        <v>841</v>
      </c>
      <c r="D462" s="629">
        <v>2.2444492054557999E-3</v>
      </c>
      <c r="G462" s="629">
        <v>2.5705872284889999E-3</v>
      </c>
      <c r="H462" s="734">
        <v>1.22787083988445E-3</v>
      </c>
      <c r="I462" s="735">
        <v>1.03064132427757E-3</v>
      </c>
      <c r="J462" s="735">
        <v>1.22144150207571E-3</v>
      </c>
      <c r="L462" s="84"/>
      <c r="M462" s="84"/>
      <c r="N462" s="84"/>
      <c r="O462" s="84"/>
      <c r="P462" s="84"/>
      <c r="Q462" s="84"/>
      <c r="R462" s="84"/>
      <c r="S462" s="84"/>
    </row>
    <row r="463" spans="1:19">
      <c r="A463" s="629" t="s">
        <v>840</v>
      </c>
      <c r="D463" s="629">
        <v>2.9471404317377098E-3</v>
      </c>
      <c r="G463" s="629">
        <v>2.5989589858288098E-3</v>
      </c>
      <c r="H463" s="734">
        <v>1.1350207836638699E-3</v>
      </c>
      <c r="I463" s="735">
        <v>9.5232686550716505E-4</v>
      </c>
      <c r="J463" s="735">
        <v>1.12476915846727E-3</v>
      </c>
      <c r="L463" s="84"/>
      <c r="M463" s="84"/>
      <c r="N463" s="84"/>
      <c r="O463" s="84"/>
      <c r="P463" s="84"/>
      <c r="Q463" s="84"/>
      <c r="R463" s="84"/>
      <c r="S463" s="84"/>
    </row>
    <row r="464" spans="1:19">
      <c r="A464" s="629" t="s">
        <v>839</v>
      </c>
      <c r="D464" s="629">
        <v>2.4148855766813701E-3</v>
      </c>
      <c r="G464" s="629">
        <v>2.3976034199021299E-3</v>
      </c>
      <c r="H464" s="734">
        <v>1.0622570574198699E-3</v>
      </c>
      <c r="I464" s="735">
        <v>8.9171558652141104E-4</v>
      </c>
      <c r="J464" s="735">
        <v>1.0497822736906901E-3</v>
      </c>
      <c r="L464" s="84"/>
      <c r="M464" s="84"/>
      <c r="N464" s="84"/>
      <c r="O464" s="84"/>
      <c r="P464" s="84"/>
      <c r="Q464" s="84"/>
      <c r="R464" s="84"/>
      <c r="S464" s="84"/>
    </row>
    <row r="465" spans="1:19">
      <c r="A465" s="629" t="s">
        <v>838</v>
      </c>
      <c r="D465" s="629">
        <v>2.1339344267514498E-3</v>
      </c>
      <c r="G465" s="629">
        <v>2.3402600085220202E-3</v>
      </c>
      <c r="H465" s="734">
        <v>9.9120850425808292E-4</v>
      </c>
      <c r="I465" s="735">
        <v>8.3098543001563498E-4</v>
      </c>
      <c r="J465" s="735">
        <v>9.7548759553119199E-4</v>
      </c>
      <c r="L465" s="84"/>
      <c r="M465" s="84"/>
      <c r="N465" s="84"/>
      <c r="O465" s="84"/>
      <c r="P465" s="84"/>
      <c r="Q465" s="84"/>
      <c r="R465" s="84"/>
      <c r="S465" s="84"/>
    </row>
    <row r="466" spans="1:19">
      <c r="A466" s="629" t="s">
        <v>837</v>
      </c>
      <c r="D466" s="629">
        <v>2.0155099092296698E-3</v>
      </c>
      <c r="G466" s="629">
        <v>2.1878967141047501E-3</v>
      </c>
      <c r="H466" s="734">
        <v>9.4570599842515204E-4</v>
      </c>
      <c r="I466" s="735">
        <v>7.7813103908112196E-4</v>
      </c>
      <c r="J466" s="735">
        <v>9.2689028323612605E-4</v>
      </c>
      <c r="L466" s="84"/>
      <c r="M466" s="84"/>
      <c r="N466" s="84"/>
      <c r="O466" s="84"/>
      <c r="P466" s="84"/>
      <c r="Q466" s="84"/>
      <c r="R466" s="84"/>
      <c r="S466" s="84"/>
    </row>
    <row r="467" spans="1:19">
      <c r="A467" s="629" t="s">
        <v>836</v>
      </c>
      <c r="D467" s="629">
        <v>1.93458282289926E-3</v>
      </c>
      <c r="G467" s="629">
        <v>2.0500574700177002E-3</v>
      </c>
      <c r="H467" s="734">
        <v>9.1145043394703397E-4</v>
      </c>
      <c r="I467" s="735">
        <v>7.6820235469189397E-4</v>
      </c>
      <c r="J467" s="735">
        <v>8.9170379239420698E-4</v>
      </c>
      <c r="L467" s="84"/>
      <c r="M467" s="84"/>
      <c r="N467" s="84"/>
      <c r="O467" s="84"/>
      <c r="P467" s="84"/>
      <c r="Q467" s="84"/>
      <c r="R467" s="84"/>
      <c r="S467" s="84"/>
    </row>
    <row r="468" spans="1:19">
      <c r="A468" s="629" t="s">
        <v>835</v>
      </c>
      <c r="D468" s="629">
        <v>2.5337564756911799E-3</v>
      </c>
      <c r="G468" s="629">
        <v>1.9672254002535599E-3</v>
      </c>
      <c r="H468" s="734">
        <v>8.8998061504077597E-4</v>
      </c>
      <c r="I468" s="735">
        <v>9.14114988348352E-4</v>
      </c>
      <c r="J468" s="735">
        <v>8.6863382501107904E-4</v>
      </c>
      <c r="L468" s="84"/>
      <c r="M468" s="84"/>
      <c r="N468" s="84"/>
      <c r="O468" s="84"/>
      <c r="P468" s="84"/>
      <c r="Q468" s="84"/>
      <c r="R468" s="84"/>
      <c r="S468" s="84"/>
    </row>
    <row r="469" spans="1:19">
      <c r="A469" s="629" t="s">
        <v>834</v>
      </c>
      <c r="D469" s="629">
        <v>2.2349404065717198E-3</v>
      </c>
      <c r="G469" s="629">
        <v>2.08052807472825E-3</v>
      </c>
      <c r="H469" s="734">
        <v>8.9199898779264701E-4</v>
      </c>
      <c r="I469" s="735">
        <v>8.5070933679786504E-4</v>
      </c>
      <c r="J469" s="735">
        <v>8.6822058178134896E-4</v>
      </c>
      <c r="L469" s="84"/>
      <c r="M469" s="84"/>
      <c r="N469" s="84"/>
      <c r="O469" s="84"/>
      <c r="P469" s="84"/>
      <c r="Q469" s="84"/>
      <c r="R469" s="84"/>
      <c r="S469" s="84"/>
    </row>
    <row r="470" spans="1:19">
      <c r="A470" s="629" t="s">
        <v>833</v>
      </c>
      <c r="D470" s="629">
        <v>4.61350645307965E-3</v>
      </c>
      <c r="G470" s="629">
        <v>1.93445445990462E-3</v>
      </c>
      <c r="H470" s="734">
        <v>9.2618571123508498E-4</v>
      </c>
      <c r="I470" s="735">
        <v>8.1027870807212903E-4</v>
      </c>
      <c r="J470" s="735">
        <v>9.0199461614746696E-4</v>
      </c>
      <c r="L470" s="84"/>
      <c r="M470" s="84"/>
      <c r="N470" s="84"/>
      <c r="O470" s="84"/>
      <c r="P470" s="84"/>
      <c r="Q470" s="84"/>
      <c r="R470" s="84"/>
      <c r="S470" s="84"/>
    </row>
    <row r="471" spans="1:19">
      <c r="A471" s="629" t="s">
        <v>832</v>
      </c>
      <c r="D471" s="629">
        <v>4.7011186728716401E-3</v>
      </c>
      <c r="G471" s="629">
        <v>1.80946593718938E-3</v>
      </c>
      <c r="H471" s="734">
        <v>8.8080650150968299E-4</v>
      </c>
      <c r="I471" s="735">
        <v>7.7396398468195296E-4</v>
      </c>
      <c r="J471" s="735">
        <v>8.5505923877952504E-4</v>
      </c>
      <c r="L471" s="84"/>
      <c r="M471" s="84"/>
      <c r="N471" s="84"/>
      <c r="O471" s="84"/>
      <c r="P471" s="84"/>
      <c r="Q471" s="84"/>
      <c r="R471" s="84"/>
      <c r="S471" s="84"/>
    </row>
    <row r="472" spans="1:19">
      <c r="A472" s="629" t="s">
        <v>831</v>
      </c>
      <c r="D472" s="629">
        <v>3.3152505247312399E-3</v>
      </c>
      <c r="G472" s="629">
        <v>1.6907219754176701E-3</v>
      </c>
      <c r="H472" s="734">
        <v>8.4628790079376102E-4</v>
      </c>
      <c r="I472" s="735">
        <v>7.32524501957227E-4</v>
      </c>
      <c r="J472" s="735">
        <v>8.1885878326007702E-4</v>
      </c>
      <c r="L472" s="84"/>
      <c r="M472" s="84"/>
      <c r="N472" s="84"/>
      <c r="O472" s="84"/>
      <c r="P472" s="84"/>
      <c r="Q472" s="84"/>
      <c r="R472" s="84"/>
      <c r="S472" s="84"/>
    </row>
    <row r="473" spans="1:19">
      <c r="A473" s="629" t="s">
        <v>830</v>
      </c>
      <c r="D473" s="629">
        <v>3.1642587509551198E-3</v>
      </c>
      <c r="G473" s="629">
        <v>1.58357261605417E-3</v>
      </c>
      <c r="H473" s="734">
        <v>8.1371697151600396E-4</v>
      </c>
      <c r="I473" s="735">
        <v>6.9339610318889199E-4</v>
      </c>
      <c r="J473" s="735">
        <v>7.8496072698994895E-4</v>
      </c>
      <c r="L473" s="84"/>
      <c r="M473" s="84"/>
      <c r="N473" s="84"/>
      <c r="O473" s="84"/>
      <c r="P473" s="84"/>
      <c r="Q473" s="84"/>
      <c r="R473" s="84"/>
      <c r="S473" s="84"/>
    </row>
    <row r="474" spans="1:19">
      <c r="A474" s="629" t="s">
        <v>829</v>
      </c>
      <c r="D474" s="629">
        <v>4.1802107204878397E-3</v>
      </c>
      <c r="G474" s="629">
        <v>1.48831255404769E-3</v>
      </c>
      <c r="H474" s="734">
        <v>8.9444248522374504E-4</v>
      </c>
      <c r="I474" s="735">
        <v>7.6982215729532897E-4</v>
      </c>
      <c r="J474" s="735">
        <v>8.6553286441919E-4</v>
      </c>
      <c r="L474" s="84"/>
      <c r="M474" s="84"/>
      <c r="N474" s="84"/>
      <c r="O474" s="84"/>
      <c r="P474" s="84"/>
      <c r="Q474" s="84"/>
      <c r="R474" s="84"/>
      <c r="S474" s="84"/>
    </row>
    <row r="475" spans="1:19">
      <c r="A475" s="629" t="s">
        <v>828</v>
      </c>
      <c r="D475" s="629">
        <v>3.0490701223662999E-3</v>
      </c>
      <c r="G475" s="629">
        <v>1.7120296668220599E-3</v>
      </c>
      <c r="H475" s="734">
        <v>8.5430565118031201E-4</v>
      </c>
      <c r="I475" s="735">
        <v>7.2618563529076201E-4</v>
      </c>
      <c r="J475" s="735">
        <v>8.2458435073956896E-4</v>
      </c>
      <c r="L475" s="84"/>
      <c r="M475" s="84"/>
      <c r="N475" s="84"/>
      <c r="O475" s="84"/>
      <c r="P475" s="84"/>
      <c r="Q475" s="84"/>
      <c r="R475" s="84"/>
      <c r="S475" s="84"/>
    </row>
    <row r="476" spans="1:19">
      <c r="A476" s="629" t="s">
        <v>827</v>
      </c>
      <c r="D476" s="629">
        <v>2.5470376196108902E-3</v>
      </c>
      <c r="G476" s="629">
        <v>1.7887151423242799E-3</v>
      </c>
      <c r="H476" s="734">
        <v>8.7101406361703203E-4</v>
      </c>
      <c r="I476" s="735">
        <v>6.88249827341412E-4</v>
      </c>
      <c r="J476" s="735">
        <v>8.3867041141494499E-4</v>
      </c>
      <c r="L476" s="84"/>
      <c r="M476" s="84"/>
      <c r="N476" s="84"/>
      <c r="O476" s="84"/>
      <c r="P476" s="84"/>
      <c r="Q476" s="84"/>
      <c r="R476" s="84"/>
      <c r="S476" s="84"/>
    </row>
    <row r="477" spans="1:19">
      <c r="A477" s="629" t="s">
        <v>826</v>
      </c>
      <c r="D477" s="629">
        <v>2.3811600698398802E-3</v>
      </c>
      <c r="G477" s="629">
        <v>1.6702639606524601E-3</v>
      </c>
      <c r="H477" s="734">
        <v>9.4855660597937196E-4</v>
      </c>
      <c r="I477" s="735">
        <v>6.5733692764534098E-4</v>
      </c>
      <c r="J477" s="735">
        <v>9.1717092570669698E-4</v>
      </c>
      <c r="L477" s="84"/>
      <c r="M477" s="84"/>
      <c r="N477" s="84"/>
      <c r="O477" s="84"/>
      <c r="P477" s="84"/>
      <c r="Q477" s="84"/>
      <c r="R477" s="84"/>
      <c r="S477" s="84"/>
    </row>
    <row r="478" spans="1:19">
      <c r="A478" s="629" t="s">
        <v>825</v>
      </c>
      <c r="D478" s="629">
        <v>2.1716793021399998E-3</v>
      </c>
      <c r="G478" s="629">
        <v>1.57196634129594E-3</v>
      </c>
      <c r="H478" s="734">
        <v>9.0877908699501196E-4</v>
      </c>
      <c r="I478" s="735">
        <v>6.4496263427730105E-4</v>
      </c>
      <c r="J478" s="735">
        <v>8.7724600625531401E-4</v>
      </c>
      <c r="L478" s="84"/>
      <c r="M478" s="84"/>
      <c r="N478" s="84"/>
      <c r="O478" s="84"/>
      <c r="P478" s="84"/>
      <c r="Q478" s="84"/>
      <c r="R478" s="84"/>
      <c r="S478" s="84"/>
    </row>
    <row r="479" spans="1:19">
      <c r="A479" s="629" t="s">
        <v>824</v>
      </c>
      <c r="D479" s="629">
        <v>2.7007722193304099E-3</v>
      </c>
      <c r="G479" s="629">
        <v>1.6346632097280699E-3</v>
      </c>
      <c r="H479" s="734">
        <v>1.2439367648105599E-3</v>
      </c>
      <c r="I479" s="735">
        <v>7.7705958451422302E-4</v>
      </c>
      <c r="J479" s="735">
        <v>1.21052402405119E-3</v>
      </c>
      <c r="L479" s="84"/>
      <c r="M479" s="84"/>
      <c r="N479" s="84"/>
      <c r="O479" s="84"/>
      <c r="P479" s="84"/>
      <c r="Q479" s="84"/>
      <c r="R479" s="84"/>
      <c r="S479" s="84"/>
    </row>
    <row r="480" spans="1:19">
      <c r="A480" s="629" t="s">
        <v>823</v>
      </c>
      <c r="D480" s="629">
        <v>3.2767610228369602E-3</v>
      </c>
      <c r="G480" s="629">
        <v>1.5341242192397301E-3</v>
      </c>
      <c r="H480" s="734">
        <v>1.1477263078272901E-3</v>
      </c>
      <c r="I480" s="735">
        <v>7.3404655870685403E-4</v>
      </c>
      <c r="J480" s="735">
        <v>1.11564058284746E-3</v>
      </c>
      <c r="L480" s="84"/>
      <c r="M480" s="84"/>
      <c r="N480" s="84"/>
      <c r="O480" s="84"/>
      <c r="P480" s="84"/>
      <c r="Q480" s="84"/>
      <c r="R480" s="84"/>
      <c r="S480" s="84"/>
    </row>
    <row r="481" spans="1:19">
      <c r="A481" s="629" t="s">
        <v>822</v>
      </c>
      <c r="D481" s="629">
        <v>2.8334066217653299E-3</v>
      </c>
      <c r="G481" s="629">
        <v>1.47807593240215E-3</v>
      </c>
      <c r="H481" s="734">
        <v>1.11345801545234E-3</v>
      </c>
      <c r="I481" s="735">
        <v>6.9569296264871696E-4</v>
      </c>
      <c r="J481" s="735">
        <v>1.08460291773998E-3</v>
      </c>
      <c r="L481" s="84"/>
      <c r="M481" s="84"/>
      <c r="N481" s="84"/>
      <c r="O481" s="84"/>
      <c r="P481" s="84"/>
      <c r="Q481" s="84"/>
      <c r="R481" s="84"/>
      <c r="S481" s="84"/>
    </row>
    <row r="482" spans="1:19">
      <c r="A482" s="629" t="s">
        <v>821</v>
      </c>
      <c r="D482" s="629">
        <v>2.79192513948232E-3</v>
      </c>
      <c r="G482" s="629">
        <v>1.3925339904496401E-3</v>
      </c>
      <c r="H482" s="734">
        <v>1.1247441264003099E-3</v>
      </c>
      <c r="I482" s="735">
        <v>6.8237383734333899E-4</v>
      </c>
      <c r="J482" s="735">
        <v>1.09789517007913E-3</v>
      </c>
      <c r="L482" s="84"/>
      <c r="M482" s="84"/>
      <c r="N482" s="84"/>
      <c r="O482" s="84"/>
      <c r="P482" s="84"/>
      <c r="Q482" s="84"/>
      <c r="R482" s="84"/>
      <c r="S482" s="84"/>
    </row>
    <row r="483" spans="1:19">
      <c r="A483" s="629" t="s">
        <v>820</v>
      </c>
      <c r="D483" s="629">
        <v>2.4779086969652802E-3</v>
      </c>
      <c r="G483" s="629">
        <v>1.3986731080191199E-3</v>
      </c>
      <c r="H483" s="734">
        <v>1.10593058473001E-3</v>
      </c>
      <c r="I483" s="735">
        <v>6.5504401307851605E-4</v>
      </c>
      <c r="J483" s="735">
        <v>1.0794552220805701E-3</v>
      </c>
      <c r="L483" s="84"/>
      <c r="M483" s="84"/>
      <c r="N483" s="84"/>
      <c r="O483" s="84"/>
      <c r="P483" s="84"/>
      <c r="Q483" s="84"/>
      <c r="R483" s="84"/>
      <c r="S483" s="84"/>
    </row>
    <row r="484" spans="1:19">
      <c r="A484" s="629" t="s">
        <v>819</v>
      </c>
      <c r="D484" s="629">
        <v>2.6186156652877302E-3</v>
      </c>
      <c r="G484" s="629">
        <v>1.3751085408274101E-3</v>
      </c>
      <c r="H484" s="734">
        <v>1.0405728991518201E-3</v>
      </c>
      <c r="I484" s="735">
        <v>6.5372288785347805E-4</v>
      </c>
      <c r="J484" s="735">
        <v>1.0128192066750101E-3</v>
      </c>
      <c r="L484" s="84"/>
      <c r="M484" s="84"/>
      <c r="N484" s="84"/>
      <c r="O484" s="84"/>
      <c r="P484" s="84"/>
      <c r="Q484" s="84"/>
      <c r="R484" s="84"/>
      <c r="S484" s="84"/>
    </row>
    <row r="485" spans="1:19">
      <c r="A485" s="629" t="s">
        <v>818</v>
      </c>
      <c r="D485" s="629">
        <v>2.9171450325207499E-3</v>
      </c>
      <c r="G485" s="629">
        <v>1.6465859305397599E-3</v>
      </c>
      <c r="H485" s="734">
        <v>9.7511515002874803E-4</v>
      </c>
      <c r="I485" s="735">
        <v>6.2685624973800997E-4</v>
      </c>
      <c r="J485" s="735">
        <v>9.4689522055044001E-4</v>
      </c>
      <c r="L485" s="84"/>
      <c r="M485" s="84"/>
      <c r="N485" s="84"/>
      <c r="O485" s="84"/>
      <c r="P485" s="84"/>
      <c r="Q485" s="84"/>
      <c r="R485" s="84"/>
      <c r="S485" s="84"/>
    </row>
    <row r="486" spans="1:19">
      <c r="A486" s="629" t="s">
        <v>817</v>
      </c>
      <c r="D486" s="629">
        <v>2.9418047412739898E-3</v>
      </c>
      <c r="G486" s="629">
        <v>1.75074979291825E-3</v>
      </c>
      <c r="H486" s="734">
        <v>9.1958157078350601E-4</v>
      </c>
      <c r="I486" s="735">
        <v>7.2932269743208801E-4</v>
      </c>
      <c r="J486" s="735">
        <v>8.9054453272820698E-4</v>
      </c>
      <c r="L486" s="84"/>
      <c r="M486" s="84"/>
      <c r="N486" s="84"/>
      <c r="O486" s="84"/>
      <c r="P486" s="84"/>
      <c r="Q486" s="84"/>
      <c r="R486" s="84"/>
      <c r="S486" s="84"/>
    </row>
    <row r="487" spans="1:19">
      <c r="A487" s="629" t="s">
        <v>816</v>
      </c>
      <c r="D487" s="629">
        <v>2.5715257131752301E-3</v>
      </c>
      <c r="G487" s="629">
        <v>1.81584299236401E-3</v>
      </c>
      <c r="H487" s="734">
        <v>9.2261123912376402E-4</v>
      </c>
      <c r="I487" s="735">
        <v>9.2278775227465403E-4</v>
      </c>
      <c r="J487" s="735">
        <v>8.9462544622525002E-4</v>
      </c>
      <c r="L487" s="84"/>
      <c r="M487" s="84"/>
      <c r="N487" s="84"/>
      <c r="O487" s="84"/>
      <c r="P487" s="84"/>
      <c r="Q487" s="84"/>
      <c r="R487" s="84"/>
      <c r="S487" s="84"/>
    </row>
    <row r="488" spans="1:19">
      <c r="A488" s="629" t="s">
        <v>815</v>
      </c>
      <c r="D488" s="629">
        <v>2.3474134068413701E-3</v>
      </c>
      <c r="G488" s="629">
        <v>1.69559066861665E-3</v>
      </c>
      <c r="H488" s="734">
        <v>9.7385377540859205E-4</v>
      </c>
      <c r="I488" s="735">
        <v>8.6896834904317698E-4</v>
      </c>
      <c r="J488" s="735">
        <v>9.4444230624172196E-4</v>
      </c>
      <c r="L488" s="84"/>
      <c r="M488" s="84"/>
      <c r="N488" s="84"/>
      <c r="O488" s="84"/>
      <c r="P488" s="84"/>
      <c r="Q488" s="84"/>
      <c r="R488" s="84"/>
      <c r="S488" s="84"/>
    </row>
    <row r="489" spans="1:19">
      <c r="A489" s="629" t="s">
        <v>814</v>
      </c>
      <c r="D489" s="629">
        <v>2.2540976599057499E-3</v>
      </c>
      <c r="G489" s="629">
        <v>1.6746688570197E-3</v>
      </c>
      <c r="H489" s="734">
        <v>9.49502658768276E-4</v>
      </c>
      <c r="I489" s="735">
        <v>8.2512021709551695E-4</v>
      </c>
      <c r="J489" s="735">
        <v>9.19258426232526E-4</v>
      </c>
      <c r="L489" s="84"/>
      <c r="M489" s="84"/>
      <c r="N489" s="84"/>
      <c r="O489" s="84"/>
      <c r="P489" s="84"/>
      <c r="Q489" s="84"/>
      <c r="R489" s="84"/>
      <c r="S489" s="84"/>
    </row>
    <row r="490" spans="1:19">
      <c r="A490" s="629" t="s">
        <v>813</v>
      </c>
      <c r="D490" s="629">
        <v>2.22601231421525E-3</v>
      </c>
      <c r="G490" s="629">
        <v>1.5923157050705E-3</v>
      </c>
      <c r="H490" s="734">
        <v>1.3107974966271999E-3</v>
      </c>
      <c r="I490" s="735">
        <v>9.0614538849112796E-4</v>
      </c>
      <c r="J490" s="735">
        <v>1.28091181439202E-3</v>
      </c>
      <c r="L490" s="84"/>
      <c r="M490" s="84"/>
      <c r="N490" s="84"/>
      <c r="O490" s="84"/>
      <c r="P490" s="84"/>
      <c r="Q490" s="84"/>
      <c r="R490" s="84"/>
      <c r="S490" s="84"/>
    </row>
    <row r="491" spans="1:19">
      <c r="A491" s="629" t="s">
        <v>812</v>
      </c>
      <c r="D491" s="629">
        <v>2.8012804329343301E-3</v>
      </c>
      <c r="G491" s="629">
        <v>1.49955833463107E-3</v>
      </c>
      <c r="H491" s="734">
        <v>1.2615222881951201E-3</v>
      </c>
      <c r="I491" s="735">
        <v>9.0513559507037801E-4</v>
      </c>
      <c r="J491" s="735">
        <v>1.2319992199891501E-3</v>
      </c>
      <c r="L491" s="84"/>
      <c r="M491" s="84"/>
      <c r="N491" s="84"/>
      <c r="O491" s="84"/>
      <c r="P491" s="84"/>
      <c r="Q491" s="84"/>
      <c r="R491" s="84"/>
      <c r="S491" s="84"/>
    </row>
    <row r="492" spans="1:19">
      <c r="A492" s="629" t="s">
        <v>811</v>
      </c>
      <c r="D492" s="629">
        <v>2.3738592503036102E-3</v>
      </c>
      <c r="G492" s="629">
        <v>1.4756245224151201E-3</v>
      </c>
      <c r="H492" s="734">
        <v>1.2053401800727101E-3</v>
      </c>
      <c r="I492" s="735">
        <v>8.4512590137112299E-4</v>
      </c>
      <c r="J492" s="735">
        <v>1.1768905508876899E-3</v>
      </c>
      <c r="L492" s="84"/>
      <c r="M492" s="84"/>
      <c r="N492" s="84"/>
      <c r="O492" s="84"/>
      <c r="P492" s="84"/>
      <c r="Q492" s="84"/>
      <c r="R492" s="84"/>
      <c r="S492" s="84"/>
    </row>
    <row r="493" spans="1:19">
      <c r="A493" s="629" t="s">
        <v>810</v>
      </c>
      <c r="D493" s="629">
        <v>6.5375117733635704E-3</v>
      </c>
      <c r="G493" s="629">
        <v>1.5246359566931801E-3</v>
      </c>
      <c r="H493" s="734">
        <v>1.9542093612644599E-3</v>
      </c>
      <c r="I493" s="735">
        <v>1.7290989016111799E-3</v>
      </c>
      <c r="J493" s="735">
        <v>1.92969692293902E-3</v>
      </c>
      <c r="L493" s="84"/>
      <c r="M493" s="84"/>
      <c r="N493" s="84"/>
      <c r="O493" s="84"/>
      <c r="P493" s="84"/>
      <c r="Q493" s="84"/>
      <c r="R493" s="84"/>
      <c r="S493" s="84"/>
    </row>
    <row r="494" spans="1:19">
      <c r="A494" s="629" t="s">
        <v>809</v>
      </c>
      <c r="D494" s="629">
        <v>1.00971383816675E-2</v>
      </c>
      <c r="G494" s="629">
        <v>1.43975150181429E-3</v>
      </c>
      <c r="H494" s="734">
        <v>1.7549249904161299E-3</v>
      </c>
      <c r="I494" s="735">
        <v>1.73318071660496E-3</v>
      </c>
      <c r="J494" s="735">
        <v>1.7313737603827501E-3</v>
      </c>
      <c r="L494" s="84"/>
      <c r="M494" s="84"/>
      <c r="N494" s="84"/>
      <c r="O494" s="84"/>
      <c r="P494" s="84"/>
      <c r="Q494" s="84"/>
      <c r="R494" s="84"/>
      <c r="S494" s="84"/>
    </row>
    <row r="495" spans="1:19">
      <c r="A495" s="629" t="s">
        <v>808</v>
      </c>
      <c r="D495" s="629">
        <v>8.3456644206980693E-3</v>
      </c>
      <c r="G495" s="629">
        <v>1.3831494044367499E-3</v>
      </c>
      <c r="H495" s="734">
        <v>1.7692491832228801E-3</v>
      </c>
      <c r="I495" s="735">
        <v>2.4275587701687298E-3</v>
      </c>
      <c r="J495" s="735">
        <v>1.7505031641096699E-3</v>
      </c>
      <c r="L495" s="84"/>
      <c r="M495" s="84"/>
      <c r="N495" s="84"/>
      <c r="O495" s="84"/>
      <c r="P495" s="84"/>
      <c r="Q495" s="84"/>
      <c r="R495" s="84"/>
      <c r="S495" s="84"/>
    </row>
    <row r="496" spans="1:19">
      <c r="A496" s="629" t="s">
        <v>807</v>
      </c>
      <c r="D496" s="629">
        <v>7.0129214352448203E-3</v>
      </c>
      <c r="G496" s="629">
        <v>1.3062350668321099E-3</v>
      </c>
      <c r="H496" s="734">
        <v>1.5720477711112699E-3</v>
      </c>
      <c r="I496" s="735">
        <v>2.1972696000629802E-3</v>
      </c>
      <c r="J496" s="735">
        <v>1.5532140043471099E-3</v>
      </c>
      <c r="L496" s="84"/>
      <c r="M496" s="84"/>
      <c r="N496" s="84"/>
      <c r="O496" s="84"/>
      <c r="P496" s="84"/>
      <c r="Q496" s="84"/>
      <c r="R496" s="84"/>
      <c r="S496" s="84"/>
    </row>
    <row r="497" spans="1:19">
      <c r="A497" s="629" t="s">
        <v>806</v>
      </c>
      <c r="D497" s="629">
        <v>4.5548497933748299E-3</v>
      </c>
      <c r="G497" s="629">
        <v>1.3615412931354499E-3</v>
      </c>
      <c r="H497" s="734">
        <v>1.4194795481451399E-3</v>
      </c>
      <c r="I497" s="735">
        <v>1.99020266849439E-3</v>
      </c>
      <c r="J497" s="735">
        <v>1.4001931548192001E-3</v>
      </c>
      <c r="L497" s="84"/>
      <c r="M497" s="84"/>
      <c r="N497" s="84"/>
      <c r="O497" s="84"/>
      <c r="P497" s="84"/>
      <c r="Q497" s="84"/>
      <c r="R497" s="84"/>
      <c r="S497" s="84"/>
    </row>
    <row r="498" spans="1:19">
      <c r="A498" s="629" t="s">
        <v>805</v>
      </c>
      <c r="D498" s="629">
        <v>3.3406361428300201E-3</v>
      </c>
      <c r="G498" s="629">
        <v>2.7664399027836199E-3</v>
      </c>
      <c r="H498" s="734">
        <v>1.9507612479176301E-3</v>
      </c>
      <c r="I498" s="735">
        <v>1.8294805951625101E-3</v>
      </c>
      <c r="J498" s="735">
        <v>1.9424504648223699E-3</v>
      </c>
      <c r="L498" s="84"/>
      <c r="M498" s="84"/>
      <c r="N498" s="84"/>
      <c r="O498" s="84"/>
      <c r="P498" s="84"/>
      <c r="Q498" s="84"/>
      <c r="R498" s="84"/>
      <c r="S498" s="84"/>
    </row>
    <row r="499" spans="1:19">
      <c r="A499" s="629" t="s">
        <v>804</v>
      </c>
      <c r="D499" s="629">
        <v>2.6113308808588401E-3</v>
      </c>
      <c r="G499" s="629">
        <v>2.6168577339093701E-3</v>
      </c>
      <c r="H499" s="734">
        <v>1.72179852927125E-3</v>
      </c>
      <c r="I499" s="735">
        <v>1.70465207293059E-3</v>
      </c>
      <c r="J499" s="735">
        <v>1.71221587846661E-3</v>
      </c>
      <c r="L499" s="84"/>
      <c r="M499" s="84"/>
      <c r="N499" s="84"/>
      <c r="O499" s="84"/>
      <c r="P499" s="84"/>
      <c r="Q499" s="84"/>
      <c r="R499" s="84"/>
      <c r="S499" s="84"/>
    </row>
    <row r="500" spans="1:19">
      <c r="A500" s="629" t="s">
        <v>803</v>
      </c>
      <c r="D500" s="629">
        <v>2.4837199447627399E-3</v>
      </c>
      <c r="G500" s="629">
        <v>2.4182699698354401E-3</v>
      </c>
      <c r="H500" s="734">
        <v>1.66434748039262E-3</v>
      </c>
      <c r="I500" s="735">
        <v>1.55651769162526E-3</v>
      </c>
      <c r="J500" s="735">
        <v>1.65639058575375E-3</v>
      </c>
      <c r="L500" s="84"/>
      <c r="M500" s="84"/>
      <c r="N500" s="84"/>
      <c r="O500" s="84"/>
      <c r="P500" s="84"/>
      <c r="Q500" s="84"/>
      <c r="R500" s="84"/>
      <c r="S500" s="84"/>
    </row>
    <row r="501" spans="1:19">
      <c r="A501" s="629" t="s">
        <v>802</v>
      </c>
      <c r="D501" s="629">
        <v>4.74314854996352E-3</v>
      </c>
      <c r="G501" s="629">
        <v>2.3054477250120499E-3</v>
      </c>
      <c r="H501" s="734">
        <v>1.64657908894982E-3</v>
      </c>
      <c r="I501" s="735">
        <v>1.42942724651245E-3</v>
      </c>
      <c r="J501" s="735">
        <v>1.63638922237226E-3</v>
      </c>
      <c r="L501" s="84"/>
      <c r="M501" s="84"/>
      <c r="N501" s="84"/>
      <c r="O501" s="84"/>
      <c r="P501" s="84"/>
      <c r="Q501" s="84"/>
      <c r="R501" s="84"/>
      <c r="S501" s="84"/>
    </row>
    <row r="502" spans="1:19">
      <c r="A502" s="629" t="s">
        <v>801</v>
      </c>
      <c r="D502" s="629">
        <v>4.1469958578156801E-3</v>
      </c>
      <c r="G502" s="629">
        <v>2.1434154799692502E-3</v>
      </c>
      <c r="H502" s="734">
        <v>1.89592701869042E-3</v>
      </c>
      <c r="I502" s="735">
        <v>1.65502834513457E-3</v>
      </c>
      <c r="J502" s="735">
        <v>1.8825846539657701E-3</v>
      </c>
      <c r="L502" s="84"/>
      <c r="M502" s="84"/>
      <c r="N502" s="84"/>
      <c r="O502" s="84"/>
      <c r="P502" s="84"/>
      <c r="Q502" s="84"/>
      <c r="R502" s="84"/>
      <c r="S502" s="84"/>
    </row>
    <row r="503" spans="1:19">
      <c r="A503" s="629" t="s">
        <v>800</v>
      </c>
      <c r="D503" s="629">
        <v>5.7017660780448497E-3</v>
      </c>
      <c r="G503" s="629">
        <v>2.02218722575353E-3</v>
      </c>
      <c r="H503" s="734">
        <v>1.68737680948561E-3</v>
      </c>
      <c r="I503" s="735">
        <v>1.54136279830514E-3</v>
      </c>
      <c r="J503" s="735">
        <v>1.6734760556215401E-3</v>
      </c>
      <c r="L503" s="84"/>
      <c r="M503" s="84"/>
      <c r="N503" s="84"/>
      <c r="O503" s="84"/>
      <c r="P503" s="84"/>
      <c r="Q503" s="84"/>
      <c r="R503" s="84"/>
      <c r="S503" s="84"/>
    </row>
    <row r="504" spans="1:19">
      <c r="A504" s="629" t="s">
        <v>799</v>
      </c>
      <c r="D504" s="629">
        <v>4.3387611877264299E-3</v>
      </c>
      <c r="G504" s="629">
        <v>1.88168763714086E-3</v>
      </c>
      <c r="H504" s="734">
        <v>1.68656970716249E-3</v>
      </c>
      <c r="I504" s="735">
        <v>1.4156161471838599E-3</v>
      </c>
      <c r="J504" s="735">
        <v>1.6760031501330899E-3</v>
      </c>
      <c r="L504" s="84"/>
      <c r="M504" s="84"/>
      <c r="N504" s="84"/>
      <c r="O504" s="84"/>
      <c r="P504" s="84"/>
      <c r="Q504" s="84"/>
      <c r="R504" s="84"/>
      <c r="S504" s="84"/>
    </row>
    <row r="505" spans="1:19">
      <c r="A505" s="629" t="s">
        <v>798</v>
      </c>
      <c r="D505" s="629">
        <v>3.3732717875856501E-3</v>
      </c>
      <c r="G505" s="629">
        <v>1.7795618294887501E-3</v>
      </c>
      <c r="H505" s="734">
        <v>1.5390775982896E-3</v>
      </c>
      <c r="I505" s="735">
        <v>1.30744703682299E-3</v>
      </c>
      <c r="J505" s="735">
        <v>1.5269082398244201E-3</v>
      </c>
      <c r="L505" s="84"/>
      <c r="M505" s="84"/>
      <c r="N505" s="84"/>
      <c r="O505" s="84"/>
      <c r="P505" s="84"/>
      <c r="Q505" s="84"/>
      <c r="R505" s="84"/>
      <c r="S505" s="84"/>
    </row>
    <row r="506" spans="1:19">
      <c r="A506" s="629" t="s">
        <v>797</v>
      </c>
      <c r="D506" s="629">
        <v>3.3124765527857399E-3</v>
      </c>
      <c r="G506" s="629">
        <v>1.66279824973974E-3</v>
      </c>
      <c r="H506" s="734">
        <v>1.4676401312976599E-3</v>
      </c>
      <c r="I506" s="735">
        <v>1.20556918025075E-3</v>
      </c>
      <c r="J506" s="735">
        <v>1.45309237012112E-3</v>
      </c>
      <c r="L506" s="84"/>
      <c r="M506" s="84"/>
      <c r="N506" s="84"/>
      <c r="O506" s="84"/>
      <c r="P506" s="84"/>
      <c r="Q506" s="84"/>
      <c r="R506" s="84"/>
      <c r="S506" s="84"/>
    </row>
    <row r="507" spans="1:19">
      <c r="A507" s="629" t="s">
        <v>796</v>
      </c>
      <c r="D507" s="629">
        <v>3.3419533104181E-3</v>
      </c>
      <c r="G507" s="629">
        <v>1.6036321696715401E-3</v>
      </c>
      <c r="H507" s="734">
        <v>1.4990175317869999E-3</v>
      </c>
      <c r="I507" s="735">
        <v>1.54744243912878E-3</v>
      </c>
      <c r="J507" s="735">
        <v>1.48393424688458E-3</v>
      </c>
      <c r="L507" s="84"/>
      <c r="M507" s="84"/>
      <c r="N507" s="84"/>
      <c r="O507" s="84"/>
      <c r="P507" s="84"/>
      <c r="Q507" s="84"/>
      <c r="R507" s="84"/>
      <c r="S507" s="84"/>
    </row>
    <row r="508" spans="1:19">
      <c r="A508" s="629" t="s">
        <v>795</v>
      </c>
      <c r="D508" s="629">
        <v>3.1339692020450199E-3</v>
      </c>
      <c r="G508" s="629">
        <v>1.5513864168270599E-3</v>
      </c>
      <c r="H508" s="734">
        <v>1.3508810987884401E-3</v>
      </c>
      <c r="I508" s="735">
        <v>1.4523805930125499E-3</v>
      </c>
      <c r="J508" s="735">
        <v>1.33432313996558E-3</v>
      </c>
      <c r="L508" s="84"/>
      <c r="M508" s="84"/>
      <c r="N508" s="84"/>
      <c r="O508" s="84"/>
      <c r="P508" s="84"/>
      <c r="Q508" s="84"/>
      <c r="R508" s="84"/>
      <c r="S508" s="84"/>
    </row>
    <row r="509" spans="1:19">
      <c r="A509" s="629" t="s">
        <v>794</v>
      </c>
      <c r="D509" s="629">
        <v>2.6971371973108999E-3</v>
      </c>
      <c r="G509" s="629">
        <v>1.51487850299763E-3</v>
      </c>
      <c r="H509" s="734">
        <v>1.2766790939638E-3</v>
      </c>
      <c r="I509" s="735">
        <v>1.36624311586139E-3</v>
      </c>
      <c r="J509" s="735">
        <v>1.2574652269048399E-3</v>
      </c>
      <c r="L509" s="84"/>
      <c r="M509" s="84"/>
      <c r="N509" s="84"/>
      <c r="O509" s="84"/>
      <c r="P509" s="84"/>
      <c r="Q509" s="84"/>
      <c r="R509" s="84"/>
      <c r="S509" s="84"/>
    </row>
    <row r="510" spans="1:19">
      <c r="A510" s="629" t="s">
        <v>793</v>
      </c>
      <c r="D510" s="629">
        <v>2.7074213159363602E-3</v>
      </c>
      <c r="G510" s="629">
        <v>1.79072318224357E-3</v>
      </c>
      <c r="H510" s="734">
        <v>1.51225646005304E-3</v>
      </c>
      <c r="I510" s="735">
        <v>1.2445008022138901E-3</v>
      </c>
      <c r="J510" s="735">
        <v>1.4920586107242801E-3</v>
      </c>
      <c r="L510" s="84"/>
      <c r="M510" s="84"/>
      <c r="N510" s="84"/>
      <c r="O510" s="84"/>
      <c r="P510" s="84"/>
      <c r="Q510" s="84"/>
      <c r="R510" s="84"/>
      <c r="S510" s="84"/>
    </row>
    <row r="511" spans="1:19">
      <c r="A511" s="629" t="s">
        <v>792</v>
      </c>
      <c r="D511" s="629">
        <v>2.5180842824076202E-3</v>
      </c>
      <c r="G511" s="629">
        <v>1.89682672337885E-3</v>
      </c>
      <c r="H511" s="734">
        <v>1.52015111540267E-3</v>
      </c>
      <c r="I511" s="735">
        <v>1.23836261996121E-3</v>
      </c>
      <c r="J511" s="735">
        <v>1.50497004505299E-3</v>
      </c>
      <c r="L511" s="84"/>
      <c r="M511" s="84"/>
      <c r="N511" s="84"/>
      <c r="O511" s="84"/>
      <c r="P511" s="84"/>
      <c r="Q511" s="84"/>
      <c r="R511" s="84"/>
      <c r="S511" s="84"/>
    </row>
    <row r="512" spans="1:19">
      <c r="A512" s="629" t="s">
        <v>791</v>
      </c>
      <c r="D512" s="629">
        <v>3.4664628125818399E-3</v>
      </c>
      <c r="G512" s="629">
        <v>1.82701747650432E-3</v>
      </c>
      <c r="H512" s="734">
        <v>1.3679084797736101E-3</v>
      </c>
      <c r="I512" s="735">
        <v>1.37180820780471E-3</v>
      </c>
      <c r="J512" s="735">
        <v>1.35113428396862E-3</v>
      </c>
      <c r="L512" s="84"/>
      <c r="M512" s="84"/>
      <c r="N512" s="84"/>
      <c r="O512" s="84"/>
      <c r="P512" s="84"/>
      <c r="Q512" s="84"/>
      <c r="R512" s="84"/>
      <c r="S512" s="84"/>
    </row>
    <row r="513" spans="1:19">
      <c r="A513" s="629" t="s">
        <v>790</v>
      </c>
      <c r="D513" s="629">
        <v>2.8998412030303302E-3</v>
      </c>
      <c r="G513" s="629">
        <v>1.70880764395805E-3</v>
      </c>
      <c r="H513" s="734">
        <v>1.96274681299411E-3</v>
      </c>
      <c r="I513" s="735">
        <v>1.2920355632191601E-3</v>
      </c>
      <c r="J513" s="735">
        <v>1.9572907588814802E-3</v>
      </c>
      <c r="L513" s="84"/>
      <c r="M513" s="84"/>
      <c r="N513" s="84"/>
      <c r="O513" s="84"/>
      <c r="P513" s="84"/>
      <c r="Q513" s="84"/>
      <c r="R513" s="84"/>
      <c r="S513" s="84"/>
    </row>
    <row r="514" spans="1:19">
      <c r="A514" s="629" t="s">
        <v>789</v>
      </c>
      <c r="D514" s="629">
        <v>2.3842209823147298E-3</v>
      </c>
      <c r="G514" s="629">
        <v>1.61026629167043E-3</v>
      </c>
      <c r="H514" s="734">
        <v>1.73494689399551E-3</v>
      </c>
      <c r="I514" s="735">
        <v>1.1998813081099699E-3</v>
      </c>
      <c r="J514" s="735">
        <v>1.7276750307495699E-3</v>
      </c>
      <c r="L514" s="84"/>
      <c r="M514" s="84"/>
      <c r="N514" s="84"/>
      <c r="O514" s="84"/>
      <c r="P514" s="84"/>
      <c r="Q514" s="84"/>
      <c r="R514" s="84"/>
      <c r="S514" s="84"/>
    </row>
    <row r="515" spans="1:19">
      <c r="A515" s="629" t="s">
        <v>788</v>
      </c>
      <c r="D515" s="629">
        <v>5.12487305627044E-3</v>
      </c>
      <c r="G515" s="629">
        <v>1.7918739432864199E-3</v>
      </c>
      <c r="H515" s="734">
        <v>1.5439787619977499E-3</v>
      </c>
      <c r="I515" s="735">
        <v>1.6782574967087499E-3</v>
      </c>
      <c r="J515" s="735">
        <v>1.5344117965961101E-3</v>
      </c>
      <c r="L515" s="84"/>
      <c r="M515" s="84"/>
      <c r="N515" s="84"/>
      <c r="O515" s="84"/>
      <c r="P515" s="84"/>
      <c r="Q515" s="84"/>
      <c r="R515" s="84"/>
      <c r="S515" s="84"/>
    </row>
    <row r="516" spans="1:19">
      <c r="A516" s="629" t="s">
        <v>787</v>
      </c>
      <c r="D516" s="629">
        <v>3.5534800120102E-3</v>
      </c>
      <c r="G516" s="629">
        <v>1.71365399061649E-3</v>
      </c>
      <c r="H516" s="734">
        <v>1.4802056300351101E-3</v>
      </c>
      <c r="I516" s="735">
        <v>1.5406693917684401E-3</v>
      </c>
      <c r="J516" s="735">
        <v>1.46900252620928E-3</v>
      </c>
      <c r="L516" s="84"/>
      <c r="M516" s="84"/>
      <c r="N516" s="84"/>
      <c r="O516" s="84"/>
      <c r="P516" s="84"/>
      <c r="Q516" s="84"/>
      <c r="R516" s="84"/>
      <c r="S516" s="84"/>
    </row>
    <row r="517" spans="1:19">
      <c r="A517" s="629" t="s">
        <v>786</v>
      </c>
      <c r="D517" s="629">
        <v>2.79338448362661E-3</v>
      </c>
      <c r="G517" s="629">
        <v>1.77713513312856E-3</v>
      </c>
      <c r="H517" s="734">
        <v>1.34220406707282E-3</v>
      </c>
      <c r="I517" s="735">
        <v>1.4020561387219201E-3</v>
      </c>
      <c r="J517" s="735">
        <v>1.3281007535671701E-3</v>
      </c>
      <c r="L517" s="84"/>
      <c r="M517" s="84"/>
      <c r="N517" s="84"/>
      <c r="O517" s="84"/>
      <c r="P517" s="84"/>
      <c r="Q517" s="84"/>
      <c r="R517" s="84"/>
      <c r="S517" s="84"/>
    </row>
    <row r="518" spans="1:19">
      <c r="A518" s="629" t="s">
        <v>785</v>
      </c>
      <c r="D518" s="629">
        <v>2.40313408740443E-3</v>
      </c>
      <c r="G518" s="629">
        <v>1.67766159216908E-3</v>
      </c>
      <c r="H518" s="734">
        <v>1.35050574021596E-3</v>
      </c>
      <c r="I518" s="735">
        <v>1.27642894675327E-3</v>
      </c>
      <c r="J518" s="735">
        <v>1.33444106828898E-3</v>
      </c>
      <c r="L518" s="84"/>
      <c r="M518" s="84"/>
      <c r="N518" s="84"/>
      <c r="O518" s="84"/>
      <c r="P518" s="84"/>
      <c r="Q518" s="84"/>
      <c r="R518" s="84"/>
      <c r="S518" s="84"/>
    </row>
    <row r="519" spans="1:19">
      <c r="A519" s="629" t="s">
        <v>784</v>
      </c>
      <c r="D519" s="629">
        <v>2.3076368207421102E-3</v>
      </c>
      <c r="G519" s="629">
        <v>1.57408642519713E-3</v>
      </c>
      <c r="H519" s="734">
        <v>1.22797700850199E-3</v>
      </c>
      <c r="I519" s="735">
        <v>1.16633352253722E-3</v>
      </c>
      <c r="J519" s="735">
        <v>1.2101106029539499E-3</v>
      </c>
      <c r="L519" s="84"/>
      <c r="M519" s="84"/>
      <c r="N519" s="84"/>
      <c r="O519" s="84"/>
      <c r="P519" s="84"/>
      <c r="Q519" s="84"/>
      <c r="R519" s="84"/>
      <c r="S519" s="84"/>
    </row>
    <row r="520" spans="1:19">
      <c r="A520" s="629" t="s">
        <v>783</v>
      </c>
      <c r="D520" s="629">
        <v>8.2895215760701805E-3</v>
      </c>
      <c r="G520" s="629">
        <v>2.6039390258083702E-3</v>
      </c>
      <c r="H520" s="734">
        <v>1.3919484852425599E-3</v>
      </c>
      <c r="I520" s="735">
        <v>1.60986075758921E-3</v>
      </c>
      <c r="J520" s="735">
        <v>1.36989070822468E-3</v>
      </c>
      <c r="L520" s="84"/>
      <c r="M520" s="84"/>
      <c r="N520" s="84"/>
      <c r="O520" s="84"/>
      <c r="P520" s="84"/>
      <c r="Q520" s="84"/>
      <c r="R520" s="84"/>
      <c r="S520" s="84"/>
    </row>
    <row r="521" spans="1:19">
      <c r="A521" s="629" t="s">
        <v>782</v>
      </c>
      <c r="D521" s="629">
        <v>9.5338206148137192E-3</v>
      </c>
      <c r="G521" s="629">
        <v>2.84261042871682E-3</v>
      </c>
      <c r="H521" s="734">
        <v>1.5800535328701099E-3</v>
      </c>
      <c r="I521" s="735">
        <v>1.62106012456487E-3</v>
      </c>
      <c r="J521" s="735">
        <v>1.5618685290814901E-3</v>
      </c>
      <c r="L521" s="84"/>
      <c r="M521" s="84"/>
      <c r="N521" s="84"/>
      <c r="O521" s="84"/>
      <c r="P521" s="84"/>
      <c r="Q521" s="84"/>
      <c r="R521" s="84"/>
      <c r="S521" s="84"/>
    </row>
    <row r="522" spans="1:19">
      <c r="A522" s="629" t="s">
        <v>781</v>
      </c>
      <c r="D522" s="629">
        <v>1.14884543558197E-2</v>
      </c>
      <c r="G522" s="629">
        <v>2.69797531862368E-3</v>
      </c>
      <c r="H522" s="734">
        <v>1.4527362610585099E-3</v>
      </c>
      <c r="I522" s="735">
        <v>1.4745228717615701E-3</v>
      </c>
      <c r="J522" s="735">
        <v>1.4340848053545599E-3</v>
      </c>
      <c r="L522" s="84"/>
      <c r="M522" s="84"/>
      <c r="N522" s="84"/>
      <c r="O522" s="84"/>
      <c r="P522" s="84"/>
      <c r="Q522" s="84"/>
      <c r="R522" s="84"/>
      <c r="S522" s="84"/>
    </row>
    <row r="523" spans="1:19">
      <c r="A523" s="629" t="s">
        <v>780</v>
      </c>
      <c r="D523" s="629">
        <v>8.9556281803091602E-3</v>
      </c>
      <c r="G523" s="629">
        <v>2.8662672350981602E-3</v>
      </c>
      <c r="H523" s="734">
        <v>1.6601395859240399E-3</v>
      </c>
      <c r="I523" s="735">
        <v>1.7441290063869999E-3</v>
      </c>
      <c r="J523" s="735">
        <v>1.6511422136253201E-3</v>
      </c>
      <c r="L523" s="84"/>
      <c r="M523" s="84"/>
      <c r="N523" s="84"/>
      <c r="O523" s="84"/>
      <c r="P523" s="84"/>
      <c r="Q523" s="84"/>
      <c r="R523" s="84"/>
      <c r="S523" s="84"/>
    </row>
    <row r="524" spans="1:19">
      <c r="A524" s="629" t="s">
        <v>779</v>
      </c>
      <c r="D524" s="629">
        <v>5.9564323511390998E-3</v>
      </c>
      <c r="G524" s="629">
        <v>2.67693743688065E-3</v>
      </c>
      <c r="H524" s="734">
        <v>1.5713440321715301E-3</v>
      </c>
      <c r="I524" s="735">
        <v>1.6099822764059301E-3</v>
      </c>
      <c r="J524" s="735">
        <v>1.55831236366675E-3</v>
      </c>
      <c r="L524" s="84"/>
      <c r="M524" s="84"/>
      <c r="N524" s="84"/>
      <c r="O524" s="84"/>
      <c r="P524" s="84"/>
      <c r="Q524" s="84"/>
      <c r="R524" s="84"/>
      <c r="S524" s="84"/>
    </row>
    <row r="525" spans="1:19">
      <c r="A525" s="629" t="s">
        <v>778</v>
      </c>
      <c r="D525" s="629">
        <v>4.6891694539221099E-3</v>
      </c>
      <c r="G525" s="629">
        <v>2.5023324521699E-3</v>
      </c>
      <c r="H525" s="734">
        <v>1.4300859056340699E-3</v>
      </c>
      <c r="I525" s="735">
        <v>1.4600665840519E-3</v>
      </c>
      <c r="J525" s="735">
        <v>1.4166015776470101E-3</v>
      </c>
      <c r="L525" s="84"/>
      <c r="M525" s="84"/>
      <c r="N525" s="84"/>
      <c r="O525" s="84"/>
      <c r="P525" s="84"/>
      <c r="Q525" s="84"/>
      <c r="R525" s="84"/>
      <c r="S525" s="84"/>
    </row>
    <row r="526" spans="1:19">
      <c r="A526" s="629" t="s">
        <v>777</v>
      </c>
      <c r="D526" s="629">
        <v>4.9177391920241804E-3</v>
      </c>
      <c r="G526" s="629">
        <v>2.3124770607474698E-3</v>
      </c>
      <c r="H526" s="734">
        <v>1.2988512694973801E-3</v>
      </c>
      <c r="I526" s="735">
        <v>1.33455778549333E-3</v>
      </c>
      <c r="J526" s="735">
        <v>1.28430934747444E-3</v>
      </c>
      <c r="L526" s="84"/>
      <c r="M526" s="84"/>
      <c r="N526" s="84"/>
      <c r="O526" s="84"/>
      <c r="P526" s="84"/>
      <c r="Q526" s="84"/>
      <c r="R526" s="84"/>
      <c r="S526" s="84"/>
    </row>
    <row r="527" spans="1:19">
      <c r="A527" s="629" t="s">
        <v>776</v>
      </c>
      <c r="D527" s="629">
        <v>3.9279761009664996E-3</v>
      </c>
      <c r="G527" s="629">
        <v>2.48090561394524E-3</v>
      </c>
      <c r="H527" s="734">
        <v>1.71472488646998E-3</v>
      </c>
      <c r="I527" s="735">
        <v>1.60150830118768E-3</v>
      </c>
      <c r="J527" s="735">
        <v>1.7030729979603E-3</v>
      </c>
      <c r="L527" s="84"/>
      <c r="M527" s="84"/>
      <c r="N527" s="84"/>
      <c r="O527" s="84"/>
      <c r="P527" s="84"/>
      <c r="Q527" s="84"/>
      <c r="R527" s="84"/>
      <c r="S527" s="84"/>
    </row>
    <row r="528" spans="1:19">
      <c r="A528" s="629" t="s">
        <v>775</v>
      </c>
      <c r="D528" s="629">
        <v>3.2130162863368301E-3</v>
      </c>
      <c r="G528" s="629">
        <v>2.4236527290046801E-3</v>
      </c>
      <c r="H528" s="734">
        <v>2.1513347759406199E-3</v>
      </c>
      <c r="I528" s="735">
        <v>1.66739256520362E-3</v>
      </c>
      <c r="J528" s="735">
        <v>2.14908022358676E-3</v>
      </c>
      <c r="L528" s="84"/>
      <c r="M528" s="84"/>
      <c r="N528" s="84"/>
      <c r="O528" s="84"/>
      <c r="P528" s="84"/>
      <c r="Q528" s="84"/>
      <c r="R528" s="84"/>
      <c r="S528" s="84"/>
    </row>
    <row r="529" spans="1:19">
      <c r="A529" s="629" t="s">
        <v>774</v>
      </c>
      <c r="D529" s="629">
        <v>3.2379839910302698E-3</v>
      </c>
      <c r="G529" s="629">
        <v>2.2690762130900002E-3</v>
      </c>
      <c r="H529" s="734">
        <v>2.0368560719988501E-3</v>
      </c>
      <c r="I529" s="735">
        <v>1.5506232447425601E-3</v>
      </c>
      <c r="J529" s="735">
        <v>2.0314774283978899E-3</v>
      </c>
      <c r="L529" s="84"/>
      <c r="M529" s="84"/>
      <c r="N529" s="84"/>
      <c r="O529" s="84"/>
      <c r="P529" s="84"/>
      <c r="Q529" s="84"/>
      <c r="R529" s="84"/>
      <c r="S529" s="84"/>
    </row>
    <row r="530" spans="1:19">
      <c r="A530" s="629" t="s">
        <v>773</v>
      </c>
      <c r="D530" s="629">
        <v>6.1999665111573104E-3</v>
      </c>
      <c r="G530" s="629">
        <v>2.1474417867102199E-3</v>
      </c>
      <c r="H530" s="734">
        <v>1.9549358353658799E-3</v>
      </c>
      <c r="I530" s="735">
        <v>1.6319677331086001E-3</v>
      </c>
      <c r="J530" s="735">
        <v>1.9484412827395099E-3</v>
      </c>
      <c r="L530" s="84"/>
      <c r="M530" s="84"/>
      <c r="N530" s="84"/>
      <c r="O530" s="84"/>
      <c r="P530" s="84"/>
      <c r="Q530" s="84"/>
      <c r="R530" s="84"/>
      <c r="S530" s="84"/>
    </row>
    <row r="531" spans="1:19">
      <c r="A531" s="629" t="s">
        <v>772</v>
      </c>
      <c r="D531" s="629">
        <v>1.63282739506127E-2</v>
      </c>
      <c r="G531" s="629">
        <v>1.9924955421495001E-3</v>
      </c>
      <c r="H531" s="734">
        <v>1.8772841362116701E-3</v>
      </c>
      <c r="I531" s="735">
        <v>2.0128081473732499E-3</v>
      </c>
      <c r="J531" s="735">
        <v>1.8729597954281101E-3</v>
      </c>
      <c r="L531" s="84"/>
      <c r="M531" s="84"/>
      <c r="N531" s="84"/>
      <c r="O531" s="84"/>
      <c r="P531" s="84"/>
      <c r="Q531" s="84"/>
      <c r="R531" s="84"/>
      <c r="S531" s="84"/>
    </row>
    <row r="532" spans="1:19">
      <c r="A532" s="629" t="s">
        <v>771</v>
      </c>
      <c r="D532" s="629">
        <v>1.8439420178562101E-2</v>
      </c>
      <c r="G532" s="629">
        <v>1.8659853979793E-3</v>
      </c>
      <c r="H532" s="734">
        <v>1.8733199630425301E-3</v>
      </c>
      <c r="I532" s="735">
        <v>2.3132631887920899E-3</v>
      </c>
      <c r="J532" s="735">
        <v>1.8766294358601599E-3</v>
      </c>
      <c r="L532" s="84"/>
      <c r="M532" s="84"/>
      <c r="N532" s="84"/>
      <c r="O532" s="84"/>
      <c r="P532" s="84"/>
      <c r="Q532" s="84"/>
      <c r="R532" s="84"/>
      <c r="S532" s="84"/>
    </row>
    <row r="533" spans="1:19">
      <c r="A533" s="629" t="s">
        <v>770</v>
      </c>
      <c r="D533" s="629">
        <v>1.17663676117746E-2</v>
      </c>
      <c r="G533" s="629">
        <v>1.76094870978745E-3</v>
      </c>
      <c r="H533" s="734">
        <v>1.77067396142694E-3</v>
      </c>
      <c r="I533" s="735">
        <v>2.11479482565698E-3</v>
      </c>
      <c r="J533" s="735">
        <v>1.7709298953704001E-3</v>
      </c>
      <c r="L533" s="84"/>
      <c r="M533" s="84"/>
      <c r="N533" s="84"/>
      <c r="O533" s="84"/>
      <c r="P533" s="84"/>
      <c r="Q533" s="84"/>
      <c r="R533" s="84"/>
      <c r="S533" s="84"/>
    </row>
    <row r="534" spans="1:19">
      <c r="A534" s="629" t="s">
        <v>769</v>
      </c>
      <c r="D534" s="629">
        <v>7.5973266824706301E-3</v>
      </c>
      <c r="G534" s="629">
        <v>1.7422177291614501E-3</v>
      </c>
      <c r="H534" s="734">
        <v>2.5233033252662698E-3</v>
      </c>
      <c r="I534" s="735">
        <v>2.2314775687482598E-3</v>
      </c>
      <c r="J534" s="735">
        <v>2.54362483205139E-3</v>
      </c>
      <c r="L534" s="84"/>
      <c r="M534" s="84"/>
      <c r="N534" s="84"/>
      <c r="O534" s="84"/>
      <c r="P534" s="84"/>
      <c r="Q534" s="84"/>
      <c r="R534" s="84"/>
      <c r="S534" s="84"/>
    </row>
    <row r="535" spans="1:19">
      <c r="A535" s="629" t="s">
        <v>768</v>
      </c>
      <c r="D535" s="629">
        <v>4.92426578550799E-3</v>
      </c>
      <c r="G535" s="629">
        <v>1.8103769130567E-3</v>
      </c>
      <c r="H535" s="734">
        <v>2.4636918441651601E-3</v>
      </c>
      <c r="I535" s="735">
        <v>2.9658365297234599E-3</v>
      </c>
      <c r="J535" s="735">
        <v>2.4748367868872301E-3</v>
      </c>
      <c r="L535" s="84"/>
      <c r="M535" s="84"/>
      <c r="N535" s="84"/>
      <c r="O535" s="84"/>
      <c r="P535" s="84"/>
      <c r="Q535" s="84"/>
      <c r="R535" s="84"/>
      <c r="S535" s="84"/>
    </row>
    <row r="536" spans="1:19">
      <c r="A536" s="629" t="s">
        <v>767</v>
      </c>
      <c r="D536" s="629">
        <v>6.57044306630763E-3</v>
      </c>
      <c r="G536" s="629">
        <v>1.88781092413209E-3</v>
      </c>
      <c r="H536" s="734">
        <v>2.1560821010698701E-3</v>
      </c>
      <c r="I536" s="735">
        <v>2.65401151480031E-3</v>
      </c>
      <c r="J536" s="735">
        <v>2.1647012670720999E-3</v>
      </c>
      <c r="L536" s="84"/>
      <c r="M536" s="84"/>
      <c r="N536" s="84"/>
      <c r="O536" s="84"/>
      <c r="P536" s="84"/>
      <c r="Q536" s="84"/>
      <c r="R536" s="84"/>
      <c r="S536" s="84"/>
    </row>
    <row r="537" spans="1:19">
      <c r="A537" s="629" t="s">
        <v>766</v>
      </c>
      <c r="D537" s="629">
        <v>7.8513891417345306E-3</v>
      </c>
      <c r="G537" s="629">
        <v>2.32098758991867E-3</v>
      </c>
      <c r="H537" s="734">
        <v>3.2186442932269801E-3</v>
      </c>
      <c r="I537" s="735">
        <v>3.5274519664633798E-3</v>
      </c>
      <c r="J537" s="735">
        <v>3.2541821573597298E-3</v>
      </c>
      <c r="L537" s="84"/>
      <c r="M537" s="84"/>
      <c r="N537" s="84"/>
      <c r="O537" s="84"/>
      <c r="P537" s="84"/>
      <c r="Q537" s="84"/>
      <c r="R537" s="84"/>
      <c r="S537" s="84"/>
    </row>
    <row r="538" spans="1:19">
      <c r="A538" s="629" t="s">
        <v>765</v>
      </c>
      <c r="D538" s="629">
        <v>9.1341980694280497E-3</v>
      </c>
      <c r="G538" s="629">
        <v>2.2323076662997998E-3</v>
      </c>
      <c r="H538" s="734">
        <v>3.4035884768521501E-3</v>
      </c>
      <c r="I538" s="735">
        <v>3.5705339656093302E-3</v>
      </c>
      <c r="J538" s="735">
        <v>3.4478582995759598E-3</v>
      </c>
      <c r="L538" s="84"/>
      <c r="M538" s="84"/>
      <c r="N538" s="84"/>
      <c r="O538" s="84"/>
      <c r="P538" s="84"/>
      <c r="Q538" s="84"/>
      <c r="R538" s="84"/>
      <c r="S538" s="84"/>
    </row>
    <row r="539" spans="1:19">
      <c r="A539" s="629" t="s">
        <v>764</v>
      </c>
      <c r="D539" s="629">
        <v>5.6582040642504904E-3</v>
      </c>
      <c r="G539" s="629">
        <v>2.21900004400732E-3</v>
      </c>
      <c r="H539" s="734">
        <v>3.4668196107213601E-3</v>
      </c>
      <c r="I539" s="735">
        <v>3.7109999882009299E-3</v>
      </c>
      <c r="J539" s="735">
        <v>3.50619210876313E-3</v>
      </c>
      <c r="L539" s="84"/>
      <c r="M539" s="84"/>
      <c r="N539" s="84"/>
      <c r="O539" s="84"/>
      <c r="P539" s="84"/>
      <c r="Q539" s="84"/>
      <c r="R539" s="84"/>
      <c r="S539" s="84"/>
    </row>
    <row r="540" spans="1:19">
      <c r="A540" s="629" t="s">
        <v>763</v>
      </c>
      <c r="D540" s="629">
        <v>5.2293004553125404E-3</v>
      </c>
      <c r="G540" s="629">
        <v>2.0679491649490001E-3</v>
      </c>
      <c r="H540" s="734">
        <v>3.4160148958396501E-3</v>
      </c>
      <c r="I540" s="735">
        <v>4.0497540000506496E-3</v>
      </c>
      <c r="J540" s="735">
        <v>3.4541663261296401E-3</v>
      </c>
      <c r="L540" s="84"/>
      <c r="M540" s="84"/>
      <c r="N540" s="84"/>
      <c r="O540" s="84"/>
      <c r="P540" s="84"/>
      <c r="Q540" s="84"/>
      <c r="R540" s="84"/>
      <c r="S540" s="84"/>
    </row>
    <row r="541" spans="1:19">
      <c r="A541" s="629" t="s">
        <v>762</v>
      </c>
      <c r="D541" s="629">
        <v>4.2203402208286396E-3</v>
      </c>
      <c r="G541" s="629">
        <v>2.51745727765481E-3</v>
      </c>
      <c r="H541" s="734">
        <v>3.0824605328695202E-3</v>
      </c>
      <c r="I541" s="735">
        <v>3.7976012592211301E-3</v>
      </c>
      <c r="J541" s="735">
        <v>3.1161770397506901E-3</v>
      </c>
      <c r="L541" s="84"/>
      <c r="M541" s="84"/>
      <c r="N541" s="84"/>
      <c r="O541" s="84"/>
      <c r="P541" s="84"/>
      <c r="Q541" s="84"/>
      <c r="R541" s="84"/>
      <c r="S541" s="84"/>
    </row>
    <row r="542" spans="1:19">
      <c r="A542" s="629" t="s">
        <v>761</v>
      </c>
      <c r="D542" s="629">
        <v>3.4034299874122101E-3</v>
      </c>
      <c r="G542" s="629">
        <v>2.3255104936492502E-3</v>
      </c>
      <c r="H542" s="734">
        <v>2.70141803575149E-3</v>
      </c>
      <c r="I542" s="735">
        <v>3.4289983762919298E-3</v>
      </c>
      <c r="J542" s="735">
        <v>2.72874413296178E-3</v>
      </c>
      <c r="L542" s="84"/>
      <c r="M542" s="84"/>
      <c r="N542" s="84"/>
      <c r="O542" s="84"/>
      <c r="P542" s="84"/>
      <c r="Q542" s="84"/>
      <c r="R542" s="84"/>
      <c r="S542" s="84"/>
    </row>
    <row r="543" spans="1:19">
      <c r="A543" s="629" t="s">
        <v>760</v>
      </c>
      <c r="D543" s="629">
        <v>3.6392628979167799E-3</v>
      </c>
      <c r="G543" s="629">
        <v>2.2211646203841801E-3</v>
      </c>
      <c r="H543" s="734">
        <v>2.4099141869487798E-3</v>
      </c>
      <c r="I543" s="735">
        <v>3.1237605011060301E-3</v>
      </c>
      <c r="J543" s="735">
        <v>2.4359683900190801E-3</v>
      </c>
      <c r="L543" s="84"/>
      <c r="M543" s="84"/>
      <c r="N543" s="84"/>
      <c r="O543" s="84"/>
      <c r="P543" s="84"/>
      <c r="Q543" s="84"/>
      <c r="R543" s="84"/>
      <c r="S543" s="84"/>
    </row>
    <row r="544" spans="1:19">
      <c r="A544" s="629" t="s">
        <v>759</v>
      </c>
      <c r="D544" s="629">
        <v>6.1509199213712002E-3</v>
      </c>
      <c r="G544" s="629">
        <v>3.1941372365827301E-3</v>
      </c>
      <c r="H544" s="734">
        <v>2.3115331573389801E-3</v>
      </c>
      <c r="I544" s="735">
        <v>3.5617722690737198E-3</v>
      </c>
      <c r="J544" s="735">
        <v>2.3311759570849E-3</v>
      </c>
      <c r="L544" s="84"/>
      <c r="M544" s="84"/>
      <c r="N544" s="84"/>
      <c r="O544" s="84"/>
      <c r="P544" s="84"/>
      <c r="Q544" s="84"/>
      <c r="R544" s="84"/>
      <c r="S544" s="84"/>
    </row>
    <row r="545" spans="1:19">
      <c r="A545" s="629" t="s">
        <v>758</v>
      </c>
      <c r="D545" s="629">
        <v>6.32644282333647E-3</v>
      </c>
      <c r="G545" s="629">
        <v>3.0403495149140401E-3</v>
      </c>
      <c r="H545" s="734">
        <v>2.2938693003231002E-3</v>
      </c>
      <c r="I545" s="735">
        <v>3.5592042725765198E-3</v>
      </c>
      <c r="J545" s="735">
        <v>2.3056124383670001E-3</v>
      </c>
      <c r="L545" s="84"/>
      <c r="M545" s="84"/>
      <c r="N545" s="84"/>
      <c r="O545" s="84"/>
      <c r="P545" s="84"/>
      <c r="Q545" s="84"/>
      <c r="R545" s="84"/>
      <c r="S545" s="84"/>
    </row>
    <row r="546" spans="1:19">
      <c r="A546" s="629" t="s">
        <v>757</v>
      </c>
      <c r="D546" s="629">
        <v>5.3214319108151704E-3</v>
      </c>
      <c r="G546" s="629">
        <v>2.79981386207392E-3</v>
      </c>
      <c r="H546" s="734">
        <v>2.1187123028624999E-3</v>
      </c>
      <c r="I546" s="735">
        <v>3.1760670563080701E-3</v>
      </c>
      <c r="J546" s="735">
        <v>2.12423283507012E-3</v>
      </c>
      <c r="L546" s="84"/>
      <c r="M546" s="84"/>
      <c r="N546" s="84"/>
      <c r="O546" s="84"/>
      <c r="P546" s="84"/>
      <c r="Q546" s="84"/>
      <c r="R546" s="84"/>
      <c r="S546" s="84"/>
    </row>
    <row r="547" spans="1:19">
      <c r="A547" s="629" t="s">
        <v>756</v>
      </c>
      <c r="D547" s="629">
        <v>4.5805289602259096E-3</v>
      </c>
      <c r="G547" s="629">
        <v>2.5788126625494899E-3</v>
      </c>
      <c r="H547" s="734">
        <v>1.86035218788008E-3</v>
      </c>
      <c r="I547" s="735">
        <v>2.9868698013144398E-3</v>
      </c>
      <c r="J547" s="735">
        <v>1.86202105132036E-3</v>
      </c>
      <c r="L547" s="84"/>
      <c r="M547" s="84"/>
      <c r="N547" s="84"/>
      <c r="O547" s="84"/>
      <c r="P547" s="84"/>
      <c r="Q547" s="84"/>
      <c r="R547" s="84"/>
      <c r="S547" s="84"/>
    </row>
    <row r="548" spans="1:19">
      <c r="A548" s="629" t="s">
        <v>755</v>
      </c>
      <c r="D548" s="629">
        <v>3.2576142377308999E-3</v>
      </c>
      <c r="G548" s="629">
        <v>2.3973149628290199E-3</v>
      </c>
      <c r="H548" s="734">
        <v>1.7412863373217999E-3</v>
      </c>
      <c r="I548" s="735">
        <v>2.7088182153953699E-3</v>
      </c>
      <c r="J548" s="735">
        <v>1.74090607558176E-3</v>
      </c>
      <c r="L548" s="84"/>
      <c r="M548" s="84"/>
      <c r="N548" s="84"/>
      <c r="O548" s="84"/>
      <c r="P548" s="84"/>
      <c r="Q548" s="84"/>
      <c r="R548" s="84"/>
      <c r="S548" s="84"/>
    </row>
    <row r="549" spans="1:19">
      <c r="A549" s="629" t="s">
        <v>754</v>
      </c>
      <c r="D549" s="629">
        <v>3.8037136962695999E-3</v>
      </c>
      <c r="G549" s="629">
        <v>2.2176950110369101E-3</v>
      </c>
      <c r="H549" s="734">
        <v>1.6481816701894899E-3</v>
      </c>
      <c r="I549" s="735">
        <v>2.6400760739468399E-3</v>
      </c>
      <c r="J549" s="735">
        <v>1.6396744857769901E-3</v>
      </c>
      <c r="L549" s="84"/>
      <c r="M549" s="84"/>
      <c r="N549" s="84"/>
      <c r="O549" s="84"/>
      <c r="P549" s="84"/>
      <c r="Q549" s="84"/>
      <c r="R549" s="84"/>
      <c r="S549" s="84"/>
    </row>
    <row r="550" spans="1:19">
      <c r="A550" s="629" t="s">
        <v>753</v>
      </c>
      <c r="D550" s="629">
        <v>2.8498635606299901E-3</v>
      </c>
      <c r="G550" s="629">
        <v>3.0144196072554E-3</v>
      </c>
      <c r="H550" s="734">
        <v>1.75414821345203E-3</v>
      </c>
      <c r="I550" s="735">
        <v>2.58330573630884E-3</v>
      </c>
      <c r="J550" s="735">
        <v>1.7609540848291701E-3</v>
      </c>
      <c r="L550" s="84"/>
      <c r="M550" s="84"/>
      <c r="N550" s="84"/>
      <c r="O550" s="84"/>
      <c r="P550" s="84"/>
      <c r="Q550" s="84"/>
      <c r="R550" s="84"/>
      <c r="S550" s="84"/>
    </row>
    <row r="551" spans="1:19">
      <c r="A551" s="629" t="s">
        <v>752</v>
      </c>
      <c r="D551" s="629">
        <v>2.7485392517228799E-3</v>
      </c>
      <c r="G551" s="629">
        <v>2.7710775946082301E-3</v>
      </c>
      <c r="H551" s="734">
        <v>1.56991629220001E-3</v>
      </c>
      <c r="I551" s="735">
        <v>2.3950084785799202E-3</v>
      </c>
      <c r="J551" s="735">
        <v>1.57299440674574E-3</v>
      </c>
      <c r="L551" s="84"/>
      <c r="M551" s="84"/>
      <c r="N551" s="84"/>
      <c r="O551" s="84"/>
      <c r="P551" s="84"/>
      <c r="Q551" s="84"/>
      <c r="R551" s="84"/>
      <c r="S551" s="84"/>
    </row>
    <row r="552" spans="1:19">
      <c r="A552" s="629" t="s">
        <v>751</v>
      </c>
      <c r="D552" s="629">
        <v>3.9780855613190703E-3</v>
      </c>
      <c r="G552" s="629">
        <v>2.5578719614831298E-3</v>
      </c>
      <c r="H552" s="734">
        <v>1.7333504432140399E-3</v>
      </c>
      <c r="I552" s="735">
        <v>2.2598449642653902E-3</v>
      </c>
      <c r="J552" s="735">
        <v>1.7464234167957899E-3</v>
      </c>
      <c r="L552" s="84"/>
      <c r="M552" s="84"/>
      <c r="N552" s="84"/>
      <c r="O552" s="84"/>
      <c r="P552" s="84"/>
      <c r="Q552" s="84"/>
      <c r="R552" s="84"/>
      <c r="S552" s="84"/>
    </row>
    <row r="553" spans="1:19">
      <c r="A553" s="629" t="s">
        <v>750</v>
      </c>
      <c r="B553" s="248"/>
      <c r="C553" s="248"/>
      <c r="D553" s="248">
        <v>3.0775375387178299E-3</v>
      </c>
      <c r="E553" s="248"/>
      <c r="F553" s="248"/>
      <c r="G553" s="248">
        <v>2.4797785822267601E-3</v>
      </c>
      <c r="H553" s="735">
        <v>1.66301675509379E-3</v>
      </c>
      <c r="I553" s="735">
        <v>2.1563478664179E-3</v>
      </c>
      <c r="J553" s="735">
        <v>1.6686947208097501E-3</v>
      </c>
      <c r="L553" s="84"/>
      <c r="M553" s="84"/>
      <c r="N553" s="84"/>
      <c r="O553" s="84"/>
      <c r="P553" s="84"/>
      <c r="Q553" s="84"/>
      <c r="R553" s="84"/>
      <c r="S553" s="84"/>
    </row>
    <row r="554" spans="1:19">
      <c r="A554" s="629" t="s">
        <v>749</v>
      </c>
      <c r="B554" s="248"/>
      <c r="C554" s="248"/>
      <c r="D554" s="248">
        <v>2.5233109597877601E-3</v>
      </c>
      <c r="E554" s="248"/>
      <c r="F554" s="248"/>
      <c r="G554" s="248">
        <v>2.3607286213454199E-3</v>
      </c>
      <c r="H554" s="735">
        <v>1.51650376187812E-3</v>
      </c>
      <c r="I554" s="735">
        <v>1.9989229592062398E-3</v>
      </c>
      <c r="J554" s="735">
        <v>1.52171671262775E-3</v>
      </c>
      <c r="L554" s="84"/>
      <c r="M554" s="84"/>
      <c r="N554" s="84"/>
      <c r="O554" s="84"/>
      <c r="P554" s="84"/>
      <c r="Q554" s="84"/>
      <c r="R554" s="84"/>
      <c r="S554" s="84"/>
    </row>
    <row r="555" spans="1:19">
      <c r="A555" s="629" t="s">
        <v>748</v>
      </c>
      <c r="B555" s="248"/>
      <c r="C555" s="248"/>
      <c r="D555" s="248">
        <v>2.35066308405868E-3</v>
      </c>
      <c r="E555" s="248"/>
      <c r="F555" s="248"/>
      <c r="G555" s="248">
        <v>2.2288094459389E-3</v>
      </c>
      <c r="H555" s="735">
        <v>1.6873340962437599E-3</v>
      </c>
      <c r="I555" s="735">
        <v>1.80167209196779E-3</v>
      </c>
      <c r="J555" s="735">
        <v>1.70606840302035E-3</v>
      </c>
      <c r="L555" s="84"/>
      <c r="M555" s="84"/>
      <c r="N555" s="84"/>
      <c r="O555" s="84"/>
      <c r="P555" s="84"/>
      <c r="Q555" s="84"/>
      <c r="R555" s="84"/>
      <c r="S555" s="84"/>
    </row>
    <row r="556" spans="1:19">
      <c r="A556" s="629" t="s">
        <v>747</v>
      </c>
      <c r="B556" s="248"/>
      <c r="C556" s="248"/>
      <c r="D556" s="248">
        <v>2.5559224402248002E-3</v>
      </c>
      <c r="E556" s="248"/>
      <c r="F556" s="248"/>
      <c r="G556" s="248">
        <v>2.0808383092767399E-3</v>
      </c>
      <c r="H556" s="735">
        <v>1.512217044975E-3</v>
      </c>
      <c r="I556" s="735">
        <v>1.64788505201309E-3</v>
      </c>
      <c r="J556" s="735">
        <v>1.5252754521503701E-3</v>
      </c>
      <c r="L556" s="84"/>
      <c r="M556" s="84"/>
      <c r="N556" s="84"/>
      <c r="O556" s="84"/>
      <c r="P556" s="84"/>
      <c r="Q556" s="84"/>
      <c r="R556" s="84"/>
      <c r="S556" s="84"/>
    </row>
    <row r="557" spans="1:19">
      <c r="A557" s="629" t="s">
        <v>746</v>
      </c>
      <c r="B557" s="248"/>
      <c r="C557" s="248"/>
      <c r="D557" s="248">
        <v>2.6606557965322499E-3</v>
      </c>
      <c r="E557" s="248"/>
      <c r="F557" s="248"/>
      <c r="G557" s="248">
        <v>1.9337804955061599E-3</v>
      </c>
      <c r="H557" s="735">
        <v>2.1560267788299399E-3</v>
      </c>
      <c r="I557" s="735">
        <v>2.0400770224956199E-3</v>
      </c>
      <c r="J557" s="735">
        <v>2.1590592178798002E-3</v>
      </c>
      <c r="L557" s="84"/>
      <c r="M557" s="84"/>
      <c r="N557" s="84"/>
      <c r="O557" s="84"/>
      <c r="P557" s="84"/>
      <c r="Q557" s="84"/>
      <c r="R557" s="84"/>
      <c r="S557" s="84"/>
    </row>
    <row r="558" spans="1:19">
      <c r="A558" s="629" t="s">
        <v>745</v>
      </c>
      <c r="B558" s="248"/>
      <c r="C558" s="248"/>
      <c r="D558" s="248">
        <v>2.7984348001635498E-3</v>
      </c>
      <c r="E558" s="248"/>
      <c r="F558" s="248"/>
      <c r="G558" s="248">
        <v>1.80489931863822E-3</v>
      </c>
      <c r="H558" s="735">
        <v>1.8977514822838099E-3</v>
      </c>
      <c r="I558" s="735">
        <v>1.8630152853177399E-3</v>
      </c>
      <c r="J558" s="735">
        <v>1.8973482523890501E-3</v>
      </c>
      <c r="L558" s="84"/>
      <c r="M558" s="84"/>
      <c r="N558" s="84"/>
      <c r="O558" s="84"/>
      <c r="P558" s="84"/>
      <c r="Q558" s="84"/>
      <c r="R558" s="84"/>
      <c r="S558" s="84"/>
    </row>
    <row r="559" spans="1:19">
      <c r="A559" s="629" t="s">
        <v>744</v>
      </c>
      <c r="B559" s="248"/>
      <c r="C559" s="248"/>
      <c r="D559" s="248">
        <v>2.8124924487445001E-3</v>
      </c>
      <c r="E559" s="248"/>
      <c r="F559" s="248"/>
      <c r="G559" s="248">
        <v>1.7145293391434E-3</v>
      </c>
      <c r="H559" s="735">
        <v>1.72663735439145E-3</v>
      </c>
      <c r="I559" s="735">
        <v>1.79695934798153E-3</v>
      </c>
      <c r="J559" s="735">
        <v>1.7199207085563501E-3</v>
      </c>
      <c r="L559" s="84"/>
      <c r="M559" s="84"/>
      <c r="N559" s="84"/>
      <c r="O559" s="84"/>
      <c r="P559" s="84"/>
      <c r="Q559" s="84"/>
      <c r="R559" s="84"/>
      <c r="S559" s="84"/>
    </row>
    <row r="560" spans="1:19">
      <c r="A560" s="629" t="s">
        <v>743</v>
      </c>
      <c r="B560" s="248"/>
      <c r="C560" s="248"/>
      <c r="D560" s="248">
        <v>2.70795590149308E-3</v>
      </c>
      <c r="E560" s="248"/>
      <c r="F560" s="248"/>
      <c r="G560" s="248">
        <v>1.6038450743445199E-3</v>
      </c>
      <c r="H560" s="735">
        <v>1.5381956307292399E-3</v>
      </c>
      <c r="I560" s="735">
        <v>1.6376270906403301E-3</v>
      </c>
      <c r="J560" s="735">
        <v>1.52973333110129E-3</v>
      </c>
      <c r="L560" s="84"/>
      <c r="M560" s="84"/>
      <c r="N560" s="84"/>
      <c r="O560" s="84"/>
      <c r="P560" s="84"/>
      <c r="Q560" s="84"/>
      <c r="R560" s="84"/>
      <c r="S560" s="84"/>
    </row>
    <row r="561" spans="1:19">
      <c r="A561" s="629" t="s">
        <v>742</v>
      </c>
      <c r="B561" s="248"/>
      <c r="C561" s="248"/>
      <c r="D561" s="248">
        <v>3.1551976736981001E-3</v>
      </c>
      <c r="E561" s="248"/>
      <c r="F561" s="248"/>
      <c r="G561" s="248">
        <v>1.58652500707028E-3</v>
      </c>
      <c r="H561" s="735">
        <v>1.3840928242307201E-3</v>
      </c>
      <c r="I561" s="735">
        <v>1.6259837473512899E-3</v>
      </c>
      <c r="J561" s="735">
        <v>1.37402182117303E-3</v>
      </c>
      <c r="L561" s="84"/>
      <c r="M561" s="84"/>
      <c r="N561" s="84"/>
      <c r="O561" s="84"/>
      <c r="P561" s="84"/>
      <c r="Q561" s="84"/>
      <c r="R561" s="84"/>
      <c r="S561" s="84"/>
    </row>
    <row r="562" spans="1:19">
      <c r="A562" s="629" t="s">
        <v>741</v>
      </c>
      <c r="B562" s="248"/>
      <c r="C562" s="248"/>
      <c r="D562" s="248">
        <v>2.5219934646524798E-3</v>
      </c>
      <c r="E562" s="248"/>
      <c r="F562" s="248"/>
      <c r="G562" s="248">
        <v>1.5780007618256299E-3</v>
      </c>
      <c r="H562" s="735">
        <v>1.2748559195671499E-3</v>
      </c>
      <c r="I562" s="735">
        <v>1.48324137746154E-3</v>
      </c>
      <c r="J562" s="735">
        <v>1.2616930385520499E-3</v>
      </c>
      <c r="L562" s="84"/>
      <c r="M562" s="84"/>
      <c r="N562" s="84"/>
      <c r="O562" s="84"/>
      <c r="P562" s="84"/>
      <c r="Q562" s="84"/>
      <c r="R562" s="84"/>
      <c r="S562" s="84"/>
    </row>
    <row r="563" spans="1:19">
      <c r="A563" s="629" t="s">
        <v>740</v>
      </c>
      <c r="B563" s="248"/>
      <c r="C563" s="248"/>
      <c r="D563" s="248">
        <v>3.3367981826223601E-3</v>
      </c>
      <c r="E563" s="248"/>
      <c r="F563" s="248"/>
      <c r="G563" s="248">
        <v>1.4972927164267E-3</v>
      </c>
      <c r="H563" s="735">
        <v>1.2779099261694201E-3</v>
      </c>
      <c r="I563" s="735">
        <v>1.4415259462194701E-3</v>
      </c>
      <c r="J563" s="735">
        <v>1.2697071785118001E-3</v>
      </c>
      <c r="L563" s="84"/>
      <c r="M563" s="84"/>
      <c r="N563" s="84"/>
      <c r="O563" s="84"/>
      <c r="P563" s="84"/>
      <c r="Q563" s="84"/>
      <c r="R563" s="84"/>
      <c r="S563" s="84"/>
    </row>
    <row r="564" spans="1:19">
      <c r="A564" s="629" t="s">
        <v>739</v>
      </c>
      <c r="B564" s="248"/>
      <c r="C564" s="248"/>
      <c r="D564" s="248">
        <v>2.6679225695860199E-3</v>
      </c>
      <c r="E564" s="248"/>
      <c r="F564" s="248"/>
      <c r="G564" s="248">
        <v>1.40867265626335E-3</v>
      </c>
      <c r="H564" s="735">
        <v>1.1721589233019099E-3</v>
      </c>
      <c r="I564" s="735">
        <v>1.3210785855775099E-3</v>
      </c>
      <c r="J564" s="735">
        <v>1.16146179243849E-3</v>
      </c>
      <c r="L564" s="84"/>
      <c r="M564" s="84"/>
      <c r="N564" s="84"/>
      <c r="O564" s="84"/>
      <c r="P564" s="84"/>
      <c r="Q564" s="84"/>
      <c r="R564" s="84"/>
      <c r="S564" s="84"/>
    </row>
    <row r="565" spans="1:19">
      <c r="A565" s="629" t="s">
        <v>738</v>
      </c>
      <c r="B565" s="248"/>
      <c r="C565" s="248"/>
      <c r="D565" s="248">
        <v>3.7790732857269499E-3</v>
      </c>
      <c r="E565" s="248"/>
      <c r="F565" s="248"/>
      <c r="G565" s="248">
        <v>1.3291150283079201E-3</v>
      </c>
      <c r="H565" s="735">
        <v>1.2036692282909199E-3</v>
      </c>
      <c r="I565" s="735">
        <v>1.4635964096462099E-3</v>
      </c>
      <c r="J565" s="735">
        <v>1.1852616415797799E-3</v>
      </c>
      <c r="L565" s="84"/>
      <c r="M565" s="84"/>
      <c r="N565" s="84"/>
      <c r="O565" s="84"/>
      <c r="P565" s="84"/>
      <c r="Q565" s="84"/>
      <c r="R565" s="84"/>
      <c r="S565" s="84"/>
    </row>
    <row r="566" spans="1:19">
      <c r="A566" s="629" t="s">
        <v>737</v>
      </c>
      <c r="B566" s="248"/>
      <c r="C566" s="248"/>
      <c r="D566" s="248">
        <v>2.8911231136607698E-3</v>
      </c>
      <c r="E566" s="248"/>
      <c r="F566" s="248"/>
      <c r="G566" s="248">
        <v>1.26179657130232E-3</v>
      </c>
      <c r="H566" s="735">
        <v>1.1260891211054001E-3</v>
      </c>
      <c r="I566" s="735">
        <v>1.33303423081655E-3</v>
      </c>
      <c r="J566" s="735">
        <v>1.10916432920869E-3</v>
      </c>
      <c r="L566" s="84"/>
      <c r="M566" s="84"/>
      <c r="N566" s="84"/>
      <c r="O566" s="84"/>
      <c r="P566" s="84"/>
      <c r="Q566" s="84"/>
      <c r="R566" s="84"/>
      <c r="S566" s="84"/>
    </row>
    <row r="567" spans="1:19">
      <c r="A567" s="629" t="s">
        <v>736</v>
      </c>
      <c r="B567" s="248"/>
      <c r="C567" s="248"/>
      <c r="D567" s="248">
        <v>7.9281229060736095E-3</v>
      </c>
      <c r="E567" s="248"/>
      <c r="F567" s="248"/>
      <c r="G567" s="248">
        <v>1.4958912624413599E-3</v>
      </c>
      <c r="H567" s="735">
        <v>1.04413110582314E-3</v>
      </c>
      <c r="I567" s="735">
        <v>1.5611802725597999E-3</v>
      </c>
      <c r="J567" s="735">
        <v>1.02466665210091E-3</v>
      </c>
      <c r="L567" s="84"/>
      <c r="M567" s="84"/>
      <c r="N567" s="84"/>
      <c r="O567" s="84"/>
      <c r="P567" s="84"/>
      <c r="Q567" s="84"/>
      <c r="R567" s="84"/>
      <c r="S567" s="84"/>
    </row>
    <row r="568" spans="1:19">
      <c r="A568" s="629" t="s">
        <v>735</v>
      </c>
      <c r="B568" s="248"/>
      <c r="C568" s="248"/>
      <c r="D568" s="248">
        <v>4.9953857049913897E-3</v>
      </c>
      <c r="E568" s="248"/>
      <c r="F568" s="248"/>
      <c r="G568" s="248">
        <v>1.4358406774088201E-3</v>
      </c>
      <c r="H568" s="735">
        <v>1.2119213667994299E-3</v>
      </c>
      <c r="I568" s="735">
        <v>1.7420856370364301E-3</v>
      </c>
      <c r="J568" s="735">
        <v>1.1842023879271E-3</v>
      </c>
      <c r="L568" s="84"/>
      <c r="M568" s="84"/>
      <c r="N568" s="84"/>
      <c r="O568" s="84"/>
      <c r="P568" s="84"/>
      <c r="Q568" s="84"/>
      <c r="R568" s="84"/>
      <c r="S568" s="84"/>
    </row>
    <row r="569" spans="1:19">
      <c r="A569" s="629" t="s">
        <v>734</v>
      </c>
      <c r="B569" s="248"/>
      <c r="C569" s="248">
        <v>5.4323464943571501E-3</v>
      </c>
      <c r="D569" s="248">
        <v>6.9389703057193899E-3</v>
      </c>
      <c r="E569" s="248">
        <v>2.3360973535626601E-3</v>
      </c>
      <c r="F569" s="248"/>
      <c r="G569" s="248">
        <v>1.51231699025237E-3</v>
      </c>
      <c r="H569" s="735">
        <v>1.11722109405439E-3</v>
      </c>
      <c r="I569" s="735">
        <v>1.6464348240380899E-3</v>
      </c>
      <c r="J569" s="735">
        <v>1.08818925549764E-3</v>
      </c>
      <c r="L569" s="84"/>
      <c r="M569" s="84"/>
      <c r="N569" s="84"/>
      <c r="O569" s="84"/>
      <c r="P569" s="84"/>
      <c r="Q569" s="84"/>
      <c r="R569" s="84"/>
      <c r="S569" s="84"/>
    </row>
    <row r="570" spans="1:19">
      <c r="A570" s="629" t="s">
        <v>733</v>
      </c>
      <c r="B570" s="248"/>
      <c r="C570" s="248">
        <v>7.8679199448625295E-3</v>
      </c>
      <c r="D570" s="248">
        <v>5.0255091367954804E-3</v>
      </c>
      <c r="E570" s="248">
        <v>2.7801522362462098E-3</v>
      </c>
      <c r="F570" s="248"/>
      <c r="G570" s="248">
        <v>1.8340727535653099E-3</v>
      </c>
      <c r="H570" s="735">
        <v>1.11607245592915E-3</v>
      </c>
      <c r="I570" s="735">
        <v>1.7871216172442601E-3</v>
      </c>
      <c r="J570" s="735">
        <v>1.0890899466999501E-3</v>
      </c>
      <c r="L570" s="84"/>
      <c r="M570" s="84"/>
      <c r="N570" s="84"/>
      <c r="O570" s="84"/>
      <c r="P570" s="84"/>
      <c r="Q570" s="84"/>
      <c r="R570" s="84"/>
      <c r="S570" s="84"/>
    </row>
    <row r="571" spans="1:19">
      <c r="A571" s="629" t="s">
        <v>732</v>
      </c>
      <c r="B571" s="248"/>
      <c r="C571" s="248">
        <v>5.0411195855088898E-3</v>
      </c>
      <c r="D571" s="248">
        <v>4.7312284481573702E-3</v>
      </c>
      <c r="E571" s="248">
        <v>2.7437018523769801E-3</v>
      </c>
      <c r="F571" s="248"/>
      <c r="G571" s="248">
        <v>1.72576108945326E-3</v>
      </c>
      <c r="H571" s="735">
        <v>1.2635892483536301E-3</v>
      </c>
      <c r="I571" s="735">
        <v>1.72478391686205E-3</v>
      </c>
      <c r="J571" s="735">
        <v>1.2453034912204501E-3</v>
      </c>
      <c r="L571" s="84"/>
      <c r="M571" s="84"/>
      <c r="N571" s="84"/>
      <c r="O571" s="84"/>
      <c r="P571" s="84"/>
      <c r="Q571" s="84"/>
      <c r="R571" s="84"/>
      <c r="S571" s="84"/>
    </row>
    <row r="572" spans="1:19">
      <c r="A572" s="629" t="s">
        <v>731</v>
      </c>
      <c r="B572" s="248"/>
      <c r="C572" s="248">
        <v>4.3254116937569099E-3</v>
      </c>
      <c r="D572" s="248">
        <v>4.2580574042340802E-3</v>
      </c>
      <c r="E572" s="248">
        <v>2.5212620874085702E-3</v>
      </c>
      <c r="F572" s="248"/>
      <c r="G572" s="248">
        <v>1.6187101938385899E-3</v>
      </c>
      <c r="H572" s="735">
        <v>1.1687743292970499E-3</v>
      </c>
      <c r="I572" s="735">
        <v>1.6115339574323301E-3</v>
      </c>
      <c r="J572" s="735">
        <v>1.1491637018987101E-3</v>
      </c>
      <c r="L572" s="84"/>
      <c r="M572" s="84"/>
      <c r="N572" s="84"/>
      <c r="O572" s="84"/>
      <c r="P572" s="84"/>
      <c r="Q572" s="84"/>
      <c r="R572" s="84"/>
      <c r="S572" s="84"/>
    </row>
    <row r="573" spans="1:19">
      <c r="A573" s="629" t="s">
        <v>730</v>
      </c>
      <c r="B573" s="248"/>
      <c r="C573" s="248">
        <v>3.3398686298653098E-3</v>
      </c>
      <c r="D573" s="248">
        <v>3.7049628815405602E-3</v>
      </c>
      <c r="E573" s="248">
        <v>2.2889467747104898E-3</v>
      </c>
      <c r="F573" s="248"/>
      <c r="G573" s="248">
        <v>1.53371533006944E-3</v>
      </c>
      <c r="H573" s="735">
        <v>1.3891986925987001E-3</v>
      </c>
      <c r="I573" s="735">
        <v>1.4785280634726399E-3</v>
      </c>
      <c r="J573" s="735">
        <v>1.37183954927694E-3</v>
      </c>
      <c r="L573" s="84"/>
      <c r="M573" s="84"/>
      <c r="N573" s="84"/>
      <c r="O573" s="84"/>
      <c r="P573" s="84"/>
      <c r="Q573" s="84"/>
      <c r="R573" s="84"/>
      <c r="S573" s="84"/>
    </row>
    <row r="574" spans="1:19">
      <c r="A574" s="629" t="s">
        <v>729</v>
      </c>
      <c r="B574" s="248"/>
      <c r="C574" s="248">
        <v>3.5546670376225501E-3</v>
      </c>
      <c r="D574" s="248">
        <v>6.1311659500878201E-3</v>
      </c>
      <c r="E574" s="248">
        <v>2.2525244069894002E-3</v>
      </c>
      <c r="F574" s="248"/>
      <c r="G574" s="248">
        <v>1.7155677443053199E-3</v>
      </c>
      <c r="H574" s="735">
        <v>1.3346766391077701E-3</v>
      </c>
      <c r="I574" s="735">
        <v>1.34274228164849E-3</v>
      </c>
      <c r="J574" s="735">
        <v>1.3157852169663701E-3</v>
      </c>
      <c r="L574" s="84"/>
      <c r="M574" s="84"/>
      <c r="N574" s="84"/>
      <c r="O574" s="84"/>
      <c r="P574" s="84"/>
      <c r="Q574" s="84"/>
      <c r="R574" s="84"/>
      <c r="S574" s="84"/>
    </row>
    <row r="575" spans="1:19">
      <c r="A575" s="629" t="s">
        <v>728</v>
      </c>
      <c r="B575" s="248"/>
      <c r="C575" s="248">
        <v>2.9298041769539001E-3</v>
      </c>
      <c r="D575" s="248">
        <v>4.2082406208398E-3</v>
      </c>
      <c r="E575" s="248">
        <v>2.1897786837831801E-3</v>
      </c>
      <c r="F575" s="248"/>
      <c r="G575" s="248">
        <v>1.6658806302044E-3</v>
      </c>
      <c r="H575" s="735">
        <v>1.2431384093389199E-3</v>
      </c>
      <c r="I575" s="735">
        <v>1.2920811556394499E-3</v>
      </c>
      <c r="J575" s="735">
        <v>1.22406557604489E-3</v>
      </c>
      <c r="L575" s="84"/>
      <c r="M575" s="84"/>
      <c r="N575" s="84"/>
      <c r="O575" s="84"/>
      <c r="P575" s="84"/>
      <c r="Q575" s="84"/>
      <c r="R575" s="84"/>
      <c r="S575" s="84"/>
    </row>
    <row r="576" spans="1:19">
      <c r="A576" s="629" t="s">
        <v>727</v>
      </c>
      <c r="B576" s="248"/>
      <c r="C576" s="248">
        <v>2.68833971022878E-3</v>
      </c>
      <c r="D576" s="248">
        <v>1.28469176330504E-2</v>
      </c>
      <c r="E576" s="248">
        <v>2.0872426844831E-3</v>
      </c>
      <c r="F576" s="248"/>
      <c r="G576" s="248">
        <v>1.6632578899516701E-3</v>
      </c>
      <c r="H576" s="735">
        <v>1.25322560425513E-3</v>
      </c>
      <c r="I576" s="735">
        <v>1.2664250823213501E-3</v>
      </c>
      <c r="J576" s="735">
        <v>1.23636499633779E-3</v>
      </c>
      <c r="L576" s="84"/>
      <c r="M576" s="84"/>
      <c r="N576" s="84"/>
      <c r="O576" s="84"/>
      <c r="P576" s="84"/>
      <c r="Q576" s="84"/>
      <c r="R576" s="84"/>
      <c r="S576" s="84"/>
    </row>
    <row r="577" spans="1:19">
      <c r="A577" s="629" t="s">
        <v>726</v>
      </c>
      <c r="B577" s="248"/>
      <c r="C577" s="248">
        <v>2.6729579285996201E-3</v>
      </c>
      <c r="D577" s="248">
        <v>8.0194678329483307E-3</v>
      </c>
      <c r="E577" s="248">
        <v>2.2144427624582398E-3</v>
      </c>
      <c r="F577" s="248"/>
      <c r="G577" s="248">
        <v>1.56021868121463E-3</v>
      </c>
      <c r="H577" s="735">
        <v>1.3765055752702599E-3</v>
      </c>
      <c r="I577" s="735">
        <v>1.30486882706367E-3</v>
      </c>
      <c r="J577" s="735">
        <v>1.35838127791549E-3</v>
      </c>
      <c r="L577" s="84"/>
      <c r="M577" s="84"/>
      <c r="N577" s="84"/>
      <c r="O577" s="84"/>
      <c r="P577" s="84"/>
      <c r="Q577" s="84"/>
      <c r="R577" s="84"/>
      <c r="S577" s="84"/>
    </row>
    <row r="578" spans="1:19">
      <c r="A578" s="629" t="s">
        <v>725</v>
      </c>
      <c r="B578" s="248"/>
      <c r="C578" s="248">
        <v>2.5832892120237799E-3</v>
      </c>
      <c r="D578" s="248">
        <v>1.22983627337248E-2</v>
      </c>
      <c r="E578" s="248">
        <v>2.10242070041333E-3</v>
      </c>
      <c r="F578" s="248"/>
      <c r="G578" s="248">
        <v>1.4793940696691799E-3</v>
      </c>
      <c r="H578" s="735">
        <v>1.38112348762944E-3</v>
      </c>
      <c r="I578" s="735">
        <v>1.69441775971948E-3</v>
      </c>
      <c r="J578" s="735">
        <v>1.3597988468464601E-3</v>
      </c>
      <c r="L578" s="84"/>
      <c r="M578" s="84"/>
      <c r="N578" s="84"/>
      <c r="O578" s="84"/>
      <c r="P578" s="84"/>
      <c r="Q578" s="84"/>
      <c r="R578" s="84"/>
      <c r="S578" s="84"/>
    </row>
    <row r="579" spans="1:19">
      <c r="A579" s="629" t="s">
        <v>724</v>
      </c>
      <c r="B579" s="248"/>
      <c r="C579" s="248">
        <v>3.1121502685846499E-3</v>
      </c>
      <c r="D579" s="248">
        <v>1.3043944605090899E-2</v>
      </c>
      <c r="E579" s="248">
        <v>1.9862273893099E-3</v>
      </c>
      <c r="F579" s="248"/>
      <c r="G579" s="248">
        <v>1.4325469290053299E-3</v>
      </c>
      <c r="H579" s="735">
        <v>1.2668023750307699E-3</v>
      </c>
      <c r="I579" s="735">
        <v>1.77900680584894E-3</v>
      </c>
      <c r="J579" s="735">
        <v>1.24380405355263E-3</v>
      </c>
      <c r="L579" s="84"/>
      <c r="M579" s="84"/>
      <c r="N579" s="84"/>
      <c r="O579" s="84"/>
      <c r="P579" s="84"/>
      <c r="Q579" s="84"/>
      <c r="R579" s="84"/>
      <c r="S579" s="84"/>
    </row>
    <row r="580" spans="1:19">
      <c r="A580" s="629" t="s">
        <v>723</v>
      </c>
      <c r="B580" s="248"/>
      <c r="C580" s="248">
        <v>5.1936059164625296E-3</v>
      </c>
      <c r="D580" s="248">
        <v>1.4970449695707501E-2</v>
      </c>
      <c r="E580" s="248">
        <v>2.8573881275445502E-3</v>
      </c>
      <c r="F580" s="248"/>
      <c r="G580" s="248">
        <v>1.6111294645790801E-3</v>
      </c>
      <c r="H580" s="735">
        <v>2.9664100043718701E-3</v>
      </c>
      <c r="I580" s="735">
        <v>3.3308665114621999E-3</v>
      </c>
      <c r="J580" s="735">
        <v>2.9786177992450502E-3</v>
      </c>
      <c r="L580" s="84"/>
      <c r="M580" s="84"/>
      <c r="N580" s="84"/>
      <c r="O580" s="84"/>
      <c r="P580" s="84"/>
      <c r="Q580" s="84"/>
      <c r="R580" s="84"/>
      <c r="S580" s="84"/>
    </row>
    <row r="581" spans="1:19">
      <c r="A581" s="629" t="s">
        <v>722</v>
      </c>
      <c r="B581" s="248"/>
      <c r="C581" s="248">
        <v>3.5739286105913601E-3</v>
      </c>
      <c r="D581" s="248">
        <v>1.039878821264E-2</v>
      </c>
      <c r="E581" s="248">
        <v>2.91533388630819E-3</v>
      </c>
      <c r="F581" s="248"/>
      <c r="G581" s="248">
        <v>1.5499950658680801E-3</v>
      </c>
      <c r="H581" s="735">
        <v>2.55702727686314E-3</v>
      </c>
      <c r="I581" s="735">
        <v>3.0277140914842801E-3</v>
      </c>
      <c r="J581" s="735">
        <v>2.5677539197669001E-3</v>
      </c>
      <c r="L581" s="84"/>
      <c r="M581" s="84"/>
      <c r="N581" s="84"/>
      <c r="O581" s="84"/>
      <c r="P581" s="84"/>
      <c r="Q581" s="84"/>
      <c r="R581" s="84"/>
      <c r="S581" s="84"/>
    </row>
    <row r="582" spans="1:19">
      <c r="A582" s="629" t="s">
        <v>721</v>
      </c>
      <c r="B582" s="248"/>
      <c r="C582" s="248">
        <v>3.9253044182033696E-3</v>
      </c>
      <c r="D582" s="248">
        <v>7.9381547438131597E-3</v>
      </c>
      <c r="E582" s="248">
        <v>5.43033611432946E-3</v>
      </c>
      <c r="F582" s="248"/>
      <c r="G582" s="248">
        <v>1.4962355694343201E-3</v>
      </c>
      <c r="H582" s="735">
        <v>2.28502675754282E-3</v>
      </c>
      <c r="I582" s="735">
        <v>2.7913740361381E-3</v>
      </c>
      <c r="J582" s="735">
        <v>2.2916091766698298E-3</v>
      </c>
      <c r="L582" s="84"/>
      <c r="M582" s="84"/>
      <c r="N582" s="84"/>
      <c r="O582" s="84"/>
      <c r="P582" s="84"/>
      <c r="Q582" s="84"/>
      <c r="R582" s="84"/>
      <c r="S582" s="84"/>
    </row>
    <row r="583" spans="1:19">
      <c r="A583" s="629" t="s">
        <v>720</v>
      </c>
      <c r="B583" s="248"/>
      <c r="C583" s="248">
        <v>3.3589578484135799E-3</v>
      </c>
      <c r="D583" s="248">
        <v>8.1018405573213808E-3</v>
      </c>
      <c r="E583" s="248">
        <v>4.5983464466671396E-3</v>
      </c>
      <c r="F583" s="248"/>
      <c r="G583" s="248">
        <v>1.6251797842062501E-3</v>
      </c>
      <c r="H583" s="735">
        <v>2.0105065531942599E-3</v>
      </c>
      <c r="I583" s="735">
        <v>2.4899800137241699E-3</v>
      </c>
      <c r="J583" s="735">
        <v>2.0153015448719299E-3</v>
      </c>
      <c r="L583" s="84"/>
      <c r="M583" s="84"/>
      <c r="N583" s="84"/>
      <c r="O583" s="84"/>
      <c r="P583" s="84"/>
      <c r="Q583" s="84"/>
      <c r="R583" s="84"/>
      <c r="S583" s="84"/>
    </row>
    <row r="584" spans="1:19">
      <c r="A584" s="629" t="s">
        <v>719</v>
      </c>
      <c r="B584" s="248"/>
      <c r="C584" s="248">
        <v>3.9636691995807603E-3</v>
      </c>
      <c r="D584" s="248">
        <v>9.4590975575846708E-3</v>
      </c>
      <c r="E584" s="248">
        <v>4.47033741074861E-3</v>
      </c>
      <c r="F584" s="248"/>
      <c r="G584" s="248">
        <v>1.7200291152855401E-3</v>
      </c>
      <c r="H584" s="735">
        <v>1.91815019175519E-3</v>
      </c>
      <c r="I584" s="735">
        <v>2.49027378239339E-3</v>
      </c>
      <c r="J584" s="735">
        <v>1.9237748926040101E-3</v>
      </c>
      <c r="L584" s="84"/>
      <c r="M584" s="84"/>
      <c r="N584" s="84"/>
      <c r="O584" s="84"/>
      <c r="P584" s="84"/>
      <c r="Q584" s="84"/>
      <c r="R584" s="84"/>
      <c r="S584" s="84"/>
    </row>
    <row r="585" spans="1:19">
      <c r="A585" s="629" t="s">
        <v>718</v>
      </c>
      <c r="B585" s="248"/>
      <c r="C585" s="248">
        <v>4.3366555126305804E-3</v>
      </c>
      <c r="D585" s="248">
        <v>8.9808886929493292E-3</v>
      </c>
      <c r="E585" s="248">
        <v>4.3128933274370696E-3</v>
      </c>
      <c r="F585" s="248"/>
      <c r="G585" s="248">
        <v>1.7832810914901701E-3</v>
      </c>
      <c r="H585" s="735">
        <v>2.0203605383572998E-3</v>
      </c>
      <c r="I585" s="735">
        <v>4.3535890199945396E-3</v>
      </c>
      <c r="J585" s="735">
        <v>2.0198536295949498E-3</v>
      </c>
      <c r="L585" s="84"/>
      <c r="M585" s="84"/>
      <c r="N585" s="84"/>
      <c r="O585" s="84"/>
      <c r="P585" s="84"/>
      <c r="Q585" s="84"/>
      <c r="R585" s="84"/>
      <c r="S585" s="84"/>
    </row>
    <row r="586" spans="1:19">
      <c r="A586" s="629" t="s">
        <v>717</v>
      </c>
      <c r="B586" s="248"/>
      <c r="C586" s="248">
        <v>6.2204797993399997E-3</v>
      </c>
      <c r="D586" s="248">
        <v>5.5323019605790797E-3</v>
      </c>
      <c r="E586" s="248">
        <v>4.1314779374528798E-3</v>
      </c>
      <c r="F586" s="248"/>
      <c r="G586" s="248">
        <v>2.6397132641011599E-3</v>
      </c>
      <c r="H586" s="735">
        <v>1.9891835064727199E-3</v>
      </c>
      <c r="I586" s="735">
        <v>4.2694602183086299E-3</v>
      </c>
      <c r="J586" s="735">
        <v>1.9843200634755598E-3</v>
      </c>
      <c r="L586" s="84"/>
      <c r="M586" s="84"/>
      <c r="N586" s="84"/>
      <c r="O586" s="84"/>
      <c r="P586" s="84"/>
      <c r="Q586" s="84"/>
      <c r="R586" s="84"/>
      <c r="S586" s="84"/>
    </row>
    <row r="587" spans="1:19">
      <c r="A587" s="629" t="s">
        <v>716</v>
      </c>
      <c r="B587" s="248"/>
      <c r="C587" s="248">
        <v>4.8664480782907703E-3</v>
      </c>
      <c r="D587" s="248">
        <v>5.7347739205340503E-3</v>
      </c>
      <c r="E587" s="248">
        <v>3.6525016158326599E-3</v>
      </c>
      <c r="F587" s="248"/>
      <c r="G587" s="248">
        <v>2.4860994109413802E-3</v>
      </c>
      <c r="H587" s="735">
        <v>1.8342971690150001E-3</v>
      </c>
      <c r="I587" s="735">
        <v>4.3218483169341201E-3</v>
      </c>
      <c r="J587" s="735">
        <v>1.83114624041176E-3</v>
      </c>
      <c r="L587" s="84"/>
      <c r="M587" s="84"/>
      <c r="N587" s="84"/>
      <c r="O587" s="84"/>
      <c r="P587" s="84"/>
      <c r="Q587" s="84"/>
      <c r="R587" s="84"/>
      <c r="S587" s="84"/>
    </row>
    <row r="588" spans="1:19">
      <c r="A588" s="629" t="s">
        <v>715</v>
      </c>
      <c r="B588" s="248"/>
      <c r="C588" s="248">
        <v>6.4040147014232402E-3</v>
      </c>
      <c r="D588" s="248">
        <v>4.4161332071501304E-3</v>
      </c>
      <c r="E588" s="248">
        <v>3.1780296169451202E-3</v>
      </c>
      <c r="F588" s="248"/>
      <c r="G588" s="248">
        <v>2.31770740849448E-3</v>
      </c>
      <c r="H588" s="735">
        <v>2.6526883181978199E-3</v>
      </c>
      <c r="I588" s="735">
        <v>3.8808985912593698E-3</v>
      </c>
      <c r="J588" s="735">
        <v>2.6498942781642298E-3</v>
      </c>
      <c r="L588" s="84"/>
      <c r="M588" s="84"/>
      <c r="N588" s="84"/>
      <c r="O588" s="84"/>
      <c r="P588" s="84"/>
      <c r="Q588" s="84"/>
      <c r="R588" s="84"/>
      <c r="S588" s="84"/>
    </row>
    <row r="589" spans="1:19">
      <c r="A589" s="629" t="s">
        <v>714</v>
      </c>
      <c r="B589" s="248"/>
      <c r="C589" s="248">
        <v>4.1373993022723599E-3</v>
      </c>
      <c r="D589" s="248">
        <v>8.1606790564002097E-3</v>
      </c>
      <c r="E589" s="248">
        <v>5.3858640255774999E-3</v>
      </c>
      <c r="F589" s="248"/>
      <c r="G589" s="248">
        <v>3.0320563980754502E-3</v>
      </c>
      <c r="H589" s="735">
        <v>3.53668293898661E-3</v>
      </c>
      <c r="I589" s="735">
        <v>4.5419305526908102E-3</v>
      </c>
      <c r="J589" s="735">
        <v>3.5550390625553601E-3</v>
      </c>
      <c r="L589" s="84"/>
      <c r="M589" s="84"/>
      <c r="N589" s="84"/>
      <c r="O589" s="84"/>
      <c r="P589" s="84"/>
      <c r="Q589" s="84"/>
      <c r="R589" s="84"/>
      <c r="S589" s="84"/>
    </row>
    <row r="590" spans="1:19">
      <c r="A590" s="629" t="s">
        <v>713</v>
      </c>
      <c r="B590" s="248"/>
      <c r="C590" s="248">
        <v>3.76659836317344E-3</v>
      </c>
      <c r="D590" s="248">
        <v>8.5556233085099399E-3</v>
      </c>
      <c r="E590" s="248">
        <v>6.0708214950650303E-3</v>
      </c>
      <c r="F590" s="248"/>
      <c r="G590" s="248">
        <v>2.9700311236896099E-3</v>
      </c>
      <c r="H590" s="735">
        <v>5.4004330807893601E-3</v>
      </c>
      <c r="I590" s="735">
        <v>4.0763421867583E-3</v>
      </c>
      <c r="J590" s="735">
        <v>5.4348418208659804E-3</v>
      </c>
      <c r="L590" s="84"/>
      <c r="M590" s="84"/>
      <c r="N590" s="84"/>
      <c r="O590" s="84"/>
      <c r="P590" s="84"/>
      <c r="Q590" s="84"/>
      <c r="R590" s="84"/>
      <c r="S590" s="84"/>
    </row>
    <row r="591" spans="1:19">
      <c r="A591" s="629" t="s">
        <v>712</v>
      </c>
      <c r="B591" s="248"/>
      <c r="C591" s="248">
        <v>3.8536098480064802E-3</v>
      </c>
      <c r="D591" s="248">
        <v>2.47712758260627E-2</v>
      </c>
      <c r="E591" s="248">
        <v>6.9415972275098103E-3</v>
      </c>
      <c r="F591" s="248"/>
      <c r="G591" s="248">
        <v>4.0150154858075403E-3</v>
      </c>
      <c r="H591" s="735">
        <v>7.1920148414171799E-3</v>
      </c>
      <c r="I591" s="735">
        <v>4.7869266703566699E-3</v>
      </c>
      <c r="J591" s="735">
        <v>7.2964538122314102E-3</v>
      </c>
      <c r="L591" s="84"/>
      <c r="M591" s="84"/>
      <c r="N591" s="84"/>
      <c r="O591" s="84"/>
      <c r="P591" s="84"/>
      <c r="Q591" s="84"/>
      <c r="R591" s="84"/>
      <c r="S591" s="84"/>
    </row>
    <row r="592" spans="1:19">
      <c r="A592" s="629" t="s">
        <v>711</v>
      </c>
      <c r="B592" s="248"/>
      <c r="C592" s="248">
        <v>4.5968132932799497E-3</v>
      </c>
      <c r="D592" s="248">
        <v>1.58771459828429E-2</v>
      </c>
      <c r="E592" s="248">
        <v>5.9751273846997298E-3</v>
      </c>
      <c r="F592" s="248"/>
      <c r="G592" s="248">
        <v>5.2800961133907904E-3</v>
      </c>
      <c r="H592" s="735">
        <v>6.7240257373795999E-3</v>
      </c>
      <c r="I592" s="735">
        <v>4.3105783630880698E-3</v>
      </c>
      <c r="J592" s="735">
        <v>6.81671534564556E-3</v>
      </c>
      <c r="L592" s="84"/>
      <c r="M592" s="84"/>
      <c r="N592" s="84"/>
      <c r="O592" s="84"/>
      <c r="P592" s="84"/>
      <c r="Q592" s="84"/>
      <c r="R592" s="84"/>
      <c r="S592" s="84"/>
    </row>
    <row r="593" spans="1:19">
      <c r="A593" s="629" t="s">
        <v>710</v>
      </c>
      <c r="B593" s="248"/>
      <c r="C593" s="248">
        <v>5.4852797276628397E-3</v>
      </c>
      <c r="D593" s="248">
        <v>9.1241191309415302E-3</v>
      </c>
      <c r="E593" s="248">
        <v>6.4063228295252799E-3</v>
      </c>
      <c r="F593" s="248"/>
      <c r="G593" s="248">
        <v>5.0255918338456404E-3</v>
      </c>
      <c r="H593" s="735">
        <v>5.9075780101769801E-3</v>
      </c>
      <c r="I593" s="735">
        <v>3.8239163078121201E-3</v>
      </c>
      <c r="J593" s="735">
        <v>5.9844312056471097E-3</v>
      </c>
      <c r="L593" s="84"/>
      <c r="M593" s="84"/>
      <c r="N593" s="84"/>
      <c r="O593" s="84"/>
      <c r="P593" s="84"/>
      <c r="Q593" s="84"/>
      <c r="R593" s="84"/>
      <c r="S593" s="84"/>
    </row>
    <row r="594" spans="1:19">
      <c r="A594" s="629" t="s">
        <v>709</v>
      </c>
      <c r="B594" s="248"/>
      <c r="C594" s="248">
        <v>3.2134434468711399E-2</v>
      </c>
      <c r="D594" s="248">
        <v>1.11418871507439E-2</v>
      </c>
      <c r="E594" s="248">
        <v>1.3967013906723001E-2</v>
      </c>
      <c r="F594" s="248"/>
      <c r="G594" s="248">
        <v>1.7019606762384301E-2</v>
      </c>
      <c r="H594" s="735">
        <v>6.2820550749660203E-3</v>
      </c>
      <c r="I594" s="735">
        <v>6.6906075559931399E-3</v>
      </c>
      <c r="J594" s="735">
        <v>6.4023470701714399E-3</v>
      </c>
      <c r="L594" s="84"/>
      <c r="M594" s="84"/>
      <c r="N594" s="84"/>
      <c r="O594" s="84"/>
      <c r="P594" s="84"/>
      <c r="Q594" s="84"/>
      <c r="R594" s="84"/>
      <c r="S594" s="84"/>
    </row>
    <row r="595" spans="1:19">
      <c r="A595" s="629" t="s">
        <v>708</v>
      </c>
      <c r="B595" s="248"/>
      <c r="C595" s="248">
        <v>1.7827984796902899E-2</v>
      </c>
      <c r="D595" s="248">
        <v>7.2177656371613204E-3</v>
      </c>
      <c r="E595" s="248">
        <v>1.1384731272048299E-2</v>
      </c>
      <c r="F595" s="248"/>
      <c r="G595" s="248">
        <v>1.58557520735155E-2</v>
      </c>
      <c r="H595" s="735">
        <v>5.5116915347644202E-3</v>
      </c>
      <c r="I595" s="735">
        <v>5.88858802543129E-3</v>
      </c>
      <c r="J595" s="735">
        <v>5.6300693523440399E-3</v>
      </c>
      <c r="L595" s="84"/>
      <c r="M595" s="84"/>
      <c r="N595" s="84"/>
      <c r="O595" s="84"/>
      <c r="P595" s="84"/>
      <c r="Q595" s="84"/>
      <c r="R595" s="84"/>
      <c r="S595" s="84"/>
    </row>
    <row r="596" spans="1:19">
      <c r="A596" s="629" t="s">
        <v>707</v>
      </c>
      <c r="B596" s="248"/>
      <c r="C596" s="248">
        <v>1.05777756858439E-2</v>
      </c>
      <c r="D596" s="248">
        <v>5.3147452156189897E-3</v>
      </c>
      <c r="E596" s="248">
        <v>1.15334850354765E-2</v>
      </c>
      <c r="F596" s="248"/>
      <c r="G596" s="248">
        <v>1.4299957736194999E-2</v>
      </c>
      <c r="H596" s="735">
        <v>4.6470279175109298E-3</v>
      </c>
      <c r="I596" s="735">
        <v>5.3480969343000897E-3</v>
      </c>
      <c r="J596" s="735">
        <v>4.7525627461125503E-3</v>
      </c>
      <c r="L596" s="84"/>
      <c r="M596" s="84"/>
      <c r="N596" s="84"/>
      <c r="O596" s="84"/>
      <c r="P596" s="84"/>
      <c r="Q596" s="84"/>
      <c r="R596" s="84"/>
      <c r="S596" s="84"/>
    </row>
    <row r="597" spans="1:19">
      <c r="A597" s="629" t="s">
        <v>706</v>
      </c>
      <c r="B597" s="248"/>
      <c r="C597" s="248">
        <v>5.9376105166379003E-3</v>
      </c>
      <c r="D597" s="248">
        <v>3.76298833782854E-3</v>
      </c>
      <c r="E597" s="248">
        <v>9.5743851602669103E-3</v>
      </c>
      <c r="F597" s="248"/>
      <c r="G597" s="248">
        <v>1.29397167456259E-2</v>
      </c>
      <c r="H597" s="735">
        <v>4.0414571365497802E-3</v>
      </c>
      <c r="I597" s="735">
        <v>4.8163109080584998E-3</v>
      </c>
      <c r="J597" s="735">
        <v>4.1385494742081398E-3</v>
      </c>
      <c r="L597" s="84"/>
      <c r="M597" s="84"/>
      <c r="N597" s="84"/>
      <c r="O597" s="84"/>
      <c r="P597" s="84"/>
      <c r="Q597" s="84"/>
      <c r="R597" s="84"/>
      <c r="S597" s="84"/>
    </row>
    <row r="598" spans="1:19">
      <c r="A598" s="629" t="s">
        <v>705</v>
      </c>
      <c r="B598" s="248"/>
      <c r="C598" s="248">
        <v>4.2002958445769203E-3</v>
      </c>
      <c r="D598" s="248">
        <v>3.3396850968150302E-3</v>
      </c>
      <c r="E598" s="248">
        <v>8.2216793181246507E-3</v>
      </c>
      <c r="F598" s="248"/>
      <c r="G598" s="248">
        <v>1.3084358991931101E-2</v>
      </c>
      <c r="H598" s="735">
        <v>3.5710249608638198E-3</v>
      </c>
      <c r="I598" s="735">
        <v>4.7910036005149098E-3</v>
      </c>
      <c r="J598" s="735">
        <v>3.6585473049152101E-3</v>
      </c>
      <c r="L598" s="84"/>
      <c r="M598" s="84"/>
      <c r="N598" s="84"/>
      <c r="O598" s="84"/>
      <c r="P598" s="84"/>
      <c r="Q598" s="84"/>
      <c r="R598" s="84"/>
      <c r="S598" s="84"/>
    </row>
    <row r="599" spans="1:19">
      <c r="A599" s="629" t="s">
        <v>704</v>
      </c>
      <c r="B599" s="248"/>
      <c r="C599" s="248">
        <v>5.0077810595922003E-3</v>
      </c>
      <c r="D599" s="248">
        <v>1.17836958691838E-2</v>
      </c>
      <c r="E599" s="248">
        <v>1.24899297684268E-2</v>
      </c>
      <c r="F599" s="248"/>
      <c r="G599" s="248">
        <v>1.1868346207234801E-2</v>
      </c>
      <c r="H599" s="735">
        <v>3.15661284332164E-3</v>
      </c>
      <c r="I599" s="735">
        <v>5.12120676139985E-3</v>
      </c>
      <c r="J599" s="735">
        <v>3.2362121758962E-3</v>
      </c>
      <c r="L599" s="84"/>
      <c r="M599" s="84"/>
      <c r="N599" s="84"/>
      <c r="O599" s="84"/>
      <c r="P599" s="84"/>
      <c r="Q599" s="84"/>
      <c r="R599" s="84"/>
      <c r="S599" s="84"/>
    </row>
    <row r="600" spans="1:19">
      <c r="A600" s="629" t="s">
        <v>703</v>
      </c>
      <c r="B600" s="248"/>
      <c r="C600" s="248">
        <v>6.1847392342647299E-3</v>
      </c>
      <c r="D600" s="248">
        <v>9.1712126624456207E-3</v>
      </c>
      <c r="E600" s="248">
        <v>1.23714576355632E-2</v>
      </c>
      <c r="F600" s="248"/>
      <c r="G600" s="248">
        <v>1.09870984600431E-2</v>
      </c>
      <c r="H600" s="735">
        <v>3.5974946239608601E-3</v>
      </c>
      <c r="I600" s="735">
        <v>5.0029952521256499E-3</v>
      </c>
      <c r="J600" s="735">
        <v>3.6715859822265902E-3</v>
      </c>
      <c r="L600" s="84"/>
      <c r="M600" s="84"/>
      <c r="N600" s="84"/>
      <c r="O600" s="84"/>
      <c r="P600" s="84"/>
      <c r="Q600" s="84"/>
      <c r="R600" s="84"/>
      <c r="S600" s="84"/>
    </row>
    <row r="601" spans="1:19">
      <c r="A601" s="629" t="s">
        <v>702</v>
      </c>
      <c r="B601" s="248"/>
      <c r="C601" s="248">
        <v>4.7726619778902099E-3</v>
      </c>
      <c r="D601" s="248">
        <v>7.6255391667010503E-3</v>
      </c>
      <c r="E601" s="248">
        <v>1.00482403109204E-2</v>
      </c>
      <c r="F601" s="248"/>
      <c r="G601" s="248">
        <v>1.0197579748512301E-2</v>
      </c>
      <c r="H601" s="735">
        <v>3.2072597244713302E-3</v>
      </c>
      <c r="I601" s="735">
        <v>4.5644301497831004E-3</v>
      </c>
      <c r="J601" s="735">
        <v>3.2724825861556602E-3</v>
      </c>
      <c r="L601" s="84"/>
      <c r="M601" s="84"/>
      <c r="N601" s="84"/>
      <c r="O601" s="84"/>
      <c r="P601" s="84"/>
      <c r="Q601" s="84"/>
      <c r="R601" s="84"/>
      <c r="S601" s="84"/>
    </row>
    <row r="602" spans="1:19">
      <c r="A602" s="629" t="s">
        <v>701</v>
      </c>
      <c r="B602" s="248"/>
      <c r="C602" s="248">
        <v>3.4322396072983701E-3</v>
      </c>
      <c r="D602" s="248">
        <v>5.1383025815587603E-3</v>
      </c>
      <c r="E602" s="248">
        <v>8.5889521670803898E-3</v>
      </c>
      <c r="F602" s="248"/>
      <c r="G602" s="248">
        <v>9.2393692076530604E-3</v>
      </c>
      <c r="H602" s="735">
        <v>3.0789421975403498E-3</v>
      </c>
      <c r="I602" s="735">
        <v>4.07735952319225E-3</v>
      </c>
      <c r="J602" s="735">
        <v>3.1300078980641501E-3</v>
      </c>
      <c r="L602" s="84"/>
      <c r="M602" s="84"/>
      <c r="N602" s="84"/>
      <c r="O602" s="84"/>
      <c r="P602" s="84"/>
      <c r="Q602" s="84"/>
      <c r="R602" s="84"/>
      <c r="S602" s="84"/>
    </row>
    <row r="603" spans="1:19">
      <c r="A603" s="629" t="s">
        <v>700</v>
      </c>
      <c r="B603" s="248"/>
      <c r="C603" s="248">
        <v>3.6271211457576599E-3</v>
      </c>
      <c r="D603" s="248">
        <v>4.92192412103345E-3</v>
      </c>
      <c r="E603" s="248">
        <v>8.1286957328919E-3</v>
      </c>
      <c r="F603" s="248"/>
      <c r="G603" s="248">
        <v>8.4027348276637104E-3</v>
      </c>
      <c r="H603" s="735">
        <v>2.9371279025072199E-3</v>
      </c>
      <c r="I603" s="735">
        <v>3.94719796145595E-3</v>
      </c>
      <c r="J603" s="735">
        <v>2.9904784647542498E-3</v>
      </c>
      <c r="L603" s="84"/>
      <c r="M603" s="84"/>
      <c r="N603" s="84"/>
      <c r="O603" s="84"/>
      <c r="P603" s="84"/>
      <c r="Q603" s="84"/>
      <c r="R603" s="84"/>
      <c r="S603" s="84"/>
    </row>
    <row r="604" spans="1:19">
      <c r="A604" s="629" t="s">
        <v>699</v>
      </c>
      <c r="B604" s="248"/>
      <c r="C604" s="248">
        <v>5.1854345064259004E-3</v>
      </c>
      <c r="D604" s="248">
        <v>7.1229770205746201E-3</v>
      </c>
      <c r="E604" s="248">
        <v>7.0049243107262998E-3</v>
      </c>
      <c r="F604" s="248"/>
      <c r="G604" s="248">
        <v>7.6128809677611297E-3</v>
      </c>
      <c r="H604" s="735">
        <v>2.5658487596416598E-3</v>
      </c>
      <c r="I604" s="735">
        <v>3.54055068704443E-3</v>
      </c>
      <c r="J604" s="735">
        <v>2.6081510891896001E-3</v>
      </c>
      <c r="L604" s="84"/>
      <c r="M604" s="84"/>
      <c r="N604" s="84"/>
      <c r="O604" s="84"/>
      <c r="P604" s="84"/>
      <c r="Q604" s="84"/>
      <c r="R604" s="84"/>
      <c r="S604" s="84"/>
    </row>
    <row r="605" spans="1:19">
      <c r="A605" s="629" t="s">
        <v>698</v>
      </c>
      <c r="B605" s="248"/>
      <c r="C605" s="248">
        <v>4.1140288928330103E-3</v>
      </c>
      <c r="D605" s="248">
        <v>4.5699015424238796E-3</v>
      </c>
      <c r="E605" s="248">
        <v>5.8155406618946503E-3</v>
      </c>
      <c r="F605" s="248"/>
      <c r="G605" s="248">
        <v>6.8983661209820902E-3</v>
      </c>
      <c r="H605" s="735">
        <v>2.3072573354836999E-3</v>
      </c>
      <c r="I605" s="735">
        <v>3.1442127524841401E-3</v>
      </c>
      <c r="J605" s="735">
        <v>2.33797767394613E-3</v>
      </c>
      <c r="L605" s="84"/>
      <c r="M605" s="84"/>
      <c r="N605" s="84"/>
      <c r="O605" s="84"/>
      <c r="P605" s="84"/>
      <c r="Q605" s="84"/>
      <c r="R605" s="84"/>
      <c r="S605" s="84"/>
    </row>
    <row r="606" spans="1:19">
      <c r="A606" s="629" t="s">
        <v>697</v>
      </c>
      <c r="B606" s="248"/>
      <c r="C606" s="248">
        <v>6.4642759680365097E-3</v>
      </c>
      <c r="D606" s="248">
        <v>3.58974452372471E-3</v>
      </c>
      <c r="E606" s="248">
        <v>7.8289000804152697E-3</v>
      </c>
      <c r="F606" s="248"/>
      <c r="G606" s="248">
        <v>6.3412917795982104E-3</v>
      </c>
      <c r="H606" s="735">
        <v>3.4892801582296E-3</v>
      </c>
      <c r="I606" s="735">
        <v>3.4219994700491899E-3</v>
      </c>
      <c r="J606" s="735">
        <v>3.52751563926038E-3</v>
      </c>
      <c r="L606" s="84"/>
      <c r="M606" s="84"/>
      <c r="N606" s="84"/>
      <c r="O606" s="84"/>
      <c r="P606" s="84"/>
      <c r="Q606" s="84"/>
      <c r="R606" s="84"/>
      <c r="S606" s="84"/>
    </row>
    <row r="607" spans="1:19">
      <c r="A607" s="629" t="s">
        <v>696</v>
      </c>
      <c r="B607" s="248"/>
      <c r="C607" s="248">
        <v>4.7223111457751999E-3</v>
      </c>
      <c r="D607" s="248">
        <v>3.8619592717979599E-3</v>
      </c>
      <c r="E607" s="248">
        <v>6.7209770798346497E-3</v>
      </c>
      <c r="F607" s="248"/>
      <c r="G607" s="248">
        <v>5.9305573268612598E-3</v>
      </c>
      <c r="H607" s="735">
        <v>3.05135681830328E-3</v>
      </c>
      <c r="I607" s="735">
        <v>3.2939586449950301E-3</v>
      </c>
      <c r="J607" s="735">
        <v>3.0868271322962702E-3</v>
      </c>
      <c r="L607" s="84"/>
      <c r="M607" s="84"/>
      <c r="N607" s="84"/>
      <c r="O607" s="84"/>
      <c r="P607" s="84"/>
      <c r="Q607" s="84"/>
      <c r="R607" s="84"/>
      <c r="S607" s="84"/>
    </row>
    <row r="608" spans="1:19">
      <c r="A608" s="629" t="s">
        <v>695</v>
      </c>
      <c r="B608" s="248"/>
      <c r="C608" s="248">
        <v>3.4163480713532701E-3</v>
      </c>
      <c r="D608" s="248">
        <v>4.1793362586156797E-3</v>
      </c>
      <c r="E608" s="248">
        <v>5.71411683920968E-3</v>
      </c>
      <c r="F608" s="248"/>
      <c r="G608" s="248">
        <v>5.7597033969113498E-3</v>
      </c>
      <c r="H608" s="735">
        <v>2.65949313964694E-3</v>
      </c>
      <c r="I608" s="735">
        <v>2.9262123970390601E-3</v>
      </c>
      <c r="J608" s="735">
        <v>2.6929316733072298E-3</v>
      </c>
      <c r="L608" s="84"/>
      <c r="M608" s="84"/>
      <c r="N608" s="84"/>
      <c r="O608" s="84"/>
      <c r="P608" s="84"/>
      <c r="Q608" s="84"/>
      <c r="R608" s="84"/>
      <c r="S608" s="84"/>
    </row>
    <row r="609" spans="1:19">
      <c r="A609" s="629" t="s">
        <v>694</v>
      </c>
      <c r="B609" s="248"/>
      <c r="C609" s="248">
        <v>3.2474088673503702E-3</v>
      </c>
      <c r="D609" s="248">
        <v>3.9508526208808003E-3</v>
      </c>
      <c r="E609" s="248">
        <v>4.86484264542935E-3</v>
      </c>
      <c r="F609" s="248"/>
      <c r="G609" s="248">
        <v>5.2426847733240299E-3</v>
      </c>
      <c r="H609" s="735">
        <v>2.3815432163266201E-3</v>
      </c>
      <c r="I609" s="735">
        <v>2.6126895142942201E-3</v>
      </c>
      <c r="J609" s="735">
        <v>2.4092801789098199E-3</v>
      </c>
      <c r="L609" s="84"/>
      <c r="M609" s="84"/>
      <c r="N609" s="84"/>
      <c r="O609" s="84"/>
      <c r="P609" s="84"/>
      <c r="Q609" s="84"/>
      <c r="R609" s="84"/>
      <c r="S609" s="84"/>
    </row>
    <row r="610" spans="1:19">
      <c r="A610" s="629" t="s">
        <v>693</v>
      </c>
      <c r="B610" s="248"/>
      <c r="C610" s="248">
        <v>3.0077902660740098E-3</v>
      </c>
      <c r="D610" s="248">
        <v>5.1483604533910697E-3</v>
      </c>
      <c r="E610" s="248">
        <v>4.5221267055507103E-3</v>
      </c>
      <c r="F610" s="248"/>
      <c r="G610" s="248">
        <v>4.8642792563633099E-3</v>
      </c>
      <c r="H610" s="735">
        <v>2.1299800171888802E-3</v>
      </c>
      <c r="I610" s="735">
        <v>2.4029703545146099E-3</v>
      </c>
      <c r="J610" s="735">
        <v>2.1555808008460599E-3</v>
      </c>
      <c r="L610" s="84"/>
      <c r="M610" s="84"/>
      <c r="N610" s="84"/>
      <c r="O610" s="84"/>
      <c r="P610" s="84"/>
      <c r="Q610" s="84"/>
      <c r="R610" s="84"/>
      <c r="S610" s="84"/>
    </row>
    <row r="611" spans="1:19">
      <c r="A611" s="629" t="s">
        <v>692</v>
      </c>
      <c r="B611" s="248"/>
      <c r="C611" s="248">
        <v>3.5300495753249699E-3</v>
      </c>
      <c r="D611" s="248">
        <v>5.3711981923216696E-3</v>
      </c>
      <c r="E611" s="248">
        <v>3.8924878514446201E-3</v>
      </c>
      <c r="F611" s="248"/>
      <c r="G611" s="248">
        <v>4.4628009607715503E-3</v>
      </c>
      <c r="H611" s="735">
        <v>1.9771854376522298E-3</v>
      </c>
      <c r="I611" s="735">
        <v>2.20088543642534E-3</v>
      </c>
      <c r="J611" s="735">
        <v>2.00261697489322E-3</v>
      </c>
      <c r="L611" s="84"/>
      <c r="M611" s="84"/>
      <c r="N611" s="84"/>
      <c r="O611" s="84"/>
      <c r="P611" s="84"/>
      <c r="Q611" s="84"/>
      <c r="R611" s="84"/>
      <c r="S611" s="84"/>
    </row>
    <row r="612" spans="1:19">
      <c r="A612" s="629" t="s">
        <v>691</v>
      </c>
      <c r="B612" s="248"/>
      <c r="C612" s="248">
        <v>3.04554158232534E-3</v>
      </c>
      <c r="D612" s="248">
        <v>3.7494613239270301E-3</v>
      </c>
      <c r="E612" s="248">
        <v>3.9616429202793003E-3</v>
      </c>
      <c r="F612" s="248"/>
      <c r="G612" s="248">
        <v>4.3249341861834496E-3</v>
      </c>
      <c r="H612" s="735">
        <v>1.79180944659074E-3</v>
      </c>
      <c r="I612" s="735">
        <v>2.0288026262143301E-3</v>
      </c>
      <c r="J612" s="735">
        <v>1.81131238092204E-3</v>
      </c>
      <c r="L612" s="84"/>
      <c r="M612" s="84"/>
      <c r="N612" s="84"/>
      <c r="O612" s="84"/>
      <c r="P612" s="84"/>
      <c r="Q612" s="84"/>
      <c r="R612" s="84"/>
      <c r="S612" s="84"/>
    </row>
    <row r="613" spans="1:19">
      <c r="A613" s="629" t="s">
        <v>690</v>
      </c>
      <c r="B613" s="248"/>
      <c r="C613" s="248">
        <v>2.8473536325306502E-3</v>
      </c>
      <c r="D613" s="248">
        <v>2.9212018897990201E-3</v>
      </c>
      <c r="E613" s="248">
        <v>3.43953260458161E-3</v>
      </c>
      <c r="F613" s="248"/>
      <c r="G613" s="248">
        <v>4.03571057147594E-3</v>
      </c>
      <c r="H613" s="735">
        <v>1.6063464203767901E-3</v>
      </c>
      <c r="I613" s="735">
        <v>1.9041140229264801E-3</v>
      </c>
      <c r="J613" s="735">
        <v>1.6183691553877499E-3</v>
      </c>
      <c r="L613" s="84"/>
      <c r="M613" s="84"/>
      <c r="N613" s="84"/>
      <c r="O613" s="84"/>
      <c r="P613" s="84"/>
      <c r="Q613" s="84"/>
      <c r="R613" s="84"/>
      <c r="S613" s="84"/>
    </row>
    <row r="614" spans="1:19">
      <c r="A614" s="629" t="s">
        <v>689</v>
      </c>
      <c r="B614" s="248"/>
      <c r="C614" s="248">
        <v>2.7824443906917301E-3</v>
      </c>
      <c r="D614" s="248">
        <v>6.13818307039685E-3</v>
      </c>
      <c r="E614" s="248">
        <v>3.2440316765479302E-3</v>
      </c>
      <c r="F614" s="248"/>
      <c r="G614" s="248">
        <v>3.7200027565163899E-3</v>
      </c>
      <c r="H614" s="735">
        <v>1.4615305127450801E-3</v>
      </c>
      <c r="I614" s="735">
        <v>1.7964791285334501E-3</v>
      </c>
      <c r="J614" s="735">
        <v>1.46744656188506E-3</v>
      </c>
      <c r="L614" s="84"/>
      <c r="M614" s="84"/>
      <c r="N614" s="84"/>
      <c r="O614" s="84"/>
      <c r="P614" s="84"/>
      <c r="Q614" s="84"/>
      <c r="R614" s="84"/>
      <c r="S614" s="84"/>
    </row>
    <row r="615" spans="1:19">
      <c r="A615" s="629" t="s">
        <v>688</v>
      </c>
      <c r="B615" s="248"/>
      <c r="C615" s="248">
        <v>2.6574742155101899E-3</v>
      </c>
      <c r="D615" s="248">
        <v>5.1727258058181401E-3</v>
      </c>
      <c r="E615" s="248">
        <v>2.88660187666041E-3</v>
      </c>
      <c r="F615" s="248"/>
      <c r="G615" s="248">
        <v>3.4126426220635001E-3</v>
      </c>
      <c r="H615" s="735">
        <v>1.4460706248235701E-3</v>
      </c>
      <c r="I615" s="735">
        <v>1.6354612871798701E-3</v>
      </c>
      <c r="J615" s="735">
        <v>1.45175606066293E-3</v>
      </c>
      <c r="L615" s="84"/>
      <c r="M615" s="84"/>
      <c r="N615" s="84"/>
      <c r="O615" s="84"/>
      <c r="P615" s="84"/>
      <c r="Q615" s="84"/>
      <c r="R615" s="84"/>
      <c r="S615" s="84"/>
    </row>
    <row r="616" spans="1:19">
      <c r="A616" s="629" t="s">
        <v>687</v>
      </c>
      <c r="B616" s="248"/>
      <c r="C616" s="248">
        <v>2.7066609578312501E-3</v>
      </c>
      <c r="D616" s="248">
        <v>4.0204540240278801E-3</v>
      </c>
      <c r="E616" s="248">
        <v>2.8965007082604002E-3</v>
      </c>
      <c r="F616" s="248"/>
      <c r="G616" s="248">
        <v>3.17938692865941E-3</v>
      </c>
      <c r="H616" s="735">
        <v>1.32508149900226E-3</v>
      </c>
      <c r="I616" s="735">
        <v>1.5103178048608799E-3</v>
      </c>
      <c r="J616" s="735">
        <v>1.3252995855333701E-3</v>
      </c>
      <c r="L616" s="84"/>
      <c r="M616" s="84"/>
      <c r="N616" s="84"/>
      <c r="O616" s="84"/>
      <c r="P616" s="84"/>
      <c r="Q616" s="84"/>
      <c r="R616" s="84"/>
      <c r="S616" s="84"/>
    </row>
    <row r="617" spans="1:19">
      <c r="A617" s="629" t="s">
        <v>686</v>
      </c>
      <c r="B617" s="248"/>
      <c r="C617" s="248">
        <v>4.0645315285481399E-3</v>
      </c>
      <c r="D617" s="248">
        <v>3.14041224904494E-3</v>
      </c>
      <c r="E617" s="248">
        <v>4.22370529744397E-3</v>
      </c>
      <c r="F617" s="248"/>
      <c r="G617" s="248">
        <v>3.1598836474516201E-3</v>
      </c>
      <c r="H617" s="735">
        <v>1.4555618286434999E-3</v>
      </c>
      <c r="I617" s="735">
        <v>1.6793320381737001E-3</v>
      </c>
      <c r="J617" s="735">
        <v>1.45430318295927E-3</v>
      </c>
      <c r="L617" s="84"/>
      <c r="M617" s="84"/>
      <c r="N617" s="84"/>
      <c r="O617" s="84"/>
      <c r="P617" s="84"/>
      <c r="Q617" s="84"/>
      <c r="R617" s="84"/>
      <c r="S617" s="84"/>
    </row>
    <row r="618" spans="1:19">
      <c r="A618" s="629" t="s">
        <v>685</v>
      </c>
      <c r="B618" s="248"/>
      <c r="C618" s="248">
        <v>3.1758809729111699E-3</v>
      </c>
      <c r="D618" s="248">
        <v>2.50918504963323E-3</v>
      </c>
      <c r="E618" s="248">
        <v>3.6757399145919299E-3</v>
      </c>
      <c r="F618" s="248"/>
      <c r="G618" s="248">
        <v>5.8494244895654001E-3</v>
      </c>
      <c r="H618" s="735">
        <v>1.77258459655068E-3</v>
      </c>
      <c r="I618" s="735">
        <v>1.52160118205406E-3</v>
      </c>
      <c r="J618" s="735">
        <v>1.77819596112102E-3</v>
      </c>
      <c r="L618" s="84"/>
      <c r="M618" s="84"/>
      <c r="N618" s="84"/>
      <c r="O618" s="84"/>
      <c r="P618" s="84"/>
      <c r="Q618" s="84"/>
      <c r="R618" s="84"/>
      <c r="S618" s="84"/>
    </row>
    <row r="619" spans="1:19">
      <c r="A619" s="629" t="s">
        <v>684</v>
      </c>
      <c r="B619" s="248"/>
      <c r="C619" s="248">
        <v>2.9639948978605998E-3</v>
      </c>
      <c r="D619" s="248">
        <v>3.6288965994621301E-3</v>
      </c>
      <c r="E619" s="248">
        <v>3.4787221048141999E-3</v>
      </c>
      <c r="F619" s="248"/>
      <c r="G619" s="248">
        <v>7.35560071187149E-3</v>
      </c>
      <c r="H619" s="735">
        <v>1.6645906432037399E-3</v>
      </c>
      <c r="I619" s="735">
        <v>1.6146936512526199E-3</v>
      </c>
      <c r="J619" s="735">
        <v>1.67051055117602E-3</v>
      </c>
      <c r="L619" s="84"/>
      <c r="M619" s="84"/>
      <c r="N619" s="84"/>
      <c r="O619" s="84"/>
      <c r="P619" s="84"/>
      <c r="Q619" s="84"/>
      <c r="R619" s="84"/>
      <c r="S619" s="84"/>
    </row>
    <row r="620" spans="1:19">
      <c r="A620" s="629" t="s">
        <v>683</v>
      </c>
      <c r="B620" s="248"/>
      <c r="C620" s="248">
        <v>2.7161705191937899E-3</v>
      </c>
      <c r="D620" s="248">
        <v>4.1412071708118803E-3</v>
      </c>
      <c r="E620" s="248">
        <v>3.2097090858080801E-3</v>
      </c>
      <c r="F620" s="248"/>
      <c r="G620" s="248">
        <v>6.72008325493642E-3</v>
      </c>
      <c r="H620" s="735">
        <v>1.5581312197881401E-3</v>
      </c>
      <c r="I620" s="735">
        <v>1.4610992831483899E-3</v>
      </c>
      <c r="J620" s="735">
        <v>1.55883839042447E-3</v>
      </c>
      <c r="L620" s="84"/>
      <c r="M620" s="84"/>
      <c r="N620" s="84"/>
      <c r="O620" s="84"/>
      <c r="P620" s="84"/>
      <c r="Q620" s="84"/>
      <c r="R620" s="84"/>
      <c r="S620" s="84"/>
    </row>
    <row r="621" spans="1:19">
      <c r="A621" s="629" t="s">
        <v>682</v>
      </c>
      <c r="B621" s="248"/>
      <c r="C621" s="248">
        <v>3.4467877827861699E-3</v>
      </c>
      <c r="D621" s="248">
        <v>6.7161927428572802E-3</v>
      </c>
      <c r="E621" s="248">
        <v>2.8284815368216898E-3</v>
      </c>
      <c r="F621" s="248"/>
      <c r="G621" s="248">
        <v>6.1115890997232303E-3</v>
      </c>
      <c r="H621" s="735">
        <v>1.4102932614249301E-3</v>
      </c>
      <c r="I621" s="735">
        <v>1.3411863026447E-3</v>
      </c>
      <c r="J621" s="735">
        <v>1.4074443262745899E-3</v>
      </c>
      <c r="L621" s="84"/>
      <c r="M621" s="84"/>
      <c r="N621" s="84"/>
      <c r="O621" s="84"/>
      <c r="P621" s="84"/>
      <c r="Q621" s="84"/>
      <c r="R621" s="84"/>
      <c r="S621" s="84"/>
    </row>
    <row r="622" spans="1:19">
      <c r="A622" s="629" t="s">
        <v>681</v>
      </c>
      <c r="B622" s="248"/>
      <c r="C622" s="248">
        <v>3.1068560372716002E-3</v>
      </c>
      <c r="D622" s="248">
        <v>4.4104049761315104E-3</v>
      </c>
      <c r="E622" s="248">
        <v>3.0317363317201901E-3</v>
      </c>
      <c r="F622" s="248"/>
      <c r="G622" s="248">
        <v>5.9158864541735299E-3</v>
      </c>
      <c r="H622" s="735">
        <v>1.36547547491003E-3</v>
      </c>
      <c r="I622" s="735">
        <v>1.23759057050006E-3</v>
      </c>
      <c r="J622" s="735">
        <v>1.35718775949809E-3</v>
      </c>
      <c r="L622" s="84"/>
      <c r="M622" s="84"/>
      <c r="N622" s="84"/>
      <c r="O622" s="84"/>
      <c r="P622" s="84"/>
      <c r="Q622" s="84"/>
      <c r="R622" s="84"/>
      <c r="S622" s="84"/>
    </row>
    <row r="623" spans="1:19">
      <c r="A623" s="629" t="s">
        <v>680</v>
      </c>
      <c r="B623" s="248"/>
      <c r="C623" s="248">
        <v>5.8431161909596003E-3</v>
      </c>
      <c r="D623" s="248">
        <v>3.6047552795535199E-3</v>
      </c>
      <c r="E623" s="248">
        <v>4.3273024509514497E-3</v>
      </c>
      <c r="F623" s="248"/>
      <c r="G623" s="248">
        <v>5.93386171370052E-3</v>
      </c>
      <c r="H623" s="735">
        <v>1.42000994037078E-3</v>
      </c>
      <c r="I623" s="735">
        <v>1.34117374402544E-3</v>
      </c>
      <c r="J623" s="735">
        <v>1.4106818653500299E-3</v>
      </c>
      <c r="L623" s="84"/>
      <c r="M623" s="84"/>
      <c r="N623" s="84"/>
      <c r="O623" s="84"/>
      <c r="P623" s="84"/>
      <c r="Q623" s="84"/>
      <c r="R623" s="84"/>
      <c r="S623" s="84"/>
    </row>
    <row r="624" spans="1:19">
      <c r="A624" s="629" t="s">
        <v>679</v>
      </c>
      <c r="B624" s="248"/>
      <c r="C624" s="248">
        <v>3.8511104349617299E-3</v>
      </c>
      <c r="D624" s="248">
        <v>2.7785502481360901E-3</v>
      </c>
      <c r="E624" s="248">
        <v>3.7142619462247899E-3</v>
      </c>
      <c r="F624" s="248"/>
      <c r="G624" s="248">
        <v>5.4640741876047097E-3</v>
      </c>
      <c r="H624" s="735">
        <v>1.36896596386885E-3</v>
      </c>
      <c r="I624" s="735">
        <v>1.22827930709505E-3</v>
      </c>
      <c r="J624" s="735">
        <v>1.3598325131299401E-3</v>
      </c>
      <c r="L624" s="84"/>
      <c r="M624" s="84"/>
      <c r="N624" s="84"/>
      <c r="O624" s="84"/>
      <c r="P624" s="84"/>
      <c r="Q624" s="84"/>
      <c r="R624" s="84"/>
      <c r="S624" s="84"/>
    </row>
    <row r="625" spans="1:19">
      <c r="A625" s="629" t="s">
        <v>678</v>
      </c>
      <c r="B625" s="248"/>
      <c r="C625" s="248">
        <v>4.5057842547319496E-3</v>
      </c>
      <c r="D625" s="248">
        <v>2.4803963731154198E-3</v>
      </c>
      <c r="E625" s="248">
        <v>3.6983630576920899E-3</v>
      </c>
      <c r="F625" s="248"/>
      <c r="G625" s="248">
        <v>5.3261517136461304E-3</v>
      </c>
      <c r="H625" s="735">
        <v>1.3195477217464401E-3</v>
      </c>
      <c r="I625" s="735">
        <v>1.33469446731791E-3</v>
      </c>
      <c r="J625" s="735">
        <v>1.30549533730044E-3</v>
      </c>
      <c r="L625" s="84"/>
      <c r="M625" s="84"/>
      <c r="N625" s="84"/>
      <c r="O625" s="84"/>
      <c r="P625" s="84"/>
      <c r="Q625" s="84"/>
      <c r="R625" s="84"/>
      <c r="S625" s="84"/>
    </row>
    <row r="626" spans="1:19">
      <c r="A626" s="629" t="s">
        <v>677</v>
      </c>
      <c r="B626" s="248"/>
      <c r="C626" s="248">
        <v>3.3764467263598199E-3</v>
      </c>
      <c r="D626" s="248">
        <v>2.3159082080134899E-3</v>
      </c>
      <c r="E626" s="248">
        <v>3.5695089290637399E-3</v>
      </c>
      <c r="F626" s="248"/>
      <c r="G626" s="248">
        <v>4.8537976286115196E-3</v>
      </c>
      <c r="H626" s="735">
        <v>1.2159723676816901E-3</v>
      </c>
      <c r="I626" s="735">
        <v>1.2431935077168101E-3</v>
      </c>
      <c r="J626" s="735">
        <v>1.20012490719689E-3</v>
      </c>
      <c r="L626" s="84"/>
      <c r="M626" s="84"/>
      <c r="N626" s="84"/>
      <c r="O626" s="84"/>
      <c r="P626" s="84"/>
      <c r="Q626" s="84"/>
      <c r="R626" s="84"/>
      <c r="S626" s="84"/>
    </row>
    <row r="627" spans="1:19">
      <c r="A627" s="629" t="s">
        <v>676</v>
      </c>
      <c r="B627" s="248"/>
      <c r="C627" s="248">
        <v>3.75907093427345E-3</v>
      </c>
      <c r="D627" s="248">
        <v>3.97040345261831E-3</v>
      </c>
      <c r="E627" s="248">
        <v>3.1112548843719098E-3</v>
      </c>
      <c r="F627" s="248"/>
      <c r="G627" s="248">
        <v>4.6788111096493301E-3</v>
      </c>
      <c r="H627" s="735">
        <v>1.4639061665560401E-3</v>
      </c>
      <c r="I627" s="735">
        <v>1.2979625161917E-3</v>
      </c>
      <c r="J627" s="735">
        <v>1.45080115191113E-3</v>
      </c>
      <c r="L627" s="84"/>
      <c r="M627" s="84"/>
      <c r="N627" s="84"/>
      <c r="O627" s="84"/>
      <c r="P627" s="84"/>
      <c r="Q627" s="84"/>
      <c r="R627" s="84"/>
      <c r="S627" s="84"/>
    </row>
    <row r="628" spans="1:19">
      <c r="A628" s="629" t="s">
        <v>675</v>
      </c>
      <c r="B628" s="248"/>
      <c r="C628" s="248">
        <v>3.6105664461229601E-3</v>
      </c>
      <c r="D628" s="248">
        <v>4.2438426212533199E-3</v>
      </c>
      <c r="E628" s="248">
        <v>2.93568714255657E-3</v>
      </c>
      <c r="F628" s="248"/>
      <c r="G628" s="248">
        <v>4.36298677358653E-3</v>
      </c>
      <c r="H628" s="735">
        <v>1.4108027082219499E-3</v>
      </c>
      <c r="I628" s="735">
        <v>1.2749250641273099E-3</v>
      </c>
      <c r="J628" s="735">
        <v>1.3969002913135999E-3</v>
      </c>
      <c r="L628" s="84"/>
      <c r="M628" s="84"/>
      <c r="N628" s="84"/>
      <c r="O628" s="84"/>
      <c r="P628" s="84"/>
      <c r="Q628" s="84"/>
      <c r="R628" s="84"/>
      <c r="S628" s="84"/>
    </row>
    <row r="629" spans="1:19">
      <c r="A629" s="629" t="s">
        <v>674</v>
      </c>
      <c r="B629" s="248"/>
      <c r="C629" s="248">
        <v>3.1584779357990301E-3</v>
      </c>
      <c r="D629" s="248">
        <v>3.1140082020196099E-3</v>
      </c>
      <c r="E629" s="248">
        <v>2.7564649114382501E-3</v>
      </c>
      <c r="F629" s="248"/>
      <c r="G629" s="248">
        <v>4.1586511105432796E-3</v>
      </c>
      <c r="H629" s="735">
        <v>1.28179764354643E-3</v>
      </c>
      <c r="I629" s="735">
        <v>1.17046728214132E-3</v>
      </c>
      <c r="J629" s="735">
        <v>1.26624133541844E-3</v>
      </c>
      <c r="L629" s="84"/>
      <c r="M629" s="84"/>
      <c r="N629" s="84"/>
      <c r="O629" s="84"/>
      <c r="P629" s="84"/>
      <c r="Q629" s="84"/>
      <c r="R629" s="84"/>
      <c r="S629" s="84"/>
    </row>
    <row r="630" spans="1:19">
      <c r="A630" s="629" t="s">
        <v>673</v>
      </c>
      <c r="B630" s="248"/>
      <c r="C630" s="248">
        <v>3.0088949095281102E-3</v>
      </c>
      <c r="D630" s="248">
        <v>3.5359915653530899E-3</v>
      </c>
      <c r="E630" s="248">
        <v>2.6184008346266199E-3</v>
      </c>
      <c r="F630" s="248"/>
      <c r="G630" s="248">
        <v>3.8251792465032E-3</v>
      </c>
      <c r="H630" s="735">
        <v>1.81879865538299E-3</v>
      </c>
      <c r="I630" s="735">
        <v>1.4940797416988299E-3</v>
      </c>
      <c r="J630" s="735">
        <v>1.8041225340096E-3</v>
      </c>
      <c r="L630" s="84"/>
      <c r="M630" s="84"/>
      <c r="N630" s="84"/>
      <c r="O630" s="84"/>
      <c r="P630" s="84"/>
      <c r="Q630" s="84"/>
      <c r="R630" s="84"/>
      <c r="S630" s="84"/>
    </row>
    <row r="631" spans="1:19">
      <c r="A631" s="629" t="s">
        <v>672</v>
      </c>
      <c r="B631" s="248"/>
      <c r="C631" s="248">
        <v>3.6158318270008501E-3</v>
      </c>
      <c r="D631" s="248">
        <v>2.7384294364704502E-3</v>
      </c>
      <c r="E631" s="248">
        <v>2.4201620134339801E-3</v>
      </c>
      <c r="F631" s="248"/>
      <c r="G631" s="248">
        <v>3.50705262913902E-3</v>
      </c>
      <c r="H631" s="735">
        <v>1.7127046706232401E-3</v>
      </c>
      <c r="I631" s="735">
        <v>1.3832598890205401E-3</v>
      </c>
      <c r="J631" s="735">
        <v>1.70213605102513E-3</v>
      </c>
      <c r="L631" s="84"/>
      <c r="M631" s="84"/>
      <c r="N631" s="84"/>
      <c r="O631" s="84"/>
      <c r="P631" s="84"/>
      <c r="Q631" s="84"/>
      <c r="R631" s="84"/>
      <c r="S631" s="84"/>
    </row>
    <row r="632" spans="1:19">
      <c r="A632" s="629" t="s">
        <v>671</v>
      </c>
      <c r="B632" s="248"/>
      <c r="C632" s="248">
        <v>2.9539107083745601E-3</v>
      </c>
      <c r="D632" s="248">
        <v>2.3872671397941999E-3</v>
      </c>
      <c r="E632" s="248">
        <v>2.4721894356352701E-3</v>
      </c>
      <c r="F632" s="248"/>
      <c r="G632" s="248">
        <v>3.2242505759511901E-3</v>
      </c>
      <c r="H632" s="735">
        <v>1.55672005658512E-3</v>
      </c>
      <c r="I632" s="735">
        <v>1.3081539838522801E-3</v>
      </c>
      <c r="J632" s="735">
        <v>1.5464602629253899E-3</v>
      </c>
      <c r="L632" s="84"/>
      <c r="M632" s="84"/>
      <c r="N632" s="84"/>
      <c r="O632" s="84"/>
      <c r="P632" s="84"/>
      <c r="Q632" s="84"/>
      <c r="R632" s="84"/>
      <c r="S632" s="84"/>
    </row>
    <row r="633" spans="1:19">
      <c r="A633" s="629" t="s">
        <v>670</v>
      </c>
      <c r="B633" s="248"/>
      <c r="C633" s="248">
        <v>2.8492011171017901E-3</v>
      </c>
      <c r="D633" s="248">
        <v>2.2870340255123599E-3</v>
      </c>
      <c r="E633" s="248">
        <v>3.7775551455486302E-3</v>
      </c>
      <c r="F633" s="248"/>
      <c r="G633" s="248">
        <v>3.07079856138384E-3</v>
      </c>
      <c r="H633" s="735">
        <v>2.1496630416802101E-3</v>
      </c>
      <c r="I633" s="735">
        <v>1.19392047448026E-3</v>
      </c>
      <c r="J633" s="735">
        <v>2.1403913461152699E-3</v>
      </c>
      <c r="L633" s="84"/>
      <c r="M633" s="84"/>
      <c r="N633" s="84"/>
      <c r="O633" s="84"/>
      <c r="P633" s="84"/>
      <c r="Q633" s="84"/>
      <c r="R633" s="84"/>
      <c r="S633" s="84"/>
    </row>
    <row r="634" spans="1:19">
      <c r="A634" s="629" t="s">
        <v>669</v>
      </c>
      <c r="B634" s="248"/>
      <c r="C634" s="248">
        <v>2.8321935820949701E-3</v>
      </c>
      <c r="D634" s="248">
        <v>2.0655133507467699E-3</v>
      </c>
      <c r="E634" s="248">
        <v>3.6947310755884402E-3</v>
      </c>
      <c r="F634" s="248"/>
      <c r="G634" s="248">
        <v>2.9044365297971101E-3</v>
      </c>
      <c r="H634" s="735">
        <v>1.88463714023776E-3</v>
      </c>
      <c r="I634" s="735">
        <v>1.09711210135818E-3</v>
      </c>
      <c r="J634" s="735">
        <v>1.8747500821211401E-3</v>
      </c>
      <c r="L634" s="84"/>
      <c r="M634" s="84"/>
      <c r="N634" s="84"/>
      <c r="O634" s="84"/>
      <c r="P634" s="84"/>
      <c r="Q634" s="84"/>
      <c r="R634" s="84"/>
      <c r="S634" s="84"/>
    </row>
    <row r="635" spans="1:19">
      <c r="A635" s="629" t="s">
        <v>668</v>
      </c>
      <c r="B635" s="248"/>
      <c r="C635" s="248">
        <v>3.0800014103548601E-3</v>
      </c>
      <c r="D635" s="248">
        <v>2.7823928234831999E-3</v>
      </c>
      <c r="E635" s="248">
        <v>3.3699192406873302E-3</v>
      </c>
      <c r="F635" s="248"/>
      <c r="G635" s="248">
        <v>2.6717985961071701E-3</v>
      </c>
      <c r="H635" s="735">
        <v>1.7682644216321E-3</v>
      </c>
      <c r="I635" s="735">
        <v>1.0135451909424899E-3</v>
      </c>
      <c r="J635" s="735">
        <v>1.7569677661297301E-3</v>
      </c>
      <c r="L635" s="84"/>
      <c r="M635" s="84"/>
      <c r="N635" s="84"/>
      <c r="O635" s="84"/>
      <c r="P635" s="84"/>
      <c r="Q635" s="84"/>
      <c r="R635" s="84"/>
      <c r="S635" s="84"/>
    </row>
    <row r="636" spans="1:19">
      <c r="A636" s="629" t="s">
        <v>667</v>
      </c>
      <c r="B636" s="248"/>
      <c r="C636" s="248">
        <v>2.8183896292746698E-3</v>
      </c>
      <c r="D636" s="248">
        <v>2.50647429312613E-3</v>
      </c>
      <c r="E636" s="248">
        <v>3.23048811160111E-3</v>
      </c>
      <c r="F636" s="248"/>
      <c r="G636" s="248">
        <v>2.4721141522944098E-3</v>
      </c>
      <c r="H636" s="735">
        <v>1.8156337639368401E-3</v>
      </c>
      <c r="I636" s="735">
        <v>9.8963769749185705E-4</v>
      </c>
      <c r="J636" s="735">
        <v>1.81150365950629E-3</v>
      </c>
      <c r="L636" s="84"/>
      <c r="M636" s="84"/>
      <c r="N636" s="84"/>
      <c r="O636" s="84"/>
      <c r="P636" s="84"/>
      <c r="Q636" s="84"/>
      <c r="R636" s="84"/>
      <c r="S636" s="84"/>
    </row>
    <row r="637" spans="1:19">
      <c r="A637" s="629" t="s">
        <v>666</v>
      </c>
      <c r="B637" s="248"/>
      <c r="C637" s="248">
        <v>2.6415438039910002E-3</v>
      </c>
      <c r="D637" s="248">
        <v>2.3628121210503999E-3</v>
      </c>
      <c r="E637" s="248">
        <v>2.91078865537294E-3</v>
      </c>
      <c r="F637" s="248"/>
      <c r="G637" s="248">
        <v>2.2851509085027801E-3</v>
      </c>
      <c r="H637" s="735">
        <v>1.6700925175596401E-3</v>
      </c>
      <c r="I637" s="735">
        <v>9.2594692266620199E-4</v>
      </c>
      <c r="J637" s="735">
        <v>1.66586882959378E-3</v>
      </c>
      <c r="L637" s="84"/>
      <c r="M637" s="84"/>
      <c r="N637" s="84"/>
      <c r="O637" s="84"/>
      <c r="P637" s="84"/>
      <c r="Q637" s="84"/>
      <c r="R637" s="84"/>
      <c r="S637" s="84"/>
    </row>
    <row r="638" spans="1:19">
      <c r="A638" s="629" t="s">
        <v>665</v>
      </c>
      <c r="B638" s="248"/>
      <c r="C638" s="248">
        <v>3.0925515283921601E-3</v>
      </c>
      <c r="D638" s="248">
        <v>2.2818278286342898E-3</v>
      </c>
      <c r="E638" s="248">
        <v>3.35621510925091E-3</v>
      </c>
      <c r="F638" s="248"/>
      <c r="G638" s="248">
        <v>2.1831571450196098E-3</v>
      </c>
      <c r="H638" s="735">
        <v>1.5257508007244199E-3</v>
      </c>
      <c r="I638" s="735">
        <v>8.8393461701387203E-4</v>
      </c>
      <c r="J638" s="735">
        <v>1.5201565869012001E-3</v>
      </c>
      <c r="L638" s="84"/>
      <c r="M638" s="84"/>
      <c r="N638" s="84"/>
      <c r="O638" s="84"/>
      <c r="P638" s="84"/>
      <c r="Q638" s="84"/>
      <c r="R638" s="84"/>
      <c r="S638" s="84"/>
    </row>
    <row r="639" spans="1:19">
      <c r="A639" s="629" t="s">
        <v>664</v>
      </c>
      <c r="B639" s="248"/>
      <c r="C639" s="248">
        <v>8.5522709589419404E-3</v>
      </c>
      <c r="D639" s="248">
        <v>4.37148916587518E-3</v>
      </c>
      <c r="E639" s="248">
        <v>3.0222948628722802E-3</v>
      </c>
      <c r="F639" s="248"/>
      <c r="G639" s="248">
        <v>2.7388168387812001E-3</v>
      </c>
      <c r="H639" s="735">
        <v>2.7051408809229201E-3</v>
      </c>
      <c r="I639" s="735">
        <v>1.47208331308042E-3</v>
      </c>
      <c r="J639" s="735">
        <v>2.7045347697479999E-3</v>
      </c>
      <c r="L639" s="84"/>
      <c r="M639" s="84"/>
      <c r="N639" s="84"/>
      <c r="O639" s="84"/>
      <c r="P639" s="84"/>
      <c r="Q639" s="84"/>
      <c r="R639" s="84"/>
      <c r="S639" s="84"/>
    </row>
    <row r="640" spans="1:19">
      <c r="A640" s="629" t="s">
        <v>663</v>
      </c>
      <c r="B640" s="248"/>
      <c r="C640" s="248">
        <v>4.9128545516528097E-3</v>
      </c>
      <c r="D640" s="248">
        <v>3.1833851782596201E-3</v>
      </c>
      <c r="E640" s="248">
        <v>3.0052651177330898E-3</v>
      </c>
      <c r="F640" s="248"/>
      <c r="G640" s="248">
        <v>2.6693164534226598E-3</v>
      </c>
      <c r="H640" s="735">
        <v>2.3556921683196099E-3</v>
      </c>
      <c r="I640" s="735">
        <v>1.4055599338737501E-3</v>
      </c>
      <c r="J640" s="735">
        <v>2.3560138618074198E-3</v>
      </c>
      <c r="L640" s="84"/>
      <c r="M640" s="84"/>
      <c r="N640" s="84"/>
      <c r="O640" s="84"/>
      <c r="P640" s="84"/>
      <c r="Q640" s="84"/>
      <c r="R640" s="84"/>
      <c r="S640" s="84"/>
    </row>
    <row r="641" spans="1:19">
      <c r="A641" s="629" t="s">
        <v>662</v>
      </c>
      <c r="B641" s="248"/>
      <c r="C641" s="248">
        <v>3.4736824380295198E-3</v>
      </c>
      <c r="D641" s="248">
        <v>2.54372236323031E-3</v>
      </c>
      <c r="E641" s="248">
        <v>2.6664383367916902E-3</v>
      </c>
      <c r="F641" s="248"/>
      <c r="G641" s="248">
        <v>2.4909799110267002E-3</v>
      </c>
      <c r="H641" s="735">
        <v>2.05520697249786E-3</v>
      </c>
      <c r="I641" s="735">
        <v>1.3466011858706899E-3</v>
      </c>
      <c r="J641" s="735">
        <v>2.0537884489352102E-3</v>
      </c>
      <c r="L641" s="84"/>
      <c r="M641" s="84"/>
      <c r="N641" s="84"/>
      <c r="O641" s="84"/>
      <c r="P641" s="84"/>
      <c r="Q641" s="84"/>
      <c r="R641" s="84"/>
      <c r="S641" s="84"/>
    </row>
    <row r="642" spans="1:19">
      <c r="A642" s="629" t="s">
        <v>661</v>
      </c>
      <c r="B642" s="248"/>
      <c r="C642" s="248">
        <v>4.5235806881505696E-3</v>
      </c>
      <c r="D642" s="248">
        <v>2.9064414881559402E-3</v>
      </c>
      <c r="E642" s="248">
        <v>2.4198861973177199E-3</v>
      </c>
      <c r="F642" s="248"/>
      <c r="G642" s="248">
        <v>3.0070650847104602E-3</v>
      </c>
      <c r="H642" s="735">
        <v>1.90855732164871E-3</v>
      </c>
      <c r="I642" s="735">
        <v>1.6005206501670899E-3</v>
      </c>
      <c r="J642" s="735">
        <v>1.91227308064044E-3</v>
      </c>
      <c r="L642" s="84"/>
      <c r="M642" s="84"/>
      <c r="N642" s="84"/>
      <c r="O642" s="84"/>
      <c r="P642" s="84"/>
      <c r="Q642" s="84"/>
      <c r="R642" s="84"/>
      <c r="S642" s="84"/>
    </row>
    <row r="643" spans="1:19">
      <c r="A643" s="629" t="s">
        <v>660</v>
      </c>
      <c r="B643" s="248"/>
      <c r="C643" s="248">
        <v>3.5269374342108699E-3</v>
      </c>
      <c r="D643" s="248">
        <v>3.7319889388989398E-3</v>
      </c>
      <c r="E643" s="248">
        <v>2.2059795897492501E-3</v>
      </c>
      <c r="F643" s="248"/>
      <c r="G643" s="248">
        <v>3.7872256501981301E-3</v>
      </c>
      <c r="H643" s="735">
        <v>1.90320558531479E-3</v>
      </c>
      <c r="I643" s="735">
        <v>1.5577070367360701E-3</v>
      </c>
      <c r="J643" s="735">
        <v>1.91343869499236E-3</v>
      </c>
      <c r="L643" s="84"/>
      <c r="M643" s="84"/>
      <c r="N643" s="84"/>
      <c r="O643" s="84"/>
      <c r="P643" s="84"/>
      <c r="Q643" s="84"/>
      <c r="R643" s="84"/>
      <c r="S643" s="84"/>
    </row>
    <row r="644" spans="1:19">
      <c r="A644" s="629" t="s">
        <v>659</v>
      </c>
      <c r="B644" s="248"/>
      <c r="C644" s="248">
        <v>3.5764345187849701E-3</v>
      </c>
      <c r="D644" s="248">
        <v>3.3139071354114E-3</v>
      </c>
      <c r="E644" s="248">
        <v>2.0580127300118402E-3</v>
      </c>
      <c r="F644" s="248"/>
      <c r="G644" s="248">
        <v>3.4791848039489202E-3</v>
      </c>
      <c r="H644" s="735">
        <v>1.9377746202474001E-3</v>
      </c>
      <c r="I644" s="735">
        <v>1.41984177488319E-3</v>
      </c>
      <c r="J644" s="735">
        <v>1.9480512263382E-3</v>
      </c>
      <c r="L644" s="84"/>
      <c r="M644" s="84"/>
      <c r="N644" s="84"/>
      <c r="O644" s="84"/>
      <c r="P644" s="84"/>
      <c r="Q644" s="84"/>
      <c r="R644" s="84"/>
      <c r="S644" s="84"/>
    </row>
    <row r="645" spans="1:19">
      <c r="A645" s="629" t="s">
        <v>658</v>
      </c>
      <c r="B645" s="248"/>
      <c r="C645" s="248">
        <v>3.2909122016497199E-3</v>
      </c>
      <c r="D645" s="248">
        <v>3.18107941364076E-3</v>
      </c>
      <c r="E645" s="248">
        <v>3.02047784307421E-3</v>
      </c>
      <c r="F645" s="248"/>
      <c r="G645" s="248">
        <v>3.4378846316233699E-3</v>
      </c>
      <c r="H645" s="735">
        <v>1.72340386196686E-3</v>
      </c>
      <c r="I645" s="735">
        <v>1.42654251994083E-3</v>
      </c>
      <c r="J645" s="735">
        <v>1.72837091187531E-3</v>
      </c>
      <c r="L645" s="84"/>
      <c r="M645" s="84"/>
      <c r="N645" s="84"/>
      <c r="O645" s="84"/>
      <c r="P645" s="84"/>
      <c r="Q645" s="84"/>
      <c r="R645" s="84"/>
      <c r="S645" s="84"/>
    </row>
    <row r="646" spans="1:19">
      <c r="A646" s="629" t="s">
        <v>657</v>
      </c>
      <c r="B646" s="248"/>
      <c r="C646" s="248">
        <v>2.8267601577179001E-3</v>
      </c>
      <c r="D646" s="248">
        <v>2.7716618314323101E-3</v>
      </c>
      <c r="E646" s="248">
        <v>2.7941222998732499E-3</v>
      </c>
      <c r="F646" s="248"/>
      <c r="G646" s="248">
        <v>3.50749761059242E-3</v>
      </c>
      <c r="H646" s="735">
        <v>1.6501253978684E-3</v>
      </c>
      <c r="I646" s="735">
        <v>1.29896784565881E-3</v>
      </c>
      <c r="J646" s="735">
        <v>1.6505594182540701E-3</v>
      </c>
      <c r="L646" s="84"/>
      <c r="M646" s="84"/>
      <c r="N646" s="84"/>
      <c r="O646" s="84"/>
      <c r="P646" s="84"/>
      <c r="Q646" s="84"/>
      <c r="R646" s="84"/>
      <c r="S646" s="84"/>
    </row>
    <row r="647" spans="1:19">
      <c r="A647" s="629" t="s">
        <v>656</v>
      </c>
      <c r="B647" s="248"/>
      <c r="C647" s="248">
        <v>3.0782464435834302E-3</v>
      </c>
      <c r="D647" s="248">
        <v>2.6711807116180501E-3</v>
      </c>
      <c r="E647" s="248">
        <v>2.51078250317893E-3</v>
      </c>
      <c r="F647" s="248"/>
      <c r="G647" s="248">
        <v>3.3983299058475401E-3</v>
      </c>
      <c r="H647" s="735">
        <v>1.58269598345022E-3</v>
      </c>
      <c r="I647" s="735">
        <v>1.2711856696029601E-3</v>
      </c>
      <c r="J647" s="735">
        <v>1.5790412379554E-3</v>
      </c>
      <c r="L647" s="84"/>
      <c r="M647" s="84"/>
      <c r="N647" s="84"/>
      <c r="O647" s="84"/>
      <c r="P647" s="84"/>
      <c r="Q647" s="84"/>
      <c r="R647" s="84"/>
      <c r="S647" s="84"/>
    </row>
    <row r="648" spans="1:19">
      <c r="A648" s="629" t="s">
        <v>655</v>
      </c>
      <c r="B648" s="248"/>
      <c r="C648" s="248">
        <v>4.2576545354736503E-3</v>
      </c>
      <c r="D648" s="248">
        <v>2.3318396711388399E-3</v>
      </c>
      <c r="E648" s="248">
        <v>4.0613613733306098E-3</v>
      </c>
      <c r="F648" s="248"/>
      <c r="G648" s="248">
        <v>3.1848900923780901E-3</v>
      </c>
      <c r="H648" s="735">
        <v>1.4190315204837E-3</v>
      </c>
      <c r="I648" s="735">
        <v>1.2232769640485399E-3</v>
      </c>
      <c r="J648" s="735">
        <v>1.41196932492482E-3</v>
      </c>
      <c r="L648" s="84"/>
      <c r="M648" s="84"/>
      <c r="N648" s="84"/>
      <c r="O648" s="84"/>
      <c r="P648" s="84"/>
      <c r="Q648" s="84"/>
      <c r="R648" s="84"/>
      <c r="S648" s="84"/>
    </row>
    <row r="649" spans="1:19">
      <c r="A649" s="629" t="s">
        <v>654</v>
      </c>
      <c r="B649" s="248"/>
      <c r="C649" s="248">
        <v>3.22297107623581E-3</v>
      </c>
      <c r="D649" s="248">
        <v>2.26445901308416E-3</v>
      </c>
      <c r="E649" s="248">
        <v>7.76450949646378E-3</v>
      </c>
      <c r="F649" s="248"/>
      <c r="G649" s="248">
        <v>2.9256980708341198E-3</v>
      </c>
      <c r="H649" s="735">
        <v>1.6033515501738299E-3</v>
      </c>
      <c r="I649" s="735">
        <v>1.1198029278902399E-3</v>
      </c>
      <c r="J649" s="735">
        <v>1.5972482111893901E-3</v>
      </c>
      <c r="L649" s="84"/>
      <c r="M649" s="84"/>
      <c r="N649" s="84"/>
      <c r="O649" s="84"/>
      <c r="P649" s="84"/>
      <c r="Q649" s="84"/>
      <c r="R649" s="84"/>
      <c r="S649" s="84"/>
    </row>
    <row r="650" spans="1:19">
      <c r="A650" s="629" t="s">
        <v>653</v>
      </c>
      <c r="B650" s="248"/>
      <c r="C650" s="248">
        <v>2.9178919716942898E-3</v>
      </c>
      <c r="D650" s="248">
        <v>3.4073194247052599E-3</v>
      </c>
      <c r="E650" s="248">
        <v>7.33305925882137E-3</v>
      </c>
      <c r="F650" s="248"/>
      <c r="G650" s="248">
        <v>2.69086153494528E-3</v>
      </c>
      <c r="H650" s="735">
        <v>1.44681112707807E-3</v>
      </c>
      <c r="I650" s="735">
        <v>1.1141234725906199E-3</v>
      </c>
      <c r="J650" s="735">
        <v>1.4395801496473401E-3</v>
      </c>
      <c r="L650" s="84"/>
      <c r="M650" s="84"/>
      <c r="N650" s="84"/>
      <c r="O650" s="84"/>
      <c r="P650" s="84"/>
      <c r="Q650" s="84"/>
      <c r="R650" s="84"/>
      <c r="S650" s="84"/>
    </row>
    <row r="651" spans="1:19">
      <c r="A651" s="629" t="s">
        <v>652</v>
      </c>
      <c r="B651" s="248"/>
      <c r="C651" s="248">
        <v>7.2551151792135202E-3</v>
      </c>
      <c r="D651" s="248">
        <v>7.3731918399524404E-3</v>
      </c>
      <c r="E651" s="248">
        <v>7.72595125028831E-3</v>
      </c>
      <c r="F651" s="248"/>
      <c r="G651" s="248">
        <v>4.1573377103910798E-3</v>
      </c>
      <c r="H651" s="735">
        <v>2.1058118872836901E-3</v>
      </c>
      <c r="I651" s="735">
        <v>1.4340132794816701E-3</v>
      </c>
      <c r="J651" s="735">
        <v>2.1032095834866999E-3</v>
      </c>
      <c r="L651" s="84"/>
      <c r="M651" s="84"/>
      <c r="N651" s="84"/>
      <c r="O651" s="84"/>
      <c r="P651" s="84"/>
      <c r="Q651" s="84"/>
      <c r="R651" s="84"/>
      <c r="S651" s="84"/>
    </row>
    <row r="652" spans="1:19">
      <c r="A652" s="629" t="s">
        <v>651</v>
      </c>
      <c r="B652" s="248"/>
      <c r="C652" s="248">
        <v>4.6425351756860002E-3</v>
      </c>
      <c r="D652" s="248">
        <v>6.8837817931847898E-3</v>
      </c>
      <c r="E652" s="248">
        <v>9.3054847513934606E-3</v>
      </c>
      <c r="F652" s="248"/>
      <c r="G652" s="248">
        <v>3.8126637606765699E-3</v>
      </c>
      <c r="H652" s="735">
        <v>2.0237853245137199E-3</v>
      </c>
      <c r="I652" s="735">
        <v>1.5577222275584899E-3</v>
      </c>
      <c r="J652" s="735">
        <v>2.02039474533461E-3</v>
      </c>
      <c r="L652" s="84"/>
      <c r="M652" s="84"/>
      <c r="N652" s="84"/>
      <c r="O652" s="84"/>
      <c r="P652" s="84"/>
      <c r="Q652" s="84"/>
      <c r="R652" s="84"/>
      <c r="S652" s="84"/>
    </row>
    <row r="653" spans="1:19">
      <c r="A653" s="629" t="s">
        <v>650</v>
      </c>
      <c r="B653" s="248"/>
      <c r="C653" s="248">
        <v>4.9113105561001498E-3</v>
      </c>
      <c r="D653" s="248">
        <v>5.9236901924699997E-3</v>
      </c>
      <c r="E653" s="248">
        <v>7.7369422322972501E-3</v>
      </c>
      <c r="F653" s="248"/>
      <c r="G653" s="248">
        <v>3.55108160708383E-3</v>
      </c>
      <c r="H653" s="735">
        <v>1.7840540161306001E-3</v>
      </c>
      <c r="I653" s="735">
        <v>1.4227943933563E-3</v>
      </c>
      <c r="J653" s="735">
        <v>1.77854379709468E-3</v>
      </c>
      <c r="L653" s="84"/>
      <c r="M653" s="84"/>
      <c r="N653" s="84"/>
      <c r="O653" s="84"/>
      <c r="P653" s="84"/>
      <c r="Q653" s="84"/>
      <c r="R653" s="84"/>
      <c r="S653" s="84"/>
    </row>
    <row r="654" spans="1:19">
      <c r="A654" s="629" t="s">
        <v>649</v>
      </c>
      <c r="B654" s="248"/>
      <c r="C654" s="248">
        <v>5.9301104533811804E-3</v>
      </c>
      <c r="D654" s="248">
        <v>5.1255902527580603E-3</v>
      </c>
      <c r="E654" s="248">
        <v>6.3939126327393504E-3</v>
      </c>
      <c r="F654" s="248"/>
      <c r="G654" s="248">
        <v>4.1505757194704399E-3</v>
      </c>
      <c r="H654" s="735">
        <v>1.87527648611927E-3</v>
      </c>
      <c r="I654" s="735">
        <v>1.3168098662217E-3</v>
      </c>
      <c r="J654" s="735">
        <v>1.8649753214629199E-3</v>
      </c>
      <c r="L654" s="84"/>
      <c r="M654" s="84"/>
      <c r="N654" s="84"/>
      <c r="O654" s="84"/>
      <c r="P654" s="84"/>
      <c r="Q654" s="84"/>
      <c r="R654" s="84"/>
      <c r="S654" s="84"/>
    </row>
    <row r="655" spans="1:19">
      <c r="A655" s="629" t="s">
        <v>648</v>
      </c>
      <c r="B655" s="248"/>
      <c r="C655" s="248">
        <v>5.1577652788796103E-3</v>
      </c>
      <c r="D655" s="248">
        <v>7.01595486269606E-3</v>
      </c>
      <c r="E655" s="248">
        <v>5.3737916406582896E-3</v>
      </c>
      <c r="F655" s="248"/>
      <c r="G655" s="248">
        <v>5.4865285791022003E-3</v>
      </c>
      <c r="H655" s="735">
        <v>1.6750881346579E-3</v>
      </c>
      <c r="I655" s="735">
        <v>1.35446655148121E-3</v>
      </c>
      <c r="J655" s="735">
        <v>1.66805439430863E-3</v>
      </c>
      <c r="L655" s="84"/>
      <c r="M655" s="84"/>
      <c r="N655" s="84"/>
      <c r="O655" s="84"/>
      <c r="P655" s="84"/>
      <c r="Q655" s="84"/>
      <c r="R655" s="84"/>
      <c r="S655" s="84"/>
    </row>
    <row r="656" spans="1:19">
      <c r="A656" s="629" t="s">
        <v>647</v>
      </c>
      <c r="B656" s="248"/>
      <c r="C656" s="248">
        <v>4.67160855527066E-3</v>
      </c>
      <c r="D656" s="248">
        <v>4.5987445611766504E-3</v>
      </c>
      <c r="E656" s="248">
        <v>1.23416845356692E-2</v>
      </c>
      <c r="F656" s="248"/>
      <c r="G656" s="248">
        <v>7.4691292307180902E-3</v>
      </c>
      <c r="H656" s="735">
        <v>3.1826546049789199E-3</v>
      </c>
      <c r="I656" s="735">
        <v>1.7187086357157899E-3</v>
      </c>
      <c r="J656" s="735">
        <v>3.2116086344654501E-3</v>
      </c>
      <c r="L656" s="84"/>
      <c r="M656" s="84"/>
      <c r="N656" s="84"/>
      <c r="O656" s="84"/>
      <c r="P656" s="84"/>
      <c r="Q656" s="84"/>
      <c r="R656" s="84"/>
      <c r="S656" s="84"/>
    </row>
    <row r="657" spans="1:19">
      <c r="A657" s="629" t="s">
        <v>646</v>
      </c>
      <c r="B657" s="248"/>
      <c r="C657" s="248">
        <v>9.8682221637531094E-3</v>
      </c>
      <c r="D657" s="248">
        <v>1.06999089915198E-2</v>
      </c>
      <c r="E657" s="248">
        <v>1.14084490999097E-2</v>
      </c>
      <c r="F657" s="248"/>
      <c r="G657" s="248">
        <v>8.2702187822254001E-3</v>
      </c>
      <c r="H657" s="735">
        <v>2.8032450422283998E-3</v>
      </c>
      <c r="I657" s="735">
        <v>2.71691923984043E-3</v>
      </c>
      <c r="J657" s="735">
        <v>2.83236820693671E-3</v>
      </c>
      <c r="L657" s="84"/>
      <c r="M657" s="84"/>
      <c r="N657" s="84"/>
      <c r="O657" s="84"/>
      <c r="P657" s="84"/>
      <c r="Q657" s="84"/>
      <c r="R657" s="84"/>
      <c r="S657" s="84"/>
    </row>
    <row r="658" spans="1:19">
      <c r="A658" s="629" t="s">
        <v>645</v>
      </c>
      <c r="B658" s="248"/>
      <c r="C658" s="248">
        <v>6.0190348857104602E-3</v>
      </c>
      <c r="D658" s="248">
        <v>6.8818244516712498E-3</v>
      </c>
      <c r="E658" s="248">
        <v>9.4315156432068E-3</v>
      </c>
      <c r="F658" s="248"/>
      <c r="G658" s="248">
        <v>7.6888136247096903E-3</v>
      </c>
      <c r="H658" s="735">
        <v>2.6191272611956499E-3</v>
      </c>
      <c r="I658" s="735">
        <v>2.4552466274388699E-3</v>
      </c>
      <c r="J658" s="735">
        <v>2.6459576799630199E-3</v>
      </c>
      <c r="L658" s="84"/>
      <c r="M658" s="84"/>
      <c r="N658" s="84"/>
      <c r="O658" s="84"/>
      <c r="P658" s="84"/>
      <c r="Q658" s="84"/>
      <c r="R658" s="84"/>
      <c r="S658" s="84"/>
    </row>
    <row r="659" spans="1:19">
      <c r="A659" s="629" t="s">
        <v>644</v>
      </c>
      <c r="B659" s="248"/>
      <c r="C659" s="248">
        <v>3.89855514548606E-3</v>
      </c>
      <c r="D659" s="248">
        <v>5.1050193489111896E-3</v>
      </c>
      <c r="E659" s="248">
        <v>7.7888134108228101E-3</v>
      </c>
      <c r="F659" s="248"/>
      <c r="G659" s="248">
        <v>7.1818349563499799E-3</v>
      </c>
      <c r="H659" s="735">
        <v>2.2922903430532401E-3</v>
      </c>
      <c r="I659" s="735">
        <v>2.2354181756957E-3</v>
      </c>
      <c r="J659" s="735">
        <v>2.31482765530575E-3</v>
      </c>
      <c r="L659" s="84"/>
      <c r="M659" s="84"/>
      <c r="N659" s="84"/>
      <c r="O659" s="84"/>
      <c r="P659" s="84"/>
      <c r="Q659" s="84"/>
      <c r="R659" s="84"/>
      <c r="S659" s="84"/>
    </row>
    <row r="660" spans="1:19">
      <c r="A660" s="629" t="s">
        <v>643</v>
      </c>
      <c r="B660" s="248"/>
      <c r="C660" s="248">
        <v>4.25210878876724E-3</v>
      </c>
      <c r="D660" s="248">
        <v>4.3564931962474397E-3</v>
      </c>
      <c r="E660" s="248">
        <v>6.5316332471209299E-3</v>
      </c>
      <c r="F660" s="248"/>
      <c r="G660" s="248">
        <v>6.6214359218155702E-3</v>
      </c>
      <c r="H660" s="735">
        <v>2.3569666327104299E-3</v>
      </c>
      <c r="I660" s="735">
        <v>2.03568497550824E-3</v>
      </c>
      <c r="J660" s="735">
        <v>2.3750817720338199E-3</v>
      </c>
      <c r="L660" s="84"/>
      <c r="M660" s="84"/>
      <c r="N660" s="84"/>
      <c r="O660" s="84"/>
      <c r="P660" s="84"/>
      <c r="Q660" s="84"/>
      <c r="R660" s="84"/>
      <c r="S660" s="84"/>
    </row>
    <row r="661" spans="1:19">
      <c r="A661" s="629" t="s">
        <v>642</v>
      </c>
      <c r="B661" s="248"/>
      <c r="C661" s="248">
        <v>3.20748453395332E-3</v>
      </c>
      <c r="D661" s="248">
        <v>4.8380592496761804E-3</v>
      </c>
      <c r="E661" s="248">
        <v>6.7542956437121396E-3</v>
      </c>
      <c r="F661" s="248"/>
      <c r="G661" s="248">
        <v>6.5008997417406698E-3</v>
      </c>
      <c r="H661" s="735">
        <v>2.05558411726135E-3</v>
      </c>
      <c r="I661" s="735">
        <v>1.9097315865814501E-3</v>
      </c>
      <c r="J661" s="735">
        <v>2.0696496647645501E-3</v>
      </c>
      <c r="L661" s="84"/>
      <c r="M661" s="84"/>
      <c r="N661" s="84"/>
      <c r="O661" s="84"/>
      <c r="P661" s="84"/>
      <c r="Q661" s="84"/>
      <c r="R661" s="84"/>
      <c r="S661" s="84"/>
    </row>
    <row r="662" spans="1:19">
      <c r="A662" s="629" t="s">
        <v>641</v>
      </c>
      <c r="B662" s="248"/>
      <c r="C662" s="248">
        <v>3.7031106233109002E-3</v>
      </c>
      <c r="D662" s="248">
        <v>4.0772798399892497E-3</v>
      </c>
      <c r="E662" s="248">
        <v>5.6660489361681499E-3</v>
      </c>
      <c r="F662" s="248"/>
      <c r="G662" s="248">
        <v>7.2276531524719696E-3</v>
      </c>
      <c r="H662" s="735">
        <v>1.8264015772442299E-3</v>
      </c>
      <c r="I662" s="735">
        <v>1.7875940662874701E-3</v>
      </c>
      <c r="J662" s="735">
        <v>1.8362064383912399E-3</v>
      </c>
      <c r="L662" s="84"/>
      <c r="M662" s="84"/>
      <c r="N662" s="84"/>
      <c r="O662" s="84"/>
      <c r="P662" s="84"/>
      <c r="Q662" s="84"/>
      <c r="R662" s="84"/>
      <c r="S662" s="84"/>
    </row>
    <row r="663" spans="1:19">
      <c r="A663" s="629" t="s">
        <v>640</v>
      </c>
      <c r="B663" s="248"/>
      <c r="C663" s="248">
        <v>3.3803394863282901E-3</v>
      </c>
      <c r="D663" s="248">
        <v>2.9934405976624E-3</v>
      </c>
      <c r="E663" s="248">
        <v>4.9616682615760003E-3</v>
      </c>
      <c r="F663" s="248"/>
      <c r="G663" s="248">
        <v>6.6012558871827399E-3</v>
      </c>
      <c r="H663" s="735">
        <v>1.6205056558802099E-3</v>
      </c>
      <c r="I663" s="735">
        <v>1.63114545302131E-3</v>
      </c>
      <c r="J663" s="735">
        <v>1.6253129353785501E-3</v>
      </c>
      <c r="L663" s="84"/>
      <c r="M663" s="84"/>
      <c r="N663" s="84"/>
      <c r="O663" s="84"/>
      <c r="P663" s="84"/>
      <c r="Q663" s="84"/>
      <c r="R663" s="84"/>
      <c r="S663" s="84"/>
    </row>
    <row r="664" spans="1:19">
      <c r="A664" s="629" t="s">
        <v>639</v>
      </c>
      <c r="B664" s="248"/>
      <c r="C664" s="248">
        <v>2.9900781484759401E-3</v>
      </c>
      <c r="D664" s="248">
        <v>4.4852055953232004E-3</v>
      </c>
      <c r="E664" s="248">
        <v>6.3691687297453498E-3</v>
      </c>
      <c r="F664" s="248"/>
      <c r="G664" s="248">
        <v>7.8223498713286804E-3</v>
      </c>
      <c r="H664" s="735">
        <v>2.6381960125429101E-3</v>
      </c>
      <c r="I664" s="735">
        <v>1.61438167628433E-3</v>
      </c>
      <c r="J664" s="735">
        <v>2.6211280912797801E-3</v>
      </c>
      <c r="L664" s="84"/>
      <c r="M664" s="84"/>
      <c r="N664" s="84"/>
      <c r="O664" s="84"/>
      <c r="P664" s="84"/>
      <c r="Q664" s="84"/>
      <c r="R664" s="84"/>
      <c r="S664" s="84"/>
    </row>
    <row r="665" spans="1:19">
      <c r="A665" s="629" t="s">
        <v>638</v>
      </c>
      <c r="B665" s="248"/>
      <c r="C665" s="248">
        <v>4.1587319740477996E-3</v>
      </c>
      <c r="D665" s="248">
        <v>4.77650769916718E-3</v>
      </c>
      <c r="E665" s="248">
        <v>7.9234247923805692E-3</v>
      </c>
      <c r="F665" s="248"/>
      <c r="G665" s="248">
        <v>7.1087360305182399E-3</v>
      </c>
      <c r="H665" s="735">
        <v>2.6173283492473502E-3</v>
      </c>
      <c r="I665" s="735">
        <v>1.4885783235510999E-3</v>
      </c>
      <c r="J665" s="735">
        <v>2.6000776426615599E-3</v>
      </c>
      <c r="L665" s="84"/>
      <c r="M665" s="84"/>
      <c r="N665" s="84"/>
      <c r="O665" s="84"/>
      <c r="P665" s="84"/>
      <c r="Q665" s="84"/>
      <c r="R665" s="84"/>
      <c r="S665" s="84"/>
    </row>
    <row r="666" spans="1:19">
      <c r="A666" s="629" t="s">
        <v>637</v>
      </c>
      <c r="B666" s="248"/>
      <c r="C666" s="248">
        <v>3.1686877900122899E-3</v>
      </c>
      <c r="D666" s="248">
        <v>3.7753190429537101E-3</v>
      </c>
      <c r="E666" s="248">
        <v>6.78017296843458E-3</v>
      </c>
      <c r="F666" s="248"/>
      <c r="G666" s="248">
        <v>7.7367438500696101E-3</v>
      </c>
      <c r="H666" s="735">
        <v>2.7580021301388501E-3</v>
      </c>
      <c r="I666" s="735">
        <v>1.46653134190793E-3</v>
      </c>
      <c r="J666" s="735">
        <v>2.7595036758826601E-3</v>
      </c>
      <c r="L666" s="84"/>
      <c r="M666" s="84"/>
      <c r="N666" s="84"/>
      <c r="O666" s="84"/>
      <c r="P666" s="84"/>
      <c r="Q666" s="84"/>
      <c r="R666" s="84"/>
      <c r="S666" s="84"/>
    </row>
    <row r="667" spans="1:19">
      <c r="A667" s="629" t="s">
        <v>636</v>
      </c>
      <c r="B667" s="248"/>
      <c r="C667" s="248">
        <v>2.8082060568863001E-3</v>
      </c>
      <c r="D667" s="248">
        <v>2.8769287279476101E-3</v>
      </c>
      <c r="E667" s="248">
        <v>6.6041602166362198E-3</v>
      </c>
      <c r="F667" s="248"/>
      <c r="G667" s="248">
        <v>7.0832372030125096E-3</v>
      </c>
      <c r="H667" s="735">
        <v>2.38608706788961E-3</v>
      </c>
      <c r="I667" s="735">
        <v>1.4780470568619801E-3</v>
      </c>
      <c r="J667" s="735">
        <v>2.38575829271065E-3</v>
      </c>
      <c r="L667" s="84"/>
      <c r="M667" s="84"/>
      <c r="N667" s="84"/>
      <c r="O667" s="84"/>
      <c r="P667" s="84"/>
      <c r="Q667" s="84"/>
      <c r="R667" s="84"/>
      <c r="S667" s="84"/>
    </row>
    <row r="668" spans="1:19">
      <c r="A668" s="629" t="s">
        <v>635</v>
      </c>
      <c r="B668" s="248"/>
      <c r="C668" s="248">
        <v>2.7734596741646601E-3</v>
      </c>
      <c r="D668" s="248">
        <v>2.4318668655512899E-3</v>
      </c>
      <c r="E668" s="248">
        <v>5.5774590614693E-3</v>
      </c>
      <c r="F668" s="248"/>
      <c r="G668" s="248">
        <v>6.6226993919529598E-3</v>
      </c>
      <c r="H668" s="735">
        <v>2.1289097296625301E-3</v>
      </c>
      <c r="I668" s="735">
        <v>1.4212150340704799E-3</v>
      </c>
      <c r="J668" s="735">
        <v>2.1308113554942402E-3</v>
      </c>
      <c r="L668" s="84"/>
      <c r="M668" s="84"/>
      <c r="N668" s="84"/>
      <c r="O668" s="84"/>
      <c r="P668" s="84"/>
      <c r="Q668" s="84"/>
      <c r="R668" s="84"/>
      <c r="S668" s="84"/>
    </row>
    <row r="669" spans="1:19">
      <c r="A669" s="629" t="s">
        <v>634</v>
      </c>
      <c r="B669" s="248"/>
      <c r="C669" s="248">
        <v>4.94900795082618E-3</v>
      </c>
      <c r="D669" s="248">
        <v>2.18927514562689E-3</v>
      </c>
      <c r="E669" s="248">
        <v>5.0816939463507599E-3</v>
      </c>
      <c r="F669" s="248"/>
      <c r="G669" s="248">
        <v>6.1730260257088897E-3</v>
      </c>
      <c r="H669" s="735">
        <v>2.0552614938064901E-3</v>
      </c>
      <c r="I669" s="735">
        <v>1.35677733009924E-3</v>
      </c>
      <c r="J669" s="735">
        <v>2.0666548493870102E-3</v>
      </c>
      <c r="L669" s="84"/>
      <c r="M669" s="84"/>
      <c r="N669" s="84"/>
      <c r="O669" s="84"/>
      <c r="P669" s="84"/>
      <c r="Q669" s="84"/>
      <c r="R669" s="84"/>
      <c r="S669" s="84"/>
    </row>
    <row r="670" spans="1:19">
      <c r="A670" s="629" t="s">
        <v>633</v>
      </c>
      <c r="B670" s="248"/>
      <c r="C670" s="248">
        <v>4.1813343530161503E-3</v>
      </c>
      <c r="D670" s="248">
        <v>2.2078189841900899E-3</v>
      </c>
      <c r="E670" s="248">
        <v>4.3383455778987397E-3</v>
      </c>
      <c r="F670" s="248"/>
      <c r="G670" s="248">
        <v>5.6546591208744201E-3</v>
      </c>
      <c r="H670" s="735">
        <v>1.8214316636598099E-3</v>
      </c>
      <c r="I670" s="735">
        <v>1.2561167368994499E-3</v>
      </c>
      <c r="J670" s="735">
        <v>1.83167449051743E-3</v>
      </c>
      <c r="L670" s="84"/>
      <c r="M670" s="84"/>
      <c r="N670" s="84"/>
      <c r="O670" s="84"/>
      <c r="P670" s="84"/>
      <c r="Q670" s="84"/>
      <c r="R670" s="84"/>
      <c r="S670" s="84"/>
    </row>
    <row r="671" spans="1:19">
      <c r="A671" s="629" t="s">
        <v>632</v>
      </c>
      <c r="B671" s="248"/>
      <c r="C671" s="248">
        <v>4.5767643335280599E-3</v>
      </c>
      <c r="D671" s="248">
        <v>3.6806917280413701E-3</v>
      </c>
      <c r="E671" s="248">
        <v>3.7194920328694199E-3</v>
      </c>
      <c r="F671" s="248"/>
      <c r="G671" s="248">
        <v>5.1429059367145901E-3</v>
      </c>
      <c r="H671" s="735">
        <v>1.69314231396098E-3</v>
      </c>
      <c r="I671" s="735">
        <v>1.1642618457886899E-3</v>
      </c>
      <c r="J671" s="735">
        <v>1.70091888554519E-3</v>
      </c>
      <c r="L671" s="84"/>
      <c r="M671" s="84"/>
      <c r="N671" s="84"/>
      <c r="O671" s="84"/>
      <c r="P671" s="84"/>
      <c r="Q671" s="84"/>
      <c r="R671" s="84"/>
      <c r="S671" s="84"/>
    </row>
    <row r="672" spans="1:19">
      <c r="A672" s="629" t="s">
        <v>631</v>
      </c>
      <c r="B672" s="248"/>
      <c r="C672" s="248">
        <v>3.4692750894263599E-3</v>
      </c>
      <c r="D672" s="248">
        <v>2.9968745072598501E-3</v>
      </c>
      <c r="E672" s="248">
        <v>3.3736902210531401E-3</v>
      </c>
      <c r="F672" s="248"/>
      <c r="G672" s="248">
        <v>5.1204949387652103E-3</v>
      </c>
      <c r="H672" s="735">
        <v>1.54041684812941E-3</v>
      </c>
      <c r="I672" s="735">
        <v>1.10692045393175E-3</v>
      </c>
      <c r="J672" s="735">
        <v>1.5465137805888501E-3</v>
      </c>
      <c r="L672" s="84"/>
      <c r="M672" s="84"/>
      <c r="N672" s="84"/>
      <c r="O672" s="84"/>
      <c r="P672" s="84"/>
      <c r="Q672" s="84"/>
      <c r="R672" s="84"/>
      <c r="S672" s="84"/>
    </row>
    <row r="673" spans="1:19">
      <c r="A673" s="629" t="s">
        <v>630</v>
      </c>
      <c r="B673" s="248"/>
      <c r="C673" s="248">
        <v>3.1196570240823599E-3</v>
      </c>
      <c r="D673" s="248">
        <v>2.4333362286415102E-3</v>
      </c>
      <c r="E673" s="248">
        <v>3.0855431834754901E-3</v>
      </c>
      <c r="F673" s="248"/>
      <c r="G673" s="248">
        <v>4.6686002682153303E-3</v>
      </c>
      <c r="H673" s="735">
        <v>2.0440935147855999E-3</v>
      </c>
      <c r="I673" s="735">
        <v>1.0523874339830701E-3</v>
      </c>
      <c r="J673" s="735">
        <v>2.0749307795479102E-3</v>
      </c>
      <c r="L673" s="84"/>
      <c r="M673" s="84"/>
      <c r="N673" s="84"/>
      <c r="O673" s="84"/>
      <c r="P673" s="84"/>
      <c r="Q673" s="84"/>
      <c r="R673" s="84"/>
      <c r="S673" s="84"/>
    </row>
    <row r="674" spans="1:19">
      <c r="A674" s="629" t="s">
        <v>629</v>
      </c>
      <c r="B674" s="248"/>
      <c r="C674" s="248">
        <v>3.9736429428129999E-3</v>
      </c>
      <c r="D674" s="248">
        <v>2.8994233958282E-3</v>
      </c>
      <c r="E674" s="248">
        <v>2.7431156095026402E-3</v>
      </c>
      <c r="F674" s="248"/>
      <c r="G674" s="248">
        <v>4.6182125125935796E-3</v>
      </c>
      <c r="H674" s="735">
        <v>2.3988939026171299E-3</v>
      </c>
      <c r="I674" s="735">
        <v>1.3164915503953501E-3</v>
      </c>
      <c r="J674" s="735">
        <v>2.4492378784000098E-3</v>
      </c>
      <c r="L674" s="84"/>
      <c r="M674" s="84"/>
      <c r="N674" s="84"/>
      <c r="O674" s="84"/>
      <c r="P674" s="84"/>
      <c r="Q674" s="84"/>
      <c r="R674" s="84"/>
      <c r="S674" s="84"/>
    </row>
    <row r="675" spans="1:19">
      <c r="A675" s="629" t="s">
        <v>628</v>
      </c>
      <c r="B675" s="248"/>
      <c r="C675" s="248">
        <v>3.0937460580386898E-3</v>
      </c>
      <c r="D675" s="248">
        <v>3.4408790372081701E-3</v>
      </c>
      <c r="E675" s="248">
        <v>2.46024515100191E-3</v>
      </c>
      <c r="F675" s="248"/>
      <c r="G675" s="248">
        <v>4.23463440099841E-3</v>
      </c>
      <c r="H675" s="735">
        <v>2.2379733264217298E-3</v>
      </c>
      <c r="I675" s="735">
        <v>1.4219937987512399E-3</v>
      </c>
      <c r="J675" s="735">
        <v>2.2745094373089201E-3</v>
      </c>
      <c r="L675" s="84"/>
      <c r="M675" s="84"/>
      <c r="N675" s="84"/>
      <c r="O675" s="84"/>
      <c r="P675" s="84"/>
      <c r="Q675" s="84"/>
      <c r="R675" s="84"/>
      <c r="S675" s="84"/>
    </row>
    <row r="676" spans="1:19">
      <c r="A676" s="629" t="s">
        <v>627</v>
      </c>
      <c r="B676" s="248"/>
      <c r="C676" s="248">
        <v>5.1906513810757804E-3</v>
      </c>
      <c r="D676" s="248">
        <v>2.8823581649824602E-3</v>
      </c>
      <c r="E676" s="248">
        <v>2.91320642370349E-3</v>
      </c>
      <c r="F676" s="248"/>
      <c r="G676" s="248">
        <v>8.5296997736711098E-3</v>
      </c>
      <c r="H676" s="735">
        <v>2.04495584257843E-3</v>
      </c>
      <c r="I676" s="735">
        <v>1.4049975039943101E-3</v>
      </c>
      <c r="J676" s="735">
        <v>2.0729818220624101E-3</v>
      </c>
      <c r="L676" s="84"/>
      <c r="M676" s="84"/>
      <c r="N676" s="84"/>
      <c r="O676" s="84"/>
      <c r="P676" s="84"/>
      <c r="Q676" s="84"/>
      <c r="R676" s="84"/>
      <c r="S676" s="84"/>
    </row>
    <row r="677" spans="1:19">
      <c r="A677" s="629" t="s">
        <v>626</v>
      </c>
      <c r="B677" s="248"/>
      <c r="C677" s="248">
        <v>3.61170186176236E-3</v>
      </c>
      <c r="D677" s="248">
        <v>2.4249833948404198E-3</v>
      </c>
      <c r="E677" s="248">
        <v>3.20751637789061E-3</v>
      </c>
      <c r="F677" s="248"/>
      <c r="G677" s="248">
        <v>7.8138744759819398E-3</v>
      </c>
      <c r="H677" s="735">
        <v>2.0372736034461698E-3</v>
      </c>
      <c r="I677" s="735">
        <v>1.50686601861477E-3</v>
      </c>
      <c r="J677" s="735">
        <v>2.0788364404767498E-3</v>
      </c>
      <c r="L677" s="84"/>
      <c r="M677" s="84"/>
      <c r="N677" s="84"/>
      <c r="O677" s="84"/>
      <c r="P677" s="84"/>
      <c r="Q677" s="84"/>
      <c r="R677" s="84"/>
      <c r="S677" s="84"/>
    </row>
    <row r="678" spans="1:19">
      <c r="A678" s="629" t="s">
        <v>625</v>
      </c>
      <c r="B678" s="248"/>
      <c r="C678" s="248">
        <v>2.9570398197436999E-3</v>
      </c>
      <c r="D678" s="248">
        <v>2.1361993543001999E-3</v>
      </c>
      <c r="E678" s="248">
        <v>2.8635739938934601E-3</v>
      </c>
      <c r="F678" s="248"/>
      <c r="G678" s="248">
        <v>7.6044532607549998E-3</v>
      </c>
      <c r="H678" s="735">
        <v>1.93736337281163E-3</v>
      </c>
      <c r="I678" s="735">
        <v>1.38410876279317E-3</v>
      </c>
      <c r="J678" s="735">
        <v>1.98448355870407E-3</v>
      </c>
      <c r="L678" s="84"/>
      <c r="M678" s="84"/>
      <c r="N678" s="84"/>
      <c r="O678" s="84"/>
      <c r="P678" s="84"/>
      <c r="Q678" s="84"/>
      <c r="R678" s="84"/>
      <c r="S678" s="84"/>
    </row>
    <row r="679" spans="1:19">
      <c r="A679" s="629" t="s">
        <v>624</v>
      </c>
      <c r="B679" s="248"/>
      <c r="C679" s="248">
        <v>2.7074428236753402E-3</v>
      </c>
      <c r="D679" s="248">
        <v>2.0286254037289102E-3</v>
      </c>
      <c r="E679" s="248">
        <v>3.0446108727274299E-3</v>
      </c>
      <c r="F679" s="248"/>
      <c r="G679" s="248">
        <v>6.9019258620032402E-3</v>
      </c>
      <c r="H679" s="735">
        <v>2.30365526609709E-3</v>
      </c>
      <c r="I679" s="735">
        <v>1.3017692990063101E-3</v>
      </c>
      <c r="J679" s="735">
        <v>2.38502148905768E-3</v>
      </c>
      <c r="L679" s="84"/>
      <c r="M679" s="84"/>
      <c r="N679" s="84"/>
      <c r="O679" s="84"/>
      <c r="P679" s="84"/>
      <c r="Q679" s="84"/>
      <c r="R679" s="84"/>
      <c r="S679" s="84"/>
    </row>
    <row r="680" spans="1:19">
      <c r="A680" s="629" t="s">
        <v>623</v>
      </c>
      <c r="B680" s="248"/>
      <c r="C680" s="248">
        <v>3.4748291461066602E-3</v>
      </c>
      <c r="D680" s="248">
        <v>1.9979566013842002E-3</v>
      </c>
      <c r="E680" s="248">
        <v>2.7330136651406698E-3</v>
      </c>
      <c r="F680" s="248"/>
      <c r="G680" s="248">
        <v>6.3595693589860803E-3</v>
      </c>
      <c r="H680" s="735">
        <v>2.09574029273615E-3</v>
      </c>
      <c r="I680" s="735">
        <v>1.18836393642682E-3</v>
      </c>
      <c r="J680" s="735">
        <v>2.1584374659010699E-3</v>
      </c>
      <c r="L680" s="84"/>
      <c r="M680" s="84"/>
      <c r="N680" s="84"/>
      <c r="O680" s="84"/>
      <c r="P680" s="84"/>
      <c r="Q680" s="84"/>
      <c r="R680" s="84"/>
      <c r="S680" s="84"/>
    </row>
    <row r="681" spans="1:19">
      <c r="A681" s="629" t="s">
        <v>622</v>
      </c>
      <c r="B681" s="248"/>
      <c r="C681" s="248">
        <v>2.91933523179764E-3</v>
      </c>
      <c r="D681" s="248">
        <v>2.06841418558765E-3</v>
      </c>
      <c r="E681" s="248">
        <v>2.4784197384431E-3</v>
      </c>
      <c r="F681" s="248"/>
      <c r="G681" s="248">
        <v>5.7736794094933397E-3</v>
      </c>
      <c r="H681" s="735">
        <v>1.9140529795787201E-3</v>
      </c>
      <c r="I681" s="735">
        <v>1.25573608051721E-3</v>
      </c>
      <c r="J681" s="735">
        <v>1.9613458254674398E-3</v>
      </c>
      <c r="L681" s="84"/>
      <c r="M681" s="84"/>
      <c r="N681" s="84"/>
      <c r="O681" s="84"/>
      <c r="P681" s="84"/>
      <c r="Q681" s="84"/>
      <c r="R681" s="84"/>
      <c r="S681" s="84"/>
    </row>
    <row r="682" spans="1:19">
      <c r="A682" s="629" t="s">
        <v>621</v>
      </c>
      <c r="B682" s="248"/>
      <c r="C682" s="248">
        <v>2.7378244733088299E-3</v>
      </c>
      <c r="D682" s="248">
        <v>2.1345130947084102E-3</v>
      </c>
      <c r="E682" s="248">
        <v>2.33231418555998E-3</v>
      </c>
      <c r="F682" s="248"/>
      <c r="G682" s="248">
        <v>5.4634067229271501E-3</v>
      </c>
      <c r="H682" s="735">
        <v>1.95254700160253E-3</v>
      </c>
      <c r="I682" s="735">
        <v>1.2725040240043799E-3</v>
      </c>
      <c r="J682" s="735">
        <v>2.0096807630645601E-3</v>
      </c>
      <c r="L682" s="84"/>
      <c r="M682" s="84"/>
      <c r="N682" s="84"/>
      <c r="O682" s="84"/>
      <c r="P682" s="84"/>
      <c r="Q682" s="84"/>
      <c r="R682" s="84"/>
      <c r="S682" s="84"/>
    </row>
    <row r="683" spans="1:19">
      <c r="A683" s="629" t="s">
        <v>620</v>
      </c>
      <c r="B683" s="248"/>
      <c r="C683" s="248">
        <v>2.9753750608604102E-3</v>
      </c>
      <c r="D683" s="248">
        <v>2.0140375388516098E-3</v>
      </c>
      <c r="E683" s="248">
        <v>2.93438350103687E-3</v>
      </c>
      <c r="F683" s="248"/>
      <c r="G683" s="248">
        <v>4.9688378696850898E-3</v>
      </c>
      <c r="H683" s="735">
        <v>1.8860461078521601E-3</v>
      </c>
      <c r="I683" s="735">
        <v>1.2704718863587601E-3</v>
      </c>
      <c r="J683" s="735">
        <v>1.93259618891892E-3</v>
      </c>
      <c r="L683" s="84"/>
      <c r="M683" s="84"/>
      <c r="N683" s="84"/>
      <c r="O683" s="84"/>
      <c r="P683" s="84"/>
      <c r="Q683" s="84"/>
      <c r="R683" s="84"/>
      <c r="S683" s="84"/>
    </row>
    <row r="684" spans="1:19">
      <c r="A684" s="629" t="s">
        <v>619</v>
      </c>
      <c r="B684" s="248"/>
      <c r="C684" s="248">
        <v>3.1390012250256702E-3</v>
      </c>
      <c r="D684" s="248">
        <v>1.9809982880332599E-3</v>
      </c>
      <c r="E684" s="248">
        <v>2.6581871723172202E-3</v>
      </c>
      <c r="F684" s="248"/>
      <c r="G684" s="248">
        <v>4.6000473468965101E-3</v>
      </c>
      <c r="H684" s="735">
        <v>1.86326309973301E-3</v>
      </c>
      <c r="I684" s="735">
        <v>1.29610280841571E-3</v>
      </c>
      <c r="J684" s="735">
        <v>1.9063643058180001E-3</v>
      </c>
      <c r="L684" s="84"/>
      <c r="M684" s="84"/>
      <c r="N684" s="84"/>
      <c r="O684" s="84"/>
      <c r="P684" s="84"/>
      <c r="Q684" s="84"/>
      <c r="R684" s="84"/>
      <c r="S684" s="84"/>
    </row>
    <row r="685" spans="1:19">
      <c r="A685" s="629" t="s">
        <v>618</v>
      </c>
      <c r="B685" s="248"/>
      <c r="C685" s="248">
        <v>4.6595668581896604E-3</v>
      </c>
      <c r="D685" s="248">
        <v>8.4488156003508699E-3</v>
      </c>
      <c r="E685" s="248">
        <v>2.55857191301409E-3</v>
      </c>
      <c r="F685" s="248"/>
      <c r="G685" s="248">
        <v>4.2012325030107702E-3</v>
      </c>
      <c r="H685" s="735">
        <v>3.2220824097608201E-3</v>
      </c>
      <c r="I685" s="735">
        <v>2.3887386860019801E-3</v>
      </c>
      <c r="J685" s="735">
        <v>3.2748250640200001E-3</v>
      </c>
      <c r="L685" s="84"/>
      <c r="M685" s="84"/>
      <c r="N685" s="84"/>
      <c r="O685" s="84"/>
      <c r="P685" s="84"/>
      <c r="Q685" s="84"/>
      <c r="R685" s="84"/>
      <c r="S685" s="84"/>
    </row>
    <row r="686" spans="1:19">
      <c r="A686" s="629" t="s">
        <v>617</v>
      </c>
      <c r="B686" s="248"/>
      <c r="C686" s="248">
        <v>3.3748110944961198E-3</v>
      </c>
      <c r="D686" s="248">
        <v>5.7302587083810303E-3</v>
      </c>
      <c r="E686" s="248">
        <v>2.5830481095018699E-3</v>
      </c>
      <c r="F686" s="248"/>
      <c r="G686" s="248">
        <v>3.9757483938739303E-3</v>
      </c>
      <c r="H686" s="735">
        <v>2.7760493539840001E-3</v>
      </c>
      <c r="I686" s="735">
        <v>2.1497001027533198E-3</v>
      </c>
      <c r="J686" s="735">
        <v>2.8209628770850801E-3</v>
      </c>
      <c r="L686" s="84"/>
      <c r="M686" s="84"/>
      <c r="N686" s="84"/>
      <c r="O686" s="84"/>
      <c r="P686" s="84"/>
      <c r="Q686" s="84"/>
      <c r="R686" s="84"/>
      <c r="S686" s="84"/>
    </row>
    <row r="687" spans="1:19">
      <c r="A687" s="629" t="s">
        <v>616</v>
      </c>
      <c r="B687" s="248"/>
      <c r="C687" s="248">
        <v>3.4362866330147701E-3</v>
      </c>
      <c r="D687" s="248">
        <v>3.9137006056697296E-3</v>
      </c>
      <c r="E687" s="248">
        <v>3.0888889839454201E-3</v>
      </c>
      <c r="F687" s="248"/>
      <c r="G687" s="248">
        <v>3.78116286128436E-3</v>
      </c>
      <c r="H687" s="735">
        <v>3.5766408945799499E-3</v>
      </c>
      <c r="I687" s="735">
        <v>2.1980151665581598E-3</v>
      </c>
      <c r="J687" s="735">
        <v>3.6159560074021501E-3</v>
      </c>
      <c r="L687" s="84"/>
      <c r="M687" s="84"/>
      <c r="N687" s="84"/>
      <c r="O687" s="84"/>
      <c r="P687" s="84"/>
      <c r="Q687" s="84"/>
      <c r="R687" s="84"/>
      <c r="S687" s="84"/>
    </row>
    <row r="688" spans="1:19">
      <c r="A688" s="629" t="s">
        <v>615</v>
      </c>
      <c r="B688" s="248"/>
      <c r="C688" s="248">
        <v>3.35900628634077E-3</v>
      </c>
      <c r="D688" s="248">
        <v>3.0337810202359099E-3</v>
      </c>
      <c r="E688" s="248">
        <v>2.7783100465871E-3</v>
      </c>
      <c r="F688" s="248"/>
      <c r="G688" s="248">
        <v>3.8518193247129E-3</v>
      </c>
      <c r="H688" s="735">
        <v>3.12873906475626E-3</v>
      </c>
      <c r="I688" s="735">
        <v>1.9898294701512801E-3</v>
      </c>
      <c r="J688" s="735">
        <v>3.1669319219403201E-3</v>
      </c>
      <c r="L688" s="84"/>
      <c r="M688" s="84"/>
      <c r="N688" s="84"/>
      <c r="O688" s="84"/>
      <c r="P688" s="84"/>
      <c r="Q688" s="84"/>
      <c r="R688" s="84"/>
      <c r="S688" s="84"/>
    </row>
    <row r="689" spans="1:19">
      <c r="A689" s="629" t="s">
        <v>614</v>
      </c>
      <c r="B689" s="248"/>
      <c r="C689" s="248">
        <v>4.2395799814212501E-3</v>
      </c>
      <c r="D689" s="248">
        <v>2.7469166517418799E-3</v>
      </c>
      <c r="E689" s="248">
        <v>2.5596487650393902E-3</v>
      </c>
      <c r="F689" s="248"/>
      <c r="G689" s="248">
        <v>3.7099571294479002E-3</v>
      </c>
      <c r="H689" s="735">
        <v>2.6893965438245702E-3</v>
      </c>
      <c r="I689" s="735">
        <v>1.83537815509703E-3</v>
      </c>
      <c r="J689" s="735">
        <v>2.7215074364191098E-3</v>
      </c>
      <c r="L689" s="84"/>
      <c r="M689" s="84"/>
      <c r="N689" s="84"/>
      <c r="O689" s="84"/>
      <c r="P689" s="84"/>
      <c r="Q689" s="84"/>
      <c r="R689" s="84"/>
      <c r="S689" s="84"/>
    </row>
    <row r="690" spans="1:19">
      <c r="A690" s="629" t="s">
        <v>613</v>
      </c>
      <c r="B690" s="248"/>
      <c r="C690" s="248">
        <v>6.0009236283049602E-3</v>
      </c>
      <c r="D690" s="248">
        <v>2.3435170433516298E-3</v>
      </c>
      <c r="E690" s="248">
        <v>2.8192205403539099E-3</v>
      </c>
      <c r="F690" s="248"/>
      <c r="G690" s="248">
        <v>3.3953292055773901E-3</v>
      </c>
      <c r="H690" s="735">
        <v>2.36967317062583E-3</v>
      </c>
      <c r="I690" s="735">
        <v>1.70814636098565E-3</v>
      </c>
      <c r="J690" s="735">
        <v>2.3936684726485699E-3</v>
      </c>
      <c r="L690" s="84"/>
      <c r="M690" s="84"/>
      <c r="N690" s="84"/>
      <c r="O690" s="84"/>
      <c r="P690" s="84"/>
      <c r="Q690" s="84"/>
      <c r="R690" s="84"/>
      <c r="S690" s="84"/>
    </row>
    <row r="691" spans="1:19">
      <c r="A691" s="629" t="s">
        <v>612</v>
      </c>
      <c r="B691" s="248"/>
      <c r="C691" s="248">
        <v>5.00969960058465E-3</v>
      </c>
      <c r="D691" s="248">
        <v>2.9890907927261098E-3</v>
      </c>
      <c r="E691" s="248">
        <v>3.1995687281931901E-3</v>
      </c>
      <c r="F691" s="248"/>
      <c r="G691" s="248">
        <v>3.1292447130554699E-3</v>
      </c>
      <c r="H691" s="735">
        <v>2.0801337621759101E-3</v>
      </c>
      <c r="I691" s="735">
        <v>1.56673558288463E-3</v>
      </c>
      <c r="J691" s="735">
        <v>2.09487305713809E-3</v>
      </c>
      <c r="L691" s="84"/>
      <c r="M691" s="84"/>
      <c r="N691" s="84"/>
      <c r="O691" s="84"/>
      <c r="P691" s="84"/>
      <c r="Q691" s="84"/>
      <c r="R691" s="84"/>
      <c r="S691" s="84"/>
    </row>
    <row r="692" spans="1:19">
      <c r="A692" s="629" t="s">
        <v>611</v>
      </c>
      <c r="B692" s="248"/>
      <c r="C692" s="248">
        <v>3.6188857600707299E-3</v>
      </c>
      <c r="D692" s="248">
        <v>2.5320830632440498E-3</v>
      </c>
      <c r="E692" s="248">
        <v>3.3143578014158798E-3</v>
      </c>
      <c r="F692" s="248"/>
      <c r="G692" s="248">
        <v>2.8801547876303102E-3</v>
      </c>
      <c r="H692" s="735">
        <v>1.88624500815837E-3</v>
      </c>
      <c r="I692" s="735">
        <v>1.4357189229375E-3</v>
      </c>
      <c r="J692" s="735">
        <v>1.8942754257096101E-3</v>
      </c>
      <c r="L692" s="84"/>
      <c r="M692" s="84"/>
      <c r="N692" s="84"/>
      <c r="O692" s="84"/>
      <c r="P692" s="84"/>
      <c r="Q692" s="84"/>
      <c r="R692" s="84"/>
      <c r="S692" s="84"/>
    </row>
    <row r="693" spans="1:19">
      <c r="A693" s="629" t="s">
        <v>610</v>
      </c>
      <c r="B693" s="248"/>
      <c r="C693" s="248">
        <v>2.95444050434648E-3</v>
      </c>
      <c r="D693" s="248">
        <v>2.6373592055238398E-3</v>
      </c>
      <c r="E693" s="248">
        <v>2.92968706804519E-3</v>
      </c>
      <c r="F693" s="248"/>
      <c r="G693" s="248">
        <v>2.67989992934215E-3</v>
      </c>
      <c r="H693" s="735">
        <v>2.1619713433517801E-3</v>
      </c>
      <c r="I693" s="735">
        <v>1.50905903195522E-3</v>
      </c>
      <c r="J693" s="735">
        <v>2.1609384300582801E-3</v>
      </c>
      <c r="L693" s="84"/>
      <c r="M693" s="84"/>
      <c r="N693" s="84"/>
      <c r="O693" s="84"/>
      <c r="P693" s="84"/>
      <c r="Q693" s="84"/>
      <c r="R693" s="84"/>
      <c r="S693" s="84"/>
    </row>
    <row r="694" spans="1:19">
      <c r="A694" s="629" t="s">
        <v>609</v>
      </c>
      <c r="B694" s="248"/>
      <c r="C694" s="248">
        <v>3.0223577572192298E-3</v>
      </c>
      <c r="D694" s="248">
        <v>2.3887320351434101E-3</v>
      </c>
      <c r="E694" s="248">
        <v>3.0225295289146698E-3</v>
      </c>
      <c r="F694" s="248"/>
      <c r="G694" s="248">
        <v>2.51216297910254E-3</v>
      </c>
      <c r="H694" s="735">
        <v>1.95187553641608E-3</v>
      </c>
      <c r="I694" s="735">
        <v>1.36911022284031E-3</v>
      </c>
      <c r="J694" s="735">
        <v>1.94905224959587E-3</v>
      </c>
      <c r="L694" s="84"/>
      <c r="M694" s="84"/>
      <c r="N694" s="84"/>
      <c r="O694" s="84"/>
      <c r="P694" s="84"/>
      <c r="Q694" s="84"/>
      <c r="R694" s="84"/>
      <c r="S694" s="84"/>
    </row>
    <row r="695" spans="1:19">
      <c r="A695" s="629" t="s">
        <v>608</v>
      </c>
      <c r="B695" s="248"/>
      <c r="C695" s="248">
        <v>3.3978872493629999E-3</v>
      </c>
      <c r="D695" s="248">
        <v>2.1579519669850801E-3</v>
      </c>
      <c r="E695" s="248">
        <v>2.8108669242597598E-3</v>
      </c>
      <c r="F695" s="248"/>
      <c r="G695" s="248">
        <v>2.3687310720301499E-3</v>
      </c>
      <c r="H695" s="735">
        <v>1.79241938855336E-3</v>
      </c>
      <c r="I695" s="735">
        <v>1.31829046853733E-3</v>
      </c>
      <c r="J695" s="735">
        <v>1.78653364389649E-3</v>
      </c>
      <c r="L695" s="84"/>
      <c r="M695" s="84"/>
      <c r="N695" s="84"/>
      <c r="O695" s="84"/>
      <c r="P695" s="84"/>
      <c r="Q695" s="84"/>
      <c r="R695" s="84"/>
      <c r="S695" s="84"/>
    </row>
    <row r="696" spans="1:19">
      <c r="A696" s="629" t="s">
        <v>607</v>
      </c>
      <c r="B696" s="248"/>
      <c r="C696" s="248">
        <v>2.8675956639239901E-3</v>
      </c>
      <c r="D696" s="248">
        <v>2.03548936633389E-3</v>
      </c>
      <c r="E696" s="248">
        <v>2.6795359314039798E-3</v>
      </c>
      <c r="F696" s="248"/>
      <c r="G696" s="248">
        <v>2.34728103160737E-3</v>
      </c>
      <c r="H696" s="735">
        <v>1.8623587314644001E-3</v>
      </c>
      <c r="I696" s="735">
        <v>1.2482272930869199E-3</v>
      </c>
      <c r="J696" s="735">
        <v>1.86740555913497E-3</v>
      </c>
      <c r="L696" s="84"/>
      <c r="M696" s="84"/>
      <c r="N696" s="84"/>
      <c r="O696" s="84"/>
      <c r="P696" s="84"/>
      <c r="Q696" s="84"/>
      <c r="R696" s="84"/>
      <c r="S696" s="84"/>
    </row>
    <row r="697" spans="1:19">
      <c r="A697" s="629" t="s">
        <v>606</v>
      </c>
      <c r="B697" s="248"/>
      <c r="C697" s="248">
        <v>2.7679410901091201E-3</v>
      </c>
      <c r="D697" s="248">
        <v>2.02770830802607E-3</v>
      </c>
      <c r="E697" s="248">
        <v>2.55871083318286E-3</v>
      </c>
      <c r="F697" s="248"/>
      <c r="G697" s="248">
        <v>2.6439226942878702E-3</v>
      </c>
      <c r="H697" s="735">
        <v>1.64866933726865E-3</v>
      </c>
      <c r="I697" s="735">
        <v>1.1506650927062901E-3</v>
      </c>
      <c r="J697" s="735">
        <v>1.6498697726544001E-3</v>
      </c>
      <c r="L697" s="84"/>
      <c r="M697" s="84"/>
      <c r="N697" s="84"/>
      <c r="O697" s="84"/>
      <c r="P697" s="84"/>
      <c r="Q697" s="84"/>
      <c r="R697" s="84"/>
      <c r="S697" s="84"/>
    </row>
    <row r="698" spans="1:19">
      <c r="A698" s="629" t="s">
        <v>605</v>
      </c>
      <c r="B698" s="248"/>
      <c r="C698" s="248">
        <v>3.7391931057333301E-3</v>
      </c>
      <c r="D698" s="248">
        <v>3.7050873690129601E-3</v>
      </c>
      <c r="E698" s="248">
        <v>2.4998597119876699E-3</v>
      </c>
      <c r="F698" s="248"/>
      <c r="G698" s="248">
        <v>2.6362013882485998E-3</v>
      </c>
      <c r="H698" s="735">
        <v>1.4731084971797801E-3</v>
      </c>
      <c r="I698" s="735">
        <v>1.1635855095492901E-3</v>
      </c>
      <c r="J698" s="735">
        <v>1.4704453638524401E-3</v>
      </c>
      <c r="L698" s="84"/>
      <c r="M698" s="84"/>
      <c r="N698" s="84"/>
      <c r="O698" s="84"/>
      <c r="P698" s="84"/>
      <c r="Q698" s="84"/>
      <c r="R698" s="84"/>
      <c r="S698" s="84"/>
    </row>
    <row r="699" spans="1:19">
      <c r="A699" s="629" t="s">
        <v>604</v>
      </c>
      <c r="B699" s="248"/>
      <c r="C699" s="248">
        <v>3.60735694166083E-3</v>
      </c>
      <c r="D699" s="248">
        <v>3.3111417326268898E-3</v>
      </c>
      <c r="E699" s="248">
        <v>2.7627368239252601E-3</v>
      </c>
      <c r="F699" s="248"/>
      <c r="G699" s="248">
        <v>2.7371778281639601E-3</v>
      </c>
      <c r="H699" s="735">
        <v>1.4267989417461901E-3</v>
      </c>
      <c r="I699" s="735">
        <v>1.2432087705612101E-3</v>
      </c>
      <c r="J699" s="735">
        <v>1.4237791725197999E-3</v>
      </c>
      <c r="L699" s="84"/>
      <c r="M699" s="84"/>
      <c r="N699" s="84"/>
      <c r="O699" s="84"/>
      <c r="P699" s="84"/>
      <c r="Q699" s="84"/>
      <c r="R699" s="84"/>
      <c r="S699" s="84"/>
    </row>
    <row r="700" spans="1:19">
      <c r="A700" s="629" t="s">
        <v>603</v>
      </c>
      <c r="B700" s="248"/>
      <c r="C700" s="248">
        <v>7.1206430601732096E-2</v>
      </c>
      <c r="D700" s="248">
        <v>3.06659915993342E-3</v>
      </c>
      <c r="E700" s="248">
        <v>2.5480754016125999E-3</v>
      </c>
      <c r="F700" s="248"/>
      <c r="G700" s="248">
        <v>3.7216922083031399E-3</v>
      </c>
      <c r="H700" s="735">
        <v>1.3025021179591399E-3</v>
      </c>
      <c r="I700" s="735">
        <v>1.2574731872139601E-3</v>
      </c>
      <c r="J700" s="735">
        <v>1.2944928704577601E-3</v>
      </c>
      <c r="L700" s="84"/>
      <c r="M700" s="84"/>
      <c r="N700" s="84"/>
      <c r="O700" s="84"/>
      <c r="P700" s="84"/>
      <c r="Q700" s="84"/>
      <c r="R700" s="84"/>
      <c r="S700" s="84"/>
    </row>
    <row r="701" spans="1:19">
      <c r="A701" s="629" t="s">
        <v>602</v>
      </c>
      <c r="B701" s="248">
        <v>1.2799727651795401E-3</v>
      </c>
      <c r="C701" s="248">
        <v>4.37675905596503E-2</v>
      </c>
      <c r="D701" s="248">
        <v>2.5167223810000799E-3</v>
      </c>
      <c r="E701" s="248">
        <v>2.50881937727298E-3</v>
      </c>
      <c r="F701" s="248"/>
      <c r="G701" s="248">
        <v>3.5025600936875001E-3</v>
      </c>
      <c r="H701" s="735">
        <v>1.2381203854186201E-3</v>
      </c>
      <c r="I701" s="735">
        <v>1.28728082579119E-3</v>
      </c>
      <c r="J701" s="735">
        <v>1.2309901080960501E-3</v>
      </c>
      <c r="L701" s="84"/>
      <c r="M701" s="84"/>
      <c r="N701" s="84"/>
      <c r="O701" s="84"/>
      <c r="P701" s="84"/>
      <c r="Q701" s="84"/>
      <c r="R701" s="84"/>
      <c r="S701" s="84"/>
    </row>
    <row r="702" spans="1:19">
      <c r="A702" s="629" t="s">
        <v>601</v>
      </c>
      <c r="B702" s="248">
        <v>1.24604920602876E-3</v>
      </c>
      <c r="C702" s="248">
        <v>3.4687960655894197E-2</v>
      </c>
      <c r="D702" s="248">
        <v>2.3329220680835599E-3</v>
      </c>
      <c r="E702" s="248">
        <v>2.56974941729527E-3</v>
      </c>
      <c r="F702" s="248"/>
      <c r="G702" s="248">
        <v>3.2124464680285702E-3</v>
      </c>
      <c r="H702" s="735">
        <v>1.1909889896693799E-3</v>
      </c>
      <c r="I702" s="735">
        <v>1.30794442941251E-3</v>
      </c>
      <c r="J702" s="735">
        <v>1.1789027760956E-3</v>
      </c>
      <c r="L702" s="84"/>
      <c r="M702" s="84"/>
      <c r="N702" s="84"/>
      <c r="O702" s="84"/>
      <c r="P702" s="84"/>
      <c r="Q702" s="84"/>
      <c r="R702" s="84"/>
      <c r="S702" s="84"/>
    </row>
    <row r="703" spans="1:19">
      <c r="A703" s="629" t="s">
        <v>600</v>
      </c>
      <c r="B703" s="248">
        <v>1.2156262869708601E-3</v>
      </c>
      <c r="C703" s="248">
        <v>1.52730930888042E-2</v>
      </c>
      <c r="D703" s="248">
        <v>2.2244001340064401E-3</v>
      </c>
      <c r="E703" s="248">
        <v>2.8796874475929398E-3</v>
      </c>
      <c r="F703" s="248"/>
      <c r="G703" s="248">
        <v>3.0165012865768699E-3</v>
      </c>
      <c r="H703" s="735">
        <v>1.36885804497765E-3</v>
      </c>
      <c r="I703" s="735">
        <v>1.51020226072933E-3</v>
      </c>
      <c r="J703" s="735">
        <v>1.36568210467208E-3</v>
      </c>
      <c r="L703" s="84"/>
      <c r="M703" s="84"/>
      <c r="N703" s="84"/>
      <c r="O703" s="84"/>
      <c r="P703" s="84"/>
      <c r="Q703" s="84"/>
      <c r="R703" s="84"/>
      <c r="S703" s="84"/>
    </row>
    <row r="704" spans="1:19">
      <c r="A704" s="629" t="s">
        <v>599</v>
      </c>
      <c r="B704" s="248">
        <v>1.22859873962935E-3</v>
      </c>
      <c r="C704" s="248">
        <v>8.8648078238421895E-3</v>
      </c>
      <c r="D704" s="248">
        <v>2.32925551765027E-3</v>
      </c>
      <c r="E704" s="248">
        <v>2.5920271534642298E-3</v>
      </c>
      <c r="F704" s="248"/>
      <c r="G704" s="248">
        <v>3.1433218798416198E-3</v>
      </c>
      <c r="H704" s="735">
        <v>1.2443120566435499E-3</v>
      </c>
      <c r="I704" s="735">
        <v>1.40991751422548E-3</v>
      </c>
      <c r="J704" s="735">
        <v>1.2367920073996801E-3</v>
      </c>
      <c r="L704" s="84"/>
      <c r="M704" s="84"/>
      <c r="N704" s="84"/>
      <c r="O704" s="84"/>
      <c r="P704" s="84"/>
      <c r="Q704" s="84"/>
      <c r="R704" s="84"/>
      <c r="S704" s="84"/>
    </row>
    <row r="705" spans="1:19">
      <c r="A705" s="629" t="s">
        <v>598</v>
      </c>
      <c r="B705" s="248">
        <v>1.7441202952767701E-3</v>
      </c>
      <c r="C705" s="248">
        <v>5.0215070013608903E-3</v>
      </c>
      <c r="D705" s="248">
        <v>2.1737728210465498E-3</v>
      </c>
      <c r="E705" s="248">
        <v>2.6471042490284198E-3</v>
      </c>
      <c r="F705" s="248"/>
      <c r="G705" s="248">
        <v>3.205923922795E-3</v>
      </c>
      <c r="H705" s="735">
        <v>1.1477051624453501E-3</v>
      </c>
      <c r="I705" s="735">
        <v>1.2829541341142E-3</v>
      </c>
      <c r="J705" s="735">
        <v>1.13686271146609E-3</v>
      </c>
      <c r="L705" s="84"/>
      <c r="M705" s="84"/>
      <c r="N705" s="84"/>
      <c r="O705" s="84"/>
      <c r="P705" s="84"/>
      <c r="Q705" s="84"/>
      <c r="R705" s="84"/>
      <c r="S705" s="84"/>
    </row>
    <row r="706" spans="1:19">
      <c r="A706" s="629" t="s">
        <v>597</v>
      </c>
      <c r="B706" s="248">
        <v>1.64261798223432E-3</v>
      </c>
      <c r="C706" s="248">
        <v>6.3121709150050498E-3</v>
      </c>
      <c r="D706" s="248">
        <v>3.96729892096335E-3</v>
      </c>
      <c r="E706" s="248">
        <v>2.45214733169708E-3</v>
      </c>
      <c r="F706" s="248"/>
      <c r="G706" s="248">
        <v>3.3640338616623801E-3</v>
      </c>
      <c r="H706" s="735">
        <v>1.6509438393342399E-3</v>
      </c>
      <c r="I706" s="735">
        <v>1.3218778318526299E-3</v>
      </c>
      <c r="J706" s="735">
        <v>1.6567896827616099E-3</v>
      </c>
      <c r="L706" s="84"/>
      <c r="M706" s="84"/>
      <c r="N706" s="84"/>
      <c r="O706" s="84"/>
      <c r="P706" s="84"/>
      <c r="Q706" s="84"/>
      <c r="R706" s="84"/>
      <c r="S706" s="84"/>
    </row>
    <row r="707" spans="1:19">
      <c r="A707" s="629" t="s">
        <v>596</v>
      </c>
      <c r="B707" s="248">
        <v>1.77107504635582E-3</v>
      </c>
      <c r="C707" s="248">
        <v>4.9314264645425199E-3</v>
      </c>
      <c r="D707" s="248">
        <v>3.9344160382764701E-3</v>
      </c>
      <c r="E707" s="248">
        <v>2.5560342089878899E-3</v>
      </c>
      <c r="F707" s="248"/>
      <c r="G707" s="248">
        <v>3.0843373476691599E-3</v>
      </c>
      <c r="H707" s="735">
        <v>1.48024041671457E-3</v>
      </c>
      <c r="I707" s="735">
        <v>1.2121309700791701E-3</v>
      </c>
      <c r="J707" s="735">
        <v>1.4806490651966501E-3</v>
      </c>
      <c r="L707" s="84"/>
      <c r="M707" s="84"/>
      <c r="N707" s="84"/>
      <c r="O707" s="84"/>
      <c r="P707" s="84"/>
      <c r="Q707" s="84"/>
      <c r="R707" s="84"/>
      <c r="S707" s="84"/>
    </row>
    <row r="708" spans="1:19">
      <c r="A708" s="629" t="s">
        <v>595</v>
      </c>
      <c r="B708" s="248">
        <v>2.1034143360830399E-3</v>
      </c>
      <c r="C708" s="248">
        <v>3.4955120720200901E-3</v>
      </c>
      <c r="D708" s="248">
        <v>4.9670301309750397E-3</v>
      </c>
      <c r="E708" s="248">
        <v>2.5066672402783798E-3</v>
      </c>
      <c r="F708" s="248"/>
      <c r="G708" s="248">
        <v>2.8532603046710499E-3</v>
      </c>
      <c r="H708" s="735">
        <v>1.45547237870102E-3</v>
      </c>
      <c r="I708" s="735">
        <v>1.20100482195579E-3</v>
      </c>
      <c r="J708" s="735">
        <v>1.4481856931544499E-3</v>
      </c>
      <c r="L708" s="84"/>
      <c r="M708" s="84"/>
      <c r="N708" s="84"/>
      <c r="O708" s="84"/>
      <c r="P708" s="84"/>
      <c r="Q708" s="84"/>
      <c r="R708" s="84"/>
      <c r="S708" s="84"/>
    </row>
    <row r="709" spans="1:19">
      <c r="A709" s="629" t="s">
        <v>594</v>
      </c>
      <c r="B709" s="248">
        <v>2.30523080193496E-3</v>
      </c>
      <c r="C709" s="248">
        <v>3.3623337763618302E-3</v>
      </c>
      <c r="D709" s="248">
        <v>4.49762501977625E-3</v>
      </c>
      <c r="E709" s="248">
        <v>2.2971209983208198E-3</v>
      </c>
      <c r="F709" s="248"/>
      <c r="G709" s="248">
        <v>2.6974987092459502E-3</v>
      </c>
      <c r="H709" s="735">
        <v>2.55308180610621E-3</v>
      </c>
      <c r="I709" s="735">
        <v>1.37741723534505E-3</v>
      </c>
      <c r="J709" s="735">
        <v>2.5630008397106302E-3</v>
      </c>
      <c r="L709" s="84"/>
      <c r="M709" s="84"/>
      <c r="N709" s="84"/>
      <c r="O709" s="84"/>
      <c r="P709" s="84"/>
      <c r="Q709" s="84"/>
      <c r="R709" s="84"/>
      <c r="S709" s="84"/>
    </row>
    <row r="710" spans="1:19">
      <c r="A710" s="629" t="s">
        <v>593</v>
      </c>
      <c r="B710" s="248">
        <v>2.6797204561038301E-3</v>
      </c>
      <c r="C710" s="248">
        <v>3.1028118048158598E-3</v>
      </c>
      <c r="D710" s="248">
        <v>3.41049560029081E-3</v>
      </c>
      <c r="E710" s="248">
        <v>2.3242450259436699E-3</v>
      </c>
      <c r="F710" s="248"/>
      <c r="G710" s="248">
        <v>4.72166820399868E-3</v>
      </c>
      <c r="H710" s="735">
        <v>2.2539117089999199E-3</v>
      </c>
      <c r="I710" s="735">
        <v>1.3502506596929E-3</v>
      </c>
      <c r="J710" s="735">
        <v>2.2640686910453001E-3</v>
      </c>
      <c r="L710" s="84"/>
      <c r="M710" s="84"/>
      <c r="N710" s="84"/>
      <c r="O710" s="84"/>
      <c r="P710" s="84"/>
      <c r="Q710" s="84"/>
      <c r="R710" s="84"/>
      <c r="S710" s="84"/>
    </row>
    <row r="711" spans="1:19">
      <c r="A711" s="629" t="s">
        <v>592</v>
      </c>
      <c r="B711" s="248">
        <v>2.5241421663716999E-3</v>
      </c>
      <c r="C711" s="248">
        <v>2.7525149523962801E-3</v>
      </c>
      <c r="D711" s="248">
        <v>2.8347562426856402E-3</v>
      </c>
      <c r="E711" s="248">
        <v>2.7521352255138998E-3</v>
      </c>
      <c r="F711" s="248"/>
      <c r="G711" s="248">
        <v>5.33355116982232E-3</v>
      </c>
      <c r="H711" s="735">
        <v>2.0000572892317401E-3</v>
      </c>
      <c r="I711" s="735">
        <v>1.25047089138651E-3</v>
      </c>
      <c r="J711" s="735">
        <v>2.0036894053177402E-3</v>
      </c>
      <c r="L711" s="84"/>
      <c r="M711" s="84"/>
      <c r="N711" s="84"/>
      <c r="O711" s="84"/>
      <c r="P711" s="84"/>
      <c r="Q711" s="84"/>
      <c r="R711" s="84"/>
      <c r="S711" s="84"/>
    </row>
    <row r="712" spans="1:19">
      <c r="A712" s="629" t="s">
        <v>591</v>
      </c>
      <c r="B712" s="248">
        <v>3.18954052796625E-3</v>
      </c>
      <c r="C712" s="248">
        <v>2.8008814946539999E-3</v>
      </c>
      <c r="D712" s="248">
        <v>2.3499747620794298E-3</v>
      </c>
      <c r="E712" s="248">
        <v>2.5133320798073899E-3</v>
      </c>
      <c r="F712" s="248"/>
      <c r="G712" s="248">
        <v>4.88854286598377E-3</v>
      </c>
      <c r="H712" s="735">
        <v>1.8454209154575201E-3</v>
      </c>
      <c r="I712" s="735">
        <v>1.1647766183758E-3</v>
      </c>
      <c r="J712" s="735">
        <v>1.85101057941922E-3</v>
      </c>
      <c r="L712" s="84"/>
      <c r="M712" s="84"/>
      <c r="N712" s="84"/>
      <c r="O712" s="84"/>
      <c r="P712" s="84"/>
      <c r="Q712" s="84"/>
      <c r="R712" s="84"/>
      <c r="S712" s="84"/>
    </row>
    <row r="713" spans="1:19">
      <c r="A713" s="629" t="s">
        <v>590</v>
      </c>
      <c r="B713" s="248">
        <v>2.9361455134511E-3</v>
      </c>
      <c r="C713" s="248">
        <v>2.64974711109276E-3</v>
      </c>
      <c r="D713" s="248">
        <v>1.31645426546387E-2</v>
      </c>
      <c r="E713" s="248">
        <v>2.31901168914409E-3</v>
      </c>
      <c r="F713" s="248"/>
      <c r="G713" s="248">
        <v>4.6670983549157901E-3</v>
      </c>
      <c r="H713" s="735">
        <v>1.6472633238319801E-3</v>
      </c>
      <c r="I713" s="735">
        <v>1.10737457770984E-3</v>
      </c>
      <c r="J713" s="735">
        <v>1.64931377496869E-3</v>
      </c>
      <c r="L713" s="84"/>
      <c r="M713" s="84"/>
      <c r="N713" s="84"/>
      <c r="O713" s="84"/>
      <c r="P713" s="84"/>
      <c r="Q713" s="84"/>
      <c r="R713" s="84"/>
      <c r="S713" s="84"/>
    </row>
    <row r="714" spans="1:19">
      <c r="A714" s="629" t="s">
        <v>589</v>
      </c>
      <c r="B714" s="248">
        <v>2.83324326206533E-3</v>
      </c>
      <c r="C714" s="248">
        <v>2.9979542622155099E-3</v>
      </c>
      <c r="D714" s="248">
        <v>7.8856669074157601E-3</v>
      </c>
      <c r="E714" s="248">
        <v>2.7321371389481199E-3</v>
      </c>
      <c r="F714" s="248"/>
      <c r="G714" s="248">
        <v>4.2613763797988502E-3</v>
      </c>
      <c r="H714" s="735">
        <v>1.97582237034545E-3</v>
      </c>
      <c r="I714" s="735">
        <v>1.03175193732809E-3</v>
      </c>
      <c r="J714" s="735">
        <v>1.9796551776607402E-3</v>
      </c>
      <c r="L714" s="84"/>
      <c r="M714" s="84"/>
      <c r="N714" s="84"/>
      <c r="O714" s="84"/>
      <c r="P714" s="84"/>
      <c r="Q714" s="84"/>
      <c r="R714" s="84"/>
      <c r="S714" s="84"/>
    </row>
    <row r="715" spans="1:19">
      <c r="A715" s="629" t="s">
        <v>588</v>
      </c>
      <c r="B715" s="248">
        <v>2.5905827024487699E-3</v>
      </c>
      <c r="C715" s="248">
        <v>2.7153076664555402E-3</v>
      </c>
      <c r="D715" s="248">
        <v>4.97090100555235E-3</v>
      </c>
      <c r="E715" s="248">
        <v>2.4545379297483899E-3</v>
      </c>
      <c r="F715" s="248"/>
      <c r="G715" s="248">
        <v>3.8945394351684501E-3</v>
      </c>
      <c r="H715" s="735">
        <v>1.7418097972099499E-3</v>
      </c>
      <c r="I715" s="735">
        <v>9.5789017396088398E-4</v>
      </c>
      <c r="J715" s="735">
        <v>1.7426725314355501E-3</v>
      </c>
      <c r="L715" s="84"/>
      <c r="M715" s="84"/>
      <c r="N715" s="84"/>
      <c r="O715" s="84"/>
      <c r="P715" s="84"/>
      <c r="Q715" s="84"/>
      <c r="R715" s="84"/>
      <c r="S715" s="84"/>
    </row>
    <row r="716" spans="1:19">
      <c r="A716" s="629" t="s">
        <v>587</v>
      </c>
      <c r="B716" s="248">
        <v>2.5255680513567402E-3</v>
      </c>
      <c r="C716" s="248">
        <v>2.6823274676505198E-3</v>
      </c>
      <c r="D716" s="248">
        <v>3.56203124529938E-3</v>
      </c>
      <c r="E716" s="248">
        <v>2.3427149484497199E-3</v>
      </c>
      <c r="F716" s="248"/>
      <c r="G716" s="248">
        <v>3.6270928400567799E-3</v>
      </c>
      <c r="H716" s="735">
        <v>1.57134401749917E-3</v>
      </c>
      <c r="I716" s="735">
        <v>9.4652281947123001E-4</v>
      </c>
      <c r="J716" s="735">
        <v>1.57103910026049E-3</v>
      </c>
      <c r="L716" s="84"/>
      <c r="M716" s="84"/>
      <c r="N716" s="84"/>
      <c r="O716" s="84"/>
      <c r="P716" s="84"/>
      <c r="Q716" s="84"/>
      <c r="R716" s="84"/>
      <c r="S716" s="84"/>
    </row>
    <row r="717" spans="1:19">
      <c r="A717" s="629" t="s">
        <v>586</v>
      </c>
      <c r="B717" s="248">
        <v>3.1962606292778701E-3</v>
      </c>
      <c r="C717" s="248">
        <v>2.6012060943523801E-3</v>
      </c>
      <c r="D717" s="248">
        <v>2.8908372319518998E-3</v>
      </c>
      <c r="E717" s="248">
        <v>2.15202307223463E-3</v>
      </c>
      <c r="F717" s="248"/>
      <c r="G717" s="248">
        <v>4.05678295829821E-3</v>
      </c>
      <c r="H717" s="735">
        <v>1.4527372718820301E-3</v>
      </c>
      <c r="I717" s="735">
        <v>8.8528299898364498E-4</v>
      </c>
      <c r="J717" s="735">
        <v>1.44737975145388E-3</v>
      </c>
      <c r="L717" s="84"/>
      <c r="M717" s="84"/>
      <c r="N717" s="84"/>
      <c r="O717" s="84"/>
      <c r="P717" s="84"/>
      <c r="Q717" s="84"/>
      <c r="R717" s="84"/>
      <c r="S717" s="84"/>
    </row>
    <row r="718" spans="1:19">
      <c r="A718" s="629" t="s">
        <v>585</v>
      </c>
      <c r="B718" s="248">
        <v>4.6563644365110596E-3</v>
      </c>
      <c r="C718" s="248">
        <v>3.6120449621846202E-3</v>
      </c>
      <c r="D718" s="248">
        <v>4.3138957042158704E-3</v>
      </c>
      <c r="E718" s="248">
        <v>2.1523782598408601E-3</v>
      </c>
      <c r="F718" s="248"/>
      <c r="G718" s="248">
        <v>4.6816215773705303E-3</v>
      </c>
      <c r="H718" s="735">
        <v>1.6044794538405899E-3</v>
      </c>
      <c r="I718" s="735">
        <v>1.0757883326181E-3</v>
      </c>
      <c r="J718" s="735">
        <v>1.60223571486755E-3</v>
      </c>
      <c r="L718" s="84"/>
      <c r="M718" s="84"/>
      <c r="N718" s="84"/>
      <c r="O718" s="84"/>
      <c r="P718" s="84"/>
      <c r="Q718" s="84"/>
      <c r="R718" s="84"/>
      <c r="S718" s="84"/>
    </row>
    <row r="719" spans="1:19">
      <c r="A719" s="629" t="s">
        <v>584</v>
      </c>
      <c r="B719" s="248">
        <v>4.7698855011477099E-3</v>
      </c>
      <c r="C719" s="248">
        <v>3.2299667526817901E-3</v>
      </c>
      <c r="D719" s="248">
        <v>5.2114038202385696E-3</v>
      </c>
      <c r="E719" s="248">
        <v>2.1478070879234301E-3</v>
      </c>
      <c r="F719" s="248"/>
      <c r="G719" s="248">
        <v>4.2899135615297604E-3</v>
      </c>
      <c r="H719" s="735">
        <v>1.4378136263273099E-3</v>
      </c>
      <c r="I719" s="735">
        <v>1.01924666793834E-3</v>
      </c>
      <c r="J719" s="735">
        <v>1.4315851622528201E-3</v>
      </c>
      <c r="L719" s="84"/>
      <c r="M719" s="84"/>
      <c r="N719" s="84"/>
      <c r="O719" s="84"/>
      <c r="P719" s="84"/>
      <c r="Q719" s="84"/>
      <c r="R719" s="84"/>
      <c r="S719" s="84"/>
    </row>
    <row r="720" spans="1:19">
      <c r="A720" s="629" t="s">
        <v>583</v>
      </c>
      <c r="B720" s="248">
        <v>5.4448102381468803E-3</v>
      </c>
      <c r="C720" s="248">
        <v>2.9963075483289501E-3</v>
      </c>
      <c r="D720" s="248">
        <v>3.95406285750554E-3</v>
      </c>
      <c r="E720" s="248">
        <v>2.9772491041455298E-3</v>
      </c>
      <c r="F720" s="248"/>
      <c r="G720" s="248">
        <v>4.2664470003246097E-3</v>
      </c>
      <c r="H720" s="735">
        <v>1.3348461217406601E-3</v>
      </c>
      <c r="I720" s="735">
        <v>1.2590838859532099E-3</v>
      </c>
      <c r="J720" s="735">
        <v>1.3233254049437001E-3</v>
      </c>
      <c r="L720" s="84"/>
      <c r="M720" s="84"/>
      <c r="N720" s="84"/>
      <c r="O720" s="84"/>
      <c r="P720" s="84"/>
      <c r="Q720" s="84"/>
      <c r="R720" s="84"/>
      <c r="S720" s="84"/>
    </row>
    <row r="721" spans="1:19">
      <c r="A721" s="629" t="s">
        <v>582</v>
      </c>
      <c r="B721" s="248">
        <v>4.8295533650309502E-3</v>
      </c>
      <c r="C721" s="248">
        <v>2.7330490025564702E-3</v>
      </c>
      <c r="D721" s="248">
        <v>3.3120422763009199E-3</v>
      </c>
      <c r="E721" s="248">
        <v>2.6649799101834E-3</v>
      </c>
      <c r="F721" s="248"/>
      <c r="G721" s="248">
        <v>3.9092863242848001E-3</v>
      </c>
      <c r="H721" s="735">
        <v>1.2607054517385201E-3</v>
      </c>
      <c r="I721" s="735">
        <v>1.1549869950614601E-3</v>
      </c>
      <c r="J721" s="735">
        <v>1.24909582118001E-3</v>
      </c>
      <c r="L721" s="84"/>
      <c r="M721" s="84"/>
      <c r="N721" s="84"/>
      <c r="O721" s="84"/>
      <c r="P721" s="84"/>
      <c r="Q721" s="84"/>
      <c r="R721" s="84"/>
      <c r="S721" s="84"/>
    </row>
    <row r="722" spans="1:19">
      <c r="A722" s="629" t="s">
        <v>581</v>
      </c>
      <c r="B722" s="248">
        <v>4.3088058444032502E-3</v>
      </c>
      <c r="C722" s="248">
        <v>3.35206592044576E-3</v>
      </c>
      <c r="D722" s="248">
        <v>2.7707066811365399E-3</v>
      </c>
      <c r="E722" s="248">
        <v>2.4869196067269701E-3</v>
      </c>
      <c r="F722" s="248"/>
      <c r="G722" s="248">
        <v>4.2372930063846702E-3</v>
      </c>
      <c r="H722" s="735">
        <v>1.4156845186130999E-3</v>
      </c>
      <c r="I722" s="735">
        <v>1.5003523302254101E-3</v>
      </c>
      <c r="J722" s="735">
        <v>1.4061192209324799E-3</v>
      </c>
      <c r="L722" s="84"/>
      <c r="M722" s="84"/>
      <c r="N722" s="84"/>
      <c r="O722" s="84"/>
      <c r="P722" s="84"/>
      <c r="Q722" s="84"/>
      <c r="R722" s="84"/>
      <c r="S722" s="84"/>
    </row>
    <row r="723" spans="1:19">
      <c r="A723" s="629" t="s">
        <v>580</v>
      </c>
      <c r="B723" s="248">
        <v>5.2045137106682196E-3</v>
      </c>
      <c r="C723" s="248">
        <v>3.1256003607063902E-3</v>
      </c>
      <c r="D723" s="248">
        <v>3.8057985763829899E-3</v>
      </c>
      <c r="E723" s="248">
        <v>2.4306751740526202E-3</v>
      </c>
      <c r="F723" s="248"/>
      <c r="G723" s="248">
        <v>3.9183259162316898E-3</v>
      </c>
      <c r="H723" s="735">
        <v>1.41067326221467E-3</v>
      </c>
      <c r="I723" s="735">
        <v>1.64674871596676E-3</v>
      </c>
      <c r="J723" s="735">
        <v>1.4005096849503699E-3</v>
      </c>
      <c r="L723" s="84"/>
      <c r="M723" s="84"/>
      <c r="N723" s="84"/>
      <c r="O723" s="84"/>
      <c r="P723" s="84"/>
      <c r="Q723" s="84"/>
      <c r="R723" s="84"/>
      <c r="S723" s="84"/>
    </row>
    <row r="724" spans="1:19">
      <c r="A724" s="629" t="s">
        <v>579</v>
      </c>
      <c r="B724" s="248">
        <v>5.60580566364355E-3</v>
      </c>
      <c r="C724" s="248">
        <v>2.8100987993643499E-3</v>
      </c>
      <c r="D724" s="248">
        <v>7.9723259948516808E-3</v>
      </c>
      <c r="E724" s="248">
        <v>2.4475997503175299E-3</v>
      </c>
      <c r="F724" s="248"/>
      <c r="G724" s="248">
        <v>4.6680518125217004E-3</v>
      </c>
      <c r="H724" s="735">
        <v>1.7343361771696101E-3</v>
      </c>
      <c r="I724" s="735">
        <v>1.6619996770507199E-3</v>
      </c>
      <c r="J724" s="735">
        <v>1.72143841489547E-3</v>
      </c>
      <c r="L724" s="84"/>
      <c r="M724" s="84"/>
      <c r="N724" s="84"/>
      <c r="O724" s="84"/>
      <c r="P724" s="84"/>
      <c r="Q724" s="84"/>
      <c r="R724" s="84"/>
      <c r="S724" s="84"/>
    </row>
    <row r="725" spans="1:19">
      <c r="A725" s="629" t="s">
        <v>578</v>
      </c>
      <c r="B725" s="248">
        <v>5.1672036105594498E-3</v>
      </c>
      <c r="C725" s="248">
        <v>2.6386575726525998E-3</v>
      </c>
      <c r="D725" s="248">
        <v>7.3096606645648501E-3</v>
      </c>
      <c r="E725" s="248">
        <v>2.3527163476140798E-3</v>
      </c>
      <c r="F725" s="248"/>
      <c r="G725" s="248">
        <v>4.6115446278820402E-3</v>
      </c>
      <c r="H725" s="735">
        <v>1.68358406049035E-3</v>
      </c>
      <c r="I725" s="735">
        <v>1.86042865836251E-3</v>
      </c>
      <c r="J725" s="735">
        <v>1.67633022393085E-3</v>
      </c>
      <c r="L725" s="84"/>
      <c r="M725" s="84"/>
      <c r="N725" s="84"/>
      <c r="O725" s="84"/>
      <c r="P725" s="84"/>
      <c r="Q725" s="84"/>
      <c r="R725" s="84"/>
      <c r="S725" s="84"/>
    </row>
    <row r="726" spans="1:19">
      <c r="A726" s="629" t="s">
        <v>577</v>
      </c>
      <c r="B726" s="248">
        <v>4.8542064140063498E-3</v>
      </c>
      <c r="C726" s="248">
        <v>2.7702642324014498E-3</v>
      </c>
      <c r="D726" s="248">
        <v>5.9802850573664303E-3</v>
      </c>
      <c r="E726" s="248">
        <v>2.7391645017552299E-3</v>
      </c>
      <c r="F726" s="248"/>
      <c r="G726" s="248">
        <v>4.33662677097161E-3</v>
      </c>
      <c r="H726" s="735">
        <v>1.51144190307159E-3</v>
      </c>
      <c r="I726" s="735">
        <v>1.7081676457765E-3</v>
      </c>
      <c r="J726" s="735">
        <v>1.5020646539724201E-3</v>
      </c>
      <c r="L726" s="84"/>
      <c r="M726" s="84"/>
      <c r="N726" s="84"/>
      <c r="O726" s="84"/>
      <c r="P726" s="84"/>
      <c r="Q726" s="84"/>
      <c r="R726" s="84"/>
      <c r="S726" s="84"/>
    </row>
    <row r="727" spans="1:19">
      <c r="A727" s="629" t="s">
        <v>576</v>
      </c>
      <c r="B727" s="248">
        <v>5.1764524845391603E-3</v>
      </c>
      <c r="C727" s="248">
        <v>4.1927588749177402E-3</v>
      </c>
      <c r="D727" s="248">
        <v>4.39165607462161E-3</v>
      </c>
      <c r="E727" s="248">
        <v>2.49544273534972E-3</v>
      </c>
      <c r="F727" s="248"/>
      <c r="G727" s="248">
        <v>5.1699631010790302E-3</v>
      </c>
      <c r="H727" s="735">
        <v>1.89746084545044E-3</v>
      </c>
      <c r="I727" s="735">
        <v>1.82351241117605E-3</v>
      </c>
      <c r="J727" s="735">
        <v>1.88590602379882E-3</v>
      </c>
      <c r="L727" s="84"/>
      <c r="M727" s="84"/>
      <c r="N727" s="84"/>
      <c r="O727" s="84"/>
      <c r="P727" s="84"/>
      <c r="Q727" s="84"/>
      <c r="R727" s="84"/>
      <c r="S727" s="84"/>
    </row>
    <row r="728" spans="1:19">
      <c r="A728" s="629" t="s">
        <v>575</v>
      </c>
      <c r="B728" s="248">
        <v>4.6849024176825798E-3</v>
      </c>
      <c r="C728" s="248">
        <v>3.2554152044486002E-3</v>
      </c>
      <c r="D728" s="248">
        <v>3.5544705788636199E-3</v>
      </c>
      <c r="E728" s="248">
        <v>4.7263979125052999E-3</v>
      </c>
      <c r="F728" s="248"/>
      <c r="G728" s="248">
        <v>4.8343048236300697E-3</v>
      </c>
      <c r="H728" s="735">
        <v>1.9128788933620499E-3</v>
      </c>
      <c r="I728" s="735">
        <v>1.82132251721868E-3</v>
      </c>
      <c r="J728" s="735">
        <v>1.9044127151393801E-3</v>
      </c>
      <c r="L728" s="84"/>
      <c r="M728" s="84"/>
      <c r="N728" s="84"/>
      <c r="O728" s="84"/>
      <c r="P728" s="84"/>
      <c r="Q728" s="84"/>
      <c r="R728" s="84"/>
      <c r="S728" s="84"/>
    </row>
    <row r="729" spans="1:19">
      <c r="A729" s="629" t="s">
        <v>574</v>
      </c>
      <c r="B729" s="248">
        <v>6.1625975711820501E-3</v>
      </c>
      <c r="C729" s="248">
        <v>3.14919483748804E-3</v>
      </c>
      <c r="D729" s="248">
        <v>4.5817410490850497E-3</v>
      </c>
      <c r="E729" s="248">
        <v>5.2828762480942003E-3</v>
      </c>
      <c r="F729" s="248"/>
      <c r="G729" s="248">
        <v>4.5346365753649804E-3</v>
      </c>
      <c r="H729" s="735">
        <v>1.7687946526223101E-3</v>
      </c>
      <c r="I729" s="735">
        <v>1.84642176342103E-3</v>
      </c>
      <c r="J729" s="735">
        <v>1.76330148801588E-3</v>
      </c>
      <c r="L729" s="84"/>
      <c r="M729" s="84"/>
      <c r="N729" s="84"/>
      <c r="O729" s="84"/>
      <c r="P729" s="84"/>
      <c r="Q729" s="84"/>
      <c r="R729" s="84"/>
      <c r="S729" s="84"/>
    </row>
    <row r="730" spans="1:19">
      <c r="A730" s="629" t="s">
        <v>573</v>
      </c>
      <c r="B730" s="248">
        <v>5.7941364368319301E-3</v>
      </c>
      <c r="C730" s="248">
        <v>2.8430091887929601E-3</v>
      </c>
      <c r="D730" s="248">
        <v>4.9507652381986797E-3</v>
      </c>
      <c r="E730" s="248">
        <v>4.8610481200301002E-3</v>
      </c>
      <c r="F730" s="248"/>
      <c r="G730" s="248">
        <v>4.1777376843436503E-3</v>
      </c>
      <c r="H730" s="735">
        <v>1.8160510670538999E-3</v>
      </c>
      <c r="I730" s="735">
        <v>1.85034347585795E-3</v>
      </c>
      <c r="J730" s="735">
        <v>1.8012995780908401E-3</v>
      </c>
      <c r="L730" s="84"/>
      <c r="M730" s="84"/>
      <c r="N730" s="84"/>
      <c r="O730" s="84"/>
      <c r="P730" s="84"/>
      <c r="Q730" s="84"/>
      <c r="R730" s="84"/>
      <c r="S730" s="84"/>
    </row>
    <row r="731" spans="1:19">
      <c r="A731" s="629" t="s">
        <v>572</v>
      </c>
      <c r="B731" s="248">
        <v>5.3418900983189599E-3</v>
      </c>
      <c r="C731" s="248">
        <v>3.0275997393378602E-3</v>
      </c>
      <c r="D731" s="248">
        <v>3.48636830463435E-3</v>
      </c>
      <c r="E731" s="248">
        <v>4.1305266929476401E-3</v>
      </c>
      <c r="F731" s="248"/>
      <c r="G731" s="248">
        <v>4.32984440188684E-3</v>
      </c>
      <c r="H731" s="735">
        <v>1.61261375970782E-3</v>
      </c>
      <c r="I731" s="735">
        <v>1.9231254566345799E-3</v>
      </c>
      <c r="J731" s="735">
        <v>1.59714841258539E-3</v>
      </c>
      <c r="L731" s="84"/>
      <c r="M731" s="84"/>
      <c r="N731" s="84"/>
      <c r="O731" s="84"/>
      <c r="P731" s="84"/>
      <c r="Q731" s="84"/>
      <c r="R731" s="84"/>
      <c r="S731" s="84"/>
    </row>
    <row r="732" spans="1:19">
      <c r="A732" s="629" t="s">
        <v>571</v>
      </c>
      <c r="B732" s="248">
        <v>6.8068399383850496E-3</v>
      </c>
      <c r="C732" s="248">
        <v>3.1735069098148901E-3</v>
      </c>
      <c r="D732" s="248">
        <v>4.5241934528752296E-3</v>
      </c>
      <c r="E732" s="248">
        <v>4.0428784774382996E-3</v>
      </c>
      <c r="F732" s="248"/>
      <c r="G732" s="248">
        <v>4.0355603507591497E-3</v>
      </c>
      <c r="H732" s="735">
        <v>2.0546311014203898E-3</v>
      </c>
      <c r="I732" s="735">
        <v>1.7632398991499301E-3</v>
      </c>
      <c r="J732" s="735">
        <v>2.0528165899651499E-3</v>
      </c>
      <c r="L732" s="84"/>
      <c r="M732" s="84"/>
      <c r="N732" s="84"/>
      <c r="O732" s="84"/>
      <c r="P732" s="84"/>
      <c r="Q732" s="84"/>
      <c r="R732" s="84"/>
      <c r="S732" s="84"/>
    </row>
    <row r="733" spans="1:19">
      <c r="A733" s="629" t="s">
        <v>570</v>
      </c>
      <c r="B733" s="248">
        <v>7.4507584107550004E-3</v>
      </c>
      <c r="C733" s="248">
        <v>3.2448172218613202E-3</v>
      </c>
      <c r="D733" s="248">
        <v>3.65172960473608E-3</v>
      </c>
      <c r="E733" s="248">
        <v>6.66102490049958E-3</v>
      </c>
      <c r="F733" s="248"/>
      <c r="G733" s="248">
        <v>4.0918136952637499E-3</v>
      </c>
      <c r="H733" s="735">
        <v>2.3113634488723502E-3</v>
      </c>
      <c r="I733" s="735">
        <v>2.2443945834012E-3</v>
      </c>
      <c r="J733" s="735">
        <v>2.3064958952568101E-3</v>
      </c>
      <c r="L733" s="84"/>
      <c r="M733" s="84"/>
      <c r="N733" s="84"/>
      <c r="O733" s="84"/>
      <c r="P733" s="84"/>
      <c r="Q733" s="84"/>
      <c r="R733" s="84"/>
      <c r="S733" s="84"/>
    </row>
    <row r="734" spans="1:19">
      <c r="A734" s="629" t="s">
        <v>569</v>
      </c>
      <c r="B734" s="248">
        <v>6.6545889442283096E-3</v>
      </c>
      <c r="C734" s="248">
        <v>5.35362940947512E-3</v>
      </c>
      <c r="D734" s="248">
        <v>4.1666784119732299E-3</v>
      </c>
      <c r="E734" s="248">
        <v>7.4146764286494001E-3</v>
      </c>
      <c r="F734" s="248"/>
      <c r="G734" s="248">
        <v>3.8328170484798799E-3</v>
      </c>
      <c r="H734" s="735">
        <v>3.2147179348719301E-3</v>
      </c>
      <c r="I734" s="735">
        <v>3.6915518747197202E-3</v>
      </c>
      <c r="J734" s="735">
        <v>3.2322461041243201E-3</v>
      </c>
      <c r="L734" s="84"/>
      <c r="M734" s="84"/>
      <c r="N734" s="84"/>
      <c r="O734" s="84"/>
      <c r="P734" s="84"/>
      <c r="Q734" s="84"/>
      <c r="R734" s="84"/>
      <c r="S734" s="84"/>
    </row>
    <row r="735" spans="1:19">
      <c r="A735" s="629" t="s">
        <v>568</v>
      </c>
      <c r="B735" s="248">
        <v>5.8734178831093302E-3</v>
      </c>
      <c r="C735" s="248">
        <v>3.7092598684099198E-3</v>
      </c>
      <c r="D735" s="248">
        <v>1.4748734659409801E-2</v>
      </c>
      <c r="E735" s="248">
        <v>6.6180178765531698E-3</v>
      </c>
      <c r="F735" s="248"/>
      <c r="G735" s="248">
        <v>3.50973536994429E-3</v>
      </c>
      <c r="H735" s="735">
        <v>2.9565893281058098E-3</v>
      </c>
      <c r="I735" s="735">
        <v>3.41871293979859E-3</v>
      </c>
      <c r="J735" s="735">
        <v>2.9785470001724799E-3</v>
      </c>
      <c r="L735" s="84"/>
      <c r="M735" s="84"/>
      <c r="N735" s="84"/>
      <c r="O735" s="84"/>
      <c r="P735" s="84"/>
      <c r="Q735" s="84"/>
      <c r="R735" s="84"/>
      <c r="S735" s="84"/>
    </row>
    <row r="736" spans="1:19">
      <c r="A736" s="629" t="s">
        <v>567</v>
      </c>
      <c r="B736" s="248">
        <v>5.2103723338997399E-3</v>
      </c>
      <c r="C736" s="248">
        <v>2.9963186132640502E-3</v>
      </c>
      <c r="D736" s="248">
        <v>1.10180095338287E-2</v>
      </c>
      <c r="E736" s="248">
        <v>5.5256402307061999E-3</v>
      </c>
      <c r="F736" s="248"/>
      <c r="G736" s="248">
        <v>3.4624582421406698E-3</v>
      </c>
      <c r="H736" s="735">
        <v>2.56237567929876E-3</v>
      </c>
      <c r="I736" s="735">
        <v>3.0411352703801501E-3</v>
      </c>
      <c r="J736" s="735">
        <v>2.5792335309437202E-3</v>
      </c>
      <c r="L736" s="84"/>
      <c r="M736" s="84"/>
      <c r="N736" s="84"/>
      <c r="O736" s="84"/>
      <c r="P736" s="84"/>
      <c r="Q736" s="84"/>
      <c r="R736" s="84"/>
      <c r="S736" s="84"/>
    </row>
    <row r="737" spans="1:19">
      <c r="A737" s="629" t="s">
        <v>566</v>
      </c>
      <c r="B737" s="248">
        <v>5.4426587277205899E-3</v>
      </c>
      <c r="C737" s="248">
        <v>2.73498221010783E-3</v>
      </c>
      <c r="D737" s="248">
        <v>7.34562396488738E-3</v>
      </c>
      <c r="E737" s="248">
        <v>6.2620074315875001E-3</v>
      </c>
      <c r="F737" s="248"/>
      <c r="G737" s="248">
        <v>3.2761073734445898E-3</v>
      </c>
      <c r="H737" s="735">
        <v>2.4458177451376802E-3</v>
      </c>
      <c r="I737" s="735">
        <v>2.8570069798808601E-3</v>
      </c>
      <c r="J737" s="735">
        <v>2.45576582243218E-3</v>
      </c>
      <c r="L737" s="84"/>
      <c r="M737" s="84"/>
      <c r="N737" s="84"/>
      <c r="O737" s="84"/>
      <c r="P737" s="84"/>
      <c r="Q737" s="84"/>
      <c r="R737" s="84"/>
      <c r="S737" s="84"/>
    </row>
    <row r="738" spans="1:19">
      <c r="A738" s="629" t="s">
        <v>565</v>
      </c>
      <c r="B738" s="248">
        <v>4.9298885069097602E-3</v>
      </c>
      <c r="C738" s="248">
        <v>1.20478372500776E-2</v>
      </c>
      <c r="D738" s="248">
        <v>4.7384152583533901E-3</v>
      </c>
      <c r="E738" s="248">
        <v>7.3040141949618402E-3</v>
      </c>
      <c r="F738" s="248"/>
      <c r="G738" s="248">
        <v>3.01758426018163E-3</v>
      </c>
      <c r="H738" s="735">
        <v>4.0195437797379803E-3</v>
      </c>
      <c r="I738" s="735">
        <v>3.3509659360254902E-3</v>
      </c>
      <c r="J738" s="735">
        <v>4.0528383258802998E-3</v>
      </c>
      <c r="L738" s="84"/>
      <c r="M738" s="84"/>
      <c r="N738" s="84"/>
      <c r="O738" s="84"/>
      <c r="P738" s="84"/>
      <c r="Q738" s="84"/>
      <c r="R738" s="84"/>
      <c r="S738" s="84"/>
    </row>
    <row r="739" spans="1:19">
      <c r="A739" s="629" t="s">
        <v>564</v>
      </c>
      <c r="B739" s="248">
        <v>4.7193686464735403E-3</v>
      </c>
      <c r="C739" s="248">
        <v>6.3563754114472704E-3</v>
      </c>
      <c r="D739" s="248">
        <v>3.6651436931817698E-3</v>
      </c>
      <c r="E739" s="248">
        <v>6.2223311525218296E-3</v>
      </c>
      <c r="F739" s="248"/>
      <c r="G739" s="248">
        <v>2.77370303368941E-3</v>
      </c>
      <c r="H739" s="735">
        <v>3.4904783081576001E-3</v>
      </c>
      <c r="I739" s="735">
        <v>3.1709816598392499E-3</v>
      </c>
      <c r="J739" s="735">
        <v>3.5222236993370801E-3</v>
      </c>
      <c r="L739" s="84"/>
      <c r="M739" s="84"/>
      <c r="N739" s="84"/>
      <c r="O739" s="84"/>
      <c r="P739" s="84"/>
      <c r="Q739" s="84"/>
      <c r="R739" s="84"/>
      <c r="S739" s="84"/>
    </row>
    <row r="740" spans="1:19">
      <c r="A740" s="629" t="s">
        <v>563</v>
      </c>
      <c r="B740" s="248">
        <v>4.5693252752828598E-3</v>
      </c>
      <c r="C740" s="248">
        <v>4.0352426842046197E-3</v>
      </c>
      <c r="D740" s="248">
        <v>2.80983996987088E-3</v>
      </c>
      <c r="E740" s="248">
        <v>5.6891922411008997E-3</v>
      </c>
      <c r="F740" s="248"/>
      <c r="G740" s="248">
        <v>2.6148264506569E-3</v>
      </c>
      <c r="H740" s="735">
        <v>2.9990719996804299E-3</v>
      </c>
      <c r="I740" s="735">
        <v>2.92241631542109E-3</v>
      </c>
      <c r="J740" s="735">
        <v>3.0286611953458599E-3</v>
      </c>
      <c r="L740" s="84"/>
      <c r="M740" s="84"/>
      <c r="N740" s="84"/>
      <c r="O740" s="84"/>
      <c r="P740" s="84"/>
      <c r="Q740" s="84"/>
      <c r="R740" s="84"/>
      <c r="S740" s="84"/>
    </row>
    <row r="741" spans="1:19">
      <c r="A741" s="629" t="s">
        <v>562</v>
      </c>
      <c r="B741" s="248">
        <v>4.1518341497506599E-3</v>
      </c>
      <c r="C741" s="248">
        <v>3.13404919721203E-3</v>
      </c>
      <c r="D741" s="248">
        <v>3.2707516114779001E-3</v>
      </c>
      <c r="E741" s="248">
        <v>5.1234080766996903E-3</v>
      </c>
      <c r="F741" s="248"/>
      <c r="G741" s="248">
        <v>3.73823896114468E-3</v>
      </c>
      <c r="H741" s="735">
        <v>2.6608220287416798E-3</v>
      </c>
      <c r="I741" s="735">
        <v>2.91068590119576E-3</v>
      </c>
      <c r="J741" s="735">
        <v>2.6868405782238302E-3</v>
      </c>
      <c r="L741" s="84"/>
      <c r="M741" s="84"/>
      <c r="N741" s="84"/>
      <c r="O741" s="84"/>
      <c r="P741" s="84"/>
      <c r="Q741" s="84"/>
      <c r="R741" s="84"/>
      <c r="S741" s="84"/>
    </row>
    <row r="742" spans="1:19">
      <c r="A742" s="629" t="s">
        <v>561</v>
      </c>
      <c r="B742" s="248">
        <v>4.1743542553210203E-3</v>
      </c>
      <c r="C742" s="248">
        <v>3.3451470967407102E-3</v>
      </c>
      <c r="D742" s="248">
        <v>3.3454629534696799E-3</v>
      </c>
      <c r="E742" s="248">
        <v>4.4578059731620202E-3</v>
      </c>
      <c r="F742" s="248"/>
      <c r="G742" s="248">
        <v>3.7045766941644401E-3</v>
      </c>
      <c r="H742" s="735">
        <v>2.30719430963422E-3</v>
      </c>
      <c r="I742" s="735">
        <v>2.6300428705877698E-3</v>
      </c>
      <c r="J742" s="735">
        <v>2.3285056533370102E-3</v>
      </c>
      <c r="L742" s="84"/>
      <c r="M742" s="84"/>
      <c r="N742" s="84"/>
      <c r="O742" s="84"/>
      <c r="P742" s="84"/>
      <c r="Q742" s="84"/>
      <c r="R742" s="84"/>
      <c r="S742" s="84"/>
    </row>
    <row r="743" spans="1:19">
      <c r="A743" s="629" t="s">
        <v>560</v>
      </c>
      <c r="B743" s="248">
        <v>3.7453385410617401E-3</v>
      </c>
      <c r="C743" s="248">
        <v>2.98156926067232E-3</v>
      </c>
      <c r="D743" s="248">
        <v>2.6124848810264701E-3</v>
      </c>
      <c r="E743" s="248">
        <v>4.1311759377791104E-3</v>
      </c>
      <c r="F743" s="248"/>
      <c r="G743" s="248">
        <v>3.4531233990957502E-3</v>
      </c>
      <c r="H743" s="735">
        <v>2.1768790367965901E-3</v>
      </c>
      <c r="I743" s="735">
        <v>2.453438892905E-3</v>
      </c>
      <c r="J743" s="735">
        <v>2.1979847157605802E-3</v>
      </c>
      <c r="L743" s="84"/>
      <c r="M743" s="84"/>
      <c r="N743" s="84"/>
      <c r="O743" s="84"/>
      <c r="P743" s="84"/>
      <c r="Q743" s="84"/>
      <c r="R743" s="84"/>
      <c r="S743" s="84"/>
    </row>
    <row r="744" spans="1:19">
      <c r="A744" s="629" t="s">
        <v>559</v>
      </c>
      <c r="B744" s="248">
        <v>3.85279383420583E-3</v>
      </c>
      <c r="C744" s="248">
        <v>3.5888132820926602E-3</v>
      </c>
      <c r="D744" s="248">
        <v>5.2916868594481596E-3</v>
      </c>
      <c r="E744" s="248">
        <v>3.56385970571236E-3</v>
      </c>
      <c r="F744" s="248"/>
      <c r="G744" s="248">
        <v>3.1649096224081199E-3</v>
      </c>
      <c r="H744" s="735">
        <v>2.0744434366144898E-3</v>
      </c>
      <c r="I744" s="735">
        <v>2.2155261886213301E-3</v>
      </c>
      <c r="J744" s="735">
        <v>2.09237199209737E-3</v>
      </c>
      <c r="L744" s="84"/>
      <c r="M744" s="84"/>
      <c r="N744" s="84"/>
      <c r="O744" s="84"/>
      <c r="P744" s="84"/>
      <c r="Q744" s="84"/>
      <c r="R744" s="84"/>
      <c r="S744" s="84"/>
    </row>
    <row r="745" spans="1:19">
      <c r="A745" s="629" t="s">
        <v>558</v>
      </c>
      <c r="B745" s="248">
        <v>3.9323145691384101E-3</v>
      </c>
      <c r="C745" s="248">
        <v>2.9628808446129102E-3</v>
      </c>
      <c r="D745" s="248">
        <v>4.3523113753764298E-3</v>
      </c>
      <c r="E745" s="248">
        <v>3.8795393795236898E-3</v>
      </c>
      <c r="F745" s="248"/>
      <c r="G745" s="248">
        <v>2.9096090122905601E-3</v>
      </c>
      <c r="H745" s="735">
        <v>1.90202082098756E-3</v>
      </c>
      <c r="I745" s="735">
        <v>2.1624929848664998E-3</v>
      </c>
      <c r="J745" s="735">
        <v>1.9155897516534299E-3</v>
      </c>
      <c r="L745" s="84"/>
      <c r="M745" s="84"/>
      <c r="N745" s="84"/>
      <c r="O745" s="84"/>
      <c r="P745" s="84"/>
      <c r="Q745" s="84"/>
      <c r="R745" s="84"/>
      <c r="S745" s="84"/>
    </row>
    <row r="746" spans="1:19">
      <c r="A746" s="629" t="s">
        <v>557</v>
      </c>
      <c r="B746" s="248">
        <v>3.7134640750112E-3</v>
      </c>
      <c r="C746" s="248">
        <v>3.0227515705074999E-3</v>
      </c>
      <c r="D746" s="248">
        <v>5.1643173901107604E-3</v>
      </c>
      <c r="E746" s="248">
        <v>4.0033491808564104E-3</v>
      </c>
      <c r="F746" s="248"/>
      <c r="G746" s="248">
        <v>2.8779806146398599E-3</v>
      </c>
      <c r="H746" s="735">
        <v>1.8440243590364799E-3</v>
      </c>
      <c r="I746" s="735">
        <v>1.9505505451918399E-3</v>
      </c>
      <c r="J746" s="735">
        <v>1.85847782088262E-3</v>
      </c>
      <c r="L746" s="84"/>
      <c r="M746" s="84"/>
      <c r="N746" s="84"/>
      <c r="O746" s="84"/>
      <c r="P746" s="84"/>
      <c r="Q746" s="84"/>
      <c r="R746" s="84"/>
      <c r="S746" s="84"/>
    </row>
    <row r="747" spans="1:19">
      <c r="A747" s="629" t="s">
        <v>556</v>
      </c>
      <c r="B747" s="248">
        <v>4.7076234563241297E-3</v>
      </c>
      <c r="C747" s="248">
        <v>1.0246261231729E-2</v>
      </c>
      <c r="D747" s="248">
        <v>1.01861624234763E-2</v>
      </c>
      <c r="E747" s="248">
        <v>4.0526885696633499E-3</v>
      </c>
      <c r="F747" s="248"/>
      <c r="G747" s="248">
        <v>4.2253247834925997E-3</v>
      </c>
      <c r="H747" s="735">
        <v>8.4617276044117798E-3</v>
      </c>
      <c r="I747" s="735">
        <v>2.4936355714767402E-3</v>
      </c>
      <c r="J747" s="735">
        <v>8.5828915247145397E-3</v>
      </c>
      <c r="L747" s="84"/>
      <c r="M747" s="84"/>
      <c r="N747" s="84"/>
      <c r="O747" s="84"/>
      <c r="P747" s="84"/>
      <c r="Q747" s="84"/>
      <c r="R747" s="84"/>
      <c r="S747" s="84"/>
    </row>
    <row r="748" spans="1:19">
      <c r="A748" s="629" t="s">
        <v>555</v>
      </c>
      <c r="B748" s="248">
        <v>4.2426673156100402E-3</v>
      </c>
      <c r="C748" s="248">
        <v>5.6110104732597903E-3</v>
      </c>
      <c r="D748" s="248">
        <v>8.595788591474E-3</v>
      </c>
      <c r="E748" s="248">
        <v>3.5420615148855899E-3</v>
      </c>
      <c r="F748" s="248"/>
      <c r="G748" s="248">
        <v>3.9616734409601102E-3</v>
      </c>
      <c r="H748" s="735">
        <v>8.8070063214351294E-3</v>
      </c>
      <c r="I748" s="735">
        <v>2.72931863756056E-3</v>
      </c>
      <c r="J748" s="735">
        <v>8.8967483051300492E-3</v>
      </c>
      <c r="L748" s="84"/>
      <c r="M748" s="84"/>
      <c r="N748" s="84"/>
      <c r="O748" s="84"/>
      <c r="P748" s="84"/>
      <c r="Q748" s="84"/>
      <c r="R748" s="84"/>
      <c r="S748" s="84"/>
    </row>
    <row r="749" spans="1:19">
      <c r="A749" s="629" t="s">
        <v>554</v>
      </c>
      <c r="B749" s="248">
        <v>4.1226703120378202E-3</v>
      </c>
      <c r="C749" s="248">
        <v>6.1393284696812699E-3</v>
      </c>
      <c r="D749" s="248">
        <v>5.4090302112623397E-3</v>
      </c>
      <c r="E749" s="248">
        <v>3.3043798059727001E-3</v>
      </c>
      <c r="F749" s="248"/>
      <c r="G749" s="248">
        <v>3.6219532478122701E-3</v>
      </c>
      <c r="H749" s="735">
        <v>7.5530585826213397E-3</v>
      </c>
      <c r="I749" s="735">
        <v>2.4335519338967299E-3</v>
      </c>
      <c r="J749" s="735">
        <v>7.6693202863690199E-3</v>
      </c>
      <c r="L749" s="84"/>
      <c r="M749" s="84"/>
      <c r="N749" s="84"/>
      <c r="O749" s="84"/>
      <c r="P749" s="84"/>
      <c r="Q749" s="84"/>
      <c r="R749" s="84"/>
      <c r="S749" s="84"/>
    </row>
    <row r="750" spans="1:19">
      <c r="A750" s="629" t="s">
        <v>553</v>
      </c>
      <c r="B750" s="248">
        <v>5.0784854537380903E-3</v>
      </c>
      <c r="C750" s="248">
        <v>4.8098780081962398E-3</v>
      </c>
      <c r="D750" s="248">
        <v>1.90296488626879E-2</v>
      </c>
      <c r="E750" s="248">
        <v>2.9101060644762399E-3</v>
      </c>
      <c r="F750" s="248"/>
      <c r="G750" s="248">
        <v>3.3373988884884101E-3</v>
      </c>
      <c r="H750" s="735">
        <v>6.3441892941793901E-3</v>
      </c>
      <c r="I750" s="735">
        <v>3.30736020759478E-3</v>
      </c>
      <c r="J750" s="735">
        <v>6.4581877533866601E-3</v>
      </c>
      <c r="L750" s="84"/>
      <c r="M750" s="84"/>
      <c r="N750" s="84"/>
      <c r="O750" s="84"/>
      <c r="P750" s="84"/>
      <c r="Q750" s="84"/>
      <c r="R750" s="84"/>
      <c r="S750" s="84"/>
    </row>
    <row r="751" spans="1:19">
      <c r="A751" s="629" t="s">
        <v>552</v>
      </c>
      <c r="B751" s="248">
        <v>5.7036970750917702E-3</v>
      </c>
      <c r="C751" s="248">
        <v>4.60074868035694E-3</v>
      </c>
      <c r="D751" s="248">
        <v>1.0739581255997201E-2</v>
      </c>
      <c r="E751" s="248">
        <v>2.5944815278546801E-3</v>
      </c>
      <c r="F751" s="248"/>
      <c r="G751" s="248">
        <v>3.2383792403088999E-3</v>
      </c>
      <c r="H751" s="735">
        <v>5.3856039748599897E-3</v>
      </c>
      <c r="I751" s="735">
        <v>3.0399595801584001E-3</v>
      </c>
      <c r="J751" s="735">
        <v>5.4964954514510498E-3</v>
      </c>
      <c r="L751" s="84"/>
      <c r="M751" s="84"/>
      <c r="N751" s="84"/>
      <c r="O751" s="84"/>
      <c r="P751" s="84"/>
      <c r="Q751" s="84"/>
      <c r="R751" s="84"/>
      <c r="S751" s="84"/>
    </row>
    <row r="752" spans="1:19">
      <c r="A752" s="629" t="s">
        <v>551</v>
      </c>
      <c r="B752" s="248">
        <v>5.0523851247665204E-3</v>
      </c>
      <c r="C752" s="248">
        <v>3.3403753455675698E-3</v>
      </c>
      <c r="D752" s="248">
        <v>6.4637601520327404E-3</v>
      </c>
      <c r="E752" s="248">
        <v>2.4375785272738801E-3</v>
      </c>
      <c r="F752" s="248"/>
      <c r="G752" s="248">
        <v>2.9781957001292401E-3</v>
      </c>
      <c r="H752" s="735">
        <v>4.9227040211580701E-3</v>
      </c>
      <c r="I752" s="735">
        <v>3.1682499981836002E-3</v>
      </c>
      <c r="J752" s="735">
        <v>5.0145529911478299E-3</v>
      </c>
      <c r="L752" s="84"/>
      <c r="M752" s="84"/>
      <c r="N752" s="84"/>
      <c r="O752" s="84"/>
      <c r="P752" s="84"/>
      <c r="Q752" s="84"/>
      <c r="R752" s="84"/>
      <c r="S752" s="84"/>
    </row>
    <row r="753" spans="1:19">
      <c r="A753" s="629" t="s">
        <v>550</v>
      </c>
      <c r="B753" s="248">
        <v>4.52501655257973E-3</v>
      </c>
      <c r="C753" s="248">
        <v>2.93709314666037E-3</v>
      </c>
      <c r="D753" s="248">
        <v>4.6072238477423101E-3</v>
      </c>
      <c r="E753" s="248">
        <v>2.2315235418745799E-3</v>
      </c>
      <c r="F753" s="248"/>
      <c r="G753" s="248">
        <v>2.74713041612822E-3</v>
      </c>
      <c r="H753" s="735">
        <v>4.1797239056891302E-3</v>
      </c>
      <c r="I753" s="735">
        <v>2.8302806820896401E-3</v>
      </c>
      <c r="J753" s="735">
        <v>4.2607854468874702E-3</v>
      </c>
      <c r="L753" s="84"/>
      <c r="M753" s="84"/>
      <c r="N753" s="84"/>
      <c r="O753" s="84"/>
      <c r="P753" s="84"/>
      <c r="Q753" s="84"/>
      <c r="R753" s="84"/>
      <c r="S753" s="84"/>
    </row>
    <row r="754" spans="1:19">
      <c r="A754" s="629" t="s">
        <v>549</v>
      </c>
      <c r="B754" s="248">
        <v>4.2177961673589403E-3</v>
      </c>
      <c r="C754" s="248">
        <v>3.1547419723479699E-3</v>
      </c>
      <c r="D754" s="248">
        <v>5.0744277087060603E-3</v>
      </c>
      <c r="E754" s="248">
        <v>2.0575420849449199E-3</v>
      </c>
      <c r="F754" s="248"/>
      <c r="G754" s="248">
        <v>2.7167266030874199E-3</v>
      </c>
      <c r="H754" s="735">
        <v>3.5740408145985502E-3</v>
      </c>
      <c r="I754" s="735">
        <v>2.6359787145292901E-3</v>
      </c>
      <c r="J754" s="735">
        <v>3.64270378345288E-3</v>
      </c>
      <c r="L754" s="84"/>
      <c r="M754" s="84"/>
      <c r="N754" s="84"/>
      <c r="O754" s="84"/>
      <c r="P754" s="84"/>
      <c r="Q754" s="84"/>
      <c r="R754" s="84"/>
      <c r="S754" s="84"/>
    </row>
    <row r="755" spans="1:19">
      <c r="A755" s="629" t="s">
        <v>548</v>
      </c>
      <c r="B755" s="248">
        <v>3.77809715147751E-3</v>
      </c>
      <c r="C755" s="248">
        <v>2.7743657655479401E-3</v>
      </c>
      <c r="D755" s="248">
        <v>3.5083997165233399E-3</v>
      </c>
      <c r="E755" s="248">
        <v>2.1773149947786502E-3</v>
      </c>
      <c r="F755" s="248"/>
      <c r="G755" s="248">
        <v>2.6537631109344001E-3</v>
      </c>
      <c r="H755" s="735">
        <v>3.1560954007981098E-3</v>
      </c>
      <c r="I755" s="735">
        <v>2.3882882729971701E-3</v>
      </c>
      <c r="J755" s="735">
        <v>3.2184206235553298E-3</v>
      </c>
      <c r="L755" s="84"/>
      <c r="M755" s="84"/>
      <c r="N755" s="84"/>
      <c r="O755" s="84"/>
      <c r="P755" s="84"/>
      <c r="Q755" s="84"/>
      <c r="R755" s="84"/>
      <c r="S755" s="84"/>
    </row>
    <row r="756" spans="1:19">
      <c r="A756" s="629" t="s">
        <v>547</v>
      </c>
      <c r="B756" s="248">
        <v>3.6445408326308301E-3</v>
      </c>
      <c r="C756" s="248">
        <v>3.2358482002763701E-3</v>
      </c>
      <c r="D756" s="248">
        <v>2.71771241804973E-3</v>
      </c>
      <c r="E756" s="248">
        <v>2.0162671665031602E-3</v>
      </c>
      <c r="F756" s="248"/>
      <c r="G756" s="248">
        <v>2.4942653602136899E-3</v>
      </c>
      <c r="H756" s="735">
        <v>2.7678730645336901E-3</v>
      </c>
      <c r="I756" s="735">
        <v>2.1488515417421002E-3</v>
      </c>
      <c r="J756" s="735">
        <v>2.82301766230588E-3</v>
      </c>
      <c r="L756" s="84"/>
      <c r="M756" s="84"/>
      <c r="N756" s="84"/>
      <c r="O756" s="84"/>
      <c r="P756" s="84"/>
      <c r="Q756" s="84"/>
      <c r="R756" s="84"/>
      <c r="S756" s="84"/>
    </row>
    <row r="757" spans="1:19">
      <c r="A757" s="629" t="s">
        <v>546</v>
      </c>
      <c r="B757" s="248">
        <v>3.8978181662179499E-3</v>
      </c>
      <c r="C757" s="248">
        <v>2.85443087391074E-3</v>
      </c>
      <c r="D757" s="248">
        <v>2.28725788611944E-3</v>
      </c>
      <c r="E757" s="248">
        <v>1.90354876953504E-3</v>
      </c>
      <c r="F757" s="248"/>
      <c r="G757" s="248">
        <v>2.4301302465919499E-3</v>
      </c>
      <c r="H757" s="735">
        <v>2.7173040752920198E-3</v>
      </c>
      <c r="I757" s="735">
        <v>2.00104840634167E-3</v>
      </c>
      <c r="J757" s="735">
        <v>2.7591755308612399E-3</v>
      </c>
      <c r="L757" s="84"/>
      <c r="M757" s="84"/>
      <c r="N757" s="84"/>
      <c r="O757" s="84"/>
      <c r="P757" s="84"/>
      <c r="Q757" s="84"/>
      <c r="R757" s="84"/>
      <c r="S757" s="84"/>
    </row>
    <row r="758" spans="1:19">
      <c r="A758" s="629" t="s">
        <v>545</v>
      </c>
      <c r="B758" s="248">
        <v>3.75071982255664E-3</v>
      </c>
      <c r="C758" s="248">
        <v>4.6178529035472496E-3</v>
      </c>
      <c r="D758" s="248">
        <v>2.7705064344612702E-3</v>
      </c>
      <c r="E758" s="248">
        <v>1.83234981738731E-3</v>
      </c>
      <c r="F758" s="248"/>
      <c r="G758" s="248">
        <v>2.5207686477976199E-3</v>
      </c>
      <c r="H758" s="735">
        <v>2.4424251961522002E-3</v>
      </c>
      <c r="I758" s="735">
        <v>1.8907142615980799E-3</v>
      </c>
      <c r="J758" s="735">
        <v>2.4786094963664099E-3</v>
      </c>
      <c r="L758" s="84"/>
      <c r="M758" s="84"/>
      <c r="N758" s="84"/>
      <c r="O758" s="84"/>
      <c r="P758" s="84"/>
      <c r="Q758" s="84"/>
      <c r="R758" s="84"/>
      <c r="S758" s="84"/>
    </row>
    <row r="759" spans="1:19">
      <c r="A759" s="629" t="s">
        <v>544</v>
      </c>
      <c r="B759" s="248">
        <v>3.5198224670052198E-3</v>
      </c>
      <c r="C759" s="248">
        <v>3.8772245539854902E-3</v>
      </c>
      <c r="D759" s="248">
        <v>9.8498526239045297E-3</v>
      </c>
      <c r="E759" s="248">
        <v>1.7529043852808901E-3</v>
      </c>
      <c r="F759" s="248"/>
      <c r="G759" s="248">
        <v>2.3762528068236202E-3</v>
      </c>
      <c r="H759" s="735">
        <v>2.1446114978016799E-3</v>
      </c>
      <c r="I759" s="735">
        <v>1.7259608849050001E-3</v>
      </c>
      <c r="J759" s="735">
        <v>2.17447138692405E-3</v>
      </c>
      <c r="L759" s="84"/>
      <c r="M759" s="84"/>
      <c r="N759" s="84"/>
      <c r="O759" s="84"/>
      <c r="P759" s="84"/>
      <c r="Q759" s="84"/>
      <c r="R759" s="84"/>
      <c r="S759" s="84"/>
    </row>
    <row r="760" spans="1:19">
      <c r="A760" s="629" t="s">
        <v>543</v>
      </c>
      <c r="B760" s="248">
        <v>3.3574807184708799E-3</v>
      </c>
      <c r="C760" s="248">
        <v>3.0724245000286199E-3</v>
      </c>
      <c r="D760" s="248">
        <v>6.3630776385902197E-3</v>
      </c>
      <c r="E760" s="248">
        <v>1.73248916060493E-3</v>
      </c>
      <c r="F760" s="248"/>
      <c r="G760" s="248">
        <v>2.3670164233985198E-3</v>
      </c>
      <c r="H760" s="735">
        <v>1.9811257422548299E-3</v>
      </c>
      <c r="I760" s="735">
        <v>1.59595899515871E-3</v>
      </c>
      <c r="J760" s="735">
        <v>2.0072529737575101E-3</v>
      </c>
      <c r="L760" s="84"/>
      <c r="M760" s="84"/>
      <c r="N760" s="84"/>
      <c r="O760" s="84"/>
      <c r="P760" s="84"/>
      <c r="Q760" s="84"/>
      <c r="R760" s="84"/>
      <c r="S760" s="84"/>
    </row>
    <row r="761" spans="1:19">
      <c r="A761" s="629" t="s">
        <v>542</v>
      </c>
      <c r="B761" s="248">
        <v>3.0544401643212301E-3</v>
      </c>
      <c r="C761" s="248">
        <v>3.7690966018499301E-3</v>
      </c>
      <c r="D761" s="248">
        <v>4.2528330856397697E-3</v>
      </c>
      <c r="E761" s="248">
        <v>1.7229535269993801E-3</v>
      </c>
      <c r="F761" s="248"/>
      <c r="G761" s="248">
        <v>2.23232049901081E-3</v>
      </c>
      <c r="H761" s="735">
        <v>1.7487991212614799E-3</v>
      </c>
      <c r="I761" s="735">
        <v>1.44691842416419E-3</v>
      </c>
      <c r="J761" s="735">
        <v>1.7676844249492601E-3</v>
      </c>
      <c r="L761" s="84"/>
      <c r="M761" s="84"/>
      <c r="N761" s="84"/>
      <c r="O761" s="84"/>
      <c r="P761" s="84"/>
      <c r="Q761" s="84"/>
      <c r="R761" s="84"/>
      <c r="S761" s="84"/>
    </row>
    <row r="762" spans="1:19">
      <c r="A762" s="629" t="s">
        <v>541</v>
      </c>
      <c r="B762" s="248">
        <v>3.25645688790535E-3</v>
      </c>
      <c r="C762" s="248">
        <v>3.0933450540363899E-3</v>
      </c>
      <c r="D762" s="248">
        <v>3.1369595205523299E-3</v>
      </c>
      <c r="E762" s="248">
        <v>1.6821225611026501E-3</v>
      </c>
      <c r="F762" s="248"/>
      <c r="G762" s="248">
        <v>2.3931054239874402E-3</v>
      </c>
      <c r="H762" s="735">
        <v>2.00850904033192E-3</v>
      </c>
      <c r="I762" s="735">
        <v>1.5473347244067499E-3</v>
      </c>
      <c r="J762" s="735">
        <v>2.0338080740964202E-3</v>
      </c>
      <c r="L762" s="84"/>
      <c r="M762" s="84"/>
      <c r="N762" s="84"/>
      <c r="O762" s="84"/>
      <c r="P762" s="84"/>
      <c r="Q762" s="84"/>
      <c r="R762" s="84"/>
      <c r="S762" s="84"/>
    </row>
    <row r="763" spans="1:19">
      <c r="A763" s="629" t="s">
        <v>540</v>
      </c>
      <c r="B763" s="248">
        <v>2.9457045746034598E-3</v>
      </c>
      <c r="C763" s="248">
        <v>2.7577663292418998E-3</v>
      </c>
      <c r="D763" s="248">
        <v>2.53526686644738E-3</v>
      </c>
      <c r="E763" s="248">
        <v>2.4157170939967201E-3</v>
      </c>
      <c r="F763" s="248"/>
      <c r="G763" s="248">
        <v>2.21508672053277E-3</v>
      </c>
      <c r="H763" s="735">
        <v>1.9566393371302799E-3</v>
      </c>
      <c r="I763" s="735">
        <v>1.51410571943597E-3</v>
      </c>
      <c r="J763" s="735">
        <v>1.9832788140132498E-3</v>
      </c>
      <c r="L763" s="84"/>
      <c r="M763" s="84"/>
      <c r="N763" s="84"/>
      <c r="O763" s="84"/>
      <c r="P763" s="84"/>
      <c r="Q763" s="84"/>
      <c r="R763" s="84"/>
      <c r="S763" s="84"/>
    </row>
    <row r="764" spans="1:19">
      <c r="A764" s="629" t="s">
        <v>539</v>
      </c>
      <c r="B764" s="248">
        <v>2.6768644202708699E-3</v>
      </c>
      <c r="C764" s="248">
        <v>3.0240820011380402E-3</v>
      </c>
      <c r="D764" s="248">
        <v>2.9074820333174602E-3</v>
      </c>
      <c r="E764" s="248">
        <v>2.2185711374173201E-3</v>
      </c>
      <c r="F764" s="248"/>
      <c r="G764" s="248">
        <v>2.1549307517651898E-3</v>
      </c>
      <c r="H764" s="735">
        <v>1.73828655716483E-3</v>
      </c>
      <c r="I764" s="735">
        <v>1.4011291247743301E-3</v>
      </c>
      <c r="J764" s="735">
        <v>1.7582831822348401E-3</v>
      </c>
      <c r="L764" s="84"/>
      <c r="M764" s="84"/>
      <c r="N764" s="84"/>
      <c r="O764" s="84"/>
      <c r="P764" s="84"/>
      <c r="Q764" s="84"/>
      <c r="R764" s="84"/>
      <c r="S764" s="84"/>
    </row>
    <row r="765" spans="1:19">
      <c r="A765" s="629" t="s">
        <v>538</v>
      </c>
      <c r="B765" s="248">
        <v>2.4906730251842901E-3</v>
      </c>
      <c r="C765" s="248">
        <v>2.8128937701949299E-3</v>
      </c>
      <c r="D765" s="248">
        <v>9.5793022158999295E-3</v>
      </c>
      <c r="E765" s="248">
        <v>3.0989668263903202E-3</v>
      </c>
      <c r="F765" s="248"/>
      <c r="G765" s="248">
        <v>2.0440592779616901E-3</v>
      </c>
      <c r="H765" s="735">
        <v>1.74782895892589E-3</v>
      </c>
      <c r="I765" s="735">
        <v>1.57448637664621E-3</v>
      </c>
      <c r="J765" s="735">
        <v>1.7565754132059499E-3</v>
      </c>
      <c r="L765" s="84"/>
      <c r="M765" s="84"/>
      <c r="N765" s="84"/>
      <c r="O765" s="84"/>
      <c r="P765" s="84"/>
      <c r="Q765" s="84"/>
      <c r="R765" s="84"/>
      <c r="S765" s="84"/>
    </row>
    <row r="766" spans="1:19">
      <c r="A766" s="629" t="s">
        <v>537</v>
      </c>
      <c r="B766" s="248">
        <v>2.2988764239869602E-3</v>
      </c>
      <c r="C766" s="248">
        <v>5.1532151099572803E-3</v>
      </c>
      <c r="D766" s="248">
        <v>6.6665163609956196E-3</v>
      </c>
      <c r="E766" s="248">
        <v>4.2418271780830198E-3</v>
      </c>
      <c r="F766" s="248"/>
      <c r="G766" s="248">
        <v>1.92286596090725E-3</v>
      </c>
      <c r="H766" s="735">
        <v>1.6484458615592E-3</v>
      </c>
      <c r="I766" s="735">
        <v>1.6663867151303999E-3</v>
      </c>
      <c r="J766" s="735">
        <v>1.65726727171995E-3</v>
      </c>
      <c r="L766" s="84"/>
      <c r="M766" s="84"/>
      <c r="N766" s="84"/>
      <c r="O766" s="84"/>
      <c r="P766" s="84"/>
      <c r="Q766" s="84"/>
      <c r="R766" s="84"/>
      <c r="S766" s="84"/>
    </row>
    <row r="767" spans="1:19">
      <c r="A767" s="629" t="s">
        <v>536</v>
      </c>
      <c r="B767" s="248">
        <v>2.20377400918888E-3</v>
      </c>
      <c r="C767" s="248">
        <v>3.6351691180615802E-3</v>
      </c>
      <c r="D767" s="248">
        <v>4.9053011152209699E-3</v>
      </c>
      <c r="E767" s="248">
        <v>3.7839429043313401E-3</v>
      </c>
      <c r="F767" s="248"/>
      <c r="G767" s="248">
        <v>1.84019367040813E-3</v>
      </c>
      <c r="H767" s="735">
        <v>1.5125337491272599E-3</v>
      </c>
      <c r="I767" s="735">
        <v>1.5094195287240601E-3</v>
      </c>
      <c r="J767" s="735">
        <v>1.5171453397957099E-3</v>
      </c>
      <c r="L767" s="84"/>
      <c r="M767" s="84"/>
      <c r="N767" s="84"/>
      <c r="O767" s="84"/>
      <c r="P767" s="84"/>
      <c r="Q767" s="84"/>
      <c r="R767" s="84"/>
      <c r="S767" s="84"/>
    </row>
    <row r="768" spans="1:19">
      <c r="A768" s="629" t="s">
        <v>535</v>
      </c>
      <c r="B768" s="248">
        <v>2.34802375760239E-3</v>
      </c>
      <c r="C768" s="248">
        <v>2.96458454058606E-3</v>
      </c>
      <c r="D768" s="248">
        <v>6.0847158005741097E-3</v>
      </c>
      <c r="E768" s="248">
        <v>3.2839373184039501E-3</v>
      </c>
      <c r="F768" s="248"/>
      <c r="G768" s="248">
        <v>1.8444134216139801E-3</v>
      </c>
      <c r="H768" s="735">
        <v>2.1623906932368101E-3</v>
      </c>
      <c r="I768" s="735">
        <v>1.8991311465262201E-3</v>
      </c>
      <c r="J768" s="735">
        <v>2.1681458727214799E-3</v>
      </c>
      <c r="L768" s="84"/>
      <c r="M768" s="84"/>
      <c r="N768" s="84"/>
      <c r="O768" s="84"/>
      <c r="P768" s="84"/>
      <c r="Q768" s="84"/>
      <c r="R768" s="84"/>
      <c r="S768" s="84"/>
    </row>
    <row r="769" spans="1:19">
      <c r="A769" s="629" t="s">
        <v>534</v>
      </c>
      <c r="B769" s="248">
        <v>2.18055142333656E-3</v>
      </c>
      <c r="C769" s="248">
        <v>2.9115801639193902E-3</v>
      </c>
      <c r="D769" s="248">
        <v>4.14644472390251E-3</v>
      </c>
      <c r="E769" s="248">
        <v>3.38896069841061E-3</v>
      </c>
      <c r="F769" s="248"/>
      <c r="G769" s="248">
        <v>1.79479142477906E-3</v>
      </c>
      <c r="H769" s="735">
        <v>1.8998707728466299E-3</v>
      </c>
      <c r="I769" s="735">
        <v>1.7384077095497501E-3</v>
      </c>
      <c r="J769" s="735">
        <v>1.9021471288350499E-3</v>
      </c>
      <c r="L769" s="84"/>
      <c r="M769" s="84"/>
      <c r="N769" s="84"/>
      <c r="O769" s="84"/>
      <c r="P769" s="84"/>
      <c r="Q769" s="84"/>
      <c r="R769" s="84"/>
      <c r="S769" s="84"/>
    </row>
    <row r="770" spans="1:19">
      <c r="A770" s="629" t="s">
        <v>533</v>
      </c>
      <c r="B770" s="248">
        <v>2.05734655514403E-3</v>
      </c>
      <c r="C770" s="248">
        <v>2.7657420874749299E-3</v>
      </c>
      <c r="D770" s="248">
        <v>3.0612212853035601E-3</v>
      </c>
      <c r="E770" s="248">
        <v>3.10697033727094E-3</v>
      </c>
      <c r="F770" s="248"/>
      <c r="G770" s="248">
        <v>1.7847421929557601E-3</v>
      </c>
      <c r="H770" s="735">
        <v>1.7137158856001999E-3</v>
      </c>
      <c r="I770" s="735">
        <v>1.57330383811664E-3</v>
      </c>
      <c r="J770" s="735">
        <v>1.71502254045923E-3</v>
      </c>
      <c r="L770" s="84"/>
      <c r="M770" s="84"/>
      <c r="N770" s="84"/>
      <c r="O770" s="84"/>
      <c r="P770" s="84"/>
      <c r="Q770" s="84"/>
      <c r="R770" s="84"/>
      <c r="S770" s="84"/>
    </row>
    <row r="771" spans="1:19">
      <c r="A771" s="629" t="s">
        <v>532</v>
      </c>
      <c r="B771" s="248">
        <v>2.0335555622940501E-3</v>
      </c>
      <c r="C771" s="248">
        <v>2.6290524033663202E-3</v>
      </c>
      <c r="D771" s="248">
        <v>2.9782577825001899E-3</v>
      </c>
      <c r="E771" s="248">
        <v>2.8226743423985599E-3</v>
      </c>
      <c r="F771" s="248"/>
      <c r="G771" s="248">
        <v>1.83031235668297E-3</v>
      </c>
      <c r="H771" s="735">
        <v>1.69322350547851E-3</v>
      </c>
      <c r="I771" s="735">
        <v>1.4286534402729099E-3</v>
      </c>
      <c r="J771" s="735">
        <v>1.6906899030491699E-3</v>
      </c>
      <c r="L771" s="84"/>
      <c r="M771" s="84"/>
      <c r="N771" s="84"/>
      <c r="O771" s="84"/>
      <c r="P771" s="84"/>
      <c r="Q771" s="84"/>
      <c r="R771" s="84"/>
      <c r="S771" s="84"/>
    </row>
    <row r="772" spans="1:19">
      <c r="A772" s="629" t="s">
        <v>531</v>
      </c>
      <c r="B772" s="248">
        <v>1.9835416535950402E-3</v>
      </c>
      <c r="C772" s="248">
        <v>3.1476511180379301E-3</v>
      </c>
      <c r="D772" s="248">
        <v>2.6550038696336298E-3</v>
      </c>
      <c r="E772" s="248">
        <v>2.5329169429744499E-3</v>
      </c>
      <c r="F772" s="248"/>
      <c r="G772" s="248">
        <v>1.9628044658227101E-3</v>
      </c>
      <c r="H772" s="735">
        <v>1.5206356921592401E-3</v>
      </c>
      <c r="I772" s="735">
        <v>1.35826213677254E-3</v>
      </c>
      <c r="J772" s="735">
        <v>1.5138619755173E-3</v>
      </c>
      <c r="L772" s="84"/>
      <c r="M772" s="84"/>
      <c r="N772" s="84"/>
      <c r="O772" s="84"/>
      <c r="P772" s="84"/>
      <c r="Q772" s="84"/>
      <c r="R772" s="84"/>
      <c r="S772" s="84"/>
    </row>
    <row r="773" spans="1:19">
      <c r="A773" s="629" t="s">
        <v>530</v>
      </c>
      <c r="B773" s="248">
        <v>2.2739837136516198E-3</v>
      </c>
      <c r="C773" s="248">
        <v>2.7894578613382598E-3</v>
      </c>
      <c r="D773" s="248">
        <v>2.7667096948483902E-3</v>
      </c>
      <c r="E773" s="248">
        <v>2.5336364703621998E-3</v>
      </c>
      <c r="F773" s="248"/>
      <c r="G773" s="248">
        <v>1.94925333261389E-3</v>
      </c>
      <c r="H773" s="735">
        <v>1.3882753764500599E-3</v>
      </c>
      <c r="I773" s="735">
        <v>1.66676959488348E-3</v>
      </c>
      <c r="J773" s="735">
        <v>1.3770846007237899E-3</v>
      </c>
      <c r="L773" s="84"/>
      <c r="M773" s="84"/>
      <c r="N773" s="84"/>
      <c r="O773" s="84"/>
      <c r="P773" s="84"/>
      <c r="Q773" s="84"/>
      <c r="R773" s="84"/>
      <c r="S773" s="84"/>
    </row>
    <row r="774" spans="1:19">
      <c r="A774" s="629" t="s">
        <v>529</v>
      </c>
      <c r="B774" s="248">
        <v>2.1700999971239099E-3</v>
      </c>
      <c r="C774" s="248">
        <v>5.7895492633101902E-3</v>
      </c>
      <c r="D774" s="248">
        <v>4.5040604931195103E-3</v>
      </c>
      <c r="E774" s="248">
        <v>2.2977807056868199E-3</v>
      </c>
      <c r="F774" s="248"/>
      <c r="G774" s="248">
        <v>2.1219185717057001E-3</v>
      </c>
      <c r="H774" s="735">
        <v>2.0663250410568202E-3</v>
      </c>
      <c r="I774" s="735">
        <v>2.4048278700414499E-3</v>
      </c>
      <c r="J774" s="735">
        <v>2.05910749534243E-3</v>
      </c>
      <c r="L774" s="84"/>
      <c r="M774" s="84"/>
      <c r="N774" s="84"/>
      <c r="O774" s="84"/>
      <c r="P774" s="84"/>
      <c r="Q774" s="84"/>
      <c r="R774" s="84"/>
      <c r="S774" s="84"/>
    </row>
    <row r="775" spans="1:19">
      <c r="A775" s="629" t="s">
        <v>528</v>
      </c>
      <c r="B775" s="248">
        <v>2.0093176459143802E-3</v>
      </c>
      <c r="C775" s="248">
        <v>3.8073094942223302E-3</v>
      </c>
      <c r="D775" s="248">
        <v>3.25251600673781E-3</v>
      </c>
      <c r="E775" s="248">
        <v>2.1126773184141899E-3</v>
      </c>
      <c r="F775" s="248"/>
      <c r="G775" s="248">
        <v>2.0898213920353599E-3</v>
      </c>
      <c r="H775" s="735">
        <v>1.8161309935822601E-3</v>
      </c>
      <c r="I775" s="735">
        <v>2.2053325178776101E-3</v>
      </c>
      <c r="J775" s="735">
        <v>1.8077215493836299E-3</v>
      </c>
      <c r="L775" s="84"/>
      <c r="M775" s="84"/>
      <c r="N775" s="84"/>
      <c r="O775" s="84"/>
      <c r="P775" s="84"/>
      <c r="Q775" s="84"/>
      <c r="R775" s="84"/>
      <c r="S775" s="84"/>
    </row>
    <row r="776" spans="1:19">
      <c r="A776" s="629" t="s">
        <v>527</v>
      </c>
      <c r="B776" s="248">
        <v>1.89996627526892E-3</v>
      </c>
      <c r="C776" s="248">
        <v>3.2197153881041501E-3</v>
      </c>
      <c r="D776" s="248">
        <v>2.7546170939349102E-3</v>
      </c>
      <c r="E776" s="248">
        <v>2.0759717811573699E-3</v>
      </c>
      <c r="F776" s="248"/>
      <c r="G776" s="248">
        <v>2.44807015204327E-3</v>
      </c>
      <c r="H776" s="735">
        <v>1.63480523635578E-3</v>
      </c>
      <c r="I776" s="735">
        <v>1.9815313450567899E-3</v>
      </c>
      <c r="J776" s="735">
        <v>1.62454118910111E-3</v>
      </c>
      <c r="L776" s="84"/>
      <c r="M776" s="84"/>
      <c r="N776" s="84"/>
      <c r="O776" s="84"/>
      <c r="P776" s="84"/>
      <c r="Q776" s="84"/>
      <c r="R776" s="84"/>
      <c r="S776" s="84"/>
    </row>
    <row r="777" spans="1:19">
      <c r="A777" s="629" t="s">
        <v>526</v>
      </c>
      <c r="B777" s="248">
        <v>2.3442812026957301E-3</v>
      </c>
      <c r="C777" s="248">
        <v>3.1715081639997799E-3</v>
      </c>
      <c r="D777" s="248">
        <v>3.7589006627588898E-3</v>
      </c>
      <c r="E777" s="248">
        <v>1.9451603397784901E-3</v>
      </c>
      <c r="F777" s="248"/>
      <c r="G777" s="248">
        <v>2.5075324667871001E-3</v>
      </c>
      <c r="H777" s="735">
        <v>1.64226900847082E-3</v>
      </c>
      <c r="I777" s="735">
        <v>2.04734949263277E-3</v>
      </c>
      <c r="J777" s="735">
        <v>1.6311094679539199E-3</v>
      </c>
      <c r="L777" s="84"/>
      <c r="M777" s="84"/>
      <c r="N777" s="84"/>
      <c r="O777" s="84"/>
      <c r="P777" s="84"/>
      <c r="Q777" s="84"/>
      <c r="R777" s="84"/>
      <c r="S777" s="84"/>
    </row>
    <row r="778" spans="1:19">
      <c r="A778" s="629" t="s">
        <v>525</v>
      </c>
      <c r="B778" s="248">
        <v>2.19679338545698E-3</v>
      </c>
      <c r="C778" s="248">
        <v>3.1500343374537901E-3</v>
      </c>
      <c r="D778" s="248">
        <v>2.8299096400850399E-3</v>
      </c>
      <c r="E778" s="248">
        <v>1.8351844363034601E-3</v>
      </c>
      <c r="F778" s="248"/>
      <c r="G778" s="248">
        <v>2.4201835175245898E-3</v>
      </c>
      <c r="H778" s="735">
        <v>2.4096958415751098E-3</v>
      </c>
      <c r="I778" s="735">
        <v>2.1847084047806999E-3</v>
      </c>
      <c r="J778" s="735">
        <v>2.41171129990623E-3</v>
      </c>
      <c r="L778" s="84"/>
      <c r="M778" s="84"/>
      <c r="N778" s="84"/>
      <c r="O778" s="84"/>
      <c r="P778" s="84"/>
      <c r="Q778" s="84"/>
      <c r="R778" s="84"/>
      <c r="S778" s="84"/>
    </row>
    <row r="779" spans="1:19">
      <c r="A779" s="629" t="s">
        <v>524</v>
      </c>
      <c r="B779" s="248">
        <v>2.2044450426463701E-3</v>
      </c>
      <c r="C779" s="248">
        <v>2.8607592295241701E-3</v>
      </c>
      <c r="D779" s="248">
        <v>2.98031588749215E-3</v>
      </c>
      <c r="E779" s="248">
        <v>2.4907932299292898E-3</v>
      </c>
      <c r="F779" s="248"/>
      <c r="G779" s="248">
        <v>2.3231905551311599E-3</v>
      </c>
      <c r="H779" s="735">
        <v>2.1568453673757801E-3</v>
      </c>
      <c r="I779" s="735">
        <v>2.0723391505403301E-3</v>
      </c>
      <c r="J779" s="735">
        <v>2.1588643052833298E-3</v>
      </c>
      <c r="L779" s="84"/>
      <c r="M779" s="84"/>
      <c r="N779" s="84"/>
      <c r="O779" s="84"/>
      <c r="P779" s="84"/>
      <c r="Q779" s="84"/>
      <c r="R779" s="84"/>
      <c r="S779" s="84"/>
    </row>
    <row r="780" spans="1:19">
      <c r="A780" s="629" t="s">
        <v>523</v>
      </c>
      <c r="B780" s="248">
        <v>2.10389371214758E-3</v>
      </c>
      <c r="C780" s="248">
        <v>3.0149946003430001E-3</v>
      </c>
      <c r="D780" s="248">
        <v>2.80126659284493E-3</v>
      </c>
      <c r="E780" s="248">
        <v>3.3697734614378401E-3</v>
      </c>
      <c r="F780" s="248"/>
      <c r="G780" s="248">
        <v>2.1961350599880099E-3</v>
      </c>
      <c r="H780" s="735">
        <v>1.92917021431122E-3</v>
      </c>
      <c r="I780" s="735">
        <v>1.8826441404647799E-3</v>
      </c>
      <c r="J780" s="735">
        <v>1.92758117141844E-3</v>
      </c>
      <c r="L780" s="84"/>
      <c r="M780" s="84"/>
      <c r="N780" s="84"/>
      <c r="O780" s="84"/>
      <c r="P780" s="84"/>
      <c r="Q780" s="84"/>
      <c r="R780" s="84"/>
      <c r="S780" s="84"/>
    </row>
    <row r="781" spans="1:19">
      <c r="A781" s="629" t="s">
        <v>522</v>
      </c>
      <c r="B781" s="248">
        <v>2.19341282056592E-3</v>
      </c>
      <c r="C781" s="248">
        <v>3.5595636300605302E-3</v>
      </c>
      <c r="D781" s="248">
        <v>6.17161989940426E-3</v>
      </c>
      <c r="E781" s="248">
        <v>3.1875044129778402E-3</v>
      </c>
      <c r="F781" s="248"/>
      <c r="G781" s="248">
        <v>2.0603542076071601E-3</v>
      </c>
      <c r="H781" s="735">
        <v>3.0962728544029401E-3</v>
      </c>
      <c r="I781" s="735">
        <v>2.5719016615943298E-3</v>
      </c>
      <c r="J781" s="735">
        <v>3.1149856612289598E-3</v>
      </c>
      <c r="L781" s="84"/>
      <c r="M781" s="84"/>
      <c r="N781" s="84"/>
      <c r="O781" s="84"/>
      <c r="P781" s="84"/>
      <c r="Q781" s="84"/>
      <c r="R781" s="84"/>
      <c r="S781" s="84"/>
    </row>
    <row r="782" spans="1:19">
      <c r="A782" s="629" t="s">
        <v>521</v>
      </c>
      <c r="B782" s="248">
        <v>2.5978534707448301E-3</v>
      </c>
      <c r="C782" s="248">
        <v>3.6692702442880001E-3</v>
      </c>
      <c r="D782" s="248">
        <v>4.1261525728951403E-3</v>
      </c>
      <c r="E782" s="248">
        <v>2.8947807872088398E-3</v>
      </c>
      <c r="F782" s="248"/>
      <c r="G782" s="248">
        <v>1.91739268352785E-3</v>
      </c>
      <c r="H782" s="735">
        <v>3.2238198181711399E-3</v>
      </c>
      <c r="I782" s="735">
        <v>2.3846214463378599E-3</v>
      </c>
      <c r="J782" s="735">
        <v>3.2496315307705801E-3</v>
      </c>
      <c r="L782" s="84"/>
      <c r="M782" s="84"/>
      <c r="N782" s="84"/>
      <c r="O782" s="84"/>
      <c r="P782" s="84"/>
      <c r="Q782" s="84"/>
      <c r="R782" s="84"/>
      <c r="S782" s="84"/>
    </row>
    <row r="783" spans="1:19">
      <c r="A783" s="629" t="s">
        <v>520</v>
      </c>
      <c r="B783" s="248">
        <v>2.5118414501874098E-3</v>
      </c>
      <c r="C783" s="248">
        <v>3.16827379202704E-3</v>
      </c>
      <c r="D783" s="248">
        <v>4.8422366145583397E-3</v>
      </c>
      <c r="E783" s="248">
        <v>2.6993438334945701E-3</v>
      </c>
      <c r="F783" s="248"/>
      <c r="G783" s="248">
        <v>1.9894316468989101E-3</v>
      </c>
      <c r="H783" s="735">
        <v>2.8285480769225302E-3</v>
      </c>
      <c r="I783" s="735">
        <v>2.4378208499090202E-3</v>
      </c>
      <c r="J783" s="735">
        <v>2.8454506340111299E-3</v>
      </c>
      <c r="L783" s="84"/>
      <c r="M783" s="84"/>
      <c r="N783" s="84"/>
      <c r="O783" s="84"/>
      <c r="P783" s="84"/>
      <c r="Q783" s="84"/>
      <c r="R783" s="84"/>
      <c r="S783" s="84"/>
    </row>
    <row r="784" spans="1:19">
      <c r="A784" s="629" t="s">
        <v>519</v>
      </c>
      <c r="B784" s="248">
        <v>2.3465929623322202E-3</v>
      </c>
      <c r="C784" s="248">
        <v>2.8766117427346601E-3</v>
      </c>
      <c r="D784" s="248">
        <v>4.9439900828434202E-3</v>
      </c>
      <c r="E784" s="248">
        <v>2.7979680828225701E-3</v>
      </c>
      <c r="F784" s="248"/>
      <c r="G784" s="248">
        <v>2.0914287983550598E-3</v>
      </c>
      <c r="H784" s="735">
        <v>2.75096602427419E-3</v>
      </c>
      <c r="I784" s="735">
        <v>2.1845334061997598E-3</v>
      </c>
      <c r="J784" s="735">
        <v>2.7708427388502301E-3</v>
      </c>
      <c r="L784" s="84"/>
      <c r="M784" s="84"/>
      <c r="N784" s="84"/>
      <c r="O784" s="84"/>
      <c r="P784" s="84"/>
      <c r="Q784" s="84"/>
      <c r="R784" s="84"/>
      <c r="S784" s="84"/>
    </row>
    <row r="785" spans="1:19">
      <c r="A785" s="629" t="s">
        <v>518</v>
      </c>
      <c r="B785" s="248">
        <v>2.20177991982658E-3</v>
      </c>
      <c r="C785" s="248">
        <v>2.6728344047194999E-3</v>
      </c>
      <c r="D785" s="248">
        <v>3.48434789424213E-3</v>
      </c>
      <c r="E785" s="248">
        <v>2.61747339909195E-3</v>
      </c>
      <c r="F785" s="248"/>
      <c r="G785" s="248">
        <v>1.9425061175327E-3</v>
      </c>
      <c r="H785" s="735">
        <v>2.3967291677354902E-3</v>
      </c>
      <c r="I785" s="735">
        <v>1.9587696930897201E-3</v>
      </c>
      <c r="J785" s="735">
        <v>2.4142183035167101E-3</v>
      </c>
      <c r="L785" s="84"/>
      <c r="M785" s="84"/>
      <c r="N785" s="84"/>
      <c r="O785" s="84"/>
      <c r="P785" s="84"/>
      <c r="Q785" s="84"/>
      <c r="R785" s="84"/>
      <c r="S785" s="84"/>
    </row>
    <row r="786" spans="1:19">
      <c r="A786" s="629" t="s">
        <v>517</v>
      </c>
      <c r="B786" s="248">
        <v>2.46696197696738E-3</v>
      </c>
      <c r="C786" s="248">
        <v>2.9320740027238999E-3</v>
      </c>
      <c r="D786" s="248">
        <v>2.68490193220663E-3</v>
      </c>
      <c r="E786" s="248">
        <v>2.3739083470441001E-3</v>
      </c>
      <c r="F786" s="248"/>
      <c r="G786" s="248">
        <v>1.86412134160919E-3</v>
      </c>
      <c r="H786" s="735">
        <v>2.2031078140276202E-3</v>
      </c>
      <c r="I786" s="735">
        <v>1.9433871748041E-3</v>
      </c>
      <c r="J786" s="735">
        <v>2.2192118570819701E-3</v>
      </c>
      <c r="L786" s="84"/>
      <c r="M786" s="84"/>
      <c r="N786" s="84"/>
      <c r="O786" s="84"/>
      <c r="P786" s="84"/>
      <c r="Q786" s="84"/>
      <c r="R786" s="84"/>
      <c r="S786" s="84"/>
    </row>
    <row r="787" spans="1:19">
      <c r="A787" s="629" t="s">
        <v>516</v>
      </c>
      <c r="B787" s="248">
        <v>3.34204300476837E-3</v>
      </c>
      <c r="C787" s="248">
        <v>2.7929498133521099E-3</v>
      </c>
      <c r="D787" s="248">
        <v>2.9536572915760798E-3</v>
      </c>
      <c r="E787" s="248">
        <v>2.3085440463412698E-3</v>
      </c>
      <c r="F787" s="248"/>
      <c r="G787" s="248">
        <v>1.79363175269013E-3</v>
      </c>
      <c r="H787" s="735">
        <v>2.3742414980214999E-3</v>
      </c>
      <c r="I787" s="735">
        <v>1.8098628475600399E-3</v>
      </c>
      <c r="J787" s="735">
        <v>2.3855191585726598E-3</v>
      </c>
      <c r="L787" s="84"/>
      <c r="M787" s="84"/>
      <c r="N787" s="84"/>
      <c r="O787" s="84"/>
      <c r="P787" s="84"/>
      <c r="Q787" s="84"/>
      <c r="R787" s="84"/>
      <c r="S787" s="84"/>
    </row>
    <row r="788" spans="1:19">
      <c r="A788" s="629" t="s">
        <v>515</v>
      </c>
      <c r="B788" s="248">
        <v>3.1009644286628599E-3</v>
      </c>
      <c r="C788" s="248">
        <v>2.86613807933339E-3</v>
      </c>
      <c r="D788" s="248">
        <v>2.4115784182199302E-3</v>
      </c>
      <c r="E788" s="248">
        <v>2.1179234814803602E-3</v>
      </c>
      <c r="F788" s="248"/>
      <c r="G788" s="248">
        <v>1.89533065282456E-3</v>
      </c>
      <c r="H788" s="735">
        <v>2.0824953020798002E-3</v>
      </c>
      <c r="I788" s="735">
        <v>1.6401230930054699E-3</v>
      </c>
      <c r="J788" s="735">
        <v>2.08943277679887E-3</v>
      </c>
      <c r="L788" s="84"/>
      <c r="M788" s="84"/>
      <c r="N788" s="84"/>
      <c r="O788" s="84"/>
      <c r="P788" s="84"/>
      <c r="Q788" s="84"/>
      <c r="R788" s="84"/>
      <c r="S788" s="84"/>
    </row>
    <row r="789" spans="1:19">
      <c r="A789" s="629" t="s">
        <v>514</v>
      </c>
      <c r="B789" s="248">
        <v>2.9485023559837802E-3</v>
      </c>
      <c r="C789" s="248">
        <v>3.1961385169852201E-3</v>
      </c>
      <c r="D789" s="248">
        <v>3.1745996100761699E-3</v>
      </c>
      <c r="E789" s="248">
        <v>2.1350569190918801E-3</v>
      </c>
      <c r="F789" s="248"/>
      <c r="G789" s="248">
        <v>1.8693670163584301E-3</v>
      </c>
      <c r="H789" s="735">
        <v>1.84574262626678E-3</v>
      </c>
      <c r="I789" s="735">
        <v>1.55923383105925E-3</v>
      </c>
      <c r="J789" s="735">
        <v>1.8469348435268501E-3</v>
      </c>
      <c r="L789" s="84"/>
      <c r="M789" s="84"/>
      <c r="N789" s="84"/>
      <c r="O789" s="84"/>
      <c r="P789" s="84"/>
      <c r="Q789" s="84"/>
      <c r="R789" s="84"/>
      <c r="S789" s="84"/>
    </row>
    <row r="790" spans="1:19">
      <c r="A790" s="629" t="s">
        <v>513</v>
      </c>
      <c r="B790" s="248">
        <v>3.1104298670791499E-3</v>
      </c>
      <c r="C790" s="248">
        <v>2.87102906771432E-3</v>
      </c>
      <c r="D790" s="248">
        <v>2.5959547897860501E-3</v>
      </c>
      <c r="E790" s="248">
        <v>1.9826993341785499E-3</v>
      </c>
      <c r="F790" s="248"/>
      <c r="G790" s="248">
        <v>2.1313586435813599E-3</v>
      </c>
      <c r="H790" s="735">
        <v>1.75501048502568E-3</v>
      </c>
      <c r="I790" s="735">
        <v>1.47076097898922E-3</v>
      </c>
      <c r="J790" s="735">
        <v>1.75388211450709E-3</v>
      </c>
      <c r="L790" s="84"/>
      <c r="M790" s="84"/>
      <c r="N790" s="84"/>
      <c r="O790" s="84"/>
      <c r="P790" s="84"/>
      <c r="Q790" s="84"/>
      <c r="R790" s="84"/>
      <c r="S790" s="84"/>
    </row>
    <row r="791" spans="1:19">
      <c r="A791" s="629" t="s">
        <v>512</v>
      </c>
      <c r="B791" s="248">
        <v>2.861238177732E-3</v>
      </c>
      <c r="C791" s="248">
        <v>2.9725522457482701E-3</v>
      </c>
      <c r="D791" s="248">
        <v>3.05838226370644E-3</v>
      </c>
      <c r="E791" s="248">
        <v>2.8229679969753998E-3</v>
      </c>
      <c r="F791" s="248"/>
      <c r="G791" s="248">
        <v>1.9782906112729599E-3</v>
      </c>
      <c r="H791" s="735">
        <v>1.9899842284453102E-3</v>
      </c>
      <c r="I791" s="735">
        <v>1.3981633867988E-3</v>
      </c>
      <c r="J791" s="735">
        <v>2.00220086220281E-3</v>
      </c>
      <c r="L791" s="84"/>
      <c r="M791" s="84"/>
      <c r="N791" s="84"/>
      <c r="O791" s="84"/>
      <c r="P791" s="84"/>
      <c r="Q791" s="84"/>
      <c r="R791" s="84"/>
      <c r="S791" s="84"/>
    </row>
    <row r="792" spans="1:19">
      <c r="A792" s="629" t="s">
        <v>511</v>
      </c>
      <c r="B792" s="248">
        <v>2.6255376979353101E-3</v>
      </c>
      <c r="C792" s="248">
        <v>2.8639437486102201E-3</v>
      </c>
      <c r="D792" s="248">
        <v>3.9079235590650302E-3</v>
      </c>
      <c r="E792" s="248">
        <v>3.3220885753642501E-3</v>
      </c>
      <c r="F792" s="248"/>
      <c r="G792" s="248">
        <v>1.89792200347937E-3</v>
      </c>
      <c r="H792" s="735">
        <v>1.89635550420404E-3</v>
      </c>
      <c r="I792" s="735">
        <v>1.31801015106621E-3</v>
      </c>
      <c r="J792" s="735">
        <v>1.9113551602349299E-3</v>
      </c>
      <c r="L792" s="84"/>
      <c r="M792" s="84"/>
      <c r="N792" s="84"/>
      <c r="O792" s="84"/>
      <c r="P792" s="84"/>
      <c r="Q792" s="84"/>
      <c r="R792" s="84"/>
      <c r="S792" s="84"/>
    </row>
    <row r="793" spans="1:19">
      <c r="A793" s="629" t="s">
        <v>510</v>
      </c>
      <c r="B793" s="248">
        <v>3.45437549646011E-3</v>
      </c>
      <c r="C793" s="248">
        <v>2.70231912987328E-3</v>
      </c>
      <c r="D793" s="248">
        <v>3.4979917353669199E-3</v>
      </c>
      <c r="E793" s="248">
        <v>2.9429712256868802E-3</v>
      </c>
      <c r="F793" s="248"/>
      <c r="G793" s="248">
        <v>1.83698882509955E-3</v>
      </c>
      <c r="H793" s="735">
        <v>1.6919369996991E-3</v>
      </c>
      <c r="I793" s="735">
        <v>1.23008116890665E-3</v>
      </c>
      <c r="J793" s="735">
        <v>1.70158230450279E-3</v>
      </c>
      <c r="L793" s="84"/>
      <c r="M793" s="84"/>
      <c r="N793" s="84"/>
      <c r="O793" s="84"/>
      <c r="P793" s="84"/>
      <c r="Q793" s="84"/>
      <c r="R793" s="84"/>
      <c r="S793" s="84"/>
    </row>
    <row r="794" spans="1:19">
      <c r="A794" s="629" t="s">
        <v>509</v>
      </c>
      <c r="B794" s="248">
        <v>3.3585815497480802E-3</v>
      </c>
      <c r="C794" s="248">
        <v>3.22797899316918E-3</v>
      </c>
      <c r="D794" s="248">
        <v>3.9780576081726001E-3</v>
      </c>
      <c r="E794" s="248">
        <v>2.6440468255846802E-3</v>
      </c>
      <c r="F794" s="248"/>
      <c r="G794" s="248">
        <v>2.0736775911158298E-3</v>
      </c>
      <c r="H794" s="735">
        <v>1.6136702122925999E-3</v>
      </c>
      <c r="I794" s="735">
        <v>1.13803086382942E-3</v>
      </c>
      <c r="J794" s="735">
        <v>1.6188235441183601E-3</v>
      </c>
      <c r="L794" s="84"/>
      <c r="M794" s="84"/>
      <c r="N794" s="84"/>
      <c r="O794" s="84"/>
      <c r="P794" s="84"/>
      <c r="Q794" s="84"/>
      <c r="R794" s="84"/>
      <c r="S794" s="84"/>
    </row>
    <row r="795" spans="1:19">
      <c r="A795" s="629" t="s">
        <v>508</v>
      </c>
      <c r="B795" s="248">
        <v>3.3518208640041201E-3</v>
      </c>
      <c r="C795" s="248">
        <v>3.1276992999222301E-3</v>
      </c>
      <c r="D795" s="248">
        <v>3.7266262004696299E-3</v>
      </c>
      <c r="E795" s="248">
        <v>3.16657585276812E-3</v>
      </c>
      <c r="F795" s="248"/>
      <c r="G795" s="248">
        <v>1.9782268472155898E-3</v>
      </c>
      <c r="H795" s="735">
        <v>1.4447034444773799E-3</v>
      </c>
      <c r="I795" s="735">
        <v>1.05772164086573E-3</v>
      </c>
      <c r="J795" s="735">
        <v>1.4450264906869E-3</v>
      </c>
      <c r="L795" s="84"/>
      <c r="M795" s="84"/>
      <c r="N795" s="84"/>
      <c r="O795" s="84"/>
      <c r="P795" s="84"/>
      <c r="Q795" s="84"/>
      <c r="R795" s="84"/>
      <c r="S795" s="84"/>
    </row>
    <row r="796" spans="1:19">
      <c r="A796" s="629" t="s">
        <v>507</v>
      </c>
      <c r="B796" s="248">
        <v>3.1375935667814501E-3</v>
      </c>
      <c r="C796" s="248">
        <v>3.21782063254296E-3</v>
      </c>
      <c r="D796" s="248">
        <v>2.8159753469939302E-3</v>
      </c>
      <c r="E796" s="248">
        <v>3.26075732356598E-3</v>
      </c>
      <c r="F796" s="248"/>
      <c r="G796" s="248">
        <v>1.8525018051043E-3</v>
      </c>
      <c r="H796" s="735">
        <v>1.6425116529536401E-3</v>
      </c>
      <c r="I796" s="735">
        <v>1.01408983355497E-3</v>
      </c>
      <c r="J796" s="735">
        <v>1.6522954582294501E-3</v>
      </c>
      <c r="L796" s="84"/>
      <c r="M796" s="84"/>
      <c r="N796" s="84"/>
      <c r="O796" s="84"/>
      <c r="P796" s="84"/>
      <c r="Q796" s="84"/>
      <c r="R796" s="84"/>
      <c r="S796" s="84"/>
    </row>
    <row r="797" spans="1:19">
      <c r="A797" s="629" t="s">
        <v>506</v>
      </c>
      <c r="B797" s="248">
        <v>3.7620400851346601E-3</v>
      </c>
      <c r="C797" s="248">
        <v>2.8022185653053802E-3</v>
      </c>
      <c r="D797" s="248">
        <v>2.3666199768320102E-3</v>
      </c>
      <c r="E797" s="248">
        <v>3.3921533226051099E-3</v>
      </c>
      <c r="F797" s="248"/>
      <c r="G797" s="248">
        <v>1.79405487560806E-3</v>
      </c>
      <c r="H797" s="735">
        <v>2.8378781574474499E-3</v>
      </c>
      <c r="I797" s="735">
        <v>1.3827111254831599E-3</v>
      </c>
      <c r="J797" s="735">
        <v>2.8682535070828001E-3</v>
      </c>
      <c r="L797" s="84"/>
      <c r="M797" s="84"/>
      <c r="N797" s="84"/>
      <c r="O797" s="84"/>
      <c r="P797" s="84"/>
      <c r="Q797" s="84"/>
      <c r="R797" s="84"/>
      <c r="S797" s="84"/>
    </row>
    <row r="798" spans="1:19">
      <c r="A798" s="629" t="s">
        <v>505</v>
      </c>
      <c r="B798" s="248">
        <v>4.6799629160429899E-3</v>
      </c>
      <c r="C798" s="248">
        <v>4.0142620736445499E-3</v>
      </c>
      <c r="D798" s="248">
        <v>3.9627047279010598E-3</v>
      </c>
      <c r="E798" s="248">
        <v>3.4883960425906501E-3</v>
      </c>
      <c r="F798" s="248"/>
      <c r="G798" s="248">
        <v>2.4815102098052402E-3</v>
      </c>
      <c r="H798" s="735">
        <v>2.5956588199259798E-3</v>
      </c>
      <c r="I798" s="735">
        <v>1.6865541120443799E-3</v>
      </c>
      <c r="J798" s="735">
        <v>2.6221389020671801E-3</v>
      </c>
      <c r="L798" s="84"/>
      <c r="M798" s="84"/>
      <c r="N798" s="84"/>
      <c r="O798" s="84"/>
      <c r="P798" s="84"/>
      <c r="Q798" s="84"/>
      <c r="R798" s="84"/>
      <c r="S798" s="84"/>
    </row>
    <row r="799" spans="1:19">
      <c r="A799" s="629" t="s">
        <v>504</v>
      </c>
      <c r="B799" s="248">
        <v>4.2090654350801296E-3</v>
      </c>
      <c r="C799" s="248">
        <v>3.2064450479206501E-3</v>
      </c>
      <c r="D799" s="248">
        <v>3.3633615998735801E-3</v>
      </c>
      <c r="E799" s="248">
        <v>3.0619323429371E-3</v>
      </c>
      <c r="F799" s="248"/>
      <c r="G799" s="248">
        <v>2.3831614495055499E-3</v>
      </c>
      <c r="H799" s="735">
        <v>2.2512051881356698E-3</v>
      </c>
      <c r="I799" s="735">
        <v>1.67341717523921E-3</v>
      </c>
      <c r="J799" s="735">
        <v>2.27224387912189E-3</v>
      </c>
      <c r="L799" s="84"/>
      <c r="M799" s="84"/>
      <c r="N799" s="84"/>
      <c r="O799" s="84"/>
      <c r="P799" s="84"/>
      <c r="Q799" s="84"/>
      <c r="R799" s="84"/>
      <c r="S799" s="84"/>
    </row>
    <row r="800" spans="1:19">
      <c r="A800" s="629" t="s">
        <v>503</v>
      </c>
      <c r="B800" s="248">
        <v>3.88738911645667E-3</v>
      </c>
      <c r="C800" s="248">
        <v>2.8303406372357899E-3</v>
      </c>
      <c r="D800" s="248">
        <v>2.8477108944071601E-3</v>
      </c>
      <c r="E800" s="248">
        <v>2.9507327531781901E-3</v>
      </c>
      <c r="F800" s="248"/>
      <c r="G800" s="248">
        <v>2.5391789908878501E-3</v>
      </c>
      <c r="H800" s="735">
        <v>2.1118897519561701E-3</v>
      </c>
      <c r="I800" s="735">
        <v>1.57587000556922E-3</v>
      </c>
      <c r="J800" s="735">
        <v>2.12655565952543E-3</v>
      </c>
      <c r="L800" s="84"/>
      <c r="M800" s="84"/>
      <c r="N800" s="84"/>
      <c r="O800" s="84"/>
      <c r="P800" s="84"/>
      <c r="Q800" s="84"/>
      <c r="R800" s="84"/>
      <c r="S800" s="84"/>
    </row>
    <row r="801" spans="1:19">
      <c r="A801" s="629" t="s">
        <v>502</v>
      </c>
      <c r="B801" s="248">
        <v>3.5666136367448198E-3</v>
      </c>
      <c r="C801" s="248">
        <v>2.8026287628660699E-3</v>
      </c>
      <c r="D801" s="248">
        <v>3.1662625211869898E-3</v>
      </c>
      <c r="E801" s="248">
        <v>3.4356592873496798E-3</v>
      </c>
      <c r="F801" s="248"/>
      <c r="G801" s="248">
        <v>2.3586053198224799E-3</v>
      </c>
      <c r="H801" s="735">
        <v>1.88749642642555E-3</v>
      </c>
      <c r="I801" s="735">
        <v>1.7486651336117E-3</v>
      </c>
      <c r="J801" s="735">
        <v>1.8981071940054599E-3</v>
      </c>
      <c r="L801" s="84"/>
      <c r="M801" s="84"/>
      <c r="N801" s="84"/>
      <c r="O801" s="84"/>
      <c r="P801" s="84"/>
      <c r="Q801" s="84"/>
      <c r="R801" s="84"/>
      <c r="S801" s="84"/>
    </row>
    <row r="802" spans="1:19">
      <c r="A802" s="629" t="s">
        <v>501</v>
      </c>
      <c r="B802" s="248">
        <v>3.23187922744429E-3</v>
      </c>
      <c r="C802" s="248">
        <v>2.7170828295403999E-3</v>
      </c>
      <c r="D802" s="248">
        <v>2.6253545215562599E-3</v>
      </c>
      <c r="E802" s="248">
        <v>4.0212728037287001E-3</v>
      </c>
      <c r="F802" s="248"/>
      <c r="G802" s="248">
        <v>2.3586533998979798E-3</v>
      </c>
      <c r="H802" s="735">
        <v>1.6746877133572301E-3</v>
      </c>
      <c r="I802" s="735">
        <v>1.5922474589354101E-3</v>
      </c>
      <c r="J802" s="735">
        <v>1.68105765198936E-3</v>
      </c>
      <c r="L802" s="84"/>
      <c r="M802" s="84"/>
      <c r="N802" s="84"/>
      <c r="O802" s="84"/>
      <c r="P802" s="84"/>
      <c r="Q802" s="84"/>
      <c r="R802" s="84"/>
      <c r="S802" s="84"/>
    </row>
    <row r="803" spans="1:19">
      <c r="A803" s="629" t="s">
        <v>500</v>
      </c>
      <c r="B803" s="248">
        <v>3.0793954954393102E-3</v>
      </c>
      <c r="C803" s="248">
        <v>2.6083310365907302E-3</v>
      </c>
      <c r="D803" s="248">
        <v>2.40317963098981E-3</v>
      </c>
      <c r="E803" s="248">
        <v>3.4683961011612299E-3</v>
      </c>
      <c r="F803" s="248"/>
      <c r="G803" s="248">
        <v>2.2675567197481101E-3</v>
      </c>
      <c r="H803" s="735">
        <v>1.58483830540133E-3</v>
      </c>
      <c r="I803" s="735">
        <v>1.44354420259723E-3</v>
      </c>
      <c r="J803" s="735">
        <v>1.5857702350019699E-3</v>
      </c>
      <c r="L803" s="84"/>
      <c r="M803" s="84"/>
      <c r="N803" s="84"/>
      <c r="O803" s="84"/>
      <c r="P803" s="84"/>
      <c r="Q803" s="84"/>
      <c r="R803" s="84"/>
      <c r="S803" s="84"/>
    </row>
    <row r="804" spans="1:19">
      <c r="A804" s="629" t="s">
        <v>499</v>
      </c>
      <c r="B804" s="248">
        <v>2.89460639467491E-3</v>
      </c>
      <c r="C804" s="248">
        <v>5.30918621883124E-3</v>
      </c>
      <c r="D804" s="248">
        <v>2.939306947271E-3</v>
      </c>
      <c r="E804" s="248">
        <v>3.1896849214837898E-3</v>
      </c>
      <c r="F804" s="248"/>
      <c r="G804" s="248">
        <v>2.65322067771326E-3</v>
      </c>
      <c r="H804" s="735">
        <v>1.5313238483557401E-3</v>
      </c>
      <c r="I804" s="735">
        <v>1.83374256726189E-3</v>
      </c>
      <c r="J804" s="735">
        <v>1.5296006497458601E-3</v>
      </c>
      <c r="L804" s="84"/>
      <c r="M804" s="84"/>
      <c r="N804" s="84"/>
      <c r="O804" s="84"/>
      <c r="P804" s="84"/>
      <c r="Q804" s="84"/>
      <c r="R804" s="84"/>
      <c r="S804" s="84"/>
    </row>
    <row r="805" spans="1:19">
      <c r="A805" s="629" t="s">
        <v>498</v>
      </c>
      <c r="B805" s="248">
        <v>4.0962673436957002E-3</v>
      </c>
      <c r="C805" s="248">
        <v>3.64889845315084E-3</v>
      </c>
      <c r="D805" s="248">
        <v>2.42632764511493E-3</v>
      </c>
      <c r="E805" s="248">
        <v>2.8150146772244599E-3</v>
      </c>
      <c r="F805" s="248"/>
      <c r="G805" s="248">
        <v>2.60071347924694E-3</v>
      </c>
      <c r="H805" s="735">
        <v>1.5010997580573999E-3</v>
      </c>
      <c r="I805" s="735">
        <v>1.6839468526907101E-3</v>
      </c>
      <c r="J805" s="735">
        <v>1.49888620865842E-3</v>
      </c>
      <c r="L805" s="84"/>
      <c r="M805" s="84"/>
      <c r="N805" s="84"/>
      <c r="O805" s="84"/>
      <c r="P805" s="84"/>
      <c r="Q805" s="84"/>
      <c r="R805" s="84"/>
      <c r="S805" s="84"/>
    </row>
    <row r="806" spans="1:19">
      <c r="A806" s="629" t="s">
        <v>497</v>
      </c>
      <c r="B806" s="248">
        <v>3.7693516282470301E-3</v>
      </c>
      <c r="C806" s="248">
        <v>3.0052344447088499E-3</v>
      </c>
      <c r="D806" s="248">
        <v>2.15706021572467E-3</v>
      </c>
      <c r="E806" s="248">
        <v>2.52073231461543E-3</v>
      </c>
      <c r="F806" s="248"/>
      <c r="G806" s="248">
        <v>2.7972798054128902E-3</v>
      </c>
      <c r="H806" s="735">
        <v>1.35186954803188E-3</v>
      </c>
      <c r="I806" s="735">
        <v>1.5220056662893799E-3</v>
      </c>
      <c r="J806" s="735">
        <v>1.34578386167267E-3</v>
      </c>
      <c r="L806" s="84"/>
      <c r="M806" s="84"/>
      <c r="N806" s="84"/>
      <c r="O806" s="84"/>
      <c r="P806" s="84"/>
      <c r="Q806" s="84"/>
      <c r="R806" s="84"/>
      <c r="S806" s="84"/>
    </row>
    <row r="807" spans="1:19">
      <c r="A807" s="629" t="s">
        <v>496</v>
      </c>
      <c r="B807" s="248">
        <v>3.4259384997018701E-3</v>
      </c>
      <c r="C807" s="248">
        <v>2.8720126299903799E-3</v>
      </c>
      <c r="D807" s="248">
        <v>2.0306348309406998E-3</v>
      </c>
      <c r="E807" s="248">
        <v>2.82149136492726E-3</v>
      </c>
      <c r="F807" s="248"/>
      <c r="G807" s="248">
        <v>2.58855429021E-3</v>
      </c>
      <c r="H807" s="735">
        <v>1.2341862770790799E-3</v>
      </c>
      <c r="I807" s="735">
        <v>1.4183515012189301E-3</v>
      </c>
      <c r="J807" s="735">
        <v>1.2256802825933201E-3</v>
      </c>
      <c r="L807" s="84"/>
      <c r="M807" s="84"/>
      <c r="N807" s="84"/>
      <c r="O807" s="84"/>
      <c r="P807" s="84"/>
      <c r="Q807" s="84"/>
      <c r="R807" s="84"/>
      <c r="S807" s="84"/>
    </row>
    <row r="808" spans="1:19">
      <c r="A808" s="629" t="s">
        <v>495</v>
      </c>
      <c r="B808" s="248">
        <v>3.3030659806954602E-3</v>
      </c>
      <c r="C808" s="248">
        <v>2.90930438794845E-3</v>
      </c>
      <c r="D808" s="248">
        <v>2.1825105674864601E-3</v>
      </c>
      <c r="E808" s="248">
        <v>2.8554690562335901E-3</v>
      </c>
      <c r="F808" s="248"/>
      <c r="G808" s="248">
        <v>3.0802469577862002E-3</v>
      </c>
      <c r="H808" s="735">
        <v>1.2064142766908901E-3</v>
      </c>
      <c r="I808" s="735">
        <v>1.30254261389568E-3</v>
      </c>
      <c r="J808" s="735">
        <v>1.19337889110372E-3</v>
      </c>
      <c r="L808" s="84"/>
      <c r="M808" s="84"/>
      <c r="N808" s="84"/>
      <c r="O808" s="84"/>
      <c r="P808" s="84"/>
      <c r="Q808" s="84"/>
      <c r="R808" s="84"/>
      <c r="S808" s="84"/>
    </row>
    <row r="809" spans="1:19">
      <c r="A809" s="629" t="s">
        <v>494</v>
      </c>
      <c r="B809" s="248">
        <v>2.9851354652166099E-3</v>
      </c>
      <c r="C809" s="248">
        <v>3.9220403789938596E-3</v>
      </c>
      <c r="D809" s="248">
        <v>2.4586153647336898E-3</v>
      </c>
      <c r="E809" s="248">
        <v>2.5942120059194202E-3</v>
      </c>
      <c r="F809" s="248"/>
      <c r="G809" s="248">
        <v>2.8296270039114301E-3</v>
      </c>
      <c r="H809" s="735">
        <v>1.1108382748095801E-3</v>
      </c>
      <c r="I809" s="735">
        <v>1.2660418768054901E-3</v>
      </c>
      <c r="J809" s="735">
        <v>1.0950513794820301E-3</v>
      </c>
      <c r="L809" s="84"/>
      <c r="M809" s="84"/>
      <c r="N809" s="84"/>
      <c r="O809" s="84"/>
      <c r="P809" s="84"/>
      <c r="Q809" s="84"/>
      <c r="R809" s="84"/>
      <c r="S809" s="84"/>
    </row>
    <row r="810" spans="1:19">
      <c r="A810" s="629" t="s">
        <v>493</v>
      </c>
      <c r="B810" s="248">
        <v>2.7436778770754101E-3</v>
      </c>
      <c r="C810" s="248">
        <v>3.1752756647702401E-3</v>
      </c>
      <c r="D810" s="248">
        <v>2.9072934340843501E-3</v>
      </c>
      <c r="E810" s="248">
        <v>2.6420193286766001E-3</v>
      </c>
      <c r="F810" s="248"/>
      <c r="G810" s="248">
        <v>2.6656937637762699E-3</v>
      </c>
      <c r="H810" s="735">
        <v>1.0315784284626801E-3</v>
      </c>
      <c r="I810" s="735">
        <v>1.16217172547612E-3</v>
      </c>
      <c r="J810" s="735">
        <v>1.01343405017598E-3</v>
      </c>
      <c r="L810" s="84"/>
      <c r="M810" s="84"/>
      <c r="N810" s="84"/>
      <c r="O810" s="84"/>
      <c r="P810" s="84"/>
      <c r="Q810" s="84"/>
      <c r="R810" s="84"/>
      <c r="S810" s="84"/>
    </row>
    <row r="811" spans="1:19">
      <c r="A811" s="629" t="s">
        <v>492</v>
      </c>
      <c r="B811" s="248">
        <v>3.1108006676508898E-3</v>
      </c>
      <c r="C811" s="248">
        <v>3.1677215082762302E-3</v>
      </c>
      <c r="D811" s="248">
        <v>3.4363874419254801E-3</v>
      </c>
      <c r="E811" s="248">
        <v>2.9223924228361799E-3</v>
      </c>
      <c r="F811" s="248"/>
      <c r="G811" s="248">
        <v>2.4689651760379299E-3</v>
      </c>
      <c r="H811" s="735">
        <v>9.6898231281172201E-4</v>
      </c>
      <c r="I811" s="735">
        <v>1.5020114202591299E-3</v>
      </c>
      <c r="J811" s="735">
        <v>9.4777232262061202E-4</v>
      </c>
      <c r="L811" s="84"/>
      <c r="M811" s="84"/>
      <c r="N811" s="84"/>
      <c r="O811" s="84"/>
      <c r="P811" s="84"/>
      <c r="Q811" s="84"/>
      <c r="R811" s="84"/>
      <c r="S811" s="84"/>
    </row>
    <row r="812" spans="1:19">
      <c r="A812" s="629" t="s">
        <v>491</v>
      </c>
      <c r="B812" s="248">
        <v>2.87440861091389E-3</v>
      </c>
      <c r="C812" s="248">
        <v>2.81336732355271E-3</v>
      </c>
      <c r="D812" s="248">
        <v>2.8051430109493898E-3</v>
      </c>
      <c r="E812" s="248">
        <v>2.8604432259363701E-3</v>
      </c>
      <c r="F812" s="248"/>
      <c r="G812" s="248">
        <v>2.4984449761752199E-3</v>
      </c>
      <c r="H812" s="735">
        <v>9.34011232507908E-4</v>
      </c>
      <c r="I812" s="735">
        <v>1.3717960544971199E-3</v>
      </c>
      <c r="J812" s="735">
        <v>9.1206298879185097E-4</v>
      </c>
      <c r="L812" s="84"/>
      <c r="M812" s="84"/>
      <c r="N812" s="84"/>
      <c r="O812" s="84"/>
      <c r="P812" s="84"/>
      <c r="Q812" s="84"/>
      <c r="R812" s="84"/>
      <c r="S812" s="84"/>
    </row>
    <row r="813" spans="1:19">
      <c r="A813" s="629" t="s">
        <v>490</v>
      </c>
      <c r="B813" s="248">
        <v>3.1673547604909101E-3</v>
      </c>
      <c r="C813" s="248">
        <v>2.7853792101023901E-3</v>
      </c>
      <c r="D813" s="248">
        <v>2.41228031388987E-3</v>
      </c>
      <c r="E813" s="248">
        <v>2.6043343802824499E-3</v>
      </c>
      <c r="F813" s="248"/>
      <c r="G813" s="248">
        <v>2.3211147588274202E-3</v>
      </c>
      <c r="H813" s="735">
        <v>1.02841517141585E-3</v>
      </c>
      <c r="I813" s="735">
        <v>1.2630266824194001E-3</v>
      </c>
      <c r="J813" s="735">
        <v>1.0081100503051099E-3</v>
      </c>
      <c r="L813" s="84"/>
      <c r="M813" s="84"/>
      <c r="N813" s="84"/>
      <c r="O813" s="84"/>
      <c r="P813" s="84"/>
      <c r="Q813" s="84"/>
      <c r="R813" s="84"/>
      <c r="S813" s="84"/>
    </row>
    <row r="814" spans="1:19">
      <c r="A814" s="629" t="s">
        <v>489</v>
      </c>
      <c r="B814" s="248">
        <v>3.0048424122112701E-3</v>
      </c>
      <c r="C814" s="248">
        <v>2.6541048377762798E-3</v>
      </c>
      <c r="D814" s="248">
        <v>2.1375967309581901E-3</v>
      </c>
      <c r="E814" s="248">
        <v>3.0388041146509602E-3</v>
      </c>
      <c r="F814" s="248"/>
      <c r="G814" s="248">
        <v>2.2291734480184302E-3</v>
      </c>
      <c r="H814" s="735">
        <v>1.00870097134504E-3</v>
      </c>
      <c r="I814" s="735">
        <v>1.23620838957962E-3</v>
      </c>
      <c r="J814" s="735">
        <v>9.8380043114595396E-4</v>
      </c>
      <c r="L814" s="84"/>
      <c r="M814" s="84"/>
      <c r="N814" s="84"/>
      <c r="O814" s="84"/>
      <c r="P814" s="84"/>
      <c r="Q814" s="84"/>
      <c r="R814" s="84"/>
      <c r="S814" s="84"/>
    </row>
    <row r="815" spans="1:19">
      <c r="A815" s="629" t="s">
        <v>488</v>
      </c>
      <c r="B815" s="248">
        <v>2.7349326355230498E-3</v>
      </c>
      <c r="C815" s="248">
        <v>3.8107322547557801E-3</v>
      </c>
      <c r="D815" s="248">
        <v>2.6621644344242599E-3</v>
      </c>
      <c r="E815" s="248">
        <v>2.7069878564652899E-3</v>
      </c>
      <c r="F815" s="248"/>
      <c r="G815" s="248">
        <v>2.12014957229362E-3</v>
      </c>
      <c r="H815" s="735">
        <v>9.5181841018844701E-4</v>
      </c>
      <c r="I815" s="735">
        <v>1.2860009968922901E-3</v>
      </c>
      <c r="J815" s="735">
        <v>9.2504759192766804E-4</v>
      </c>
      <c r="L815" s="84"/>
      <c r="M815" s="84"/>
      <c r="N815" s="84"/>
      <c r="O815" s="84"/>
      <c r="P815" s="84"/>
      <c r="Q815" s="84"/>
      <c r="R815" s="84"/>
      <c r="S815" s="84"/>
    </row>
    <row r="816" spans="1:19">
      <c r="A816" s="629" t="s">
        <v>487</v>
      </c>
      <c r="B816" s="248">
        <v>2.6746425045268301E-3</v>
      </c>
      <c r="C816" s="248">
        <v>3.06978281754844E-3</v>
      </c>
      <c r="D816" s="248">
        <v>2.3145876674714101E-3</v>
      </c>
      <c r="E816" s="248">
        <v>3.03221112157519E-3</v>
      </c>
      <c r="F816" s="248"/>
      <c r="G816" s="248">
        <v>1.9797941861981199E-3</v>
      </c>
      <c r="H816" s="735">
        <v>9.2250948306389397E-4</v>
      </c>
      <c r="I816" s="735">
        <v>1.19667325797124E-3</v>
      </c>
      <c r="J816" s="735">
        <v>8.95782501222717E-4</v>
      </c>
      <c r="L816" s="84"/>
      <c r="M816" s="84"/>
      <c r="N816" s="84"/>
      <c r="O816" s="84"/>
      <c r="P816" s="84"/>
      <c r="Q816" s="84"/>
      <c r="R816" s="84"/>
      <c r="S816" s="84"/>
    </row>
    <row r="817" spans="1:19">
      <c r="A817" s="629" t="s">
        <v>486</v>
      </c>
      <c r="B817" s="248">
        <v>2.5049147153489498E-3</v>
      </c>
      <c r="C817" s="248">
        <v>2.7461520768330598E-3</v>
      </c>
      <c r="D817" s="248">
        <v>3.10295075252907E-3</v>
      </c>
      <c r="E817" s="248">
        <v>2.7002281638929299E-3</v>
      </c>
      <c r="F817" s="248"/>
      <c r="G817" s="248">
        <v>1.9225243130296099E-3</v>
      </c>
      <c r="H817" s="735">
        <v>9.9119373505645301E-4</v>
      </c>
      <c r="I817" s="735">
        <v>1.2732292153869399E-3</v>
      </c>
      <c r="J817" s="735">
        <v>9.6632184768752902E-4</v>
      </c>
      <c r="L817" s="84"/>
      <c r="M817" s="84"/>
      <c r="N817" s="84"/>
      <c r="O817" s="84"/>
      <c r="P817" s="84"/>
      <c r="Q817" s="84"/>
      <c r="R817" s="84"/>
      <c r="S817" s="84"/>
    </row>
    <row r="818" spans="1:19">
      <c r="A818" s="629" t="s">
        <v>485</v>
      </c>
      <c r="B818" s="248">
        <v>2.30148425901837E-3</v>
      </c>
      <c r="C818" s="248">
        <v>2.8569830038482299E-3</v>
      </c>
      <c r="D818" s="248">
        <v>2.5299526108475798E-3</v>
      </c>
      <c r="E818" s="248">
        <v>2.45454916530417E-3</v>
      </c>
      <c r="F818" s="248"/>
      <c r="G818" s="248">
        <v>1.7964837186307801E-3</v>
      </c>
      <c r="H818" s="735">
        <v>9.6385140232040404E-4</v>
      </c>
      <c r="I818" s="735">
        <v>1.1736813636058199E-3</v>
      </c>
      <c r="J818" s="735">
        <v>9.3896455018630703E-4</v>
      </c>
      <c r="L818" s="84"/>
      <c r="M818" s="84"/>
      <c r="N818" s="84"/>
      <c r="O818" s="84"/>
      <c r="P818" s="84"/>
      <c r="Q818" s="84"/>
      <c r="R818" s="84"/>
      <c r="S818" s="84"/>
    </row>
    <row r="819" spans="1:19">
      <c r="A819" s="629" t="s">
        <v>484</v>
      </c>
      <c r="B819" s="248">
        <v>2.1330920208633701E-3</v>
      </c>
      <c r="C819" s="248">
        <v>3.6280978898352899E-3</v>
      </c>
      <c r="D819" s="248">
        <v>2.1923733994234701E-3</v>
      </c>
      <c r="E819" s="248">
        <v>2.28358528343077E-3</v>
      </c>
      <c r="F819" s="248"/>
      <c r="G819" s="248">
        <v>1.7888922801319899E-3</v>
      </c>
      <c r="H819" s="735">
        <v>9.3048998556201704E-4</v>
      </c>
      <c r="I819" s="735">
        <v>1.08676489497849E-3</v>
      </c>
      <c r="J819" s="735">
        <v>9.0335697505151199E-4</v>
      </c>
      <c r="L819" s="84"/>
      <c r="M819" s="84"/>
      <c r="N819" s="84"/>
      <c r="O819" s="84"/>
      <c r="P819" s="84"/>
      <c r="Q819" s="84"/>
      <c r="R819" s="84"/>
      <c r="S819" s="84"/>
    </row>
    <row r="820" spans="1:19">
      <c r="A820" s="629" t="s">
        <v>483</v>
      </c>
      <c r="B820" s="248">
        <v>3.4589310561500201E-3</v>
      </c>
      <c r="C820" s="248">
        <v>4.0929814680927702E-3</v>
      </c>
      <c r="D820" s="248">
        <v>3.8523323832960702E-3</v>
      </c>
      <c r="E820" s="248">
        <v>2.3286887014481398E-3</v>
      </c>
      <c r="F820" s="248"/>
      <c r="G820" s="248">
        <v>1.68447586521367E-3</v>
      </c>
      <c r="H820" s="735">
        <v>9.2307447963233295E-4</v>
      </c>
      <c r="I820" s="735">
        <v>1.36785547603531E-3</v>
      </c>
      <c r="J820" s="735">
        <v>8.96103026726787E-4</v>
      </c>
      <c r="L820" s="84"/>
      <c r="M820" s="84"/>
      <c r="N820" s="84"/>
      <c r="O820" s="84"/>
      <c r="P820" s="84"/>
      <c r="Q820" s="84"/>
      <c r="R820" s="84"/>
      <c r="S820" s="84"/>
    </row>
    <row r="821" spans="1:19">
      <c r="A821" s="629" t="s">
        <v>482</v>
      </c>
      <c r="B821" s="248">
        <v>3.1201834014056898E-3</v>
      </c>
      <c r="C821" s="248">
        <v>3.1406661613502399E-3</v>
      </c>
      <c r="D821" s="248">
        <v>3.1194945762818001E-3</v>
      </c>
      <c r="E821" s="248">
        <v>2.2479015076748501E-3</v>
      </c>
      <c r="F821" s="248"/>
      <c r="G821" s="248">
        <v>1.57887508277823E-3</v>
      </c>
      <c r="H821" s="735">
        <v>8.78833152699341E-4</v>
      </c>
      <c r="I821" s="735">
        <v>1.26543746097144E-3</v>
      </c>
      <c r="J821" s="735">
        <v>8.5076594601501401E-4</v>
      </c>
      <c r="L821" s="84"/>
      <c r="M821" s="84"/>
      <c r="N821" s="84"/>
      <c r="O821" s="84"/>
      <c r="P821" s="84"/>
      <c r="Q821" s="84"/>
      <c r="R821" s="84"/>
      <c r="S821" s="84"/>
    </row>
    <row r="822" spans="1:19">
      <c r="A822" s="629" t="s">
        <v>481</v>
      </c>
      <c r="B822" s="248">
        <v>3.0472847668340701E-3</v>
      </c>
      <c r="C822" s="248">
        <v>2.7676589679954899E-3</v>
      </c>
      <c r="D822" s="248">
        <v>2.6883116514896401E-3</v>
      </c>
      <c r="E822" s="248">
        <v>2.4455783964221398E-3</v>
      </c>
      <c r="F822" s="248"/>
      <c r="G822" s="248">
        <v>1.5988396265987301E-3</v>
      </c>
      <c r="H822" s="735">
        <v>9.2398548076606704E-4</v>
      </c>
      <c r="I822" s="735">
        <v>1.15663558333659E-3</v>
      </c>
      <c r="J822" s="735">
        <v>8.9612402949942503E-4</v>
      </c>
      <c r="L822" s="84"/>
      <c r="M822" s="84"/>
      <c r="N822" s="84"/>
      <c r="O822" s="84"/>
      <c r="P822" s="84"/>
      <c r="Q822" s="84"/>
      <c r="R822" s="84"/>
      <c r="S822" s="84"/>
    </row>
    <row r="823" spans="1:19">
      <c r="A823" s="629" t="s">
        <v>480</v>
      </c>
      <c r="B823" s="248">
        <v>2.7706906241295598E-3</v>
      </c>
      <c r="C823" s="248">
        <v>2.8144945829831898E-3</v>
      </c>
      <c r="D823" s="248">
        <v>3.57895963258777E-3</v>
      </c>
      <c r="E823" s="248">
        <v>2.2553752062957001E-3</v>
      </c>
      <c r="F823" s="248"/>
      <c r="G823" s="248">
        <v>1.73078026243956E-3</v>
      </c>
      <c r="H823" s="735">
        <v>1.03494494579958E-3</v>
      </c>
      <c r="I823" s="735">
        <v>1.51144225202211E-3</v>
      </c>
      <c r="J823" s="735">
        <v>1.0145910737915499E-3</v>
      </c>
      <c r="L823" s="84"/>
      <c r="M823" s="84"/>
      <c r="N823" s="84"/>
      <c r="O823" s="84"/>
      <c r="P823" s="84"/>
      <c r="Q823" s="84"/>
      <c r="R823" s="84"/>
      <c r="S823" s="84"/>
    </row>
    <row r="824" spans="1:19">
      <c r="A824" s="629" t="s">
        <v>479</v>
      </c>
      <c r="B824" s="248">
        <v>3.6664993075358199E-3</v>
      </c>
      <c r="C824" s="248">
        <v>3.1935502253976301E-3</v>
      </c>
      <c r="D824" s="248">
        <v>2.7596972441677899E-3</v>
      </c>
      <c r="E824" s="248">
        <v>2.5998868523731001E-3</v>
      </c>
      <c r="F824" s="248"/>
      <c r="G824" s="248">
        <v>1.9694712596932699E-3</v>
      </c>
      <c r="H824" s="735">
        <v>1.3279884220406899E-3</v>
      </c>
      <c r="I824" s="735">
        <v>1.5664724042494501E-3</v>
      </c>
      <c r="J824" s="735">
        <v>1.30728876760558E-3</v>
      </c>
      <c r="L824" s="84"/>
      <c r="M824" s="84"/>
      <c r="N824" s="84"/>
      <c r="O824" s="84"/>
      <c r="P824" s="84"/>
      <c r="Q824" s="84"/>
      <c r="R824" s="84"/>
      <c r="S824" s="84"/>
    </row>
    <row r="825" spans="1:19">
      <c r="A825" s="629" t="s">
        <v>478</v>
      </c>
      <c r="B825" s="248">
        <v>3.6775274530116398E-3</v>
      </c>
      <c r="C825" s="248">
        <v>2.7890807733506602E-3</v>
      </c>
      <c r="D825" s="248">
        <v>3.1423323159456701E-3</v>
      </c>
      <c r="E825" s="248">
        <v>2.3487467921546098E-3</v>
      </c>
      <c r="F825" s="248"/>
      <c r="G825" s="248">
        <v>2.3320259285610702E-3</v>
      </c>
      <c r="H825" s="735">
        <v>1.2108349782199599E-3</v>
      </c>
      <c r="I825" s="735">
        <v>1.44443217538773E-3</v>
      </c>
      <c r="J825" s="735">
        <v>1.1890076311329499E-3</v>
      </c>
      <c r="L825" s="84"/>
      <c r="M825" s="84"/>
      <c r="N825" s="84"/>
      <c r="O825" s="84"/>
      <c r="P825" s="84"/>
      <c r="Q825" s="84"/>
      <c r="R825" s="84"/>
      <c r="S825" s="84"/>
    </row>
    <row r="826" spans="1:19">
      <c r="A826" s="629" t="s">
        <v>477</v>
      </c>
      <c r="B826" s="248">
        <v>3.4544176714404501E-3</v>
      </c>
      <c r="C826" s="248">
        <v>3.0234901451204302E-3</v>
      </c>
      <c r="D826" s="248">
        <v>2.9647086583435198E-3</v>
      </c>
      <c r="E826" s="248">
        <v>3.1794321111462301E-3</v>
      </c>
      <c r="F826" s="248"/>
      <c r="G826" s="248">
        <v>2.7355011538201402E-3</v>
      </c>
      <c r="H826" s="735">
        <v>1.1183741521706501E-3</v>
      </c>
      <c r="I826" s="735">
        <v>1.45150959361106E-3</v>
      </c>
      <c r="J826" s="735">
        <v>1.0954670726717401E-3</v>
      </c>
      <c r="L826" s="84"/>
      <c r="M826" s="84"/>
      <c r="N826" s="84"/>
      <c r="O826" s="84"/>
      <c r="P826" s="84"/>
      <c r="Q826" s="84"/>
      <c r="R826" s="84"/>
      <c r="S826" s="84"/>
    </row>
    <row r="827" spans="1:19">
      <c r="A827" s="629" t="s">
        <v>476</v>
      </c>
      <c r="B827" s="248">
        <v>3.1583923855707601E-3</v>
      </c>
      <c r="C827" s="248">
        <v>4.1181782398650897E-3</v>
      </c>
      <c r="D827" s="248">
        <v>3.2433762675234301E-3</v>
      </c>
      <c r="E827" s="248">
        <v>3.03295693345356E-3</v>
      </c>
      <c r="F827" s="248"/>
      <c r="G827" s="248">
        <v>2.5237315018292799E-3</v>
      </c>
      <c r="H827" s="735">
        <v>1.19012964373117E-3</v>
      </c>
      <c r="I827" s="735">
        <v>1.3241095404287299E-3</v>
      </c>
      <c r="J827" s="735">
        <v>1.16955655620595E-3</v>
      </c>
      <c r="L827" s="84"/>
      <c r="M827" s="84"/>
      <c r="N827" s="84"/>
      <c r="O827" s="84"/>
      <c r="P827" s="84"/>
      <c r="Q827" s="84"/>
      <c r="R827" s="84"/>
      <c r="S827" s="84"/>
    </row>
    <row r="828" spans="1:19">
      <c r="A828" s="629" t="s">
        <v>475</v>
      </c>
      <c r="B828" s="248">
        <v>3.0883645184566501E-3</v>
      </c>
      <c r="C828" s="248">
        <v>3.1531095931952601E-3</v>
      </c>
      <c r="D828" s="248">
        <v>2.5679378990642499E-3</v>
      </c>
      <c r="E828" s="248">
        <v>2.6903486001698799E-3</v>
      </c>
      <c r="F828" s="248"/>
      <c r="G828" s="248">
        <v>2.33781328055517E-3</v>
      </c>
      <c r="H828" s="735">
        <v>1.1679643592697501E-3</v>
      </c>
      <c r="I828" s="735">
        <v>1.2724108346580301E-3</v>
      </c>
      <c r="J828" s="735">
        <v>1.14454875788301E-3</v>
      </c>
      <c r="L828" s="84"/>
      <c r="M828" s="84"/>
      <c r="N828" s="84"/>
      <c r="O828" s="84"/>
      <c r="P828" s="84"/>
      <c r="Q828" s="84"/>
      <c r="R828" s="84"/>
      <c r="S828" s="84"/>
    </row>
    <row r="829" spans="1:19">
      <c r="A829" s="629" t="s">
        <v>474</v>
      </c>
      <c r="B829" s="248">
        <v>2.99346823273368E-3</v>
      </c>
      <c r="C829" s="248">
        <v>2.7844319152743801E-3</v>
      </c>
      <c r="D829" s="248">
        <v>2.36841705752596E-3</v>
      </c>
      <c r="E829" s="248">
        <v>2.4448832996174798E-3</v>
      </c>
      <c r="F829" s="248"/>
      <c r="G829" s="248">
        <v>2.2001838611036199E-3</v>
      </c>
      <c r="H829" s="735">
        <v>1.19952773193071E-3</v>
      </c>
      <c r="I829" s="735">
        <v>1.1774646585988801E-3</v>
      </c>
      <c r="J829" s="735">
        <v>1.1788320312717899E-3</v>
      </c>
      <c r="L829" s="84"/>
      <c r="M829" s="84"/>
      <c r="N829" s="84"/>
      <c r="O829" s="84"/>
      <c r="P829" s="84"/>
      <c r="Q829" s="84"/>
      <c r="R829" s="84"/>
      <c r="S829" s="84"/>
    </row>
    <row r="830" spans="1:19">
      <c r="A830" s="629" t="s">
        <v>473</v>
      </c>
      <c r="B830" s="248">
        <v>2.8183006306582801E-3</v>
      </c>
      <c r="C830" s="248">
        <v>3.19230150842444E-3</v>
      </c>
      <c r="D830" s="248">
        <v>3.3379804493945801E-3</v>
      </c>
      <c r="E830" s="248">
        <v>2.4176454740072501E-3</v>
      </c>
      <c r="F830" s="248"/>
      <c r="G830" s="248">
        <v>2.3343322266859701E-3</v>
      </c>
      <c r="H830" s="735">
        <v>1.2536887301884E-3</v>
      </c>
      <c r="I830" s="735">
        <v>1.2069667272171401E-3</v>
      </c>
      <c r="J830" s="735">
        <v>1.2375232670163701E-3</v>
      </c>
      <c r="L830" s="84"/>
      <c r="M830" s="84"/>
      <c r="N830" s="84"/>
      <c r="O830" s="84"/>
      <c r="P830" s="84"/>
      <c r="Q830" s="84"/>
      <c r="R830" s="84"/>
      <c r="S830" s="84"/>
    </row>
    <row r="831" spans="1:19">
      <c r="A831" s="629" t="s">
        <v>472</v>
      </c>
      <c r="B831" s="248">
        <v>3.4084253363236999E-3</v>
      </c>
      <c r="C831" s="248">
        <v>2.84373702722992E-3</v>
      </c>
      <c r="D831" s="248">
        <v>2.7747474128506501E-3</v>
      </c>
      <c r="E831" s="248">
        <v>2.6332798129723701E-3</v>
      </c>
      <c r="F831" s="248"/>
      <c r="G831" s="248">
        <v>2.2004525576409498E-3</v>
      </c>
      <c r="H831" s="735">
        <v>1.16867211833728E-3</v>
      </c>
      <c r="I831" s="735">
        <v>1.10562115792246E-3</v>
      </c>
      <c r="J831" s="735">
        <v>1.15029872000438E-3</v>
      </c>
      <c r="L831" s="84"/>
      <c r="M831" s="84"/>
      <c r="N831" s="84"/>
      <c r="O831" s="84"/>
      <c r="P831" s="84"/>
      <c r="Q831" s="84"/>
      <c r="R831" s="84"/>
      <c r="S831" s="84"/>
    </row>
    <row r="832" spans="1:19">
      <c r="A832" s="629" t="s">
        <v>471</v>
      </c>
      <c r="B832" s="248">
        <v>3.45825118877289E-3</v>
      </c>
      <c r="C832" s="248">
        <v>2.98562538704474E-3</v>
      </c>
      <c r="D832" s="248">
        <v>2.8811244173508402E-3</v>
      </c>
      <c r="E832" s="248">
        <v>2.70755849447366E-3</v>
      </c>
      <c r="F832" s="248"/>
      <c r="G832" s="248">
        <v>2.0466757634667902E-3</v>
      </c>
      <c r="H832" s="735">
        <v>1.3629504107972501E-3</v>
      </c>
      <c r="I832" s="735">
        <v>1.07797448729991E-3</v>
      </c>
      <c r="J832" s="735">
        <v>1.3518934646177499E-3</v>
      </c>
      <c r="L832" s="84"/>
      <c r="M832" s="84"/>
      <c r="N832" s="84"/>
      <c r="O832" s="84"/>
      <c r="P832" s="84"/>
      <c r="Q832" s="84"/>
      <c r="R832" s="84"/>
      <c r="S832" s="84"/>
    </row>
    <row r="833" spans="1:19">
      <c r="A833" s="629" t="s">
        <v>470</v>
      </c>
      <c r="B833" s="248">
        <v>3.2510775203197198E-3</v>
      </c>
      <c r="C833" s="248">
        <v>2.7172527967906199E-3</v>
      </c>
      <c r="D833" s="248">
        <v>2.3942744048299999E-3</v>
      </c>
      <c r="E833" s="248">
        <v>2.4615992758883101E-3</v>
      </c>
      <c r="F833" s="248"/>
      <c r="G833" s="248">
        <v>2.0659128041756098E-3</v>
      </c>
      <c r="H833" s="735">
        <v>1.2401068369097901E-3</v>
      </c>
      <c r="I833" s="735">
        <v>9.9462284843221892E-4</v>
      </c>
      <c r="J833" s="735">
        <v>1.22641545017616E-3</v>
      </c>
      <c r="L833" s="84"/>
      <c r="M833" s="84"/>
      <c r="N833" s="84"/>
      <c r="O833" s="84"/>
      <c r="P833" s="84"/>
      <c r="Q833" s="84"/>
      <c r="R833" s="84"/>
      <c r="S833" s="84"/>
    </row>
    <row r="834" spans="1:19">
      <c r="A834" s="629" t="s">
        <v>469</v>
      </c>
      <c r="B834" s="248">
        <v>3.2081971207356002E-3</v>
      </c>
      <c r="C834" s="248">
        <v>2.72434015712331E-3</v>
      </c>
      <c r="D834" s="248">
        <v>2.4138186349603702E-3</v>
      </c>
      <c r="E834" s="248">
        <v>2.3806498829729598E-3</v>
      </c>
      <c r="F834" s="248"/>
      <c r="G834" s="248">
        <v>1.9925199289834599E-3</v>
      </c>
      <c r="H834" s="735">
        <v>1.1674056777024001E-3</v>
      </c>
      <c r="I834" s="735">
        <v>1.4340295160290401E-3</v>
      </c>
      <c r="J834" s="735">
        <v>1.15301896100412E-3</v>
      </c>
      <c r="L834" s="84"/>
      <c r="M834" s="84"/>
      <c r="N834" s="84"/>
      <c r="O834" s="84"/>
      <c r="P834" s="84"/>
      <c r="Q834" s="84"/>
      <c r="R834" s="84"/>
      <c r="S834" s="84"/>
    </row>
    <row r="835" spans="1:19">
      <c r="A835" s="629" t="s">
        <v>468</v>
      </c>
      <c r="B835" s="248">
        <v>4.0982005293829704E-3</v>
      </c>
      <c r="C835" s="248">
        <v>2.7065335981682E-3</v>
      </c>
      <c r="D835" s="248">
        <v>2.4169603015904398E-3</v>
      </c>
      <c r="E835" s="248">
        <v>2.1973490409251499E-3</v>
      </c>
      <c r="F835" s="248"/>
      <c r="G835" s="248">
        <v>1.8556053614071199E-3</v>
      </c>
      <c r="H835" s="735">
        <v>1.18971205974827E-3</v>
      </c>
      <c r="I835" s="735">
        <v>1.3160714586950601E-3</v>
      </c>
      <c r="J835" s="735">
        <v>1.16960335977428E-3</v>
      </c>
      <c r="L835" s="84"/>
      <c r="M835" s="84"/>
      <c r="N835" s="84"/>
      <c r="O835" s="84"/>
      <c r="P835" s="84"/>
      <c r="Q835" s="84"/>
      <c r="R835" s="84"/>
      <c r="S835" s="84"/>
    </row>
    <row r="836" spans="1:19">
      <c r="A836" s="629" t="s">
        <v>467</v>
      </c>
      <c r="B836" s="248">
        <v>3.67135727815758E-3</v>
      </c>
      <c r="C836" s="248">
        <v>2.8420396631818399E-3</v>
      </c>
      <c r="D836" s="248">
        <v>2.33188700467275E-3</v>
      </c>
      <c r="E836" s="248">
        <v>2.0980183851827599E-3</v>
      </c>
      <c r="F836" s="248"/>
      <c r="G836" s="248">
        <v>1.73278546488344E-3</v>
      </c>
      <c r="H836" s="735">
        <v>1.1457440137628699E-3</v>
      </c>
      <c r="I836" s="735">
        <v>1.22484045315856E-3</v>
      </c>
      <c r="J836" s="735">
        <v>1.1249780562340901E-3</v>
      </c>
      <c r="L836" s="84"/>
      <c r="M836" s="84"/>
      <c r="N836" s="84"/>
      <c r="O836" s="84"/>
      <c r="P836" s="84"/>
      <c r="Q836" s="84"/>
      <c r="R836" s="84"/>
      <c r="S836" s="84"/>
    </row>
    <row r="837" spans="1:19">
      <c r="A837" s="629" t="s">
        <v>466</v>
      </c>
      <c r="B837" s="248">
        <v>3.3013030541333998E-3</v>
      </c>
      <c r="C837" s="248">
        <v>2.64931125163135E-3</v>
      </c>
      <c r="D837" s="248">
        <v>2.6604696604450701E-3</v>
      </c>
      <c r="E837" s="248">
        <v>1.9550309583820898E-3</v>
      </c>
      <c r="F837" s="248"/>
      <c r="G837" s="248">
        <v>1.7679980024013901E-3</v>
      </c>
      <c r="H837" s="735">
        <v>1.11082295263817E-3</v>
      </c>
      <c r="I837" s="735">
        <v>1.20393513055353E-3</v>
      </c>
      <c r="J837" s="735">
        <v>1.0866810873152899E-3</v>
      </c>
      <c r="L837" s="84"/>
      <c r="M837" s="84"/>
      <c r="N837" s="84"/>
      <c r="O837" s="84"/>
      <c r="P837" s="84"/>
      <c r="Q837" s="84"/>
      <c r="R837" s="84"/>
      <c r="S837" s="84"/>
    </row>
    <row r="838" spans="1:19">
      <c r="A838" s="629" t="s">
        <v>465</v>
      </c>
      <c r="B838" s="248">
        <v>3.0469558467965999E-3</v>
      </c>
      <c r="C838" s="248">
        <v>2.5737550586627002E-3</v>
      </c>
      <c r="D838" s="248">
        <v>3.5325679201745602E-3</v>
      </c>
      <c r="E838" s="248">
        <v>2.1716631080002501E-3</v>
      </c>
      <c r="F838" s="248"/>
      <c r="G838" s="248">
        <v>1.6579976673432801E-3</v>
      </c>
      <c r="H838" s="735">
        <v>1.14532327373897E-3</v>
      </c>
      <c r="I838" s="735">
        <v>1.1606319074165101E-3</v>
      </c>
      <c r="J838" s="735">
        <v>1.125836515214E-3</v>
      </c>
      <c r="L838" s="84"/>
      <c r="M838" s="84"/>
      <c r="N838" s="84"/>
      <c r="O838" s="84"/>
      <c r="P838" s="84"/>
      <c r="Q838" s="84"/>
      <c r="R838" s="84"/>
      <c r="S838" s="84"/>
    </row>
    <row r="839" spans="1:19">
      <c r="A839" s="629" t="s">
        <v>464</v>
      </c>
      <c r="B839" s="248">
        <v>2.9257518666791198E-3</v>
      </c>
      <c r="C839" s="248">
        <v>2.6520793796940001E-3</v>
      </c>
      <c r="D839" s="248">
        <v>2.8875345719221799E-3</v>
      </c>
      <c r="E839" s="248">
        <v>2.2743418361206701E-3</v>
      </c>
      <c r="F839" s="248"/>
      <c r="G839" s="248">
        <v>1.7824552954008499E-3</v>
      </c>
      <c r="H839" s="735">
        <v>1.0871581123488201E-3</v>
      </c>
      <c r="I839" s="735">
        <v>1.0664255527296899E-3</v>
      </c>
      <c r="J839" s="735">
        <v>1.0651225892409999E-3</v>
      </c>
      <c r="L839" s="84"/>
      <c r="M839" s="84"/>
      <c r="N839" s="84"/>
      <c r="O839" s="84"/>
      <c r="P839" s="84"/>
      <c r="Q839" s="84"/>
      <c r="R839" s="84"/>
      <c r="S839" s="84"/>
    </row>
    <row r="840" spans="1:19">
      <c r="A840" s="629" t="s">
        <v>463</v>
      </c>
      <c r="B840" s="248">
        <v>2.72139382589444E-3</v>
      </c>
      <c r="C840" s="248">
        <v>2.6287150749967399E-3</v>
      </c>
      <c r="D840" s="248">
        <v>2.7541833157085399E-3</v>
      </c>
      <c r="E840" s="248">
        <v>2.1121862901784601E-3</v>
      </c>
      <c r="F840" s="248"/>
      <c r="G840" s="248">
        <v>1.67789323076907E-3</v>
      </c>
      <c r="H840" s="735">
        <v>1.08907140248749E-3</v>
      </c>
      <c r="I840" s="735">
        <v>1.0158776143986299E-3</v>
      </c>
      <c r="J840" s="735">
        <v>1.0652802624817399E-3</v>
      </c>
      <c r="L840" s="84"/>
      <c r="M840" s="84"/>
      <c r="N840" s="84"/>
      <c r="O840" s="84"/>
      <c r="P840" s="84"/>
      <c r="Q840" s="84"/>
      <c r="R840" s="84"/>
      <c r="S840" s="84"/>
    </row>
    <row r="841" spans="1:19">
      <c r="A841" s="629" t="s">
        <v>462</v>
      </c>
      <c r="B841" s="248">
        <v>2.4879213567894302E-3</v>
      </c>
      <c r="C841" s="248">
        <v>2.5655597277373498E-3</v>
      </c>
      <c r="D841" s="248">
        <v>2.32786143146931E-3</v>
      </c>
      <c r="E841" s="248">
        <v>2.0387795780224399E-3</v>
      </c>
      <c r="F841" s="248"/>
      <c r="G841" s="248">
        <v>1.5881653809475501E-3</v>
      </c>
      <c r="H841" s="735">
        <v>1.0184123998632499E-3</v>
      </c>
      <c r="I841" s="735">
        <v>9.5478290414328297E-4</v>
      </c>
      <c r="J841" s="735">
        <v>9.9383511392247409E-4</v>
      </c>
      <c r="L841" s="84"/>
      <c r="M841" s="84"/>
      <c r="N841" s="84"/>
      <c r="O841" s="84"/>
      <c r="P841" s="84"/>
      <c r="Q841" s="84"/>
      <c r="R841" s="84"/>
      <c r="S841" s="84"/>
    </row>
    <row r="842" spans="1:19">
      <c r="A842" s="629" t="s">
        <v>461</v>
      </c>
      <c r="B842" s="248">
        <v>2.4156203408808E-3</v>
      </c>
      <c r="C842" s="248">
        <v>4.0523893619024602E-3</v>
      </c>
      <c r="D842" s="248">
        <v>3.2258986239376499E-3</v>
      </c>
      <c r="E842" s="248">
        <v>1.9138713017646501E-3</v>
      </c>
      <c r="F842" s="248"/>
      <c r="G842" s="248">
        <v>1.69650178181564E-3</v>
      </c>
      <c r="H842" s="735">
        <v>1.10222921756722E-3</v>
      </c>
      <c r="I842" s="735">
        <v>1.2230023901691699E-3</v>
      </c>
      <c r="J842" s="735">
        <v>1.07358692652611E-3</v>
      </c>
      <c r="L842" s="84"/>
      <c r="M842" s="84"/>
      <c r="N842" s="84"/>
      <c r="O842" s="84"/>
      <c r="P842" s="84"/>
      <c r="Q842" s="84"/>
      <c r="R842" s="84"/>
      <c r="S842" s="84"/>
    </row>
    <row r="843" spans="1:19">
      <c r="A843" s="629" t="s">
        <v>460</v>
      </c>
      <c r="B843" s="248">
        <v>2.6256479069228901E-3</v>
      </c>
      <c r="C843" s="248">
        <v>3.63085077217014E-3</v>
      </c>
      <c r="D843" s="248">
        <v>3.3851015157955102E-3</v>
      </c>
      <c r="E843" s="248">
        <v>1.9878951467393801E-3</v>
      </c>
      <c r="F843" s="248"/>
      <c r="G843" s="248">
        <v>1.6232841267768E-3</v>
      </c>
      <c r="H843" s="735">
        <v>1.04462905516799E-3</v>
      </c>
      <c r="I843" s="735">
        <v>1.1461339319291199E-3</v>
      </c>
      <c r="J843" s="735">
        <v>1.01538602202422E-3</v>
      </c>
      <c r="L843" s="84"/>
      <c r="M843" s="84"/>
      <c r="N843" s="84"/>
      <c r="O843" s="84"/>
      <c r="P843" s="84"/>
      <c r="Q843" s="84"/>
      <c r="R843" s="84"/>
      <c r="S843" s="84"/>
    </row>
    <row r="844" spans="1:19">
      <c r="A844" s="629" t="s">
        <v>459</v>
      </c>
      <c r="B844" s="248">
        <v>4.3638503868609398E-3</v>
      </c>
      <c r="C844" s="248">
        <v>5.2333782517813001E-3</v>
      </c>
      <c r="D844" s="248">
        <v>2.6444079028520701E-3</v>
      </c>
      <c r="E844" s="248">
        <v>2.0518042283140699E-3</v>
      </c>
      <c r="F844" s="248"/>
      <c r="G844" s="248">
        <v>1.6081273146516699E-3</v>
      </c>
      <c r="H844" s="735">
        <v>1.14293043708126E-3</v>
      </c>
      <c r="I844" s="735">
        <v>1.05598513193258E-3</v>
      </c>
      <c r="J844" s="735">
        <v>1.11195672708439E-3</v>
      </c>
      <c r="L844" s="84"/>
      <c r="M844" s="84"/>
      <c r="N844" s="84"/>
      <c r="O844" s="84"/>
      <c r="P844" s="84"/>
      <c r="Q844" s="84"/>
      <c r="R844" s="84"/>
      <c r="S844" s="84"/>
    </row>
    <row r="845" spans="1:19">
      <c r="A845" s="629" t="s">
        <v>458</v>
      </c>
      <c r="B845" s="248">
        <v>4.6774478361946703E-3</v>
      </c>
      <c r="C845" s="248">
        <v>4.9238049232236099E-3</v>
      </c>
      <c r="D845" s="248">
        <v>2.4927879246945599E-3</v>
      </c>
      <c r="E845" s="248">
        <v>1.9804316354884999E-3</v>
      </c>
      <c r="F845" s="248"/>
      <c r="G845" s="248">
        <v>1.52784058645813E-3</v>
      </c>
      <c r="H845" s="735">
        <v>1.0707213842047201E-3</v>
      </c>
      <c r="I845" s="735">
        <v>1.4028905962444301E-3</v>
      </c>
      <c r="J845" s="735">
        <v>1.03913485668389E-3</v>
      </c>
      <c r="L845" s="84"/>
      <c r="M845" s="84"/>
      <c r="N845" s="84"/>
      <c r="O845" s="84"/>
      <c r="P845" s="84"/>
      <c r="Q845" s="84"/>
      <c r="R845" s="84"/>
      <c r="S845" s="84"/>
    </row>
    <row r="846" spans="1:19">
      <c r="A846" s="629" t="s">
        <v>457</v>
      </c>
      <c r="B846" s="248">
        <v>5.03928574144387E-3</v>
      </c>
      <c r="C846" s="248">
        <v>5.9732883326741402E-3</v>
      </c>
      <c r="D846" s="248">
        <v>2.1706330458935701E-3</v>
      </c>
      <c r="E846" s="248">
        <v>1.8800527676722501E-3</v>
      </c>
      <c r="F846" s="248"/>
      <c r="G846" s="248">
        <v>1.6376465968099801E-3</v>
      </c>
      <c r="H846" s="735">
        <v>1.0843914190069501E-3</v>
      </c>
      <c r="I846" s="735">
        <v>1.2788438402654501E-3</v>
      </c>
      <c r="J846" s="735">
        <v>1.05475625361599E-3</v>
      </c>
      <c r="L846" s="84"/>
      <c r="M846" s="84"/>
      <c r="N846" s="84"/>
      <c r="O846" s="84"/>
      <c r="P846" s="84"/>
      <c r="Q846" s="84"/>
      <c r="R846" s="84"/>
      <c r="S846" s="84"/>
    </row>
    <row r="847" spans="1:19">
      <c r="A847" s="629" t="s">
        <v>456</v>
      </c>
      <c r="B847" s="248">
        <v>4.8474001659647202E-3</v>
      </c>
      <c r="C847" s="248">
        <v>4.3476701091321804E-3</v>
      </c>
      <c r="D847" s="248">
        <v>2.0961059853395101E-3</v>
      </c>
      <c r="E847" s="248">
        <v>1.8087698578065799E-3</v>
      </c>
      <c r="F847" s="248"/>
      <c r="G847" s="248">
        <v>1.9707681847764302E-3</v>
      </c>
      <c r="H847" s="735">
        <v>1.0096071411347799E-3</v>
      </c>
      <c r="I847" s="735">
        <v>1.41163418353442E-3</v>
      </c>
      <c r="J847" s="735">
        <v>9.79564615996614E-4</v>
      </c>
      <c r="L847" s="84"/>
      <c r="M847" s="84"/>
      <c r="N847" s="84"/>
      <c r="O847" s="84"/>
      <c r="P847" s="84"/>
      <c r="Q847" s="84"/>
      <c r="R847" s="84"/>
      <c r="S847" s="84"/>
    </row>
    <row r="848" spans="1:19">
      <c r="A848" s="629" t="s">
        <v>455</v>
      </c>
      <c r="B848" s="248">
        <v>4.3137360722741696E-3</v>
      </c>
      <c r="C848" s="248">
        <v>3.2611538116327902E-3</v>
      </c>
      <c r="D848" s="248">
        <v>2.10442549994856E-3</v>
      </c>
      <c r="E848" s="248">
        <v>1.9833685152428802E-3</v>
      </c>
      <c r="F848" s="248"/>
      <c r="G848" s="248">
        <v>2.6238748032377502E-3</v>
      </c>
      <c r="H848" s="735">
        <v>9.4809858870374805E-4</v>
      </c>
      <c r="I848" s="735">
        <v>1.37374355935766E-3</v>
      </c>
      <c r="J848" s="735">
        <v>9.1753943178445204E-4</v>
      </c>
      <c r="L848" s="84"/>
      <c r="M848" s="84"/>
      <c r="N848" s="84"/>
      <c r="O848" s="84"/>
      <c r="P848" s="84"/>
      <c r="Q848" s="84"/>
      <c r="R848" s="84"/>
      <c r="S848" s="84"/>
    </row>
    <row r="849" spans="1:19">
      <c r="A849" s="629" t="s">
        <v>454</v>
      </c>
      <c r="B849" s="248">
        <v>4.2304996226321398E-3</v>
      </c>
      <c r="C849" s="248">
        <v>3.01258886774537E-3</v>
      </c>
      <c r="D849" s="248">
        <v>2.3482962411795201E-3</v>
      </c>
      <c r="E849" s="248">
        <v>1.9655062737929099E-3</v>
      </c>
      <c r="F849" s="248"/>
      <c r="G849" s="248">
        <v>2.4772616937687201E-3</v>
      </c>
      <c r="H849" s="735">
        <v>9.0186943828420105E-4</v>
      </c>
      <c r="I849" s="735">
        <v>1.2515816973736301E-3</v>
      </c>
      <c r="J849" s="735">
        <v>8.7088856024133705E-4</v>
      </c>
      <c r="L849" s="84"/>
      <c r="M849" s="84"/>
      <c r="N849" s="84"/>
      <c r="O849" s="84"/>
      <c r="P849" s="84"/>
      <c r="Q849" s="84"/>
      <c r="R849" s="84"/>
      <c r="S849" s="84"/>
    </row>
    <row r="850" spans="1:19">
      <c r="A850" s="629" t="s">
        <v>453</v>
      </c>
      <c r="B850" s="248">
        <v>3.8808940601293002E-3</v>
      </c>
      <c r="C850" s="248">
        <v>3.1208518988779699E-3</v>
      </c>
      <c r="D850" s="248">
        <v>2.4155505204601002E-3</v>
      </c>
      <c r="E850" s="248">
        <v>2.09961461753234E-3</v>
      </c>
      <c r="F850" s="248"/>
      <c r="G850" s="248">
        <v>2.4028193660029602E-3</v>
      </c>
      <c r="H850" s="735">
        <v>8.9811334717764197E-4</v>
      </c>
      <c r="I850" s="735">
        <v>1.1576196200101399E-3</v>
      </c>
      <c r="J850" s="735">
        <v>8.66141940013614E-4</v>
      </c>
      <c r="L850" s="84"/>
      <c r="M850" s="84"/>
      <c r="N850" s="84"/>
      <c r="O850" s="84"/>
      <c r="P850" s="84"/>
      <c r="Q850" s="84"/>
      <c r="R850" s="84"/>
      <c r="S850" s="84"/>
    </row>
    <row r="851" spans="1:19">
      <c r="A851" s="629" t="s">
        <v>452</v>
      </c>
      <c r="B851" s="248">
        <v>1.01890655779427E-2</v>
      </c>
      <c r="C851" s="248">
        <v>3.2519267999889501E-3</v>
      </c>
      <c r="D851" s="248">
        <v>3.9597685543744697E-3</v>
      </c>
      <c r="E851" s="248">
        <v>1.9755354654886498E-3</v>
      </c>
      <c r="F851" s="248"/>
      <c r="G851" s="248">
        <v>2.2450687217833798E-3</v>
      </c>
      <c r="H851" s="735">
        <v>8.5841181154954101E-4</v>
      </c>
      <c r="I851" s="735">
        <v>1.18054760139976E-3</v>
      </c>
      <c r="J851" s="735">
        <v>8.2691636703919604E-4</v>
      </c>
      <c r="L851" s="84"/>
      <c r="M851" s="84"/>
      <c r="N851" s="84"/>
      <c r="O851" s="84"/>
      <c r="P851" s="84"/>
      <c r="Q851" s="84"/>
      <c r="R851" s="84"/>
      <c r="S851" s="84"/>
    </row>
    <row r="852" spans="1:19">
      <c r="A852" s="629" t="s">
        <v>451</v>
      </c>
      <c r="B852" s="248">
        <v>2.0204336248678401E-2</v>
      </c>
      <c r="C852" s="248">
        <v>3.3112716427504498E-3</v>
      </c>
      <c r="D852" s="248">
        <v>4.6296455715356096E-3</v>
      </c>
      <c r="E852" s="248">
        <v>1.86175345922264E-3</v>
      </c>
      <c r="F852" s="248"/>
      <c r="G852" s="248">
        <v>2.0806100031684101E-3</v>
      </c>
      <c r="H852" s="735">
        <v>1.1947954335623299E-3</v>
      </c>
      <c r="I852" s="735">
        <v>1.6290723573097201E-3</v>
      </c>
      <c r="J852" s="735">
        <v>1.16573915805761E-3</v>
      </c>
      <c r="L852" s="84"/>
      <c r="M852" s="84"/>
      <c r="N852" s="84"/>
      <c r="O852" s="84"/>
      <c r="P852" s="84"/>
      <c r="Q852" s="84"/>
      <c r="R852" s="84"/>
      <c r="S852" s="84"/>
    </row>
    <row r="853" spans="1:19">
      <c r="A853" s="629" t="s">
        <v>450</v>
      </c>
      <c r="B853" s="248">
        <v>1.7627840111195201E-2</v>
      </c>
      <c r="C853" s="248">
        <v>2.9101953788736499E-3</v>
      </c>
      <c r="D853" s="248">
        <v>3.4088394921994499E-3</v>
      </c>
      <c r="E853" s="248">
        <v>1.80106005530571E-3</v>
      </c>
      <c r="F853" s="248"/>
      <c r="G853" s="248">
        <v>2.02473480245905E-3</v>
      </c>
      <c r="H853" s="735">
        <v>1.1183188259142099E-3</v>
      </c>
      <c r="I853" s="735">
        <v>1.48986202601931E-3</v>
      </c>
      <c r="J853" s="735">
        <v>1.08921838294571E-3</v>
      </c>
      <c r="L853" s="84"/>
      <c r="M853" s="84"/>
      <c r="N853" s="84"/>
      <c r="O853" s="84"/>
      <c r="P853" s="84"/>
      <c r="Q853" s="84"/>
      <c r="R853" s="84"/>
      <c r="S853" s="84"/>
    </row>
    <row r="854" spans="1:19">
      <c r="A854" s="629" t="s">
        <v>449</v>
      </c>
      <c r="B854" s="248">
        <v>1.53750960103673E-2</v>
      </c>
      <c r="C854" s="248">
        <v>2.76703354431964E-3</v>
      </c>
      <c r="D854" s="248">
        <v>3.26630343251424E-3</v>
      </c>
      <c r="E854" s="248">
        <v>1.8861794149209099E-3</v>
      </c>
      <c r="F854" s="248"/>
      <c r="G854" s="248">
        <v>2.0574611368452101E-3</v>
      </c>
      <c r="H854" s="735">
        <v>1.3226469712976101E-3</v>
      </c>
      <c r="I854" s="735">
        <v>1.3522668026431401E-3</v>
      </c>
      <c r="J854" s="735">
        <v>1.29731518694831E-3</v>
      </c>
      <c r="L854" s="84"/>
      <c r="M854" s="84"/>
      <c r="N854" s="84"/>
      <c r="O854" s="84"/>
      <c r="P854" s="84"/>
      <c r="Q854" s="84"/>
      <c r="R854" s="84"/>
      <c r="S854" s="84"/>
    </row>
    <row r="855" spans="1:19">
      <c r="A855" s="629" t="s">
        <v>448</v>
      </c>
      <c r="B855" s="248">
        <v>1.34383829952541E-2</v>
      </c>
      <c r="C855" s="248">
        <v>2.75723632599799E-3</v>
      </c>
      <c r="D855" s="248">
        <v>3.9149880177891203E-3</v>
      </c>
      <c r="E855" s="248">
        <v>3.2196002863807099E-3</v>
      </c>
      <c r="F855" s="248"/>
      <c r="G855" s="248">
        <v>2.09373130196313E-3</v>
      </c>
      <c r="H855" s="735">
        <v>1.2452520712614001E-3</v>
      </c>
      <c r="I855" s="735">
        <v>1.4243847306423499E-3</v>
      </c>
      <c r="J855" s="735">
        <v>1.22060311566805E-3</v>
      </c>
      <c r="L855" s="84"/>
      <c r="M855" s="84"/>
      <c r="N855" s="84"/>
      <c r="O855" s="84"/>
      <c r="P855" s="84"/>
      <c r="Q855" s="84"/>
      <c r="R855" s="84"/>
      <c r="S855" s="84"/>
    </row>
    <row r="856" spans="1:19">
      <c r="A856" s="629" t="s">
        <v>447</v>
      </c>
      <c r="B856" s="248">
        <v>1.1724097388943099E-2</v>
      </c>
      <c r="C856" s="248">
        <v>3.43519269389265E-3</v>
      </c>
      <c r="D856" s="248">
        <v>2.98092182485481E-3</v>
      </c>
      <c r="E856" s="248">
        <v>2.9109238566657298E-3</v>
      </c>
      <c r="F856" s="248"/>
      <c r="G856" s="248">
        <v>1.96320255542145E-3</v>
      </c>
      <c r="H856" s="735">
        <v>1.72519266993168E-3</v>
      </c>
      <c r="I856" s="735">
        <v>1.3124456149909999E-3</v>
      </c>
      <c r="J856" s="735">
        <v>1.7022573393489101E-3</v>
      </c>
      <c r="L856" s="84"/>
      <c r="M856" s="84"/>
      <c r="N856" s="84"/>
      <c r="O856" s="84"/>
      <c r="P856" s="84"/>
      <c r="Q856" s="84"/>
      <c r="R856" s="84"/>
      <c r="S856" s="84"/>
    </row>
    <row r="857" spans="1:19">
      <c r="A857" s="629" t="s">
        <v>446</v>
      </c>
      <c r="B857" s="248">
        <v>1.06358796366309E-2</v>
      </c>
      <c r="C857" s="248">
        <v>2.9141661220362502E-3</v>
      </c>
      <c r="D857" s="248">
        <v>2.4955033139426801E-3</v>
      </c>
      <c r="E857" s="248">
        <v>2.9002541084729699E-3</v>
      </c>
      <c r="F857" s="248"/>
      <c r="G857" s="248">
        <v>1.8531059357654899E-3</v>
      </c>
      <c r="H857" s="735">
        <v>1.6571438498505799E-3</v>
      </c>
      <c r="I857" s="735">
        <v>1.21955334811951E-3</v>
      </c>
      <c r="J857" s="735">
        <v>1.63496241122645E-3</v>
      </c>
      <c r="L857" s="84"/>
      <c r="M857" s="84"/>
      <c r="N857" s="84"/>
      <c r="O857" s="84"/>
      <c r="P857" s="84"/>
      <c r="Q857" s="84"/>
      <c r="R857" s="84"/>
      <c r="S857" s="84"/>
    </row>
    <row r="858" spans="1:19">
      <c r="A858" s="629" t="s">
        <v>445</v>
      </c>
      <c r="B858" s="248">
        <v>9.9026292384231992E-3</v>
      </c>
      <c r="C858" s="248">
        <v>2.6973767786468098E-3</v>
      </c>
      <c r="D858" s="248">
        <v>2.2219888168945202E-3</v>
      </c>
      <c r="E858" s="248">
        <v>2.8259436471060901E-3</v>
      </c>
      <c r="F858" s="248"/>
      <c r="G858" s="248">
        <v>1.7429624150415901E-3</v>
      </c>
      <c r="H858" s="735">
        <v>1.82492508376737E-3</v>
      </c>
      <c r="I858" s="735">
        <v>1.11687539167432E-3</v>
      </c>
      <c r="J858" s="735">
        <v>1.8069849199088401E-3</v>
      </c>
      <c r="L858" s="84"/>
      <c r="M858" s="84"/>
      <c r="N858" s="84"/>
      <c r="O858" s="84"/>
      <c r="P858" s="84"/>
      <c r="Q858" s="84"/>
      <c r="R858" s="84"/>
      <c r="S858" s="84"/>
    </row>
    <row r="859" spans="1:19">
      <c r="A859" s="629" t="s">
        <v>444</v>
      </c>
      <c r="B859" s="248">
        <v>9.0421734799450895E-3</v>
      </c>
      <c r="C859" s="248">
        <v>3.10579389900864E-3</v>
      </c>
      <c r="D859" s="248">
        <v>2.1123844006934898E-3</v>
      </c>
      <c r="E859" s="248">
        <v>2.7161365052731199E-3</v>
      </c>
      <c r="F859" s="248"/>
      <c r="G859" s="248">
        <v>1.80629096947754E-3</v>
      </c>
      <c r="H859" s="735">
        <v>1.6186631694491201E-3</v>
      </c>
      <c r="I859" s="735">
        <v>1.06022170664583E-3</v>
      </c>
      <c r="J859" s="735">
        <v>1.6009764487054201E-3</v>
      </c>
      <c r="L859" s="84"/>
      <c r="M859" s="84"/>
      <c r="N859" s="84"/>
      <c r="O859" s="84"/>
      <c r="P859" s="84"/>
      <c r="Q859" s="84"/>
      <c r="R859" s="84"/>
      <c r="S859" s="84"/>
    </row>
    <row r="860" spans="1:19">
      <c r="A860" s="629" t="s">
        <v>443</v>
      </c>
      <c r="B860" s="248">
        <v>7.9340953995487799E-3</v>
      </c>
      <c r="C860" s="248">
        <v>2.7645317053441101E-3</v>
      </c>
      <c r="D860" s="248">
        <v>2.1596254934273902E-3</v>
      </c>
      <c r="E860" s="248">
        <v>2.4387903181738702E-3</v>
      </c>
      <c r="F860" s="248"/>
      <c r="G860" s="248">
        <v>2.4690659819797201E-3</v>
      </c>
      <c r="H860" s="735">
        <v>1.80746164691084E-3</v>
      </c>
      <c r="I860" s="735">
        <v>1.1351343724911201E-3</v>
      </c>
      <c r="J860" s="735">
        <v>1.7921019357975999E-3</v>
      </c>
      <c r="L860" s="84"/>
      <c r="M860" s="84"/>
      <c r="N860" s="84"/>
      <c r="O860" s="84"/>
      <c r="P860" s="84"/>
      <c r="Q860" s="84"/>
      <c r="R860" s="84"/>
      <c r="S860" s="84"/>
    </row>
    <row r="861" spans="1:19">
      <c r="A861" s="629" t="s">
        <v>442</v>
      </c>
      <c r="B861" s="248">
        <v>8.7690436980323496E-3</v>
      </c>
      <c r="C861" s="248">
        <v>2.61916845732985E-3</v>
      </c>
      <c r="D861" s="248">
        <v>2.03316771329831E-3</v>
      </c>
      <c r="E861" s="248">
        <v>2.2273406603262498E-3</v>
      </c>
      <c r="F861" s="248"/>
      <c r="G861" s="248">
        <v>2.5960437831152E-3</v>
      </c>
      <c r="H861" s="735">
        <v>1.90732117965855E-3</v>
      </c>
      <c r="I861" s="735">
        <v>1.1019603246155401E-3</v>
      </c>
      <c r="J861" s="735">
        <v>1.8959514311296601E-3</v>
      </c>
      <c r="L861" s="84"/>
      <c r="M861" s="84"/>
      <c r="N861" s="84"/>
      <c r="O861" s="84"/>
      <c r="P861" s="84"/>
      <c r="Q861" s="84"/>
      <c r="R861" s="84"/>
      <c r="S861" s="84"/>
    </row>
    <row r="862" spans="1:19">
      <c r="A862" s="629" t="s">
        <v>441</v>
      </c>
      <c r="B862" s="248">
        <v>7.6957268039509197E-3</v>
      </c>
      <c r="C862" s="248">
        <v>3.5264070202238999E-3</v>
      </c>
      <c r="D862" s="248">
        <v>2.0411799333068998E-3</v>
      </c>
      <c r="E862" s="248">
        <v>2.0558844934424302E-3</v>
      </c>
      <c r="F862" s="248"/>
      <c r="G862" s="248">
        <v>2.5202765031477202E-3</v>
      </c>
      <c r="H862" s="735">
        <v>2.0084755477087299E-3</v>
      </c>
      <c r="I862" s="735">
        <v>1.1387321593576401E-3</v>
      </c>
      <c r="J862" s="735">
        <v>2.0014940157487E-3</v>
      </c>
      <c r="L862" s="84"/>
      <c r="M862" s="84"/>
      <c r="N862" s="84"/>
      <c r="O862" s="84"/>
      <c r="P862" s="84"/>
      <c r="Q862" s="84"/>
      <c r="R862" s="84"/>
      <c r="S862" s="84"/>
    </row>
    <row r="863" spans="1:19">
      <c r="A863" s="629" t="s">
        <v>440</v>
      </c>
      <c r="B863" s="248">
        <v>6.7876988138167197E-3</v>
      </c>
      <c r="C863" s="248">
        <v>2.93013317535131E-3</v>
      </c>
      <c r="D863" s="248">
        <v>1.9897862439308598E-3</v>
      </c>
      <c r="E863" s="248">
        <v>2.4479085061686399E-3</v>
      </c>
      <c r="F863" s="248"/>
      <c r="G863" s="248">
        <v>2.3418150714431302E-3</v>
      </c>
      <c r="H863" s="735">
        <v>1.90678067230062E-3</v>
      </c>
      <c r="I863" s="735">
        <v>1.10414160472707E-3</v>
      </c>
      <c r="J863" s="735">
        <v>1.90322635638674E-3</v>
      </c>
      <c r="L863" s="84"/>
      <c r="M863" s="84"/>
      <c r="N863" s="84"/>
      <c r="O863" s="84"/>
      <c r="P863" s="84"/>
      <c r="Q863" s="84"/>
      <c r="R863" s="84"/>
      <c r="S863" s="84"/>
    </row>
    <row r="864" spans="1:19">
      <c r="A864" s="629" t="s">
        <v>439</v>
      </c>
      <c r="B864" s="248">
        <v>6.0193520989851703E-3</v>
      </c>
      <c r="C864" s="248">
        <v>2.68749003008718E-3</v>
      </c>
      <c r="D864" s="248">
        <v>2.09262736369995E-3</v>
      </c>
      <c r="E864" s="248">
        <v>2.2308664405761699E-3</v>
      </c>
      <c r="F864" s="248"/>
      <c r="G864" s="248">
        <v>2.66459525811889E-3</v>
      </c>
      <c r="H864" s="735">
        <v>2.2840521722152802E-3</v>
      </c>
      <c r="I864" s="735">
        <v>1.04039239749511E-3</v>
      </c>
      <c r="J864" s="735">
        <v>2.2937703663090899E-3</v>
      </c>
      <c r="L864" s="84"/>
      <c r="M864" s="84"/>
      <c r="N864" s="84"/>
      <c r="O864" s="84"/>
      <c r="P864" s="84"/>
      <c r="Q864" s="84"/>
      <c r="R864" s="84"/>
      <c r="S864" s="84"/>
    </row>
    <row r="865" spans="1:19">
      <c r="A865" s="629" t="s">
        <v>438</v>
      </c>
      <c r="B865" s="248">
        <v>6.9203118636184096E-3</v>
      </c>
      <c r="C865" s="248">
        <v>2.5907228415404898E-3</v>
      </c>
      <c r="D865" s="248">
        <v>2.4518006671447302E-3</v>
      </c>
      <c r="E865" s="248">
        <v>2.3260727291245899E-3</v>
      </c>
      <c r="F865" s="248"/>
      <c r="G865" s="248">
        <v>2.5565104754476098E-3</v>
      </c>
      <c r="H865" s="735">
        <v>2.58962222957286E-3</v>
      </c>
      <c r="I865" s="735">
        <v>1.03377974553034E-3</v>
      </c>
      <c r="J865" s="735">
        <v>2.6113679879438E-3</v>
      </c>
      <c r="L865" s="84"/>
      <c r="M865" s="84"/>
      <c r="N865" s="84"/>
      <c r="O865" s="84"/>
      <c r="P865" s="84"/>
      <c r="Q865" s="84"/>
      <c r="R865" s="84"/>
      <c r="S865" s="84"/>
    </row>
    <row r="866" spans="1:19">
      <c r="A866" s="629" t="s">
        <v>437</v>
      </c>
      <c r="B866" s="248">
        <v>7.3114062427431896E-3</v>
      </c>
      <c r="C866" s="248">
        <v>2.57630970683243E-3</v>
      </c>
      <c r="D866" s="248">
        <v>2.3517283518207301E-3</v>
      </c>
      <c r="E866" s="248">
        <v>2.1849016868593701E-3</v>
      </c>
      <c r="F866" s="248"/>
      <c r="G866" s="248">
        <v>2.3594620869618098E-3</v>
      </c>
      <c r="H866" s="735">
        <v>2.46608993740443E-3</v>
      </c>
      <c r="I866" s="735">
        <v>1.09013701271506E-3</v>
      </c>
      <c r="J866" s="735">
        <v>2.4925951115179301E-3</v>
      </c>
      <c r="L866" s="84"/>
      <c r="M866" s="84"/>
      <c r="N866" s="84"/>
      <c r="O866" s="84"/>
      <c r="P866" s="84"/>
      <c r="Q866" s="84"/>
      <c r="R866" s="84"/>
      <c r="S866" s="84"/>
    </row>
    <row r="867" spans="1:19">
      <c r="A867" s="629" t="s">
        <v>436</v>
      </c>
      <c r="B867" s="248">
        <v>6.4397408406001401E-3</v>
      </c>
      <c r="C867" s="248">
        <v>2.57078742461194E-3</v>
      </c>
      <c r="D867" s="248">
        <v>2.8324976763924501E-3</v>
      </c>
      <c r="E867" s="248">
        <v>2.2232288339025701E-3</v>
      </c>
      <c r="F867" s="248"/>
      <c r="G867" s="248">
        <v>2.2135712694468898E-3</v>
      </c>
      <c r="H867" s="735">
        <v>2.4250679742355602E-3</v>
      </c>
      <c r="I867" s="735">
        <v>1.0041544156047699E-3</v>
      </c>
      <c r="J867" s="735">
        <v>2.4461322388552799E-3</v>
      </c>
      <c r="L867" s="84"/>
      <c r="M867" s="84"/>
      <c r="N867" s="84"/>
      <c r="O867" s="84"/>
      <c r="P867" s="84"/>
      <c r="Q867" s="84"/>
      <c r="R867" s="84"/>
      <c r="S867" s="84"/>
    </row>
    <row r="868" spans="1:19">
      <c r="A868" s="629" t="s">
        <v>435</v>
      </c>
      <c r="B868" s="248">
        <v>5.8770840283783503E-3</v>
      </c>
      <c r="C868" s="248">
        <v>3.4664110434805499E-3</v>
      </c>
      <c r="D868" s="248">
        <v>3.51239349847516E-3</v>
      </c>
      <c r="E868" s="248">
        <v>4.1099757162532703E-3</v>
      </c>
      <c r="F868" s="248"/>
      <c r="G868" s="248">
        <v>2.1275625230349799E-3</v>
      </c>
      <c r="H868" s="735">
        <v>2.26319880437188E-3</v>
      </c>
      <c r="I868" s="735">
        <v>1.3574898036511601E-3</v>
      </c>
      <c r="J868" s="735">
        <v>2.2782209995905601E-3</v>
      </c>
      <c r="L868" s="84"/>
      <c r="M868" s="84"/>
      <c r="N868" s="84"/>
      <c r="O868" s="84"/>
      <c r="P868" s="84"/>
      <c r="Q868" s="84"/>
      <c r="R868" s="84"/>
      <c r="S868" s="84"/>
    </row>
    <row r="869" spans="1:19">
      <c r="A869" s="629" t="s">
        <v>434</v>
      </c>
      <c r="B869" s="248">
        <v>6.6864817662284602E-3</v>
      </c>
      <c r="C869" s="248">
        <v>7.7850485878199101E-3</v>
      </c>
      <c r="D869" s="248">
        <v>3.4790190351746799E-3</v>
      </c>
      <c r="E869" s="248">
        <v>4.6670825155850099E-3</v>
      </c>
      <c r="F869" s="248"/>
      <c r="G869" s="248">
        <v>2.7867747392747101E-3</v>
      </c>
      <c r="H869" s="735">
        <v>1.9809754289935601E-3</v>
      </c>
      <c r="I869" s="735">
        <v>1.7220731979290199E-3</v>
      </c>
      <c r="J869" s="735">
        <v>1.9920545184176101E-3</v>
      </c>
      <c r="L869" s="84"/>
      <c r="M869" s="84"/>
      <c r="N869" s="84"/>
      <c r="O869" s="84"/>
      <c r="P869" s="84"/>
      <c r="Q869" s="84"/>
      <c r="R869" s="84"/>
      <c r="S869" s="84"/>
    </row>
    <row r="870" spans="1:19">
      <c r="A870" s="629" t="s">
        <v>433</v>
      </c>
      <c r="B870" s="248">
        <v>6.5188883729893803E-3</v>
      </c>
      <c r="C870" s="248">
        <v>8.5842433648714092E-3</v>
      </c>
      <c r="D870" s="248">
        <v>3.0979719268854899E-3</v>
      </c>
      <c r="E870" s="248">
        <v>6.5036804589437497E-3</v>
      </c>
      <c r="F870" s="248"/>
      <c r="G870" s="248">
        <v>3.9049493493727998E-3</v>
      </c>
      <c r="H870" s="735">
        <v>1.7460098223458099E-3</v>
      </c>
      <c r="I870" s="735">
        <v>1.802468643872E-3</v>
      </c>
      <c r="J870" s="735">
        <v>1.75239841930245E-3</v>
      </c>
      <c r="L870" s="84"/>
      <c r="M870" s="84"/>
      <c r="N870" s="84"/>
      <c r="O870" s="84"/>
      <c r="P870" s="84"/>
      <c r="Q870" s="84"/>
      <c r="R870" s="84"/>
      <c r="S870" s="84"/>
    </row>
    <row r="871" spans="1:19">
      <c r="A871" s="629" t="s">
        <v>432</v>
      </c>
      <c r="B871" s="248">
        <v>5.75375831198199E-3</v>
      </c>
      <c r="C871" s="248">
        <v>4.9112948072194702E-3</v>
      </c>
      <c r="D871" s="248">
        <v>2.4844233168941402E-3</v>
      </c>
      <c r="E871" s="248">
        <v>5.6668971163064503E-3</v>
      </c>
      <c r="F871" s="248"/>
      <c r="G871" s="248">
        <v>3.5861797450319E-3</v>
      </c>
      <c r="H871" s="735">
        <v>2.0601616055836401E-3</v>
      </c>
      <c r="I871" s="735">
        <v>1.69434415550334E-3</v>
      </c>
      <c r="J871" s="735">
        <v>2.0578892864272498E-3</v>
      </c>
      <c r="L871" s="84"/>
      <c r="M871" s="84"/>
      <c r="N871" s="84"/>
      <c r="O871" s="84"/>
      <c r="P871" s="84"/>
      <c r="Q871" s="84"/>
      <c r="R871" s="84"/>
      <c r="S871" s="84"/>
    </row>
    <row r="872" spans="1:19">
      <c r="A872" s="629" t="s">
        <v>431</v>
      </c>
      <c r="B872" s="248">
        <v>5.1156403495911298E-3</v>
      </c>
      <c r="C872" s="248">
        <v>4.5048682108164498E-3</v>
      </c>
      <c r="D872" s="248">
        <v>4.5088911908201202E-3</v>
      </c>
      <c r="E872" s="248">
        <v>4.7928286301260597E-3</v>
      </c>
      <c r="F872" s="248"/>
      <c r="G872" s="248">
        <v>3.3044606723556498E-3</v>
      </c>
      <c r="H872" s="735">
        <v>2.0165539115812401E-3</v>
      </c>
      <c r="I872" s="735">
        <v>1.8637074165555501E-3</v>
      </c>
      <c r="J872" s="735">
        <v>2.0173669250383602E-3</v>
      </c>
      <c r="L872" s="84"/>
      <c r="M872" s="84"/>
      <c r="N872" s="84"/>
      <c r="O872" s="84"/>
      <c r="P872" s="84"/>
      <c r="Q872" s="84"/>
      <c r="R872" s="84"/>
      <c r="S872" s="84"/>
    </row>
    <row r="873" spans="1:19">
      <c r="A873" s="629" t="s">
        <v>430</v>
      </c>
      <c r="B873" s="248">
        <v>4.5979943988755699E-3</v>
      </c>
      <c r="C873" s="248">
        <v>3.8743660479626601E-3</v>
      </c>
      <c r="D873" s="248">
        <v>3.8324310355524198E-3</v>
      </c>
      <c r="E873" s="248">
        <v>4.2832886867040301E-3</v>
      </c>
      <c r="F873" s="248"/>
      <c r="G873" s="248">
        <v>3.07070781305064E-3</v>
      </c>
      <c r="H873" s="735">
        <v>1.77536239947994E-3</v>
      </c>
      <c r="I873" s="735">
        <v>1.7631195960707299E-3</v>
      </c>
      <c r="J873" s="735">
        <v>1.77341699133145E-3</v>
      </c>
      <c r="L873" s="84"/>
      <c r="M873" s="84"/>
      <c r="N873" s="84"/>
      <c r="O873" s="84"/>
      <c r="P873" s="84"/>
      <c r="Q873" s="84"/>
      <c r="R873" s="84"/>
      <c r="S873" s="84"/>
    </row>
    <row r="874" spans="1:19">
      <c r="A874" s="629" t="s">
        <v>429</v>
      </c>
      <c r="B874" s="248">
        <v>4.2509140712963201E-3</v>
      </c>
      <c r="C874" s="248">
        <v>3.8686637777795201E-3</v>
      </c>
      <c r="D874" s="248">
        <v>2.8756368552179199E-3</v>
      </c>
      <c r="E874" s="248">
        <v>3.6792574462690699E-3</v>
      </c>
      <c r="F874" s="248"/>
      <c r="G874" s="248">
        <v>2.82666112925508E-3</v>
      </c>
      <c r="H874" s="735">
        <v>1.6753380074975401E-3</v>
      </c>
      <c r="I874" s="735">
        <v>1.6105206402944299E-3</v>
      </c>
      <c r="J874" s="735">
        <v>1.6734917577878E-3</v>
      </c>
      <c r="L874" s="84"/>
      <c r="M874" s="84"/>
      <c r="N874" s="84"/>
      <c r="O874" s="84"/>
      <c r="P874" s="84"/>
      <c r="Q874" s="84"/>
      <c r="R874" s="84"/>
      <c r="S874" s="84"/>
    </row>
    <row r="875" spans="1:19">
      <c r="A875" s="629" t="s">
        <v>428</v>
      </c>
      <c r="B875" s="248">
        <v>3.8542666395948201E-3</v>
      </c>
      <c r="C875" s="248">
        <v>3.0702552611828302E-3</v>
      </c>
      <c r="D875" s="248">
        <v>2.7707199950760199E-3</v>
      </c>
      <c r="E875" s="248">
        <v>3.2020554321022E-3</v>
      </c>
      <c r="F875" s="248"/>
      <c r="G875" s="248">
        <v>2.6040060325920001E-3</v>
      </c>
      <c r="H875" s="735">
        <v>1.61438425019016E-3</v>
      </c>
      <c r="I875" s="735">
        <v>1.5453452145156199E-3</v>
      </c>
      <c r="J875" s="735">
        <v>1.61270555982064E-3</v>
      </c>
      <c r="L875" s="84"/>
      <c r="M875" s="84"/>
      <c r="N875" s="84"/>
      <c r="O875" s="84"/>
      <c r="P875" s="84"/>
      <c r="Q875" s="84"/>
      <c r="R875" s="84"/>
      <c r="S875" s="84"/>
    </row>
    <row r="876" spans="1:19">
      <c r="A876" s="629" t="s">
        <v>427</v>
      </c>
      <c r="B876" s="248">
        <v>3.7653238871736801E-3</v>
      </c>
      <c r="C876" s="248">
        <v>3.3226773903903299E-3</v>
      </c>
      <c r="D876" s="248">
        <v>3.0939586192196898E-3</v>
      </c>
      <c r="E876" s="248">
        <v>3.26941232202611E-3</v>
      </c>
      <c r="F876" s="248"/>
      <c r="G876" s="248">
        <v>2.6978279129835502E-3</v>
      </c>
      <c r="H876" s="735">
        <v>1.49936325143313E-3</v>
      </c>
      <c r="I876" s="735">
        <v>1.75625551548677E-3</v>
      </c>
      <c r="J876" s="735">
        <v>1.4953673109711801E-3</v>
      </c>
      <c r="L876" s="84"/>
      <c r="M876" s="84"/>
      <c r="N876" s="84"/>
      <c r="O876" s="84"/>
      <c r="P876" s="84"/>
      <c r="Q876" s="84"/>
      <c r="R876" s="84"/>
      <c r="S876" s="84"/>
    </row>
    <row r="877" spans="1:19">
      <c r="A877" s="629" t="s">
        <v>426</v>
      </c>
      <c r="B877" s="248">
        <v>3.5021853285725798E-3</v>
      </c>
      <c r="C877" s="248">
        <v>3.01300749582731E-3</v>
      </c>
      <c r="D877" s="248">
        <v>5.3282439680727199E-3</v>
      </c>
      <c r="E877" s="248">
        <v>3.6872127560698101E-3</v>
      </c>
      <c r="F877" s="248"/>
      <c r="G877" s="248">
        <v>2.6150954085225799E-3</v>
      </c>
      <c r="H877" s="735">
        <v>4.4448386586976004E-3</v>
      </c>
      <c r="I877" s="735">
        <v>1.59070490622673E-3</v>
      </c>
      <c r="J877" s="735">
        <v>4.4869135589670397E-3</v>
      </c>
      <c r="L877" s="84"/>
      <c r="M877" s="84"/>
      <c r="N877" s="84"/>
      <c r="O877" s="84"/>
      <c r="P877" s="84"/>
      <c r="Q877" s="84"/>
      <c r="R877" s="84"/>
      <c r="S877" s="84"/>
    </row>
    <row r="878" spans="1:19">
      <c r="A878" s="629" t="s">
        <v>425</v>
      </c>
      <c r="B878" s="248">
        <v>3.1589649611132001E-3</v>
      </c>
      <c r="C878" s="248">
        <v>3.4712289413675302E-3</v>
      </c>
      <c r="D878" s="248">
        <v>8.1714455738641101E-3</v>
      </c>
      <c r="E878" s="248">
        <v>5.1271577127356199E-3</v>
      </c>
      <c r="F878" s="248"/>
      <c r="G878" s="248">
        <v>2.4814510266878398E-3</v>
      </c>
      <c r="H878" s="735">
        <v>4.0474117834956398E-3</v>
      </c>
      <c r="I878" s="735">
        <v>2.0500730850941001E-3</v>
      </c>
      <c r="J878" s="735">
        <v>4.09491482169334E-3</v>
      </c>
      <c r="L878" s="84"/>
      <c r="M878" s="84"/>
      <c r="N878" s="84"/>
      <c r="O878" s="84"/>
      <c r="P878" s="84"/>
      <c r="Q878" s="84"/>
      <c r="R878" s="84"/>
      <c r="S878" s="84"/>
    </row>
    <row r="879" spans="1:19">
      <c r="A879" s="629" t="s">
        <v>424</v>
      </c>
      <c r="B879" s="248">
        <v>2.9412084711304002E-3</v>
      </c>
      <c r="C879" s="248">
        <v>3.8845400634308501E-3</v>
      </c>
      <c r="D879" s="248">
        <v>8.0731939333288007E-3</v>
      </c>
      <c r="E879" s="248">
        <v>4.3431995431542003E-3</v>
      </c>
      <c r="F879" s="248"/>
      <c r="G879" s="248">
        <v>3.3292631091950201E-3</v>
      </c>
      <c r="H879" s="735">
        <v>3.98996067837848E-3</v>
      </c>
      <c r="I879" s="735">
        <v>1.9106810501825801E-3</v>
      </c>
      <c r="J879" s="735">
        <v>4.0401815418500504E-3</v>
      </c>
      <c r="L879" s="84"/>
      <c r="M879" s="84"/>
      <c r="N879" s="84"/>
      <c r="O879" s="84"/>
      <c r="P879" s="84"/>
      <c r="Q879" s="84"/>
      <c r="R879" s="84"/>
      <c r="S879" s="84"/>
    </row>
    <row r="880" spans="1:19">
      <c r="A880" s="629" t="s">
        <v>423</v>
      </c>
      <c r="B880" s="248">
        <v>2.7635318737735701E-3</v>
      </c>
      <c r="C880" s="248">
        <v>3.05875268833353E-3</v>
      </c>
      <c r="D880" s="248">
        <v>5.4139030254986304E-3</v>
      </c>
      <c r="E880" s="248">
        <v>3.7257659304274098E-3</v>
      </c>
      <c r="F880" s="248"/>
      <c r="G880" s="248">
        <v>3.1362464598941701E-3</v>
      </c>
      <c r="H880" s="735">
        <v>3.6477798850794701E-3</v>
      </c>
      <c r="I880" s="735">
        <v>1.72144879372782E-3</v>
      </c>
      <c r="J880" s="735">
        <v>3.6985757125942201E-3</v>
      </c>
      <c r="L880" s="84"/>
      <c r="M880" s="84"/>
      <c r="N880" s="84"/>
      <c r="O880" s="84"/>
      <c r="P880" s="84"/>
      <c r="Q880" s="84"/>
      <c r="R880" s="84"/>
      <c r="S880" s="84"/>
    </row>
    <row r="881" spans="1:19">
      <c r="A881" s="629" t="s">
        <v>422</v>
      </c>
      <c r="B881" s="248">
        <v>2.7041406468621999E-3</v>
      </c>
      <c r="C881" s="248">
        <v>2.7782577176756799E-3</v>
      </c>
      <c r="D881" s="248">
        <v>3.9794686186833796E-3</v>
      </c>
      <c r="E881" s="248">
        <v>4.4243959008880502E-3</v>
      </c>
      <c r="F881" s="248"/>
      <c r="G881" s="248">
        <v>3.3885724936078602E-3</v>
      </c>
      <c r="H881" s="735">
        <v>3.34478999601636E-3</v>
      </c>
      <c r="I881" s="735">
        <v>1.60216073235897E-3</v>
      </c>
      <c r="J881" s="735">
        <v>3.39482428718639E-3</v>
      </c>
      <c r="L881" s="84"/>
      <c r="M881" s="84"/>
      <c r="N881" s="84"/>
      <c r="O881" s="84"/>
      <c r="P881" s="84"/>
      <c r="Q881" s="84"/>
      <c r="R881" s="84"/>
      <c r="S881" s="84"/>
    </row>
    <row r="882" spans="1:19">
      <c r="A882" s="629" t="s">
        <v>421</v>
      </c>
      <c r="B882" s="248">
        <v>3.2277345043861499E-3</v>
      </c>
      <c r="C882" s="248">
        <v>4.3610867969997996E-3</v>
      </c>
      <c r="D882" s="248">
        <v>6.9267990209062099E-3</v>
      </c>
      <c r="E882" s="248">
        <v>4.80230476883803E-3</v>
      </c>
      <c r="F882" s="248"/>
      <c r="G882" s="248">
        <v>4.6259961199686299E-3</v>
      </c>
      <c r="H882" s="735">
        <v>2.9641515316586398E-3</v>
      </c>
      <c r="I882" s="735">
        <v>1.7562093774037501E-3</v>
      </c>
      <c r="J882" s="735">
        <v>3.0068427689086499E-3</v>
      </c>
      <c r="L882" s="84"/>
      <c r="M882" s="84"/>
      <c r="N882" s="84"/>
      <c r="O882" s="84"/>
      <c r="P882" s="84"/>
      <c r="Q882" s="84"/>
      <c r="R882" s="84"/>
      <c r="S882" s="84"/>
    </row>
    <row r="883" spans="1:19">
      <c r="A883" s="629" t="s">
        <v>420</v>
      </c>
      <c r="B883" s="248">
        <v>6.9148599795943299E-3</v>
      </c>
      <c r="C883" s="248">
        <v>3.8548325330510398E-3</v>
      </c>
      <c r="D883" s="248">
        <v>5.4479575870073097E-3</v>
      </c>
      <c r="E883" s="248">
        <v>4.1931419626347497E-3</v>
      </c>
      <c r="F883" s="248"/>
      <c r="G883" s="248">
        <v>4.3157944068999698E-3</v>
      </c>
      <c r="H883" s="735">
        <v>2.8086273221949402E-3</v>
      </c>
      <c r="I883" s="735">
        <v>1.8019352079260899E-3</v>
      </c>
      <c r="J883" s="735">
        <v>2.8543159957497102E-3</v>
      </c>
      <c r="L883" s="84"/>
      <c r="M883" s="84"/>
      <c r="N883" s="84"/>
      <c r="O883" s="84"/>
      <c r="P883" s="84"/>
      <c r="Q883" s="84"/>
      <c r="R883" s="84"/>
      <c r="S883" s="84"/>
    </row>
    <row r="884" spans="1:19">
      <c r="A884" s="629" t="s">
        <v>419</v>
      </c>
      <c r="B884" s="248">
        <v>6.1280166771790403E-3</v>
      </c>
      <c r="C884" s="248">
        <v>3.1054720796937899E-3</v>
      </c>
      <c r="D884" s="248">
        <v>4.03345930259275E-3</v>
      </c>
      <c r="E884" s="248">
        <v>5.3094045486885696E-3</v>
      </c>
      <c r="F884" s="248"/>
      <c r="G884" s="248">
        <v>4.6159304463506802E-3</v>
      </c>
      <c r="H884" s="735">
        <v>2.51485498062159E-3</v>
      </c>
      <c r="I884" s="735">
        <v>1.6841547370817201E-3</v>
      </c>
      <c r="J884" s="735">
        <v>2.5567686238023202E-3</v>
      </c>
      <c r="L884" s="84"/>
      <c r="M884" s="84"/>
      <c r="N884" s="84"/>
      <c r="O884" s="84"/>
      <c r="P884" s="84"/>
      <c r="Q884" s="84"/>
      <c r="R884" s="84"/>
      <c r="S884" s="84"/>
    </row>
    <row r="885" spans="1:19">
      <c r="A885" s="629" t="s">
        <v>418</v>
      </c>
      <c r="B885" s="248">
        <v>5.5133821819434497E-3</v>
      </c>
      <c r="C885" s="248">
        <v>2.89408482637844E-3</v>
      </c>
      <c r="D885" s="248">
        <v>3.2579805639777202E-3</v>
      </c>
      <c r="E885" s="248">
        <v>4.6125160626564196E-3</v>
      </c>
      <c r="F885" s="248"/>
      <c r="G885" s="248">
        <v>4.4001003744094996E-3</v>
      </c>
      <c r="H885" s="735">
        <v>2.2741636982253799E-3</v>
      </c>
      <c r="I885" s="735">
        <v>2.2070752637648001E-3</v>
      </c>
      <c r="J885" s="735">
        <v>2.30798813624946E-3</v>
      </c>
      <c r="L885" s="84"/>
      <c r="M885" s="84"/>
      <c r="N885" s="84"/>
      <c r="O885" s="84"/>
      <c r="P885" s="84"/>
      <c r="Q885" s="84"/>
      <c r="R885" s="84"/>
      <c r="S885" s="84"/>
    </row>
    <row r="886" spans="1:19">
      <c r="A886" s="629" t="s">
        <v>417</v>
      </c>
      <c r="B886" s="248">
        <v>4.8871776764984401E-3</v>
      </c>
      <c r="C886" s="248">
        <v>2.7067336748657599E-3</v>
      </c>
      <c r="D886" s="248">
        <v>2.56714869260219E-3</v>
      </c>
      <c r="E886" s="248">
        <v>4.2707776337045601E-3</v>
      </c>
      <c r="F886" s="248"/>
      <c r="G886" s="248">
        <v>4.6871260676532699E-3</v>
      </c>
      <c r="H886" s="735">
        <v>2.1474173065585398E-3</v>
      </c>
      <c r="I886" s="735">
        <v>2.2609774307999599E-3</v>
      </c>
      <c r="J886" s="735">
        <v>2.1821888491973E-3</v>
      </c>
      <c r="L886" s="84"/>
      <c r="M886" s="84"/>
      <c r="N886" s="84"/>
      <c r="O886" s="84"/>
      <c r="P886" s="84"/>
      <c r="Q886" s="84"/>
      <c r="R886" s="84"/>
      <c r="S886" s="84"/>
    </row>
    <row r="887" spans="1:19">
      <c r="A887" s="629" t="s">
        <v>416</v>
      </c>
      <c r="B887" s="248">
        <v>4.4488038420968396E-3</v>
      </c>
      <c r="C887" s="248">
        <v>2.6116044329486301E-3</v>
      </c>
      <c r="D887" s="248">
        <v>4.6048084654437202E-3</v>
      </c>
      <c r="E887" s="248">
        <v>3.66814847705333E-3</v>
      </c>
      <c r="F887" s="248"/>
      <c r="G887" s="248">
        <v>4.6030151089509596E-3</v>
      </c>
      <c r="H887" s="735">
        <v>2.12872038463305E-3</v>
      </c>
      <c r="I887" s="735">
        <v>2.2241942065777199E-3</v>
      </c>
      <c r="J887" s="735">
        <v>2.1584250067879398E-3</v>
      </c>
      <c r="L887" s="84"/>
      <c r="M887" s="84"/>
      <c r="N887" s="84"/>
      <c r="O887" s="84"/>
      <c r="P887" s="84"/>
      <c r="Q887" s="84"/>
      <c r="R887" s="84"/>
      <c r="S887" s="84"/>
    </row>
    <row r="888" spans="1:19">
      <c r="A888" s="629" t="s">
        <v>415</v>
      </c>
      <c r="B888" s="248">
        <v>3.99414271130487E-3</v>
      </c>
      <c r="C888" s="248">
        <v>3.0215477783740699E-3</v>
      </c>
      <c r="D888" s="248">
        <v>3.2764137971419199E-3</v>
      </c>
      <c r="E888" s="248">
        <v>4.3126267986135997E-3</v>
      </c>
      <c r="F888" s="248"/>
      <c r="G888" s="248">
        <v>4.1966740086367303E-3</v>
      </c>
      <c r="H888" s="735">
        <v>2.1067337267434401E-3</v>
      </c>
      <c r="I888" s="735">
        <v>2.0408237609176698E-3</v>
      </c>
      <c r="J888" s="735">
        <v>2.13617317493651E-3</v>
      </c>
      <c r="L888" s="84"/>
      <c r="M888" s="84"/>
      <c r="N888" s="84"/>
      <c r="O888" s="84"/>
      <c r="P888" s="84"/>
      <c r="Q888" s="84"/>
      <c r="R888" s="84"/>
      <c r="S888" s="84"/>
    </row>
    <row r="889" spans="1:19">
      <c r="A889" s="629" t="s">
        <v>414</v>
      </c>
      <c r="B889" s="248">
        <v>3.5792384182628998E-3</v>
      </c>
      <c r="C889" s="248">
        <v>2.9486030445153898E-3</v>
      </c>
      <c r="D889" s="248">
        <v>5.5002105009583002E-3</v>
      </c>
      <c r="E889" s="248">
        <v>4.2010635146091102E-3</v>
      </c>
      <c r="F889" s="248"/>
      <c r="G889" s="248">
        <v>4.50173247517384E-3</v>
      </c>
      <c r="H889" s="735">
        <v>1.8864235198744099E-3</v>
      </c>
      <c r="I889" s="735">
        <v>1.8330442963217599E-3</v>
      </c>
      <c r="J889" s="735">
        <v>1.9098832260203401E-3</v>
      </c>
      <c r="L889" s="84"/>
      <c r="M889" s="84"/>
      <c r="N889" s="84"/>
      <c r="O889" s="84"/>
      <c r="P889" s="84"/>
      <c r="Q889" s="84"/>
      <c r="R889" s="84"/>
      <c r="S889" s="84"/>
    </row>
    <row r="890" spans="1:19">
      <c r="A890" s="629" t="s">
        <v>413</v>
      </c>
      <c r="B890" s="248">
        <v>3.4863206648542899E-3</v>
      </c>
      <c r="C890" s="248">
        <v>2.9086601694609201E-3</v>
      </c>
      <c r="D890" s="248">
        <v>5.8195884032389697E-3</v>
      </c>
      <c r="E890" s="248">
        <v>3.6626794185848801E-3</v>
      </c>
      <c r="F890" s="248"/>
      <c r="G890" s="248">
        <v>4.3922989117842698E-3</v>
      </c>
      <c r="H890" s="735">
        <v>1.86056793357136E-3</v>
      </c>
      <c r="I890" s="735">
        <v>2.0057833917391001E-3</v>
      </c>
      <c r="J890" s="735">
        <v>1.88445950563109E-3</v>
      </c>
      <c r="L890" s="84"/>
      <c r="M890" s="84"/>
      <c r="N890" s="84"/>
      <c r="O890" s="84"/>
      <c r="P890" s="84"/>
      <c r="Q890" s="84"/>
      <c r="R890" s="84"/>
      <c r="S890" s="84"/>
    </row>
    <row r="891" spans="1:19">
      <c r="A891" s="629" t="s">
        <v>412</v>
      </c>
      <c r="B891" s="248">
        <v>3.68221714314809E-3</v>
      </c>
      <c r="C891" s="248">
        <v>2.6831540177382801E-3</v>
      </c>
      <c r="D891" s="248">
        <v>5.6550826864909497E-3</v>
      </c>
      <c r="E891" s="248">
        <v>3.1857515382969302E-3</v>
      </c>
      <c r="F891" s="248"/>
      <c r="G891" s="248">
        <v>4.5038375090242404E-3</v>
      </c>
      <c r="H891" s="735">
        <v>2.0080339001195499E-3</v>
      </c>
      <c r="I891" s="735">
        <v>1.80584266726831E-3</v>
      </c>
      <c r="J891" s="735">
        <v>2.0181885832315101E-3</v>
      </c>
      <c r="L891" s="84"/>
      <c r="M891" s="84"/>
      <c r="N891" s="84"/>
      <c r="O891" s="84"/>
      <c r="P891" s="84"/>
      <c r="Q891" s="84"/>
      <c r="R891" s="84"/>
      <c r="S891" s="84"/>
    </row>
    <row r="892" spans="1:19">
      <c r="A892" s="629" t="s">
        <v>411</v>
      </c>
      <c r="B892" s="248">
        <v>3.3434959511670602E-3</v>
      </c>
      <c r="C892" s="248">
        <v>2.6932123740826602E-3</v>
      </c>
      <c r="D892" s="248">
        <v>6.7424346406260403E-3</v>
      </c>
      <c r="E892" s="248">
        <v>2.99772044376833E-3</v>
      </c>
      <c r="F892" s="248"/>
      <c r="G892" s="248">
        <v>4.1333848432904899E-3</v>
      </c>
      <c r="H892" s="735">
        <v>1.7777592717678199E-3</v>
      </c>
      <c r="I892" s="735">
        <v>2.4353973495800599E-3</v>
      </c>
      <c r="J892" s="735">
        <v>1.7836531892033E-3</v>
      </c>
      <c r="L892" s="84"/>
      <c r="M892" s="84"/>
      <c r="N892" s="84"/>
      <c r="O892" s="84"/>
      <c r="P892" s="84"/>
      <c r="Q892" s="84"/>
      <c r="R892" s="84"/>
      <c r="S892" s="84"/>
    </row>
    <row r="893" spans="1:19">
      <c r="A893" s="629" t="s">
        <v>410</v>
      </c>
      <c r="B893" s="248">
        <v>3.98896670420241E-3</v>
      </c>
      <c r="C893" s="248">
        <v>2.78803085061474E-3</v>
      </c>
      <c r="D893" s="248">
        <v>5.6421921377235703E-3</v>
      </c>
      <c r="E893" s="248">
        <v>4.97483470684659E-3</v>
      </c>
      <c r="F893" s="248"/>
      <c r="G893" s="248">
        <v>3.77782771595869E-3</v>
      </c>
      <c r="H893" s="735">
        <v>1.8790379211490399E-3</v>
      </c>
      <c r="I893" s="735">
        <v>2.1767803119844102E-3</v>
      </c>
      <c r="J893" s="735">
        <v>1.8808704760589301E-3</v>
      </c>
      <c r="L893" s="84"/>
      <c r="M893" s="84"/>
      <c r="N893" s="84"/>
      <c r="O893" s="84"/>
      <c r="P893" s="84"/>
      <c r="Q893" s="84"/>
      <c r="R893" s="84"/>
      <c r="S893" s="84"/>
    </row>
    <row r="894" spans="1:19">
      <c r="A894" s="629" t="s">
        <v>409</v>
      </c>
      <c r="B894" s="248">
        <v>6.15812796789178E-3</v>
      </c>
      <c r="C894" s="248">
        <v>3.0436596154204501E-3</v>
      </c>
      <c r="D894" s="248">
        <v>4.1679769249588997E-3</v>
      </c>
      <c r="E894" s="248">
        <v>4.7310768237304197E-3</v>
      </c>
      <c r="F894" s="248"/>
      <c r="G894" s="248">
        <v>5.22185361403882E-3</v>
      </c>
      <c r="H894" s="735">
        <v>2.1583802155657802E-3</v>
      </c>
      <c r="I894" s="735">
        <v>2.9891322144499702E-3</v>
      </c>
      <c r="J894" s="735">
        <v>2.1669257507131901E-3</v>
      </c>
      <c r="L894" s="84"/>
      <c r="M894" s="84"/>
      <c r="N894" s="84"/>
      <c r="O894" s="84"/>
      <c r="P894" s="84"/>
      <c r="Q894" s="84"/>
      <c r="R894" s="84"/>
      <c r="S894" s="84"/>
    </row>
    <row r="895" spans="1:19">
      <c r="A895" s="629" t="s">
        <v>408</v>
      </c>
      <c r="B895" s="248">
        <v>5.50205455289651E-3</v>
      </c>
      <c r="C895" s="248">
        <v>2.9219307997942101E-3</v>
      </c>
      <c r="D895" s="248">
        <v>3.4745227691491902E-2</v>
      </c>
      <c r="E895" s="248">
        <v>4.48370490672845E-3</v>
      </c>
      <c r="F895" s="248"/>
      <c r="G895" s="248">
        <v>4.9849938161011303E-3</v>
      </c>
      <c r="H895" s="735">
        <v>2.0140956706321102E-3</v>
      </c>
      <c r="I895" s="735">
        <v>3.1747432893483199E-3</v>
      </c>
      <c r="J895" s="735">
        <v>2.0257548647005198E-3</v>
      </c>
      <c r="L895" s="84"/>
      <c r="M895" s="84"/>
      <c r="N895" s="84"/>
      <c r="O895" s="84"/>
      <c r="P895" s="84"/>
      <c r="Q895" s="84"/>
      <c r="R895" s="84"/>
      <c r="S895" s="84"/>
    </row>
    <row r="896" spans="1:19">
      <c r="A896" s="629" t="s">
        <v>407</v>
      </c>
      <c r="B896" s="248">
        <v>5.2679424098710402E-3</v>
      </c>
      <c r="C896" s="248">
        <v>7.6813312553636898E-3</v>
      </c>
      <c r="D896" s="248">
        <v>4.3834133130690303E-2</v>
      </c>
      <c r="E896" s="248">
        <v>3.8483150217005898E-3</v>
      </c>
      <c r="F896" s="248"/>
      <c r="G896" s="248">
        <v>4.5435420976418697E-3</v>
      </c>
      <c r="H896" s="735">
        <v>2.7433521327560099E-3</v>
      </c>
      <c r="I896" s="735">
        <v>2.8790002060293698E-3</v>
      </c>
      <c r="J896" s="735">
        <v>2.7541238180449502E-3</v>
      </c>
      <c r="L896" s="84"/>
      <c r="M896" s="84"/>
      <c r="N896" s="84"/>
      <c r="O896" s="84"/>
      <c r="P896" s="84"/>
      <c r="Q896" s="84"/>
      <c r="R896" s="84"/>
      <c r="S896" s="84"/>
    </row>
    <row r="897" spans="1:19">
      <c r="A897" s="629" t="s">
        <v>406</v>
      </c>
      <c r="B897" s="248">
        <v>4.9042467184937204E-3</v>
      </c>
      <c r="C897" s="248">
        <v>5.9319725486371901E-3</v>
      </c>
      <c r="D897" s="248">
        <v>2.5325117418161101E-2</v>
      </c>
      <c r="E897" s="248">
        <v>5.5399264503379697E-3</v>
      </c>
      <c r="F897" s="248"/>
      <c r="G897" s="248">
        <v>4.2161598372698998E-3</v>
      </c>
      <c r="H897" s="735">
        <v>2.61606458811885E-3</v>
      </c>
      <c r="I897" s="735">
        <v>3.06261513911439E-3</v>
      </c>
      <c r="J897" s="735">
        <v>2.6372060835462602E-3</v>
      </c>
      <c r="L897" s="84"/>
      <c r="M897" s="84"/>
      <c r="N897" s="84"/>
      <c r="O897" s="84"/>
      <c r="P897" s="84"/>
      <c r="Q897" s="84"/>
      <c r="R897" s="84"/>
      <c r="S897" s="84"/>
    </row>
    <row r="898" spans="1:19">
      <c r="A898" s="629" t="s">
        <v>405</v>
      </c>
      <c r="B898" s="248">
        <v>6.8302157557960496E-3</v>
      </c>
      <c r="C898" s="248">
        <v>4.5359168575722598E-3</v>
      </c>
      <c r="D898" s="248">
        <v>1.48649429445966E-2</v>
      </c>
      <c r="E898" s="248">
        <v>4.74032881699985E-3</v>
      </c>
      <c r="F898" s="248"/>
      <c r="G898" s="248">
        <v>3.8531253909851902E-3</v>
      </c>
      <c r="H898" s="735">
        <v>2.4197481102428901E-3</v>
      </c>
      <c r="I898" s="735">
        <v>2.86838449845972E-3</v>
      </c>
      <c r="J898" s="735">
        <v>2.4412149602741299E-3</v>
      </c>
      <c r="L898" s="84"/>
      <c r="M898" s="84"/>
      <c r="N898" s="84"/>
      <c r="O898" s="84"/>
      <c r="P898" s="84"/>
      <c r="Q898" s="84"/>
      <c r="R898" s="84"/>
      <c r="S898" s="84"/>
    </row>
    <row r="899" spans="1:19">
      <c r="A899" s="629" t="s">
        <v>404</v>
      </c>
      <c r="B899" s="248">
        <v>6.4552348690402198E-3</v>
      </c>
      <c r="C899" s="248">
        <v>3.4158407610223101E-3</v>
      </c>
      <c r="D899" s="248">
        <v>8.6442606471782198E-3</v>
      </c>
      <c r="E899" s="248">
        <v>4.0660334172695402E-3</v>
      </c>
      <c r="F899" s="248"/>
      <c r="G899" s="248">
        <v>3.54209269843247E-3</v>
      </c>
      <c r="H899" s="735">
        <v>2.1252512990407599E-3</v>
      </c>
      <c r="I899" s="735">
        <v>3.0638566849968099E-3</v>
      </c>
      <c r="J899" s="735">
        <v>2.1402233989105202E-3</v>
      </c>
      <c r="L899" s="84"/>
      <c r="M899" s="84"/>
      <c r="N899" s="84"/>
      <c r="O899" s="84"/>
      <c r="P899" s="84"/>
      <c r="Q899" s="84"/>
      <c r="R899" s="84"/>
      <c r="S899" s="84"/>
    </row>
    <row r="900" spans="1:19">
      <c r="A900" s="629" t="s">
        <v>403</v>
      </c>
      <c r="B900" s="248">
        <v>8.2938301557238508E-3</v>
      </c>
      <c r="C900" s="248">
        <v>3.1960663134467399E-3</v>
      </c>
      <c r="D900" s="248">
        <v>6.0735866651997804E-3</v>
      </c>
      <c r="E900" s="248">
        <v>3.6629842339544702E-3</v>
      </c>
      <c r="F900" s="248"/>
      <c r="G900" s="248">
        <v>3.2846857322515201E-3</v>
      </c>
      <c r="H900" s="735">
        <v>1.96191610269066E-3</v>
      </c>
      <c r="I900" s="735">
        <v>3.06383936598729E-3</v>
      </c>
      <c r="J900" s="735">
        <v>1.97724230965213E-3</v>
      </c>
      <c r="L900" s="84"/>
      <c r="M900" s="84"/>
      <c r="N900" s="84"/>
      <c r="O900" s="84"/>
      <c r="P900" s="84"/>
      <c r="Q900" s="84"/>
      <c r="R900" s="84"/>
      <c r="S900" s="84"/>
    </row>
    <row r="901" spans="1:19">
      <c r="A901" s="629" t="s">
        <v>402</v>
      </c>
      <c r="B901" s="248">
        <v>7.2822282388997801E-3</v>
      </c>
      <c r="C901" s="248">
        <v>2.8188348172944601E-3</v>
      </c>
      <c r="D901" s="248">
        <v>2.08011648415658E-2</v>
      </c>
      <c r="E901" s="248">
        <v>3.2152401110427001E-3</v>
      </c>
      <c r="F901" s="248"/>
      <c r="G901" s="248">
        <v>3.6235624721671698E-3</v>
      </c>
      <c r="H901" s="735">
        <v>2.0708678966195899E-3</v>
      </c>
      <c r="I901" s="735">
        <v>4.4259604709564297E-3</v>
      </c>
      <c r="J901" s="735">
        <v>2.0755902142282302E-3</v>
      </c>
      <c r="L901" s="84"/>
      <c r="M901" s="84"/>
      <c r="N901" s="84"/>
      <c r="O901" s="84"/>
      <c r="P901" s="84"/>
      <c r="Q901" s="84"/>
      <c r="R901" s="84"/>
      <c r="S901" s="84"/>
    </row>
    <row r="902" spans="1:19">
      <c r="A902" s="629" t="s">
        <v>401</v>
      </c>
      <c r="B902" s="248">
        <v>6.4851471907452999E-3</v>
      </c>
      <c r="C902" s="248">
        <v>2.6941617084606001E-3</v>
      </c>
      <c r="D902" s="248">
        <v>1.1661092536261901E-2</v>
      </c>
      <c r="E902" s="248">
        <v>2.8823730609362102E-3</v>
      </c>
      <c r="F902" s="248"/>
      <c r="G902" s="248">
        <v>3.3275631950905301E-3</v>
      </c>
      <c r="H902" s="735">
        <v>2.3501701358164102E-3</v>
      </c>
      <c r="I902" s="735">
        <v>4.5652406244198604E-3</v>
      </c>
      <c r="J902" s="735">
        <v>2.3779280274743302E-3</v>
      </c>
      <c r="L902" s="84"/>
      <c r="M902" s="84"/>
      <c r="N902" s="84"/>
      <c r="O902" s="84"/>
      <c r="P902" s="84"/>
      <c r="Q902" s="84"/>
      <c r="R902" s="84"/>
      <c r="S902" s="84"/>
    </row>
    <row r="903" spans="1:19">
      <c r="A903" s="629" t="s">
        <v>400</v>
      </c>
      <c r="B903" s="248">
        <v>6.7795347896086001E-3</v>
      </c>
      <c r="C903" s="248">
        <v>2.76188214609347E-3</v>
      </c>
      <c r="D903" s="248">
        <v>7.0467150896292704E-3</v>
      </c>
      <c r="E903" s="248">
        <v>2.7148279088704099E-3</v>
      </c>
      <c r="F903" s="248"/>
      <c r="G903" s="248">
        <v>3.0525094817316E-3</v>
      </c>
      <c r="H903" s="735">
        <v>2.0857708234256998E-3</v>
      </c>
      <c r="I903" s="735">
        <v>4.2963685044783697E-3</v>
      </c>
      <c r="J903" s="735">
        <v>2.10912616155966E-3</v>
      </c>
      <c r="L903" s="84"/>
      <c r="M903" s="84"/>
      <c r="N903" s="84"/>
      <c r="O903" s="84"/>
      <c r="P903" s="84"/>
      <c r="Q903" s="84"/>
      <c r="R903" s="84"/>
      <c r="S903" s="84"/>
    </row>
    <row r="904" spans="1:19">
      <c r="A904" s="629" t="s">
        <v>399</v>
      </c>
      <c r="B904" s="248">
        <v>6.61840374674215E-3</v>
      </c>
      <c r="C904" s="248">
        <v>2.6195442585201698E-3</v>
      </c>
      <c r="D904" s="248">
        <v>4.6591932028348104E-3</v>
      </c>
      <c r="E904" s="248">
        <v>2.46619431228244E-3</v>
      </c>
      <c r="F904" s="248"/>
      <c r="G904" s="248">
        <v>2.9037279937233701E-3</v>
      </c>
      <c r="H904" s="735">
        <v>2.88895430778611E-3</v>
      </c>
      <c r="I904" s="735">
        <v>3.87473164339492E-3</v>
      </c>
      <c r="J904" s="735">
        <v>2.9407592410626601E-3</v>
      </c>
      <c r="L904" s="84"/>
      <c r="M904" s="84"/>
      <c r="N904" s="84"/>
      <c r="O904" s="84"/>
      <c r="P904" s="84"/>
      <c r="Q904" s="84"/>
      <c r="R904" s="84"/>
      <c r="S904" s="84"/>
    </row>
    <row r="905" spans="1:19">
      <c r="A905" s="629" t="s">
        <v>398</v>
      </c>
      <c r="B905" s="248">
        <v>6.0883083306235604E-3</v>
      </c>
      <c r="C905" s="248">
        <v>3.8001090591543401E-3</v>
      </c>
      <c r="D905" s="248">
        <v>1.54729492268777E-2</v>
      </c>
      <c r="E905" s="248">
        <v>3.3815993795225101E-3</v>
      </c>
      <c r="F905" s="248"/>
      <c r="G905" s="248">
        <v>2.78701281313194E-3</v>
      </c>
      <c r="H905" s="735">
        <v>2.50138061094654E-3</v>
      </c>
      <c r="I905" s="735">
        <v>4.2227433057500999E-3</v>
      </c>
      <c r="J905" s="735">
        <v>2.5459729377034401E-3</v>
      </c>
      <c r="L905" s="84"/>
      <c r="M905" s="84"/>
      <c r="N905" s="84"/>
      <c r="O905" s="84"/>
      <c r="P905" s="84"/>
      <c r="Q905" s="84"/>
      <c r="R905" s="84"/>
      <c r="S905" s="84"/>
    </row>
    <row r="906" spans="1:19">
      <c r="A906" s="629" t="s">
        <v>397</v>
      </c>
      <c r="B906" s="248">
        <v>5.4043521075857999E-3</v>
      </c>
      <c r="C906" s="248">
        <v>8.0313419200214002E-3</v>
      </c>
      <c r="D906" s="248">
        <v>1.4992761999982999E-2</v>
      </c>
      <c r="E906" s="248">
        <v>4.0133602635730199E-3</v>
      </c>
      <c r="F906" s="248"/>
      <c r="G906" s="248">
        <v>3.4857800516952101E-3</v>
      </c>
      <c r="H906" s="735">
        <v>2.24220589783913E-3</v>
      </c>
      <c r="I906" s="735">
        <v>5.0274200271388297E-3</v>
      </c>
      <c r="J906" s="735">
        <v>2.2762236832979698E-3</v>
      </c>
      <c r="L906" s="84"/>
      <c r="M906" s="84"/>
      <c r="N906" s="84"/>
      <c r="O906" s="84"/>
      <c r="P906" s="84"/>
      <c r="Q906" s="84"/>
      <c r="R906" s="84"/>
      <c r="S906" s="84"/>
    </row>
    <row r="907" spans="1:19">
      <c r="A907" s="629" t="s">
        <v>396</v>
      </c>
      <c r="B907" s="248">
        <v>5.0752832504553404E-3</v>
      </c>
      <c r="C907" s="248">
        <v>4.6942221201857403E-3</v>
      </c>
      <c r="D907" s="248">
        <v>9.4243118439521194E-3</v>
      </c>
      <c r="E907" s="248">
        <v>3.4682990622371701E-3</v>
      </c>
      <c r="F907" s="248"/>
      <c r="G907" s="248">
        <v>4.4450031080478999E-3</v>
      </c>
      <c r="H907" s="735">
        <v>3.3255741988995899E-3</v>
      </c>
      <c r="I907" s="735">
        <v>4.4849744104653996E-3</v>
      </c>
      <c r="J907" s="735">
        <v>3.4003964149240001E-3</v>
      </c>
      <c r="L907" s="84"/>
      <c r="M907" s="84"/>
      <c r="N907" s="84"/>
      <c r="O907" s="84"/>
      <c r="P907" s="84"/>
      <c r="Q907" s="84"/>
      <c r="R907" s="84"/>
      <c r="S907" s="84"/>
    </row>
    <row r="908" spans="1:19">
      <c r="A908" s="629" t="s">
        <v>395</v>
      </c>
      <c r="B908" s="248">
        <v>4.5130255883295799E-3</v>
      </c>
      <c r="C908" s="248">
        <v>4.5226646535113796E-3</v>
      </c>
      <c r="D908" s="248">
        <v>7.6679022179757398E-3</v>
      </c>
      <c r="E908" s="248">
        <v>3.12824232156405E-3</v>
      </c>
      <c r="F908" s="248"/>
      <c r="G908" s="248">
        <v>4.0844473657721302E-3</v>
      </c>
      <c r="H908" s="735">
        <v>3.6466575345133899E-3</v>
      </c>
      <c r="I908" s="735">
        <v>4.0045743441353204E-3</v>
      </c>
      <c r="J908" s="735">
        <v>3.7299442859262998E-3</v>
      </c>
      <c r="L908" s="84"/>
      <c r="M908" s="84"/>
      <c r="N908" s="84"/>
      <c r="O908" s="84"/>
      <c r="P908" s="84"/>
      <c r="Q908" s="84"/>
      <c r="R908" s="84"/>
      <c r="S908" s="84"/>
    </row>
    <row r="909" spans="1:19">
      <c r="A909" s="629" t="s">
        <v>394</v>
      </c>
      <c r="B909" s="248">
        <v>4.4260934415567797E-3</v>
      </c>
      <c r="C909" s="248">
        <v>3.6181713970196202E-3</v>
      </c>
      <c r="D909" s="248">
        <v>5.6196066460318999E-3</v>
      </c>
      <c r="E909" s="248">
        <v>3.3940043154366199E-3</v>
      </c>
      <c r="F909" s="248"/>
      <c r="G909" s="248">
        <v>3.7747589828106901E-3</v>
      </c>
      <c r="H909" s="735">
        <v>3.6132823744984399E-3</v>
      </c>
      <c r="I909" s="735">
        <v>3.7906470101679202E-3</v>
      </c>
      <c r="J909" s="735">
        <v>3.6848826281010499E-3</v>
      </c>
      <c r="L909" s="84"/>
      <c r="M909" s="84"/>
      <c r="N909" s="84"/>
      <c r="O909" s="84"/>
      <c r="P909" s="84"/>
      <c r="Q909" s="84"/>
      <c r="R909" s="84"/>
      <c r="S909" s="84"/>
    </row>
    <row r="910" spans="1:19">
      <c r="A910" s="629" t="s">
        <v>393</v>
      </c>
      <c r="B910" s="248">
        <v>3.9972237445103703E-3</v>
      </c>
      <c r="C910" s="248">
        <v>3.0282935274962802E-3</v>
      </c>
      <c r="D910" s="248">
        <v>4.4590991495278703E-3</v>
      </c>
      <c r="E910" s="248">
        <v>3.5198412911686301E-3</v>
      </c>
      <c r="F910" s="248"/>
      <c r="G910" s="248">
        <v>3.4684100042097201E-3</v>
      </c>
      <c r="H910" s="735">
        <v>3.0986695687691699E-3</v>
      </c>
      <c r="I910" s="735">
        <v>3.5930757934424799E-3</v>
      </c>
      <c r="J910" s="735">
        <v>3.16025857549115E-3</v>
      </c>
      <c r="L910" s="84"/>
      <c r="M910" s="84"/>
      <c r="N910" s="84"/>
      <c r="O910" s="84"/>
      <c r="P910" s="84"/>
      <c r="Q910" s="84"/>
      <c r="R910" s="84"/>
      <c r="S910" s="84"/>
    </row>
    <row r="911" spans="1:19">
      <c r="A911" s="629" t="s">
        <v>392</v>
      </c>
      <c r="B911" s="248">
        <v>3.7514200672279199E-3</v>
      </c>
      <c r="C911" s="248">
        <v>2.7498530800050699E-3</v>
      </c>
      <c r="D911" s="248">
        <v>9.4445737851385093E-3</v>
      </c>
      <c r="E911" s="248">
        <v>3.1974528880423401E-3</v>
      </c>
      <c r="F911" s="248"/>
      <c r="G911" s="248">
        <v>3.6269912936172902E-3</v>
      </c>
      <c r="H911" s="735">
        <v>2.8577855191127999E-3</v>
      </c>
      <c r="I911" s="735">
        <v>4.0787968486894104E-3</v>
      </c>
      <c r="J911" s="735">
        <v>2.9163065216287099E-3</v>
      </c>
      <c r="L911" s="84"/>
      <c r="M911" s="84"/>
      <c r="N911" s="84"/>
      <c r="O911" s="84"/>
      <c r="P911" s="84"/>
      <c r="Q911" s="84"/>
      <c r="R911" s="84"/>
      <c r="S911" s="84"/>
    </row>
    <row r="912" spans="1:19">
      <c r="A912" s="629" t="s">
        <v>391</v>
      </c>
      <c r="B912" s="248">
        <v>7.0012382561052402E-3</v>
      </c>
      <c r="C912" s="248">
        <v>3.1536810950766902E-3</v>
      </c>
      <c r="D912" s="248">
        <v>6.26431787979999E-3</v>
      </c>
      <c r="E912" s="248">
        <v>2.9321831592105702E-3</v>
      </c>
      <c r="F912" s="248"/>
      <c r="G912" s="248">
        <v>5.2464723736596998E-3</v>
      </c>
      <c r="H912" s="735">
        <v>2.5401166236184102E-3</v>
      </c>
      <c r="I912" s="735">
        <v>3.9650272432647298E-3</v>
      </c>
      <c r="J912" s="735">
        <v>2.5890468724259399E-3</v>
      </c>
      <c r="L912" s="84"/>
      <c r="M912" s="84"/>
      <c r="N912" s="84"/>
      <c r="O912" s="84"/>
      <c r="P912" s="84"/>
      <c r="Q912" s="84"/>
      <c r="R912" s="84"/>
      <c r="S912" s="84"/>
    </row>
    <row r="913" spans="1:19">
      <c r="A913" s="629" t="s">
        <v>390</v>
      </c>
      <c r="B913" s="248">
        <v>6.5799902042473898E-3</v>
      </c>
      <c r="C913" s="248">
        <v>2.9006781906667401E-3</v>
      </c>
      <c r="D913" s="248">
        <v>5.1009811854845297E-3</v>
      </c>
      <c r="E913" s="248">
        <v>2.7146649271657399E-3</v>
      </c>
      <c r="F913" s="248"/>
      <c r="G913" s="248">
        <v>5.3335885925248497E-3</v>
      </c>
      <c r="H913" s="735">
        <v>2.9391930263457798E-3</v>
      </c>
      <c r="I913" s="735">
        <v>3.6942480846755802E-3</v>
      </c>
      <c r="J913" s="735">
        <v>3.0005077084270799E-3</v>
      </c>
      <c r="L913" s="84"/>
      <c r="M913" s="84"/>
      <c r="N913" s="84"/>
      <c r="O913" s="84"/>
      <c r="P913" s="84"/>
      <c r="Q913" s="84"/>
      <c r="R913" s="84"/>
      <c r="S913" s="84"/>
    </row>
    <row r="914" spans="1:19">
      <c r="A914" s="629" t="s">
        <v>389</v>
      </c>
      <c r="B914" s="248">
        <v>5.8422160117965498E-3</v>
      </c>
      <c r="C914" s="248">
        <v>2.7435410546867299E-3</v>
      </c>
      <c r="D914" s="248">
        <v>5.9180662742720899E-3</v>
      </c>
      <c r="E914" s="248">
        <v>3.0880356852192202E-3</v>
      </c>
      <c r="F914" s="248"/>
      <c r="G914" s="248">
        <v>4.86005751979352E-3</v>
      </c>
      <c r="H914" s="735">
        <v>3.6841632353008E-3</v>
      </c>
      <c r="I914" s="735">
        <v>5.0155393126623199E-3</v>
      </c>
      <c r="J914" s="735">
        <v>3.7767802921977499E-3</v>
      </c>
      <c r="L914" s="84"/>
      <c r="M914" s="84"/>
      <c r="N914" s="84"/>
      <c r="O914" s="84"/>
      <c r="P914" s="84"/>
      <c r="Q914" s="84"/>
      <c r="R914" s="84"/>
      <c r="S914" s="84"/>
    </row>
    <row r="915" spans="1:19">
      <c r="A915" s="629" t="s">
        <v>388</v>
      </c>
      <c r="B915" s="248">
        <v>5.2125274681417899E-3</v>
      </c>
      <c r="C915" s="248">
        <v>2.6218338686269001E-3</v>
      </c>
      <c r="D915" s="248">
        <v>4.1049843382410097E-3</v>
      </c>
      <c r="E915" s="248">
        <v>2.8144143692777099E-3</v>
      </c>
      <c r="F915" s="248"/>
      <c r="G915" s="248">
        <v>4.7619413005012198E-3</v>
      </c>
      <c r="H915" s="735">
        <v>3.1466079387547198E-3</v>
      </c>
      <c r="I915" s="735">
        <v>4.45272227629141E-3</v>
      </c>
      <c r="J915" s="735">
        <v>3.2252678163881801E-3</v>
      </c>
      <c r="L915" s="84"/>
      <c r="M915" s="84"/>
      <c r="N915" s="84"/>
      <c r="O915" s="84"/>
      <c r="P915" s="84"/>
      <c r="Q915" s="84"/>
      <c r="R915" s="84"/>
      <c r="S915" s="84"/>
    </row>
    <row r="916" spans="1:19">
      <c r="A916" s="629" t="s">
        <v>387</v>
      </c>
      <c r="B916" s="248">
        <v>5.5116771798967698E-3</v>
      </c>
      <c r="C916" s="248">
        <v>2.8092296725706701E-3</v>
      </c>
      <c r="D916" s="248">
        <v>8.5663824155887205E-3</v>
      </c>
      <c r="E916" s="248">
        <v>2.5429889160574902E-3</v>
      </c>
      <c r="F916" s="248"/>
      <c r="G916" s="248">
        <v>4.4295309456757097E-3</v>
      </c>
      <c r="H916" s="735">
        <v>3.2208660533132199E-3</v>
      </c>
      <c r="I916" s="735">
        <v>4.4366014306535901E-3</v>
      </c>
      <c r="J916" s="735">
        <v>3.27923051172217E-3</v>
      </c>
      <c r="L916" s="84"/>
      <c r="M916" s="84"/>
      <c r="N916" s="84"/>
      <c r="O916" s="84"/>
      <c r="P916" s="84"/>
      <c r="Q916" s="84"/>
      <c r="R916" s="84"/>
      <c r="S916" s="84"/>
    </row>
    <row r="917" spans="1:19">
      <c r="A917" s="629" t="s">
        <v>386</v>
      </c>
      <c r="B917" s="248">
        <v>5.3497343865106699E-3</v>
      </c>
      <c r="C917" s="248">
        <v>2.6402123506815002E-3</v>
      </c>
      <c r="D917" s="248">
        <v>8.1895961986719196E-3</v>
      </c>
      <c r="E917" s="248">
        <v>2.45021516258281E-3</v>
      </c>
      <c r="F917" s="248"/>
      <c r="G917" s="248">
        <v>4.0587804992555801E-3</v>
      </c>
      <c r="H917" s="735">
        <v>2.7689651507479501E-3</v>
      </c>
      <c r="I917" s="735">
        <v>3.9388923880373499E-3</v>
      </c>
      <c r="J917" s="735">
        <v>2.8184988334723402E-3</v>
      </c>
      <c r="L917" s="84"/>
      <c r="M917" s="84"/>
      <c r="N917" s="84"/>
      <c r="O917" s="84"/>
      <c r="P917" s="84"/>
      <c r="Q917" s="84"/>
      <c r="R917" s="84"/>
      <c r="S917" s="84"/>
    </row>
    <row r="918" spans="1:19">
      <c r="A918" s="629" t="s">
        <v>385</v>
      </c>
      <c r="B918" s="248">
        <v>4.8050893913632996E-3</v>
      </c>
      <c r="C918" s="248">
        <v>2.9364880985349698E-3</v>
      </c>
      <c r="D918" s="248">
        <v>8.3420307134520894E-3</v>
      </c>
      <c r="E918" s="248">
        <v>2.3363274971164799E-3</v>
      </c>
      <c r="F918" s="248"/>
      <c r="G918" s="248">
        <v>3.8631095026676501E-3</v>
      </c>
      <c r="H918" s="735">
        <v>2.4949578824978499E-3</v>
      </c>
      <c r="I918" s="735">
        <v>3.9977262135721002E-3</v>
      </c>
      <c r="J918" s="735">
        <v>2.5370270743846198E-3</v>
      </c>
      <c r="L918" s="84"/>
      <c r="M918" s="84"/>
      <c r="N918" s="84"/>
      <c r="O918" s="84"/>
      <c r="P918" s="84"/>
      <c r="Q918" s="84"/>
      <c r="R918" s="84"/>
      <c r="S918" s="84"/>
    </row>
    <row r="919" spans="1:19">
      <c r="A919" s="629" t="s">
        <v>384</v>
      </c>
      <c r="B919" s="248">
        <v>4.5967969934619102E-3</v>
      </c>
      <c r="C919" s="248">
        <v>2.6934855833616899E-3</v>
      </c>
      <c r="D919" s="248">
        <v>5.2027596674547498E-3</v>
      </c>
      <c r="E919" s="248">
        <v>2.1397881201098601E-3</v>
      </c>
      <c r="F919" s="248"/>
      <c r="G919" s="248">
        <v>3.5376911524132599E-3</v>
      </c>
      <c r="H919" s="735">
        <v>2.2957475419919798E-3</v>
      </c>
      <c r="I919" s="735">
        <v>3.6771166208151101E-3</v>
      </c>
      <c r="J919" s="735">
        <v>2.33559589192508E-3</v>
      </c>
      <c r="L919" s="84"/>
      <c r="M919" s="84"/>
      <c r="N919" s="84"/>
      <c r="O919" s="84"/>
      <c r="P919" s="84"/>
      <c r="Q919" s="84"/>
      <c r="R919" s="84"/>
      <c r="S919" s="84"/>
    </row>
    <row r="920" spans="1:19">
      <c r="A920" s="629" t="s">
        <v>383</v>
      </c>
      <c r="B920" s="248">
        <v>4.2938861806024499E-3</v>
      </c>
      <c r="C920" s="248">
        <v>2.5968398366912602E-3</v>
      </c>
      <c r="D920" s="248">
        <v>6.0317932932128998E-3</v>
      </c>
      <c r="E920" s="248">
        <v>2.3717265773700001E-3</v>
      </c>
      <c r="F920" s="248"/>
      <c r="G920" s="248">
        <v>3.2569949806578401E-3</v>
      </c>
      <c r="H920" s="735">
        <v>2.0946252067834598E-3</v>
      </c>
      <c r="I920" s="735">
        <v>4.5668847251951498E-3</v>
      </c>
      <c r="J920" s="735">
        <v>2.1209917458850001E-3</v>
      </c>
      <c r="L920" s="84"/>
      <c r="M920" s="84"/>
      <c r="N920" s="84"/>
      <c r="O920" s="84"/>
      <c r="P920" s="84"/>
      <c r="Q920" s="84"/>
      <c r="R920" s="84"/>
      <c r="S920" s="84"/>
    </row>
    <row r="921" spans="1:19">
      <c r="A921" s="629" t="s">
        <v>382</v>
      </c>
      <c r="B921" s="248">
        <v>3.8373251482955802E-3</v>
      </c>
      <c r="C921" s="248">
        <v>3.0395852433649701E-3</v>
      </c>
      <c r="D921" s="248">
        <v>4.41863778334994E-3</v>
      </c>
      <c r="E921" s="248">
        <v>2.2002705188342402E-3</v>
      </c>
      <c r="F921" s="248"/>
      <c r="G921" s="248">
        <v>3.1467278806807299E-3</v>
      </c>
      <c r="H921" s="735">
        <v>2.5237970330559902E-3</v>
      </c>
      <c r="I921" s="735">
        <v>4.1341693509285198E-3</v>
      </c>
      <c r="J921" s="735">
        <v>2.5473998941765502E-3</v>
      </c>
      <c r="L921" s="84"/>
      <c r="M921" s="84"/>
      <c r="N921" s="84"/>
      <c r="O921" s="84"/>
      <c r="P921" s="84"/>
      <c r="Q921" s="84"/>
      <c r="R921" s="84"/>
      <c r="S921" s="84"/>
    </row>
    <row r="922" spans="1:19">
      <c r="A922" s="629" t="s">
        <v>381</v>
      </c>
      <c r="B922" s="248">
        <v>3.5648210348824998E-3</v>
      </c>
      <c r="C922" s="248">
        <v>3.4672538324213901E-3</v>
      </c>
      <c r="D922" s="248">
        <v>5.8057013976498296E-3</v>
      </c>
      <c r="E922" s="248">
        <v>2.0912042480237601E-3</v>
      </c>
      <c r="F922" s="248"/>
      <c r="G922" s="248">
        <v>2.8898882597612899E-3</v>
      </c>
      <c r="H922" s="735">
        <v>2.2444094602817898E-3</v>
      </c>
      <c r="I922" s="735">
        <v>4.7934663406203797E-3</v>
      </c>
      <c r="J922" s="735">
        <v>2.2640007947093499E-3</v>
      </c>
      <c r="L922" s="84"/>
      <c r="M922" s="84"/>
      <c r="N922" s="84"/>
      <c r="O922" s="84"/>
      <c r="P922" s="84"/>
      <c r="Q922" s="84"/>
      <c r="R922" s="84"/>
      <c r="S922" s="84"/>
    </row>
    <row r="923" spans="1:19">
      <c r="A923" s="629" t="s">
        <v>380</v>
      </c>
      <c r="B923" s="248">
        <v>3.2095821123409901E-3</v>
      </c>
      <c r="C923" s="248">
        <v>3.0130923175049102E-3</v>
      </c>
      <c r="D923" s="248">
        <v>7.8963021109344899E-3</v>
      </c>
      <c r="E923" s="248">
        <v>2.0215893383895298E-3</v>
      </c>
      <c r="F923" s="248"/>
      <c r="G923" s="248">
        <v>2.7975695466811298E-3</v>
      </c>
      <c r="H923" s="735">
        <v>2.8501974030870699E-3</v>
      </c>
      <c r="I923" s="735">
        <v>4.9999841112539304E-3</v>
      </c>
      <c r="J923" s="735">
        <v>2.88918783654827E-3</v>
      </c>
      <c r="L923" s="84"/>
      <c r="M923" s="84"/>
      <c r="N923" s="84"/>
      <c r="O923" s="84"/>
      <c r="P923" s="84"/>
      <c r="Q923" s="84"/>
      <c r="R923" s="84"/>
      <c r="S923" s="84"/>
    </row>
    <row r="924" spans="1:19">
      <c r="A924" s="629" t="s">
        <v>379</v>
      </c>
      <c r="B924" s="248">
        <v>4.0551965616857297E-3</v>
      </c>
      <c r="C924" s="248">
        <v>2.7164224990325302E-3</v>
      </c>
      <c r="D924" s="248">
        <v>7.8250388570576899E-3</v>
      </c>
      <c r="E924" s="248">
        <v>1.9402128102959601E-3</v>
      </c>
      <c r="F924" s="248"/>
      <c r="G924" s="248">
        <v>2.6978164583011102E-3</v>
      </c>
      <c r="H924" s="735">
        <v>3.5607966796013702E-3</v>
      </c>
      <c r="I924" s="735">
        <v>6.8879325185371397E-3</v>
      </c>
      <c r="J924" s="735">
        <v>3.5989276918295498E-3</v>
      </c>
      <c r="L924" s="84"/>
      <c r="M924" s="84"/>
      <c r="N924" s="84"/>
      <c r="O924" s="84"/>
      <c r="P924" s="84"/>
      <c r="Q924" s="84"/>
      <c r="R924" s="84"/>
      <c r="S924" s="84"/>
    </row>
    <row r="925" spans="1:19">
      <c r="A925" s="629" t="s">
        <v>378</v>
      </c>
      <c r="B925" s="248">
        <v>3.6405734434048998E-3</v>
      </c>
      <c r="C925" s="248">
        <v>2.73136475214191E-3</v>
      </c>
      <c r="D925" s="248">
        <v>4.9471899466925102E-3</v>
      </c>
      <c r="E925" s="248">
        <v>1.83805132548497E-3</v>
      </c>
      <c r="F925" s="248"/>
      <c r="G925" s="248">
        <v>2.7153529438957201E-3</v>
      </c>
      <c r="H925" s="735">
        <v>3.0539838518428199E-3</v>
      </c>
      <c r="I925" s="735">
        <v>6.0957663923913597E-3</v>
      </c>
      <c r="J925" s="735">
        <v>3.0874728285913301E-3</v>
      </c>
      <c r="L925" s="84"/>
      <c r="M925" s="84"/>
      <c r="N925" s="84"/>
      <c r="O925" s="84"/>
      <c r="P925" s="84"/>
      <c r="Q925" s="84"/>
      <c r="R925" s="84"/>
      <c r="S925" s="84"/>
    </row>
    <row r="926" spans="1:19">
      <c r="A926" s="629" t="s">
        <v>377</v>
      </c>
      <c r="B926" s="248">
        <v>3.2842805408059899E-3</v>
      </c>
      <c r="C926" s="248">
        <v>3.2034277947234299E-3</v>
      </c>
      <c r="D926" s="248">
        <v>1.03427225493916E-2</v>
      </c>
      <c r="E926" s="248">
        <v>1.9430617852698401E-3</v>
      </c>
      <c r="F926" s="248"/>
      <c r="G926" s="248">
        <v>2.5664960645611599E-3</v>
      </c>
      <c r="H926" s="735">
        <v>4.5782467001283297E-3</v>
      </c>
      <c r="I926" s="735">
        <v>7.5820634810188497E-3</v>
      </c>
      <c r="J926" s="735">
        <v>4.6374028820475397E-3</v>
      </c>
      <c r="L926" s="84"/>
      <c r="M926" s="84"/>
      <c r="N926" s="84"/>
      <c r="O926" s="84"/>
      <c r="P926" s="84"/>
      <c r="Q926" s="84"/>
      <c r="R926" s="84"/>
      <c r="S926" s="84"/>
    </row>
    <row r="927" spans="1:19">
      <c r="A927" s="629" t="s">
        <v>376</v>
      </c>
      <c r="B927" s="248">
        <v>2.9824879893725802E-3</v>
      </c>
      <c r="C927" s="248">
        <v>3.35767580337373E-3</v>
      </c>
      <c r="D927" s="248">
        <v>6.7051003224913803E-3</v>
      </c>
      <c r="E927" s="248">
        <v>1.90718321159278E-3</v>
      </c>
      <c r="F927" s="248"/>
      <c r="G927" s="248">
        <v>2.3723680080548399E-3</v>
      </c>
      <c r="H927" s="735">
        <v>4.5187606266182904E-3</v>
      </c>
      <c r="I927" s="735">
        <v>6.79449991674039E-3</v>
      </c>
      <c r="J927" s="735">
        <v>4.5805384151308302E-3</v>
      </c>
      <c r="L927" s="84"/>
      <c r="M927" s="84"/>
      <c r="N927" s="84"/>
      <c r="O927" s="84"/>
      <c r="P927" s="84"/>
      <c r="Q927" s="84"/>
      <c r="R927" s="84"/>
      <c r="S927" s="84"/>
    </row>
    <row r="928" spans="1:19">
      <c r="A928" s="629" t="s">
        <v>375</v>
      </c>
      <c r="B928" s="248">
        <v>2.7364064855204501E-3</v>
      </c>
      <c r="C928" s="248">
        <v>2.9028042348825298E-3</v>
      </c>
      <c r="D928" s="248">
        <v>1.4262443856567599E-2</v>
      </c>
      <c r="E928" s="248">
        <v>4.6934735618539697E-3</v>
      </c>
      <c r="F928" s="248"/>
      <c r="G928" s="248">
        <v>2.1981347318207499E-3</v>
      </c>
      <c r="H928" s="735">
        <v>4.0510087134570999E-3</v>
      </c>
      <c r="I928" s="735">
        <v>5.9852743654581703E-3</v>
      </c>
      <c r="J928" s="735">
        <v>4.1093359115988498E-3</v>
      </c>
      <c r="L928" s="84"/>
      <c r="M928" s="84"/>
      <c r="N928" s="84"/>
      <c r="O928" s="84"/>
      <c r="P928" s="84"/>
      <c r="Q928" s="84"/>
      <c r="R928" s="84"/>
      <c r="S928" s="84"/>
    </row>
    <row r="929" spans="1:19">
      <c r="A929" s="629" t="s">
        <v>374</v>
      </c>
      <c r="B929" s="248">
        <v>2.62295553989806E-3</v>
      </c>
      <c r="C929" s="248">
        <v>2.6759158608745202E-3</v>
      </c>
      <c r="D929" s="248">
        <v>8.3018364815596307E-3</v>
      </c>
      <c r="E929" s="248">
        <v>4.2521667589237398E-3</v>
      </c>
      <c r="F929" s="248"/>
      <c r="G929" s="248">
        <v>2.07567056998658E-3</v>
      </c>
      <c r="H929" s="735">
        <v>4.1950285672494201E-3</v>
      </c>
      <c r="I929" s="735">
        <v>5.3478733992637596E-3</v>
      </c>
      <c r="J929" s="735">
        <v>4.2486734356329903E-3</v>
      </c>
      <c r="L929" s="84"/>
      <c r="M929" s="84"/>
      <c r="N929" s="84"/>
      <c r="O929" s="84"/>
      <c r="P929" s="84"/>
      <c r="Q929" s="84"/>
      <c r="R929" s="84"/>
      <c r="S929" s="84"/>
    </row>
    <row r="930" spans="1:19">
      <c r="A930" s="629" t="s">
        <v>373</v>
      </c>
      <c r="B930" s="248">
        <v>2.6505723974267199E-3</v>
      </c>
      <c r="C930" s="248">
        <v>2.5857457167264598E-3</v>
      </c>
      <c r="D930" s="248">
        <v>9.1689723258412802E-3</v>
      </c>
      <c r="E930" s="248">
        <v>3.8191982996003499E-3</v>
      </c>
      <c r="F930" s="248"/>
      <c r="G930" s="248">
        <v>2.0133986010143698E-3</v>
      </c>
      <c r="H930" s="735">
        <v>3.8082859681586902E-3</v>
      </c>
      <c r="I930" s="735">
        <v>4.9168524242777199E-3</v>
      </c>
      <c r="J930" s="735">
        <v>3.8586155988385201E-3</v>
      </c>
      <c r="L930" s="84"/>
      <c r="M930" s="84"/>
      <c r="N930" s="84"/>
      <c r="O930" s="84"/>
      <c r="P930" s="84"/>
      <c r="Q930" s="84"/>
      <c r="R930" s="84"/>
      <c r="S930" s="84"/>
    </row>
    <row r="931" spans="1:19">
      <c r="A931" s="629" t="s">
        <v>372</v>
      </c>
      <c r="B931" s="248">
        <v>2.6439437728518699E-3</v>
      </c>
      <c r="C931" s="248">
        <v>2.54883349876865E-3</v>
      </c>
      <c r="D931" s="248">
        <v>6.7849585597261801E-3</v>
      </c>
      <c r="E931" s="248">
        <v>3.8770002992495598E-3</v>
      </c>
      <c r="F931" s="248"/>
      <c r="G931" s="248">
        <v>2.0436037981471202E-3</v>
      </c>
      <c r="H931" s="735">
        <v>3.36861889637692E-3</v>
      </c>
      <c r="I931" s="735">
        <v>4.7569874526424598E-3</v>
      </c>
      <c r="J931" s="735">
        <v>3.4155808966951002E-3</v>
      </c>
      <c r="L931" s="84"/>
      <c r="M931" s="84"/>
      <c r="N931" s="84"/>
      <c r="O931" s="84"/>
      <c r="P931" s="84"/>
      <c r="Q931" s="84"/>
      <c r="R931" s="84"/>
      <c r="S931" s="84"/>
    </row>
    <row r="932" spans="1:19">
      <c r="A932" s="629" t="s">
        <v>371</v>
      </c>
      <c r="B932" s="248">
        <v>2.42901433110807E-3</v>
      </c>
      <c r="C932" s="248">
        <v>2.6070595534075699E-3</v>
      </c>
      <c r="D932" s="248">
        <v>5.8283317355098396E-3</v>
      </c>
      <c r="E932" s="248">
        <v>3.3795393304935101E-3</v>
      </c>
      <c r="F932" s="248"/>
      <c r="G932" s="248">
        <v>1.97649700819792E-3</v>
      </c>
      <c r="H932" s="735">
        <v>2.8889587881102399E-3</v>
      </c>
      <c r="I932" s="735">
        <v>4.3529262439158303E-3</v>
      </c>
      <c r="J932" s="735">
        <v>2.9291569351946301E-3</v>
      </c>
      <c r="L932" s="84"/>
      <c r="M932" s="84"/>
      <c r="N932" s="84"/>
      <c r="O932" s="84"/>
      <c r="P932" s="84"/>
      <c r="Q932" s="84"/>
      <c r="R932" s="84"/>
      <c r="S932" s="84"/>
    </row>
    <row r="933" spans="1:19">
      <c r="A933" s="629" t="s">
        <v>370</v>
      </c>
      <c r="B933" s="248">
        <v>2.62762278992122E-3</v>
      </c>
      <c r="C933" s="248">
        <v>2.89586304433734E-3</v>
      </c>
      <c r="D933" s="248">
        <v>4.6087147211070698E-3</v>
      </c>
      <c r="E933" s="248">
        <v>3.0925833740471898E-3</v>
      </c>
      <c r="F933" s="248"/>
      <c r="G933" s="248">
        <v>1.9416382419977301E-3</v>
      </c>
      <c r="H933" s="735">
        <v>3.12310200953497E-3</v>
      </c>
      <c r="I933" s="735">
        <v>4.4754168462194802E-3</v>
      </c>
      <c r="J933" s="735">
        <v>3.1628401715772698E-3</v>
      </c>
      <c r="L933" s="84"/>
      <c r="M933" s="84"/>
      <c r="N933" s="84"/>
      <c r="O933" s="84"/>
      <c r="P933" s="84"/>
      <c r="Q933" s="84"/>
      <c r="R933" s="84"/>
      <c r="S933" s="84"/>
    </row>
    <row r="934" spans="1:19">
      <c r="A934" s="629" t="s">
        <v>369</v>
      </c>
      <c r="B934" s="248">
        <v>3.2331550074004901E-3</v>
      </c>
      <c r="C934" s="248">
        <v>2.7817936574181098E-3</v>
      </c>
      <c r="D934" s="248">
        <v>3.5714813156387799E-3</v>
      </c>
      <c r="E934" s="248">
        <v>3.3360162622572101E-3</v>
      </c>
      <c r="F934" s="248"/>
      <c r="G934" s="248">
        <v>2.3144479583460699E-3</v>
      </c>
      <c r="H934" s="735">
        <v>2.8851932057027698E-3</v>
      </c>
      <c r="I934" s="735">
        <v>4.8263098727172101E-3</v>
      </c>
      <c r="J934" s="735">
        <v>2.92397170982005E-3</v>
      </c>
      <c r="L934" s="84"/>
      <c r="M934" s="84"/>
      <c r="N934" s="84"/>
      <c r="O934" s="84"/>
      <c r="P934" s="84"/>
      <c r="Q934" s="84"/>
      <c r="R934" s="84"/>
      <c r="S934" s="84"/>
    </row>
    <row r="935" spans="1:19">
      <c r="A935" s="629" t="s">
        <v>368</v>
      </c>
      <c r="B935" s="248">
        <v>2.93212748421029E-3</v>
      </c>
      <c r="C935" s="248">
        <v>2.6273761703012799E-3</v>
      </c>
      <c r="D935" s="248">
        <v>3.2148736922199602E-3</v>
      </c>
      <c r="E935" s="248">
        <v>3.03878460639715E-3</v>
      </c>
      <c r="F935" s="248"/>
      <c r="G935" s="248">
        <v>2.2781768700734502E-3</v>
      </c>
      <c r="H935" s="735">
        <v>2.4889717015726398E-3</v>
      </c>
      <c r="I935" s="735">
        <v>4.2612793996954198E-3</v>
      </c>
      <c r="J935" s="735">
        <v>2.5209051602771899E-3</v>
      </c>
      <c r="L935" s="84"/>
      <c r="M935" s="84"/>
      <c r="N935" s="84"/>
      <c r="O935" s="84"/>
      <c r="P935" s="84"/>
      <c r="Q935" s="84"/>
      <c r="R935" s="84"/>
      <c r="S935" s="84"/>
    </row>
    <row r="936" spans="1:19">
      <c r="A936" s="629" t="s">
        <v>367</v>
      </c>
      <c r="B936" s="248">
        <v>2.7441474037094402E-3</v>
      </c>
      <c r="C936" s="248">
        <v>2.7224776704842199E-3</v>
      </c>
      <c r="D936" s="248">
        <v>2.7514571540280999E-3</v>
      </c>
      <c r="E936" s="248">
        <v>2.9778752254295301E-3</v>
      </c>
      <c r="F936" s="248"/>
      <c r="G936" s="248">
        <v>2.12492022062562E-3</v>
      </c>
      <c r="H936" s="735">
        <v>2.1683642054179399E-3</v>
      </c>
      <c r="I936" s="735">
        <v>4.4052141807079098E-3</v>
      </c>
      <c r="J936" s="735">
        <v>2.19314489512856E-3</v>
      </c>
      <c r="L936" s="84"/>
      <c r="M936" s="84"/>
      <c r="N936" s="84"/>
      <c r="O936" s="84"/>
      <c r="P936" s="84"/>
      <c r="Q936" s="84"/>
      <c r="R936" s="84"/>
      <c r="S936" s="84"/>
    </row>
    <row r="937" spans="1:19">
      <c r="A937" s="629" t="s">
        <v>366</v>
      </c>
      <c r="B937" s="248">
        <v>2.5031670471876901E-3</v>
      </c>
      <c r="C937" s="248">
        <v>2.7380186626008701E-3</v>
      </c>
      <c r="D937" s="248">
        <v>2.3112903542034501E-3</v>
      </c>
      <c r="E937" s="248">
        <v>2.65258560670357E-3</v>
      </c>
      <c r="F937" s="248"/>
      <c r="G937" s="248">
        <v>1.9730699021547299E-3</v>
      </c>
      <c r="H937" s="735">
        <v>1.90973818314596E-3</v>
      </c>
      <c r="I937" s="735">
        <v>3.8969399913613601E-3</v>
      </c>
      <c r="J937" s="735">
        <v>1.92768138749095E-3</v>
      </c>
      <c r="L937" s="84"/>
      <c r="M937" s="84"/>
      <c r="N937" s="84"/>
      <c r="O937" s="84"/>
      <c r="P937" s="84"/>
      <c r="Q937" s="84"/>
      <c r="R937" s="84"/>
      <c r="S937" s="84"/>
    </row>
    <row r="938" spans="1:19">
      <c r="A938" s="629" t="s">
        <v>365</v>
      </c>
      <c r="B938" s="248">
        <v>2.3710855369276601E-3</v>
      </c>
      <c r="C938" s="248">
        <v>2.61107743936411E-3</v>
      </c>
      <c r="D938" s="248">
        <v>2.31808646871379E-3</v>
      </c>
      <c r="E938" s="248">
        <v>2.3995795475276402E-3</v>
      </c>
      <c r="F938" s="248"/>
      <c r="G938" s="248">
        <v>1.84143260890664E-3</v>
      </c>
      <c r="H938" s="735">
        <v>1.74532131947946E-3</v>
      </c>
      <c r="I938" s="735">
        <v>3.57740878212328E-3</v>
      </c>
      <c r="J938" s="735">
        <v>1.75641904384033E-3</v>
      </c>
      <c r="L938" s="84"/>
      <c r="M938" s="84"/>
      <c r="N938" s="84"/>
      <c r="O938" s="84"/>
      <c r="P938" s="84"/>
      <c r="Q938" s="84"/>
      <c r="R938" s="84"/>
      <c r="S938" s="84"/>
    </row>
    <row r="939" spans="1:19">
      <c r="A939" s="629" t="s">
        <v>364</v>
      </c>
      <c r="B939" s="248">
        <v>2.2018892266950198E-3</v>
      </c>
      <c r="C939" s="248">
        <v>2.9167659256554902E-3</v>
      </c>
      <c r="D939" s="248">
        <v>2.68408995851746E-3</v>
      </c>
      <c r="E939" s="248">
        <v>2.1911074375161898E-3</v>
      </c>
      <c r="F939" s="248"/>
      <c r="G939" s="248">
        <v>1.8993041905573001E-3</v>
      </c>
      <c r="H939" s="735">
        <v>1.8424512130888E-3</v>
      </c>
      <c r="I939" s="735">
        <v>3.1723572316635202E-3</v>
      </c>
      <c r="J939" s="735">
        <v>1.8489199280145199E-3</v>
      </c>
      <c r="L939" s="84"/>
      <c r="M939" s="84"/>
      <c r="N939" s="84"/>
      <c r="O939" s="84"/>
      <c r="P939" s="84"/>
      <c r="Q939" s="84"/>
      <c r="R939" s="84"/>
      <c r="S939" s="84"/>
    </row>
    <row r="940" spans="1:19">
      <c r="A940" s="629" t="s">
        <v>363</v>
      </c>
      <c r="B940" s="248">
        <v>2.0459103702805798E-3</v>
      </c>
      <c r="C940" s="248">
        <v>2.6827823870233598E-3</v>
      </c>
      <c r="D940" s="248">
        <v>2.2757557997252101E-3</v>
      </c>
      <c r="E940" s="248">
        <v>2.2710493330319798E-3</v>
      </c>
      <c r="F940" s="248"/>
      <c r="G940" s="248">
        <v>1.8338926039222099E-3</v>
      </c>
      <c r="H940" s="735">
        <v>1.63225773206245E-3</v>
      </c>
      <c r="I940" s="735">
        <v>2.8313350017211501E-3</v>
      </c>
      <c r="J940" s="735">
        <v>1.6345295555703599E-3</v>
      </c>
      <c r="L940" s="84"/>
      <c r="M940" s="84"/>
      <c r="N940" s="84"/>
      <c r="O940" s="84"/>
      <c r="P940" s="84"/>
      <c r="Q940" s="84"/>
      <c r="R940" s="84"/>
      <c r="S940" s="84"/>
    </row>
    <row r="941" spans="1:19">
      <c r="A941" s="629" t="s">
        <v>362</v>
      </c>
      <c r="B941" s="248">
        <v>1.9588429999473E-3</v>
      </c>
      <c r="C941" s="248">
        <v>2.5868332781689499E-3</v>
      </c>
      <c r="D941" s="248">
        <v>2.9393822145359601E-3</v>
      </c>
      <c r="E941" s="248">
        <v>2.0883666904879701E-3</v>
      </c>
      <c r="F941" s="248"/>
      <c r="G941" s="248">
        <v>1.74474977074673E-3</v>
      </c>
      <c r="H941" s="735">
        <v>1.6973434295935201E-3</v>
      </c>
      <c r="I941" s="735">
        <v>2.8832379076487199E-3</v>
      </c>
      <c r="J941" s="735">
        <v>1.70307251152502E-3</v>
      </c>
      <c r="L941" s="84"/>
      <c r="M941" s="84"/>
      <c r="N941" s="84"/>
      <c r="O941" s="84"/>
      <c r="P941" s="84"/>
      <c r="Q941" s="84"/>
      <c r="R941" s="84"/>
      <c r="S941" s="84"/>
    </row>
    <row r="942" spans="1:19">
      <c r="A942" s="629" t="s">
        <v>361</v>
      </c>
      <c r="B942" s="248">
        <v>2.0342971038407901E-3</v>
      </c>
      <c r="C942" s="248">
        <v>2.56174772077144E-3</v>
      </c>
      <c r="D942" s="248">
        <v>2.92222463766499E-3</v>
      </c>
      <c r="E942" s="248">
        <v>1.9475045774861701E-3</v>
      </c>
      <c r="F942" s="248"/>
      <c r="G942" s="248">
        <v>1.7549720373851599E-3</v>
      </c>
      <c r="H942" s="735">
        <v>1.5235157480329099E-3</v>
      </c>
      <c r="I942" s="735">
        <v>2.5828222866563001E-3</v>
      </c>
      <c r="J942" s="735">
        <v>1.5247931146680799E-3</v>
      </c>
      <c r="L942" s="84"/>
      <c r="M942" s="84"/>
      <c r="N942" s="84"/>
      <c r="O942" s="84"/>
      <c r="P942" s="84"/>
      <c r="Q942" s="84"/>
      <c r="R942" s="84"/>
      <c r="S942" s="84"/>
    </row>
    <row r="943" spans="1:19">
      <c r="A943" s="629" t="s">
        <v>360</v>
      </c>
      <c r="B943" s="248">
        <v>2.00282467730557E-3</v>
      </c>
      <c r="C943" s="248">
        <v>2.5394533993214801E-3</v>
      </c>
      <c r="D943" s="248">
        <v>2.6533342052632099E-3</v>
      </c>
      <c r="E943" s="248">
        <v>1.9547406761204998E-3</v>
      </c>
      <c r="F943" s="248"/>
      <c r="G943" s="248">
        <v>1.75983620046773E-3</v>
      </c>
      <c r="H943" s="735">
        <v>1.3739760617047601E-3</v>
      </c>
      <c r="I943" s="735">
        <v>2.3139806066102301E-3</v>
      </c>
      <c r="J943" s="735">
        <v>1.3704032677233E-3</v>
      </c>
      <c r="L943" s="84"/>
      <c r="M943" s="84"/>
      <c r="N943" s="84"/>
      <c r="O943" s="84"/>
      <c r="P943" s="84"/>
      <c r="Q943" s="84"/>
      <c r="R943" s="84"/>
      <c r="S943" s="84"/>
    </row>
    <row r="944" spans="1:19">
      <c r="A944" s="629" t="s">
        <v>359</v>
      </c>
      <c r="B944" s="248">
        <v>2.0167697029106202E-3</v>
      </c>
      <c r="C944" s="248">
        <v>2.7220838351988299E-3</v>
      </c>
      <c r="D944" s="248">
        <v>2.51603480186092E-3</v>
      </c>
      <c r="E944" s="248">
        <v>1.94857141722227E-3</v>
      </c>
      <c r="F944" s="248"/>
      <c r="G944" s="248">
        <v>1.6705400799166101E-3</v>
      </c>
      <c r="H944" s="735">
        <v>1.32001690156045E-3</v>
      </c>
      <c r="I944" s="735">
        <v>2.07116365895533E-3</v>
      </c>
      <c r="J944" s="735">
        <v>1.31231342846426E-3</v>
      </c>
      <c r="L944" s="84"/>
      <c r="M944" s="84"/>
      <c r="N944" s="84"/>
      <c r="O944" s="84"/>
      <c r="P944" s="84"/>
      <c r="Q944" s="84"/>
      <c r="R944" s="84"/>
      <c r="S944" s="84"/>
    </row>
    <row r="945" spans="1:19">
      <c r="A945" s="629" t="s">
        <v>358</v>
      </c>
      <c r="B945" s="248">
        <v>2.08361150870226E-3</v>
      </c>
      <c r="C945" s="248">
        <v>2.6026036973291699E-3</v>
      </c>
      <c r="D945" s="248">
        <v>2.92087913517842E-3</v>
      </c>
      <c r="E945" s="248">
        <v>2.2166004007899902E-3</v>
      </c>
      <c r="F945" s="248"/>
      <c r="G945" s="248">
        <v>2.4188930184719701E-3</v>
      </c>
      <c r="H945" s="735">
        <v>1.27589433547416E-3</v>
      </c>
      <c r="I945" s="735">
        <v>2.0731977201303101E-3</v>
      </c>
      <c r="J945" s="735">
        <v>1.2692925749855199E-3</v>
      </c>
      <c r="L945" s="84"/>
      <c r="M945" s="84"/>
      <c r="N945" s="84"/>
      <c r="O945" s="84"/>
      <c r="P945" s="84"/>
      <c r="Q945" s="84"/>
      <c r="R945" s="84"/>
      <c r="S945" s="84"/>
    </row>
    <row r="946" spans="1:19">
      <c r="A946" s="629" t="s">
        <v>357</v>
      </c>
      <c r="B946" s="248">
        <v>1.94420982456021E-3</v>
      </c>
      <c r="C946" s="248">
        <v>2.6501393095038602E-3</v>
      </c>
      <c r="D946" s="248">
        <v>2.3931521749188502E-3</v>
      </c>
      <c r="E946" s="248">
        <v>2.0818833753685302E-3</v>
      </c>
      <c r="F946" s="248"/>
      <c r="G946" s="248">
        <v>2.2700889222674698E-3</v>
      </c>
      <c r="H946" s="735">
        <v>1.1710432693200501E-3</v>
      </c>
      <c r="I946" s="735">
        <v>1.8609000327635199E-3</v>
      </c>
      <c r="J946" s="735">
        <v>1.1597753943575399E-3</v>
      </c>
      <c r="L946" s="84"/>
      <c r="M946" s="84"/>
      <c r="N946" s="84"/>
      <c r="O946" s="84"/>
      <c r="P946" s="84"/>
      <c r="Q946" s="84"/>
      <c r="R946" s="84"/>
      <c r="S946" s="84"/>
    </row>
    <row r="947" spans="1:19">
      <c r="A947" s="629" t="s">
        <v>356</v>
      </c>
      <c r="B947" s="248">
        <v>1.8711703540522299E-3</v>
      </c>
      <c r="C947" s="248">
        <v>3.2730740163267802E-3</v>
      </c>
      <c r="D947" s="248">
        <v>2.1602414779331898E-3</v>
      </c>
      <c r="E947" s="248">
        <v>2.13587264844344E-3</v>
      </c>
      <c r="F947" s="248"/>
      <c r="G947" s="248">
        <v>2.1155071235734301E-3</v>
      </c>
      <c r="H947" s="735">
        <v>1.0963369101680801E-3</v>
      </c>
      <c r="I947" s="735">
        <v>1.68144409452434E-3</v>
      </c>
      <c r="J947" s="735">
        <v>1.0825207977455901E-3</v>
      </c>
      <c r="L947" s="84"/>
      <c r="M947" s="84"/>
      <c r="N947" s="84"/>
      <c r="O947" s="84"/>
      <c r="P947" s="84"/>
      <c r="Q947" s="84"/>
      <c r="R947" s="84"/>
      <c r="S947" s="84"/>
    </row>
    <row r="948" spans="1:19">
      <c r="A948" s="629" t="s">
        <v>355</v>
      </c>
      <c r="B948" s="248">
        <v>1.81747708858691E-3</v>
      </c>
      <c r="C948" s="248">
        <v>3.0656735309058901E-3</v>
      </c>
      <c r="D948" s="248">
        <v>2.02565187121935E-3</v>
      </c>
      <c r="E948" s="248">
        <v>2.1210030799442199E-3</v>
      </c>
      <c r="F948" s="248"/>
      <c r="G948" s="248">
        <v>2.0207479878341498E-3</v>
      </c>
      <c r="H948" s="735">
        <v>1.23594520497546E-3</v>
      </c>
      <c r="I948" s="735">
        <v>1.5290149903869499E-3</v>
      </c>
      <c r="J948" s="735">
        <v>1.22439619116449E-3</v>
      </c>
      <c r="L948" s="84"/>
      <c r="M948" s="84"/>
      <c r="N948" s="84"/>
      <c r="O948" s="84"/>
      <c r="P948" s="84"/>
      <c r="Q948" s="84"/>
      <c r="R948" s="84"/>
      <c r="S948" s="84"/>
    </row>
    <row r="949" spans="1:19">
      <c r="A949" s="629" t="s">
        <v>354</v>
      </c>
      <c r="B949" s="248">
        <v>1.71234551253132E-3</v>
      </c>
      <c r="C949" s="248">
        <v>2.7452819474072299E-3</v>
      </c>
      <c r="D949" s="248">
        <v>1.92920041394074E-3</v>
      </c>
      <c r="E949" s="248">
        <v>2.1852759207584998E-3</v>
      </c>
      <c r="F949" s="248"/>
      <c r="G949" s="248">
        <v>2.2924112048717401E-3</v>
      </c>
      <c r="H949" s="735">
        <v>1.1362487661476001E-3</v>
      </c>
      <c r="I949" s="735">
        <v>1.49550137219383E-3</v>
      </c>
      <c r="J949" s="735">
        <v>1.1216195049291E-3</v>
      </c>
      <c r="L949" s="84"/>
      <c r="M949" s="84"/>
      <c r="N949" s="84"/>
      <c r="O949" s="84"/>
      <c r="P949" s="84"/>
      <c r="Q949" s="84"/>
      <c r="R949" s="84"/>
      <c r="S949" s="84"/>
    </row>
    <row r="950" spans="1:19">
      <c r="A950" s="629" t="s">
        <v>353</v>
      </c>
      <c r="B950" s="248">
        <v>1.62914330595187E-3</v>
      </c>
      <c r="C950" s="248">
        <v>2.6402885391601798E-3</v>
      </c>
      <c r="D950" s="248">
        <v>1.8855120716421701E-3</v>
      </c>
      <c r="E950" s="248">
        <v>2.08039513653258E-3</v>
      </c>
      <c r="F950" s="248"/>
      <c r="G950" s="248">
        <v>2.1546215008297598E-3</v>
      </c>
      <c r="H950" s="735">
        <v>1.0533667966211599E-3</v>
      </c>
      <c r="I950" s="735">
        <v>1.3575154925159201E-3</v>
      </c>
      <c r="J950" s="735">
        <v>1.0358690916792499E-3</v>
      </c>
      <c r="L950" s="84"/>
      <c r="M950" s="84"/>
      <c r="N950" s="84"/>
      <c r="O950" s="84"/>
      <c r="P950" s="84"/>
      <c r="Q950" s="84"/>
      <c r="R950" s="84"/>
      <c r="S950" s="84"/>
    </row>
    <row r="951" spans="1:19">
      <c r="A951" s="629" t="s">
        <v>352</v>
      </c>
      <c r="B951" s="248">
        <v>1.5733768842723099E-3</v>
      </c>
      <c r="C951" s="248">
        <v>2.6289807031267399E-3</v>
      </c>
      <c r="D951" s="248">
        <v>2.0965965313598299E-3</v>
      </c>
      <c r="E951" s="248">
        <v>1.93898381798948E-3</v>
      </c>
      <c r="F951" s="248"/>
      <c r="G951" s="248">
        <v>2.0610528119446902E-3</v>
      </c>
      <c r="H951" s="735">
        <v>9.9275668448837594E-4</v>
      </c>
      <c r="I951" s="735">
        <v>1.4306194446327401E-3</v>
      </c>
      <c r="J951" s="735">
        <v>9.7200723658246498E-4</v>
      </c>
      <c r="L951" s="84"/>
      <c r="M951" s="84"/>
      <c r="N951" s="84"/>
      <c r="O951" s="84"/>
      <c r="P951" s="84"/>
      <c r="Q951" s="84"/>
      <c r="R951" s="84"/>
      <c r="S951" s="84"/>
    </row>
    <row r="952" spans="1:19">
      <c r="A952" s="629" t="s">
        <v>351</v>
      </c>
      <c r="B952" s="248">
        <v>1.75329170801494E-3</v>
      </c>
      <c r="C952" s="248">
        <v>3.07655572096237E-3</v>
      </c>
      <c r="D952" s="248">
        <v>1.9996099557721102E-3</v>
      </c>
      <c r="E952" s="248">
        <v>2.2894232843936402E-3</v>
      </c>
      <c r="F952" s="248"/>
      <c r="G952" s="248">
        <v>2.27869707508106E-3</v>
      </c>
      <c r="H952" s="735">
        <v>1.07921600237858E-3</v>
      </c>
      <c r="I952" s="735">
        <v>1.42174542512531E-3</v>
      </c>
      <c r="J952" s="735">
        <v>1.05672704485683E-3</v>
      </c>
      <c r="L952" s="84"/>
      <c r="M952" s="84"/>
      <c r="N952" s="84"/>
      <c r="O952" s="84"/>
      <c r="P952" s="84"/>
      <c r="Q952" s="84"/>
      <c r="R952" s="84"/>
      <c r="S952" s="84"/>
    </row>
    <row r="953" spans="1:19">
      <c r="A953" s="629" t="s">
        <v>350</v>
      </c>
      <c r="B953" s="248">
        <v>1.6526823772495701E-3</v>
      </c>
      <c r="C953" s="248">
        <v>2.75125635761509E-3</v>
      </c>
      <c r="D953" s="248">
        <v>2.4480112392962499E-3</v>
      </c>
      <c r="E953" s="248">
        <v>2.1184583375419498E-3</v>
      </c>
      <c r="F953" s="248"/>
      <c r="G953" s="248">
        <v>2.1871759716937901E-3</v>
      </c>
      <c r="H953" s="735">
        <v>1.0959535729659501E-3</v>
      </c>
      <c r="I953" s="735">
        <v>1.33332671978737E-3</v>
      </c>
      <c r="J953" s="735">
        <v>1.0737726627057899E-3</v>
      </c>
      <c r="L953" s="84"/>
      <c r="M953" s="84"/>
      <c r="N953" s="84"/>
      <c r="O953" s="84"/>
      <c r="P953" s="84"/>
      <c r="Q953" s="84"/>
      <c r="R953" s="84"/>
      <c r="S953" s="84"/>
    </row>
    <row r="954" spans="1:19">
      <c r="A954" s="629" t="s">
        <v>349</v>
      </c>
      <c r="B954" s="248">
        <v>1.56595056583781E-3</v>
      </c>
      <c r="C954" s="248">
        <v>2.6142517992648602E-3</v>
      </c>
      <c r="D954" s="248">
        <v>2.1765628926783799E-3</v>
      </c>
      <c r="E954" s="248">
        <v>1.9774029119711701E-3</v>
      </c>
      <c r="F954" s="248"/>
      <c r="G954" s="248">
        <v>2.1341220611984899E-3</v>
      </c>
      <c r="H954" s="735">
        <v>1.15127988677434E-3</v>
      </c>
      <c r="I954" s="735">
        <v>1.24075316489151E-3</v>
      </c>
      <c r="J954" s="735">
        <v>1.1295310832676901E-3</v>
      </c>
      <c r="L954" s="84"/>
      <c r="M954" s="84"/>
      <c r="N954" s="84"/>
      <c r="O954" s="84"/>
      <c r="P954" s="84"/>
      <c r="Q954" s="84"/>
      <c r="R954" s="84"/>
      <c r="S954" s="84"/>
    </row>
    <row r="955" spans="1:19">
      <c r="A955" s="629" t="s">
        <v>348</v>
      </c>
      <c r="B955" s="248">
        <v>1.48877140824419E-3</v>
      </c>
      <c r="C955" s="248">
        <v>2.5623372745577702E-3</v>
      </c>
      <c r="D955" s="248">
        <v>2.10170187314018E-3</v>
      </c>
      <c r="E955" s="248">
        <v>2.4058153995284901E-3</v>
      </c>
      <c r="F955" s="248"/>
      <c r="G955" s="248">
        <v>2.06639351105624E-3</v>
      </c>
      <c r="H955" s="735">
        <v>1.08974840446973E-3</v>
      </c>
      <c r="I955" s="735">
        <v>1.15359852530312E-3</v>
      </c>
      <c r="J955" s="735">
        <v>1.0652078232761401E-3</v>
      </c>
      <c r="L955" s="84"/>
      <c r="M955" s="84"/>
      <c r="N955" s="84"/>
      <c r="O955" s="84"/>
      <c r="P955" s="84"/>
      <c r="Q955" s="84"/>
      <c r="R955" s="84"/>
      <c r="S955" s="84"/>
    </row>
    <row r="956" spans="1:19">
      <c r="A956" s="629" t="s">
        <v>347</v>
      </c>
      <c r="B956" s="248">
        <v>1.5037624109860801E-3</v>
      </c>
      <c r="C956" s="248">
        <v>2.64029088829604E-3</v>
      </c>
      <c r="D956" s="248">
        <v>1.9681892829761E-3</v>
      </c>
      <c r="E956" s="248">
        <v>2.2215768511164198E-3</v>
      </c>
      <c r="F956" s="248"/>
      <c r="G956" s="248">
        <v>2.3145756485886499E-3</v>
      </c>
      <c r="H956" s="735">
        <v>1.0962048683508399E-3</v>
      </c>
      <c r="I956" s="735">
        <v>1.06093957464973E-3</v>
      </c>
      <c r="J956" s="735">
        <v>1.07204335919822E-3</v>
      </c>
      <c r="L956" s="84"/>
      <c r="M956" s="84"/>
      <c r="N956" s="84"/>
      <c r="O956" s="84"/>
      <c r="P956" s="84"/>
      <c r="Q956" s="84"/>
      <c r="R956" s="84"/>
      <c r="S956" s="84"/>
    </row>
    <row r="957" spans="1:19">
      <c r="A957" s="629" t="s">
        <v>346</v>
      </c>
      <c r="B957" s="248">
        <v>1.54877702087266E-3</v>
      </c>
      <c r="C957" s="248">
        <v>2.6094221847218898E-3</v>
      </c>
      <c r="D957" s="248">
        <v>2.1008301411641101E-3</v>
      </c>
      <c r="E957" s="248">
        <v>2.0840471440873101E-3</v>
      </c>
      <c r="F957" s="248"/>
      <c r="G957" s="248">
        <v>2.59082872356308E-3</v>
      </c>
      <c r="H957" s="735">
        <v>1.10902078859821E-3</v>
      </c>
      <c r="I957" s="735">
        <v>1.04974574511099E-3</v>
      </c>
      <c r="J957" s="735">
        <v>1.0859091388626099E-3</v>
      </c>
      <c r="L957" s="84"/>
      <c r="M957" s="84"/>
      <c r="N957" s="84"/>
      <c r="O957" s="84"/>
      <c r="P957" s="84"/>
      <c r="Q957" s="84"/>
      <c r="R957" s="84"/>
      <c r="S957" s="84"/>
    </row>
    <row r="958" spans="1:19">
      <c r="A958" s="629" t="s">
        <v>345</v>
      </c>
      <c r="B958" s="248">
        <v>2.1320321948670199E-3</v>
      </c>
      <c r="C958" s="248">
        <v>2.76129652902324E-3</v>
      </c>
      <c r="D958" s="248">
        <v>2.3017643284418202E-3</v>
      </c>
      <c r="E958" s="248">
        <v>1.9608459168883501E-3</v>
      </c>
      <c r="F958" s="248"/>
      <c r="G958" s="248">
        <v>3.0916351697310401E-3</v>
      </c>
      <c r="H958" s="735">
        <v>1.10724468346984E-3</v>
      </c>
      <c r="I958" s="735">
        <v>9.7165199512332101E-4</v>
      </c>
      <c r="J958" s="735">
        <v>1.0844974564929099E-3</v>
      </c>
      <c r="L958" s="84"/>
      <c r="M958" s="84"/>
      <c r="N958" s="84"/>
      <c r="O958" s="84"/>
      <c r="P958" s="84"/>
      <c r="Q958" s="84"/>
      <c r="R958" s="84"/>
      <c r="S958" s="84"/>
    </row>
    <row r="959" spans="1:19">
      <c r="A959" s="629" t="s">
        <v>344</v>
      </c>
      <c r="B959" s="248">
        <v>1.9856010729938801E-3</v>
      </c>
      <c r="C959" s="248">
        <v>3.6220312394019999E-3</v>
      </c>
      <c r="D959" s="248">
        <v>2.2172037223977801E-3</v>
      </c>
      <c r="E959" s="248">
        <v>2.1513091321361398E-3</v>
      </c>
      <c r="F959" s="248"/>
      <c r="G959" s="248">
        <v>3.2684555443547002E-3</v>
      </c>
      <c r="H959" s="735">
        <v>1.0321854585719E-3</v>
      </c>
      <c r="I959" s="735">
        <v>1.1870370629784601E-3</v>
      </c>
      <c r="J959" s="735">
        <v>1.0083074154668601E-3</v>
      </c>
      <c r="L959" s="84"/>
      <c r="M959" s="84"/>
      <c r="N959" s="84"/>
      <c r="O959" s="84"/>
      <c r="P959" s="84"/>
      <c r="Q959" s="84"/>
      <c r="R959" s="84"/>
      <c r="S959" s="84"/>
    </row>
    <row r="960" spans="1:19">
      <c r="A960" s="629" t="s">
        <v>343</v>
      </c>
      <c r="B960" s="248">
        <v>1.85221419864877E-3</v>
      </c>
      <c r="C960" s="248">
        <v>3.1742278873371E-3</v>
      </c>
      <c r="D960" s="248">
        <v>2.0923205023642001E-3</v>
      </c>
      <c r="E960" s="248">
        <v>2.0092149608101299E-3</v>
      </c>
      <c r="F960" s="248"/>
      <c r="G960" s="248">
        <v>3.0477972657562999E-3</v>
      </c>
      <c r="H960" s="735">
        <v>1.0888929719502E-3</v>
      </c>
      <c r="I960" s="735">
        <v>1.1189724093521099E-3</v>
      </c>
      <c r="J960" s="735">
        <v>1.06181138149571E-3</v>
      </c>
      <c r="L960" s="84"/>
      <c r="M960" s="84"/>
      <c r="N960" s="84"/>
      <c r="O960" s="84"/>
      <c r="P960" s="84"/>
      <c r="Q960" s="84"/>
      <c r="R960" s="84"/>
      <c r="S960" s="84"/>
    </row>
    <row r="961" spans="1:19">
      <c r="A961" s="629" t="s">
        <v>342</v>
      </c>
      <c r="B961" s="248">
        <v>1.7656319622726001E-3</v>
      </c>
      <c r="C961" s="248">
        <v>2.8406212901980099E-3</v>
      </c>
      <c r="D961" s="248">
        <v>2.0116469312813001E-3</v>
      </c>
      <c r="E961" s="248">
        <v>2.2412384232440101E-3</v>
      </c>
      <c r="F961" s="248"/>
      <c r="G961" s="248">
        <v>2.83189440603707E-3</v>
      </c>
      <c r="H961" s="735">
        <v>1.0482840382595999E-3</v>
      </c>
      <c r="I961" s="735">
        <v>1.0289692463061699E-3</v>
      </c>
      <c r="J961" s="735">
        <v>1.0203181583471701E-3</v>
      </c>
      <c r="L961" s="84"/>
      <c r="M961" s="84"/>
      <c r="N961" s="84"/>
      <c r="O961" s="84"/>
      <c r="P961" s="84"/>
      <c r="Q961" s="84"/>
      <c r="R961" s="84"/>
      <c r="S961" s="84"/>
    </row>
    <row r="962" spans="1:19">
      <c r="A962" s="629" t="s">
        <v>341</v>
      </c>
      <c r="B962" s="248">
        <v>1.9472485790049401E-3</v>
      </c>
      <c r="C962" s="248">
        <v>2.7703475857821899E-3</v>
      </c>
      <c r="D962" s="248">
        <v>1.9214488344898701E-3</v>
      </c>
      <c r="E962" s="248">
        <v>2.06815630777781E-3</v>
      </c>
      <c r="F962" s="248"/>
      <c r="G962" s="248">
        <v>2.6156826176701601E-3</v>
      </c>
      <c r="H962" s="735">
        <v>9.7990611166195009E-4</v>
      </c>
      <c r="I962" s="735">
        <v>1.0750995987491799E-3</v>
      </c>
      <c r="J962" s="735">
        <v>9.5120689215068396E-4</v>
      </c>
      <c r="L962" s="84"/>
      <c r="M962" s="84"/>
      <c r="N962" s="84"/>
      <c r="O962" s="84"/>
      <c r="P962" s="84"/>
      <c r="Q962" s="84"/>
      <c r="R962" s="84"/>
      <c r="S962" s="84"/>
    </row>
    <row r="963" spans="1:19">
      <c r="A963" s="629" t="s">
        <v>340</v>
      </c>
      <c r="B963" s="248">
        <v>2.4323240517314902E-3</v>
      </c>
      <c r="C963" s="248">
        <v>3.7249586722345402E-3</v>
      </c>
      <c r="D963" s="248">
        <v>2.02188387005935E-3</v>
      </c>
      <c r="E963" s="248">
        <v>2.5019118126468499E-3</v>
      </c>
      <c r="F963" s="248"/>
      <c r="G963" s="248">
        <v>3.1157112352781899E-3</v>
      </c>
      <c r="H963" s="735">
        <v>9.9617753649517793E-4</v>
      </c>
      <c r="I963" s="735">
        <v>1.49010927562529E-3</v>
      </c>
      <c r="J963" s="735">
        <v>9.6890117007274602E-4</v>
      </c>
      <c r="L963" s="84"/>
      <c r="M963" s="84"/>
      <c r="N963" s="84"/>
      <c r="O963" s="84"/>
      <c r="P963" s="84"/>
      <c r="Q963" s="84"/>
      <c r="R963" s="84"/>
      <c r="S963" s="84"/>
    </row>
    <row r="964" spans="1:19">
      <c r="A964" s="629" t="s">
        <v>339</v>
      </c>
      <c r="B964" s="248">
        <v>2.2516100840328499E-3</v>
      </c>
      <c r="C964" s="248">
        <v>3.1541372752931398E-3</v>
      </c>
      <c r="D964" s="248">
        <v>5.02753415680471E-3</v>
      </c>
      <c r="E964" s="248">
        <v>2.2962938441774198E-3</v>
      </c>
      <c r="F964" s="248"/>
      <c r="G964" s="248">
        <v>2.8636482199930701E-3</v>
      </c>
      <c r="H964" s="735">
        <v>1.0609949833730501E-3</v>
      </c>
      <c r="I964" s="735">
        <v>1.36561433415703E-3</v>
      </c>
      <c r="J964" s="735">
        <v>1.03240499704438E-3</v>
      </c>
      <c r="L964" s="84"/>
      <c r="M964" s="84"/>
      <c r="N964" s="84"/>
      <c r="O964" s="84"/>
      <c r="P964" s="84"/>
      <c r="Q964" s="84"/>
      <c r="R964" s="84"/>
      <c r="S964" s="84"/>
    </row>
    <row r="965" spans="1:19">
      <c r="A965" s="629" t="s">
        <v>338</v>
      </c>
      <c r="B965" s="248">
        <v>2.1403476447005099E-3</v>
      </c>
      <c r="C965" s="248">
        <v>2.8330796960881598E-3</v>
      </c>
      <c r="D965" s="248">
        <v>4.0092675954935299E-3</v>
      </c>
      <c r="E965" s="248">
        <v>2.1277066223506702E-3</v>
      </c>
      <c r="F965" s="248"/>
      <c r="G965" s="248">
        <v>2.6735969045801498E-3</v>
      </c>
      <c r="H965" s="735">
        <v>9.9622803957923707E-4</v>
      </c>
      <c r="I965" s="735">
        <v>1.24569111612533E-3</v>
      </c>
      <c r="J965" s="735">
        <v>9.67605968390456E-4</v>
      </c>
      <c r="L965" s="84"/>
      <c r="M965" s="84"/>
      <c r="N965" s="84"/>
      <c r="O965" s="84"/>
      <c r="P965" s="84"/>
      <c r="Q965" s="84"/>
      <c r="R965" s="84"/>
      <c r="S965" s="84"/>
    </row>
    <row r="966" spans="1:19">
      <c r="A966" s="629" t="s">
        <v>337</v>
      </c>
      <c r="B966" s="248">
        <v>1.9850868132207399E-3</v>
      </c>
      <c r="C966" s="248">
        <v>3.8696492617705798E-3</v>
      </c>
      <c r="D966" s="248">
        <v>3.0065972346302199E-3</v>
      </c>
      <c r="E966" s="248">
        <v>2.2169224733091099E-3</v>
      </c>
      <c r="F966" s="248"/>
      <c r="G966" s="248">
        <v>3.61681783303292E-3</v>
      </c>
      <c r="H966" s="735">
        <v>9.8622430840516291E-4</v>
      </c>
      <c r="I966" s="735">
        <v>1.1809314914534299E-3</v>
      </c>
      <c r="J966" s="735">
        <v>9.5732857161179904E-4</v>
      </c>
      <c r="L966" s="84"/>
      <c r="M966" s="84"/>
      <c r="N966" s="84"/>
      <c r="O966" s="84"/>
      <c r="P966" s="84"/>
      <c r="Q966" s="84"/>
      <c r="R966" s="84"/>
      <c r="S966" s="84"/>
    </row>
    <row r="967" spans="1:19">
      <c r="A967" s="629" t="s">
        <v>336</v>
      </c>
      <c r="B967" s="248">
        <v>1.85696536590209E-3</v>
      </c>
      <c r="C967" s="248">
        <v>3.15629421489252E-3</v>
      </c>
      <c r="D967" s="248">
        <v>2.44953933696306E-3</v>
      </c>
      <c r="E967" s="248">
        <v>2.2941585526693301E-3</v>
      </c>
      <c r="F967" s="248"/>
      <c r="G967" s="248">
        <v>3.3742787560037601E-3</v>
      </c>
      <c r="H967" s="735">
        <v>9.3067318885504101E-4</v>
      </c>
      <c r="I967" s="735">
        <v>1.0837747225768001E-3</v>
      </c>
      <c r="J967" s="735">
        <v>9.0172508141981797E-4</v>
      </c>
      <c r="L967" s="84"/>
      <c r="M967" s="84"/>
      <c r="N967" s="84"/>
      <c r="O967" s="84"/>
      <c r="P967" s="84"/>
      <c r="Q967" s="84"/>
      <c r="R967" s="84"/>
      <c r="S967" s="84"/>
    </row>
    <row r="968" spans="1:19">
      <c r="A968" s="629" t="s">
        <v>335</v>
      </c>
      <c r="B968" s="248">
        <v>1.75114768540248E-3</v>
      </c>
      <c r="C968" s="248">
        <v>2.7745092369343498E-3</v>
      </c>
      <c r="D968" s="248">
        <v>2.29950839828844E-3</v>
      </c>
      <c r="E968" s="248">
        <v>2.21198677105473E-3</v>
      </c>
      <c r="F968" s="248"/>
      <c r="G968" s="248">
        <v>3.1533434482345999E-3</v>
      </c>
      <c r="H968" s="735">
        <v>8.8718055112627396E-4</v>
      </c>
      <c r="I968" s="735">
        <v>1.3000289171205999E-3</v>
      </c>
      <c r="J968" s="735">
        <v>8.5697016513423699E-4</v>
      </c>
      <c r="L968" s="84"/>
      <c r="M968" s="84"/>
      <c r="N968" s="84"/>
      <c r="O968" s="84"/>
      <c r="P968" s="84"/>
      <c r="Q968" s="84"/>
      <c r="R968" s="84"/>
      <c r="S968" s="84"/>
    </row>
    <row r="969" spans="1:19">
      <c r="A969" s="629" t="s">
        <v>334</v>
      </c>
      <c r="B969" s="248">
        <v>1.64817843165161E-3</v>
      </c>
      <c r="C969" s="248">
        <v>2.8389061840027501E-3</v>
      </c>
      <c r="D969" s="248">
        <v>2.9112720298169101E-3</v>
      </c>
      <c r="E969" s="248">
        <v>2.1144591109691102E-3</v>
      </c>
      <c r="F969" s="248"/>
      <c r="G969" s="248">
        <v>2.92004449934307E-3</v>
      </c>
      <c r="H969" s="735">
        <v>8.5328244356875802E-4</v>
      </c>
      <c r="I969" s="735">
        <v>1.1973685669473301E-3</v>
      </c>
      <c r="J969" s="735">
        <v>8.2134865437163897E-4</v>
      </c>
      <c r="L969" s="84"/>
      <c r="M969" s="84"/>
      <c r="N969" s="84"/>
      <c r="O969" s="84"/>
      <c r="P969" s="84"/>
      <c r="Q969" s="84"/>
      <c r="R969" s="84"/>
      <c r="S969" s="84"/>
    </row>
    <row r="970" spans="1:19">
      <c r="A970" s="629" t="s">
        <v>333</v>
      </c>
      <c r="B970" s="248">
        <v>1.5816387060266E-3</v>
      </c>
      <c r="C970" s="248">
        <v>2.65115693318798E-3</v>
      </c>
      <c r="D970" s="248">
        <v>2.5852373898855299E-3</v>
      </c>
      <c r="E970" s="248">
        <v>1.96553312748952E-3</v>
      </c>
      <c r="F970" s="248"/>
      <c r="G970" s="248">
        <v>2.7266696128115699E-3</v>
      </c>
      <c r="H970" s="735">
        <v>9.9058334733203093E-4</v>
      </c>
      <c r="I970" s="735">
        <v>1.1026518099827201E-3</v>
      </c>
      <c r="J970" s="735">
        <v>9.5900137457895804E-4</v>
      </c>
      <c r="L970" s="84"/>
      <c r="M970" s="84"/>
      <c r="N970" s="84"/>
      <c r="O970" s="84"/>
      <c r="P970" s="84"/>
      <c r="Q970" s="84"/>
      <c r="R970" s="84"/>
      <c r="S970" s="84"/>
    </row>
    <row r="971" spans="1:19">
      <c r="A971" s="629" t="s">
        <v>332</v>
      </c>
      <c r="B971" s="248">
        <v>1.6069791095177301E-3</v>
      </c>
      <c r="C971" s="248">
        <v>2.9118405558776401E-3</v>
      </c>
      <c r="D971" s="248">
        <v>2.22230786648888E-3</v>
      </c>
      <c r="E971" s="248">
        <v>2.21268458108721E-3</v>
      </c>
      <c r="F971" s="248"/>
      <c r="G971" s="248">
        <v>2.5699303559285399E-3</v>
      </c>
      <c r="H971" s="735">
        <v>9.37001804981155E-4</v>
      </c>
      <c r="I971" s="735">
        <v>1.04626200793222E-3</v>
      </c>
      <c r="J971" s="735">
        <v>9.0560774928194596E-4</v>
      </c>
      <c r="L971" s="84"/>
      <c r="M971" s="84"/>
      <c r="N971" s="84"/>
      <c r="O971" s="84"/>
      <c r="P971" s="84"/>
      <c r="Q971" s="84"/>
      <c r="R971" s="84"/>
      <c r="S971" s="84"/>
    </row>
    <row r="972" spans="1:19">
      <c r="A972" s="629" t="s">
        <v>331</v>
      </c>
      <c r="B972" s="248">
        <v>1.57704696769714E-3</v>
      </c>
      <c r="C972" s="248">
        <v>3.3752915007247601E-3</v>
      </c>
      <c r="D972" s="248">
        <v>2.7495600414735098E-3</v>
      </c>
      <c r="E972" s="248">
        <v>2.1319962357622302E-3</v>
      </c>
      <c r="F972" s="248"/>
      <c r="G972" s="248">
        <v>2.52192507269215E-3</v>
      </c>
      <c r="H972" s="735">
        <v>8.8839981113398095E-4</v>
      </c>
      <c r="I972" s="735">
        <v>1.1756998878472899E-3</v>
      </c>
      <c r="J972" s="735">
        <v>8.5668170913742899E-4</v>
      </c>
      <c r="L972" s="84"/>
      <c r="M972" s="84"/>
      <c r="N972" s="84"/>
      <c r="O972" s="84"/>
      <c r="P972" s="84"/>
      <c r="Q972" s="84"/>
      <c r="R972" s="84"/>
      <c r="S972" s="84"/>
    </row>
    <row r="973" spans="1:19">
      <c r="A973" s="629" t="s">
        <v>330</v>
      </c>
      <c r="B973" s="248">
        <v>1.50005472789087E-3</v>
      </c>
      <c r="C973" s="248">
        <v>2.9211671592368599E-3</v>
      </c>
      <c r="D973" s="248">
        <v>4.2808350523764497E-3</v>
      </c>
      <c r="E973" s="248">
        <v>1.9788921102744501E-3</v>
      </c>
      <c r="F973" s="248"/>
      <c r="G973" s="248">
        <v>2.3922844481587598E-3</v>
      </c>
      <c r="H973" s="735">
        <v>8.8501029114701902E-4</v>
      </c>
      <c r="I973" s="735">
        <v>1.1220722106608E-3</v>
      </c>
      <c r="J973" s="735">
        <v>8.52744289068663E-4</v>
      </c>
      <c r="L973" s="84"/>
      <c r="M973" s="84"/>
      <c r="N973" s="84"/>
      <c r="O973" s="84"/>
      <c r="P973" s="84"/>
      <c r="Q973" s="84"/>
      <c r="R973" s="84"/>
      <c r="S973" s="84"/>
    </row>
    <row r="974" spans="1:19">
      <c r="A974" s="629" t="s">
        <v>329</v>
      </c>
      <c r="B974" s="248">
        <v>1.4582451120478299E-3</v>
      </c>
      <c r="C974" s="248">
        <v>2.70275654833482E-3</v>
      </c>
      <c r="D974" s="248">
        <v>3.2267230995958198E-3</v>
      </c>
      <c r="E974" s="248">
        <v>1.9082583320876899E-3</v>
      </c>
      <c r="F974" s="248"/>
      <c r="G974" s="248">
        <v>2.2233588943931198E-3</v>
      </c>
      <c r="H974" s="735">
        <v>8.9353648042066202E-4</v>
      </c>
      <c r="I974" s="735">
        <v>1.0938653268943799E-3</v>
      </c>
      <c r="J974" s="735">
        <v>8.5956020650045702E-4</v>
      </c>
      <c r="L974" s="84"/>
      <c r="M974" s="84"/>
      <c r="N974" s="84"/>
      <c r="O974" s="84"/>
      <c r="P974" s="84"/>
      <c r="Q974" s="84"/>
      <c r="R974" s="84"/>
      <c r="S974" s="84"/>
    </row>
    <row r="975" spans="1:19">
      <c r="A975" s="629" t="s">
        <v>328</v>
      </c>
      <c r="B975" s="248">
        <v>1.88418420810636E-3</v>
      </c>
      <c r="C975" s="248">
        <v>2.9781170183461199E-3</v>
      </c>
      <c r="D975" s="248">
        <v>4.4277238661397803E-3</v>
      </c>
      <c r="E975" s="248">
        <v>2.1796467559151399E-3</v>
      </c>
      <c r="F975" s="248"/>
      <c r="G975" s="248">
        <v>3.0935119582387702E-3</v>
      </c>
      <c r="H975" s="735">
        <v>9.3842684478126601E-4</v>
      </c>
      <c r="I975" s="735">
        <v>1.2692458715450499E-3</v>
      </c>
      <c r="J975" s="735">
        <v>9.0498191646530297E-4</v>
      </c>
      <c r="L975" s="84"/>
      <c r="M975" s="84"/>
      <c r="N975" s="84"/>
      <c r="O975" s="84"/>
      <c r="P975" s="84"/>
      <c r="Q975" s="84"/>
      <c r="R975" s="84"/>
      <c r="S975" s="84"/>
    </row>
    <row r="976" spans="1:19">
      <c r="A976" s="629" t="s">
        <v>327</v>
      </c>
      <c r="B976" s="248">
        <v>2.2477620709931601E-3</v>
      </c>
      <c r="C976" s="248">
        <v>2.7361490072652902E-3</v>
      </c>
      <c r="D976" s="248">
        <v>4.1036135039001697E-3</v>
      </c>
      <c r="E976" s="248">
        <v>2.0294659197226399E-3</v>
      </c>
      <c r="F976" s="248"/>
      <c r="G976" s="248">
        <v>2.8788187067389699E-3</v>
      </c>
      <c r="H976" s="735">
        <v>9.08885136224272E-4</v>
      </c>
      <c r="I976" s="735">
        <v>1.1829432723852501E-3</v>
      </c>
      <c r="J976" s="735">
        <v>8.7499117744150603E-4</v>
      </c>
      <c r="L976" s="84"/>
      <c r="M976" s="84"/>
      <c r="N976" s="84"/>
      <c r="O976" s="84"/>
      <c r="P976" s="84"/>
      <c r="Q976" s="84"/>
      <c r="R976" s="84"/>
      <c r="S976" s="84"/>
    </row>
    <row r="977" spans="1:19">
      <c r="A977" s="629" t="s">
        <v>326</v>
      </c>
      <c r="B977" s="248">
        <v>2.2011744460317998E-3</v>
      </c>
      <c r="C977" s="248">
        <v>3.4830194120613E-3</v>
      </c>
      <c r="D977" s="248">
        <v>3.3072174353860799E-3</v>
      </c>
      <c r="E977" s="248">
        <v>1.96068092060807E-3</v>
      </c>
      <c r="F977" s="248"/>
      <c r="G977" s="248">
        <v>2.7910033236942001E-3</v>
      </c>
      <c r="H977" s="735">
        <v>8.7268137018197702E-4</v>
      </c>
      <c r="I977" s="735">
        <v>1.08751857734454E-3</v>
      </c>
      <c r="J977" s="735">
        <v>8.3787951212319002E-4</v>
      </c>
      <c r="L977" s="84"/>
      <c r="M977" s="84"/>
      <c r="N977" s="84"/>
      <c r="O977" s="84"/>
      <c r="P977" s="84"/>
      <c r="Q977" s="84"/>
      <c r="R977" s="84"/>
      <c r="S977" s="84"/>
    </row>
    <row r="978" spans="1:19">
      <c r="A978" s="629" t="s">
        <v>325</v>
      </c>
      <c r="B978" s="248">
        <v>2.1298596605052698E-3</v>
      </c>
      <c r="C978" s="248">
        <v>3.50211607243081E-3</v>
      </c>
      <c r="D978" s="248">
        <v>2.62645173858644E-3</v>
      </c>
      <c r="E978" s="248">
        <v>2.0426413662392199E-3</v>
      </c>
      <c r="F978" s="248"/>
      <c r="G978" s="248">
        <v>3.1730971771254E-3</v>
      </c>
      <c r="H978" s="735">
        <v>8.4398385545748997E-4</v>
      </c>
      <c r="I978" s="735">
        <v>1.0079017614019799E-3</v>
      </c>
      <c r="J978" s="735">
        <v>8.0946452624742799E-4</v>
      </c>
      <c r="L978" s="84"/>
      <c r="M978" s="84"/>
      <c r="N978" s="84"/>
      <c r="O978" s="84"/>
      <c r="P978" s="84"/>
      <c r="Q978" s="84"/>
      <c r="R978" s="84"/>
      <c r="S978" s="84"/>
    </row>
    <row r="979" spans="1:19">
      <c r="A979" s="629" t="s">
        <v>324</v>
      </c>
      <c r="B979" s="248">
        <v>1.9819655268987599E-3</v>
      </c>
      <c r="C979" s="248">
        <v>3.4230685941967001E-3</v>
      </c>
      <c r="D979" s="248">
        <v>2.2538766491902902E-3</v>
      </c>
      <c r="E979" s="248">
        <v>2.7227427262173001E-3</v>
      </c>
      <c r="F979" s="248"/>
      <c r="G979" s="248">
        <v>3.1292463935080599E-3</v>
      </c>
      <c r="H979" s="735">
        <v>8.9991923475746596E-4</v>
      </c>
      <c r="I979" s="735">
        <v>1.1392402529326101E-3</v>
      </c>
      <c r="J979" s="735">
        <v>8.6956896001170504E-4</v>
      </c>
      <c r="L979" s="84"/>
      <c r="M979" s="84"/>
      <c r="N979" s="84"/>
      <c r="O979" s="84"/>
      <c r="P979" s="84"/>
      <c r="Q979" s="84"/>
      <c r="R979" s="84"/>
      <c r="S979" s="84"/>
    </row>
    <row r="980" spans="1:19">
      <c r="A980" s="629" t="s">
        <v>323</v>
      </c>
      <c r="B980" s="248">
        <v>1.86732678981688E-3</v>
      </c>
      <c r="C980" s="248">
        <v>2.89855693502919E-3</v>
      </c>
      <c r="D980" s="248">
        <v>2.2056750563909299E-3</v>
      </c>
      <c r="E980" s="248">
        <v>2.5133149022511202E-3</v>
      </c>
      <c r="F980" s="248"/>
      <c r="G980" s="248">
        <v>2.87421895451982E-3</v>
      </c>
      <c r="H980" s="735">
        <v>8.60441699284969E-4</v>
      </c>
      <c r="I980" s="735">
        <v>1.1765414599875599E-3</v>
      </c>
      <c r="J980" s="735">
        <v>8.2916927971591204E-4</v>
      </c>
      <c r="L980" s="84"/>
      <c r="M980" s="84"/>
      <c r="N980" s="84"/>
      <c r="O980" s="84"/>
      <c r="P980" s="84"/>
      <c r="Q980" s="84"/>
      <c r="R980" s="84"/>
      <c r="S980" s="84"/>
    </row>
    <row r="981" spans="1:19">
      <c r="A981" s="629" t="s">
        <v>322</v>
      </c>
      <c r="B981" s="248">
        <v>1.75148512187022E-3</v>
      </c>
      <c r="C981" s="248">
        <v>3.5238261676600502E-3</v>
      </c>
      <c r="D981" s="248">
        <v>2.0528303141261598E-3</v>
      </c>
      <c r="E981" s="248">
        <v>3.84081969967496E-3</v>
      </c>
      <c r="F981" s="248"/>
      <c r="G981" s="248">
        <v>2.6455348567932099E-3</v>
      </c>
      <c r="H981" s="735">
        <v>1.0084394880583E-3</v>
      </c>
      <c r="I981" s="735">
        <v>1.2262715486975101E-3</v>
      </c>
      <c r="J981" s="735">
        <v>9.7775373187274496E-4</v>
      </c>
      <c r="L981" s="84"/>
      <c r="M981" s="84"/>
      <c r="N981" s="84"/>
      <c r="O981" s="84"/>
      <c r="P981" s="84"/>
      <c r="Q981" s="84"/>
      <c r="R981" s="84"/>
      <c r="S981" s="84"/>
    </row>
    <row r="982" spans="1:19">
      <c r="A982" s="629" t="s">
        <v>321</v>
      </c>
      <c r="B982" s="248">
        <v>1.70367879775465E-3</v>
      </c>
      <c r="C982" s="248">
        <v>2.9327058987037402E-3</v>
      </c>
      <c r="D982" s="248">
        <v>5.5422866127627602E-3</v>
      </c>
      <c r="E982" s="248">
        <v>3.42884004012651E-3</v>
      </c>
      <c r="F982" s="248"/>
      <c r="G982" s="248">
        <v>2.4577849010689601E-3</v>
      </c>
      <c r="H982" s="735">
        <v>1.04709707226023E-3</v>
      </c>
      <c r="I982" s="735">
        <v>1.12272722264572E-3</v>
      </c>
      <c r="J982" s="735">
        <v>1.01613253231871E-3</v>
      </c>
      <c r="L982" s="84"/>
      <c r="M982" s="84"/>
      <c r="N982" s="84"/>
      <c r="O982" s="84"/>
      <c r="P982" s="84"/>
      <c r="Q982" s="84"/>
      <c r="R982" s="84"/>
      <c r="S982" s="84"/>
    </row>
    <row r="983" spans="1:19">
      <c r="A983" s="629" t="s">
        <v>320</v>
      </c>
      <c r="B983" s="248">
        <v>2.2624082479741898E-3</v>
      </c>
      <c r="C983" s="248">
        <v>3.8142404908177302E-3</v>
      </c>
      <c r="D983" s="248">
        <v>5.7332382932634603E-3</v>
      </c>
      <c r="E983" s="248">
        <v>3.8340312353081999E-3</v>
      </c>
      <c r="F983" s="248"/>
      <c r="G983" s="248">
        <v>2.3478608352328098E-3</v>
      </c>
      <c r="H983" s="735">
        <v>1.05265977985888E-3</v>
      </c>
      <c r="I983" s="735">
        <v>1.3887123993012299E-3</v>
      </c>
      <c r="J983" s="735">
        <v>1.0126485036307501E-3</v>
      </c>
      <c r="L983" s="84"/>
      <c r="M983" s="84"/>
      <c r="N983" s="84"/>
      <c r="O983" s="84"/>
      <c r="P983" s="84"/>
      <c r="Q983" s="84"/>
      <c r="R983" s="84"/>
      <c r="S983" s="84"/>
    </row>
    <row r="984" spans="1:19">
      <c r="A984" s="629" t="s">
        <v>319</v>
      </c>
      <c r="B984" s="248">
        <v>2.6813242007826701E-3</v>
      </c>
      <c r="C984" s="248">
        <v>4.8585102375238998E-3</v>
      </c>
      <c r="D984" s="248">
        <v>5.9006951176204699E-3</v>
      </c>
      <c r="E984" s="248">
        <v>4.5667388818781303E-3</v>
      </c>
      <c r="F984" s="248"/>
      <c r="G984" s="248">
        <v>2.77792709262365E-3</v>
      </c>
      <c r="H984" s="735">
        <v>1.1799731420316501E-3</v>
      </c>
      <c r="I984" s="735">
        <v>1.4627821210631701E-3</v>
      </c>
      <c r="J984" s="735">
        <v>1.14256928059522E-3</v>
      </c>
      <c r="L984" s="84"/>
      <c r="M984" s="84"/>
      <c r="N984" s="84"/>
      <c r="O984" s="84"/>
      <c r="P984" s="84"/>
      <c r="Q984" s="84"/>
      <c r="R984" s="84"/>
      <c r="S984" s="84"/>
    </row>
    <row r="985" spans="1:19">
      <c r="A985" s="629" t="s">
        <v>318</v>
      </c>
      <c r="B985" s="248">
        <v>2.4496420629443001E-3</v>
      </c>
      <c r="C985" s="248">
        <v>3.60666433975843E-3</v>
      </c>
      <c r="D985" s="248">
        <v>4.0894591838153199E-3</v>
      </c>
      <c r="E985" s="248">
        <v>5.2322655258263996E-3</v>
      </c>
      <c r="F985" s="248"/>
      <c r="G985" s="248">
        <v>3.4644576339733901E-3</v>
      </c>
      <c r="H985" s="735">
        <v>1.09458886080709E-3</v>
      </c>
      <c r="I985" s="735">
        <v>1.3483217016237699E-3</v>
      </c>
      <c r="J985" s="735">
        <v>1.05827944689178E-3</v>
      </c>
      <c r="L985" s="84"/>
      <c r="M985" s="84"/>
      <c r="N985" s="84"/>
      <c r="O985" s="84"/>
      <c r="P985" s="84"/>
      <c r="Q985" s="84"/>
      <c r="R985" s="84"/>
      <c r="S985" s="84"/>
    </row>
    <row r="986" spans="1:19">
      <c r="A986" s="629" t="s">
        <v>317</v>
      </c>
      <c r="B986" s="248">
        <v>2.2498217725689198E-3</v>
      </c>
      <c r="C986" s="248">
        <v>2.9664627434994499E-3</v>
      </c>
      <c r="D986" s="248">
        <v>3.0245563512777702E-3</v>
      </c>
      <c r="E986" s="248">
        <v>4.5153999456583101E-3</v>
      </c>
      <c r="F986" s="248"/>
      <c r="G986" s="248">
        <v>3.1788938308787399E-3</v>
      </c>
      <c r="H986" s="735">
        <v>1.1386418520830399E-3</v>
      </c>
      <c r="I986" s="735">
        <v>1.3145320957349601E-3</v>
      </c>
      <c r="J986" s="735">
        <v>1.09916932256498E-3</v>
      </c>
      <c r="L986" s="84"/>
      <c r="M986" s="84"/>
      <c r="N986" s="84"/>
      <c r="O986" s="84"/>
      <c r="P986" s="84"/>
      <c r="Q986" s="84"/>
      <c r="R986" s="84"/>
      <c r="S986" s="84"/>
    </row>
    <row r="987" spans="1:19">
      <c r="A987" s="629" t="s">
        <v>316</v>
      </c>
      <c r="B987" s="248">
        <v>2.11428109081056E-3</v>
      </c>
      <c r="C987" s="248">
        <v>2.7648733896392902E-3</v>
      </c>
      <c r="D987" s="248">
        <v>4.3012906948568302E-3</v>
      </c>
      <c r="E987" s="248">
        <v>4.1800509721670997E-3</v>
      </c>
      <c r="F987" s="248"/>
      <c r="G987" s="248">
        <v>3.3889448259787499E-3</v>
      </c>
      <c r="H987" s="735">
        <v>1.06247799560302E-3</v>
      </c>
      <c r="I987" s="735">
        <v>1.6068689868628701E-3</v>
      </c>
      <c r="J987" s="735">
        <v>1.02472068645307E-3</v>
      </c>
      <c r="L987" s="84"/>
      <c r="M987" s="84"/>
      <c r="N987" s="84"/>
      <c r="O987" s="84"/>
      <c r="P987" s="84"/>
      <c r="Q987" s="84"/>
      <c r="R987" s="84"/>
      <c r="S987" s="84"/>
    </row>
    <row r="988" spans="1:19">
      <c r="A988" s="629" t="s">
        <v>315</v>
      </c>
      <c r="B988" s="248">
        <v>2.3744250224949498E-3</v>
      </c>
      <c r="C988" s="248">
        <v>2.6650732837041201E-3</v>
      </c>
      <c r="D988" s="248">
        <v>6.6894235039345598E-3</v>
      </c>
      <c r="E988" s="248">
        <v>3.61641599910111E-3</v>
      </c>
      <c r="F988" s="248"/>
      <c r="G988" s="248">
        <v>3.1375312203251399E-3</v>
      </c>
      <c r="H988" s="735">
        <v>1.3040803124755901E-3</v>
      </c>
      <c r="I988" s="735">
        <v>1.4559819675407199E-3</v>
      </c>
      <c r="J988" s="735">
        <v>1.2755790800812899E-3</v>
      </c>
      <c r="L988" s="84"/>
      <c r="M988" s="84"/>
      <c r="N988" s="84"/>
      <c r="O988" s="84"/>
      <c r="P988" s="84"/>
      <c r="Q988" s="84"/>
      <c r="R988" s="84"/>
      <c r="S988" s="84"/>
    </row>
    <row r="989" spans="1:19">
      <c r="A989" s="629" t="s">
        <v>314</v>
      </c>
      <c r="B989" s="248">
        <v>2.57509488125191E-3</v>
      </c>
      <c r="C989" s="248">
        <v>2.60148506132379E-3</v>
      </c>
      <c r="D989" s="248">
        <v>4.3884962822377102E-3</v>
      </c>
      <c r="E989" s="248">
        <v>3.1510373710549899E-3</v>
      </c>
      <c r="F989" s="248"/>
      <c r="G989" s="248">
        <v>2.8810585766512599E-3</v>
      </c>
      <c r="H989" s="735">
        <v>1.2176403136005499E-3</v>
      </c>
      <c r="I989" s="735">
        <v>1.3249623081301801E-3</v>
      </c>
      <c r="J989" s="735">
        <v>1.1917991504386001E-3</v>
      </c>
      <c r="L989" s="84"/>
      <c r="M989" s="84"/>
      <c r="N989" s="84"/>
      <c r="O989" s="84"/>
      <c r="P989" s="84"/>
      <c r="Q989" s="84"/>
      <c r="R989" s="84"/>
      <c r="S989" s="84"/>
    </row>
    <row r="990" spans="1:19">
      <c r="A990" s="629" t="s">
        <v>313</v>
      </c>
      <c r="B990" s="248">
        <v>2.3811489971912801E-3</v>
      </c>
      <c r="C990" s="248">
        <v>3.7273594699899402E-3</v>
      </c>
      <c r="D990" s="248">
        <v>3.1731592181888299E-3</v>
      </c>
      <c r="E990" s="248">
        <v>2.8787741755394499E-3</v>
      </c>
      <c r="F990" s="248"/>
      <c r="G990" s="248">
        <v>2.6904782176459001E-3</v>
      </c>
      <c r="H990" s="735">
        <v>1.7174652174246699E-3</v>
      </c>
      <c r="I990" s="735">
        <v>1.81612563039575E-3</v>
      </c>
      <c r="J990" s="735">
        <v>1.7015588262056099E-3</v>
      </c>
      <c r="L990" s="84"/>
      <c r="M990" s="84"/>
      <c r="N990" s="84"/>
      <c r="O990" s="84"/>
      <c r="P990" s="84"/>
      <c r="Q990" s="84"/>
      <c r="R990" s="84"/>
      <c r="S990" s="84"/>
    </row>
    <row r="991" spans="1:19">
      <c r="A991" s="629" t="s">
        <v>312</v>
      </c>
      <c r="B991" s="248">
        <v>3.0769307453392199E-3</v>
      </c>
      <c r="C991" s="248">
        <v>3.17886989891711E-3</v>
      </c>
      <c r="D991" s="248">
        <v>5.8690755397479196E-3</v>
      </c>
      <c r="E991" s="248">
        <v>4.3362568650673703E-3</v>
      </c>
      <c r="F991" s="248"/>
      <c r="G991" s="248">
        <v>2.4823881451240702E-3</v>
      </c>
      <c r="H991" s="735">
        <v>1.7805790091419301E-3</v>
      </c>
      <c r="I991" s="735">
        <v>1.9971749792610299E-3</v>
      </c>
      <c r="J991" s="735">
        <v>1.7761004249567101E-3</v>
      </c>
      <c r="L991" s="84"/>
      <c r="M991" s="84"/>
      <c r="N991" s="84"/>
      <c r="O991" s="84"/>
      <c r="P991" s="84"/>
      <c r="Q991" s="84"/>
      <c r="R991" s="84"/>
      <c r="S991" s="84"/>
    </row>
    <row r="992" spans="1:19">
      <c r="A992" s="629" t="s">
        <v>311</v>
      </c>
      <c r="B992" s="248">
        <v>2.8813729122981399E-3</v>
      </c>
      <c r="C992" s="248">
        <v>2.8074833066174501E-3</v>
      </c>
      <c r="D992" s="248">
        <v>3.9309268321662399E-3</v>
      </c>
      <c r="E992" s="248">
        <v>3.7806049164939002E-3</v>
      </c>
      <c r="F992" s="248"/>
      <c r="G992" s="248">
        <v>2.5139539607464201E-3</v>
      </c>
      <c r="H992" s="735">
        <v>1.60498629136976E-3</v>
      </c>
      <c r="I992" s="735">
        <v>1.8029696872817499E-3</v>
      </c>
      <c r="J992" s="735">
        <v>1.59981154420009E-3</v>
      </c>
      <c r="L992" s="84"/>
      <c r="M992" s="84"/>
      <c r="N992" s="84"/>
      <c r="O992" s="84"/>
      <c r="P992" s="84"/>
      <c r="Q992" s="84"/>
      <c r="R992" s="84"/>
      <c r="S992" s="84"/>
    </row>
    <row r="993" spans="1:19">
      <c r="A993" s="629" t="s">
        <v>310</v>
      </c>
      <c r="B993" s="248">
        <v>3.2077539393047601E-3</v>
      </c>
      <c r="C993" s="248">
        <v>2.6932912233865501E-3</v>
      </c>
      <c r="D993" s="248">
        <v>3.6040593146577501E-3</v>
      </c>
      <c r="E993" s="248">
        <v>3.4069151709965602E-3</v>
      </c>
      <c r="F993" s="248"/>
      <c r="G993" s="248">
        <v>2.6143681298102898E-3</v>
      </c>
      <c r="H993" s="735">
        <v>1.64877328486967E-3</v>
      </c>
      <c r="I993" s="735">
        <v>1.86466546318477E-3</v>
      </c>
      <c r="J993" s="735">
        <v>1.6359051275595001E-3</v>
      </c>
      <c r="L993" s="84"/>
      <c r="M993" s="84"/>
      <c r="N993" s="84"/>
      <c r="O993" s="84"/>
      <c r="P993" s="84"/>
      <c r="Q993" s="84"/>
      <c r="R993" s="84"/>
      <c r="S993" s="84"/>
    </row>
    <row r="994" spans="1:19">
      <c r="A994" s="629" t="s">
        <v>309</v>
      </c>
      <c r="B994" s="248">
        <v>2.9117843469339201E-3</v>
      </c>
      <c r="C994" s="248">
        <v>2.8793360876265901E-3</v>
      </c>
      <c r="D994" s="248">
        <v>2.7516582026854801E-3</v>
      </c>
      <c r="E994" s="248">
        <v>2.9891761662330998E-3</v>
      </c>
      <c r="F994" s="248"/>
      <c r="G994" s="248">
        <v>2.6626734545345302E-3</v>
      </c>
      <c r="H994" s="735">
        <v>1.47539958015487E-3</v>
      </c>
      <c r="I994" s="735">
        <v>1.7406044284251499E-3</v>
      </c>
      <c r="J994" s="735">
        <v>1.46054359607546E-3</v>
      </c>
      <c r="L994" s="84"/>
      <c r="M994" s="84"/>
      <c r="N994" s="84"/>
      <c r="O994" s="84"/>
      <c r="P994" s="84"/>
      <c r="Q994" s="84"/>
      <c r="R994" s="84"/>
      <c r="S994" s="84"/>
    </row>
    <row r="995" spans="1:19">
      <c r="A995" s="629" t="s">
        <v>308</v>
      </c>
      <c r="B995" s="248">
        <v>2.6490028349694201E-3</v>
      </c>
      <c r="C995" s="248">
        <v>2.7652770460486098E-3</v>
      </c>
      <c r="D995" s="248">
        <v>2.38883849711948E-3</v>
      </c>
      <c r="E995" s="248">
        <v>2.6585739225914399E-3</v>
      </c>
      <c r="F995" s="248"/>
      <c r="G995" s="248">
        <v>2.4686581152406901E-3</v>
      </c>
      <c r="H995" s="735">
        <v>2.4549176188896301E-3</v>
      </c>
      <c r="I995" s="735">
        <v>1.6005993750145199E-3</v>
      </c>
      <c r="J995" s="735">
        <v>2.46224445291617E-3</v>
      </c>
      <c r="L995" s="84"/>
      <c r="M995" s="84"/>
      <c r="N995" s="84"/>
      <c r="O995" s="84"/>
      <c r="P995" s="84"/>
      <c r="Q995" s="84"/>
      <c r="R995" s="84"/>
      <c r="S995" s="84"/>
    </row>
    <row r="996" spans="1:19">
      <c r="A996" s="629" t="s">
        <v>307</v>
      </c>
      <c r="B996" s="248">
        <v>2.6761193962346699E-3</v>
      </c>
      <c r="C996" s="248">
        <v>2.8754129290470901E-3</v>
      </c>
      <c r="D996" s="248">
        <v>2.6618609453164899E-3</v>
      </c>
      <c r="E996" s="248">
        <v>2.4510006462659202E-3</v>
      </c>
      <c r="F996" s="248"/>
      <c r="G996" s="248">
        <v>2.4667416032071198E-3</v>
      </c>
      <c r="H996" s="735">
        <v>2.18671591976568E-3</v>
      </c>
      <c r="I996" s="735">
        <v>1.9590096884405002E-3</v>
      </c>
      <c r="J996" s="735">
        <v>2.19292560903706E-3</v>
      </c>
      <c r="L996" s="84"/>
      <c r="M996" s="84"/>
      <c r="N996" s="84"/>
      <c r="O996" s="84"/>
      <c r="P996" s="84"/>
      <c r="Q996" s="84"/>
      <c r="R996" s="84"/>
      <c r="S996" s="84"/>
    </row>
    <row r="997" spans="1:19">
      <c r="A997" s="629" t="s">
        <v>306</v>
      </c>
      <c r="B997" s="248">
        <v>2.63536704221337E-3</v>
      </c>
      <c r="C997" s="248">
        <v>3.2418868338533499E-3</v>
      </c>
      <c r="D997" s="248">
        <v>2.8314086900211801E-3</v>
      </c>
      <c r="E997" s="248">
        <v>2.8301267561270898E-3</v>
      </c>
      <c r="F997" s="248"/>
      <c r="G997" s="248">
        <v>2.5502565785786098E-3</v>
      </c>
      <c r="H997" s="735">
        <v>1.9173467282760401E-3</v>
      </c>
      <c r="I997" s="735">
        <v>1.82789965319426E-3</v>
      </c>
      <c r="J997" s="735">
        <v>1.9198319395086301E-3</v>
      </c>
      <c r="L997" s="84"/>
      <c r="M997" s="84"/>
      <c r="N997" s="84"/>
      <c r="O997" s="84"/>
      <c r="P997" s="84"/>
      <c r="Q997" s="84"/>
      <c r="R997" s="84"/>
      <c r="S997" s="84"/>
    </row>
    <row r="998" spans="1:19">
      <c r="A998" s="629" t="s">
        <v>305</v>
      </c>
      <c r="B998" s="248">
        <v>2.60192746296298E-3</v>
      </c>
      <c r="C998" s="248">
        <v>2.8332024325457401E-3</v>
      </c>
      <c r="D998" s="248">
        <v>6.5311101045732196E-3</v>
      </c>
      <c r="E998" s="248">
        <v>2.95894121065844E-3</v>
      </c>
      <c r="F998" s="248"/>
      <c r="G998" s="248">
        <v>2.9803653299838302E-3</v>
      </c>
      <c r="H998" s="735">
        <v>2.9695121076316298E-3</v>
      </c>
      <c r="I998" s="735">
        <v>3.2744948484684398E-3</v>
      </c>
      <c r="J998" s="735">
        <v>2.9936985907624298E-3</v>
      </c>
      <c r="L998" s="84"/>
      <c r="M998" s="84"/>
      <c r="N998" s="84"/>
      <c r="O998" s="84"/>
      <c r="P998" s="84"/>
      <c r="Q998" s="84"/>
      <c r="R998" s="84"/>
      <c r="S998" s="84"/>
    </row>
    <row r="999" spans="1:19">
      <c r="A999" s="629" t="s">
        <v>304</v>
      </c>
      <c r="B999" s="248">
        <v>3.36607299256556E-3</v>
      </c>
      <c r="C999" s="248">
        <v>2.8149176354367502E-3</v>
      </c>
      <c r="D999" s="248">
        <v>8.8246990935161498E-3</v>
      </c>
      <c r="E999" s="248">
        <v>2.68995881685584E-3</v>
      </c>
      <c r="F999" s="248"/>
      <c r="G999" s="248">
        <v>3.2380676606286402E-3</v>
      </c>
      <c r="H999" s="735">
        <v>6.8192425432079904E-3</v>
      </c>
      <c r="I999" s="735">
        <v>4.65414469219086E-3</v>
      </c>
      <c r="J999" s="735">
        <v>6.93353852674926E-3</v>
      </c>
      <c r="L999" s="84"/>
      <c r="M999" s="84"/>
      <c r="N999" s="84"/>
      <c r="O999" s="84"/>
      <c r="P999" s="84"/>
      <c r="Q999" s="84"/>
      <c r="R999" s="84"/>
      <c r="S999" s="84"/>
    </row>
    <row r="1000" spans="1:19">
      <c r="A1000" s="629" t="s">
        <v>303</v>
      </c>
      <c r="B1000" s="248">
        <v>3.1286272930315601E-3</v>
      </c>
      <c r="C1000" s="248">
        <v>3.67024923171263E-3</v>
      </c>
      <c r="D1000" s="248">
        <v>7.7030884094911496E-3</v>
      </c>
      <c r="E1000" s="248">
        <v>2.5009195379411802E-3</v>
      </c>
      <c r="F1000" s="248"/>
      <c r="G1000" s="248">
        <v>2.9712606559089802E-3</v>
      </c>
      <c r="H1000" s="735">
        <v>6.9317079632416198E-3</v>
      </c>
      <c r="I1000" s="735">
        <v>4.13370646649696E-3</v>
      </c>
      <c r="J1000" s="735">
        <v>7.04629976230026E-3</v>
      </c>
      <c r="L1000" s="84"/>
      <c r="M1000" s="84"/>
      <c r="N1000" s="84"/>
      <c r="O1000" s="84"/>
      <c r="P1000" s="84"/>
      <c r="Q1000" s="84"/>
      <c r="R1000" s="84"/>
      <c r="S1000" s="84"/>
    </row>
    <row r="1001" spans="1:19">
      <c r="A1001" s="629" t="s">
        <v>302</v>
      </c>
      <c r="B1001" s="248">
        <v>3.2008154021734301E-3</v>
      </c>
      <c r="C1001" s="248">
        <v>3.0959952431286598E-3</v>
      </c>
      <c r="D1001" s="248">
        <v>8.2440188763173907E-3</v>
      </c>
      <c r="E1001" s="248">
        <v>4.0953731096188299E-3</v>
      </c>
      <c r="F1001" s="248"/>
      <c r="G1001" s="248">
        <v>3.8725852917208601E-3</v>
      </c>
      <c r="H1001" s="735">
        <v>5.8391890319907198E-3</v>
      </c>
      <c r="I1001" s="735">
        <v>3.7449133901752301E-3</v>
      </c>
      <c r="J1001" s="735">
        <v>5.9429748965250098E-3</v>
      </c>
      <c r="L1001" s="84"/>
      <c r="M1001" s="84"/>
      <c r="N1001" s="84"/>
      <c r="O1001" s="84"/>
      <c r="P1001" s="84"/>
      <c r="Q1001" s="84"/>
      <c r="R1001" s="84"/>
      <c r="S1001" s="84"/>
    </row>
    <row r="1002" spans="1:19">
      <c r="A1002" s="629" t="s">
        <v>301</v>
      </c>
      <c r="B1002" s="248">
        <v>2.9670839921778699E-3</v>
      </c>
      <c r="C1002" s="248">
        <v>2.7698534718378102E-3</v>
      </c>
      <c r="D1002" s="248">
        <v>8.9838806636628708E-3</v>
      </c>
      <c r="E1002" s="248">
        <v>3.6265639191651201E-3</v>
      </c>
      <c r="F1002" s="248"/>
      <c r="G1002" s="248">
        <v>3.6708468232784799E-3</v>
      </c>
      <c r="H1002" s="735">
        <v>6.3439131543373203E-3</v>
      </c>
      <c r="I1002" s="735">
        <v>3.3444171972519502E-3</v>
      </c>
      <c r="J1002" s="735">
        <v>6.4683526621287296E-3</v>
      </c>
      <c r="L1002" s="84"/>
      <c r="M1002" s="84"/>
      <c r="N1002" s="84"/>
      <c r="O1002" s="84"/>
      <c r="P1002" s="84"/>
      <c r="Q1002" s="84"/>
      <c r="R1002" s="84"/>
      <c r="S1002" s="84"/>
    </row>
    <row r="1003" spans="1:19">
      <c r="A1003" s="629" t="s">
        <v>300</v>
      </c>
      <c r="B1003" s="248">
        <v>3.87436099899066E-3</v>
      </c>
      <c r="C1003" s="248">
        <v>6.5440083298118701E-3</v>
      </c>
      <c r="D1003" s="248">
        <v>9.4152483373408594E-3</v>
      </c>
      <c r="E1003" s="248">
        <v>3.5258522760094699E-3</v>
      </c>
      <c r="F1003" s="248"/>
      <c r="G1003" s="248">
        <v>5.0752629926710396E-3</v>
      </c>
      <c r="H1003" s="735">
        <v>7.5006436619060399E-3</v>
      </c>
      <c r="I1003" s="735">
        <v>4.9598290655116098E-3</v>
      </c>
      <c r="J1003" s="735">
        <v>7.6372297831522598E-3</v>
      </c>
      <c r="L1003" s="84"/>
      <c r="M1003" s="84"/>
      <c r="N1003" s="84"/>
      <c r="O1003" s="84"/>
      <c r="P1003" s="84"/>
      <c r="Q1003" s="84"/>
      <c r="R1003" s="84"/>
      <c r="S1003" s="84"/>
    </row>
    <row r="1004" spans="1:19">
      <c r="A1004" s="629" t="s">
        <v>299</v>
      </c>
      <c r="B1004" s="248">
        <v>3.7019951560966599E-3</v>
      </c>
      <c r="C1004" s="248">
        <v>4.4477300555055502E-3</v>
      </c>
      <c r="D1004" s="248">
        <v>9.7973167222138707E-3</v>
      </c>
      <c r="E1004" s="248">
        <v>3.40522213077706E-3</v>
      </c>
      <c r="F1004" s="248"/>
      <c r="G1004" s="248">
        <v>4.6382983933462704E-3</v>
      </c>
      <c r="H1004" s="735">
        <v>6.7684172394152503E-3</v>
      </c>
      <c r="I1004" s="735">
        <v>4.39410443455545E-3</v>
      </c>
      <c r="J1004" s="735">
        <v>6.9155604485728597E-3</v>
      </c>
      <c r="L1004" s="84"/>
      <c r="M1004" s="84"/>
      <c r="N1004" s="84"/>
      <c r="O1004" s="84"/>
      <c r="P1004" s="84"/>
      <c r="Q1004" s="84"/>
      <c r="R1004" s="84"/>
      <c r="S1004" s="84"/>
    </row>
    <row r="1005" spans="1:19">
      <c r="A1005" s="629" t="s">
        <v>298</v>
      </c>
      <c r="B1005" s="248">
        <v>3.66821323241243E-3</v>
      </c>
      <c r="C1005" s="248">
        <v>3.6945848783789398E-3</v>
      </c>
      <c r="D1005" s="248">
        <v>1.20841586720981E-2</v>
      </c>
      <c r="E1005" s="248">
        <v>3.3815209460569102E-3</v>
      </c>
      <c r="F1005" s="248"/>
      <c r="G1005" s="248">
        <v>5.5401901933110698E-3</v>
      </c>
      <c r="H1005" s="735">
        <v>6.3569464885977001E-3</v>
      </c>
      <c r="I1005" s="735">
        <v>3.8858117262518801E-3</v>
      </c>
      <c r="J1005" s="735">
        <v>6.4991853247087098E-3</v>
      </c>
      <c r="L1005" s="84"/>
      <c r="M1005" s="84"/>
      <c r="N1005" s="84"/>
      <c r="O1005" s="84"/>
      <c r="P1005" s="84"/>
      <c r="Q1005" s="84"/>
      <c r="R1005" s="84"/>
      <c r="S1005" s="84"/>
    </row>
    <row r="1006" spans="1:19">
      <c r="A1006" s="629" t="s">
        <v>297</v>
      </c>
      <c r="B1006" s="248">
        <v>3.3733290389605201E-3</v>
      </c>
      <c r="C1006" s="248">
        <v>2.9841952394380001E-3</v>
      </c>
      <c r="D1006" s="248">
        <v>7.7047065052227703E-3</v>
      </c>
      <c r="E1006" s="248">
        <v>3.0689983315088502E-3</v>
      </c>
      <c r="F1006" s="248"/>
      <c r="G1006" s="248">
        <v>6.2351679430388803E-3</v>
      </c>
      <c r="H1006" s="735">
        <v>5.4845659565107398E-3</v>
      </c>
      <c r="I1006" s="735">
        <v>3.5030476159151301E-3</v>
      </c>
      <c r="J1006" s="735">
        <v>5.6158110264962402E-3</v>
      </c>
      <c r="L1006" s="84"/>
      <c r="M1006" s="84"/>
      <c r="N1006" s="84"/>
      <c r="O1006" s="84"/>
      <c r="P1006" s="84"/>
      <c r="Q1006" s="84"/>
      <c r="R1006" s="84"/>
      <c r="S1006" s="84"/>
    </row>
    <row r="1007" spans="1:19">
      <c r="A1007" s="629" t="s">
        <v>296</v>
      </c>
      <c r="B1007" s="248">
        <v>3.14960094115384E-3</v>
      </c>
      <c r="C1007" s="248">
        <v>5.4619866307617001E-3</v>
      </c>
      <c r="D1007" s="248">
        <v>7.0897849584810602E-3</v>
      </c>
      <c r="E1007" s="248">
        <v>2.8762936633854302E-3</v>
      </c>
      <c r="F1007" s="248"/>
      <c r="G1007" s="248">
        <v>6.1085821357113402E-3</v>
      </c>
      <c r="H1007" s="735">
        <v>4.6699593227370103E-3</v>
      </c>
      <c r="I1007" s="735">
        <v>3.3225306266349199E-3</v>
      </c>
      <c r="J1007" s="735">
        <v>4.7842947198600003E-3</v>
      </c>
      <c r="L1007" s="84"/>
      <c r="M1007" s="84"/>
      <c r="N1007" s="84"/>
      <c r="O1007" s="84"/>
      <c r="P1007" s="84"/>
      <c r="Q1007" s="84"/>
      <c r="R1007" s="84"/>
      <c r="S1007" s="84"/>
    </row>
    <row r="1008" spans="1:19">
      <c r="A1008" s="629" t="s">
        <v>295</v>
      </c>
      <c r="B1008" s="248">
        <v>3.4151186574969601E-3</v>
      </c>
      <c r="C1008" s="248">
        <v>3.835407975499E-3</v>
      </c>
      <c r="D1008" s="248">
        <v>9.1330872348803598E-3</v>
      </c>
      <c r="E1008" s="248">
        <v>2.5733028842239701E-3</v>
      </c>
      <c r="F1008" s="248"/>
      <c r="G1008" s="248">
        <v>5.5493923166211202E-3</v>
      </c>
      <c r="H1008" s="735">
        <v>4.3895609588908702E-3</v>
      </c>
      <c r="I1008" s="735">
        <v>3.0516902578854401E-3</v>
      </c>
      <c r="J1008" s="735">
        <v>4.4989786546537503E-3</v>
      </c>
      <c r="L1008" s="84"/>
      <c r="M1008" s="84"/>
      <c r="N1008" s="84"/>
      <c r="O1008" s="84"/>
      <c r="P1008" s="84"/>
      <c r="Q1008" s="84"/>
      <c r="R1008" s="84"/>
      <c r="S1008" s="84"/>
    </row>
    <row r="1009" spans="1:19">
      <c r="A1009" s="629" t="s">
        <v>294</v>
      </c>
      <c r="B1009" s="248">
        <v>3.0821571787573998E-3</v>
      </c>
      <c r="C1009" s="248">
        <v>3.8172868467579702E-3</v>
      </c>
      <c r="D1009" s="248">
        <v>5.6748062812421096E-3</v>
      </c>
      <c r="E1009" s="248">
        <v>2.8378321710699002E-3</v>
      </c>
      <c r="F1009" s="248"/>
      <c r="G1009" s="248">
        <v>5.1898340367401196E-3</v>
      </c>
      <c r="H1009" s="735">
        <v>3.77233110206533E-3</v>
      </c>
      <c r="I1009" s="735">
        <v>2.7156381706256801E-3</v>
      </c>
      <c r="J1009" s="735">
        <v>3.86942993243911E-3</v>
      </c>
      <c r="L1009" s="84"/>
      <c r="M1009" s="84"/>
      <c r="N1009" s="84"/>
      <c r="O1009" s="84"/>
      <c r="P1009" s="84"/>
      <c r="Q1009" s="84"/>
      <c r="R1009" s="84"/>
      <c r="S1009" s="84"/>
    </row>
    <row r="1010" spans="1:19">
      <c r="A1010" s="629" t="s">
        <v>293</v>
      </c>
      <c r="B1010" s="248">
        <v>2.8540929701895701E-3</v>
      </c>
      <c r="C1010" s="248">
        <v>3.0820465598620501E-3</v>
      </c>
      <c r="D1010" s="248">
        <v>4.4624863108917601E-3</v>
      </c>
      <c r="E1010" s="248">
        <v>2.57492575716055E-3</v>
      </c>
      <c r="F1010" s="248"/>
      <c r="G1010" s="248">
        <v>4.7305454187243903E-3</v>
      </c>
      <c r="H1010" s="735">
        <v>3.2829589381900498E-3</v>
      </c>
      <c r="I1010" s="735">
        <v>2.4242835343253398E-3</v>
      </c>
      <c r="J1010" s="735">
        <v>3.3672599984842701E-3</v>
      </c>
      <c r="L1010" s="84"/>
      <c r="M1010" s="84"/>
      <c r="N1010" s="84"/>
      <c r="O1010" s="84"/>
      <c r="P1010" s="84"/>
      <c r="Q1010" s="84"/>
      <c r="R1010" s="84"/>
      <c r="S1010" s="84"/>
    </row>
    <row r="1011" spans="1:19">
      <c r="A1011" s="629" t="s">
        <v>292</v>
      </c>
      <c r="B1011" s="248">
        <v>2.6450394162604801E-3</v>
      </c>
      <c r="C1011" s="248">
        <v>3.1004439796530501E-3</v>
      </c>
      <c r="D1011" s="248">
        <v>4.4339247308864699E-3</v>
      </c>
      <c r="E1011" s="248">
        <v>2.3327271804448402E-3</v>
      </c>
      <c r="F1011" s="248"/>
      <c r="G1011" s="248">
        <v>4.5760820722099502E-3</v>
      </c>
      <c r="H1011" s="735">
        <v>2.9491175452911701E-3</v>
      </c>
      <c r="I1011" s="735">
        <v>2.3121032391999201E-3</v>
      </c>
      <c r="J1011" s="735">
        <v>3.0225946034772399E-3</v>
      </c>
      <c r="L1011" s="84"/>
      <c r="M1011" s="84"/>
      <c r="N1011" s="84"/>
      <c r="O1011" s="84"/>
      <c r="P1011" s="84"/>
      <c r="Q1011" s="84"/>
      <c r="R1011" s="84"/>
      <c r="S1011" s="84"/>
    </row>
    <row r="1012" spans="1:19">
      <c r="A1012" s="629" t="s">
        <v>291</v>
      </c>
      <c r="B1012" s="248">
        <v>2.4377621996946601E-3</v>
      </c>
      <c r="C1012" s="248">
        <v>2.7695025591212099E-3</v>
      </c>
      <c r="D1012" s="248">
        <v>6.3126488290882101E-3</v>
      </c>
      <c r="E1012" s="248">
        <v>2.1798299156184199E-3</v>
      </c>
      <c r="F1012" s="248"/>
      <c r="G1012" s="248">
        <v>4.1853144957081099E-3</v>
      </c>
      <c r="H1012" s="735">
        <v>2.8353667047179999E-3</v>
      </c>
      <c r="I1012" s="735">
        <v>2.2193625392904199E-3</v>
      </c>
      <c r="J1012" s="735">
        <v>2.89939678631582E-3</v>
      </c>
      <c r="L1012" s="84"/>
      <c r="M1012" s="84"/>
      <c r="N1012" s="84"/>
      <c r="O1012" s="84"/>
      <c r="P1012" s="84"/>
      <c r="Q1012" s="84"/>
      <c r="R1012" s="84"/>
      <c r="S1012" s="84"/>
    </row>
    <row r="1013" spans="1:19">
      <c r="A1013" s="629" t="s">
        <v>290</v>
      </c>
      <c r="B1013" s="248">
        <v>2.6672922771923502E-3</v>
      </c>
      <c r="C1013" s="248">
        <v>3.4567152626896599E-3</v>
      </c>
      <c r="D1013" s="248">
        <v>5.8573116970515003E-3</v>
      </c>
      <c r="E1013" s="248">
        <v>2.2530620225238501E-3</v>
      </c>
      <c r="F1013" s="248"/>
      <c r="G1013" s="248">
        <v>4.4880972710620998E-3</v>
      </c>
      <c r="H1013" s="735">
        <v>2.45479168423252E-3</v>
      </c>
      <c r="I1013" s="735">
        <v>2.2321366598562998E-3</v>
      </c>
      <c r="J1013" s="735">
        <v>2.5070119915735398E-3</v>
      </c>
      <c r="L1013" s="84"/>
      <c r="M1013" s="84"/>
      <c r="N1013" s="84"/>
      <c r="O1013" s="84"/>
      <c r="P1013" s="84"/>
      <c r="Q1013" s="84"/>
      <c r="R1013" s="84"/>
      <c r="S1013" s="84"/>
    </row>
    <row r="1014" spans="1:19">
      <c r="A1014" s="629" t="s">
        <v>289</v>
      </c>
      <c r="B1014" s="248">
        <v>2.94353340499403E-3</v>
      </c>
      <c r="C1014" s="248">
        <v>3.1627492251184602E-3</v>
      </c>
      <c r="D1014" s="248">
        <v>5.4482231997511196E-3</v>
      </c>
      <c r="E1014" s="248">
        <v>2.2240123834585302E-3</v>
      </c>
      <c r="F1014" s="248"/>
      <c r="G1014" s="248">
        <v>4.3554252018193603E-3</v>
      </c>
      <c r="H1014" s="735">
        <v>2.4251214388469901E-3</v>
      </c>
      <c r="I1014" s="735">
        <v>2.3330431681508998E-3</v>
      </c>
      <c r="J1014" s="735">
        <v>2.47291312546076E-3</v>
      </c>
      <c r="L1014" s="84"/>
      <c r="M1014" s="84"/>
      <c r="N1014" s="84"/>
      <c r="O1014" s="84"/>
      <c r="P1014" s="84"/>
      <c r="Q1014" s="84"/>
      <c r="R1014" s="84"/>
      <c r="S1014" s="84"/>
    </row>
    <row r="1015" spans="1:19">
      <c r="A1015" s="629" t="s">
        <v>288</v>
      </c>
      <c r="B1015" s="248">
        <v>2.6760284548817E-3</v>
      </c>
      <c r="C1015" s="248">
        <v>2.8065089692524301E-3</v>
      </c>
      <c r="D1015" s="248">
        <v>4.4323126203694501E-3</v>
      </c>
      <c r="E1015" s="248">
        <v>2.0586532673516102E-3</v>
      </c>
      <c r="F1015" s="248"/>
      <c r="G1015" s="248">
        <v>3.9819380891304799E-3</v>
      </c>
      <c r="H1015" s="735">
        <v>2.16451982361403E-3</v>
      </c>
      <c r="I1015" s="735">
        <v>2.1459533936291899E-3</v>
      </c>
      <c r="J1015" s="735">
        <v>2.2002461340590502E-3</v>
      </c>
      <c r="L1015" s="84"/>
      <c r="M1015" s="84"/>
      <c r="N1015" s="84"/>
      <c r="O1015" s="84"/>
      <c r="P1015" s="84"/>
      <c r="Q1015" s="84"/>
      <c r="R1015" s="84"/>
      <c r="S1015" s="84"/>
    </row>
    <row r="1016" spans="1:19">
      <c r="A1016" s="629" t="s">
        <v>287</v>
      </c>
      <c r="B1016" s="248">
        <v>2.5394348783136598E-3</v>
      </c>
      <c r="C1016" s="248">
        <v>2.8398710106933502E-3</v>
      </c>
      <c r="D1016" s="248">
        <v>3.8452752190069198E-3</v>
      </c>
      <c r="E1016" s="248">
        <v>2.25902722862615E-3</v>
      </c>
      <c r="F1016" s="248"/>
      <c r="G1016" s="248">
        <v>3.7400507270761402E-3</v>
      </c>
      <c r="H1016" s="735">
        <v>2.21865374170742E-3</v>
      </c>
      <c r="I1016" s="735">
        <v>1.9666525212671399E-3</v>
      </c>
      <c r="J1016" s="735">
        <v>2.2519473073461102E-3</v>
      </c>
      <c r="L1016" s="84"/>
      <c r="M1016" s="84"/>
      <c r="N1016" s="84"/>
      <c r="O1016" s="84"/>
      <c r="P1016" s="84"/>
      <c r="Q1016" s="84"/>
      <c r="R1016" s="84"/>
      <c r="S1016" s="84"/>
    </row>
    <row r="1017" spans="1:19">
      <c r="A1017" s="629" t="s">
        <v>286</v>
      </c>
      <c r="B1017" s="248">
        <v>2.3954490273181599E-3</v>
      </c>
      <c r="C1017" s="248">
        <v>2.6546049933978298E-3</v>
      </c>
      <c r="D1017" s="248">
        <v>3.39719816684013E-3</v>
      </c>
      <c r="E1017" s="248">
        <v>2.1221555459992698E-3</v>
      </c>
      <c r="F1017" s="248"/>
      <c r="G1017" s="248">
        <v>3.4229129042363201E-3</v>
      </c>
      <c r="H1017" s="735">
        <v>1.94481663770961E-3</v>
      </c>
      <c r="I1017" s="735">
        <v>1.81194969245388E-3</v>
      </c>
      <c r="J1017" s="735">
        <v>1.9702171013385398E-3</v>
      </c>
      <c r="L1017" s="84"/>
      <c r="M1017" s="84"/>
      <c r="N1017" s="84"/>
      <c r="O1017" s="84"/>
      <c r="P1017" s="84"/>
      <c r="Q1017" s="84"/>
      <c r="R1017" s="84"/>
      <c r="S1017" s="84"/>
    </row>
    <row r="1018" spans="1:19">
      <c r="A1018" s="629" t="s">
        <v>285</v>
      </c>
      <c r="B1018" s="248">
        <v>2.8722020498960902E-3</v>
      </c>
      <c r="C1018" s="248">
        <v>3.6289035767018501E-3</v>
      </c>
      <c r="D1018" s="248">
        <v>5.31361681583142E-3</v>
      </c>
      <c r="E1018" s="248">
        <v>2.7372705009620999E-3</v>
      </c>
      <c r="F1018" s="248"/>
      <c r="G1018" s="248">
        <v>3.2580100169658198E-3</v>
      </c>
      <c r="H1018" s="735">
        <v>2.7560122891368399E-3</v>
      </c>
      <c r="I1018" s="735">
        <v>2.0866218635144699E-3</v>
      </c>
      <c r="J1018" s="735">
        <v>2.7938429510776402E-3</v>
      </c>
      <c r="L1018" s="84"/>
      <c r="M1018" s="84"/>
      <c r="N1018" s="84"/>
      <c r="O1018" s="84"/>
      <c r="P1018" s="84"/>
      <c r="Q1018" s="84"/>
      <c r="R1018" s="84"/>
      <c r="S1018" s="84"/>
    </row>
    <row r="1019" spans="1:19">
      <c r="A1019" s="629" t="s">
        <v>284</v>
      </c>
      <c r="B1019" s="248">
        <v>2.6310232487407898E-3</v>
      </c>
      <c r="C1019" s="248">
        <v>2.9756803895479899E-3</v>
      </c>
      <c r="D1019" s="248">
        <v>4.1486178487763698E-3</v>
      </c>
      <c r="E1019" s="248">
        <v>2.4905597133682198E-3</v>
      </c>
      <c r="F1019" s="248"/>
      <c r="G1019" s="248">
        <v>2.9929971475009102E-3</v>
      </c>
      <c r="H1019" s="735">
        <v>2.92484320913911E-3</v>
      </c>
      <c r="I1019" s="735">
        <v>1.8938680442515299E-3</v>
      </c>
      <c r="J1019" s="735">
        <v>2.9565799607075499E-3</v>
      </c>
      <c r="L1019" s="84"/>
      <c r="M1019" s="84"/>
      <c r="N1019" s="84"/>
      <c r="O1019" s="84"/>
      <c r="P1019" s="84"/>
      <c r="Q1019" s="84"/>
      <c r="R1019" s="84"/>
      <c r="S1019" s="84"/>
    </row>
    <row r="1020" spans="1:19">
      <c r="A1020" s="629" t="s">
        <v>283</v>
      </c>
      <c r="B1020" s="248">
        <v>2.8200414204386901E-3</v>
      </c>
      <c r="C1020" s="248">
        <v>3.2698333078005301E-3</v>
      </c>
      <c r="D1020" s="248">
        <v>1.0444169310763401E-2</v>
      </c>
      <c r="E1020" s="248">
        <v>3.2819295862422299E-3</v>
      </c>
      <c r="F1020" s="248"/>
      <c r="G1020" s="248">
        <v>2.97625983464416E-3</v>
      </c>
      <c r="H1020" s="735">
        <v>2.97011413040055E-3</v>
      </c>
      <c r="I1020" s="735">
        <v>2.2338107605384999E-3</v>
      </c>
      <c r="J1020" s="735">
        <v>3.0021583859871702E-3</v>
      </c>
      <c r="L1020" s="84"/>
      <c r="M1020" s="84"/>
      <c r="N1020" s="84"/>
      <c r="O1020" s="84"/>
      <c r="P1020" s="84"/>
      <c r="Q1020" s="84"/>
      <c r="R1020" s="84"/>
      <c r="S1020" s="84"/>
    </row>
    <row r="1021" spans="1:19">
      <c r="A1021" s="629" t="s">
        <v>282</v>
      </c>
      <c r="B1021" s="248">
        <v>2.61886202422314E-3</v>
      </c>
      <c r="C1021" s="248">
        <v>2.8564688779789699E-3</v>
      </c>
      <c r="D1021" s="248">
        <v>6.8445787643655201E-3</v>
      </c>
      <c r="E1021" s="248">
        <v>3.1886812510273301E-3</v>
      </c>
      <c r="F1021" s="248"/>
      <c r="G1021" s="248">
        <v>3.0022702816317999E-3</v>
      </c>
      <c r="H1021" s="735">
        <v>2.9887615870239602E-3</v>
      </c>
      <c r="I1021" s="735">
        <v>2.0034831880390599E-3</v>
      </c>
      <c r="J1021" s="735">
        <v>3.0165332491201798E-3</v>
      </c>
      <c r="L1021" s="84"/>
      <c r="M1021" s="84"/>
      <c r="N1021" s="84"/>
      <c r="O1021" s="84"/>
      <c r="P1021" s="84"/>
      <c r="Q1021" s="84"/>
      <c r="R1021" s="84"/>
      <c r="S1021" s="84"/>
    </row>
    <row r="1022" spans="1:19">
      <c r="A1022" s="629" t="s">
        <v>281</v>
      </c>
      <c r="B1022" s="248">
        <v>2.4598353797469501E-3</v>
      </c>
      <c r="C1022" s="248">
        <v>3.3011792334854701E-3</v>
      </c>
      <c r="D1022" s="248">
        <v>4.4376147411046198E-3</v>
      </c>
      <c r="E1022" s="248">
        <v>2.9791483961578201E-3</v>
      </c>
      <c r="F1022" s="248"/>
      <c r="G1022" s="248">
        <v>2.9117819877624799E-3</v>
      </c>
      <c r="H1022" s="735">
        <v>3.3565031934367899E-3</v>
      </c>
      <c r="I1022" s="735">
        <v>1.85380715955232E-3</v>
      </c>
      <c r="J1022" s="735">
        <v>3.3839642042167999E-3</v>
      </c>
      <c r="L1022" s="84"/>
      <c r="M1022" s="84"/>
      <c r="N1022" s="84"/>
      <c r="O1022" s="84"/>
      <c r="P1022" s="84"/>
      <c r="Q1022" s="84"/>
      <c r="R1022" s="84"/>
      <c r="S1022" s="84"/>
    </row>
    <row r="1023" spans="1:19">
      <c r="A1023" s="629" t="s">
        <v>280</v>
      </c>
      <c r="B1023" s="248">
        <v>2.2584850765328302E-3</v>
      </c>
      <c r="C1023" s="248">
        <v>2.94114215454842E-3</v>
      </c>
      <c r="D1023" s="248">
        <v>3.17922678883491E-3</v>
      </c>
      <c r="E1023" s="248">
        <v>2.8518768861928901E-3</v>
      </c>
      <c r="F1023" s="248"/>
      <c r="G1023" s="248">
        <v>2.6985645813529602E-3</v>
      </c>
      <c r="H1023" s="735">
        <v>2.9578180968725001E-3</v>
      </c>
      <c r="I1023" s="735">
        <v>1.67317318711206E-3</v>
      </c>
      <c r="J1023" s="735">
        <v>2.9817293481217899E-3</v>
      </c>
      <c r="L1023" s="84"/>
      <c r="M1023" s="84"/>
      <c r="N1023" s="84"/>
      <c r="O1023" s="84"/>
      <c r="P1023" s="84"/>
      <c r="Q1023" s="84"/>
      <c r="R1023" s="84"/>
      <c r="S1023" s="84"/>
    </row>
    <row r="1024" spans="1:19">
      <c r="A1024" s="629" t="s">
        <v>279</v>
      </c>
      <c r="B1024" s="248">
        <v>2.14573733947355E-3</v>
      </c>
      <c r="C1024" s="248">
        <v>3.3528725348735901E-3</v>
      </c>
      <c r="D1024" s="248">
        <v>3.0557412153741602E-3</v>
      </c>
      <c r="E1024" s="248">
        <v>2.5812392953033902E-3</v>
      </c>
      <c r="F1024" s="248"/>
      <c r="G1024" s="248">
        <v>2.4870866740684598E-3</v>
      </c>
      <c r="H1024" s="735">
        <v>2.5679516318500798E-3</v>
      </c>
      <c r="I1024" s="735">
        <v>1.67853204562459E-3</v>
      </c>
      <c r="J1024" s="735">
        <v>2.5880458084158102E-3</v>
      </c>
      <c r="L1024" s="84"/>
      <c r="M1024" s="84"/>
      <c r="N1024" s="84"/>
      <c r="O1024" s="84"/>
      <c r="P1024" s="84"/>
      <c r="Q1024" s="84"/>
      <c r="R1024" s="84"/>
      <c r="S1024" s="84"/>
    </row>
    <row r="1025" spans="1:19">
      <c r="A1025" s="629" t="s">
        <v>278</v>
      </c>
      <c r="B1025" s="248">
        <v>2.07768758908068E-3</v>
      </c>
      <c r="C1025" s="248">
        <v>2.8507802013604398E-3</v>
      </c>
      <c r="D1025" s="248">
        <v>3.23271109592971E-3</v>
      </c>
      <c r="E1025" s="248">
        <v>2.70887002303245E-3</v>
      </c>
      <c r="F1025" s="248"/>
      <c r="G1025" s="248">
        <v>2.4456506020671502E-3</v>
      </c>
      <c r="H1025" s="735">
        <v>2.63351331424531E-3</v>
      </c>
      <c r="I1025" s="735">
        <v>1.57851567611128E-3</v>
      </c>
      <c r="J1025" s="735">
        <v>2.6507739021156E-3</v>
      </c>
      <c r="L1025" s="84"/>
      <c r="M1025" s="84"/>
      <c r="N1025" s="84"/>
      <c r="O1025" s="84"/>
      <c r="P1025" s="84"/>
      <c r="Q1025" s="84"/>
      <c r="R1025" s="84"/>
      <c r="S1025" s="84"/>
    </row>
    <row r="1026" spans="1:19">
      <c r="A1026" s="629" t="s">
        <v>277</v>
      </c>
      <c r="B1026" s="248">
        <v>2.0673143878205502E-3</v>
      </c>
      <c r="C1026" s="248">
        <v>2.9405753358152302E-3</v>
      </c>
      <c r="D1026" s="248">
        <v>3.9355419327252701E-3</v>
      </c>
      <c r="E1026" s="248">
        <v>2.6242960188352701E-3</v>
      </c>
      <c r="F1026" s="248"/>
      <c r="G1026" s="248">
        <v>2.37009344100912E-3</v>
      </c>
      <c r="H1026" s="735">
        <v>2.3011362177796498E-3</v>
      </c>
      <c r="I1026" s="735">
        <v>1.4351061892325699E-3</v>
      </c>
      <c r="J1026" s="735">
        <v>2.3152649749337401E-3</v>
      </c>
      <c r="L1026" s="84"/>
      <c r="M1026" s="84"/>
      <c r="N1026" s="84"/>
      <c r="O1026" s="84"/>
      <c r="P1026" s="84"/>
      <c r="Q1026" s="84"/>
      <c r="R1026" s="84"/>
      <c r="S1026" s="84"/>
    </row>
    <row r="1027" spans="1:19">
      <c r="A1027" s="629" t="s">
        <v>276</v>
      </c>
      <c r="B1027" s="248">
        <v>2.0810109149876801E-3</v>
      </c>
      <c r="C1027" s="248">
        <v>2.72517661689093E-3</v>
      </c>
      <c r="D1027" s="248">
        <v>3.0844460945896502E-3</v>
      </c>
      <c r="E1027" s="248">
        <v>2.6416699222128002E-3</v>
      </c>
      <c r="F1027" s="248"/>
      <c r="G1027" s="248">
        <v>2.2211594567083499E-3</v>
      </c>
      <c r="H1027" s="735">
        <v>2.08150060248203E-3</v>
      </c>
      <c r="I1027" s="735">
        <v>1.306500748605E-3</v>
      </c>
      <c r="J1027" s="735">
        <v>2.0924939204490199E-3</v>
      </c>
      <c r="L1027" s="84"/>
      <c r="M1027" s="84"/>
      <c r="N1027" s="84"/>
      <c r="O1027" s="84"/>
      <c r="P1027" s="84"/>
      <c r="Q1027" s="84"/>
      <c r="R1027" s="84"/>
      <c r="S1027" s="84"/>
    </row>
    <row r="1028" spans="1:19">
      <c r="A1028" s="629" t="s">
        <v>275</v>
      </c>
      <c r="B1028" s="248">
        <v>1.93215350238206E-3</v>
      </c>
      <c r="C1028" s="248">
        <v>2.7506298973728298E-3</v>
      </c>
      <c r="D1028" s="248">
        <v>2.4859742806244999E-3</v>
      </c>
      <c r="E1028" s="248">
        <v>2.4636698753118E-3</v>
      </c>
      <c r="F1028" s="248"/>
      <c r="G1028" s="248">
        <v>2.0814070800570898E-3</v>
      </c>
      <c r="H1028" s="735">
        <v>1.8404772228702601E-3</v>
      </c>
      <c r="I1028" s="735">
        <v>1.19521053912467E-3</v>
      </c>
      <c r="J1028" s="735">
        <v>1.8474861710211399E-3</v>
      </c>
      <c r="L1028" s="84"/>
      <c r="M1028" s="84"/>
      <c r="N1028" s="84"/>
      <c r="O1028" s="84"/>
      <c r="P1028" s="84"/>
      <c r="Q1028" s="84"/>
      <c r="R1028" s="84"/>
      <c r="S1028" s="84"/>
    </row>
    <row r="1029" spans="1:19">
      <c r="A1029" s="629" t="s">
        <v>274</v>
      </c>
      <c r="B1029" s="248">
        <v>1.82791645627149E-3</v>
      </c>
      <c r="C1029" s="248">
        <v>2.6345745671250598E-3</v>
      </c>
      <c r="D1029" s="248">
        <v>2.3099572159687599E-3</v>
      </c>
      <c r="E1029" s="248">
        <v>2.2426156364507501E-3</v>
      </c>
      <c r="F1029" s="248"/>
      <c r="G1029" s="248">
        <v>1.93321723398023E-3</v>
      </c>
      <c r="H1029" s="735">
        <v>1.6848139675075501E-3</v>
      </c>
      <c r="I1029" s="735">
        <v>1.23039999530482E-3</v>
      </c>
      <c r="J1029" s="735">
        <v>1.6872355732297801E-3</v>
      </c>
      <c r="L1029" s="84"/>
      <c r="M1029" s="84"/>
      <c r="N1029" s="84"/>
      <c r="O1029" s="84"/>
      <c r="P1029" s="84"/>
      <c r="Q1029" s="84"/>
      <c r="R1029" s="84"/>
      <c r="S1029" s="84"/>
    </row>
    <row r="1030" spans="1:19">
      <c r="A1030" s="629" t="s">
        <v>273</v>
      </c>
      <c r="B1030" s="248">
        <v>1.8946097828026001E-3</v>
      </c>
      <c r="C1030" s="248">
        <v>2.9813872501481399E-3</v>
      </c>
      <c r="D1030" s="248">
        <v>2.5813290475539402E-3</v>
      </c>
      <c r="E1030" s="248">
        <v>2.1758575060308902E-3</v>
      </c>
      <c r="F1030" s="248"/>
      <c r="G1030" s="248">
        <v>1.8591564401054801E-3</v>
      </c>
      <c r="H1030" s="735">
        <v>1.55385742670677E-3</v>
      </c>
      <c r="I1030" s="735">
        <v>1.1454722424896701E-3</v>
      </c>
      <c r="J1030" s="735">
        <v>1.55426927978609E-3</v>
      </c>
      <c r="L1030" s="84"/>
      <c r="M1030" s="84"/>
      <c r="N1030" s="84"/>
      <c r="O1030" s="84"/>
      <c r="P1030" s="84"/>
      <c r="Q1030" s="84"/>
      <c r="R1030" s="84"/>
      <c r="S1030" s="84"/>
    </row>
    <row r="1031" spans="1:19">
      <c r="A1031" s="629" t="s">
        <v>272</v>
      </c>
      <c r="B1031" s="248">
        <v>1.7830940545727101E-3</v>
      </c>
      <c r="C1031" s="248">
        <v>2.95192061350092E-3</v>
      </c>
      <c r="D1031" s="248">
        <v>2.2376387589819E-3</v>
      </c>
      <c r="E1031" s="248">
        <v>2.02014435642172E-3</v>
      </c>
      <c r="F1031" s="248"/>
      <c r="G1031" s="248">
        <v>1.74625251858458E-3</v>
      </c>
      <c r="H1031" s="735">
        <v>1.4748170308867699E-3</v>
      </c>
      <c r="I1031" s="735">
        <v>1.0578661792776799E-3</v>
      </c>
      <c r="J1031" s="735">
        <v>1.47473838929307E-3</v>
      </c>
      <c r="L1031" s="84"/>
      <c r="M1031" s="84"/>
      <c r="N1031" s="84"/>
      <c r="O1031" s="84"/>
      <c r="P1031" s="84"/>
      <c r="Q1031" s="84"/>
      <c r="R1031" s="84"/>
      <c r="S1031" s="84"/>
    </row>
    <row r="1032" spans="1:19">
      <c r="A1032" s="629" t="s">
        <v>271</v>
      </c>
      <c r="B1032" s="248">
        <v>1.67605050961775E-3</v>
      </c>
      <c r="C1032" s="248">
        <v>2.9159389107663801E-3</v>
      </c>
      <c r="D1032" s="248">
        <v>2.0384404361982302E-3</v>
      </c>
      <c r="E1032" s="248">
        <v>1.8990927052592501E-3</v>
      </c>
      <c r="F1032" s="248"/>
      <c r="G1032" s="248">
        <v>1.6711430352046601E-3</v>
      </c>
      <c r="H1032" s="735">
        <v>1.4332525960118699E-3</v>
      </c>
      <c r="I1032" s="735">
        <v>9.9529373784492899E-4</v>
      </c>
      <c r="J1032" s="735">
        <v>1.43291438803249E-3</v>
      </c>
      <c r="L1032" s="84"/>
      <c r="M1032" s="84"/>
      <c r="N1032" s="84"/>
      <c r="O1032" s="84"/>
      <c r="P1032" s="84"/>
      <c r="Q1032" s="84"/>
      <c r="R1032" s="84"/>
      <c r="S1032" s="84"/>
    </row>
    <row r="1033" spans="1:19">
      <c r="A1033" s="629" t="s">
        <v>270</v>
      </c>
      <c r="B1033" s="248">
        <v>1.5880629189899101E-3</v>
      </c>
      <c r="C1033" s="248">
        <v>3.77664603298038E-3</v>
      </c>
      <c r="D1033" s="248">
        <v>3.0219445510936299E-3</v>
      </c>
      <c r="E1033" s="248">
        <v>1.8030782334521401E-3</v>
      </c>
      <c r="F1033" s="248"/>
      <c r="G1033" s="248">
        <v>1.9194309241215E-3</v>
      </c>
      <c r="H1033" s="735">
        <v>1.7933045018212401E-3</v>
      </c>
      <c r="I1033" s="735">
        <v>9.45120920269158E-4</v>
      </c>
      <c r="J1033" s="735">
        <v>1.7976291856319901E-3</v>
      </c>
      <c r="L1033" s="84"/>
      <c r="M1033" s="84"/>
      <c r="N1033" s="84"/>
      <c r="O1033" s="84"/>
      <c r="P1033" s="84"/>
      <c r="Q1033" s="84"/>
      <c r="R1033" s="84"/>
      <c r="S1033" s="84"/>
    </row>
    <row r="1034" spans="1:19">
      <c r="A1034" s="629" t="s">
        <v>269</v>
      </c>
      <c r="B1034" s="248">
        <v>1.65986155308679E-3</v>
      </c>
      <c r="C1034" s="248">
        <v>5.1603332123714802E-3</v>
      </c>
      <c r="D1034" s="248">
        <v>2.4500675292682501E-3</v>
      </c>
      <c r="E1034" s="248">
        <v>1.8297607849644001E-3</v>
      </c>
      <c r="F1034" s="248"/>
      <c r="G1034" s="248">
        <v>1.8179989569218099E-3</v>
      </c>
      <c r="H1034" s="735">
        <v>2.3888913430664101E-3</v>
      </c>
      <c r="I1034" s="735">
        <v>8.7818474837596098E-4</v>
      </c>
      <c r="J1034" s="735">
        <v>2.4101087484465801E-3</v>
      </c>
      <c r="L1034" s="84"/>
      <c r="M1034" s="84"/>
      <c r="N1034" s="84"/>
      <c r="O1034" s="84"/>
      <c r="P1034" s="84"/>
      <c r="Q1034" s="84"/>
      <c r="R1034" s="84"/>
      <c r="S1034" s="84"/>
    </row>
    <row r="1035" spans="1:19">
      <c r="A1035" s="629" t="s">
        <v>268</v>
      </c>
      <c r="B1035" s="248">
        <v>1.8424895379238501E-3</v>
      </c>
      <c r="C1035" s="248">
        <v>5.3695425456223699E-3</v>
      </c>
      <c r="D1035" s="248">
        <v>2.68320125699329E-3</v>
      </c>
      <c r="E1035" s="248">
        <v>2.2536133120745401E-3</v>
      </c>
      <c r="F1035" s="248"/>
      <c r="G1035" s="248">
        <v>1.7891398629382E-3</v>
      </c>
      <c r="H1035" s="735">
        <v>3.37520662945029E-3</v>
      </c>
      <c r="I1035" s="735">
        <v>9.4068225989024201E-4</v>
      </c>
      <c r="J1035" s="735">
        <v>3.4022208872190201E-3</v>
      </c>
      <c r="L1035" s="84"/>
      <c r="M1035" s="84"/>
      <c r="N1035" s="84"/>
      <c r="O1035" s="84"/>
      <c r="P1035" s="84"/>
      <c r="Q1035" s="84"/>
      <c r="R1035" s="84"/>
      <c r="S1035" s="84"/>
    </row>
    <row r="1036" spans="1:19">
      <c r="A1036" s="629" t="s">
        <v>267</v>
      </c>
      <c r="B1036" s="248">
        <v>1.7268308233053401E-3</v>
      </c>
      <c r="C1036" s="248">
        <v>3.65463111179266E-3</v>
      </c>
      <c r="D1036" s="248">
        <v>2.6333536289490302E-3</v>
      </c>
      <c r="E1036" s="248">
        <v>2.0749803501563901E-3</v>
      </c>
      <c r="F1036" s="248"/>
      <c r="G1036" s="248">
        <v>1.6719445222781501E-3</v>
      </c>
      <c r="H1036" s="735">
        <v>2.9202183911930602E-3</v>
      </c>
      <c r="I1036" s="735">
        <v>8.7440676891130202E-4</v>
      </c>
      <c r="J1036" s="735">
        <v>2.9439257348200902E-3</v>
      </c>
      <c r="L1036" s="84"/>
      <c r="M1036" s="84"/>
      <c r="N1036" s="84"/>
      <c r="O1036" s="84"/>
      <c r="P1036" s="84"/>
      <c r="Q1036" s="84"/>
      <c r="R1036" s="84"/>
      <c r="S1036" s="84"/>
    </row>
    <row r="1037" spans="1:19">
      <c r="A1037" s="629" t="s">
        <v>266</v>
      </c>
      <c r="B1037" s="248">
        <v>1.7294841366788001E-3</v>
      </c>
      <c r="C1037" s="248">
        <v>3.2779924903438501E-3</v>
      </c>
      <c r="D1037" s="248">
        <v>2.6532385853254201E-3</v>
      </c>
      <c r="E1037" s="248">
        <v>1.9546526565662999E-3</v>
      </c>
      <c r="F1037" s="248"/>
      <c r="G1037" s="248">
        <v>1.58607216556676E-3</v>
      </c>
      <c r="H1037" s="735">
        <v>2.5179336444105102E-3</v>
      </c>
      <c r="I1037" s="735">
        <v>9.0502577384103796E-4</v>
      </c>
      <c r="J1037" s="735">
        <v>2.5375074577330399E-3</v>
      </c>
      <c r="L1037" s="84"/>
      <c r="M1037" s="84"/>
      <c r="N1037" s="84"/>
      <c r="O1037" s="84"/>
      <c r="P1037" s="84"/>
      <c r="Q1037" s="84"/>
      <c r="R1037" s="84"/>
      <c r="S1037" s="84"/>
    </row>
    <row r="1038" spans="1:19">
      <c r="A1038" s="629" t="s">
        <v>265</v>
      </c>
      <c r="B1038" s="248">
        <v>1.74982258226223E-3</v>
      </c>
      <c r="C1038" s="248">
        <v>3.1553631769149801E-3</v>
      </c>
      <c r="D1038" s="248">
        <v>3.0972278620180001E-3</v>
      </c>
      <c r="E1038" s="248">
        <v>1.8409155291218399E-3</v>
      </c>
      <c r="F1038" s="248"/>
      <c r="G1038" s="248">
        <v>1.55151479675569E-3</v>
      </c>
      <c r="H1038" s="735">
        <v>2.3468577023083E-3</v>
      </c>
      <c r="I1038" s="735">
        <v>9.9951842480803989E-4</v>
      </c>
      <c r="J1038" s="735">
        <v>2.3600648727739502E-3</v>
      </c>
      <c r="L1038" s="84"/>
      <c r="M1038" s="84"/>
      <c r="N1038" s="84"/>
      <c r="O1038" s="84"/>
      <c r="P1038" s="84"/>
      <c r="Q1038" s="84"/>
      <c r="R1038" s="84"/>
      <c r="S1038" s="84"/>
    </row>
    <row r="1039" spans="1:19">
      <c r="A1039" s="629" t="s">
        <v>264</v>
      </c>
      <c r="B1039" s="248">
        <v>1.8757377498809799E-3</v>
      </c>
      <c r="C1039" s="248">
        <v>2.9729016451177401E-3</v>
      </c>
      <c r="D1039" s="248">
        <v>3.7740484578953301E-3</v>
      </c>
      <c r="E1039" s="248">
        <v>1.9695672805926201E-3</v>
      </c>
      <c r="F1039" s="248"/>
      <c r="G1039" s="248">
        <v>1.4852394339271201E-3</v>
      </c>
      <c r="H1039" s="735">
        <v>2.1975122312603299E-3</v>
      </c>
      <c r="I1039" s="735">
        <v>9.2502081032982205E-4</v>
      </c>
      <c r="J1039" s="735">
        <v>2.2038441081934299E-3</v>
      </c>
      <c r="L1039" s="84"/>
      <c r="M1039" s="84"/>
      <c r="N1039" s="84"/>
      <c r="O1039" s="84"/>
      <c r="P1039" s="84"/>
      <c r="Q1039" s="84"/>
      <c r="R1039" s="84"/>
      <c r="S1039" s="84"/>
    </row>
    <row r="1040" spans="1:19">
      <c r="A1040" s="629" t="s">
        <v>263</v>
      </c>
      <c r="B1040" s="248">
        <v>1.78632717743839E-3</v>
      </c>
      <c r="C1040" s="248">
        <v>3.1584718250480901E-3</v>
      </c>
      <c r="D1040" s="248">
        <v>2.86373539574783E-3</v>
      </c>
      <c r="E1040" s="248">
        <v>1.8725830716411101E-3</v>
      </c>
      <c r="F1040" s="248"/>
      <c r="G1040" s="248">
        <v>1.5805251976643299E-3</v>
      </c>
      <c r="H1040" s="735">
        <v>1.99884482664221E-3</v>
      </c>
      <c r="I1040" s="735">
        <v>8.6767573095047196E-4</v>
      </c>
      <c r="J1040" s="735">
        <v>2.0001653577146998E-3</v>
      </c>
      <c r="L1040" s="84"/>
      <c r="M1040" s="84"/>
      <c r="N1040" s="84"/>
      <c r="O1040" s="84"/>
      <c r="P1040" s="84"/>
      <c r="Q1040" s="84"/>
      <c r="R1040" s="84"/>
      <c r="S1040" s="84"/>
    </row>
    <row r="1041" spans="1:19">
      <c r="A1041" s="629" t="s">
        <v>262</v>
      </c>
      <c r="B1041" s="248">
        <v>1.7654548224871299E-3</v>
      </c>
      <c r="C1041" s="248">
        <v>3.1067798297423101E-3</v>
      </c>
      <c r="D1041" s="248">
        <v>2.4603658618657198E-3</v>
      </c>
      <c r="E1041" s="248">
        <v>1.78997657350903E-3</v>
      </c>
      <c r="F1041" s="248"/>
      <c r="G1041" s="248">
        <v>1.48597150092178E-3</v>
      </c>
      <c r="H1041" s="735">
        <v>1.7897673896190801E-3</v>
      </c>
      <c r="I1041" s="735">
        <v>8.3816604100112101E-4</v>
      </c>
      <c r="J1041" s="735">
        <v>1.78920108806628E-3</v>
      </c>
      <c r="L1041" s="84"/>
      <c r="M1041" s="84"/>
      <c r="N1041" s="84"/>
      <c r="O1041" s="84"/>
      <c r="P1041" s="84"/>
      <c r="Q1041" s="84"/>
      <c r="R1041" s="84"/>
      <c r="S1041" s="84"/>
    </row>
    <row r="1042" spans="1:19">
      <c r="A1042" s="629" t="s">
        <v>261</v>
      </c>
      <c r="B1042" s="248">
        <v>1.7080544566834899E-3</v>
      </c>
      <c r="C1042" s="248">
        <v>3.0694519403857098E-3</v>
      </c>
      <c r="D1042" s="248">
        <v>2.2162179110129399E-3</v>
      </c>
      <c r="E1042" s="248">
        <v>1.7202407665220399E-3</v>
      </c>
      <c r="F1042" s="248"/>
      <c r="G1042" s="248">
        <v>1.52114908644616E-3</v>
      </c>
      <c r="H1042" s="735">
        <v>2.1902840694601601E-3</v>
      </c>
      <c r="I1042" s="735">
        <v>7.8476268989156103E-4</v>
      </c>
      <c r="J1042" s="735">
        <v>2.1997482581968802E-3</v>
      </c>
      <c r="L1042" s="84"/>
      <c r="M1042" s="84"/>
      <c r="N1042" s="84"/>
      <c r="O1042" s="84"/>
      <c r="P1042" s="84"/>
      <c r="Q1042" s="84"/>
      <c r="R1042" s="84"/>
      <c r="S1042" s="84"/>
    </row>
    <row r="1043" spans="1:19">
      <c r="A1043" s="629" t="s">
        <v>260</v>
      </c>
      <c r="B1043" s="248">
        <v>1.8956974608852601E-3</v>
      </c>
      <c r="C1043" s="248">
        <v>3.0789840717617002E-3</v>
      </c>
      <c r="D1043" s="248">
        <v>2.1283832952293598E-3</v>
      </c>
      <c r="E1043" s="248">
        <v>1.7179595551540499E-3</v>
      </c>
      <c r="F1043" s="248"/>
      <c r="G1043" s="248">
        <v>1.6891353006919399E-3</v>
      </c>
      <c r="H1043" s="735">
        <v>2.0573772105258398E-3</v>
      </c>
      <c r="I1043" s="735">
        <v>8.8006895314429203E-4</v>
      </c>
      <c r="J1043" s="735">
        <v>2.0601060861425301E-3</v>
      </c>
      <c r="L1043" s="84"/>
      <c r="M1043" s="84"/>
      <c r="N1043" s="84"/>
      <c r="O1043" s="84"/>
      <c r="P1043" s="84"/>
      <c r="Q1043" s="84"/>
      <c r="R1043" s="84"/>
      <c r="S1043" s="84"/>
    </row>
    <row r="1044" spans="1:19">
      <c r="A1044" s="629" t="s">
        <v>259</v>
      </c>
      <c r="B1044" s="248">
        <v>1.79885452885239E-3</v>
      </c>
      <c r="C1044" s="248">
        <v>3.1629643406866901E-3</v>
      </c>
      <c r="D1044" s="248">
        <v>2.52546416529576E-3</v>
      </c>
      <c r="E1044" s="248">
        <v>1.7477786995935599E-3</v>
      </c>
      <c r="F1044" s="248"/>
      <c r="G1044" s="248">
        <v>1.7806111341894301E-3</v>
      </c>
      <c r="H1044" s="735">
        <v>1.81285886473742E-3</v>
      </c>
      <c r="I1044" s="735">
        <v>8.8162534078117197E-4</v>
      </c>
      <c r="J1044" s="735">
        <v>1.8123750859049899E-3</v>
      </c>
      <c r="L1044" s="84"/>
      <c r="M1044" s="84"/>
      <c r="N1044" s="84"/>
      <c r="O1044" s="84"/>
      <c r="P1044" s="84"/>
      <c r="Q1044" s="84"/>
      <c r="R1044" s="84"/>
      <c r="S1044" s="84"/>
    </row>
    <row r="1045" spans="1:19">
      <c r="A1045" s="629" t="s">
        <v>258</v>
      </c>
      <c r="B1045" s="248">
        <v>1.73734667180265E-3</v>
      </c>
      <c r="C1045" s="248">
        <v>3.0029242570335001E-3</v>
      </c>
      <c r="D1045" s="248">
        <v>3.1389721071552398E-3</v>
      </c>
      <c r="E1045" s="248">
        <v>1.6800952212019499E-3</v>
      </c>
      <c r="F1045" s="248"/>
      <c r="G1045" s="248">
        <v>1.6687005975653999E-3</v>
      </c>
      <c r="H1045" s="735">
        <v>1.6377861462681001E-3</v>
      </c>
      <c r="I1045" s="735">
        <v>1.08434488497844E-3</v>
      </c>
      <c r="J1045" s="735">
        <v>1.63246925366806E-3</v>
      </c>
      <c r="L1045" s="84"/>
      <c r="M1045" s="84"/>
      <c r="N1045" s="84"/>
      <c r="O1045" s="84"/>
      <c r="P1045" s="84"/>
      <c r="Q1045" s="84"/>
      <c r="R1045" s="84"/>
      <c r="S1045" s="84"/>
    </row>
    <row r="1046" spans="1:19">
      <c r="A1046" s="629" t="s">
        <v>257</v>
      </c>
      <c r="B1046" s="248">
        <v>1.6723224588021501E-3</v>
      </c>
      <c r="C1046" s="248">
        <v>2.9033420949895498E-3</v>
      </c>
      <c r="D1046" s="248">
        <v>3.12407890782783E-3</v>
      </c>
      <c r="E1046" s="248">
        <v>1.6240677337343E-3</v>
      </c>
      <c r="F1046" s="248"/>
      <c r="G1046" s="248">
        <v>1.61851767727607E-3</v>
      </c>
      <c r="H1046" s="735">
        <v>1.51151623048E-3</v>
      </c>
      <c r="I1046" s="735">
        <v>1.00437386183026E-3</v>
      </c>
      <c r="J1046" s="735">
        <v>1.5004952123015599E-3</v>
      </c>
      <c r="L1046" s="84"/>
      <c r="M1046" s="84"/>
      <c r="N1046" s="84"/>
      <c r="O1046" s="84"/>
      <c r="P1046" s="84"/>
      <c r="Q1046" s="84"/>
      <c r="R1046" s="84"/>
      <c r="S1046" s="84"/>
    </row>
    <row r="1047" spans="1:19">
      <c r="A1047" s="629" t="s">
        <v>256</v>
      </c>
      <c r="B1047" s="248">
        <v>1.58038984932649E-3</v>
      </c>
      <c r="C1047" s="248">
        <v>2.9538050362275699E-3</v>
      </c>
      <c r="D1047" s="248">
        <v>2.5041251977685102E-3</v>
      </c>
      <c r="E1047" s="248">
        <v>1.8919179589962901E-3</v>
      </c>
      <c r="F1047" s="248"/>
      <c r="G1047" s="248">
        <v>1.6354216973068899E-3</v>
      </c>
      <c r="H1047" s="735">
        <v>1.44336392128779E-3</v>
      </c>
      <c r="I1047" s="735">
        <v>9.4562906561249398E-4</v>
      </c>
      <c r="J1047" s="735">
        <v>1.4332933900368099E-3</v>
      </c>
      <c r="L1047" s="84"/>
      <c r="M1047" s="84"/>
      <c r="N1047" s="84"/>
      <c r="O1047" s="84"/>
      <c r="P1047" s="84"/>
      <c r="Q1047" s="84"/>
      <c r="R1047" s="84"/>
      <c r="S1047" s="84"/>
    </row>
    <row r="1048" spans="1:19">
      <c r="A1048" s="629" t="s">
        <v>255</v>
      </c>
      <c r="B1048" s="248">
        <v>1.5529244831641799E-3</v>
      </c>
      <c r="C1048" s="248">
        <v>4.6810179746586402E-3</v>
      </c>
      <c r="D1048" s="248">
        <v>3.2117821844772701E-3</v>
      </c>
      <c r="E1048" s="248">
        <v>2.2665501042095E-3</v>
      </c>
      <c r="F1048" s="248"/>
      <c r="G1048" s="248">
        <v>1.5957130805717601E-3</v>
      </c>
      <c r="H1048" s="735">
        <v>1.3043096995421801E-3</v>
      </c>
      <c r="I1048" s="735">
        <v>1.1582041649488501E-3</v>
      </c>
      <c r="J1048" s="735">
        <v>1.29177041786809E-3</v>
      </c>
      <c r="L1048" s="84"/>
      <c r="M1048" s="84"/>
      <c r="N1048" s="84"/>
      <c r="O1048" s="84"/>
      <c r="P1048" s="84"/>
      <c r="Q1048" s="84"/>
      <c r="R1048" s="84"/>
      <c r="S1048" s="84"/>
    </row>
    <row r="1049" spans="1:19">
      <c r="A1049" s="629" t="s">
        <v>254</v>
      </c>
      <c r="B1049" s="248">
        <v>1.47805402455879E-3</v>
      </c>
      <c r="C1049" s="248">
        <v>3.5157567600649399E-3</v>
      </c>
      <c r="D1049" s="248">
        <v>2.7607330950910501E-3</v>
      </c>
      <c r="E1049" s="248">
        <v>2.08558737966939E-3</v>
      </c>
      <c r="F1049" s="248"/>
      <c r="G1049" s="248">
        <v>1.68533089211226E-3</v>
      </c>
      <c r="H1049" s="735">
        <v>1.19135632799526E-3</v>
      </c>
      <c r="I1049" s="735">
        <v>1.0647740598441801E-3</v>
      </c>
      <c r="J1049" s="735">
        <v>1.1757632920254E-3</v>
      </c>
      <c r="L1049" s="84"/>
      <c r="M1049" s="84"/>
      <c r="N1049" s="84"/>
      <c r="O1049" s="84"/>
      <c r="P1049" s="84"/>
      <c r="Q1049" s="84"/>
      <c r="R1049" s="84"/>
      <c r="S1049" s="84"/>
    </row>
    <row r="1050" spans="1:19">
      <c r="A1050" s="629" t="s">
        <v>253</v>
      </c>
      <c r="B1050" s="248">
        <v>1.76228383936393E-3</v>
      </c>
      <c r="C1050" s="248">
        <v>3.50036462972713E-3</v>
      </c>
      <c r="D1050" s="248">
        <v>5.1496855707166399E-3</v>
      </c>
      <c r="E1050" s="248">
        <v>2.07375155840181E-3</v>
      </c>
      <c r="F1050" s="248"/>
      <c r="G1050" s="248">
        <v>1.6635959867403801E-3</v>
      </c>
      <c r="H1050" s="735">
        <v>1.3726897563114801E-3</v>
      </c>
      <c r="I1050" s="735">
        <v>1.07856093240796E-3</v>
      </c>
      <c r="J1050" s="735">
        <v>1.3518454258909999E-3</v>
      </c>
      <c r="L1050" s="84"/>
      <c r="M1050" s="84"/>
      <c r="N1050" s="84"/>
      <c r="O1050" s="84"/>
      <c r="P1050" s="84"/>
      <c r="Q1050" s="84"/>
      <c r="R1050" s="84"/>
      <c r="S1050" s="84"/>
    </row>
    <row r="1051" spans="1:19">
      <c r="A1051" s="629" t="s">
        <v>252</v>
      </c>
      <c r="B1051" s="248">
        <v>1.72144904375045E-3</v>
      </c>
      <c r="C1051" s="248">
        <v>3.44749926231009E-3</v>
      </c>
      <c r="D1051" s="248">
        <v>3.6619223880112301E-3</v>
      </c>
      <c r="E1051" s="248">
        <v>1.9337582037309601E-3</v>
      </c>
      <c r="F1051" s="248"/>
      <c r="G1051" s="248">
        <v>1.5862296870629399E-3</v>
      </c>
      <c r="H1051" s="735">
        <v>1.2529518930530399E-3</v>
      </c>
      <c r="I1051" s="735">
        <v>1.0827012959836199E-3</v>
      </c>
      <c r="J1051" s="735">
        <v>1.23031043271584E-3</v>
      </c>
      <c r="L1051" s="84"/>
      <c r="M1051" s="84"/>
      <c r="N1051" s="84"/>
      <c r="O1051" s="84"/>
      <c r="P1051" s="84"/>
      <c r="Q1051" s="84"/>
      <c r="R1051" s="84"/>
      <c r="S1051" s="84"/>
    </row>
    <row r="1052" spans="1:19">
      <c r="A1052" s="629" t="s">
        <v>251</v>
      </c>
      <c r="B1052" s="248">
        <v>2.9237811373910901E-3</v>
      </c>
      <c r="C1052" s="248">
        <v>2.8949403858003898E-3</v>
      </c>
      <c r="D1052" s="248">
        <v>3.77612718972185E-3</v>
      </c>
      <c r="E1052" s="248">
        <v>2.05091198011821E-3</v>
      </c>
      <c r="F1052" s="248"/>
      <c r="G1052" s="248">
        <v>1.76945370945883E-3</v>
      </c>
      <c r="H1052" s="735">
        <v>1.27777749590128E-3</v>
      </c>
      <c r="I1052" s="735">
        <v>1.2543955410976E-3</v>
      </c>
      <c r="J1052" s="735">
        <v>1.25094832138937E-3</v>
      </c>
      <c r="L1052" s="84"/>
      <c r="M1052" s="84"/>
      <c r="N1052" s="84"/>
      <c r="O1052" s="84"/>
      <c r="P1052" s="84"/>
      <c r="Q1052" s="84"/>
      <c r="R1052" s="84"/>
      <c r="S1052" s="84"/>
    </row>
    <row r="1053" spans="1:19">
      <c r="A1053" s="629" t="s">
        <v>250</v>
      </c>
      <c r="B1053" s="248">
        <v>2.7513065526052799E-3</v>
      </c>
      <c r="C1053" s="248">
        <v>3.0845529587170701E-3</v>
      </c>
      <c r="D1053" s="248">
        <v>3.6844716643463999E-3</v>
      </c>
      <c r="E1053" s="248">
        <v>1.9624173158099899E-3</v>
      </c>
      <c r="F1053" s="248"/>
      <c r="G1053" s="248">
        <v>2.4151688036510299E-3</v>
      </c>
      <c r="H1053" s="735">
        <v>1.1895387665183401E-3</v>
      </c>
      <c r="I1053" s="735">
        <v>1.4578015105370899E-3</v>
      </c>
      <c r="J1053" s="735">
        <v>1.16282485145743E-3</v>
      </c>
      <c r="L1053" s="84"/>
      <c r="M1053" s="84"/>
      <c r="N1053" s="84"/>
      <c r="O1053" s="84"/>
      <c r="P1053" s="84"/>
      <c r="Q1053" s="84"/>
      <c r="R1053" s="84"/>
      <c r="S1053" s="84"/>
    </row>
    <row r="1054" spans="1:19">
      <c r="A1054" s="629" t="s">
        <v>249</v>
      </c>
      <c r="B1054" s="248">
        <v>2.75707712445783E-3</v>
      </c>
      <c r="C1054" s="248">
        <v>3.2355048467596699E-3</v>
      </c>
      <c r="D1054" s="248">
        <v>4.4851017734032798E-3</v>
      </c>
      <c r="E1054" s="248">
        <v>2.0884745473311399E-3</v>
      </c>
      <c r="F1054" s="248"/>
      <c r="G1054" s="248">
        <v>2.2397471498590798E-3</v>
      </c>
      <c r="H1054" s="735">
        <v>1.13546393007332E-3</v>
      </c>
      <c r="I1054" s="735">
        <v>2.3009610638143499E-3</v>
      </c>
      <c r="J1054" s="735">
        <v>1.10668252269859E-3</v>
      </c>
      <c r="L1054" s="84"/>
      <c r="M1054" s="84"/>
      <c r="N1054" s="84"/>
      <c r="O1054" s="84"/>
      <c r="P1054" s="84"/>
      <c r="Q1054" s="84"/>
      <c r="R1054" s="84"/>
      <c r="S1054" s="84"/>
    </row>
    <row r="1055" spans="1:19">
      <c r="A1055" s="629" t="s">
        <v>248</v>
      </c>
      <c r="B1055" s="248">
        <v>2.64826310937057E-3</v>
      </c>
      <c r="C1055" s="248">
        <v>4.3918122707805301E-3</v>
      </c>
      <c r="D1055" s="248">
        <v>3.2321829395194298E-3</v>
      </c>
      <c r="E1055" s="248">
        <v>1.95012897493385E-3</v>
      </c>
      <c r="F1055" s="248"/>
      <c r="G1055" s="248">
        <v>2.1652585431922002E-3</v>
      </c>
      <c r="H1055" s="735">
        <v>1.0997996374073199E-3</v>
      </c>
      <c r="I1055" s="735">
        <v>2.0612534705111698E-3</v>
      </c>
      <c r="J1055" s="735">
        <v>1.07512820152016E-3</v>
      </c>
      <c r="L1055" s="84"/>
      <c r="M1055" s="84"/>
      <c r="N1055" s="84"/>
      <c r="O1055" s="84"/>
      <c r="P1055" s="84"/>
      <c r="Q1055" s="84"/>
      <c r="R1055" s="84"/>
      <c r="S1055" s="84"/>
    </row>
    <row r="1056" spans="1:19">
      <c r="A1056" s="629" t="s">
        <v>247</v>
      </c>
      <c r="B1056" s="248">
        <v>2.9030994499555699E-3</v>
      </c>
      <c r="C1056" s="248">
        <v>4.1900160613712201E-3</v>
      </c>
      <c r="D1056" s="248">
        <v>4.5121515261208498E-3</v>
      </c>
      <c r="E1056" s="248">
        <v>1.9810669679557E-3</v>
      </c>
      <c r="F1056" s="248"/>
      <c r="G1056" s="248">
        <v>2.0090334853437898E-3</v>
      </c>
      <c r="H1056" s="735">
        <v>1.2807062180213199E-3</v>
      </c>
      <c r="I1056" s="735">
        <v>1.95692851921198E-3</v>
      </c>
      <c r="J1056" s="735">
        <v>1.2558458905759301E-3</v>
      </c>
      <c r="L1056" s="84"/>
      <c r="M1056" s="84"/>
      <c r="N1056" s="84"/>
      <c r="O1056" s="84"/>
      <c r="P1056" s="84"/>
      <c r="Q1056" s="84"/>
      <c r="R1056" s="84"/>
      <c r="S1056" s="84"/>
    </row>
    <row r="1057" spans="1:19">
      <c r="A1057" s="629" t="s">
        <v>246</v>
      </c>
      <c r="B1057" s="248">
        <v>3.4618929522720102E-3</v>
      </c>
      <c r="C1057" s="248">
        <v>3.70854449668785E-3</v>
      </c>
      <c r="D1057" s="248">
        <v>4.21683798386075E-3</v>
      </c>
      <c r="E1057" s="248">
        <v>2.4963975830180501E-3</v>
      </c>
      <c r="F1057" s="248"/>
      <c r="G1057" s="248">
        <v>1.9626377814043298E-3</v>
      </c>
      <c r="H1057" s="735">
        <v>1.3371821009558499E-3</v>
      </c>
      <c r="I1057" s="735">
        <v>2.10789497153069E-3</v>
      </c>
      <c r="J1057" s="735">
        <v>1.3189231323972701E-3</v>
      </c>
      <c r="L1057" s="84"/>
      <c r="M1057" s="84"/>
      <c r="N1057" s="84"/>
      <c r="O1057" s="84"/>
      <c r="P1057" s="84"/>
      <c r="Q1057" s="84"/>
      <c r="R1057" s="84"/>
      <c r="S1057" s="84"/>
    </row>
    <row r="1058" spans="1:19">
      <c r="A1058" s="629" t="s">
        <v>245</v>
      </c>
      <c r="B1058" s="248">
        <v>3.3275789837262002E-3</v>
      </c>
      <c r="C1058" s="248">
        <v>3.0897681052908898E-3</v>
      </c>
      <c r="D1058" s="248">
        <v>3.8953930734459299E-3</v>
      </c>
      <c r="E1058" s="248">
        <v>2.2986202480046402E-3</v>
      </c>
      <c r="F1058" s="248"/>
      <c r="G1058" s="248">
        <v>1.84870323051383E-3</v>
      </c>
      <c r="H1058" s="735">
        <v>1.2947165205560399E-3</v>
      </c>
      <c r="I1058" s="735">
        <v>1.89247996051563E-3</v>
      </c>
      <c r="J1058" s="735">
        <v>1.2729893811618501E-3</v>
      </c>
      <c r="L1058" s="84"/>
      <c r="M1058" s="84"/>
      <c r="N1058" s="84"/>
      <c r="O1058" s="84"/>
      <c r="P1058" s="84"/>
      <c r="Q1058" s="84"/>
      <c r="R1058" s="84"/>
      <c r="S1058" s="84"/>
    </row>
    <row r="1059" spans="1:19">
      <c r="A1059" s="629" t="s">
        <v>244</v>
      </c>
      <c r="B1059" s="248">
        <v>3.0921184337591402E-3</v>
      </c>
      <c r="C1059" s="248">
        <v>3.0203786762437201E-3</v>
      </c>
      <c r="D1059" s="248">
        <v>3.0682584063460002E-3</v>
      </c>
      <c r="E1059" s="248">
        <v>2.2999190383218202E-3</v>
      </c>
      <c r="F1059" s="248"/>
      <c r="G1059" s="248">
        <v>1.8863069606347199E-3</v>
      </c>
      <c r="H1059" s="735">
        <v>1.38193718432342E-3</v>
      </c>
      <c r="I1059" s="735">
        <v>1.80601886741465E-3</v>
      </c>
      <c r="J1059" s="735">
        <v>1.3578309800579599E-3</v>
      </c>
      <c r="L1059" s="84"/>
      <c r="M1059" s="84"/>
      <c r="N1059" s="84"/>
      <c r="O1059" s="84"/>
      <c r="P1059" s="84"/>
      <c r="Q1059" s="84"/>
      <c r="R1059" s="84"/>
      <c r="S1059" s="84"/>
    </row>
    <row r="1060" spans="1:19">
      <c r="A1060" s="629" t="s">
        <v>243</v>
      </c>
      <c r="B1060" s="248">
        <v>2.8033859831783198E-3</v>
      </c>
      <c r="C1060" s="248">
        <v>2.7789699470666899E-3</v>
      </c>
      <c r="D1060" s="248">
        <v>2.4702513652802402E-3</v>
      </c>
      <c r="E1060" s="248">
        <v>2.2001442772927099E-3</v>
      </c>
      <c r="F1060" s="248"/>
      <c r="G1060" s="248">
        <v>1.81658469859029E-3</v>
      </c>
      <c r="H1060" s="735">
        <v>1.32624977256391E-3</v>
      </c>
      <c r="I1060" s="735">
        <v>1.7041053381274701E-3</v>
      </c>
      <c r="J1060" s="735">
        <v>1.29892005205618E-3</v>
      </c>
      <c r="L1060" s="84"/>
      <c r="M1060" s="84"/>
      <c r="N1060" s="84"/>
      <c r="O1060" s="84"/>
      <c r="P1060" s="84"/>
      <c r="Q1060" s="84"/>
      <c r="R1060" s="84"/>
      <c r="S1060" s="84"/>
    </row>
    <row r="1061" spans="1:19">
      <c r="A1061" s="629" t="s">
        <v>242</v>
      </c>
      <c r="B1061" s="248">
        <v>2.56986465427871E-3</v>
      </c>
      <c r="C1061" s="248">
        <v>2.6568234448881198E-3</v>
      </c>
      <c r="D1061" s="248">
        <v>2.57069623844287E-3</v>
      </c>
      <c r="E1061" s="248">
        <v>2.0325679540523799E-3</v>
      </c>
      <c r="F1061" s="248"/>
      <c r="G1061" s="248">
        <v>1.70080910723864E-3</v>
      </c>
      <c r="H1061" s="735">
        <v>1.2509542308747001E-3</v>
      </c>
      <c r="I1061" s="735">
        <v>1.53913766805804E-3</v>
      </c>
      <c r="J1061" s="735">
        <v>1.2231389679098299E-3</v>
      </c>
      <c r="L1061" s="84"/>
      <c r="M1061" s="84"/>
      <c r="N1061" s="84"/>
      <c r="O1061" s="84"/>
      <c r="P1061" s="84"/>
      <c r="Q1061" s="84"/>
      <c r="R1061" s="84"/>
      <c r="S1061" s="84"/>
    </row>
    <row r="1062" spans="1:19">
      <c r="A1062" s="629" t="s">
        <v>241</v>
      </c>
      <c r="B1062" s="248">
        <v>2.5904163372151498E-3</v>
      </c>
      <c r="C1062" s="248">
        <v>2.6890393632459102E-3</v>
      </c>
      <c r="D1062" s="248">
        <v>2.7577194968519E-3</v>
      </c>
      <c r="E1062" s="248">
        <v>1.9772732626361701E-3</v>
      </c>
      <c r="F1062" s="248">
        <v>1.57518215332308E-3</v>
      </c>
      <c r="G1062" s="248">
        <v>1.59213306605711E-3</v>
      </c>
      <c r="H1062" s="735">
        <v>1.37238484669016E-3</v>
      </c>
      <c r="I1062" s="735">
        <v>1.44679556675484E-3</v>
      </c>
      <c r="J1062" s="735">
        <v>1.3480880825498E-3</v>
      </c>
      <c r="L1062" s="84"/>
      <c r="M1062" s="84"/>
      <c r="N1062" s="84"/>
      <c r="O1062" s="84"/>
      <c r="P1062" s="84"/>
      <c r="Q1062" s="84"/>
      <c r="R1062" s="84"/>
      <c r="S1062" s="84"/>
    </row>
    <row r="1063" spans="1:19">
      <c r="A1063" s="629" t="s">
        <v>240</v>
      </c>
      <c r="B1063" s="248">
        <v>2.55568288712393E-3</v>
      </c>
      <c r="C1063" s="248">
        <v>2.6879405295272001E-3</v>
      </c>
      <c r="D1063" s="248">
        <v>2.3898122054919601E-3</v>
      </c>
      <c r="E1063" s="248">
        <v>1.94056681460368E-3</v>
      </c>
      <c r="F1063" s="248">
        <v>1.6113271115196E-3</v>
      </c>
      <c r="G1063" s="248">
        <v>1.4961478525270799E-3</v>
      </c>
      <c r="H1063" s="735">
        <v>1.44332896609715E-3</v>
      </c>
      <c r="I1063" s="735">
        <v>1.39618239267E-3</v>
      </c>
      <c r="J1063" s="735">
        <v>1.4155129392650399E-3</v>
      </c>
      <c r="L1063" s="84"/>
      <c r="M1063" s="84"/>
      <c r="N1063" s="84"/>
      <c r="O1063" s="84"/>
      <c r="P1063" s="84"/>
      <c r="Q1063" s="84"/>
      <c r="R1063" s="84"/>
      <c r="S1063" s="84"/>
    </row>
    <row r="1064" spans="1:19">
      <c r="A1064" s="629" t="s">
        <v>239</v>
      </c>
      <c r="B1064" s="248">
        <v>2.3660950371558499E-3</v>
      </c>
      <c r="C1064" s="248">
        <v>5.0896459338692903E-3</v>
      </c>
      <c r="D1064" s="248">
        <v>2.1995003511464601E-3</v>
      </c>
      <c r="E1064" s="248">
        <v>1.8817313187665199E-3</v>
      </c>
      <c r="F1064" s="248">
        <v>1.8264690180425499E-3</v>
      </c>
      <c r="G1064" s="248">
        <v>1.5149490396864601E-3</v>
      </c>
      <c r="H1064" s="735">
        <v>1.3043955881273501E-3</v>
      </c>
      <c r="I1064" s="735">
        <v>1.35380115542334E-3</v>
      </c>
      <c r="J1064" s="735">
        <v>1.2770645308571599E-3</v>
      </c>
      <c r="L1064" s="84"/>
      <c r="M1064" s="84"/>
      <c r="N1064" s="84"/>
      <c r="O1064" s="84"/>
      <c r="P1064" s="84"/>
      <c r="Q1064" s="84"/>
      <c r="R1064" s="84"/>
      <c r="S1064" s="84"/>
    </row>
    <row r="1065" spans="1:19">
      <c r="A1065" s="629" t="s">
        <v>238</v>
      </c>
      <c r="B1065" s="248">
        <v>2.7538546313125101E-3</v>
      </c>
      <c r="C1065" s="248">
        <v>3.5817981668861201E-3</v>
      </c>
      <c r="D1065" s="248">
        <v>2.22638832898176E-3</v>
      </c>
      <c r="E1065" s="248">
        <v>1.79619426989845E-3</v>
      </c>
      <c r="F1065" s="248">
        <v>1.8431426825934101E-3</v>
      </c>
      <c r="G1065" s="248">
        <v>1.4246683246199299E-3</v>
      </c>
      <c r="H1065" s="735">
        <v>1.1901371135766201E-3</v>
      </c>
      <c r="I1065" s="735">
        <v>1.37980192919098E-3</v>
      </c>
      <c r="J1065" s="735">
        <v>1.16281140966884E-3</v>
      </c>
      <c r="L1065" s="84"/>
      <c r="M1065" s="84"/>
      <c r="N1065" s="84"/>
      <c r="O1065" s="84"/>
      <c r="P1065" s="84"/>
      <c r="Q1065" s="84"/>
      <c r="R1065" s="84"/>
      <c r="S1065" s="84"/>
    </row>
    <row r="1066" spans="1:19">
      <c r="A1066" s="629" t="s">
        <v>237</v>
      </c>
      <c r="B1066" s="248">
        <v>2.5533106568642501E-3</v>
      </c>
      <c r="C1066" s="248">
        <v>4.9371054604755603E-3</v>
      </c>
      <c r="D1066" s="248">
        <v>2.2339022626162099E-3</v>
      </c>
      <c r="E1066" s="248">
        <v>1.75076801839231E-3</v>
      </c>
      <c r="F1066" s="248">
        <v>1.83876814369091E-3</v>
      </c>
      <c r="G1066" s="248">
        <v>1.37971607862619E-3</v>
      </c>
      <c r="H1066" s="735">
        <v>1.1341463807338201E-3</v>
      </c>
      <c r="I1066" s="735">
        <v>1.28431748591233E-3</v>
      </c>
      <c r="J1066" s="735">
        <v>1.10613117154706E-3</v>
      </c>
      <c r="L1066" s="84"/>
      <c r="M1066" s="84"/>
      <c r="N1066" s="84"/>
      <c r="O1066" s="84"/>
      <c r="P1066" s="84"/>
      <c r="Q1066" s="84"/>
      <c r="R1066" s="84"/>
      <c r="S1066" s="84"/>
    </row>
    <row r="1067" spans="1:19">
      <c r="A1067" s="629" t="s">
        <v>236</v>
      </c>
      <c r="B1067" s="248">
        <v>2.6803521816822998E-3</v>
      </c>
      <c r="C1067" s="248">
        <v>3.71922799848871E-3</v>
      </c>
      <c r="D1067" s="248">
        <v>2.8363966301747602E-3</v>
      </c>
      <c r="E1067" s="248">
        <v>1.84284102251863E-3</v>
      </c>
      <c r="F1067" s="248">
        <v>1.86949712707875E-3</v>
      </c>
      <c r="G1067" s="248">
        <v>1.5010713674913599E-3</v>
      </c>
      <c r="H1067" s="735">
        <v>1.0784881422699799E-3</v>
      </c>
      <c r="I1067" s="735">
        <v>1.33892122725851E-3</v>
      </c>
      <c r="J1067" s="735">
        <v>1.0482910815850801E-3</v>
      </c>
      <c r="L1067" s="84"/>
      <c r="M1067" s="84"/>
      <c r="N1067" s="84"/>
      <c r="O1067" s="84"/>
      <c r="P1067" s="84"/>
      <c r="Q1067" s="84"/>
      <c r="R1067" s="84"/>
      <c r="S1067" s="84"/>
    </row>
    <row r="1068" spans="1:19">
      <c r="A1068" s="629" t="s">
        <v>235</v>
      </c>
      <c r="B1068" s="248">
        <v>3.55874773927204E-3</v>
      </c>
      <c r="C1068" s="248">
        <v>5.9794944598265502E-3</v>
      </c>
      <c r="D1068" s="248">
        <v>2.9135554019778902E-3</v>
      </c>
      <c r="E1068" s="248">
        <v>2.5234814647493802E-3</v>
      </c>
      <c r="F1068" s="248">
        <v>2.0413466182088E-3</v>
      </c>
      <c r="G1068" s="248">
        <v>1.53815252247176E-3</v>
      </c>
      <c r="H1068" s="735">
        <v>1.05566471889077E-3</v>
      </c>
      <c r="I1068" s="735">
        <v>1.8026462115103899E-3</v>
      </c>
      <c r="J1068" s="735">
        <v>1.0277476847105E-3</v>
      </c>
      <c r="L1068" s="84"/>
      <c r="M1068" s="84"/>
      <c r="N1068" s="84"/>
      <c r="O1068" s="84"/>
      <c r="P1068" s="84"/>
      <c r="Q1068" s="84"/>
      <c r="R1068" s="84"/>
      <c r="S1068" s="84"/>
    </row>
    <row r="1069" spans="1:19">
      <c r="A1069" s="629" t="s">
        <v>234</v>
      </c>
      <c r="B1069" s="248">
        <v>3.39809020202976E-3</v>
      </c>
      <c r="C1069" s="248">
        <v>3.8927664883859799E-3</v>
      </c>
      <c r="D1069" s="248">
        <v>3.1698953392180502E-3</v>
      </c>
      <c r="E1069" s="248">
        <v>2.5428573709259301E-3</v>
      </c>
      <c r="F1069" s="248">
        <v>2.0820257305326799E-3</v>
      </c>
      <c r="G1069" s="248">
        <v>1.6686669773428101E-3</v>
      </c>
      <c r="H1069" s="735">
        <v>1.1380155521471199E-3</v>
      </c>
      <c r="I1069" s="735">
        <v>1.8267848987766099E-3</v>
      </c>
      <c r="J1069" s="735">
        <v>1.1082116443265201E-3</v>
      </c>
      <c r="L1069" s="84"/>
      <c r="M1069" s="84"/>
      <c r="N1069" s="84"/>
      <c r="O1069" s="84"/>
      <c r="P1069" s="84"/>
      <c r="Q1069" s="84"/>
      <c r="R1069" s="84"/>
      <c r="S1069" s="84"/>
    </row>
    <row r="1070" spans="1:19">
      <c r="A1070" s="629" t="s">
        <v>233</v>
      </c>
      <c r="B1070" s="248">
        <v>3.5216108173701001E-3</v>
      </c>
      <c r="C1070" s="248">
        <v>3.3281618430906299E-3</v>
      </c>
      <c r="D1070" s="248">
        <v>2.7913296273172801E-3</v>
      </c>
      <c r="E1070" s="248">
        <v>3.0294582446234899E-3</v>
      </c>
      <c r="F1070" s="248">
        <v>2.7568149510798501E-3</v>
      </c>
      <c r="G1070" s="248">
        <v>1.86704585119526E-3</v>
      </c>
      <c r="H1070" s="735">
        <v>1.1044852168170501E-3</v>
      </c>
      <c r="I1070" s="735">
        <v>1.7127326581628901E-3</v>
      </c>
      <c r="J1070" s="735">
        <v>1.07897499323757E-3</v>
      </c>
      <c r="L1070" s="84"/>
      <c r="M1070" s="84"/>
      <c r="N1070" s="84"/>
      <c r="O1070" s="84"/>
      <c r="P1070" s="84"/>
      <c r="Q1070" s="84"/>
      <c r="R1070" s="84"/>
      <c r="S1070" s="84"/>
    </row>
    <row r="1071" spans="1:19">
      <c r="A1071" s="629" t="s">
        <v>232</v>
      </c>
      <c r="B1071" s="248">
        <v>4.2154317820027399E-3</v>
      </c>
      <c r="C1071" s="248">
        <v>7.6268865083699696E-3</v>
      </c>
      <c r="D1071" s="248">
        <v>2.5911768235871301E-3</v>
      </c>
      <c r="E1071" s="248">
        <v>4.3142653195121904E-3</v>
      </c>
      <c r="F1071" s="248">
        <v>3.5152939690961298E-3</v>
      </c>
      <c r="G1071" s="248">
        <v>2.5075008217820501E-3</v>
      </c>
      <c r="H1071" s="735">
        <v>1.0705579727832699E-3</v>
      </c>
      <c r="I1071" s="735">
        <v>2.1389602777039602E-3</v>
      </c>
      <c r="J1071" s="735">
        <v>1.0430889696337101E-3</v>
      </c>
      <c r="L1071" s="84"/>
      <c r="M1071" s="84"/>
      <c r="N1071" s="84"/>
      <c r="O1071" s="84"/>
      <c r="P1071" s="84"/>
      <c r="Q1071" s="84"/>
      <c r="R1071" s="84"/>
      <c r="S1071" s="84"/>
    </row>
    <row r="1072" spans="1:19">
      <c r="A1072" s="629" t="s">
        <v>231</v>
      </c>
      <c r="B1072" s="248">
        <v>3.7775545260209302E-3</v>
      </c>
      <c r="C1072" s="248">
        <v>4.7063092269534496E-3</v>
      </c>
      <c r="D1072" s="248">
        <v>2.2536471700611298E-3</v>
      </c>
      <c r="E1072" s="248">
        <v>3.73548235899364E-3</v>
      </c>
      <c r="F1072" s="248">
        <v>3.30291956623737E-3</v>
      </c>
      <c r="G1072" s="248">
        <v>2.3182982864405799E-3</v>
      </c>
      <c r="H1072" s="735">
        <v>1.05725544541613E-3</v>
      </c>
      <c r="I1072" s="735">
        <v>1.92124236892328E-3</v>
      </c>
      <c r="J1072" s="735">
        <v>1.0267542963433699E-3</v>
      </c>
      <c r="L1072" s="84"/>
      <c r="M1072" s="84"/>
      <c r="N1072" s="84"/>
      <c r="O1072" s="84"/>
      <c r="P1072" s="84"/>
      <c r="Q1072" s="84"/>
      <c r="R1072" s="84"/>
      <c r="S1072" s="84"/>
    </row>
    <row r="1073" spans="1:19">
      <c r="A1073" s="629" t="s">
        <v>230</v>
      </c>
      <c r="B1073" s="248">
        <v>3.4692288801443298E-3</v>
      </c>
      <c r="C1073" s="248">
        <v>3.9825043513183802E-3</v>
      </c>
      <c r="D1073" s="248">
        <v>2.0794988515217298E-3</v>
      </c>
      <c r="E1073" s="248">
        <v>3.7659453377459498E-3</v>
      </c>
      <c r="F1073" s="248">
        <v>3.3021465688247201E-3</v>
      </c>
      <c r="G1073" s="248">
        <v>2.4157635418656201E-3</v>
      </c>
      <c r="H1073" s="735">
        <v>9.9525692564552391E-4</v>
      </c>
      <c r="I1073" s="735">
        <v>1.8174923991139901E-3</v>
      </c>
      <c r="J1073" s="735">
        <v>9.65919605235927E-4</v>
      </c>
      <c r="L1073" s="84"/>
      <c r="M1073" s="84"/>
      <c r="N1073" s="84"/>
      <c r="O1073" s="84"/>
      <c r="P1073" s="84"/>
      <c r="Q1073" s="84"/>
      <c r="R1073" s="84"/>
      <c r="S1073" s="84"/>
    </row>
    <row r="1074" spans="1:19">
      <c r="A1074" s="629" t="s">
        <v>229</v>
      </c>
      <c r="B1074" s="248">
        <v>3.1400910692521099E-3</v>
      </c>
      <c r="C1074" s="248">
        <v>3.3385986914362502E-3</v>
      </c>
      <c r="D1074" s="248">
        <v>2.0448642629251001E-3</v>
      </c>
      <c r="E1074" s="248">
        <v>3.26572549965184E-3</v>
      </c>
      <c r="F1074" s="248">
        <v>3.39219735720326E-3</v>
      </c>
      <c r="G1074" s="248">
        <v>2.23681505202939E-3</v>
      </c>
      <c r="H1074" s="735">
        <v>1.0964058295952199E-3</v>
      </c>
      <c r="I1074" s="735">
        <v>1.67103632483069E-3</v>
      </c>
      <c r="J1074" s="735">
        <v>1.0732638952822E-3</v>
      </c>
      <c r="L1074" s="84"/>
      <c r="M1074" s="84"/>
      <c r="N1074" s="84"/>
      <c r="O1074" s="84"/>
      <c r="P1074" s="84"/>
      <c r="Q1074" s="84"/>
      <c r="R1074" s="84"/>
      <c r="S1074" s="84"/>
    </row>
    <row r="1075" spans="1:19">
      <c r="A1075" s="629" t="s">
        <v>1360</v>
      </c>
      <c r="B1075" s="248">
        <v>3.34439339447096E-3</v>
      </c>
      <c r="C1075" s="248">
        <v>3.0275314219702998E-3</v>
      </c>
      <c r="D1075" s="248">
        <v>1.9480577902825601E-3</v>
      </c>
      <c r="E1075" s="248">
        <v>3.3112918162944201E-3</v>
      </c>
      <c r="F1075" s="248">
        <v>3.5214354916988399E-3</v>
      </c>
      <c r="G1075" s="248">
        <v>2.2305571802373101E-3</v>
      </c>
      <c r="H1075" s="735">
        <v>1.3807498343601701E-3</v>
      </c>
      <c r="I1075" s="735">
        <v>2.0207791219251001E-3</v>
      </c>
      <c r="J1075" s="735">
        <v>1.34621710970078E-3</v>
      </c>
      <c r="L1075" s="84"/>
      <c r="M1075" s="84"/>
      <c r="N1075" s="84"/>
      <c r="O1075" s="84"/>
      <c r="P1075" s="84"/>
      <c r="Q1075" s="84"/>
      <c r="R1075" s="84"/>
      <c r="S1075" s="84"/>
    </row>
    <row r="1076" spans="1:19">
      <c r="A1076" s="629" t="s">
        <v>1391</v>
      </c>
      <c r="B1076" s="248">
        <v>3.1316474660194101E-3</v>
      </c>
      <c r="C1076" s="248">
        <v>2.7387233069527499E-3</v>
      </c>
      <c r="D1076" s="248">
        <v>2.1092646835520301E-3</v>
      </c>
      <c r="E1076" s="248">
        <v>2.9148466398949799E-3</v>
      </c>
      <c r="F1076" s="248">
        <v>3.3530280814706298E-3</v>
      </c>
      <c r="G1076" s="248">
        <v>2.0700166485684598E-3</v>
      </c>
      <c r="H1076" s="735">
        <v>1.31675249684786E-3</v>
      </c>
      <c r="I1076" s="735">
        <v>1.8283569068413201E-3</v>
      </c>
      <c r="J1076" s="735">
        <v>1.28688133506843E-3</v>
      </c>
      <c r="L1076" s="84"/>
      <c r="M1076" s="84"/>
      <c r="N1076" s="84"/>
      <c r="O1076" s="84"/>
      <c r="P1076" s="84"/>
      <c r="Q1076" s="84"/>
      <c r="R1076" s="84"/>
      <c r="S1076" s="84"/>
    </row>
    <row r="1077" spans="1:19">
      <c r="A1077" s="629" t="s">
        <v>1392</v>
      </c>
      <c r="B1077" s="248">
        <v>2.9451652572164001E-3</v>
      </c>
      <c r="C1077" s="248">
        <v>2.7500200319662302E-3</v>
      </c>
      <c r="D1077" s="248">
        <v>2.0440082633131199E-3</v>
      </c>
      <c r="E1077" s="248">
        <v>2.6583551347790701E-3</v>
      </c>
      <c r="F1077" s="248">
        <v>3.2971383216522099E-3</v>
      </c>
      <c r="G1077" s="248">
        <v>1.9322557619681699E-3</v>
      </c>
      <c r="H1077" s="735">
        <v>1.2019936028389001E-3</v>
      </c>
      <c r="I1077" s="735">
        <v>1.68539416827427E-3</v>
      </c>
      <c r="J1077" s="735">
        <v>1.17217328205418E-3</v>
      </c>
      <c r="L1077" s="84"/>
      <c r="M1077" s="84"/>
      <c r="N1077" s="84"/>
      <c r="O1077" s="84"/>
      <c r="P1077" s="84"/>
      <c r="Q1077" s="84"/>
      <c r="R1077" s="84"/>
      <c r="S1077" s="84"/>
    </row>
    <row r="1078" spans="1:19">
      <c r="A1078" s="629" t="s">
        <v>1427</v>
      </c>
      <c r="B1078" s="248">
        <v>2.6762105690068898E-3</v>
      </c>
      <c r="C1078" s="248">
        <v>2.72152647989337E-3</v>
      </c>
      <c r="D1078" s="248">
        <v>4.6403102106355098E-3</v>
      </c>
      <c r="E1078" s="248">
        <v>2.6873984468321899E-3</v>
      </c>
      <c r="F1078" s="248">
        <v>3.3112823616271701E-3</v>
      </c>
      <c r="G1078" s="248">
        <v>1.86621000656522E-3</v>
      </c>
      <c r="H1078" s="735">
        <v>1.1127430327694499E-3</v>
      </c>
      <c r="I1078" s="735">
        <v>1.52273880443809E-3</v>
      </c>
      <c r="J1078" s="735">
        <v>1.0816337821507099E-3</v>
      </c>
      <c r="L1078" s="84"/>
      <c r="M1078" s="84"/>
      <c r="N1078" s="84"/>
      <c r="O1078" s="84"/>
      <c r="P1078" s="84"/>
      <c r="Q1078" s="84"/>
      <c r="R1078" s="84"/>
      <c r="S1078" s="84"/>
    </row>
    <row r="1079" spans="1:19">
      <c r="A1079" s="629" t="s">
        <v>1428</v>
      </c>
      <c r="B1079" s="248">
        <v>2.80355391352528E-3</v>
      </c>
      <c r="C1079" s="248">
        <v>4.1565147239145603E-3</v>
      </c>
      <c r="D1079" s="248">
        <v>0.137495740220898</v>
      </c>
      <c r="E1079" s="248">
        <v>2.90167645212601E-3</v>
      </c>
      <c r="F1079" s="248">
        <v>3.3453678069203701E-3</v>
      </c>
      <c r="G1079" s="248">
        <v>1.7881338118656399E-3</v>
      </c>
      <c r="H1079" s="735">
        <v>1.1149050385942899E-3</v>
      </c>
      <c r="I1079" s="735">
        <v>1.8490427076532001E-3</v>
      </c>
      <c r="J1079" s="735">
        <v>1.0901103932643901E-3</v>
      </c>
      <c r="L1079" s="84"/>
      <c r="M1079" s="84"/>
      <c r="N1079" s="84"/>
      <c r="O1079" s="84"/>
      <c r="P1079" s="84"/>
      <c r="Q1079" s="84"/>
      <c r="R1079" s="84"/>
      <c r="S1079" s="84"/>
    </row>
    <row r="1080" spans="1:19">
      <c r="A1080" s="629" t="s">
        <v>1429</v>
      </c>
      <c r="B1080" s="248">
        <v>3.05378304701586E-3</v>
      </c>
      <c r="C1080" s="248">
        <v>3.4756508922237899E-3</v>
      </c>
      <c r="D1080" s="248">
        <v>7.8193866463745806E-2</v>
      </c>
      <c r="E1080" s="248">
        <v>2.7008599341091502E-3</v>
      </c>
      <c r="F1080" s="248">
        <v>3.3082023856040202E-3</v>
      </c>
      <c r="G1080" s="248">
        <v>1.78784479914731E-3</v>
      </c>
      <c r="H1080" s="735">
        <v>1.0644695226394701E-3</v>
      </c>
      <c r="I1080" s="735">
        <v>1.8517465260448501E-3</v>
      </c>
      <c r="J1080" s="735">
        <v>1.03655649343243E-3</v>
      </c>
      <c r="L1080" s="84"/>
      <c r="M1080" s="84"/>
      <c r="N1080" s="84"/>
      <c r="O1080" s="84"/>
      <c r="P1080" s="84"/>
      <c r="Q1080" s="84"/>
      <c r="R1080" s="84"/>
      <c r="S1080" s="84"/>
    </row>
    <row r="1081" spans="1:19">
      <c r="A1081" s="629" t="s">
        <v>1430</v>
      </c>
      <c r="B1081" s="248">
        <v>2.78265003303548E-3</v>
      </c>
      <c r="C1081" s="248">
        <v>3.1135371872545799E-3</v>
      </c>
      <c r="D1081" s="248">
        <v>4.5198395902901901E-2</v>
      </c>
      <c r="E1081" s="248">
        <v>2.4384497377076902E-3</v>
      </c>
      <c r="F1081" s="248">
        <v>3.3345891882584498E-3</v>
      </c>
      <c r="G1081" s="248">
        <v>1.7312332034107899E-3</v>
      </c>
      <c r="H1081" s="735">
        <v>1.55730118991577E-3</v>
      </c>
      <c r="I1081" s="735">
        <v>1.8959078004132299E-3</v>
      </c>
      <c r="J1081" s="735">
        <v>1.5495984515219801E-3</v>
      </c>
      <c r="L1081" s="84"/>
      <c r="M1081" s="84"/>
      <c r="N1081" s="84"/>
      <c r="O1081" s="84"/>
      <c r="P1081" s="84"/>
      <c r="Q1081" s="84"/>
      <c r="R1081" s="84"/>
      <c r="S1081" s="84"/>
    </row>
    <row r="1082" spans="1:19">
      <c r="A1082" s="629" t="s">
        <v>1431</v>
      </c>
      <c r="B1082" s="248">
        <v>2.83075374336356E-3</v>
      </c>
      <c r="C1082" s="248">
        <v>3.5936051842452802E-3</v>
      </c>
      <c r="D1082" s="248">
        <v>2.5751844882588502E-2</v>
      </c>
      <c r="E1082" s="248">
        <v>2.3855243637521599E-3</v>
      </c>
      <c r="F1082" s="248">
        <v>3.2794194256245798E-3</v>
      </c>
      <c r="G1082" s="248">
        <v>1.73476394382055E-3</v>
      </c>
      <c r="H1082" s="735">
        <v>1.5279843588552899E-3</v>
      </c>
      <c r="I1082" s="735">
        <v>1.7605204590384099E-3</v>
      </c>
      <c r="J1082" s="735">
        <v>1.52604229705072E-3</v>
      </c>
      <c r="L1082" s="84"/>
      <c r="M1082" s="84"/>
      <c r="N1082" s="84"/>
      <c r="O1082" s="84"/>
      <c r="P1082" s="84"/>
      <c r="Q1082" s="84"/>
      <c r="R1082" s="84"/>
      <c r="S1082" s="84"/>
    </row>
    <row r="1083" spans="1:19">
      <c r="A1083" s="629" t="s">
        <v>1432</v>
      </c>
      <c r="B1083" s="248">
        <v>3.1467550513733398E-3</v>
      </c>
      <c r="C1083" s="248">
        <v>3.3890788675470301E-3</v>
      </c>
      <c r="D1083" s="248">
        <v>1.4329711400300401E-2</v>
      </c>
      <c r="E1083" s="248">
        <v>2.44767170277083E-3</v>
      </c>
      <c r="F1083" s="248">
        <v>3.42570892601822E-3</v>
      </c>
      <c r="G1083" s="248">
        <v>2.0912655748355699E-3</v>
      </c>
      <c r="H1083" s="735">
        <v>2.1598742496213002E-3</v>
      </c>
      <c r="I1083" s="735">
        <v>1.5904435304253399E-3</v>
      </c>
      <c r="J1083" s="735">
        <v>2.14979061157561E-3</v>
      </c>
      <c r="L1083" s="84"/>
      <c r="M1083" s="84"/>
      <c r="N1083" s="84"/>
      <c r="O1083" s="84"/>
      <c r="P1083" s="84"/>
      <c r="Q1083" s="84"/>
      <c r="R1083" s="84"/>
      <c r="S1083" s="84"/>
    </row>
    <row r="1084" spans="1:19">
      <c r="A1084" s="629" t="s">
        <v>1433</v>
      </c>
      <c r="B1084" s="248">
        <v>2.86863461186013E-3</v>
      </c>
      <c r="C1084" s="248">
        <v>3.6727384721893601E-3</v>
      </c>
      <c r="D1084" s="248">
        <v>8.3573309161936501E-3</v>
      </c>
      <c r="E1084" s="248">
        <v>2.2580003469962499E-3</v>
      </c>
      <c r="F1084" s="248">
        <v>3.22476695642807E-3</v>
      </c>
      <c r="G1084" s="248">
        <v>1.9475584363986801E-3</v>
      </c>
      <c r="H1084" s="735">
        <v>1.8974195250422801E-3</v>
      </c>
      <c r="I1084" s="735">
        <v>1.5205860251830601E-3</v>
      </c>
      <c r="J1084" s="735">
        <v>1.8877107693929501E-3</v>
      </c>
      <c r="L1084" s="84"/>
      <c r="M1084" s="84"/>
      <c r="N1084" s="84"/>
      <c r="O1084" s="84"/>
      <c r="P1084" s="84"/>
      <c r="Q1084" s="84"/>
      <c r="R1084" s="84"/>
      <c r="S1084" s="84"/>
    </row>
    <row r="1085" spans="1:19">
      <c r="A1085" s="629" t="s">
        <v>1434</v>
      </c>
      <c r="B1085" s="248">
        <v>2.6111670372067301E-3</v>
      </c>
      <c r="C1085" s="248">
        <v>4.9336855408480202E-3</v>
      </c>
      <c r="D1085" s="248">
        <v>5.2286308214031102E-3</v>
      </c>
      <c r="E1085" s="248">
        <v>2.2010693273841202E-3</v>
      </c>
      <c r="F1085" s="248">
        <v>3.0637321705678702E-3</v>
      </c>
      <c r="G1085" s="248">
        <v>1.8602046983732801E-3</v>
      </c>
      <c r="H1085" s="735">
        <v>1.75137377658696E-3</v>
      </c>
      <c r="I1085" s="735">
        <v>1.4054129377947899E-3</v>
      </c>
      <c r="J1085" s="735">
        <v>1.7445774704241399E-3</v>
      </c>
      <c r="L1085" s="84"/>
      <c r="M1085" s="84"/>
      <c r="N1085" s="84"/>
      <c r="O1085" s="84"/>
      <c r="P1085" s="84"/>
      <c r="Q1085" s="84"/>
      <c r="R1085" s="84"/>
      <c r="S1085" s="84"/>
    </row>
    <row r="1086" spans="1:19">
      <c r="A1086" s="629" t="s">
        <v>1450</v>
      </c>
      <c r="B1086" s="248">
        <v>3.2230818469467602E-3</v>
      </c>
      <c r="C1086" s="248">
        <v>4.15254089572156E-3</v>
      </c>
      <c r="D1086" s="248">
        <v>5.2852964220583302E-3</v>
      </c>
      <c r="E1086" s="248">
        <v>2.1471331215113299E-3</v>
      </c>
      <c r="F1086" s="248">
        <v>3.9705663892428897E-3</v>
      </c>
      <c r="G1086" s="248">
        <v>2.23153495627023E-3</v>
      </c>
      <c r="H1086" s="735">
        <v>1.9823492255639399E-3</v>
      </c>
      <c r="I1086" s="735">
        <v>1.48240391169383E-3</v>
      </c>
      <c r="J1086" s="735">
        <v>1.9889718288764401E-3</v>
      </c>
      <c r="L1086" s="84"/>
      <c r="M1086" s="84"/>
      <c r="N1086" s="84"/>
      <c r="O1086" s="84"/>
      <c r="P1086" s="84"/>
      <c r="Q1086" s="84"/>
      <c r="R1086" s="84"/>
      <c r="S1086" s="84"/>
    </row>
    <row r="1087" spans="1:19">
      <c r="A1087" s="629" t="s">
        <v>1451</v>
      </c>
      <c r="B1087" s="248">
        <v>2.9153747447880698E-3</v>
      </c>
      <c r="C1087" s="248">
        <v>3.3339446734025899E-3</v>
      </c>
      <c r="D1087" s="248">
        <v>3.8041331885585602E-3</v>
      </c>
      <c r="E1087" s="248">
        <v>2.2394133287563702E-3</v>
      </c>
      <c r="F1087" s="248">
        <v>3.7156033553764601E-3</v>
      </c>
      <c r="G1087" s="248">
        <v>2.10800085769591E-3</v>
      </c>
      <c r="H1087" s="735">
        <v>1.7586085213191201E-3</v>
      </c>
      <c r="I1087" s="735">
        <v>1.3660084343335101E-3</v>
      </c>
      <c r="J1087" s="735">
        <v>1.76312981813958E-3</v>
      </c>
      <c r="L1087" s="84"/>
      <c r="M1087" s="84"/>
      <c r="N1087" s="84"/>
      <c r="O1087" s="84"/>
      <c r="P1087" s="84"/>
      <c r="Q1087" s="84"/>
      <c r="R1087" s="84"/>
      <c r="S1087" s="84"/>
    </row>
    <row r="1088" spans="1:19">
      <c r="A1088" s="629" t="s">
        <v>1452</v>
      </c>
      <c r="B1088" s="248">
        <v>3.03973700787808E-3</v>
      </c>
      <c r="C1088" s="248">
        <v>3.3937142702235301E-3</v>
      </c>
      <c r="D1088" s="248">
        <v>5.7370849675085003E-3</v>
      </c>
      <c r="E1088" s="248">
        <v>2.7450932659334199E-3</v>
      </c>
      <c r="F1088" s="248">
        <v>3.5989868949518498E-3</v>
      </c>
      <c r="G1088" s="248">
        <v>2.0918248993022298E-3</v>
      </c>
      <c r="H1088" s="735">
        <v>2.0426186090900999E-3</v>
      </c>
      <c r="I1088" s="735">
        <v>1.8631865601773799E-3</v>
      </c>
      <c r="J1088" s="735">
        <v>2.0361565083502702E-3</v>
      </c>
      <c r="L1088" s="84"/>
      <c r="M1088" s="84"/>
      <c r="N1088" s="84"/>
      <c r="O1088" s="84"/>
      <c r="P1088" s="84"/>
      <c r="Q1088" s="84"/>
      <c r="R1088" s="84"/>
      <c r="S1088" s="84"/>
    </row>
    <row r="1089" spans="1:19">
      <c r="A1089" s="629" t="s">
        <v>1453</v>
      </c>
      <c r="B1089" s="248">
        <v>2.8601840928684698E-3</v>
      </c>
      <c r="C1089" s="248">
        <v>3.05626109973139E-3</v>
      </c>
      <c r="D1089" s="248">
        <v>4.2938610210524102E-3</v>
      </c>
      <c r="E1089" s="248">
        <v>2.6593014475484E-3</v>
      </c>
      <c r="F1089" s="248">
        <v>3.6275474487694301E-3</v>
      </c>
      <c r="G1089" s="248">
        <v>2.27955175121988E-3</v>
      </c>
      <c r="H1089" s="735">
        <v>1.7988065072383501E-3</v>
      </c>
      <c r="I1089" s="735">
        <v>1.77712253722461E-3</v>
      </c>
      <c r="J1089" s="735">
        <v>1.7918892211609299E-3</v>
      </c>
      <c r="L1089" s="84"/>
      <c r="M1089" s="84"/>
      <c r="N1089" s="84"/>
      <c r="O1089" s="84"/>
      <c r="P1089" s="84"/>
      <c r="Q1089" s="84"/>
      <c r="R1089" s="84"/>
      <c r="S1089" s="84"/>
    </row>
    <row r="1090" spans="1:19">
      <c r="A1090" s="629" t="s">
        <v>1454</v>
      </c>
      <c r="B1090" s="248">
        <v>2.60341865299202E-3</v>
      </c>
      <c r="C1090" s="248">
        <v>2.8526630833176402E-3</v>
      </c>
      <c r="D1090" s="248">
        <v>3.7986645877822901E-3</v>
      </c>
      <c r="E1090" s="248">
        <v>2.8279873829401901E-3</v>
      </c>
      <c r="F1090" s="248">
        <v>3.3963791977203901E-3</v>
      </c>
      <c r="G1090" s="248">
        <v>2.1205272591642201E-3</v>
      </c>
      <c r="H1090" s="735">
        <v>1.61066776366346E-3</v>
      </c>
      <c r="I1090" s="735">
        <v>1.61164696008459E-3</v>
      </c>
      <c r="J1090" s="735">
        <v>1.60072192259362E-3</v>
      </c>
      <c r="L1090" s="84"/>
      <c r="M1090" s="84"/>
      <c r="N1090" s="84"/>
      <c r="O1090" s="84"/>
      <c r="P1090" s="84"/>
      <c r="Q1090" s="84"/>
      <c r="R1090" s="84"/>
      <c r="S1090" s="84"/>
    </row>
    <row r="1091" spans="1:19">
      <c r="A1091" s="629" t="s">
        <v>1455</v>
      </c>
      <c r="B1091" s="248">
        <v>3.57863362986975E-3</v>
      </c>
      <c r="C1091" s="248">
        <v>4.6482756465139503E-3</v>
      </c>
      <c r="D1091" s="248">
        <v>6.7286303121739796E-3</v>
      </c>
      <c r="E1091" s="248">
        <v>6.30006093830508E-3</v>
      </c>
      <c r="F1091" s="248">
        <v>4.3996013362087097E-3</v>
      </c>
      <c r="G1091" s="248">
        <v>3.2909359370833801E-3</v>
      </c>
      <c r="H1091" s="735">
        <v>1.4439741536091701E-3</v>
      </c>
      <c r="I1091" s="735">
        <v>2.02067704770104E-3</v>
      </c>
      <c r="J1091" s="735">
        <v>1.43263013859317E-3</v>
      </c>
      <c r="L1091" s="84"/>
      <c r="M1091" s="84"/>
      <c r="N1091" s="84"/>
      <c r="O1091" s="84"/>
      <c r="P1091" s="84"/>
      <c r="Q1091" s="84"/>
      <c r="R1091" s="84"/>
      <c r="S1091" s="84"/>
    </row>
    <row r="1092" spans="1:19">
      <c r="A1092" s="629" t="s">
        <v>1456</v>
      </c>
      <c r="B1092" s="248">
        <v>3.30379804555553E-3</v>
      </c>
      <c r="C1092" s="248">
        <v>3.8066321322096199E-3</v>
      </c>
      <c r="D1092" s="248">
        <v>4.7421065620785203E-3</v>
      </c>
      <c r="E1092" s="248">
        <v>5.2606760293719204E-3</v>
      </c>
      <c r="F1092" s="248">
        <v>4.2007792578060499E-3</v>
      </c>
      <c r="G1092" s="248">
        <v>3.0772586933446198E-3</v>
      </c>
      <c r="H1092" s="735">
        <v>1.4307618161561199E-3</v>
      </c>
      <c r="I1092" s="735">
        <v>1.8362650515571901E-3</v>
      </c>
      <c r="J1092" s="735">
        <v>1.4118515931054901E-3</v>
      </c>
      <c r="L1092" s="84"/>
      <c r="M1092" s="84"/>
      <c r="N1092" s="84"/>
      <c r="O1092" s="84"/>
      <c r="P1092" s="84"/>
      <c r="Q1092" s="84"/>
      <c r="R1092" s="84"/>
      <c r="S1092" s="84"/>
    </row>
    <row r="1093" spans="1:19">
      <c r="A1093" s="629" t="s">
        <v>1457</v>
      </c>
      <c r="B1093" s="248">
        <v>3.64544475763405E-3</v>
      </c>
      <c r="C1093" s="248">
        <v>5.4969294916736499E-3</v>
      </c>
      <c r="D1093" s="248">
        <v>5.1370395119400497E-3</v>
      </c>
      <c r="E1093" s="248">
        <v>5.4354729803452904E-3</v>
      </c>
      <c r="F1093" s="248">
        <v>4.2623784396159103E-3</v>
      </c>
      <c r="G1093" s="248">
        <v>3.3219155706338799E-3</v>
      </c>
      <c r="H1093" s="735">
        <v>1.2966646080115E-3</v>
      </c>
      <c r="I1093" s="735">
        <v>2.0529488262003202E-3</v>
      </c>
      <c r="J1093" s="735">
        <v>1.2775881189035E-3</v>
      </c>
      <c r="L1093" s="84"/>
      <c r="M1093" s="84"/>
      <c r="N1093" s="84"/>
      <c r="O1093" s="84"/>
      <c r="P1093" s="84"/>
      <c r="Q1093" s="84"/>
      <c r="R1093" s="84"/>
      <c r="S1093" s="84"/>
    </row>
    <row r="1094" spans="1:19">
      <c r="A1094" s="629" t="s">
        <v>1458</v>
      </c>
      <c r="B1094" s="248">
        <v>3.27901628642108E-3</v>
      </c>
      <c r="C1094" s="248">
        <v>3.8737691911110701E-3</v>
      </c>
      <c r="D1094" s="248">
        <v>3.5412841554443202E-3</v>
      </c>
      <c r="E1094" s="248">
        <v>4.5809226823560704E-3</v>
      </c>
      <c r="F1094" s="248">
        <v>3.9520375700365998E-3</v>
      </c>
      <c r="G1094" s="248">
        <v>3.0599748946721198E-3</v>
      </c>
      <c r="H1094" s="735">
        <v>1.18736989787141E-3</v>
      </c>
      <c r="I1094" s="735">
        <v>1.84368836052468E-3</v>
      </c>
      <c r="J1094" s="735">
        <v>1.1682358212636199E-3</v>
      </c>
      <c r="L1094" s="84"/>
      <c r="M1094" s="84"/>
      <c r="N1094" s="84"/>
      <c r="O1094" s="84"/>
      <c r="P1094" s="84"/>
      <c r="Q1094" s="84"/>
      <c r="R1094" s="84"/>
      <c r="S1094" s="84"/>
    </row>
    <row r="1095" spans="1:19">
      <c r="A1095" s="629" t="s">
        <v>1459</v>
      </c>
      <c r="B1095" s="248">
        <v>2.9739442476324398E-3</v>
      </c>
      <c r="C1095" s="248">
        <v>3.17273051844171E-3</v>
      </c>
      <c r="D1095" s="248">
        <v>3.08520795584121E-3</v>
      </c>
      <c r="E1095" s="248">
        <v>3.9687803201782597E-3</v>
      </c>
      <c r="F1095" s="248">
        <v>3.7233101521418699E-3</v>
      </c>
      <c r="G1095" s="248">
        <v>2.8465233439657501E-3</v>
      </c>
      <c r="H1095" s="735">
        <v>1.1656345064633099E-3</v>
      </c>
      <c r="I1095" s="735">
        <v>1.6615426095589901E-3</v>
      </c>
      <c r="J1095" s="735">
        <v>1.15085335937129E-3</v>
      </c>
      <c r="L1095" s="84"/>
      <c r="M1095" s="84"/>
      <c r="N1095" s="84"/>
      <c r="O1095" s="84"/>
      <c r="P1095" s="84"/>
      <c r="Q1095" s="84"/>
      <c r="R1095" s="84"/>
      <c r="S1095" s="84"/>
    </row>
    <row r="1096" spans="1:19">
      <c r="A1096" s="629" t="s">
        <v>2198</v>
      </c>
      <c r="B1096" s="248">
        <v>2.9226251241058899E-3</v>
      </c>
      <c r="C1096" s="248">
        <v>2.7873494049696899E-3</v>
      </c>
      <c r="D1096" s="248">
        <v>3.7548030356967799E-3</v>
      </c>
      <c r="E1096" s="248">
        <v>3.56125185598877E-3</v>
      </c>
      <c r="F1096" s="248">
        <v>3.5462830761486801E-3</v>
      </c>
      <c r="G1096" s="248">
        <v>2.6709052071683401E-3</v>
      </c>
      <c r="H1096" s="735">
        <v>1.20659142103439E-3</v>
      </c>
      <c r="I1096" s="735">
        <v>1.8868844963094401E-3</v>
      </c>
      <c r="J1096" s="735">
        <v>1.1827076419816901E-3</v>
      </c>
      <c r="L1096" s="84"/>
      <c r="M1096" s="84"/>
      <c r="N1096" s="84"/>
      <c r="O1096" s="84"/>
      <c r="P1096" s="84"/>
      <c r="Q1096" s="84"/>
      <c r="R1096" s="84"/>
      <c r="S1096" s="84"/>
    </row>
    <row r="1097" spans="1:19">
      <c r="A1097" s="629" t="s">
        <v>2209</v>
      </c>
      <c r="B1097" s="248">
        <v>2.7743652994087899E-3</v>
      </c>
      <c r="C1097" s="248">
        <v>2.8203041129933998E-3</v>
      </c>
      <c r="D1097" s="248">
        <v>2.8294342428428799E-3</v>
      </c>
      <c r="E1097" s="248">
        <v>3.2656282985740501E-3</v>
      </c>
      <c r="F1097" s="248">
        <v>3.54088348977464E-3</v>
      </c>
      <c r="G1097" s="248">
        <v>2.4633506202366802E-3</v>
      </c>
      <c r="H1097" s="735">
        <v>1.1349421320339501E-3</v>
      </c>
      <c r="I1097" s="735">
        <v>1.89703187008513E-3</v>
      </c>
      <c r="J1097" s="735">
        <v>1.1079316780797999E-3</v>
      </c>
      <c r="L1097" s="84"/>
      <c r="M1097" s="84"/>
      <c r="N1097" s="84"/>
      <c r="O1097" s="84"/>
      <c r="P1097" s="84"/>
      <c r="Q1097" s="84"/>
      <c r="R1097" s="84"/>
      <c r="S1097" s="84"/>
    </row>
    <row r="1098" spans="1:19">
      <c r="A1098" s="629" t="s">
        <v>2220</v>
      </c>
      <c r="B1098" s="248">
        <v>2.5651241393586199E-3</v>
      </c>
      <c r="C1098" s="248">
        <v>3.2656467512073599E-3</v>
      </c>
      <c r="D1098" s="248">
        <v>2.35591757777056E-3</v>
      </c>
      <c r="E1098" s="248">
        <v>2.8971523118499899E-3</v>
      </c>
      <c r="F1098" s="248">
        <v>3.3198121062508099E-3</v>
      </c>
      <c r="G1098" s="248">
        <v>2.2763136303031498E-3</v>
      </c>
      <c r="H1098" s="735">
        <v>1.0733200952282901E-3</v>
      </c>
      <c r="I1098" s="735">
        <v>1.7114642740697901E-3</v>
      </c>
      <c r="J1098" s="735">
        <v>1.0446278151808801E-3</v>
      </c>
      <c r="L1098" s="84"/>
      <c r="M1098" s="84"/>
      <c r="N1098" s="84"/>
      <c r="O1098" s="84"/>
      <c r="P1098" s="84"/>
      <c r="Q1098" s="84"/>
      <c r="R1098" s="84"/>
      <c r="S1098" s="84"/>
    </row>
    <row r="1099" spans="1:19">
      <c r="A1099" s="629" t="s">
        <v>2221</v>
      </c>
      <c r="B1099" s="248">
        <v>2.4170059537219498E-3</v>
      </c>
      <c r="C1099" s="248">
        <v>3.0983126372291199E-3</v>
      </c>
      <c r="D1099" s="248">
        <v>3.90283558335724E-3</v>
      </c>
      <c r="E1099" s="248">
        <v>2.6054210702087899E-3</v>
      </c>
      <c r="F1099" s="248">
        <v>3.13037371468282E-3</v>
      </c>
      <c r="G1099" s="248">
        <v>2.11667282366687E-3</v>
      </c>
      <c r="H1099" s="735">
        <v>1.1538254083009499E-3</v>
      </c>
      <c r="I1099" s="735">
        <v>1.7787591812482601E-3</v>
      </c>
      <c r="J1099" s="735">
        <v>1.1198677980419299E-3</v>
      </c>
      <c r="L1099" s="84"/>
      <c r="M1099" s="84"/>
      <c r="N1099" s="84"/>
      <c r="O1099" s="84"/>
      <c r="P1099" s="84"/>
      <c r="Q1099" s="84"/>
      <c r="R1099" s="84"/>
      <c r="S1099" s="84"/>
    </row>
    <row r="1100" spans="1:19">
      <c r="A1100" s="629" t="s">
        <v>2258</v>
      </c>
      <c r="B1100" s="248">
        <v>2.2215545428895199E-3</v>
      </c>
      <c r="C1100" s="248">
        <v>2.7513905588378899E-3</v>
      </c>
      <c r="D1100" s="248">
        <v>2.93932390190077E-3</v>
      </c>
      <c r="E1100" s="248">
        <v>2.41592037739363E-3</v>
      </c>
      <c r="F1100" s="248">
        <v>2.9878403992293101E-3</v>
      </c>
      <c r="G1100" s="248">
        <v>2.0387128488271798E-3</v>
      </c>
      <c r="H1100" s="735">
        <v>1.06918051627238E-3</v>
      </c>
      <c r="I1100" s="735">
        <v>1.66409421481963E-3</v>
      </c>
      <c r="J1100" s="735">
        <v>1.03669079524282E-3</v>
      </c>
      <c r="L1100" s="84"/>
      <c r="M1100" s="84"/>
      <c r="N1100" s="84"/>
      <c r="O1100" s="84"/>
      <c r="P1100" s="84"/>
      <c r="Q1100" s="84"/>
      <c r="R1100" s="84"/>
      <c r="S1100" s="84"/>
    </row>
    <row r="1101" spans="1:19">
      <c r="A1101" s="629" t="s">
        <v>2261</v>
      </c>
      <c r="B1101" s="248">
        <v>2.0887121511981902E-3</v>
      </c>
      <c r="C1101" s="248">
        <v>2.63977551435329E-3</v>
      </c>
      <c r="D1101" s="248">
        <v>2.56980658684828E-3</v>
      </c>
      <c r="E1101" s="248">
        <v>2.2166438337788302E-3</v>
      </c>
      <c r="F1101" s="248">
        <v>2.8382828287574898E-3</v>
      </c>
      <c r="G1101" s="248">
        <v>1.9072673746577001E-3</v>
      </c>
      <c r="H1101" s="735">
        <v>9.9998600298171992E-4</v>
      </c>
      <c r="I1101" s="735">
        <v>1.5045077502807301E-3</v>
      </c>
      <c r="J1101" s="735">
        <v>9.6694034962685005E-4</v>
      </c>
      <c r="L1101" s="84"/>
      <c r="M1101" s="84"/>
      <c r="N1101" s="84"/>
      <c r="O1101" s="84"/>
      <c r="P1101" s="84"/>
      <c r="Q1101" s="84"/>
      <c r="R1101" s="84"/>
      <c r="S1101" s="84"/>
    </row>
    <row r="1102" spans="1:19">
      <c r="A1102" s="629" t="s">
        <v>2262</v>
      </c>
      <c r="B1102" s="248">
        <v>2.0122020228402798E-3</v>
      </c>
      <c r="C1102" s="248">
        <v>2.77082900237869E-3</v>
      </c>
      <c r="D1102" s="248">
        <v>3.9112919616064497E-3</v>
      </c>
      <c r="E1102" s="248">
        <v>2.1053403455858701E-3</v>
      </c>
      <c r="F1102" s="248">
        <v>2.7392249932222598E-3</v>
      </c>
      <c r="G1102" s="248">
        <v>1.85837499249983E-3</v>
      </c>
      <c r="H1102" s="735">
        <v>9.4969844265465199E-4</v>
      </c>
      <c r="I1102" s="735">
        <v>1.5080795708665099E-3</v>
      </c>
      <c r="J1102" s="735">
        <v>9.1600704467078198E-4</v>
      </c>
      <c r="L1102" s="84"/>
      <c r="M1102" s="84"/>
      <c r="N1102" s="84"/>
      <c r="O1102" s="84"/>
      <c r="P1102" s="84"/>
      <c r="Q1102" s="84"/>
      <c r="R1102" s="84"/>
      <c r="S1102" s="84"/>
    </row>
    <row r="1103" spans="1:19">
      <c r="A1103" s="629" t="s">
        <v>2263</v>
      </c>
      <c r="B1103" s="248">
        <v>1.8852796086628099E-3</v>
      </c>
      <c r="C1103" s="248">
        <v>3.26755788270094E-3</v>
      </c>
      <c r="D1103" s="248">
        <v>3.2686274218432102E-3</v>
      </c>
      <c r="E1103" s="248">
        <v>2.0554122453853001E-3</v>
      </c>
      <c r="F1103" s="248">
        <v>2.6603904155307599E-3</v>
      </c>
      <c r="G1103" s="248">
        <v>1.74638943858697E-3</v>
      </c>
      <c r="H1103" s="735">
        <v>8.9883666606156601E-4</v>
      </c>
      <c r="I1103" s="735">
        <v>1.48225507114786E-3</v>
      </c>
      <c r="J1103" s="735">
        <v>8.6510386971028099E-4</v>
      </c>
      <c r="L1103" s="84"/>
      <c r="M1103" s="84"/>
      <c r="N1103" s="84"/>
      <c r="O1103" s="84"/>
      <c r="P1103" s="84"/>
      <c r="Q1103" s="84"/>
      <c r="R1103" s="84"/>
      <c r="S1103" s="84"/>
    </row>
    <row r="1104" spans="1:19">
      <c r="A1104" s="629" t="s">
        <v>2286</v>
      </c>
      <c r="B1104" s="248">
        <v>1.9240725718666599E-3</v>
      </c>
      <c r="C1104" s="248">
        <v>3.4178555842010998E-3</v>
      </c>
      <c r="D1104" s="248">
        <v>2.8720526851115299E-3</v>
      </c>
      <c r="E1104" s="248">
        <v>2.3189515364632702E-3</v>
      </c>
      <c r="F1104" s="248">
        <v>2.6292143644586902E-3</v>
      </c>
      <c r="G1104" s="248">
        <v>1.76218332288399E-3</v>
      </c>
      <c r="H1104" s="735">
        <v>8.8879689439439E-4</v>
      </c>
      <c r="I1104" s="735">
        <v>1.38350563122071E-3</v>
      </c>
      <c r="J1104" s="735">
        <v>8.5306217101848098E-4</v>
      </c>
      <c r="L1104" s="84"/>
      <c r="M1104" s="84"/>
      <c r="N1104" s="84"/>
      <c r="O1104" s="84"/>
      <c r="P1104" s="84"/>
      <c r="Q1104" s="84"/>
      <c r="R1104" s="84"/>
      <c r="S1104" s="84"/>
    </row>
    <row r="1105" spans="1:19">
      <c r="A1105" s="629" t="s">
        <v>2292</v>
      </c>
      <c r="B1105" s="248">
        <v>1.81552906962112E-3</v>
      </c>
      <c r="C1105" s="248">
        <v>3.0236755169621098E-3</v>
      </c>
      <c r="D1105" s="248">
        <v>2.6072655951958298E-3</v>
      </c>
      <c r="E1105" s="248">
        <v>2.3772329248009801E-3</v>
      </c>
      <c r="F1105" s="248">
        <v>2.5880076788196401E-3</v>
      </c>
      <c r="G1105" s="248">
        <v>1.88219077166236E-3</v>
      </c>
      <c r="H1105" s="735">
        <v>8.4904731503286505E-4</v>
      </c>
      <c r="I1105" s="735">
        <v>1.3377543123951701E-3</v>
      </c>
      <c r="J1105" s="735">
        <v>8.1387710292975702E-4</v>
      </c>
      <c r="L1105" s="84"/>
      <c r="M1105" s="84"/>
      <c r="N1105" s="84"/>
      <c r="O1105" s="84"/>
      <c r="P1105" s="84"/>
      <c r="Q1105" s="84"/>
      <c r="R1105" s="84"/>
      <c r="S1105" s="84"/>
    </row>
    <row r="1106" spans="1:19">
      <c r="A1106" s="629" t="s">
        <v>2293</v>
      </c>
      <c r="B1106" s="248">
        <v>2.0004194536931302E-3</v>
      </c>
      <c r="C1106" s="248">
        <v>3.0108520354431901E-3</v>
      </c>
      <c r="D1106" s="248">
        <v>3.1441150713155401E-3</v>
      </c>
      <c r="E1106" s="248">
        <v>2.3156190633424199E-3</v>
      </c>
      <c r="F1106" s="248">
        <v>2.5664138454657001E-3</v>
      </c>
      <c r="G1106" s="248">
        <v>1.79600694115175E-3</v>
      </c>
      <c r="H1106" s="735">
        <v>8.4976221397658905E-4</v>
      </c>
      <c r="I1106" s="735">
        <v>1.3335718915909601E-3</v>
      </c>
      <c r="J1106" s="735">
        <v>8.1188101960708199E-4</v>
      </c>
      <c r="L1106" s="84"/>
      <c r="M1106" s="84"/>
      <c r="N1106" s="84"/>
      <c r="O1106" s="84"/>
      <c r="P1106" s="84"/>
      <c r="Q1106" s="84"/>
      <c r="R1106" s="84"/>
      <c r="S1106" s="84"/>
    </row>
    <row r="1107" spans="1:19">
      <c r="A1107" s="629" t="s">
        <v>2294</v>
      </c>
      <c r="B1107" s="248">
        <v>1.9806505808966099E-3</v>
      </c>
      <c r="C1107" s="248">
        <v>3.17541654618599E-3</v>
      </c>
      <c r="D1107" s="248">
        <v>2.8695451035225701E-3</v>
      </c>
      <c r="E1107" s="248">
        <v>2.2498927145629898E-3</v>
      </c>
      <c r="F1107" s="248">
        <v>2.5637176412937998E-3</v>
      </c>
      <c r="G1107" s="248">
        <v>1.9503838174114E-3</v>
      </c>
      <c r="H1107" s="735">
        <v>8.6117270151989697E-4</v>
      </c>
      <c r="I1107" s="735">
        <v>1.3382301798936999E-3</v>
      </c>
      <c r="J1107" s="735">
        <v>8.2218506383536095E-4</v>
      </c>
      <c r="L1107" s="84"/>
      <c r="M1107" s="84"/>
      <c r="N1107" s="84"/>
      <c r="O1107" s="84"/>
      <c r="P1107" s="84"/>
      <c r="Q1107" s="84"/>
      <c r="R1107" s="84"/>
      <c r="S1107" s="84"/>
    </row>
    <row r="1108" spans="1:19">
      <c r="A1108" s="629" t="s">
        <v>2295</v>
      </c>
      <c r="B1108" s="248">
        <v>2.17874000838358E-3</v>
      </c>
      <c r="C1108" s="248">
        <v>2.7868170532749999E-3</v>
      </c>
      <c r="D1108" s="248">
        <v>2.8996485113961402E-3</v>
      </c>
      <c r="E1108" s="248">
        <v>2.2387857039969602E-3</v>
      </c>
      <c r="F1108" s="248">
        <v>2.5122824526913499E-3</v>
      </c>
      <c r="G1108" s="248">
        <v>1.95130015045416E-3</v>
      </c>
      <c r="H1108" s="735">
        <v>9.1385065078015005E-4</v>
      </c>
      <c r="I1108" s="735">
        <v>1.2730755808384401E-3</v>
      </c>
      <c r="J1108" s="735">
        <v>8.7302113622624001E-4</v>
      </c>
      <c r="L1108" s="84"/>
      <c r="M1108" s="84"/>
      <c r="N1108" s="84"/>
      <c r="O1108" s="84"/>
      <c r="P1108" s="84"/>
      <c r="Q1108" s="84"/>
      <c r="R1108" s="84"/>
      <c r="S1108" s="84"/>
    </row>
    <row r="1109" spans="1:19">
      <c r="A1109" s="629" t="s">
        <v>2319</v>
      </c>
      <c r="B1109" s="248">
        <v>2.6148848112666E-3</v>
      </c>
      <c r="C1109" s="248">
        <v>4.8298542303832001E-3</v>
      </c>
      <c r="D1109" s="248">
        <v>4.1528983500197904E-3</v>
      </c>
      <c r="E1109" s="248">
        <v>4.5808933104723804E-3</v>
      </c>
      <c r="F1109" s="248">
        <v>3.0132501627731798E-3</v>
      </c>
      <c r="G1109" s="248">
        <v>2.4749327845514099E-3</v>
      </c>
      <c r="H1109" s="735">
        <v>8.7437383604258305E-4</v>
      </c>
      <c r="I1109" s="735">
        <v>1.6373523345223301E-3</v>
      </c>
      <c r="J1109" s="735">
        <v>8.3399194102702298E-4</v>
      </c>
      <c r="L1109" s="84"/>
      <c r="M1109" s="84"/>
      <c r="N1109" s="84"/>
      <c r="O1109" s="84"/>
      <c r="P1109" s="84"/>
      <c r="Q1109" s="84"/>
      <c r="R1109" s="84"/>
      <c r="S1109" s="84"/>
    </row>
    <row r="1110" spans="1:19">
      <c r="A1110" s="629" t="s">
        <v>2320</v>
      </c>
      <c r="B1110" s="248">
        <v>2.5830480037672401E-3</v>
      </c>
      <c r="C1110" s="248">
        <v>3.9231670893792496E-3</v>
      </c>
      <c r="D1110" s="248">
        <v>3.7053965599156101E-3</v>
      </c>
      <c r="E1110" s="248">
        <v>4.1030792629042001E-3</v>
      </c>
      <c r="F1110" s="248">
        <v>3.0240728421258001E-3</v>
      </c>
      <c r="G1110" s="248">
        <v>3.6487739383535898E-3</v>
      </c>
      <c r="H1110" s="735">
        <v>1.1925808965178399E-3</v>
      </c>
      <c r="I1110" s="735">
        <v>1.6229252922088E-3</v>
      </c>
      <c r="J1110" s="735">
        <v>1.1558273941438999E-3</v>
      </c>
      <c r="L1110" s="84"/>
      <c r="M1110" s="84"/>
      <c r="N1110" s="84"/>
      <c r="O1110" s="84"/>
      <c r="P1110" s="84"/>
      <c r="Q1110" s="84"/>
      <c r="R1110" s="84"/>
      <c r="S1110" s="84"/>
    </row>
    <row r="1111" spans="1:19">
      <c r="A1111" s="629" t="s">
        <v>2321</v>
      </c>
      <c r="B1111" s="248">
        <v>2.4648479353034099E-3</v>
      </c>
      <c r="C1111" s="248">
        <v>3.2526540828988499E-3</v>
      </c>
      <c r="D1111" s="248">
        <v>4.0374678766327997E-3</v>
      </c>
      <c r="E1111" s="248">
        <v>4.7415630185655396E-3</v>
      </c>
      <c r="F1111" s="248">
        <v>3.80454409043354E-3</v>
      </c>
      <c r="G1111" s="248">
        <v>3.35823934986282E-3</v>
      </c>
      <c r="H1111" s="735">
        <v>1.33676716646397E-3</v>
      </c>
      <c r="I1111" s="735">
        <v>1.67727484249099E-3</v>
      </c>
      <c r="J1111" s="735">
        <v>1.3079428285799801E-3</v>
      </c>
      <c r="L1111" s="84"/>
      <c r="M1111" s="84"/>
      <c r="N1111" s="84"/>
      <c r="O1111" s="84"/>
      <c r="P1111" s="84"/>
      <c r="Q1111" s="84"/>
      <c r="R1111" s="84"/>
      <c r="S1111" s="84"/>
    </row>
    <row r="1112" spans="1:19">
      <c r="A1112" s="629" t="s">
        <v>2325</v>
      </c>
      <c r="B1112" s="248">
        <v>2.4161938606519998E-3</v>
      </c>
      <c r="C1112" s="248">
        <v>3.36189530630096E-3</v>
      </c>
      <c r="D1112" s="248">
        <v>3.2385400115385599E-3</v>
      </c>
      <c r="E1112" s="248">
        <v>5.1734269581830703E-3</v>
      </c>
      <c r="F1112" s="248">
        <v>3.5929383759769101E-3</v>
      </c>
      <c r="G1112" s="248">
        <v>3.5319486540487202E-3</v>
      </c>
      <c r="H1112" s="735">
        <v>1.34946410555926E-3</v>
      </c>
      <c r="I1112" s="735">
        <v>1.62378623635976E-3</v>
      </c>
      <c r="J1112" s="735">
        <v>1.32563404509638E-3</v>
      </c>
      <c r="L1112" s="84"/>
      <c r="M1112" s="84"/>
      <c r="N1112" s="84"/>
      <c r="O1112" s="84"/>
      <c r="P1112" s="84"/>
      <c r="Q1112" s="84"/>
      <c r="R1112" s="84"/>
      <c r="S1112" s="84"/>
    </row>
    <row r="1113" spans="1:19">
      <c r="A1113" s="629" t="s">
        <v>2326</v>
      </c>
      <c r="B1113" s="248">
        <v>2.2775904590039702E-3</v>
      </c>
      <c r="C1113" s="248">
        <v>2.9540433316729898E-3</v>
      </c>
      <c r="D1113" s="248">
        <v>2.7386051914723101E-3</v>
      </c>
      <c r="E1113" s="248">
        <v>4.8383838282052699E-3</v>
      </c>
      <c r="F1113" s="248">
        <v>3.5044449734579E-3</v>
      </c>
      <c r="G1113" s="248">
        <v>3.2410033687767098E-3</v>
      </c>
      <c r="H1113" s="735">
        <v>1.22817144402912E-3</v>
      </c>
      <c r="I1113" s="735">
        <v>1.49338663030302E-3</v>
      </c>
      <c r="J1113" s="735">
        <v>1.2041023887125999E-3</v>
      </c>
      <c r="L1113" s="84"/>
      <c r="M1113" s="84"/>
      <c r="N1113" s="84"/>
      <c r="O1113" s="84"/>
      <c r="P1113" s="84"/>
      <c r="Q1113" s="84"/>
      <c r="R1113" s="84"/>
      <c r="S1113" s="84"/>
    </row>
    <row r="1114" spans="1:19">
      <c r="A1114" s="629" t="s">
        <v>2771</v>
      </c>
      <c r="B1114" s="248">
        <v>2.1639035679252199E-3</v>
      </c>
      <c r="C1114" s="248">
        <v>3.6127363831194902E-3</v>
      </c>
      <c r="D1114" s="248">
        <v>2.6600552927394899E-3</v>
      </c>
      <c r="E1114" s="248">
        <v>4.2537892919561797E-3</v>
      </c>
      <c r="F1114" s="248">
        <v>3.6706083531453E-3</v>
      </c>
      <c r="G1114" s="248">
        <v>3.0047703458032102E-3</v>
      </c>
      <c r="H1114" s="735">
        <v>1.16896337964566E-3</v>
      </c>
      <c r="I1114" s="735">
        <v>1.3872618599447401E-3</v>
      </c>
      <c r="J1114" s="735">
        <v>1.1428647863021299E-3</v>
      </c>
      <c r="L1114" s="84"/>
      <c r="M1114" s="84"/>
      <c r="N1114" s="84"/>
      <c r="O1114" s="84"/>
      <c r="P1114" s="84"/>
      <c r="Q1114" s="84"/>
      <c r="R1114" s="84"/>
      <c r="S1114" s="84"/>
    </row>
    <row r="1115" spans="1:19">
      <c r="A1115" s="629" t="s">
        <v>2772</v>
      </c>
      <c r="B1115" s="248">
        <v>2.00459833167525E-3</v>
      </c>
      <c r="C1115" s="248">
        <v>2.9554486726248602E-3</v>
      </c>
      <c r="D1115" s="248">
        <v>2.6579462791460201E-3</v>
      </c>
      <c r="E1115" s="248">
        <v>4.0692070717688296E-3</v>
      </c>
      <c r="F1115" s="248">
        <v>3.45973001285906E-3</v>
      </c>
      <c r="G1115" s="248">
        <v>2.7648890809452899E-3</v>
      </c>
      <c r="H1115" s="735">
        <v>1.07882494064576E-3</v>
      </c>
      <c r="I1115" s="735">
        <v>1.3131164878677601E-3</v>
      </c>
      <c r="J1115" s="735">
        <v>1.05213933556309E-3</v>
      </c>
      <c r="L1115" s="84"/>
      <c r="M1115" s="84"/>
      <c r="N1115" s="84"/>
      <c r="O1115" s="84"/>
      <c r="P1115" s="84"/>
      <c r="Q1115" s="84"/>
      <c r="R1115" s="84"/>
      <c r="S1115" s="84"/>
    </row>
    <row r="1116" spans="1:19">
      <c r="A1116" s="629" t="s">
        <v>2773</v>
      </c>
      <c r="B1116" s="248">
        <v>1.8816174806954699E-3</v>
      </c>
      <c r="C1116" s="248">
        <v>2.8267676762295099E-3</v>
      </c>
      <c r="D1116" s="248">
        <v>2.2565932415963201E-3</v>
      </c>
      <c r="E1116" s="248">
        <v>3.5535962474088599E-3</v>
      </c>
      <c r="F1116" s="248">
        <v>3.27070627109901E-3</v>
      </c>
      <c r="G1116" s="248">
        <v>2.5530930430096598E-3</v>
      </c>
      <c r="H1116" s="735">
        <v>1.13334138776586E-3</v>
      </c>
      <c r="I1116" s="735">
        <v>1.21643826042342E-3</v>
      </c>
      <c r="J1116" s="735">
        <v>1.1046151893613001E-3</v>
      </c>
      <c r="L1116" s="84"/>
      <c r="M1116" s="84"/>
      <c r="N1116" s="84"/>
      <c r="O1116" s="84"/>
      <c r="P1116" s="84"/>
      <c r="Q1116" s="84"/>
      <c r="R1116" s="84"/>
      <c r="S1116" s="84"/>
    </row>
    <row r="1117" spans="1:19">
      <c r="A1117" s="629" t="s">
        <v>2774</v>
      </c>
      <c r="B1117" s="248">
        <v>1.7611169448869301E-3</v>
      </c>
      <c r="C1117" s="248">
        <v>2.75457977539755E-3</v>
      </c>
      <c r="D1117" s="248">
        <v>2.3483434955093902E-3</v>
      </c>
      <c r="E1117" s="248">
        <v>3.1147615747767901E-3</v>
      </c>
      <c r="F1117" s="248">
        <v>3.0941465466852499E-3</v>
      </c>
      <c r="G1117" s="248">
        <v>2.4812896277458698E-3</v>
      </c>
      <c r="H1117" s="735">
        <v>1.1420448933214E-3</v>
      </c>
      <c r="I1117" s="735">
        <v>1.11758489298123E-3</v>
      </c>
      <c r="J1117" s="735">
        <v>1.11197580659381E-3</v>
      </c>
      <c r="L1117" s="84"/>
      <c r="M1117" s="84"/>
      <c r="N1117" s="84"/>
      <c r="O1117" s="84"/>
      <c r="P1117" s="84"/>
      <c r="Q1117" s="84"/>
      <c r="R1117" s="84"/>
      <c r="S1117" s="84"/>
    </row>
    <row r="1118" spans="1:19">
      <c r="A1118" s="629" t="s">
        <v>2775</v>
      </c>
      <c r="B1118" s="248">
        <v>1.6716876061984201E-3</v>
      </c>
      <c r="C1118" s="248">
        <v>2.6336720548907999E-3</v>
      </c>
      <c r="D1118" s="248">
        <v>4.4845232463326702E-3</v>
      </c>
      <c r="E1118" s="248">
        <v>2.8237745083091702E-3</v>
      </c>
      <c r="F1118" s="248">
        <v>3.02887589603859E-3</v>
      </c>
      <c r="G1118" s="248">
        <v>2.3022350858645799E-3</v>
      </c>
      <c r="H1118" s="735">
        <v>1.0566943058912799E-3</v>
      </c>
      <c r="I1118" s="735">
        <v>1.0412595316205699E-3</v>
      </c>
      <c r="J1118" s="735">
        <v>1.02670996382538E-3</v>
      </c>
      <c r="L1118" s="84"/>
      <c r="M1118" s="84"/>
      <c r="N1118" s="84"/>
      <c r="O1118" s="84"/>
      <c r="P1118" s="84"/>
      <c r="Q1118" s="84"/>
      <c r="R1118" s="84"/>
      <c r="S1118" s="84"/>
    </row>
    <row r="1119" spans="1:19">
      <c r="A1119" s="629" t="s">
        <v>2776</v>
      </c>
      <c r="B1119" s="248">
        <v>1.60484677584827E-3</v>
      </c>
      <c r="C1119" s="248">
        <v>2.7678634651306798E-3</v>
      </c>
      <c r="D1119" s="248">
        <v>3.3229429896892999E-3</v>
      </c>
      <c r="E1119" s="248">
        <v>2.6472223692716101E-3</v>
      </c>
      <c r="F1119" s="248">
        <v>3.1053448518933899E-3</v>
      </c>
      <c r="G1119" s="248">
        <v>2.16321761265753E-3</v>
      </c>
      <c r="H1119" s="735">
        <v>1.7135333711578099E-3</v>
      </c>
      <c r="I1119" s="735">
        <v>9.8281958612573606E-4</v>
      </c>
      <c r="J1119" s="735">
        <v>1.6593655294741101E-3</v>
      </c>
      <c r="L1119" s="84"/>
      <c r="M1119" s="84"/>
      <c r="N1119" s="84"/>
      <c r="O1119" s="84"/>
      <c r="P1119" s="84"/>
      <c r="Q1119" s="84"/>
      <c r="R1119" s="84"/>
      <c r="S1119" s="84"/>
    </row>
    <row r="1120" spans="1:19">
      <c r="A1120" s="629" t="s">
        <v>2777</v>
      </c>
      <c r="B1120" s="248">
        <v>1.59751834098825E-3</v>
      </c>
      <c r="C1120" s="248">
        <v>3.6085497286963402E-3</v>
      </c>
      <c r="D1120" s="248">
        <v>3.0499142508050199E-3</v>
      </c>
      <c r="E1120" s="248">
        <v>2.4204145958910501E-3</v>
      </c>
      <c r="F1120" s="248">
        <v>3.34551571541282E-3</v>
      </c>
      <c r="G1120" s="248">
        <v>2.65000986148641E-3</v>
      </c>
      <c r="H1120" s="735">
        <v>1.5461484550836099E-3</v>
      </c>
      <c r="I1120" s="735">
        <v>1.00850739786067E-3</v>
      </c>
      <c r="J1120" s="735">
        <v>1.4980751756517401E-3</v>
      </c>
      <c r="L1120" s="84"/>
      <c r="M1120" s="84"/>
      <c r="N1120" s="84"/>
      <c r="O1120" s="84"/>
      <c r="P1120" s="84"/>
      <c r="Q1120" s="84"/>
      <c r="R1120" s="84"/>
      <c r="S1120" s="84"/>
    </row>
    <row r="1121" spans="1:19">
      <c r="A1121" s="629" t="s">
        <v>2778</v>
      </c>
      <c r="B1121" s="248">
        <v>1.65788234972907E-3</v>
      </c>
      <c r="C1121" s="248">
        <v>3.8245714663668099E-3</v>
      </c>
      <c r="D1121" s="248">
        <v>3.1745351570095798E-3</v>
      </c>
      <c r="E1121" s="248">
        <v>3.3168824390356799E-3</v>
      </c>
      <c r="F1121" s="248">
        <v>3.6410353099295E-3</v>
      </c>
      <c r="G1121" s="248">
        <v>2.7725938407083101E-3</v>
      </c>
      <c r="H1121" s="735">
        <v>2.6353151388622E-3</v>
      </c>
      <c r="I1121" s="735">
        <v>1.15302106630947E-3</v>
      </c>
      <c r="J1121" s="735">
        <v>2.6097229280395398E-3</v>
      </c>
      <c r="L1121" s="84"/>
      <c r="M1121" s="84"/>
      <c r="N1121" s="84"/>
      <c r="O1121" s="84"/>
      <c r="P1121" s="84"/>
      <c r="Q1121" s="84"/>
      <c r="R1121" s="84"/>
      <c r="S1121" s="84"/>
    </row>
    <row r="1122" spans="1:19">
      <c r="A1122" s="629" t="s">
        <v>2779</v>
      </c>
      <c r="B1122" s="248">
        <v>1.79251129707657E-3</v>
      </c>
      <c r="C1122" s="248">
        <v>3.6086478433236002E-3</v>
      </c>
      <c r="D1122" s="248">
        <v>4.2478815493950601E-3</v>
      </c>
      <c r="E1122" s="248">
        <v>3.0704338194094002E-3</v>
      </c>
      <c r="F1122" s="248">
        <v>3.4310795760716301E-3</v>
      </c>
      <c r="G1122" s="248">
        <v>2.9702325339989598E-3</v>
      </c>
      <c r="H1122" s="735">
        <v>2.9142908382021001E-3</v>
      </c>
      <c r="I1122" s="735">
        <v>1.25763568828748E-3</v>
      </c>
      <c r="J1122" s="735">
        <v>2.9029179210020399E-3</v>
      </c>
      <c r="L1122" s="84"/>
      <c r="M1122" s="84"/>
      <c r="N1122" s="84"/>
      <c r="O1122" s="84"/>
      <c r="P1122" s="84"/>
      <c r="Q1122" s="84"/>
      <c r="R1122" s="84"/>
      <c r="S1122" s="84"/>
    </row>
    <row r="1123" spans="1:19">
      <c r="A1123" s="629" t="s">
        <v>2780</v>
      </c>
      <c r="B1123" s="248">
        <v>1.69770953310611E-3</v>
      </c>
      <c r="C1123" s="248">
        <v>2.9816574173332699E-3</v>
      </c>
      <c r="D1123" s="248">
        <v>3.11014104912564E-3</v>
      </c>
      <c r="E1123" s="248">
        <v>2.7629048622975598E-3</v>
      </c>
      <c r="F1123" s="248">
        <v>3.3853968954244001E-3</v>
      </c>
      <c r="G1123" s="248">
        <v>2.7338553254894998E-3</v>
      </c>
      <c r="H1123" s="735">
        <v>2.57021332745506E-3</v>
      </c>
      <c r="I1123" s="735">
        <v>1.2864368223330399E-3</v>
      </c>
      <c r="J1123" s="735">
        <v>2.5616111185488401E-3</v>
      </c>
      <c r="L1123" s="84"/>
      <c r="M1123" s="84"/>
      <c r="N1123" s="84"/>
      <c r="O1123" s="84"/>
      <c r="P1123" s="84"/>
      <c r="Q1123" s="84"/>
      <c r="R1123" s="84"/>
      <c r="S1123" s="84"/>
    </row>
    <row r="1124" spans="1:19">
      <c r="A1124" s="629" t="s">
        <v>2781</v>
      </c>
      <c r="B1124" s="248">
        <v>1.72930917581329E-3</v>
      </c>
      <c r="C1124" s="248">
        <v>2.8524176984979798E-3</v>
      </c>
      <c r="D1124" s="248">
        <v>3.6168079064027902E-3</v>
      </c>
      <c r="E1124" s="248">
        <v>2.5055045370006401E-3</v>
      </c>
      <c r="F1124" s="248">
        <v>3.2044111857293502E-3</v>
      </c>
      <c r="G1124" s="248">
        <v>2.67062936749757E-3</v>
      </c>
      <c r="H1124" s="735">
        <v>2.2412424794063602E-3</v>
      </c>
      <c r="I1124" s="735">
        <v>1.23327972719571E-3</v>
      </c>
      <c r="J1124" s="735">
        <v>2.2332351397379101E-3</v>
      </c>
      <c r="L1124" s="84"/>
      <c r="M1124" s="84"/>
      <c r="N1124" s="84"/>
      <c r="O1124" s="84"/>
      <c r="P1124" s="84"/>
      <c r="Q1124" s="84"/>
      <c r="R1124" s="84"/>
      <c r="S1124" s="84"/>
    </row>
    <row r="1125" spans="1:19">
      <c r="A1125" s="629" t="s">
        <v>2928</v>
      </c>
      <c r="B1125" s="248">
        <v>1.64403150277536E-3</v>
      </c>
      <c r="C1125" s="248">
        <v>2.6547451524226999E-3</v>
      </c>
      <c r="D1125" s="248">
        <v>3.0411952985184899E-3</v>
      </c>
      <c r="E1125" s="248">
        <v>2.32448365588244E-3</v>
      </c>
      <c r="F1125" s="248">
        <v>3.05229111440097E-3</v>
      </c>
      <c r="G1125" s="248">
        <v>2.4935344830055001E-3</v>
      </c>
      <c r="H1125" s="735">
        <v>2.0879187632173901E-3</v>
      </c>
      <c r="I1125" s="735">
        <v>1.13026607962497E-3</v>
      </c>
      <c r="J1125" s="735">
        <v>2.08066902238259E-3</v>
      </c>
      <c r="L1125" s="84"/>
      <c r="M1125" s="84"/>
      <c r="N1125" s="84"/>
      <c r="O1125" s="84"/>
      <c r="P1125" s="84"/>
      <c r="Q1125" s="84"/>
      <c r="R1125" s="84"/>
      <c r="S1125" s="84"/>
    </row>
    <row r="1126" spans="1:19">
      <c r="A1126" s="629" t="s">
        <v>2929</v>
      </c>
      <c r="B1126" s="248">
        <v>1.55986022063671E-3</v>
      </c>
      <c r="C1126" s="248">
        <v>3.3735090657330499E-3</v>
      </c>
      <c r="D1126" s="248">
        <v>2.4565741456283401E-3</v>
      </c>
      <c r="E1126" s="248">
        <v>2.19642210365138E-3</v>
      </c>
      <c r="F1126" s="248">
        <v>2.9162769021956999E-3</v>
      </c>
      <c r="G1126" s="248">
        <v>2.3242595481066798E-3</v>
      </c>
      <c r="H1126" s="735">
        <v>2.5141242491901901E-3</v>
      </c>
      <c r="I1126" s="735">
        <v>1.05642426239459E-3</v>
      </c>
      <c r="J1126" s="735">
        <v>2.5161116792269101E-3</v>
      </c>
      <c r="L1126" s="84"/>
      <c r="M1126" s="84"/>
      <c r="N1126" s="84"/>
      <c r="O1126" s="84"/>
      <c r="P1126" s="84"/>
      <c r="Q1126" s="84"/>
      <c r="R1126" s="84"/>
      <c r="S1126" s="84"/>
    </row>
    <row r="1127" spans="1:19">
      <c r="A1127" s="629" t="s">
        <v>2930</v>
      </c>
      <c r="B1127" s="248">
        <v>1.5863884906341E-3</v>
      </c>
      <c r="C1127" s="248">
        <v>3.3201895951411901E-3</v>
      </c>
      <c r="D1127" s="248">
        <v>2.4652721796508299E-3</v>
      </c>
      <c r="E1127" s="248">
        <v>2.0324848293996199E-3</v>
      </c>
      <c r="F1127" s="248">
        <v>2.8044434801921402E-3</v>
      </c>
      <c r="G1127" s="248">
        <v>2.1610719869346101E-3</v>
      </c>
      <c r="H1127" s="735">
        <v>2.6694739927851799E-3</v>
      </c>
      <c r="I1127" s="735">
        <v>1.05435847237605E-3</v>
      </c>
      <c r="J1127" s="735">
        <v>2.66917384271573E-3</v>
      </c>
      <c r="L1127" s="84"/>
      <c r="M1127" s="84"/>
      <c r="N1127" s="84"/>
      <c r="O1127" s="84"/>
      <c r="P1127" s="84"/>
      <c r="Q1127" s="84"/>
      <c r="R1127" s="84"/>
      <c r="S1127" s="84"/>
    </row>
    <row r="1128" spans="1:19">
      <c r="A1128" s="629" t="s">
        <v>2931</v>
      </c>
      <c r="B1128" s="248">
        <v>1.58298579512253E-3</v>
      </c>
      <c r="C1128" s="248">
        <v>2.8483290711085198E-3</v>
      </c>
      <c r="D1128" s="248">
        <v>2.54479712038577E-3</v>
      </c>
      <c r="E1128" s="248">
        <v>2.0070035605419399E-3</v>
      </c>
      <c r="F1128" s="248">
        <v>2.6749698939761198E-3</v>
      </c>
      <c r="G1128" s="248">
        <v>2.0509957537925799E-3</v>
      </c>
      <c r="H1128" s="735">
        <v>2.3139188205080902E-3</v>
      </c>
      <c r="I1128" s="735">
        <v>9.7837785845350305E-4</v>
      </c>
      <c r="J1128" s="735">
        <v>2.3132444715358198E-3</v>
      </c>
      <c r="L1128" s="84"/>
      <c r="M1128" s="84"/>
      <c r="N1128" s="84"/>
      <c r="O1128" s="84"/>
      <c r="P1128" s="84"/>
      <c r="Q1128" s="84"/>
      <c r="R1128" s="84"/>
      <c r="S1128" s="84"/>
    </row>
    <row r="1129" spans="1:19">
      <c r="A1129" s="629" t="s">
        <v>2932</v>
      </c>
      <c r="B1129" s="248">
        <v>1.5142377744768801E-3</v>
      </c>
      <c r="C1129" s="248">
        <v>4.4495095071514501E-3</v>
      </c>
      <c r="D1129" s="248">
        <v>2.22361182316485E-3</v>
      </c>
      <c r="E1129" s="248">
        <v>1.8845316891763599E-3</v>
      </c>
      <c r="F1129" s="248">
        <v>2.56158023901293E-3</v>
      </c>
      <c r="G1129" s="248">
        <v>1.9716744912303399E-3</v>
      </c>
      <c r="H1129" s="735">
        <v>2.0997890617064701E-3</v>
      </c>
      <c r="I1129" s="735">
        <v>1.1412378346119501E-3</v>
      </c>
      <c r="J1129" s="735">
        <v>2.099278965458E-3</v>
      </c>
      <c r="L1129" s="84"/>
      <c r="M1129" s="84"/>
      <c r="N1129" s="84"/>
      <c r="O1129" s="84"/>
      <c r="P1129" s="84"/>
      <c r="Q1129" s="84"/>
      <c r="R1129" s="84"/>
      <c r="S1129" s="84"/>
    </row>
    <row r="1130" spans="1:19">
      <c r="A1130" s="629" t="s">
        <v>2933</v>
      </c>
      <c r="B1130" s="248">
        <v>1.5265865260883601E-3</v>
      </c>
      <c r="C1130" s="248">
        <v>3.3334200626505598E-3</v>
      </c>
      <c r="D1130" s="248">
        <v>2.0599390816273002E-3</v>
      </c>
      <c r="E1130" s="248">
        <v>1.7866585456207699E-3</v>
      </c>
      <c r="F1130" s="248">
        <v>2.5861774695381898E-3</v>
      </c>
      <c r="G1130" s="248">
        <v>1.92668188286375E-3</v>
      </c>
      <c r="H1130" s="735">
        <v>1.8587389747083099E-3</v>
      </c>
      <c r="I1130" s="735">
        <v>1.2037857785826701E-3</v>
      </c>
      <c r="J1130" s="735">
        <v>1.85529365734351E-3</v>
      </c>
      <c r="L1130" s="84"/>
      <c r="M1130" s="84"/>
      <c r="N1130" s="84"/>
      <c r="O1130" s="84"/>
      <c r="P1130" s="84"/>
      <c r="Q1130" s="84"/>
      <c r="R1130" s="84"/>
      <c r="S1130" s="84"/>
    </row>
    <row r="1131" spans="1:19">
      <c r="A1131" s="629" t="s">
        <v>2984</v>
      </c>
      <c r="B1131" s="248">
        <v>1.48610076488583E-3</v>
      </c>
      <c r="C1131" s="248">
        <v>3.2750472272049199E-3</v>
      </c>
      <c r="D1131" s="248">
        <v>3.15549963125056E-3</v>
      </c>
      <c r="E1131" s="248">
        <v>1.78623906252431E-3</v>
      </c>
      <c r="F1131" s="248">
        <v>2.64089189827407E-3</v>
      </c>
      <c r="G1131" s="248">
        <v>1.9449364349616101E-3</v>
      </c>
      <c r="H1131" s="735">
        <v>1.6726283773311999E-3</v>
      </c>
      <c r="I1131" s="735">
        <v>1.11918057711292E-3</v>
      </c>
      <c r="J1131" s="735">
        <v>1.66585278669762E-3</v>
      </c>
      <c r="L1131" s="84"/>
      <c r="M1131" s="84"/>
      <c r="N1131" s="84"/>
      <c r="O1131" s="84"/>
      <c r="P1131" s="84"/>
      <c r="Q1131" s="84"/>
      <c r="R1131" s="84"/>
      <c r="S1131" s="84"/>
    </row>
    <row r="1132" spans="1:19">
      <c r="A1132" s="629" t="s">
        <v>2985</v>
      </c>
      <c r="B1132" s="248">
        <v>1.6662754882383101E-3</v>
      </c>
      <c r="C1132" s="248">
        <v>3.0555485894821202E-3</v>
      </c>
      <c r="D1132" s="248">
        <v>3.7834293763561299E-3</v>
      </c>
      <c r="E1132" s="248">
        <v>1.72680839414709E-3</v>
      </c>
      <c r="F1132" s="248">
        <v>2.71486643316816E-3</v>
      </c>
      <c r="G1132" s="248">
        <v>2.4550977009507101E-3</v>
      </c>
      <c r="H1132" s="735">
        <v>1.6067573462180201E-3</v>
      </c>
      <c r="I1132" s="735">
        <v>1.0867314592967899E-3</v>
      </c>
      <c r="J1132" s="735">
        <v>1.5958867459946E-3</v>
      </c>
      <c r="L1132" s="84"/>
      <c r="M1132" s="84"/>
      <c r="N1132" s="84"/>
      <c r="O1132" s="84"/>
      <c r="P1132" s="84"/>
      <c r="Q1132" s="84"/>
      <c r="R1132" s="84"/>
      <c r="S1132" s="84"/>
    </row>
    <row r="1133" spans="1:19">
      <c r="A1133" s="629" t="s">
        <v>2986</v>
      </c>
      <c r="B1133" s="248">
        <v>1.74188723544918E-3</v>
      </c>
      <c r="C1133" s="248">
        <v>3.2092004886000499E-3</v>
      </c>
      <c r="D1133" s="248">
        <v>3.61462332302257E-3</v>
      </c>
      <c r="E1133" s="248">
        <v>2.2275920007344199E-3</v>
      </c>
      <c r="F1133" s="248">
        <v>2.7396104878606099E-3</v>
      </c>
      <c r="G1133" s="248">
        <v>2.8754900843581698E-3</v>
      </c>
      <c r="H1133" s="735">
        <v>1.51042536137111E-3</v>
      </c>
      <c r="I1133" s="735">
        <v>1.09636417992718E-3</v>
      </c>
      <c r="J1133" s="735">
        <v>1.49753486371188E-3</v>
      </c>
      <c r="L1133" s="84"/>
      <c r="M1133" s="84"/>
      <c r="N1133" s="84"/>
      <c r="O1133" s="84"/>
      <c r="P1133" s="84"/>
      <c r="Q1133" s="84"/>
      <c r="R1133" s="84"/>
      <c r="S1133" s="84"/>
    </row>
    <row r="1134" spans="1:19">
      <c r="A1134" s="629" t="s">
        <v>2987</v>
      </c>
      <c r="B1134" s="248">
        <v>1.8072827743313999E-3</v>
      </c>
      <c r="C1134" s="248">
        <v>4.2516901423884298E-3</v>
      </c>
      <c r="D1134" s="248">
        <v>3.5333555852612099E-3</v>
      </c>
      <c r="E1134" s="248">
        <v>2.05573428509369E-3</v>
      </c>
      <c r="F1134" s="248">
        <v>2.6181730894956198E-3</v>
      </c>
      <c r="G1134" s="248">
        <v>2.65098846525119E-3</v>
      </c>
      <c r="H1134" s="735">
        <v>1.3658259013971199E-3</v>
      </c>
      <c r="I1134" s="735">
        <v>1.42562315555375E-3</v>
      </c>
      <c r="J1134" s="735">
        <v>1.3507968552433499E-3</v>
      </c>
      <c r="L1134" s="84"/>
      <c r="M1134" s="84"/>
      <c r="N1134" s="84"/>
      <c r="O1134" s="84"/>
      <c r="P1134" s="84"/>
      <c r="Q1134" s="84"/>
      <c r="R1134" s="84"/>
      <c r="S1134" s="84"/>
    </row>
    <row r="1135" spans="1:19">
      <c r="A1135" s="629" t="s">
        <v>2988</v>
      </c>
      <c r="B1135" s="248">
        <v>3.13966080345151E-3</v>
      </c>
      <c r="C1135" s="248">
        <v>8.5117665127789205E-3</v>
      </c>
      <c r="D1135" s="248">
        <v>4.6540595264449999E-3</v>
      </c>
      <c r="E1135" s="248">
        <v>3.3679007609180201E-3</v>
      </c>
      <c r="F1135" s="248">
        <v>3.9847833261176099E-3</v>
      </c>
      <c r="G1135" s="248">
        <v>3.67599557860925E-3</v>
      </c>
      <c r="H1135" s="735">
        <v>2.2507871775160801E-3</v>
      </c>
      <c r="I1135" s="735">
        <v>2.4463992685530098E-3</v>
      </c>
      <c r="J1135" s="735">
        <v>2.2581978598592701E-3</v>
      </c>
      <c r="L1135" s="84"/>
      <c r="M1135" s="84"/>
      <c r="N1135" s="84"/>
      <c r="O1135" s="84"/>
      <c r="P1135" s="84"/>
      <c r="Q1135" s="84"/>
      <c r="R1135" s="84"/>
      <c r="S1135" s="84"/>
    </row>
    <row r="1136" spans="1:19">
      <c r="A1136" s="629" t="s">
        <v>2989</v>
      </c>
      <c r="B1136" s="248">
        <v>3.0732914873716302E-3</v>
      </c>
      <c r="C1136" s="248">
        <v>5.3900229964264201E-3</v>
      </c>
      <c r="D1136" s="248">
        <v>5.5322955320681296E-3</v>
      </c>
      <c r="E1136" s="248">
        <v>3.5127591278070699E-3</v>
      </c>
      <c r="F1136" s="248">
        <v>3.7079066845613902E-3</v>
      </c>
      <c r="G1136" s="248">
        <v>3.3658840625381001E-3</v>
      </c>
      <c r="H1136" s="735">
        <v>4.2286396055819103E-3</v>
      </c>
      <c r="I1136" s="735">
        <v>3.3995617173455698E-3</v>
      </c>
      <c r="J1136" s="735">
        <v>4.2752951910208399E-3</v>
      </c>
      <c r="L1136" s="84"/>
      <c r="M1136" s="84"/>
      <c r="N1136" s="84"/>
      <c r="O1136" s="84"/>
      <c r="P1136" s="84"/>
      <c r="Q1136" s="84"/>
      <c r="R1136" s="84"/>
      <c r="S1136" s="84"/>
    </row>
    <row r="1137" spans="1:19">
      <c r="A1137" s="629" t="s">
        <v>3045</v>
      </c>
      <c r="B1137" s="248">
        <v>2.82667358160579E-3</v>
      </c>
      <c r="C1137" s="248">
        <v>3.7209473970957899E-3</v>
      </c>
      <c r="D1137" s="248">
        <v>3.77032073356046E-3</v>
      </c>
      <c r="E1137" s="248">
        <v>3.4518581021075901E-3</v>
      </c>
      <c r="F1137" s="248">
        <v>3.7535016283221801E-3</v>
      </c>
      <c r="G1137" s="248">
        <v>3.1429046834958599E-3</v>
      </c>
      <c r="H1137" s="735">
        <v>5.2985867337478898E-3</v>
      </c>
      <c r="I1137" s="735">
        <v>3.0817084172245599E-3</v>
      </c>
      <c r="J1137" s="735">
        <v>5.3659154396784202E-3</v>
      </c>
      <c r="L1137" s="84"/>
      <c r="M1137" s="84"/>
      <c r="N1137" s="84"/>
      <c r="O1137" s="84"/>
      <c r="P1137" s="84"/>
      <c r="Q1137" s="84"/>
      <c r="R1137" s="84"/>
      <c r="S1137" s="84"/>
    </row>
    <row r="1138" spans="1:19">
      <c r="A1138" s="629" t="s">
        <v>3046</v>
      </c>
      <c r="B1138" s="248">
        <v>2.5781826335662698E-3</v>
      </c>
      <c r="C1138" s="248">
        <v>3.2014401744170301E-3</v>
      </c>
      <c r="D1138" s="248">
        <v>3.8673153797882998E-3</v>
      </c>
      <c r="E1138" s="248">
        <v>3.07372733665515E-3</v>
      </c>
      <c r="F1138" s="248">
        <v>3.6823263814302399E-3</v>
      </c>
      <c r="G1138" s="248">
        <v>2.8876899053867301E-3</v>
      </c>
      <c r="H1138" s="735">
        <v>4.5929427057140497E-3</v>
      </c>
      <c r="I1138" s="735">
        <v>2.8810945306735301E-3</v>
      </c>
      <c r="J1138" s="735">
        <v>4.6602578329523296E-3</v>
      </c>
      <c r="L1138" s="84"/>
      <c r="M1138" s="84"/>
      <c r="N1138" s="84"/>
      <c r="O1138" s="84"/>
      <c r="P1138" s="84"/>
      <c r="Q1138" s="84"/>
      <c r="R1138" s="84"/>
      <c r="S1138" s="84"/>
    </row>
    <row r="1139" spans="1:19">
      <c r="A1139" s="629" t="s">
        <v>3047</v>
      </c>
      <c r="B1139" s="248">
        <v>2.5076175974901899E-3</v>
      </c>
      <c r="C1139" s="248">
        <v>3.8338224790355801E-3</v>
      </c>
      <c r="D1139" s="248">
        <v>3.7327199172525602E-3</v>
      </c>
      <c r="E1139" s="248">
        <v>4.9816541873435802E-3</v>
      </c>
      <c r="F1139" s="248">
        <v>4.1762145257041297E-3</v>
      </c>
      <c r="G1139" s="248">
        <v>3.4944669451230899E-3</v>
      </c>
      <c r="H1139" s="735">
        <v>3.8952861148229198E-3</v>
      </c>
      <c r="I1139" s="735">
        <v>2.8723713180931801E-3</v>
      </c>
      <c r="J1139" s="735">
        <v>3.9561466564460102E-3</v>
      </c>
      <c r="L1139" s="84"/>
      <c r="M1139" s="84"/>
      <c r="N1139" s="84"/>
      <c r="O1139" s="84"/>
      <c r="P1139" s="84"/>
      <c r="Q1139" s="84"/>
      <c r="R1139" s="84"/>
      <c r="S1139" s="84"/>
    </row>
    <row r="1140" spans="1:19">
      <c r="A1140" s="629" t="s">
        <v>3050</v>
      </c>
      <c r="B1140" s="248">
        <v>2.64226354974366E-3</v>
      </c>
      <c r="C1140" s="248">
        <v>3.7696790471577301E-3</v>
      </c>
      <c r="D1140" s="248">
        <v>5.0202659120028199E-3</v>
      </c>
      <c r="E1140" s="248">
        <v>4.43084371145731E-3</v>
      </c>
      <c r="F1140" s="248">
        <v>3.9580981322672199E-3</v>
      </c>
      <c r="G1140" s="248">
        <v>3.61391632522764E-3</v>
      </c>
      <c r="H1140" s="735">
        <v>3.5653218645593501E-3</v>
      </c>
      <c r="I1140" s="735">
        <v>3.1106031497424701E-3</v>
      </c>
      <c r="J1140" s="735">
        <v>3.6266541926032701E-3</v>
      </c>
      <c r="L1140" s="84"/>
      <c r="M1140" s="84"/>
      <c r="N1140" s="84"/>
      <c r="O1140" s="84"/>
      <c r="P1140" s="84"/>
      <c r="Q1140" s="84"/>
      <c r="R1140" s="84"/>
      <c r="S1140" s="84"/>
    </row>
    <row r="1141" spans="1:19">
      <c r="A1141" s="629" t="s">
        <v>3927</v>
      </c>
      <c r="B1141" s="248">
        <v>2.7803046379901298E-3</v>
      </c>
      <c r="C1141" s="248">
        <v>3.3364995822091001E-3</v>
      </c>
      <c r="D1141" s="248">
        <v>6.8070389537521897E-3</v>
      </c>
      <c r="E1141" s="248">
        <v>4.1214072495701403E-3</v>
      </c>
      <c r="F1141" s="248">
        <v>3.7447205342743899E-3</v>
      </c>
      <c r="G1141" s="248">
        <v>3.65211506317396E-3</v>
      </c>
      <c r="H1141" s="735">
        <v>3.5201785720660101E-3</v>
      </c>
      <c r="I1141" s="735">
        <v>2.8860642314597201E-3</v>
      </c>
      <c r="J1141" s="735">
        <v>3.5780377859690599E-3</v>
      </c>
      <c r="L1141" s="84"/>
      <c r="M1141" s="84"/>
      <c r="N1141" s="84"/>
      <c r="O1141" s="84"/>
      <c r="P1141" s="84"/>
      <c r="Q1141" s="84"/>
      <c r="R1141" s="84"/>
      <c r="S1141" s="84"/>
    </row>
    <row r="1142" spans="1:19">
      <c r="A1142" s="629" t="s">
        <v>3967</v>
      </c>
      <c r="B1142" s="248">
        <v>2.7777538578388E-3</v>
      </c>
      <c r="C1142" s="248">
        <v>5.0072093883023602E-3</v>
      </c>
      <c r="D1142" s="248">
        <v>4.4625971392235897E-3</v>
      </c>
      <c r="E1142" s="248">
        <v>5.26766589578771E-3</v>
      </c>
      <c r="F1142" s="248">
        <v>4.0291119634134204E-3</v>
      </c>
      <c r="G1142" s="248">
        <v>3.9324346034446999E-3</v>
      </c>
      <c r="H1142" s="735">
        <v>3.3213592580634299E-3</v>
      </c>
      <c r="I1142" s="735">
        <v>2.5716999921440399E-3</v>
      </c>
      <c r="J1142" s="735">
        <v>3.38719080448751E-3</v>
      </c>
      <c r="L1142" s="84"/>
      <c r="M1142" s="84"/>
      <c r="N1142" s="84"/>
      <c r="O1142" s="84"/>
      <c r="P1142" s="84"/>
      <c r="Q1142" s="84"/>
      <c r="R1142" s="84"/>
      <c r="S1142" s="84"/>
    </row>
    <row r="1143" spans="1:19">
      <c r="A1143" s="629" t="s">
        <v>3968</v>
      </c>
      <c r="B1143" s="248">
        <v>2.7708386530115601E-3</v>
      </c>
      <c r="C1143" s="248">
        <v>4.5177451458468703E-3</v>
      </c>
      <c r="D1143" s="248">
        <v>4.0134760668938596E-3</v>
      </c>
      <c r="E1143" s="248">
        <v>4.4925263295564804E-3</v>
      </c>
      <c r="F1143" s="248">
        <v>3.7607628874355699E-3</v>
      </c>
      <c r="G1143" s="248">
        <v>3.8201044213312398E-3</v>
      </c>
      <c r="H1143" s="735">
        <v>3.03263498319654E-3</v>
      </c>
      <c r="I1143" s="735">
        <v>2.5040266111451799E-3</v>
      </c>
      <c r="J1143" s="735">
        <v>3.09236347777619E-3</v>
      </c>
      <c r="L1143" s="84"/>
      <c r="M1143" s="84"/>
      <c r="N1143" s="84"/>
      <c r="O1143" s="84"/>
      <c r="P1143" s="84"/>
      <c r="Q1143" s="84"/>
      <c r="R1143" s="84"/>
      <c r="S1143" s="84"/>
    </row>
    <row r="1144" spans="1:19">
      <c r="A1144" s="629" t="s">
        <v>3969</v>
      </c>
      <c r="B1144" s="248">
        <v>2.7391350325460702E-3</v>
      </c>
      <c r="C1144" s="248">
        <v>6.5089118065541404E-3</v>
      </c>
      <c r="D1144" s="248">
        <v>3.78361138413531E-3</v>
      </c>
      <c r="E1144" s="248">
        <v>4.4524777279269399E-3</v>
      </c>
      <c r="F1144" s="248">
        <v>5.1178689229729804E-3</v>
      </c>
      <c r="G1144" s="248">
        <v>5.2641506334160804E-3</v>
      </c>
      <c r="H1144" s="735">
        <v>3.8916392641135302E-3</v>
      </c>
      <c r="I1144" s="735">
        <v>2.2366184518983301E-3</v>
      </c>
      <c r="J1144" s="735">
        <v>3.9582147120998798E-3</v>
      </c>
      <c r="L1144" s="84"/>
      <c r="M1144" s="84"/>
      <c r="N1144" s="84"/>
      <c r="O1144" s="84"/>
      <c r="P1144" s="84"/>
      <c r="Q1144" s="84"/>
      <c r="R1144" s="84"/>
      <c r="S1144" s="84"/>
    </row>
    <row r="1145" spans="1:19">
      <c r="A1145" s="629" t="s">
        <v>3970</v>
      </c>
      <c r="B1145" s="248">
        <v>2.5137353625045902E-3</v>
      </c>
      <c r="C1145" s="248">
        <v>5.19925984508694E-3</v>
      </c>
      <c r="D1145" s="248">
        <v>3.9237472614520796E-3</v>
      </c>
      <c r="E1145" s="248">
        <v>4.0904523286616401E-3</v>
      </c>
      <c r="F1145" s="248">
        <v>4.8861812805232104E-3</v>
      </c>
      <c r="G1145" s="248">
        <v>4.7926487646221903E-3</v>
      </c>
      <c r="H1145" s="735">
        <v>3.3998747287264002E-3</v>
      </c>
      <c r="I1145" s="735">
        <v>2.0035099006702399E-3</v>
      </c>
      <c r="J1145" s="735">
        <v>3.4608948119840498E-3</v>
      </c>
      <c r="L1145" s="84"/>
      <c r="M1145" s="84"/>
      <c r="N1145" s="84"/>
      <c r="O1145" s="84"/>
      <c r="P1145" s="84"/>
      <c r="Q1145" s="84"/>
      <c r="R1145" s="84"/>
      <c r="S1145" s="84"/>
    </row>
    <row r="1146" spans="1:19">
      <c r="A1146" s="629" t="s">
        <v>3971</v>
      </c>
      <c r="B1146" s="248">
        <v>2.8705859645445698E-3</v>
      </c>
      <c r="C1146" s="248">
        <v>3.73900699469704E-3</v>
      </c>
      <c r="D1146" s="248">
        <v>3.4267626897847101E-3</v>
      </c>
      <c r="E1146" s="248">
        <v>3.5650027209160702E-3</v>
      </c>
      <c r="F1146" s="248">
        <v>4.8312203935725303E-3</v>
      </c>
      <c r="G1146" s="248">
        <v>4.6052035000154097E-3</v>
      </c>
      <c r="H1146" s="735">
        <v>2.9728637936967798E-3</v>
      </c>
      <c r="I1146" s="735">
        <v>1.8230639132560101E-3</v>
      </c>
      <c r="J1146" s="735">
        <v>3.0254768702586898E-3</v>
      </c>
      <c r="L1146" s="84"/>
      <c r="M1146" s="84"/>
      <c r="N1146" s="84"/>
      <c r="O1146" s="84"/>
      <c r="P1146" s="84"/>
      <c r="Q1146" s="84"/>
      <c r="R1146" s="84"/>
      <c r="S1146" s="84"/>
    </row>
    <row r="1147" spans="1:19">
      <c r="A1147" s="629" t="s">
        <v>4009</v>
      </c>
      <c r="B1147" s="248">
        <v>2.8689848562388699E-3</v>
      </c>
      <c r="C1147" s="248">
        <v>5.7881624307235102E-3</v>
      </c>
      <c r="D1147" s="248">
        <v>2.77725363270836E-3</v>
      </c>
      <c r="E1147" s="248">
        <v>3.1611298350452E-3</v>
      </c>
      <c r="F1147" s="248">
        <v>5.1499364085821403E-3</v>
      </c>
      <c r="G1147" s="248">
        <v>4.8042593444815396E-3</v>
      </c>
      <c r="H1147" s="735">
        <v>2.59997487944177E-3</v>
      </c>
      <c r="I1147" s="735">
        <v>2.1154836904148599E-3</v>
      </c>
      <c r="J1147" s="735">
        <v>2.64308989129549E-3</v>
      </c>
      <c r="L1147" s="84"/>
      <c r="M1147" s="84"/>
      <c r="N1147" s="84"/>
      <c r="O1147" s="84"/>
      <c r="P1147" s="84"/>
      <c r="Q1147" s="84"/>
      <c r="R1147" s="84"/>
      <c r="S1147" s="84"/>
    </row>
    <row r="1148" spans="1:19">
      <c r="A1148" s="629" t="s">
        <v>4010</v>
      </c>
      <c r="B1148" s="248">
        <v>5.2464733088897E-3</v>
      </c>
      <c r="C1148" s="248">
        <v>3.8243755568977801E-3</v>
      </c>
      <c r="D1148" s="248">
        <v>6.6157368238900296E-3</v>
      </c>
      <c r="E1148" s="248">
        <v>4.5019136174534796E-3</v>
      </c>
      <c r="F1148" s="248">
        <v>6.0806033656516899E-3</v>
      </c>
      <c r="G1148" s="248">
        <v>5.6515398576725204E-3</v>
      </c>
      <c r="H1148" s="735">
        <v>2.4056986031693699E-3</v>
      </c>
      <c r="I1148" s="735">
        <v>2.949918764182E-3</v>
      </c>
      <c r="J1148" s="735">
        <v>2.4422977922815398E-3</v>
      </c>
      <c r="L1148" s="84"/>
      <c r="M1148" s="84"/>
      <c r="N1148" s="84"/>
      <c r="O1148" s="84"/>
      <c r="P1148" s="84"/>
      <c r="Q1148" s="84"/>
      <c r="R1148" s="84"/>
      <c r="S1148" s="84"/>
    </row>
    <row r="1149" spans="1:19">
      <c r="A1149" s="629" t="s">
        <v>4011</v>
      </c>
      <c r="B1149" s="248">
        <v>4.7777904248141601E-3</v>
      </c>
      <c r="C1149" s="248">
        <v>3.4213508459678501E-3</v>
      </c>
      <c r="D1149" s="248">
        <v>6.54820336823093E-3</v>
      </c>
      <c r="E1149" s="248">
        <v>3.8446858353664601E-3</v>
      </c>
      <c r="F1149" s="248">
        <v>5.58721316562756E-3</v>
      </c>
      <c r="G1149" s="248">
        <v>5.1522159569242403E-3</v>
      </c>
      <c r="H1149" s="735">
        <v>2.3490258374721301E-3</v>
      </c>
      <c r="I1149" s="735">
        <v>2.76108111718649E-3</v>
      </c>
      <c r="J1149" s="735">
        <v>2.3829759056209899E-3</v>
      </c>
      <c r="L1149" s="84"/>
      <c r="M1149" s="84"/>
      <c r="N1149" s="84"/>
      <c r="O1149" s="84"/>
      <c r="P1149" s="84"/>
      <c r="Q1149" s="84"/>
      <c r="R1149" s="84"/>
      <c r="S1149" s="84"/>
    </row>
    <row r="1150" spans="1:19">
      <c r="A1150" s="629" t="s">
        <v>4012</v>
      </c>
      <c r="B1150" s="248">
        <v>4.5030528111175902E-3</v>
      </c>
      <c r="C1150" s="248">
        <v>2.8953948475513602E-3</v>
      </c>
      <c r="D1150" s="248">
        <v>4.5252375755806401E-3</v>
      </c>
      <c r="E1150" s="248">
        <v>3.4160300373768399E-3</v>
      </c>
      <c r="F1150" s="248">
        <v>5.7520889384778699E-3</v>
      </c>
      <c r="G1150" s="248">
        <v>4.9819143635533103E-3</v>
      </c>
      <c r="H1150" s="735">
        <v>2.04893573397008E-3</v>
      </c>
      <c r="I1150" s="735">
        <v>2.5619627887628299E-3</v>
      </c>
      <c r="J1150" s="735">
        <v>2.0752900203541398E-3</v>
      </c>
      <c r="L1150" s="84"/>
      <c r="M1150" s="84"/>
      <c r="N1150" s="84"/>
      <c r="O1150" s="84"/>
      <c r="P1150" s="84"/>
      <c r="Q1150" s="84"/>
      <c r="R1150" s="84"/>
      <c r="S1150" s="84"/>
    </row>
    <row r="1151" spans="1:19">
      <c r="A1151" s="629" t="s">
        <v>4013</v>
      </c>
      <c r="B1151" s="248">
        <v>4.2050489610347703E-3</v>
      </c>
      <c r="C1151" s="248">
        <v>3.8590954846132001E-3</v>
      </c>
      <c r="D1151" s="248">
        <v>3.9061862434579099E-3</v>
      </c>
      <c r="E1151" s="248">
        <v>3.01258315519867E-3</v>
      </c>
      <c r="F1151" s="248">
        <v>5.2959323401688798E-3</v>
      </c>
      <c r="G1151" s="248">
        <v>4.5484367275780398E-3</v>
      </c>
      <c r="H1151" s="735">
        <v>1.8324592604741399E-3</v>
      </c>
      <c r="I1151" s="735">
        <v>2.37225774263122E-3</v>
      </c>
      <c r="J1151" s="735">
        <v>1.8519007883665999E-3</v>
      </c>
      <c r="L1151" s="84"/>
      <c r="M1151" s="84"/>
      <c r="N1151" s="84"/>
      <c r="O1151" s="84"/>
      <c r="P1151" s="84"/>
      <c r="Q1151" s="84"/>
      <c r="R1151" s="84"/>
      <c r="S1151" s="84"/>
    </row>
    <row r="1152" spans="1:19">
      <c r="A1152" s="629" t="s">
        <v>4058</v>
      </c>
      <c r="B1152" s="248">
        <v>3.7830210427935002E-3</v>
      </c>
      <c r="C1152" s="248">
        <v>3.3374493818697599E-3</v>
      </c>
      <c r="D1152" s="248">
        <v>2.9815131855669302E-3</v>
      </c>
      <c r="E1152" s="248">
        <v>2.6723720808858702E-3</v>
      </c>
      <c r="F1152" s="248">
        <v>4.8981979010592801E-3</v>
      </c>
      <c r="G1152" s="248">
        <v>4.2029177872718402E-3</v>
      </c>
      <c r="H1152" s="735">
        <v>1.65985126446173E-3</v>
      </c>
      <c r="I1152" s="735">
        <v>2.2353094732810298E-3</v>
      </c>
      <c r="J1152" s="735">
        <v>1.6730875255937801E-3</v>
      </c>
      <c r="L1152" s="84"/>
      <c r="M1152" s="84"/>
      <c r="N1152" s="84"/>
      <c r="O1152" s="84"/>
      <c r="P1152" s="84"/>
      <c r="Q1152" s="84"/>
      <c r="R1152" s="84"/>
      <c r="S1152" s="84"/>
    </row>
    <row r="1153" spans="1:19">
      <c r="A1153" s="629" t="s">
        <v>4091</v>
      </c>
      <c r="B1153" s="248">
        <v>3.4194839758376898E-3</v>
      </c>
      <c r="C1153" s="248">
        <v>3.1800812752946E-3</v>
      </c>
      <c r="D1153" s="248">
        <v>2.4504365668910101E-3</v>
      </c>
      <c r="E1153" s="248">
        <v>2.4616384347932001E-3</v>
      </c>
      <c r="F1153" s="248">
        <v>4.6118161859793104E-3</v>
      </c>
      <c r="G1153" s="248">
        <v>4.2428435271694397E-3</v>
      </c>
      <c r="H1153" s="735">
        <v>1.55613063869699E-3</v>
      </c>
      <c r="I1153" s="735">
        <v>2.12578580580202E-3</v>
      </c>
      <c r="J1153" s="735">
        <v>1.5633075958617099E-3</v>
      </c>
      <c r="L1153" s="84"/>
      <c r="M1153" s="84"/>
      <c r="N1153" s="84"/>
      <c r="O1153" s="84"/>
      <c r="P1153" s="84"/>
      <c r="Q1153" s="84"/>
      <c r="R1153" s="84"/>
      <c r="S1153" s="84"/>
    </row>
    <row r="1154" spans="1:19">
      <c r="A1154" s="629" t="s">
        <v>4092</v>
      </c>
      <c r="B1154" s="248">
        <v>4.2103680299811104E-3</v>
      </c>
      <c r="C1154" s="248">
        <v>3.7389117465238E-3</v>
      </c>
      <c r="D1154" s="248">
        <v>2.2920137033391299E-3</v>
      </c>
      <c r="E1154" s="248">
        <v>3.76663734321482E-3</v>
      </c>
      <c r="F1154" s="248">
        <v>5.7070718485077903E-3</v>
      </c>
      <c r="G1154" s="248">
        <v>4.4567148795414801E-3</v>
      </c>
      <c r="H1154" s="735">
        <v>1.7589388205149401E-3</v>
      </c>
      <c r="I1154" s="735">
        <v>2.39519324099803E-3</v>
      </c>
      <c r="J1154" s="735">
        <v>1.76947275729174E-3</v>
      </c>
      <c r="L1154" s="84"/>
      <c r="M1154" s="84"/>
      <c r="N1154" s="84"/>
      <c r="O1154" s="84"/>
      <c r="P1154" s="84"/>
      <c r="Q1154" s="84"/>
      <c r="R1154" s="84"/>
      <c r="S1154" s="84"/>
    </row>
    <row r="1155" spans="1:19">
      <c r="A1155" s="629" t="s">
        <v>4121</v>
      </c>
      <c r="B1155" s="248">
        <v>3.8804523062939099E-3</v>
      </c>
      <c r="C1155" s="248">
        <v>4.2836518134863801E-3</v>
      </c>
      <c r="D1155" s="248">
        <v>2.2609099459936499E-3</v>
      </c>
      <c r="E1155" s="248">
        <v>3.2981381355648301E-3</v>
      </c>
      <c r="F1155" s="248">
        <v>5.3530759794195703E-3</v>
      </c>
      <c r="G1155" s="248">
        <v>4.1035177284996201E-3</v>
      </c>
      <c r="H1155" s="735">
        <v>2.0848801782472099E-3</v>
      </c>
      <c r="I1155" s="735">
        <v>2.3234770692831599E-3</v>
      </c>
      <c r="J1155" s="735">
        <v>2.0932494666535302E-3</v>
      </c>
      <c r="L1155" s="84"/>
      <c r="M1155" s="84"/>
      <c r="N1155" s="84"/>
      <c r="O1155" s="84"/>
      <c r="P1155" s="84"/>
      <c r="Q1155" s="84"/>
      <c r="R1155" s="84"/>
      <c r="S1155" s="84"/>
    </row>
    <row r="1156" spans="1:19">
      <c r="A1156" s="629" t="s">
        <v>4344</v>
      </c>
      <c r="B1156" s="248">
        <v>3.5338979699938498E-3</v>
      </c>
      <c r="C1156" s="248">
        <v>3.5320684425203899E-3</v>
      </c>
      <c r="D1156" s="248">
        <v>2.0850985294219998E-3</v>
      </c>
      <c r="E1156" s="248">
        <v>3.2096252546508401E-3</v>
      </c>
      <c r="F1156" s="248">
        <v>5.0831446064774398E-3</v>
      </c>
      <c r="G1156" s="248">
        <v>4.0041535760605403E-3</v>
      </c>
      <c r="H1156" s="735">
        <v>1.8607075945253401E-3</v>
      </c>
      <c r="I1156" s="735">
        <v>2.1332227534002898E-3</v>
      </c>
      <c r="J1156" s="735">
        <v>1.86496808310318E-3</v>
      </c>
      <c r="L1156" s="84"/>
      <c r="M1156" s="84"/>
      <c r="N1156" s="84"/>
      <c r="O1156" s="84"/>
      <c r="P1156" s="84"/>
      <c r="Q1156" s="84"/>
      <c r="R1156" s="84"/>
      <c r="S1156" s="84"/>
    </row>
    <row r="1157" spans="1:19">
      <c r="A1157" s="629" t="s">
        <v>4345</v>
      </c>
      <c r="B1157" s="248">
        <v>5.5147679333089703E-3</v>
      </c>
      <c r="C1157" s="248">
        <v>5.9134349809828804E-3</v>
      </c>
      <c r="D1157" s="248">
        <v>7.1545718860995203E-3</v>
      </c>
      <c r="E1157" s="248">
        <v>4.7590553604143502E-3</v>
      </c>
      <c r="F1157" s="733">
        <v>7.2320336565690497E-3</v>
      </c>
      <c r="G1157" s="248">
        <v>4.5310045706368398E-3</v>
      </c>
      <c r="H1157" s="735">
        <v>1.83161258753109E-3</v>
      </c>
      <c r="I1157" s="735">
        <v>2.79297169417349E-3</v>
      </c>
      <c r="J1157" s="735">
        <v>1.8332504829858801E-3</v>
      </c>
      <c r="L1157" s="84"/>
      <c r="M1157" s="84"/>
      <c r="N1157" s="84"/>
      <c r="O1157" s="84"/>
      <c r="P1157" s="84"/>
      <c r="Q1157" s="84"/>
      <c r="R1157" s="84"/>
      <c r="S1157" s="84"/>
    </row>
    <row r="1158" spans="1:19">
      <c r="A1158" s="629" t="s">
        <v>4346</v>
      </c>
      <c r="B1158" s="248">
        <v>4.8969518964601397E-3</v>
      </c>
      <c r="C1158" s="248">
        <v>4.1243447260229903E-3</v>
      </c>
      <c r="D1158" s="248">
        <v>5.4130548468156597E-3</v>
      </c>
      <c r="E1158" s="248">
        <v>4.1471538089737098E-3</v>
      </c>
      <c r="F1158" s="248">
        <v>6.5840146011587903E-3</v>
      </c>
      <c r="G1158" s="248">
        <v>4.1339408352664602E-3</v>
      </c>
      <c r="H1158" s="735">
        <v>2.0792482290931799E-3</v>
      </c>
      <c r="I1158" s="735">
        <v>2.65851425078904E-3</v>
      </c>
      <c r="J1158" s="735">
        <v>2.08503885705667E-3</v>
      </c>
      <c r="L1158" s="84"/>
      <c r="M1158" s="84"/>
      <c r="N1158" s="84"/>
      <c r="O1158" s="84"/>
      <c r="P1158" s="84"/>
      <c r="Q1158" s="84"/>
      <c r="R1158" s="84"/>
      <c r="S1158" s="84"/>
    </row>
    <row r="1159" spans="1:19">
      <c r="A1159" s="629" t="s">
        <v>4347</v>
      </c>
      <c r="B1159" s="248">
        <v>4.3881779076335899E-3</v>
      </c>
      <c r="C1159" s="248">
        <v>4.3503463951411903E-3</v>
      </c>
      <c r="D1159" s="248">
        <v>3.6998821979153601E-3</v>
      </c>
      <c r="E1159" s="248">
        <v>4.5806293212865799E-3</v>
      </c>
      <c r="F1159" s="248">
        <v>6.1905411978893697E-3</v>
      </c>
      <c r="G1159" s="248">
        <v>3.7896981851003701E-3</v>
      </c>
      <c r="H1159" s="735">
        <v>1.9951513189556801E-3</v>
      </c>
      <c r="I1159" s="735">
        <v>2.5537344367857402E-3</v>
      </c>
      <c r="J1159" s="735">
        <v>2.0013937020897702E-3</v>
      </c>
      <c r="L1159" s="84"/>
      <c r="M1159" s="84"/>
      <c r="N1159" s="84"/>
      <c r="O1159" s="84"/>
      <c r="P1159" s="84"/>
      <c r="Q1159" s="84"/>
      <c r="R1159" s="84"/>
      <c r="S1159" s="84"/>
    </row>
    <row r="1160" spans="1:19">
      <c r="A1160" s="629" t="s">
        <v>4348</v>
      </c>
      <c r="B1160" s="248">
        <v>4.5167473110409497E-3</v>
      </c>
      <c r="C1160" s="248">
        <v>3.7514044785531102E-3</v>
      </c>
      <c r="D1160" s="248">
        <v>5.8261337413327702E-3</v>
      </c>
      <c r="E1160" s="248">
        <v>3.9322324270909701E-3</v>
      </c>
      <c r="F1160" s="248">
        <v>5.7618120690465296E-3</v>
      </c>
      <c r="G1160" s="248">
        <v>3.9845104713670202E-3</v>
      </c>
      <c r="H1160" s="735">
        <v>2.0268947326370201E-3</v>
      </c>
      <c r="I1160" s="735">
        <v>3.2753066417136999E-3</v>
      </c>
      <c r="J1160" s="735">
        <v>2.0298352358943798E-3</v>
      </c>
      <c r="L1160" s="84"/>
      <c r="M1160" s="84"/>
      <c r="N1160" s="84"/>
      <c r="O1160" s="84"/>
      <c r="P1160" s="84"/>
      <c r="Q1160" s="84"/>
      <c r="R1160" s="84"/>
      <c r="S1160" s="84"/>
    </row>
    <row r="1161" spans="1:19">
      <c r="A1161" s="629" t="s">
        <v>4349</v>
      </c>
      <c r="B1161" s="248">
        <v>4.4440346421789302E-3</v>
      </c>
      <c r="C1161" s="248">
        <v>4.0516908377560903E-3</v>
      </c>
      <c r="D1161" s="248">
        <v>6.3146362483957399E-3</v>
      </c>
      <c r="E1161" s="248">
        <v>4.0743838862665801E-3</v>
      </c>
      <c r="F1161" s="248">
        <v>5.6027737979453002E-3</v>
      </c>
      <c r="G1161" s="248">
        <v>3.64689396920659E-3</v>
      </c>
      <c r="H1161" s="735">
        <v>2.2766368636197099E-3</v>
      </c>
      <c r="I1161" s="735">
        <v>3.1893885617907901E-3</v>
      </c>
      <c r="J1161" s="735">
        <v>2.28563089133741E-3</v>
      </c>
      <c r="L1161" s="84"/>
      <c r="M1161" s="84"/>
      <c r="N1161" s="84"/>
      <c r="O1161" s="84"/>
      <c r="P1161" s="84"/>
      <c r="Q1161" s="84"/>
      <c r="R1161" s="84"/>
      <c r="S1161" s="84"/>
    </row>
    <row r="1162" spans="1:19">
      <c r="A1162" s="629" t="s">
        <v>4350</v>
      </c>
      <c r="B1162" s="248">
        <v>4.0039166602559902E-3</v>
      </c>
      <c r="C1162" s="248">
        <v>3.73046918280465E-3</v>
      </c>
      <c r="D1162" s="248">
        <v>5.9343616391898104E-3</v>
      </c>
      <c r="E1162" s="248">
        <v>5.4851890298680001E-3</v>
      </c>
      <c r="F1162" s="248">
        <v>5.14695305681753E-3</v>
      </c>
      <c r="G1162" s="248">
        <v>3.80677643970355E-3</v>
      </c>
      <c r="H1162" s="735">
        <v>1.9892155646619898E-3</v>
      </c>
      <c r="I1162" s="735">
        <v>2.9600974763078899E-3</v>
      </c>
      <c r="J1162" s="735">
        <v>1.9948655823345501E-3</v>
      </c>
      <c r="L1162" s="84"/>
      <c r="M1162" s="84"/>
      <c r="N1162" s="84"/>
      <c r="O1162" s="84"/>
      <c r="P1162" s="84"/>
      <c r="Q1162" s="84"/>
      <c r="R1162" s="84"/>
      <c r="S1162" s="84"/>
    </row>
    <row r="1163" spans="1:19">
      <c r="A1163" s="629" t="s">
        <v>4351</v>
      </c>
      <c r="B1163" s="248">
        <v>3.8240764730942001E-3</v>
      </c>
      <c r="C1163" s="248">
        <v>3.2365560441141501E-3</v>
      </c>
      <c r="D1163" s="248">
        <v>5.62749393076061E-3</v>
      </c>
      <c r="E1163" s="248">
        <v>4.7515710782696603E-3</v>
      </c>
      <c r="F1163" s="248">
        <v>5.3279415838482303E-3</v>
      </c>
      <c r="G1163" s="248">
        <v>3.6980933843886801E-3</v>
      </c>
      <c r="H1163" s="735">
        <v>2.66035896159964E-3</v>
      </c>
      <c r="I1163" s="735">
        <v>2.9993757998136501E-3</v>
      </c>
      <c r="J1163" s="735">
        <v>2.68002373746303E-3</v>
      </c>
      <c r="L1163" s="84"/>
      <c r="M1163" s="84"/>
      <c r="N1163" s="84"/>
      <c r="O1163" s="84"/>
      <c r="P1163" s="84"/>
      <c r="Q1163" s="84"/>
      <c r="R1163" s="84"/>
      <c r="S1163" s="84"/>
    </row>
    <row r="1164" spans="1:19">
      <c r="A1164" s="629" t="s">
        <v>4352</v>
      </c>
      <c r="B1164" s="248">
        <v>3.9613525235185102E-3</v>
      </c>
      <c r="C1164" s="248">
        <v>2.9723618352155202E-3</v>
      </c>
      <c r="D1164" s="248">
        <v>4.1357130060784199E-3</v>
      </c>
      <c r="E1164" s="248">
        <v>4.0540512446443104E-3</v>
      </c>
      <c r="F1164" s="248">
        <v>4.9359950039436504E-3</v>
      </c>
      <c r="G1164" s="248">
        <v>3.38718497893756E-3</v>
      </c>
      <c r="H1164" s="735">
        <v>3.1701911177796E-3</v>
      </c>
      <c r="I1164" s="735">
        <v>2.90037598128073E-3</v>
      </c>
      <c r="J1164" s="735">
        <v>3.1958011892622398E-3</v>
      </c>
      <c r="L1164" s="84"/>
      <c r="M1164" s="84"/>
      <c r="N1164" s="84"/>
      <c r="O1164" s="84"/>
      <c r="P1164" s="84"/>
      <c r="Q1164" s="84"/>
      <c r="R1164" s="84"/>
      <c r="S1164" s="84"/>
    </row>
    <row r="1165" spans="1:19">
      <c r="A1165" s="629" t="s">
        <v>4353</v>
      </c>
      <c r="B1165" s="248">
        <v>4.08342094019103E-3</v>
      </c>
      <c r="C1165" s="248">
        <v>3.3209026504693699E-3</v>
      </c>
      <c r="D1165" s="248">
        <v>3.4484542828913502E-3</v>
      </c>
      <c r="E1165" s="248">
        <v>5.3184617353398099E-3</v>
      </c>
      <c r="F1165" s="248">
        <v>5.1924225414610196E-3</v>
      </c>
      <c r="G1165" s="248">
        <v>3.66639735290398E-3</v>
      </c>
      <c r="H1165" s="735">
        <v>3.0911897641926599E-3</v>
      </c>
      <c r="I1165" s="735">
        <v>2.58319604381434E-3</v>
      </c>
      <c r="J1165" s="735">
        <v>3.1162907084225102E-3</v>
      </c>
      <c r="L1165" s="84"/>
      <c r="M1165" s="84"/>
      <c r="N1165" s="84"/>
      <c r="O1165" s="84"/>
      <c r="P1165" s="84"/>
      <c r="Q1165" s="84"/>
      <c r="R1165" s="84"/>
      <c r="S1165" s="84"/>
    </row>
    <row r="1166" spans="1:19">
      <c r="A1166" s="629" t="s">
        <v>4556</v>
      </c>
      <c r="B1166" s="248">
        <v>4.99061724615404E-3</v>
      </c>
      <c r="C1166" s="248">
        <v>6.2155659058959097E-3</v>
      </c>
      <c r="D1166" s="248">
        <v>1.05904822778873E-2</v>
      </c>
      <c r="E1166" s="248">
        <v>5.7167468593684002E-3</v>
      </c>
      <c r="F1166" s="248">
        <v>5.9373590881565503E-3</v>
      </c>
      <c r="G1166" s="248">
        <v>4.39776168216356E-3</v>
      </c>
      <c r="H1166" s="735">
        <v>4.0843863516413E-3</v>
      </c>
      <c r="I1166" s="735">
        <v>3.8926540309324898E-3</v>
      </c>
      <c r="J1166" s="735">
        <v>4.1235438585910502E-3</v>
      </c>
      <c r="L1166" s="84"/>
      <c r="M1166" s="84"/>
      <c r="N1166" s="84"/>
      <c r="O1166" s="84"/>
      <c r="P1166" s="84"/>
      <c r="Q1166" s="84"/>
      <c r="R1166" s="84"/>
      <c r="S1166" s="84"/>
    </row>
    <row r="1167" spans="1:19">
      <c r="A1167" s="629" t="s">
        <v>4557</v>
      </c>
      <c r="B1167" s="248">
        <v>4.5392917611544103E-3</v>
      </c>
      <c r="C1167" s="248">
        <v>8.0562298259941306E-3</v>
      </c>
      <c r="D1167" s="248">
        <v>6.46533959515569E-3</v>
      </c>
      <c r="E1167" s="248">
        <v>6.2406122194119803E-3</v>
      </c>
      <c r="F1167" s="248">
        <v>5.9020344916543904E-3</v>
      </c>
      <c r="G1167" s="248">
        <v>5.21238575745949E-3</v>
      </c>
      <c r="H1167" s="735">
        <v>4.1724718657665198E-3</v>
      </c>
      <c r="I1167" s="735">
        <v>3.4509898658304301E-3</v>
      </c>
      <c r="J1167" s="735">
        <v>4.2232815652090997E-3</v>
      </c>
      <c r="L1167" s="84"/>
      <c r="M1167" s="84"/>
      <c r="N1167" s="84"/>
      <c r="O1167" s="84"/>
      <c r="P1167" s="84"/>
      <c r="Q1167" s="84"/>
      <c r="R1167" s="84"/>
      <c r="S1167" s="84"/>
    </row>
    <row r="1168" spans="1:19">
      <c r="A1168" s="629" t="s">
        <v>4558</v>
      </c>
      <c r="B1168" s="248">
        <v>5.5674698899313502E-3</v>
      </c>
      <c r="C1168" s="248">
        <v>6.6201482413446502E-3</v>
      </c>
      <c r="D1168" s="248">
        <v>6.3570725045669898E-3</v>
      </c>
      <c r="E1168" s="248">
        <v>5.3204378313175902E-3</v>
      </c>
      <c r="F1168" s="248">
        <v>6.3138681967106003E-3</v>
      </c>
      <c r="G1168" s="248">
        <v>5.01182904834229E-3</v>
      </c>
      <c r="H1168" s="735">
        <v>3.7529121141123799E-3</v>
      </c>
      <c r="I1168" s="735">
        <v>3.4473051514052398E-3</v>
      </c>
      <c r="J1168" s="735">
        <v>3.80572407601746E-3</v>
      </c>
      <c r="L1168" s="84"/>
      <c r="M1168" s="84"/>
      <c r="N1168" s="84"/>
      <c r="O1168" s="84"/>
      <c r="P1168" s="84"/>
      <c r="Q1168" s="84"/>
      <c r="R1168" s="84"/>
      <c r="S1168" s="84"/>
    </row>
    <row r="1169" spans="1:19">
      <c r="B1169" s="248"/>
      <c r="C1169" s="248"/>
      <c r="D1169" s="248"/>
      <c r="E1169" s="248"/>
      <c r="F1169" s="248"/>
      <c r="G1169" s="248"/>
      <c r="H1169" s="735"/>
      <c r="I1169" s="735"/>
      <c r="J1169" s="735"/>
      <c r="L1169" s="84"/>
      <c r="M1169" s="84"/>
      <c r="N1169" s="84"/>
      <c r="O1169" s="84"/>
      <c r="P1169" s="84"/>
      <c r="Q1169" s="84"/>
      <c r="R1169" s="84"/>
      <c r="S1169" s="84"/>
    </row>
    <row r="1171" spans="1:19">
      <c r="A1171" s="629" t="s">
        <v>1435</v>
      </c>
      <c r="B1171" s="248">
        <f t="shared" ref="B1171:J1171" si="0">AVERAGE(B5:B1168)</f>
        <v>3.4214079671306117E-3</v>
      </c>
      <c r="C1171" s="248">
        <f t="shared" si="0"/>
        <v>3.8969337988025553E-3</v>
      </c>
      <c r="D1171" s="248">
        <f t="shared" si="0"/>
        <v>4.8549820240255722E-3</v>
      </c>
      <c r="E1171" s="248">
        <f t="shared" si="0"/>
        <v>3.3196893354845531E-3</v>
      </c>
      <c r="F1171" s="248">
        <f t="shared" si="0"/>
        <v>3.7201554010693025E-3</v>
      </c>
      <c r="G1171" s="248">
        <f t="shared" si="0"/>
        <v>7.0575935178436092E-3</v>
      </c>
      <c r="H1171" s="248">
        <f t="shared" si="0"/>
        <v>2.8147181437054828E-3</v>
      </c>
      <c r="I1171" s="248">
        <f t="shared" si="0"/>
        <v>2.9751723660280641E-3</v>
      </c>
      <c r="J1171" s="248">
        <f t="shared" si="0"/>
        <v>2.8636529261192611E-3</v>
      </c>
      <c r="L1171" s="630"/>
    </row>
    <row r="1173" spans="1:19">
      <c r="A1173" s="629" t="s">
        <v>1436</v>
      </c>
      <c r="B1173" s="248">
        <f t="shared" ref="B1173:J1173" si="1">B1168</f>
        <v>5.5674698899313502E-3</v>
      </c>
      <c r="C1173" s="248">
        <f t="shared" si="1"/>
        <v>6.6201482413446502E-3</v>
      </c>
      <c r="D1173" s="248">
        <f t="shared" si="1"/>
        <v>6.3570725045669898E-3</v>
      </c>
      <c r="E1173" s="248">
        <f t="shared" si="1"/>
        <v>5.3204378313175902E-3</v>
      </c>
      <c r="F1173" s="248">
        <f t="shared" si="1"/>
        <v>6.3138681967106003E-3</v>
      </c>
      <c r="G1173" s="248">
        <f t="shared" si="1"/>
        <v>5.01182904834229E-3</v>
      </c>
      <c r="H1173" s="248">
        <f t="shared" si="1"/>
        <v>3.7529121141123799E-3</v>
      </c>
      <c r="I1173" s="248">
        <f t="shared" si="1"/>
        <v>3.4473051514052398E-3</v>
      </c>
      <c r="J1173" s="248">
        <f t="shared" si="1"/>
        <v>3.80572407601746E-3</v>
      </c>
      <c r="L1173" s="630"/>
    </row>
    <row r="1174" spans="1:19" ht="16.5" thickBot="1">
      <c r="H1174" s="630"/>
      <c r="I1174" s="630"/>
      <c r="J1174" s="630"/>
    </row>
    <row r="1175" spans="1:19" ht="16.5" thickBot="1">
      <c r="A1175" s="631" t="s">
        <v>196</v>
      </c>
      <c r="B1175" s="632">
        <v>2.2554940000000001</v>
      </c>
      <c r="C1175" s="632">
        <v>2.1388259999999999</v>
      </c>
      <c r="D1175" s="632">
        <v>0.83002699999999996</v>
      </c>
      <c r="E1175" s="632">
        <v>1.484569</v>
      </c>
      <c r="F1175" s="632">
        <v>3.291407</v>
      </c>
      <c r="G1175" s="632">
        <v>0.94654400000000005</v>
      </c>
      <c r="H1175" s="632">
        <v>3.0661700000000001</v>
      </c>
      <c r="I1175" s="632">
        <v>1.519771</v>
      </c>
      <c r="J1175" s="736">
        <v>2.720758</v>
      </c>
    </row>
    <row r="1176" spans="1:19">
      <c r="H1176" s="248"/>
      <c r="I1176" s="248"/>
      <c r="J1176" s="248"/>
    </row>
    <row r="1177" spans="1:19">
      <c r="A1177" s="629" t="s">
        <v>1437</v>
      </c>
      <c r="B1177" s="218"/>
      <c r="C1177" s="218"/>
      <c r="D1177" s="218"/>
      <c r="E1177" s="218"/>
      <c r="F1177" s="218"/>
      <c r="G1177" s="218"/>
      <c r="H1177" s="248">
        <f>(1+(H1175*H1171))^12-1</f>
        <v>0.1086249941850308</v>
      </c>
      <c r="I1177" s="248">
        <f>(1+(I1175*I1171))^12-1</f>
        <v>5.5628863564424424E-2</v>
      </c>
      <c r="J1177" s="248">
        <f>(1+(J1175*J1171))^12-1</f>
        <v>9.7608073355892389E-2</v>
      </c>
    </row>
    <row r="1179" spans="1:19">
      <c r="A1179" s="629" t="s">
        <v>1438</v>
      </c>
      <c r="B1179" s="218"/>
      <c r="C1179" s="218"/>
      <c r="D1179" s="218"/>
      <c r="E1179" s="218"/>
      <c r="F1179" s="218"/>
      <c r="G1179" s="218"/>
      <c r="H1179" s="248">
        <f>(1+(H1175*H1173))^12-1</f>
        <v>0.14716807925997766</v>
      </c>
      <c r="I1179" s="248">
        <f>(1+(I1175*I1173))^12-1</f>
        <v>6.471297502367257E-2</v>
      </c>
      <c r="J1179" s="248">
        <f>(1+(J1175*J1173))^12-1</f>
        <v>0.13157964080511197</v>
      </c>
    </row>
    <row r="1181" spans="1:19">
      <c r="A1181" s="629" t="s">
        <v>1439</v>
      </c>
      <c r="B1181" s="630"/>
      <c r="C1181" s="630"/>
      <c r="D1181" s="630"/>
      <c r="E1181" s="630"/>
      <c r="F1181" s="630"/>
      <c r="G1181" s="630"/>
      <c r="H1181" s="630">
        <f>AVERAGE(H1177:H1179)</f>
        <v>0.12789653672250423</v>
      </c>
      <c r="I1181" s="630">
        <f>AVERAGE(I1177:I1179)</f>
        <v>6.0170919294048497E-2</v>
      </c>
      <c r="J1181" s="630">
        <f>AVERAGE(J1177:J1179)</f>
        <v>0.11459385708050218</v>
      </c>
    </row>
    <row r="1187" spans="2:7">
      <c r="B1187" s="630"/>
      <c r="C1187" s="630"/>
      <c r="D1187" s="630"/>
      <c r="E1187" s="630"/>
      <c r="F1187" s="630"/>
      <c r="G1187" s="630"/>
    </row>
    <row r="1188" spans="2:7">
      <c r="B1188" s="630"/>
      <c r="C1188" s="630"/>
      <c r="D1188" s="630"/>
      <c r="E1188" s="630"/>
      <c r="F1188" s="630"/>
      <c r="G1188" s="630"/>
    </row>
  </sheetData>
  <phoneticPr fontId="73" type="noConversion"/>
  <pageMargins left="0.7" right="0.7" top="0.75" bottom="0.75" header="0.3" footer="0.3"/>
  <pageSetup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HO102"/>
  <sheetViews>
    <sheetView view="pageBreakPreview" topLeftCell="Q1" zoomScale="70" zoomScaleNormal="70" zoomScaleSheetLayoutView="70" workbookViewId="0"/>
  </sheetViews>
  <sheetFormatPr defaultColWidth="9" defaultRowHeight="20.25"/>
  <cols>
    <col min="1" max="1" width="36.28515625" style="196" customWidth="1"/>
    <col min="2" max="2" width="15.28515625" style="196" bestFit="1" customWidth="1"/>
    <col min="3" max="3" width="12.28515625" style="196" customWidth="1"/>
    <col min="4" max="4" width="1.28515625" style="196" customWidth="1"/>
    <col min="5" max="5" width="12.28515625" style="196" customWidth="1"/>
    <col min="6" max="6" width="2.5703125" style="196" customWidth="1"/>
    <col min="7" max="7" width="12.28515625" style="196" customWidth="1"/>
    <col min="8" max="8" width="3" style="196" customWidth="1"/>
    <col min="9" max="9" width="12.28515625" style="196" customWidth="1"/>
    <col min="10" max="10" width="10.5703125" style="196" bestFit="1" customWidth="1"/>
    <col min="11" max="11" width="12.28515625" style="196" customWidth="1"/>
    <col min="12" max="12" width="2" style="196" customWidth="1"/>
    <col min="13" max="14" width="12.28515625" style="196" customWidth="1"/>
    <col min="15" max="16" width="9" style="196"/>
    <col min="17" max="17" width="53.28515625" style="765" customWidth="1"/>
    <col min="18" max="18" width="2.7109375" style="765" customWidth="1"/>
    <col min="19" max="19" width="17.5703125" style="765" bestFit="1" customWidth="1"/>
    <col min="20" max="20" width="4.140625" style="765" customWidth="1"/>
    <col min="21" max="21" width="17.7109375" style="765" customWidth="1"/>
    <col min="22" max="22" width="4.28515625" style="765" customWidth="1"/>
    <col min="23" max="23" width="17.140625" style="765" customWidth="1"/>
    <col min="24" max="24" width="4.42578125" style="765" customWidth="1"/>
    <col min="25" max="25" width="17.42578125" style="765" customWidth="1"/>
    <col min="26" max="26" width="3.7109375" style="765" customWidth="1"/>
    <col min="27" max="27" width="17.140625" style="765" customWidth="1"/>
    <col min="28" max="28" width="4.5703125" style="765" customWidth="1"/>
    <col min="29" max="29" width="12.7109375" style="765" customWidth="1"/>
    <col min="30" max="30" width="4.28515625" style="765" customWidth="1"/>
    <col min="31" max="31" width="9" style="196"/>
    <col min="32" max="32" width="8.5703125" style="196" customWidth="1"/>
    <col min="33" max="33" width="6.140625" style="196" customWidth="1"/>
    <col min="34" max="34" width="12.5703125" style="196" customWidth="1"/>
    <col min="35" max="35" width="2.5703125" style="196" customWidth="1"/>
    <col min="36" max="36" width="12.5703125" style="196" customWidth="1"/>
    <col min="37" max="37" width="2.5703125" style="196" customWidth="1"/>
    <col min="38" max="38" width="12.5703125" style="196" customWidth="1"/>
    <col min="39" max="39" width="2.5703125" style="196" customWidth="1"/>
    <col min="40" max="40" width="12.5703125" style="196" customWidth="1"/>
    <col min="41" max="41" width="2.5703125" style="196" customWidth="1"/>
    <col min="42" max="42" width="12.5703125" style="196" customWidth="1"/>
    <col min="43" max="43" width="2.5703125" style="196" customWidth="1"/>
    <col min="44" max="44" width="9.28515625" style="196" customWidth="1"/>
    <col min="45" max="16384" width="9" style="196"/>
  </cols>
  <sheetData>
    <row r="1" spans="1:30">
      <c r="C1" s="993" t="str">
        <f>Input!G28</f>
        <v>Peoples Gas System</v>
      </c>
      <c r="D1" s="993"/>
      <c r="E1" s="994"/>
      <c r="F1" s="994"/>
      <c r="G1" s="994"/>
      <c r="H1" s="994"/>
      <c r="I1" s="994"/>
      <c r="J1" s="994"/>
      <c r="K1" s="994"/>
      <c r="L1" s="994"/>
      <c r="M1" s="994"/>
      <c r="Q1" s="995" t="str">
        <f>C1</f>
        <v>Peoples Gas System</v>
      </c>
      <c r="R1" s="996"/>
      <c r="S1" s="996"/>
      <c r="T1" s="996"/>
      <c r="U1" s="996"/>
      <c r="V1" s="996"/>
      <c r="W1" s="996"/>
      <c r="X1" s="996"/>
      <c r="Y1" s="996"/>
      <c r="Z1" s="996"/>
      <c r="AA1" s="996"/>
      <c r="AB1" s="996"/>
      <c r="AC1" s="996"/>
      <c r="AD1" s="996"/>
    </row>
    <row r="2" spans="1:30">
      <c r="C2" s="198" t="s">
        <v>4404</v>
      </c>
      <c r="D2" s="198"/>
      <c r="E2" s="198"/>
      <c r="F2" s="198"/>
      <c r="G2" s="198"/>
      <c r="H2" s="198"/>
      <c r="I2" s="198"/>
      <c r="J2" s="198"/>
      <c r="K2" s="198"/>
      <c r="L2" s="198"/>
      <c r="Q2" s="997" t="str">
        <f>C2</f>
        <v>Capitalization and Financial Statistics (1)</v>
      </c>
      <c r="R2" s="996"/>
      <c r="S2" s="996"/>
      <c r="T2" s="996"/>
      <c r="U2" s="996"/>
      <c r="V2" s="996"/>
      <c r="W2" s="996"/>
      <c r="X2" s="996"/>
      <c r="Y2" s="996"/>
      <c r="Z2" s="996"/>
      <c r="AA2" s="996"/>
      <c r="AB2" s="996"/>
      <c r="AC2" s="996"/>
      <c r="AD2" s="996"/>
    </row>
    <row r="3" spans="1:30">
      <c r="C3" s="197" t="s">
        <v>4356</v>
      </c>
      <c r="D3" s="197"/>
      <c r="E3" s="198"/>
      <c r="F3" s="198"/>
      <c r="G3" s="198"/>
      <c r="H3" s="198"/>
      <c r="I3" s="198"/>
      <c r="J3" s="198"/>
      <c r="K3" s="198"/>
      <c r="L3" s="198"/>
      <c r="Q3" s="995" t="str">
        <f>C3</f>
        <v>2017 - 2021, Inclusive</v>
      </c>
      <c r="R3" s="996"/>
      <c r="S3" s="996"/>
      <c r="T3" s="996"/>
      <c r="U3" s="996"/>
      <c r="V3" s="996"/>
      <c r="W3" s="996"/>
      <c r="X3" s="996"/>
      <c r="Y3" s="996"/>
      <c r="Z3" s="996"/>
      <c r="AA3" s="996"/>
      <c r="AB3" s="996"/>
      <c r="AC3" s="996"/>
      <c r="AD3" s="996"/>
    </row>
    <row r="4" spans="1:30">
      <c r="Q4" s="763"/>
      <c r="R4" s="763"/>
      <c r="S4" s="764"/>
      <c r="T4" s="764"/>
      <c r="U4" s="763"/>
      <c r="V4" s="763"/>
      <c r="W4" s="763"/>
      <c r="X4" s="763"/>
      <c r="Y4" s="763"/>
      <c r="Z4" s="763"/>
      <c r="AA4" s="763"/>
      <c r="AB4" s="763"/>
      <c r="AC4" s="763"/>
    </row>
    <row r="5" spans="1:30">
      <c r="C5" s="377">
        <v>2021</v>
      </c>
      <c r="D5" s="377"/>
      <c r="E5" s="377">
        <f>C5-1</f>
        <v>2020</v>
      </c>
      <c r="F5" s="377"/>
      <c r="G5" s="377">
        <f t="shared" ref="G5:M5" si="0">E5-1</f>
        <v>2019</v>
      </c>
      <c r="H5" s="377"/>
      <c r="I5" s="377">
        <f t="shared" si="0"/>
        <v>2018</v>
      </c>
      <c r="J5" s="377"/>
      <c r="K5" s="377">
        <f t="shared" si="0"/>
        <v>2017</v>
      </c>
      <c r="L5" s="377"/>
      <c r="M5" s="377">
        <f t="shared" si="0"/>
        <v>2016</v>
      </c>
      <c r="N5" s="377"/>
      <c r="S5" s="764"/>
      <c r="T5" s="764"/>
      <c r="U5" s="763"/>
      <c r="V5" s="763"/>
      <c r="W5" s="763"/>
      <c r="X5" s="763"/>
      <c r="Y5" s="763"/>
      <c r="Z5" s="763"/>
      <c r="AA5" s="763"/>
    </row>
    <row r="6" spans="1:30">
      <c r="A6" s="196" t="s">
        <v>1</v>
      </c>
    </row>
    <row r="7" spans="1:30">
      <c r="A7" s="196" t="s">
        <v>2</v>
      </c>
      <c r="B7" s="196" t="s">
        <v>65</v>
      </c>
      <c r="C7" s="378"/>
      <c r="D7" s="378"/>
      <c r="E7" s="378"/>
      <c r="F7" s="378"/>
      <c r="G7" s="378"/>
      <c r="H7" s="378"/>
      <c r="I7" s="378"/>
      <c r="J7" s="378"/>
      <c r="K7" s="378"/>
      <c r="L7" s="378"/>
      <c r="M7" s="378"/>
      <c r="N7" s="378"/>
      <c r="S7" s="766">
        <f>C5</f>
        <v>2021</v>
      </c>
      <c r="T7" s="766"/>
      <c r="U7" s="766">
        <f>E5</f>
        <v>2020</v>
      </c>
      <c r="V7" s="766"/>
      <c r="W7" s="766">
        <f>G5</f>
        <v>2019</v>
      </c>
      <c r="X7" s="766"/>
      <c r="Y7" s="766">
        <f>I5</f>
        <v>2018</v>
      </c>
      <c r="Z7" s="766"/>
      <c r="AA7" s="766">
        <f>K5</f>
        <v>2017</v>
      </c>
      <c r="AB7" s="766"/>
    </row>
    <row r="8" spans="1:30">
      <c r="A8" s="196" t="s">
        <v>3</v>
      </c>
      <c r="B8" s="196" t="s">
        <v>66</v>
      </c>
      <c r="C8" s="378"/>
      <c r="D8" s="378"/>
      <c r="E8" s="378"/>
      <c r="F8" s="378"/>
      <c r="G8" s="378"/>
      <c r="H8" s="378"/>
      <c r="I8" s="378"/>
      <c r="J8" s="378"/>
      <c r="K8" s="378"/>
      <c r="L8" s="378"/>
      <c r="M8" s="378"/>
      <c r="N8" s="378"/>
      <c r="S8" s="763" t="s">
        <v>4406</v>
      </c>
      <c r="T8" s="763"/>
      <c r="U8" s="763"/>
      <c r="V8" s="763"/>
      <c r="W8" s="763"/>
      <c r="X8" s="763"/>
      <c r="Y8" s="763"/>
      <c r="Z8" s="763"/>
      <c r="AA8" s="763"/>
      <c r="AB8" s="763" t="s">
        <v>5</v>
      </c>
      <c r="AC8" s="763" t="s">
        <v>5</v>
      </c>
    </row>
    <row r="9" spans="1:30">
      <c r="C9" s="378"/>
      <c r="D9" s="378"/>
      <c r="E9" s="378"/>
      <c r="F9" s="378"/>
      <c r="G9" s="378"/>
      <c r="H9" s="378"/>
      <c r="I9" s="378"/>
      <c r="J9" s="378"/>
      <c r="K9" s="378"/>
      <c r="L9" s="378"/>
      <c r="M9" s="378"/>
      <c r="N9" s="378"/>
      <c r="Q9" s="767" t="s">
        <v>4405</v>
      </c>
      <c r="R9" s="767"/>
    </row>
    <row r="10" spans="1:30">
      <c r="A10" s="196" t="s">
        <v>8</v>
      </c>
      <c r="B10" s="196" t="s">
        <v>58</v>
      </c>
      <c r="C10" s="378"/>
      <c r="D10" s="378"/>
      <c r="E10" s="378"/>
      <c r="F10" s="378"/>
      <c r="G10" s="378"/>
      <c r="H10" s="378"/>
      <c r="I10" s="378"/>
      <c r="J10" s="378"/>
      <c r="K10" s="378"/>
      <c r="L10" s="378"/>
      <c r="M10" s="378"/>
      <c r="N10" s="378"/>
    </row>
    <row r="11" spans="1:30">
      <c r="A11" s="196" t="s">
        <v>10</v>
      </c>
      <c r="B11" s="196" t="s">
        <v>60</v>
      </c>
      <c r="C11" s="378"/>
      <c r="D11" s="378"/>
      <c r="E11" s="378"/>
      <c r="F11" s="378"/>
      <c r="G11" s="378"/>
      <c r="H11" s="378"/>
      <c r="I11" s="378"/>
      <c r="J11" s="378"/>
      <c r="K11" s="378"/>
      <c r="L11" s="378"/>
      <c r="M11" s="378"/>
      <c r="N11" s="378"/>
      <c r="Q11" s="767" t="s">
        <v>4407</v>
      </c>
      <c r="R11" s="767"/>
    </row>
    <row r="12" spans="1:30">
      <c r="A12" s="196" t="s">
        <v>49</v>
      </c>
      <c r="B12" s="196" t="s">
        <v>58</v>
      </c>
      <c r="C12" s="379"/>
      <c r="D12" s="379"/>
      <c r="E12" s="379"/>
      <c r="F12" s="379"/>
      <c r="G12" s="379"/>
      <c r="H12" s="379"/>
      <c r="I12" s="379"/>
      <c r="J12" s="379"/>
      <c r="K12" s="379"/>
      <c r="L12" s="379"/>
      <c r="M12" s="379"/>
      <c r="N12" s="379"/>
      <c r="Q12" s="765" t="s">
        <v>4408</v>
      </c>
      <c r="S12" s="768">
        <f>ROUND(AVERAGE('3. ATO:3. SR'!Q17),3)</f>
        <v>7455.2169999999996</v>
      </c>
      <c r="T12" s="768"/>
      <c r="U12" s="768">
        <f>ROUND(AVERAGE('3. ATO:3. SR'!S17),3)</f>
        <v>6855.835</v>
      </c>
      <c r="V12" s="768"/>
      <c r="W12" s="768">
        <f>ROUND(AVERAGE('3. ATO:3. SR'!U17),3)</f>
        <v>6012.4009999999998</v>
      </c>
      <c r="X12" s="768"/>
      <c r="Y12" s="768">
        <f>ROUND(AVERAGE('3. ATO:3. SR'!W17),3)</f>
        <v>5411.3450000000003</v>
      </c>
      <c r="Z12" s="768"/>
      <c r="AA12" s="768">
        <f>ROUND(AVERAGE('3. ATO:3. SR'!Y17),3)</f>
        <v>5040.6400000000003</v>
      </c>
    </row>
    <row r="13" spans="1:30">
      <c r="C13" s="378"/>
      <c r="D13" s="378"/>
      <c r="E13" s="378"/>
      <c r="F13" s="378"/>
      <c r="G13" s="378"/>
      <c r="H13" s="378"/>
      <c r="I13" s="378"/>
      <c r="J13" s="378"/>
      <c r="K13" s="378"/>
      <c r="L13" s="378"/>
      <c r="M13" s="378"/>
      <c r="N13" s="378"/>
      <c r="Q13" s="765" t="s">
        <v>4409</v>
      </c>
      <c r="S13" s="768">
        <f>ROUND(AVERAGE('3. ATO:3. SR'!Q18),3)</f>
        <v>415.46699999999998</v>
      </c>
      <c r="T13" s="768"/>
      <c r="U13" s="768">
        <f>ROUND(AVERAGE('3. ATO:3. SR'!S18),3)</f>
        <v>333.18299999999999</v>
      </c>
      <c r="V13" s="768"/>
      <c r="W13" s="768">
        <f>ROUND(AVERAGE('3. ATO:3. SR'!U18),3)</f>
        <v>612.06100000000004</v>
      </c>
      <c r="X13" s="768"/>
      <c r="Y13" s="768">
        <f>ROUND(AVERAGE('3. ATO:3. SR'!W18),3)</f>
        <v>629.27499999999998</v>
      </c>
      <c r="Z13" s="768"/>
      <c r="AA13" s="768">
        <f>ROUND(AVERAGE('3. ATO:3. SR'!Y18),3)</f>
        <v>468.02699999999999</v>
      </c>
    </row>
    <row r="14" spans="1:30" ht="21" thickBot="1">
      <c r="A14" s="196" t="s">
        <v>15</v>
      </c>
      <c r="B14" s="196" t="s">
        <v>67</v>
      </c>
      <c r="C14" s="378"/>
      <c r="D14" s="378"/>
      <c r="E14" s="378"/>
      <c r="F14" s="378"/>
      <c r="G14" s="378"/>
      <c r="H14" s="378"/>
      <c r="I14" s="378"/>
      <c r="J14" s="378"/>
      <c r="K14" s="378"/>
      <c r="L14" s="378"/>
      <c r="M14" s="378"/>
      <c r="N14" s="378"/>
      <c r="Q14" s="765" t="s">
        <v>4410</v>
      </c>
      <c r="S14" s="769">
        <f>SUM(S12:S13)</f>
        <v>7870.6839999999993</v>
      </c>
      <c r="T14" s="768"/>
      <c r="U14" s="769">
        <f>SUM(U12:U13)</f>
        <v>7189.018</v>
      </c>
      <c r="V14" s="768"/>
      <c r="W14" s="769">
        <f>SUM(W12:W13)</f>
        <v>6624.4619999999995</v>
      </c>
      <c r="X14" s="768"/>
      <c r="Y14" s="769">
        <f>SUM(Y12:Y13)</f>
        <v>6040.62</v>
      </c>
      <c r="Z14" s="768"/>
      <c r="AA14" s="769">
        <f>SUM(AA12:AA13)</f>
        <v>5508.6670000000004</v>
      </c>
    </row>
    <row r="15" spans="1:30" ht="21" thickTop="1">
      <c r="C15" s="379"/>
      <c r="D15" s="379"/>
      <c r="E15" s="379"/>
      <c r="F15" s="379"/>
      <c r="G15" s="379"/>
      <c r="H15" s="379"/>
      <c r="I15" s="379"/>
      <c r="J15" s="379"/>
      <c r="K15" s="379"/>
      <c r="L15" s="379"/>
      <c r="M15" s="379"/>
      <c r="N15" s="379"/>
    </row>
    <row r="16" spans="1:30">
      <c r="A16" s="196" t="s">
        <v>17</v>
      </c>
      <c r="B16" s="196" t="s">
        <v>61</v>
      </c>
      <c r="C16" s="378"/>
      <c r="D16" s="378"/>
      <c r="E16" s="378"/>
      <c r="F16" s="378"/>
      <c r="G16" s="378"/>
      <c r="H16" s="378"/>
      <c r="I16" s="378"/>
      <c r="J16" s="378"/>
      <c r="K16" s="378"/>
      <c r="L16" s="378"/>
      <c r="M16" s="378"/>
      <c r="N16" s="378"/>
      <c r="Q16" s="767" t="s">
        <v>4411</v>
      </c>
      <c r="R16" s="767"/>
      <c r="Y16" s="770"/>
      <c r="AA16" s="770"/>
    </row>
    <row r="17" spans="1:47">
      <c r="A17" s="196" t="s">
        <v>19</v>
      </c>
      <c r="B17" s="196" t="s">
        <v>143</v>
      </c>
      <c r="C17" s="378"/>
      <c r="D17" s="378"/>
      <c r="E17" s="378"/>
      <c r="F17" s="378"/>
      <c r="G17" s="378"/>
      <c r="H17" s="378"/>
      <c r="I17" s="378"/>
      <c r="J17" s="378"/>
      <c r="K17" s="378"/>
      <c r="L17" s="378"/>
      <c r="M17" s="378"/>
      <c r="N17" s="378"/>
      <c r="Q17" s="765" t="s">
        <v>4412</v>
      </c>
      <c r="S17" s="770">
        <f>ROUND(AVERAGE('3. ATO:3. SR'!Q22),3)</f>
        <v>2.95</v>
      </c>
      <c r="T17" s="771" t="s">
        <v>18</v>
      </c>
      <c r="U17" s="770">
        <f>ROUND(AVERAGE('3. ATO:3. SR'!S22),3)</f>
        <v>3.2879999999999998</v>
      </c>
      <c r="V17" s="771" t="s">
        <v>18</v>
      </c>
      <c r="W17" s="770">
        <f>ROUND(AVERAGE('3. ATO:3. SR'!U22),3)</f>
        <v>3.625</v>
      </c>
      <c r="X17" s="771" t="s">
        <v>18</v>
      </c>
      <c r="Y17" s="770">
        <f>ROUND(AVERAGE('3. ATO:3. SR'!W22),3)</f>
        <v>3.5680000000000001</v>
      </c>
      <c r="Z17" s="771" t="s">
        <v>18</v>
      </c>
      <c r="AA17" s="770">
        <f>ROUND(AVERAGE('3. ATO:3. SR'!Y22),3)</f>
        <v>3.7650000000000001</v>
      </c>
      <c r="AB17" s="771" t="s">
        <v>18</v>
      </c>
      <c r="AC17" s="772"/>
    </row>
    <row r="18" spans="1:47">
      <c r="A18" s="196" t="s">
        <v>21</v>
      </c>
      <c r="B18" s="196" t="s">
        <v>143</v>
      </c>
      <c r="C18" s="378"/>
      <c r="D18" s="378"/>
      <c r="E18" s="378"/>
      <c r="F18" s="378"/>
      <c r="G18" s="378"/>
      <c r="H18" s="378"/>
      <c r="I18" s="378"/>
      <c r="J18" s="378"/>
      <c r="K18" s="378"/>
      <c r="L18" s="378"/>
      <c r="M18" s="378"/>
      <c r="N18" s="378"/>
      <c r="Q18" s="765" t="s">
        <v>3</v>
      </c>
      <c r="S18" s="770">
        <f>ROUND(AVERAGE('3. ATO:3. SR'!Q23),3)</f>
        <v>5.33</v>
      </c>
      <c r="T18" s="771"/>
      <c r="U18" s="770">
        <f>ROUND(AVERAGE('3. ATO:3. SR'!S23),3)</f>
        <v>6.19</v>
      </c>
      <c r="V18" s="773"/>
      <c r="W18" s="770"/>
      <c r="X18" s="773"/>
      <c r="Y18" s="770"/>
      <c r="Z18" s="773"/>
      <c r="AA18" s="770"/>
      <c r="AB18" s="771"/>
    </row>
    <row r="19" spans="1:47">
      <c r="C19" s="378"/>
      <c r="D19" s="378"/>
      <c r="E19" s="378"/>
      <c r="F19" s="378"/>
      <c r="G19" s="378"/>
      <c r="H19" s="378"/>
      <c r="I19" s="378"/>
      <c r="J19" s="378"/>
      <c r="K19" s="378"/>
      <c r="L19" s="378"/>
      <c r="M19" s="378"/>
      <c r="N19" s="378"/>
      <c r="S19" s="770"/>
      <c r="U19" s="770"/>
      <c r="W19" s="770"/>
      <c r="Y19" s="770"/>
      <c r="AA19" s="770"/>
      <c r="AC19" s="998" t="s">
        <v>4421</v>
      </c>
      <c r="AD19" s="998"/>
    </row>
    <row r="20" spans="1:47">
      <c r="C20" s="379"/>
      <c r="D20" s="379"/>
      <c r="E20" s="379"/>
      <c r="F20" s="379"/>
      <c r="G20" s="379"/>
      <c r="H20" s="379"/>
      <c r="I20" s="379"/>
      <c r="J20" s="379"/>
      <c r="K20" s="379"/>
      <c r="L20" s="379"/>
      <c r="M20" s="379"/>
      <c r="N20" s="379"/>
      <c r="Q20" s="767" t="s">
        <v>4413</v>
      </c>
      <c r="R20" s="767"/>
      <c r="S20" s="770"/>
      <c r="U20" s="770"/>
      <c r="W20" s="770"/>
      <c r="Y20" s="770"/>
      <c r="AA20" s="770"/>
      <c r="AC20" s="998" t="s">
        <v>80</v>
      </c>
      <c r="AD20" s="998"/>
    </row>
    <row r="21" spans="1:47">
      <c r="A21" s="196" t="s">
        <v>26</v>
      </c>
      <c r="B21" s="196" t="s">
        <v>143</v>
      </c>
      <c r="C21" s="378"/>
      <c r="D21" s="378"/>
      <c r="E21" s="378"/>
      <c r="F21" s="378"/>
      <c r="G21" s="378"/>
      <c r="H21" s="378"/>
      <c r="I21" s="378"/>
      <c r="J21" s="378"/>
      <c r="K21" s="378"/>
      <c r="L21" s="378"/>
      <c r="M21" s="378"/>
      <c r="N21" s="378"/>
      <c r="Q21" s="765" t="s">
        <v>4414</v>
      </c>
      <c r="S21" s="770"/>
      <c r="U21" s="770"/>
      <c r="W21" s="770"/>
      <c r="Y21" s="770"/>
      <c r="AA21" s="770"/>
    </row>
    <row r="22" spans="1:47">
      <c r="C22" s="378"/>
      <c r="D22" s="378"/>
      <c r="E22" s="378"/>
      <c r="F22" s="378"/>
      <c r="G22" s="378"/>
      <c r="H22" s="378"/>
      <c r="I22" s="378"/>
      <c r="J22" s="378"/>
      <c r="K22" s="378"/>
      <c r="L22" s="378"/>
      <c r="M22" s="378"/>
      <c r="N22" s="378"/>
      <c r="Q22" s="765" t="s">
        <v>4415</v>
      </c>
      <c r="S22" s="770">
        <f>ROUND(AVERAGE('3. ATO:3. SR'!Q27),3)</f>
        <v>50.182000000000002</v>
      </c>
      <c r="T22" s="771" t="s">
        <v>18</v>
      </c>
      <c r="U22" s="770">
        <f>ROUND(AVERAGE('3. ATO:3. SR'!S27),3)</f>
        <v>50.033000000000001</v>
      </c>
      <c r="V22" s="771" t="s">
        <v>18</v>
      </c>
      <c r="W22" s="770">
        <f>ROUND(AVERAGE('3. ATO:3. SR'!U27),3)</f>
        <v>46.417000000000002</v>
      </c>
      <c r="X22" s="771" t="s">
        <v>18</v>
      </c>
      <c r="Y22" s="770">
        <f>ROUND(AVERAGE('3. ATO:3. SR'!W27),3)</f>
        <v>46.027999999999999</v>
      </c>
      <c r="Z22" s="771" t="s">
        <v>18</v>
      </c>
      <c r="AA22" s="770">
        <f>ROUND(AVERAGE('3. ATO:3. SR'!Y27),3)</f>
        <v>49.527000000000001</v>
      </c>
      <c r="AB22" s="771" t="s">
        <v>18</v>
      </c>
      <c r="AC22" s="770">
        <f>ROUND(AVERAGE(S22:AA22),2)</f>
        <v>48.44</v>
      </c>
      <c r="AD22" s="774" t="s">
        <v>18</v>
      </c>
    </row>
    <row r="23" spans="1:47">
      <c r="A23" s="196" t="s">
        <v>37</v>
      </c>
      <c r="B23" s="196" t="s">
        <v>37</v>
      </c>
      <c r="C23" s="379"/>
      <c r="D23" s="379"/>
      <c r="E23" s="379"/>
      <c r="F23" s="379"/>
      <c r="G23" s="379"/>
      <c r="H23" s="379"/>
      <c r="I23" s="379"/>
      <c r="J23" s="379"/>
      <c r="K23" s="379"/>
      <c r="L23" s="379"/>
      <c r="M23" s="379"/>
      <c r="N23" s="379"/>
      <c r="Q23" s="765" t="s">
        <v>4416</v>
      </c>
      <c r="S23" s="770">
        <f>ROUND(AVERAGE('3. ATO:3. SR'!Q28),3)</f>
        <v>2.3050000000000002</v>
      </c>
      <c r="T23" s="774"/>
      <c r="U23" s="770">
        <f>ROUND(AVERAGE('3. ATO:3. SR'!S28),3)</f>
        <v>1.7829999999999999</v>
      </c>
      <c r="V23" s="774"/>
      <c r="W23" s="770">
        <f>ROUND(AVERAGE('3. ATO:3. SR'!U28),3)</f>
        <v>1.923</v>
      </c>
      <c r="X23" s="774"/>
      <c r="Y23" s="770">
        <f>ROUND(AVERAGE('3. ATO:3. SR'!W28),3)</f>
        <v>1.137</v>
      </c>
      <c r="Z23" s="774"/>
      <c r="AA23" s="770">
        <f>ROUND(AVERAGE('3. ATO:3. SR'!Y28),3)</f>
        <v>0</v>
      </c>
      <c r="AB23" s="774"/>
      <c r="AC23" s="770">
        <f>ROUND(AVERAGE(S23:AA23),2)-0</f>
        <v>1.43</v>
      </c>
      <c r="AD23" s="774"/>
    </row>
    <row r="24" spans="1:47">
      <c r="Q24" s="765" t="s">
        <v>4417</v>
      </c>
      <c r="S24" s="775">
        <f>ROUND(AVERAGE('3. ATO:3. SR'!Q29),3)</f>
        <v>47.512999999999998</v>
      </c>
      <c r="T24" s="774"/>
      <c r="U24" s="775">
        <f>ROUND(AVERAGE('3. ATO:3. SR'!S29),3)</f>
        <v>48.183</v>
      </c>
      <c r="V24" s="774"/>
      <c r="W24" s="775">
        <f>ROUND(AVERAGE('3. ATO:3. SR'!U29),3)</f>
        <v>51.658000000000001</v>
      </c>
      <c r="X24" s="774"/>
      <c r="Y24" s="775">
        <f>ROUND(AVERAGE('3. ATO:3. SR'!W29),3)</f>
        <v>52.835000000000001</v>
      </c>
      <c r="Z24" s="774"/>
      <c r="AA24" s="775">
        <f>ROUND(AVERAGE('3. ATO:3. SR'!Y29),3)</f>
        <v>50.472999999999999</v>
      </c>
      <c r="AB24" s="774"/>
      <c r="AC24" s="775">
        <f>ROUND(AVERAGE(S24:AA24),2)</f>
        <v>50.13</v>
      </c>
      <c r="AD24" s="774"/>
    </row>
    <row r="25" spans="1:47" ht="21" thickBot="1">
      <c r="A25" s="196" t="s">
        <v>42</v>
      </c>
      <c r="B25" s="196" t="s">
        <v>62</v>
      </c>
      <c r="C25" s="379"/>
      <c r="D25" s="379"/>
      <c r="E25" s="379"/>
      <c r="F25" s="379"/>
      <c r="G25" s="379"/>
      <c r="H25" s="379"/>
      <c r="I25" s="379"/>
      <c r="J25" s="379"/>
      <c r="K25" s="379"/>
      <c r="L25" s="379"/>
      <c r="M25" s="379"/>
      <c r="N25" s="379"/>
      <c r="Q25" s="765" t="s">
        <v>4418</v>
      </c>
      <c r="S25" s="776">
        <f>ROUND(SUM(S22:S24),4)</f>
        <v>100</v>
      </c>
      <c r="T25" s="774" t="s">
        <v>18</v>
      </c>
      <c r="U25" s="776">
        <f>ROUND(SUM(U22:U24),2)</f>
        <v>100</v>
      </c>
      <c r="V25" s="774" t="s">
        <v>18</v>
      </c>
      <c r="W25" s="776">
        <f>ROUND(SUM(W22:W24),2)</f>
        <v>100</v>
      </c>
      <c r="X25" s="774" t="s">
        <v>18</v>
      </c>
      <c r="Y25" s="776">
        <f>ROUND(SUM(Y22:Y24),2)</f>
        <v>100</v>
      </c>
      <c r="Z25" s="774" t="s">
        <v>18</v>
      </c>
      <c r="AA25" s="776">
        <f>ROUND(SUM(AA22:AA24),2)</f>
        <v>100</v>
      </c>
      <c r="AB25" s="774" t="s">
        <v>18</v>
      </c>
      <c r="AC25" s="776">
        <f>ROUND(SUM(AC22:AC24),2)</f>
        <v>100</v>
      </c>
      <c r="AD25" s="774" t="s">
        <v>18</v>
      </c>
    </row>
    <row r="26" spans="1:47" ht="21" thickTop="1">
      <c r="C26" s="379"/>
      <c r="D26" s="379"/>
      <c r="E26" s="379"/>
      <c r="F26" s="379"/>
      <c r="G26" s="379"/>
      <c r="H26" s="379"/>
      <c r="I26" s="379"/>
      <c r="J26" s="379"/>
      <c r="K26" s="379"/>
      <c r="L26" s="379"/>
      <c r="M26" s="379"/>
      <c r="N26" s="379"/>
      <c r="S26" s="770"/>
      <c r="T26" s="774"/>
      <c r="U26" s="770"/>
      <c r="V26" s="774"/>
      <c r="W26" s="770"/>
      <c r="X26" s="774"/>
      <c r="Y26" s="770"/>
      <c r="Z26" s="774"/>
      <c r="AA26" s="770"/>
      <c r="AB26" s="774"/>
      <c r="AC26" s="770"/>
      <c r="AD26" s="774"/>
      <c r="AT26" s="382"/>
      <c r="AU26" s="382"/>
    </row>
    <row r="27" spans="1:47">
      <c r="A27" s="196" t="s">
        <v>43</v>
      </c>
      <c r="B27" s="196" t="s">
        <v>63</v>
      </c>
      <c r="C27" s="379"/>
      <c r="D27" s="379"/>
      <c r="E27" s="379"/>
      <c r="F27" s="379"/>
      <c r="G27" s="379"/>
      <c r="H27" s="379"/>
      <c r="I27" s="379"/>
      <c r="J27" s="379"/>
      <c r="K27" s="379"/>
      <c r="L27" s="379"/>
      <c r="M27" s="379"/>
      <c r="N27" s="379"/>
      <c r="Q27" s="765" t="s">
        <v>4419</v>
      </c>
      <c r="S27" s="770"/>
      <c r="T27" s="774"/>
      <c r="U27" s="770"/>
      <c r="V27" s="774"/>
      <c r="W27" s="770"/>
      <c r="X27" s="774"/>
      <c r="Y27" s="770"/>
      <c r="Z27" s="774"/>
      <c r="AA27" s="770"/>
      <c r="AB27" s="774"/>
      <c r="AC27" s="770"/>
      <c r="AD27" s="774"/>
      <c r="AT27" s="382"/>
      <c r="AU27" s="382"/>
    </row>
    <row r="28" spans="1:47">
      <c r="A28" s="383"/>
      <c r="B28" s="383"/>
      <c r="C28" s="378"/>
      <c r="D28" s="378"/>
      <c r="E28" s="378"/>
      <c r="F28" s="378"/>
      <c r="G28" s="378"/>
      <c r="H28" s="378"/>
      <c r="I28" s="378"/>
      <c r="J28" s="378"/>
      <c r="K28" s="378"/>
      <c r="L28" s="378"/>
      <c r="M28" s="378"/>
      <c r="N28" s="378"/>
      <c r="Q28" s="765" t="s">
        <v>4420</v>
      </c>
      <c r="S28" s="770">
        <f>ROUND(AVERAGE('3. ATO:3. SR'!Q33),3)</f>
        <v>54.262999999999998</v>
      </c>
      <c r="T28" s="771" t="s">
        <v>18</v>
      </c>
      <c r="U28" s="770">
        <f>ROUND(AVERAGE('3. ATO:3. SR'!S33),3)</f>
        <v>53.512999999999998</v>
      </c>
      <c r="V28" s="771" t="s">
        <v>18</v>
      </c>
      <c r="W28" s="770">
        <f>ROUND(AVERAGE('3. ATO:3. SR'!U33),3)</f>
        <v>51.06</v>
      </c>
      <c r="X28" s="771" t="s">
        <v>18</v>
      </c>
      <c r="Y28" s="770">
        <f>ROUND(AVERAGE('3. ATO:3. SR'!W33),3)</f>
        <v>51.143000000000001</v>
      </c>
      <c r="Z28" s="771" t="s">
        <v>18</v>
      </c>
      <c r="AA28" s="770">
        <f>ROUND(AVERAGE('3. ATO:3. SR'!Y33),3)</f>
        <v>53.667999999999999</v>
      </c>
      <c r="AB28" s="774" t="s">
        <v>18</v>
      </c>
      <c r="AC28" s="770">
        <f>ROUND(AVERAGE(S28:AA28),2)</f>
        <v>52.73</v>
      </c>
      <c r="AD28" s="774" t="s">
        <v>18</v>
      </c>
    </row>
    <row r="29" spans="1:47">
      <c r="A29" s="196" t="s">
        <v>46</v>
      </c>
      <c r="B29" s="196" t="s">
        <v>70</v>
      </c>
      <c r="C29" s="378"/>
      <c r="D29" s="378"/>
      <c r="E29" s="378"/>
      <c r="F29" s="378"/>
      <c r="G29" s="378"/>
      <c r="H29" s="378"/>
      <c r="I29" s="378"/>
      <c r="J29" s="378"/>
      <c r="K29" s="378"/>
      <c r="L29" s="378"/>
      <c r="M29" s="378"/>
      <c r="N29" s="378"/>
      <c r="Q29" s="765" t="s">
        <v>4416</v>
      </c>
      <c r="S29" s="770">
        <f>ROUND(AVERAGE('3. ATO:3. SR'!Q34),3)</f>
        <v>2.177</v>
      </c>
      <c r="T29" s="774"/>
      <c r="U29" s="770">
        <f>ROUND(AVERAGE('3. ATO:3. SR'!S34),3)</f>
        <v>1.66</v>
      </c>
      <c r="V29" s="774"/>
      <c r="W29" s="770">
        <f>ROUND(AVERAGE('3. ATO:3. SR'!U34),3)</f>
        <v>1.6830000000000001</v>
      </c>
      <c r="X29" s="774"/>
      <c r="Y29" s="770">
        <f>ROUND(AVERAGE('3. ATO:3. SR'!W34),3)</f>
        <v>0.98499999999999999</v>
      </c>
      <c r="Z29" s="774"/>
      <c r="AA29" s="770">
        <f>ROUND(AVERAGE('3. ATO:3. SR'!Y34),3)</f>
        <v>0</v>
      </c>
      <c r="AB29" s="774"/>
      <c r="AC29" s="770">
        <f>ROUND(AVERAGE(S29:AA29),2)</f>
        <v>1.3</v>
      </c>
      <c r="AD29" s="774"/>
    </row>
    <row r="30" spans="1:47">
      <c r="C30" s="379"/>
      <c r="D30" s="379"/>
      <c r="E30" s="379"/>
      <c r="F30" s="379"/>
      <c r="G30" s="379"/>
      <c r="H30" s="379"/>
      <c r="I30" s="379"/>
      <c r="J30" s="379"/>
      <c r="K30" s="379"/>
      <c r="L30" s="379"/>
      <c r="M30" s="379"/>
      <c r="N30" s="379"/>
      <c r="Q30" s="765" t="s">
        <v>4417</v>
      </c>
      <c r="S30" s="775">
        <f>ROUND(AVERAGE('3. ATO:3. SR'!Q35),3)</f>
        <v>43.56</v>
      </c>
      <c r="T30" s="774"/>
      <c r="U30" s="775">
        <f>ROUND(AVERAGE('3. ATO:3. SR'!S35),3)</f>
        <v>44.826999999999998</v>
      </c>
      <c r="V30" s="774"/>
      <c r="W30" s="775">
        <f>ROUND(AVERAGE('3. ATO:3. SR'!U35),3)</f>
        <v>47.255000000000003</v>
      </c>
      <c r="X30" s="774"/>
      <c r="Y30" s="775">
        <f>ROUND(AVERAGE('3. ATO:3. SR'!W35),3)</f>
        <v>47.872</v>
      </c>
      <c r="Z30" s="774"/>
      <c r="AA30" s="775">
        <f>ROUND(AVERAGE('3. ATO:3. SR'!Y35),3)</f>
        <v>46.332000000000001</v>
      </c>
      <c r="AB30" s="774"/>
      <c r="AC30" s="775">
        <f>ROUND(AVERAGE(S30:AA30),2)</f>
        <v>45.97</v>
      </c>
      <c r="AD30" s="774"/>
    </row>
    <row r="31" spans="1:47" ht="21" thickBot="1">
      <c r="A31" s="196" t="s">
        <v>45</v>
      </c>
      <c r="B31" s="196" t="s">
        <v>68</v>
      </c>
      <c r="C31" s="378"/>
      <c r="D31" s="378"/>
      <c r="E31" s="378"/>
      <c r="F31" s="378"/>
      <c r="G31" s="378"/>
      <c r="H31" s="378"/>
      <c r="I31" s="378"/>
      <c r="J31" s="378"/>
      <c r="K31" s="378"/>
      <c r="L31" s="378"/>
      <c r="M31" s="378"/>
      <c r="N31" s="378"/>
      <c r="Q31" s="765" t="s">
        <v>4418</v>
      </c>
      <c r="S31" s="776">
        <f>ROUND(SUM(S28:S30),2)</f>
        <v>100</v>
      </c>
      <c r="T31" s="774" t="s">
        <v>18</v>
      </c>
      <c r="U31" s="776">
        <f>ROUND(SUM(U28:U30),2)</f>
        <v>100</v>
      </c>
      <c r="V31" s="774" t="s">
        <v>18</v>
      </c>
      <c r="W31" s="776">
        <f>ROUND(SUM(W28:W30),2)</f>
        <v>100</v>
      </c>
      <c r="X31" s="774" t="s">
        <v>18</v>
      </c>
      <c r="Y31" s="776">
        <f>ROUND(SUM(Y28:Y30),2)</f>
        <v>100</v>
      </c>
      <c r="Z31" s="774" t="s">
        <v>18</v>
      </c>
      <c r="AA31" s="776">
        <f>ROUND(SUM(AA28:AA30),2)</f>
        <v>100</v>
      </c>
      <c r="AB31" s="774" t="s">
        <v>18</v>
      </c>
      <c r="AC31" s="776">
        <f>ROUND(SUM(AC28:AC30),2)</f>
        <v>100</v>
      </c>
      <c r="AD31" s="774" t="s">
        <v>18</v>
      </c>
    </row>
    <row r="32" spans="1:47" ht="21" thickTop="1">
      <c r="C32" s="378"/>
      <c r="D32" s="378"/>
      <c r="E32" s="378"/>
      <c r="F32" s="378"/>
      <c r="G32" s="378"/>
      <c r="H32" s="378"/>
      <c r="I32" s="378"/>
      <c r="J32" s="378"/>
      <c r="K32" s="378"/>
      <c r="L32" s="378"/>
      <c r="M32" s="378"/>
      <c r="N32" s="378"/>
      <c r="S32" s="770"/>
      <c r="U32" s="770"/>
      <c r="W32" s="770"/>
      <c r="Y32" s="770"/>
      <c r="AA32" s="770"/>
      <c r="AC32" s="770"/>
      <c r="AQ32" s="382"/>
      <c r="AR32" s="382"/>
      <c r="AS32" s="382"/>
      <c r="AT32" s="382"/>
      <c r="AU32" s="382"/>
    </row>
    <row r="33" spans="1:43">
      <c r="A33" s="196" t="s">
        <v>47</v>
      </c>
      <c r="B33" s="196" t="s">
        <v>64</v>
      </c>
      <c r="C33" s="379"/>
      <c r="D33" s="379"/>
      <c r="E33" s="379"/>
      <c r="F33" s="379"/>
      <c r="G33" s="379"/>
      <c r="H33" s="379"/>
      <c r="I33" s="379"/>
      <c r="J33" s="379"/>
      <c r="K33" s="379"/>
      <c r="L33" s="379"/>
      <c r="M33" s="379"/>
      <c r="N33" s="379"/>
      <c r="U33" s="770"/>
      <c r="AQ33" s="381"/>
    </row>
    <row r="34" spans="1:43">
      <c r="C34" s="378"/>
      <c r="D34" s="378"/>
      <c r="E34" s="378"/>
      <c r="F34" s="378"/>
      <c r="G34" s="378"/>
      <c r="H34" s="378"/>
      <c r="I34" s="378"/>
      <c r="J34" s="378"/>
      <c r="K34" s="378"/>
      <c r="L34" s="378"/>
      <c r="M34" s="378"/>
      <c r="N34" s="378"/>
    </row>
    <row r="35" spans="1:43">
      <c r="A35" s="196" t="s">
        <v>55</v>
      </c>
      <c r="B35" s="196" t="s">
        <v>69</v>
      </c>
      <c r="C35" s="379"/>
      <c r="D35" s="379"/>
      <c r="E35" s="379"/>
      <c r="F35" s="379"/>
      <c r="G35" s="379"/>
      <c r="H35" s="379"/>
      <c r="I35" s="379"/>
      <c r="J35" s="379"/>
      <c r="K35" s="379"/>
      <c r="L35" s="379"/>
      <c r="M35" s="379"/>
      <c r="N35" s="379"/>
      <c r="Q35" s="767" t="s">
        <v>4422</v>
      </c>
      <c r="R35" s="767"/>
    </row>
    <row r="36" spans="1:43">
      <c r="A36" s="196" t="s">
        <v>72</v>
      </c>
      <c r="B36" s="196" t="s">
        <v>71</v>
      </c>
      <c r="C36" s="379"/>
      <c r="D36" s="379"/>
      <c r="E36" s="379"/>
      <c r="F36" s="379"/>
      <c r="G36" s="379"/>
      <c r="H36" s="379"/>
      <c r="I36" s="379"/>
      <c r="J36" s="379"/>
      <c r="K36" s="379"/>
      <c r="L36" s="379"/>
      <c r="M36" s="379"/>
      <c r="N36" s="379"/>
      <c r="Q36" s="767"/>
      <c r="R36" s="767"/>
    </row>
    <row r="37" spans="1:43">
      <c r="A37" s="196" t="s">
        <v>4096</v>
      </c>
      <c r="B37" s="196" t="s">
        <v>4097</v>
      </c>
      <c r="C37" s="378"/>
      <c r="D37" s="378"/>
      <c r="E37" s="378"/>
      <c r="F37" s="378"/>
      <c r="G37" s="378"/>
      <c r="H37" s="378"/>
      <c r="I37" s="378"/>
      <c r="J37" s="378"/>
      <c r="K37" s="378"/>
      <c r="L37" s="378"/>
      <c r="M37" s="378"/>
      <c r="N37" s="378"/>
      <c r="Q37" s="767" t="s">
        <v>4423</v>
      </c>
    </row>
    <row r="38" spans="1:43">
      <c r="A38" s="196" t="s">
        <v>4098</v>
      </c>
      <c r="B38" s="196" t="s">
        <v>4099</v>
      </c>
      <c r="C38" s="379"/>
      <c r="D38" s="379"/>
      <c r="E38" s="379"/>
      <c r="F38" s="379"/>
      <c r="G38" s="379"/>
      <c r="H38" s="379"/>
      <c r="I38" s="379"/>
      <c r="J38" s="379"/>
      <c r="K38" s="379"/>
      <c r="L38" s="379"/>
      <c r="M38" s="379"/>
      <c r="N38" s="379"/>
      <c r="Q38" s="765" t="s">
        <v>4424</v>
      </c>
      <c r="S38" s="770">
        <f>ROUND(AVERAGE('3. ATO:3. SR'!Q43),3)</f>
        <v>5.2450000000000001</v>
      </c>
      <c r="T38" s="771" t="s">
        <v>18</v>
      </c>
      <c r="U38" s="770">
        <f>ROUND(AVERAGE('3. ATO:3. SR'!S43),3)</f>
        <v>3.448</v>
      </c>
      <c r="V38" s="771" t="s">
        <v>18</v>
      </c>
      <c r="W38" s="770">
        <f>ROUND(AVERAGE('3. ATO:3. SR'!U43),3)</f>
        <v>3.84</v>
      </c>
      <c r="X38" s="771" t="s">
        <v>18</v>
      </c>
      <c r="Y38" s="770">
        <f>ROUND(AVERAGE('3. ATO:3. SR'!W43),3)</f>
        <v>4.3150000000000004</v>
      </c>
      <c r="Z38" s="771" t="s">
        <v>18</v>
      </c>
      <c r="AA38" s="770">
        <f>ROUND(AVERAGE('3. ATO:3. SR'!Y43),3)</f>
        <v>2.742</v>
      </c>
      <c r="AB38" s="771" t="s">
        <v>18</v>
      </c>
      <c r="AC38" s="770">
        <f>ROUND(AVERAGE(S38:AA38),2)</f>
        <v>3.92</v>
      </c>
      <c r="AD38" s="771" t="s">
        <v>18</v>
      </c>
    </row>
    <row r="39" spans="1:43">
      <c r="C39" s="378"/>
      <c r="D39" s="378"/>
      <c r="E39" s="378"/>
      <c r="F39" s="378"/>
      <c r="G39" s="378"/>
      <c r="H39" s="378"/>
      <c r="I39" s="378"/>
      <c r="J39" s="378"/>
      <c r="K39" s="378"/>
      <c r="L39" s="378"/>
      <c r="M39" s="378"/>
      <c r="N39" s="378"/>
      <c r="Q39" s="765" t="s">
        <v>4425</v>
      </c>
      <c r="S39" s="770">
        <f>ROUND(AVERAGE('3. ATO:3. SR'!Q44),3)</f>
        <v>176.322</v>
      </c>
      <c r="T39" s="771"/>
      <c r="U39" s="770">
        <f>ROUND(AVERAGE('3. ATO:3. SR'!S44),3)</f>
        <v>191.59700000000001</v>
      </c>
      <c r="V39" s="771"/>
      <c r="W39" s="770">
        <f>ROUND(AVERAGE('3. ATO:3. SR'!U44),3)</f>
        <v>224.792</v>
      </c>
      <c r="X39" s="771"/>
      <c r="Y39" s="770">
        <f>ROUND(AVERAGE('3. ATO:3. SR'!W44),3)</f>
        <v>213.84800000000001</v>
      </c>
      <c r="Z39" s="771"/>
      <c r="AA39" s="770">
        <f>ROUND(AVERAGE('3. ATO:3. SR'!Y44),3)</f>
        <v>213.577</v>
      </c>
      <c r="AC39" s="770">
        <f>ROUND(AVERAGE(S39:AA39),2)</f>
        <v>204.03</v>
      </c>
    </row>
    <row r="40" spans="1:43">
      <c r="C40" s="384"/>
      <c r="D40" s="384"/>
      <c r="E40" s="384"/>
      <c r="F40" s="384"/>
      <c r="G40" s="384"/>
      <c r="H40" s="384"/>
      <c r="I40" s="384"/>
      <c r="J40" s="384"/>
      <c r="K40" s="384"/>
      <c r="L40" s="384"/>
      <c r="M40" s="384"/>
      <c r="N40" s="384"/>
      <c r="Q40" s="765" t="s">
        <v>4426</v>
      </c>
      <c r="S40" s="770">
        <f>ROUND(AVERAGE('3. ATO:3. SR'!Q45),3)</f>
        <v>3.4369999999999998</v>
      </c>
      <c r="T40" s="771"/>
      <c r="U40" s="770">
        <f>ROUND(AVERAGE('3. ATO:3. SR'!S45),3)</f>
        <v>3.1019999999999999</v>
      </c>
      <c r="V40" s="771"/>
      <c r="W40" s="770">
        <f>ROUND(AVERAGE('3. ATO:3. SR'!U45),3)</f>
        <v>2.6080000000000001</v>
      </c>
      <c r="X40" s="771"/>
      <c r="Y40" s="770">
        <f>ROUND(AVERAGE('3. ATO:3. SR'!W45),3)</f>
        <v>2.7749999999999999</v>
      </c>
      <c r="Z40" s="771"/>
      <c r="AA40" s="770">
        <f>ROUND(AVERAGE('3. ATO:3. SR'!Y45),3)</f>
        <v>2.7130000000000001</v>
      </c>
      <c r="AC40" s="770">
        <f>ROUND(AVERAGE(S40:AA40),2)</f>
        <v>2.93</v>
      </c>
    </row>
    <row r="41" spans="1:43">
      <c r="A41" s="196" t="s">
        <v>59</v>
      </c>
      <c r="C41" s="378"/>
      <c r="D41" s="378"/>
      <c r="E41" s="378"/>
      <c r="F41" s="378"/>
      <c r="G41" s="378"/>
      <c r="H41" s="378"/>
      <c r="I41" s="378"/>
      <c r="J41" s="378"/>
      <c r="K41" s="378"/>
      <c r="L41" s="378"/>
      <c r="M41" s="378"/>
      <c r="N41" s="378"/>
      <c r="Q41" s="765" t="s">
        <v>4427</v>
      </c>
      <c r="R41" s="767"/>
      <c r="S41" s="770">
        <f>ROUND(AVERAGE('3. ATO:3. SR'!Q46),3)</f>
        <v>60.268000000000001</v>
      </c>
      <c r="T41" s="771"/>
      <c r="U41" s="770">
        <f>ROUND(AVERAGE('3. ATO:3. SR'!S46),3)</f>
        <v>83.215999999999994</v>
      </c>
      <c r="V41" s="771"/>
      <c r="W41" s="770">
        <f>ROUND(AVERAGE('3. ATO:3. SR'!U46),3)</f>
        <v>69.247</v>
      </c>
      <c r="X41" s="771"/>
      <c r="Y41" s="770">
        <f>ROUND(AVERAGE('3. ATO:3. SR'!W46),3)</f>
        <v>54</v>
      </c>
      <c r="Z41" s="771"/>
      <c r="AA41" s="770">
        <f>ROUND(AVERAGE('3. ATO:3. SR'!Y46),3)</f>
        <v>51.637</v>
      </c>
      <c r="AC41" s="770">
        <f>ROUND(AVERAGE(S41:AA41),2)</f>
        <v>63.67</v>
      </c>
    </row>
    <row r="42" spans="1:43">
      <c r="C42" s="379"/>
      <c r="D42" s="379"/>
      <c r="E42" s="379"/>
      <c r="F42" s="379"/>
      <c r="G42" s="379"/>
      <c r="H42" s="379"/>
      <c r="I42" s="379"/>
      <c r="J42" s="379"/>
      <c r="K42" s="379"/>
      <c r="L42" s="379"/>
      <c r="M42" s="379"/>
      <c r="N42" s="379"/>
      <c r="S42" s="770"/>
      <c r="U42" s="770"/>
      <c r="W42" s="770"/>
      <c r="Y42" s="770"/>
      <c r="AA42" s="770"/>
      <c r="AC42" s="770"/>
    </row>
    <row r="43" spans="1:43">
      <c r="A43" s="196" t="s">
        <v>7</v>
      </c>
      <c r="B43" s="196" t="s">
        <v>50</v>
      </c>
      <c r="C43" s="378"/>
      <c r="D43" s="378"/>
      <c r="E43" s="378"/>
      <c r="F43" s="378"/>
      <c r="G43" s="378"/>
      <c r="H43" s="378"/>
      <c r="I43" s="378"/>
      <c r="J43" s="378"/>
      <c r="K43" s="378"/>
      <c r="L43" s="378"/>
      <c r="M43" s="378"/>
      <c r="N43" s="378"/>
      <c r="Q43" s="767" t="s">
        <v>4428</v>
      </c>
      <c r="R43" s="767"/>
      <c r="S43" s="770">
        <f>ROUND(AVERAGE('3. ATO:3. SR'!Q48),3)</f>
        <v>9.8480000000000008</v>
      </c>
      <c r="T43" s="765" t="s">
        <v>18</v>
      </c>
      <c r="U43" s="770">
        <f>ROUND(AVERAGE('3. ATO:3. SR'!S48),3)</f>
        <v>6.7530000000000001</v>
      </c>
      <c r="V43" s="765" t="s">
        <v>18</v>
      </c>
      <c r="W43" s="770">
        <f>ROUND(AVERAGE('3. ATO:3. SR'!U48),3)</f>
        <v>8.68</v>
      </c>
      <c r="X43" s="765" t="s">
        <v>18</v>
      </c>
      <c r="Y43" s="770">
        <f>ROUND(AVERAGE('3. ATO:3. SR'!W48),3)</f>
        <v>9.5519999999999996</v>
      </c>
      <c r="Z43" s="765" t="s">
        <v>18</v>
      </c>
      <c r="AA43" s="770">
        <f>ROUND(AVERAGE('3. ATO:3. SR'!Y48),3)</f>
        <v>5.8179999999999996</v>
      </c>
      <c r="AB43" s="765" t="s">
        <v>18</v>
      </c>
      <c r="AC43" s="770">
        <f>ROUND(AVERAGE(S43:AA43),2)</f>
        <v>8.1300000000000008</v>
      </c>
      <c r="AD43" s="765" t="s">
        <v>18</v>
      </c>
    </row>
    <row r="44" spans="1:43">
      <c r="C44" s="378"/>
      <c r="D44" s="378"/>
      <c r="E44" s="378"/>
      <c r="F44" s="378"/>
      <c r="G44" s="378"/>
      <c r="H44" s="378"/>
      <c r="I44" s="378"/>
      <c r="J44" s="378"/>
      <c r="K44" s="378"/>
      <c r="L44" s="378"/>
      <c r="M44" s="378"/>
      <c r="N44" s="378"/>
      <c r="S44" s="770"/>
      <c r="U44" s="770"/>
      <c r="W44" s="770"/>
      <c r="Y44" s="770"/>
      <c r="AA44" s="770"/>
      <c r="AC44" s="770"/>
    </row>
    <row r="45" spans="1:43">
      <c r="A45" s="196" t="s">
        <v>13</v>
      </c>
      <c r="B45" s="196" t="s">
        <v>50</v>
      </c>
      <c r="C45" s="379"/>
      <c r="D45" s="379"/>
      <c r="E45" s="379"/>
      <c r="F45" s="379"/>
      <c r="G45" s="379"/>
      <c r="H45" s="379"/>
      <c r="I45" s="379"/>
      <c r="J45" s="379"/>
      <c r="K45" s="379"/>
      <c r="L45" s="379"/>
      <c r="M45" s="379"/>
      <c r="N45" s="379"/>
      <c r="Q45" s="767" t="s">
        <v>4429</v>
      </c>
      <c r="S45" s="770">
        <f>ROUND(AVERAGE('3. ATO:3. SR'!Q50),3)</f>
        <v>5.0949999999999998</v>
      </c>
      <c r="T45" s="771" t="s">
        <v>44</v>
      </c>
      <c r="U45" s="770">
        <f>ROUND(AVERAGE('3. ATO:3. SR'!S50),3)</f>
        <v>6.0279999999999996</v>
      </c>
      <c r="V45" s="771" t="s">
        <v>44</v>
      </c>
      <c r="W45" s="770">
        <f>ROUND(AVERAGE('3. ATO:3. SR'!U50),3)</f>
        <v>4.9630000000000001</v>
      </c>
      <c r="X45" s="771" t="s">
        <v>44</v>
      </c>
      <c r="Y45" s="770">
        <f>ROUND(AVERAGE('3. ATO:3. SR'!W50),3)</f>
        <v>5.0129999999999999</v>
      </c>
      <c r="Z45" s="771" t="s">
        <v>44</v>
      </c>
      <c r="AA45" s="770">
        <f>ROUND(AVERAGE('3. ATO:3. SR'!Y50),3)</f>
        <v>7.6529999999999996</v>
      </c>
      <c r="AB45" s="771" t="s">
        <v>44</v>
      </c>
      <c r="AC45" s="770">
        <f>ROUND(AVERAGE(S45:AA45),2)</f>
        <v>5.75</v>
      </c>
      <c r="AD45" s="771" t="s">
        <v>44</v>
      </c>
    </row>
    <row r="46" spans="1:43">
      <c r="C46" s="378"/>
      <c r="D46" s="378"/>
      <c r="E46" s="378"/>
      <c r="F46" s="378"/>
      <c r="G46" s="378"/>
      <c r="H46" s="378"/>
      <c r="I46" s="378"/>
      <c r="J46" s="378"/>
      <c r="K46" s="378"/>
      <c r="L46" s="378"/>
      <c r="M46" s="378"/>
      <c r="N46" s="378"/>
      <c r="Q46" s="767"/>
      <c r="S46" s="770"/>
      <c r="U46" s="770"/>
      <c r="W46" s="770"/>
      <c r="Y46" s="770"/>
      <c r="AA46" s="770"/>
      <c r="AC46" s="770"/>
    </row>
    <row r="47" spans="1:43">
      <c r="A47" s="196" t="s">
        <v>23</v>
      </c>
      <c r="B47" s="196" t="s">
        <v>50</v>
      </c>
      <c r="C47" s="378"/>
      <c r="D47" s="378"/>
      <c r="E47" s="378"/>
      <c r="F47" s="378"/>
      <c r="G47" s="378"/>
      <c r="H47" s="378"/>
      <c r="I47" s="378"/>
      <c r="J47" s="378"/>
      <c r="K47" s="378"/>
      <c r="L47" s="378"/>
      <c r="M47" s="378"/>
      <c r="N47" s="378"/>
      <c r="Q47" s="767" t="s">
        <v>4430</v>
      </c>
      <c r="S47" s="770">
        <f>ROUND(AVERAGE('3. ATO:3. SR'!Q52),3)</f>
        <v>11.696999999999999</v>
      </c>
      <c r="T47" s="765" t="s">
        <v>18</v>
      </c>
      <c r="U47" s="770">
        <f>ROUND(AVERAGE('3. ATO:3. SR'!S52),3)</f>
        <v>12.46</v>
      </c>
      <c r="V47" s="765" t="s">
        <v>18</v>
      </c>
      <c r="W47" s="770">
        <f>ROUND(AVERAGE('3. ATO:3. SR'!U52),3)</f>
        <v>14.988</v>
      </c>
      <c r="X47" s="765" t="s">
        <v>18</v>
      </c>
      <c r="Y47" s="770">
        <f>ROUND(AVERAGE('3. ATO:3. SR'!W52),3)</f>
        <v>24.21</v>
      </c>
      <c r="Z47" s="765" t="s">
        <v>18</v>
      </c>
      <c r="AA47" s="770">
        <f>ROUND(AVERAGE('3. ATO:3. SR'!Y52),3)</f>
        <v>16.353000000000002</v>
      </c>
      <c r="AB47" s="765" t="s">
        <v>18</v>
      </c>
      <c r="AC47" s="770">
        <f>ROUND(AVERAGE(S47:AA47),2)</f>
        <v>15.94</v>
      </c>
      <c r="AD47" s="765" t="s">
        <v>18</v>
      </c>
    </row>
    <row r="48" spans="1:43">
      <c r="C48" s="378"/>
      <c r="D48" s="378"/>
      <c r="E48" s="378"/>
      <c r="F48" s="378"/>
      <c r="G48" s="378"/>
      <c r="H48" s="378"/>
      <c r="I48" s="378"/>
      <c r="J48" s="378"/>
      <c r="K48" s="378"/>
      <c r="L48" s="378"/>
      <c r="M48" s="378"/>
      <c r="N48" s="378"/>
      <c r="S48" s="770"/>
      <c r="U48" s="770"/>
      <c r="W48" s="770"/>
      <c r="Y48" s="770"/>
      <c r="AA48" s="770"/>
      <c r="AC48" s="770"/>
    </row>
    <row r="49" spans="1:30">
      <c r="A49" s="196" t="s">
        <v>53</v>
      </c>
      <c r="C49" s="378"/>
      <c r="D49" s="378"/>
      <c r="E49" s="378"/>
      <c r="F49" s="378"/>
      <c r="G49" s="378"/>
      <c r="H49" s="378"/>
      <c r="I49" s="378"/>
      <c r="J49" s="378"/>
      <c r="K49" s="378"/>
      <c r="L49" s="378"/>
      <c r="M49" s="378"/>
      <c r="N49" s="378"/>
      <c r="Q49" s="777" t="s">
        <v>4431</v>
      </c>
      <c r="S49" s="770">
        <f>ROUND(AVERAGE('3. ATO:3. SR'!Q54),3)</f>
        <v>54.262999999999998</v>
      </c>
      <c r="T49" s="771" t="s">
        <v>18</v>
      </c>
      <c r="U49" s="770">
        <f>ROUND(AVERAGE('3. ATO:3. SR'!S54),3)</f>
        <v>53.512999999999998</v>
      </c>
      <c r="V49" s="771" t="s">
        <v>18</v>
      </c>
      <c r="W49" s="770">
        <f>ROUND(AVERAGE('3. ATO:3. SR'!U54),3)</f>
        <v>51.06</v>
      </c>
      <c r="X49" s="771" t="s">
        <v>18</v>
      </c>
      <c r="Y49" s="770">
        <f>ROUND(AVERAGE('3. ATO:3. SR'!W54),3)</f>
        <v>51.143000000000001</v>
      </c>
      <c r="Z49" s="771" t="s">
        <v>18</v>
      </c>
      <c r="AA49" s="770">
        <f>ROUND(AVERAGE('3. ATO:3. SR'!Y54),3)</f>
        <v>53.667999999999999</v>
      </c>
      <c r="AB49" s="771" t="s">
        <v>18</v>
      </c>
      <c r="AC49" s="770">
        <f>ROUND(AVERAGE(S49:AA49),2)</f>
        <v>52.73</v>
      </c>
      <c r="AD49" s="771" t="s">
        <v>18</v>
      </c>
    </row>
    <row r="50" spans="1:30">
      <c r="C50" s="378"/>
      <c r="D50" s="378"/>
      <c r="E50" s="378"/>
      <c r="F50" s="378"/>
      <c r="G50" s="378"/>
      <c r="H50" s="378"/>
      <c r="I50" s="378"/>
      <c r="J50" s="378"/>
      <c r="K50" s="378"/>
      <c r="L50" s="378"/>
      <c r="M50" s="378"/>
      <c r="N50" s="378"/>
      <c r="Q50" s="777"/>
      <c r="S50" s="770"/>
      <c r="T50" s="771"/>
      <c r="U50" s="770"/>
      <c r="V50" s="771"/>
      <c r="W50" s="774"/>
      <c r="X50" s="771"/>
      <c r="Y50" s="774"/>
      <c r="Z50" s="771"/>
      <c r="AA50" s="774"/>
      <c r="AB50" s="771"/>
      <c r="AC50" s="774"/>
      <c r="AD50" s="771"/>
    </row>
    <row r="51" spans="1:30">
      <c r="C51" s="379"/>
      <c r="D51" s="379"/>
      <c r="E51" s="379"/>
      <c r="F51" s="379"/>
      <c r="G51" s="379"/>
      <c r="H51" s="379"/>
      <c r="I51" s="379"/>
      <c r="J51" s="379"/>
      <c r="K51" s="379"/>
      <c r="L51" s="379"/>
      <c r="M51" s="379"/>
      <c r="N51" s="379"/>
      <c r="Q51" s="778"/>
    </row>
    <row r="52" spans="1:30">
      <c r="A52" s="196" t="s">
        <v>31</v>
      </c>
      <c r="B52" s="196" t="s">
        <v>50</v>
      </c>
      <c r="C52" s="378"/>
      <c r="D52" s="378"/>
      <c r="E52" s="378"/>
      <c r="F52" s="378"/>
      <c r="G52" s="378"/>
      <c r="H52" s="378"/>
      <c r="I52" s="378"/>
      <c r="J52" s="378"/>
      <c r="K52" s="378"/>
      <c r="L52" s="378"/>
      <c r="M52" s="378"/>
      <c r="N52" s="378"/>
      <c r="Q52" s="779" t="s">
        <v>94</v>
      </c>
      <c r="R52" s="780"/>
      <c r="S52" s="780"/>
      <c r="T52" s="780"/>
      <c r="U52" s="780"/>
      <c r="V52" s="780"/>
      <c r="W52" s="780"/>
      <c r="X52" s="780"/>
      <c r="Y52" s="780"/>
      <c r="Z52" s="780"/>
      <c r="AA52" s="780"/>
      <c r="AB52" s="780"/>
      <c r="AC52" s="780"/>
    </row>
    <row r="53" spans="1:30" ht="66.75" customHeight="1">
      <c r="C53" s="379"/>
      <c r="D53" s="379"/>
      <c r="E53" s="379"/>
      <c r="F53" s="379"/>
      <c r="G53" s="379"/>
      <c r="H53" s="379"/>
      <c r="I53" s="379"/>
      <c r="J53" s="379"/>
      <c r="K53" s="379"/>
      <c r="L53" s="379"/>
      <c r="M53" s="379"/>
      <c r="N53" s="379"/>
      <c r="Q53" s="781" t="s">
        <v>95</v>
      </c>
      <c r="R53" s="991" t="s">
        <v>4402</v>
      </c>
      <c r="S53" s="991"/>
      <c r="T53" s="991"/>
      <c r="U53" s="991"/>
      <c r="V53" s="991"/>
      <c r="W53" s="991"/>
      <c r="X53" s="991"/>
      <c r="Y53" s="991"/>
      <c r="Z53" s="991"/>
      <c r="AA53" s="991"/>
      <c r="AB53" s="991"/>
      <c r="AC53" s="991"/>
      <c r="AD53" s="991"/>
    </row>
    <row r="54" spans="1:30" ht="49.5" customHeight="1">
      <c r="A54" s="196" t="s">
        <v>51</v>
      </c>
      <c r="B54" s="196" t="s">
        <v>50</v>
      </c>
      <c r="C54" s="378"/>
      <c r="D54" s="378"/>
      <c r="E54" s="378"/>
      <c r="F54" s="378"/>
      <c r="G54" s="378"/>
      <c r="H54" s="378"/>
      <c r="I54" s="378"/>
      <c r="J54" s="378"/>
      <c r="K54" s="378"/>
      <c r="L54" s="378"/>
      <c r="M54" s="378"/>
      <c r="N54" s="378"/>
      <c r="Q54" s="781" t="s">
        <v>96</v>
      </c>
      <c r="R54" s="991" t="s">
        <v>4403</v>
      </c>
      <c r="S54" s="991"/>
      <c r="T54" s="991"/>
      <c r="U54" s="991"/>
      <c r="V54" s="991"/>
      <c r="W54" s="991"/>
      <c r="X54" s="991"/>
      <c r="Y54" s="991"/>
      <c r="Z54" s="991"/>
      <c r="AA54" s="991"/>
      <c r="AB54" s="991"/>
      <c r="AC54" s="991"/>
      <c r="AD54" s="991"/>
    </row>
    <row r="55" spans="1:30" ht="44.25" customHeight="1">
      <c r="C55" s="379"/>
      <c r="D55" s="379"/>
      <c r="E55" s="379"/>
      <c r="F55" s="379"/>
      <c r="G55" s="379"/>
      <c r="H55" s="379"/>
      <c r="I55" s="379"/>
      <c r="J55" s="379"/>
      <c r="K55" s="379"/>
      <c r="L55" s="379"/>
      <c r="M55" s="379"/>
      <c r="N55" s="379"/>
      <c r="Q55" s="781" t="s">
        <v>97</v>
      </c>
      <c r="R55" s="991" t="s">
        <v>4100</v>
      </c>
      <c r="S55" s="991"/>
      <c r="T55" s="991"/>
      <c r="U55" s="991"/>
      <c r="V55" s="991"/>
      <c r="W55" s="991"/>
      <c r="X55" s="991"/>
      <c r="Y55" s="991"/>
      <c r="Z55" s="991"/>
      <c r="AA55" s="991"/>
      <c r="AB55" s="991"/>
      <c r="AC55" s="991"/>
      <c r="AD55" s="992"/>
    </row>
    <row r="56" spans="1:30" ht="49.5" customHeight="1">
      <c r="A56" s="212"/>
      <c r="C56" s="385"/>
      <c r="D56" s="385"/>
      <c r="E56" s="385"/>
      <c r="F56" s="385"/>
      <c r="G56" s="385"/>
      <c r="H56" s="385"/>
      <c r="I56" s="385"/>
      <c r="J56" s="385"/>
      <c r="K56" s="385"/>
      <c r="L56" s="385"/>
      <c r="Q56" s="781" t="s">
        <v>98</v>
      </c>
      <c r="R56" s="992" t="s">
        <v>4101</v>
      </c>
      <c r="S56" s="992"/>
      <c r="T56" s="992"/>
      <c r="U56" s="992"/>
      <c r="V56" s="992"/>
      <c r="W56" s="992"/>
      <c r="X56" s="992"/>
      <c r="Y56" s="992"/>
      <c r="Z56" s="992"/>
      <c r="AA56" s="992"/>
      <c r="AB56" s="992"/>
      <c r="AC56" s="992"/>
      <c r="AD56" s="992"/>
    </row>
    <row r="57" spans="1:30" ht="21.75" customHeight="1">
      <c r="C57" s="385"/>
      <c r="D57" s="385"/>
      <c r="E57" s="385"/>
      <c r="F57" s="385"/>
      <c r="G57" s="385"/>
      <c r="H57" s="385"/>
      <c r="I57" s="385"/>
      <c r="J57" s="385"/>
      <c r="K57" s="385"/>
      <c r="L57" s="385"/>
      <c r="M57" s="385"/>
      <c r="N57" s="385"/>
      <c r="U57" s="771"/>
      <c r="W57" s="771"/>
      <c r="Y57" s="771"/>
      <c r="AA57" s="771"/>
      <c r="AC57" s="771"/>
    </row>
    <row r="58" spans="1:30">
      <c r="C58" s="378"/>
      <c r="D58" s="378"/>
      <c r="E58" s="378"/>
      <c r="F58" s="378"/>
      <c r="G58" s="378"/>
      <c r="H58" s="378"/>
      <c r="I58" s="378"/>
      <c r="J58" s="378"/>
      <c r="K58" s="378"/>
      <c r="L58" s="378"/>
      <c r="M58" s="378"/>
      <c r="N58" s="378"/>
      <c r="Q58" s="782" t="s">
        <v>146</v>
      </c>
      <c r="R58" s="765" t="s">
        <v>4230</v>
      </c>
    </row>
    <row r="59" spans="1:30">
      <c r="C59" s="378"/>
      <c r="D59" s="378"/>
      <c r="E59" s="378"/>
      <c r="F59" s="378"/>
      <c r="G59" s="378"/>
      <c r="H59" s="378"/>
      <c r="I59" s="378"/>
      <c r="J59" s="378"/>
      <c r="K59" s="378"/>
      <c r="L59" s="378"/>
      <c r="M59" s="378"/>
      <c r="N59" s="378"/>
      <c r="S59" s="771"/>
    </row>
    <row r="60" spans="1:30">
      <c r="C60" s="378"/>
      <c r="D60" s="378"/>
      <c r="E60" s="378"/>
      <c r="F60" s="378"/>
      <c r="G60" s="378"/>
      <c r="H60" s="378"/>
      <c r="I60" s="378"/>
      <c r="J60" s="378"/>
      <c r="K60" s="378"/>
      <c r="L60" s="378"/>
      <c r="M60" s="378"/>
      <c r="N60" s="378"/>
    </row>
    <row r="61" spans="1:30">
      <c r="C61" s="378"/>
      <c r="D61" s="378"/>
      <c r="E61" s="378"/>
      <c r="F61" s="378"/>
      <c r="G61" s="378"/>
      <c r="H61" s="378"/>
      <c r="I61" s="378"/>
      <c r="J61" s="378"/>
      <c r="K61" s="378"/>
      <c r="L61" s="378"/>
      <c r="M61" s="378"/>
      <c r="N61" s="378"/>
    </row>
    <row r="62" spans="1:30">
      <c r="C62" s="379"/>
      <c r="D62" s="379"/>
      <c r="E62" s="379"/>
      <c r="F62" s="379"/>
      <c r="G62" s="379"/>
      <c r="H62" s="379"/>
      <c r="I62" s="379"/>
      <c r="J62" s="379"/>
      <c r="K62" s="379"/>
      <c r="L62" s="379"/>
      <c r="M62" s="379"/>
      <c r="N62" s="379"/>
    </row>
    <row r="63" spans="1:30">
      <c r="C63" s="378"/>
      <c r="D63" s="378"/>
      <c r="E63" s="378"/>
      <c r="F63" s="378"/>
      <c r="G63" s="378"/>
      <c r="H63" s="378"/>
      <c r="I63" s="378"/>
      <c r="J63" s="378"/>
      <c r="K63" s="378"/>
      <c r="L63" s="378"/>
      <c r="M63" s="378"/>
      <c r="N63" s="378"/>
    </row>
    <row r="64" spans="1:30">
      <c r="C64" s="379"/>
      <c r="D64" s="379"/>
      <c r="E64" s="379"/>
      <c r="F64" s="379"/>
      <c r="G64" s="379"/>
      <c r="H64" s="379"/>
      <c r="I64" s="379"/>
      <c r="J64" s="379"/>
      <c r="K64" s="379"/>
      <c r="L64" s="379"/>
      <c r="M64" s="379"/>
      <c r="N64" s="379"/>
    </row>
    <row r="65" spans="3:223">
      <c r="C65" s="378"/>
      <c r="D65" s="378"/>
      <c r="E65" s="378"/>
      <c r="F65" s="378"/>
      <c r="G65" s="378"/>
      <c r="H65" s="378"/>
      <c r="I65" s="378"/>
      <c r="J65" s="378"/>
      <c r="K65" s="378"/>
      <c r="L65" s="378"/>
      <c r="M65" s="378"/>
      <c r="N65" s="378"/>
    </row>
    <row r="66" spans="3:223">
      <c r="C66" s="378"/>
      <c r="D66" s="378"/>
      <c r="E66" s="378"/>
      <c r="F66" s="378"/>
      <c r="G66" s="378"/>
      <c r="H66" s="378"/>
      <c r="I66" s="378"/>
      <c r="J66" s="378"/>
      <c r="K66" s="378"/>
      <c r="L66" s="378"/>
      <c r="M66" s="378"/>
      <c r="N66" s="378"/>
    </row>
    <row r="67" spans="3:223">
      <c r="C67" s="378"/>
      <c r="D67" s="378"/>
      <c r="E67" s="378"/>
      <c r="F67" s="378"/>
      <c r="G67" s="378"/>
      <c r="H67" s="378"/>
      <c r="I67" s="378"/>
      <c r="J67" s="378"/>
      <c r="K67" s="378"/>
      <c r="L67" s="378"/>
      <c r="M67" s="378"/>
      <c r="N67" s="378"/>
    </row>
    <row r="68" spans="3:223">
      <c r="C68" s="378"/>
      <c r="D68" s="378"/>
      <c r="E68" s="378"/>
      <c r="F68" s="378"/>
      <c r="G68" s="378"/>
      <c r="H68" s="378"/>
      <c r="I68" s="378"/>
      <c r="J68" s="378"/>
      <c r="K68" s="378"/>
      <c r="L68" s="378"/>
      <c r="M68" s="378"/>
      <c r="N68" s="378"/>
    </row>
    <row r="69" spans="3:223">
      <c r="C69" s="378"/>
      <c r="D69" s="378"/>
      <c r="E69" s="378"/>
      <c r="F69" s="378"/>
      <c r="G69" s="378"/>
      <c r="H69" s="378"/>
      <c r="I69" s="378"/>
      <c r="J69" s="378"/>
      <c r="K69" s="378"/>
      <c r="L69" s="378"/>
      <c r="M69" s="378"/>
      <c r="N69" s="378"/>
    </row>
    <row r="70" spans="3:223">
      <c r="C70" s="378"/>
      <c r="D70" s="378"/>
      <c r="E70" s="378"/>
      <c r="F70" s="378"/>
      <c r="G70" s="378"/>
      <c r="H70" s="378"/>
      <c r="I70" s="378"/>
      <c r="J70" s="378"/>
      <c r="K70" s="378"/>
      <c r="L70" s="378"/>
      <c r="M70" s="378"/>
      <c r="N70" s="378"/>
      <c r="HK70" s="385"/>
      <c r="HL70" s="385"/>
      <c r="HO70" s="196" t="s">
        <v>48</v>
      </c>
    </row>
    <row r="71" spans="3:223">
      <c r="C71" s="378"/>
      <c r="D71" s="378"/>
      <c r="E71" s="378"/>
      <c r="F71" s="378"/>
      <c r="G71" s="378"/>
      <c r="H71" s="378"/>
      <c r="I71" s="378"/>
      <c r="J71" s="378"/>
      <c r="K71" s="378"/>
      <c r="L71" s="378"/>
      <c r="M71" s="378"/>
      <c r="N71" s="378"/>
    </row>
    <row r="72" spans="3:223">
      <c r="C72" s="378"/>
      <c r="D72" s="378"/>
      <c r="E72" s="378"/>
      <c r="F72" s="378"/>
      <c r="G72" s="378"/>
      <c r="H72" s="378"/>
      <c r="I72" s="378"/>
      <c r="J72" s="378"/>
      <c r="K72" s="378"/>
      <c r="L72" s="378"/>
      <c r="M72" s="378"/>
      <c r="N72" s="378"/>
      <c r="S72" s="774"/>
      <c r="T72" s="771"/>
      <c r="U72" s="774"/>
      <c r="V72" s="771"/>
      <c r="W72" s="774"/>
      <c r="X72" s="771"/>
      <c r="Y72" s="774"/>
      <c r="Z72" s="771"/>
      <c r="AA72" s="774"/>
      <c r="AB72" s="771"/>
      <c r="AC72" s="774"/>
      <c r="AD72" s="771"/>
    </row>
    <row r="73" spans="3:223">
      <c r="C73" s="378"/>
      <c r="D73" s="378"/>
      <c r="E73" s="378"/>
      <c r="F73" s="378"/>
      <c r="G73" s="378"/>
      <c r="H73" s="378"/>
      <c r="I73" s="378"/>
      <c r="J73" s="378"/>
      <c r="K73" s="378"/>
      <c r="L73" s="378"/>
      <c r="M73" s="378"/>
      <c r="N73" s="378"/>
      <c r="S73" s="774"/>
      <c r="T73" s="771"/>
      <c r="U73" s="774"/>
      <c r="V73" s="771"/>
      <c r="W73" s="774"/>
      <c r="X73" s="771"/>
      <c r="Y73" s="774"/>
      <c r="Z73" s="771"/>
      <c r="AA73" s="774"/>
      <c r="AB73" s="771"/>
      <c r="AC73" s="774"/>
      <c r="AD73" s="771"/>
    </row>
    <row r="74" spans="3:223">
      <c r="C74" s="378"/>
      <c r="D74" s="378"/>
      <c r="E74" s="378"/>
      <c r="F74" s="378"/>
      <c r="G74" s="378"/>
      <c r="H74" s="378"/>
      <c r="I74" s="378"/>
      <c r="J74" s="378"/>
      <c r="K74" s="378"/>
      <c r="L74" s="378"/>
      <c r="M74" s="378"/>
      <c r="N74" s="378"/>
    </row>
    <row r="75" spans="3:223">
      <c r="C75" s="378"/>
      <c r="D75" s="378"/>
      <c r="E75" s="378"/>
      <c r="F75" s="378"/>
      <c r="G75" s="378"/>
      <c r="H75" s="378"/>
      <c r="I75" s="378"/>
      <c r="J75" s="378"/>
      <c r="K75" s="378"/>
      <c r="L75" s="378"/>
      <c r="M75" s="378"/>
      <c r="N75" s="378"/>
    </row>
    <row r="76" spans="3:223">
      <c r="C76" s="379"/>
      <c r="D76" s="379"/>
      <c r="E76" s="379"/>
      <c r="F76" s="379"/>
      <c r="G76" s="379"/>
      <c r="H76" s="379"/>
      <c r="I76" s="379"/>
      <c r="J76" s="379"/>
      <c r="K76" s="379"/>
      <c r="L76" s="379"/>
      <c r="M76" s="379"/>
      <c r="N76" s="379"/>
    </row>
    <row r="77" spans="3:223">
      <c r="C77" s="379"/>
      <c r="D77" s="379"/>
      <c r="E77" s="379"/>
      <c r="F77" s="379"/>
      <c r="G77" s="379"/>
      <c r="H77" s="379"/>
      <c r="I77" s="379"/>
      <c r="J77" s="379"/>
      <c r="K77" s="379"/>
      <c r="L77" s="379"/>
      <c r="M77" s="379"/>
      <c r="N77" s="379"/>
    </row>
    <row r="78" spans="3:223">
      <c r="C78" s="379"/>
      <c r="D78" s="379"/>
      <c r="E78" s="379"/>
      <c r="F78" s="379"/>
      <c r="G78" s="379"/>
      <c r="H78" s="379"/>
      <c r="I78" s="379"/>
      <c r="J78" s="379"/>
      <c r="K78" s="379"/>
      <c r="L78" s="379"/>
      <c r="M78" s="379"/>
      <c r="N78" s="379"/>
    </row>
    <row r="79" spans="3:223">
      <c r="C79" s="378"/>
      <c r="D79" s="378"/>
      <c r="E79" s="378"/>
      <c r="F79" s="378"/>
      <c r="G79" s="378"/>
      <c r="H79" s="378"/>
      <c r="I79" s="378"/>
      <c r="J79" s="378"/>
      <c r="K79" s="378"/>
      <c r="L79" s="378"/>
      <c r="M79" s="378"/>
      <c r="N79" s="378"/>
    </row>
    <row r="80" spans="3:223">
      <c r="C80" s="378"/>
      <c r="D80" s="378"/>
      <c r="E80" s="378"/>
      <c r="F80" s="378"/>
      <c r="G80" s="378"/>
      <c r="H80" s="378"/>
      <c r="I80" s="378"/>
      <c r="J80" s="378"/>
      <c r="K80" s="378"/>
      <c r="L80" s="378"/>
      <c r="M80" s="378"/>
      <c r="N80" s="378"/>
    </row>
    <row r="81" spans="3:14">
      <c r="C81" s="379"/>
      <c r="D81" s="379"/>
      <c r="E81" s="379"/>
      <c r="F81" s="379"/>
      <c r="G81" s="379"/>
      <c r="H81" s="379"/>
      <c r="I81" s="379"/>
      <c r="J81" s="379"/>
      <c r="K81" s="379"/>
      <c r="L81" s="379"/>
      <c r="M81" s="379"/>
      <c r="N81" s="379"/>
    </row>
    <row r="82" spans="3:14">
      <c r="C82" s="378"/>
      <c r="D82" s="378"/>
      <c r="E82" s="378"/>
      <c r="F82" s="378"/>
      <c r="G82" s="378"/>
      <c r="H82" s="378"/>
      <c r="I82" s="378"/>
      <c r="J82" s="378"/>
      <c r="K82" s="378"/>
      <c r="L82" s="378"/>
      <c r="M82" s="378"/>
      <c r="N82" s="378"/>
    </row>
    <row r="86" spans="3:14">
      <c r="C86" s="378"/>
      <c r="D86" s="378"/>
    </row>
    <row r="87" spans="3:14">
      <c r="C87" s="378"/>
      <c r="D87" s="378"/>
    </row>
    <row r="88" spans="3:14">
      <c r="C88" s="378"/>
      <c r="D88" s="378"/>
    </row>
    <row r="89" spans="3:14">
      <c r="C89" s="378"/>
      <c r="D89" s="378"/>
    </row>
    <row r="90" spans="3:14">
      <c r="C90" s="378"/>
      <c r="D90" s="378"/>
      <c r="E90" s="378"/>
      <c r="F90" s="378"/>
    </row>
    <row r="91" spans="3:14">
      <c r="C91" s="378"/>
      <c r="D91" s="378"/>
    </row>
    <row r="92" spans="3:14">
      <c r="C92" s="378"/>
      <c r="D92" s="378"/>
    </row>
    <row r="93" spans="3:14">
      <c r="C93" s="378"/>
      <c r="D93" s="378"/>
    </row>
    <row r="94" spans="3:14">
      <c r="C94" s="378"/>
      <c r="D94" s="378"/>
      <c r="E94" s="378"/>
      <c r="F94" s="378"/>
    </row>
    <row r="95" spans="3:14">
      <c r="G95" s="378"/>
      <c r="H95" s="378"/>
    </row>
    <row r="96" spans="3:14">
      <c r="C96" s="378"/>
      <c r="D96" s="378"/>
    </row>
    <row r="102" spans="3:8">
      <c r="C102" s="378"/>
      <c r="D102" s="378"/>
      <c r="E102" s="378"/>
      <c r="F102" s="378"/>
      <c r="G102" s="380"/>
      <c r="H102" s="380"/>
    </row>
  </sheetData>
  <mergeCells count="10">
    <mergeCell ref="R53:AD53"/>
    <mergeCell ref="R54:AD54"/>
    <mergeCell ref="R55:AD55"/>
    <mergeCell ref="R56:AD56"/>
    <mergeCell ref="C1:M1"/>
    <mergeCell ref="Q1:AD1"/>
    <mergeCell ref="Q2:AD2"/>
    <mergeCell ref="Q3:AD3"/>
    <mergeCell ref="AC19:AD19"/>
    <mergeCell ref="AC20:AD20"/>
  </mergeCells>
  <printOptions horizontalCentered="1"/>
  <pageMargins left="0.7" right="0.7" top="0.75" bottom="0.75" header="0.3" footer="0.3"/>
  <pageSetup scale="51" orientation="portrait" horizont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M154"/>
  <sheetViews>
    <sheetView zoomScale="61" zoomScaleNormal="100" workbookViewId="0">
      <selection activeCell="C13" sqref="C13"/>
    </sheetView>
  </sheetViews>
  <sheetFormatPr defaultColWidth="9" defaultRowHeight="12.75"/>
  <cols>
    <col min="1" max="1" width="36.28515625" style="124" customWidth="1"/>
    <col min="2" max="2" width="15.28515625" style="124" bestFit="1" customWidth="1"/>
    <col min="3" max="3" width="18.7109375" style="124" customWidth="1"/>
    <col min="4" max="4" width="2.5703125" style="124" customWidth="1"/>
    <col min="5" max="5" width="18.7109375" style="124" customWidth="1"/>
    <col min="6" max="6" width="2" style="124" customWidth="1"/>
    <col min="7" max="7" width="18.7109375" style="124" customWidth="1"/>
    <col min="8" max="8" width="1.85546875" style="124" customWidth="1"/>
    <col min="9" max="9" width="18.7109375" style="124" customWidth="1"/>
    <col min="10" max="10" width="1.85546875" style="124" customWidth="1"/>
    <col min="11" max="11" width="18.7109375" style="124" customWidth="1"/>
    <col min="12" max="12" width="1.85546875" style="124" customWidth="1"/>
    <col min="13" max="13" width="18.7109375" style="124" customWidth="1"/>
    <col min="14" max="14" width="9" style="124"/>
    <col min="15" max="15" width="53.28515625" style="124" bestFit="1" customWidth="1"/>
    <col min="16" max="16" width="6.7109375" style="124" customWidth="1"/>
    <col min="17" max="17" width="12" style="124" customWidth="1"/>
    <col min="18" max="18" width="2.7109375" style="124" bestFit="1" customWidth="1"/>
    <col min="19" max="19" width="11.5703125" style="124" customWidth="1"/>
    <col min="20" max="20" width="2.7109375" style="124" customWidth="1"/>
    <col min="21" max="21" width="11.85546875" style="124" customWidth="1"/>
    <col min="22" max="22" width="2.7109375" style="124" customWidth="1"/>
    <col min="23" max="23" width="12" style="124" customWidth="1"/>
    <col min="24" max="24" width="2.7109375" style="124" customWidth="1"/>
    <col min="25" max="25" width="12" style="124" customWidth="1"/>
    <col min="26" max="26" width="2.7109375" style="124" customWidth="1"/>
    <col min="27" max="27" width="10.5703125" style="124" customWidth="1"/>
    <col min="28" max="28" width="2.7109375" style="124" customWidth="1"/>
    <col min="29" max="29" width="9" style="124"/>
    <col min="30" max="30" width="4.28515625" style="124" customWidth="1"/>
    <col min="31" max="31" width="3.7109375" style="124" customWidth="1"/>
    <col min="32" max="32" width="22.28515625" style="124" customWidth="1"/>
    <col min="33" max="16384" width="9" style="124"/>
  </cols>
  <sheetData>
    <row r="1" spans="1:27" ht="16.149999999999999" customHeight="1"/>
    <row r="2" spans="1:27" ht="16.149999999999999" customHeight="1"/>
    <row r="3" spans="1:27" ht="16.149999999999999" customHeight="1"/>
    <row r="4" spans="1:27" ht="16.149999999999999" customHeight="1" thickBot="1"/>
    <row r="5" spans="1:27" ht="15">
      <c r="A5" s="297" t="s">
        <v>181</v>
      </c>
    </row>
    <row r="6" spans="1:27" ht="13.5" thickBot="1">
      <c r="A6" s="298" t="s">
        <v>2333</v>
      </c>
      <c r="E6" s="127" t="s">
        <v>3922</v>
      </c>
      <c r="F6" s="127"/>
      <c r="G6" s="128"/>
      <c r="H6" s="128"/>
      <c r="I6" s="128"/>
      <c r="J6" s="128"/>
      <c r="K6" s="128"/>
      <c r="L6" s="128"/>
      <c r="O6" s="129" t="str">
        <f>E6</f>
        <v xml:space="preserve">Atmos Energy        </v>
      </c>
      <c r="P6" s="128"/>
      <c r="Q6" s="128"/>
      <c r="R6" s="127"/>
      <c r="S6" s="128"/>
      <c r="T6" s="128"/>
      <c r="U6" s="128"/>
      <c r="V6" s="128"/>
      <c r="W6" s="128"/>
      <c r="X6" s="128"/>
      <c r="Y6" s="128"/>
      <c r="Z6" s="128"/>
      <c r="AA6" s="128"/>
    </row>
    <row r="7" spans="1:27">
      <c r="E7" s="128" t="s">
        <v>0</v>
      </c>
      <c r="F7" s="128"/>
      <c r="G7" s="128"/>
      <c r="H7" s="128"/>
      <c r="I7" s="128"/>
      <c r="J7" s="128"/>
      <c r="K7" s="128"/>
      <c r="L7" s="128"/>
      <c r="O7" s="128" t="str">
        <f>E7</f>
        <v>CAPITALIZATION AND FINANCIAL STATISTICS  (1)</v>
      </c>
      <c r="P7" s="128"/>
      <c r="Q7" s="128"/>
      <c r="R7" s="128"/>
      <c r="S7" s="128"/>
      <c r="T7" s="128"/>
      <c r="U7" s="128"/>
      <c r="V7" s="128"/>
      <c r="W7" s="128"/>
      <c r="X7" s="128"/>
      <c r="Y7" s="128"/>
      <c r="Z7" s="128"/>
      <c r="AA7" s="128"/>
    </row>
    <row r="8" spans="1:27">
      <c r="E8" s="1058" t="s">
        <v>4355</v>
      </c>
      <c r="F8" s="1057"/>
      <c r="G8" s="1058"/>
      <c r="H8" s="1058"/>
      <c r="I8" s="1058"/>
      <c r="J8" s="128"/>
      <c r="K8" s="128"/>
      <c r="L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4381</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4930205000+2400452000-2200000000</f>
        <v>5130657000</v>
      </c>
      <c r="E12" s="130">
        <f>4531779000+165000</f>
        <v>4531944000</v>
      </c>
      <c r="G12" s="130">
        <v>3529452000</v>
      </c>
      <c r="I12" s="130">
        <f>2493665000+575000000</f>
        <v>3068665000</v>
      </c>
      <c r="K12" s="130">
        <v>3067045000</v>
      </c>
      <c r="M12" s="130">
        <v>2438779000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M13" s="130">
        <v>0</v>
      </c>
      <c r="Q13" s="128" t="s">
        <v>4</v>
      </c>
      <c r="R13" s="128"/>
      <c r="S13" s="128"/>
      <c r="T13" s="128"/>
      <c r="U13" s="128"/>
      <c r="V13" s="128"/>
      <c r="W13" s="128"/>
      <c r="X13" s="128"/>
      <c r="Y13" s="128"/>
      <c r="Z13" s="128" t="s">
        <v>5</v>
      </c>
      <c r="AA13" s="128" t="s">
        <v>5</v>
      </c>
    </row>
    <row r="14" spans="1:27">
      <c r="C14" s="130"/>
      <c r="E14" s="130"/>
      <c r="G14" s="130"/>
      <c r="I14" s="130"/>
      <c r="K14" s="130"/>
      <c r="O14" s="132" t="s">
        <v>6</v>
      </c>
      <c r="P14" s="132"/>
    </row>
    <row r="15" spans="1:27">
      <c r="A15" s="124" t="s">
        <v>8</v>
      </c>
      <c r="B15" s="124" t="s">
        <v>58</v>
      </c>
      <c r="C15" s="130">
        <v>132419754</v>
      </c>
      <c r="E15" s="130">
        <v>125882477</v>
      </c>
      <c r="G15" s="130">
        <v>119338925</v>
      </c>
      <c r="I15" s="130">
        <v>111273683</v>
      </c>
      <c r="K15" s="130">
        <v>106104634</v>
      </c>
      <c r="M15" s="130">
        <v>103930560</v>
      </c>
    </row>
    <row r="16" spans="1:27">
      <c r="A16" s="124" t="s">
        <v>10</v>
      </c>
      <c r="B16" s="124" t="s">
        <v>60</v>
      </c>
      <c r="C16" s="130">
        <v>7906889000</v>
      </c>
      <c r="E16" s="130">
        <v>6791203000</v>
      </c>
      <c r="G16" s="130">
        <v>5750223000</v>
      </c>
      <c r="I16" s="130">
        <v>4769951000</v>
      </c>
      <c r="K16" s="130">
        <v>3898666000</v>
      </c>
      <c r="M16" s="130">
        <v>3463059000</v>
      </c>
      <c r="O16" s="132" t="s">
        <v>9</v>
      </c>
      <c r="P16" s="132"/>
    </row>
    <row r="17" spans="1:28">
      <c r="A17" s="124" t="s">
        <v>49</v>
      </c>
      <c r="B17" s="124" t="s">
        <v>58</v>
      </c>
      <c r="C17" s="130">
        <v>0</v>
      </c>
      <c r="E17" s="130">
        <v>0</v>
      </c>
      <c r="G17" s="130">
        <v>0</v>
      </c>
      <c r="I17" s="130">
        <v>0</v>
      </c>
      <c r="K17" s="130">
        <v>0</v>
      </c>
      <c r="M17" s="130">
        <v>0</v>
      </c>
      <c r="O17" s="124" t="s">
        <v>11</v>
      </c>
      <c r="Q17" s="133">
        <f>C50/1000000</f>
        <v>13037.546</v>
      </c>
      <c r="R17" s="133"/>
      <c r="S17" s="133">
        <f>E50/1000000</f>
        <v>11323.147000000001</v>
      </c>
      <c r="T17" s="133"/>
      <c r="U17" s="133">
        <f>G50/1000000</f>
        <v>9279.6749999999993</v>
      </c>
      <c r="V17" s="133"/>
      <c r="W17" s="133">
        <f>I50/1000000</f>
        <v>7838.616</v>
      </c>
      <c r="X17" s="133"/>
      <c r="Y17" s="133">
        <f>K50/1000000</f>
        <v>6965.7110000000002</v>
      </c>
    </row>
    <row r="18" spans="1:28">
      <c r="C18" s="130"/>
      <c r="E18" s="130"/>
      <c r="G18" s="130"/>
      <c r="I18" s="130"/>
      <c r="K18" s="130"/>
      <c r="O18" s="124" t="s">
        <v>12</v>
      </c>
      <c r="Q18" s="134">
        <f>C19/1000000</f>
        <v>0</v>
      </c>
      <c r="R18" s="133"/>
      <c r="S18" s="134">
        <f>E19/1000000</f>
        <v>0</v>
      </c>
      <c r="T18" s="133"/>
      <c r="U18" s="134">
        <f>G19/1000000</f>
        <v>464.91500000000002</v>
      </c>
      <c r="V18" s="133"/>
      <c r="W18" s="134">
        <f>I19/1000000</f>
        <v>575.78</v>
      </c>
      <c r="X18" s="133"/>
      <c r="Y18" s="134">
        <f>K19/1000000</f>
        <v>447.745</v>
      </c>
    </row>
    <row r="19" spans="1:28">
      <c r="A19" s="124" t="s">
        <v>15</v>
      </c>
      <c r="B19" s="124" t="s">
        <v>67</v>
      </c>
      <c r="C19" s="130">
        <v>0</v>
      </c>
      <c r="E19" s="130">
        <v>0</v>
      </c>
      <c r="G19" s="130">
        <v>464915000</v>
      </c>
      <c r="I19" s="130">
        <v>575780000</v>
      </c>
      <c r="K19" s="130">
        <v>447745000</v>
      </c>
      <c r="M19" s="130">
        <v>829811000</v>
      </c>
      <c r="O19" s="124" t="s">
        <v>14</v>
      </c>
      <c r="Q19" s="135">
        <f>SUM(Q17:Q18)</f>
        <v>13037.546</v>
      </c>
      <c r="R19" s="133"/>
      <c r="S19" s="135">
        <f>SUM(S17:S18)</f>
        <v>11323.147000000001</v>
      </c>
      <c r="T19" s="133"/>
      <c r="U19" s="135">
        <f>SUM(U17:U18)</f>
        <v>9744.59</v>
      </c>
      <c r="V19" s="133"/>
      <c r="W19" s="135">
        <f>SUM(W17:W18)</f>
        <v>8414.3960000000006</v>
      </c>
      <c r="X19" s="133"/>
      <c r="Y19" s="135">
        <f>SUM(Y17:Y18)</f>
        <v>7413.4560000000001</v>
      </c>
    </row>
    <row r="20" spans="1:28">
      <c r="C20" s="130"/>
      <c r="E20" s="130"/>
      <c r="G20" s="130"/>
      <c r="I20" s="130"/>
      <c r="K20" s="130"/>
      <c r="M20" s="131"/>
    </row>
    <row r="21" spans="1:28">
      <c r="A21" s="124" t="s">
        <v>17</v>
      </c>
      <c r="B21" s="124" t="s">
        <v>61</v>
      </c>
      <c r="C21" s="130">
        <v>5.12</v>
      </c>
      <c r="E21" s="130">
        <v>4.8899999999999997</v>
      </c>
      <c r="G21" s="130">
        <v>4.3499999999999996</v>
      </c>
      <c r="I21" s="130">
        <v>5.43</v>
      </c>
      <c r="K21" s="130">
        <v>3.6</v>
      </c>
      <c r="M21" s="130">
        <v>3.38</v>
      </c>
      <c r="O21" s="132" t="s">
        <v>16</v>
      </c>
      <c r="P21" s="132"/>
    </row>
    <row r="22" spans="1:28">
      <c r="A22" s="124" t="s">
        <v>19</v>
      </c>
      <c r="B22" s="124" t="s">
        <v>1375</v>
      </c>
      <c r="C22" s="124">
        <v>104.83</v>
      </c>
      <c r="E22" s="130">
        <v>120.57</v>
      </c>
      <c r="G22" s="130">
        <v>114.65</v>
      </c>
      <c r="I22" s="130">
        <v>94.77</v>
      </c>
      <c r="K22" s="130">
        <v>88.69</v>
      </c>
      <c r="M22" s="130">
        <v>81.319999999999993</v>
      </c>
      <c r="O22" s="124" t="s">
        <v>54</v>
      </c>
      <c r="Q22" s="136">
        <f>(ROUND((C30/(AVERAGE(C54,E54))*100),2))</f>
        <v>1.73</v>
      </c>
      <c r="R22" s="137" t="s">
        <v>18</v>
      </c>
      <c r="S22" s="136">
        <f>(ROUND((E30/(AVERAGE(E54,G54))*100),2))</f>
        <v>1.98</v>
      </c>
      <c r="T22" s="137" t="s">
        <v>18</v>
      </c>
      <c r="U22" s="136">
        <f>(ROUND((G30/(AVERAGE(G54,I54))*100),2))</f>
        <v>2.7</v>
      </c>
      <c r="V22" s="137" t="s">
        <v>18</v>
      </c>
      <c r="W22" s="136">
        <f>(ROUND((I30/(AVERAGE(I54,K54))*100),2))</f>
        <v>2.98</v>
      </c>
      <c r="X22" s="137" t="s">
        <v>18</v>
      </c>
      <c r="Y22" s="136">
        <f>(ROUND((K30/(AVERAGE(K54,M54))*100),2))</f>
        <v>3.54</v>
      </c>
      <c r="Z22" s="137" t="s">
        <v>18</v>
      </c>
      <c r="AA22" s="255"/>
    </row>
    <row r="23" spans="1:28">
      <c r="A23" s="124" t="s">
        <v>21</v>
      </c>
      <c r="B23" s="124" t="s">
        <v>1375</v>
      </c>
      <c r="C23" s="124">
        <v>84.61</v>
      </c>
      <c r="E23" s="130">
        <v>80.5</v>
      </c>
      <c r="G23" s="130">
        <v>89.33</v>
      </c>
      <c r="I23" s="130">
        <v>78.03</v>
      </c>
      <c r="K23" s="130">
        <v>68.959999999999994</v>
      </c>
      <c r="M23" s="130">
        <v>57.82</v>
      </c>
      <c r="O23" s="124" t="s">
        <v>20</v>
      </c>
      <c r="Q23" s="136"/>
      <c r="R23" s="137"/>
      <c r="S23" s="136"/>
      <c r="T23" s="137"/>
      <c r="U23" s="136"/>
      <c r="V23" s="137"/>
      <c r="W23" s="136"/>
      <c r="X23" s="137"/>
      <c r="Y23" s="136"/>
      <c r="Z23" s="137"/>
    </row>
    <row r="24" spans="1:28">
      <c r="C24" s="130"/>
      <c r="E24" s="130"/>
      <c r="G24" s="130"/>
      <c r="I24" s="130"/>
      <c r="K24" s="130"/>
      <c r="AA24" s="1057" t="s">
        <v>52</v>
      </c>
      <c r="AB24" s="1057"/>
    </row>
    <row r="25" spans="1:28">
      <c r="C25" s="130"/>
      <c r="E25" s="130"/>
      <c r="G25" s="130"/>
      <c r="I25" s="130"/>
      <c r="K25" s="130"/>
      <c r="M25" s="131"/>
      <c r="O25" s="132" t="s">
        <v>30</v>
      </c>
      <c r="P25" s="132"/>
      <c r="AA25" s="1057" t="s">
        <v>22</v>
      </c>
      <c r="AB25" s="1057"/>
    </row>
    <row r="26" spans="1:28">
      <c r="A26" s="124" t="s">
        <v>26</v>
      </c>
      <c r="B26" s="124" t="s">
        <v>1375</v>
      </c>
      <c r="C26" s="130">
        <v>2.5</v>
      </c>
      <c r="E26" s="130">
        <v>2.2999999999999998</v>
      </c>
      <c r="G26" s="130">
        <v>2.1</v>
      </c>
      <c r="I26" s="130">
        <v>1.94</v>
      </c>
      <c r="K26" s="130">
        <v>1.8</v>
      </c>
      <c r="M26" s="130">
        <v>1.68</v>
      </c>
      <c r="O26" s="124" t="s">
        <v>32</v>
      </c>
    </row>
    <row r="27" spans="1:28">
      <c r="C27" s="130"/>
      <c r="E27" s="130"/>
      <c r="G27" s="130"/>
      <c r="I27" s="130"/>
      <c r="K27" s="130"/>
      <c r="M27" s="131"/>
      <c r="O27" s="124" t="s">
        <v>33</v>
      </c>
      <c r="Q27" s="136">
        <f>ROUND(((C12/C50)*100),2)</f>
        <v>39.35</v>
      </c>
      <c r="R27" s="137" t="s">
        <v>18</v>
      </c>
      <c r="S27" s="136">
        <f>ROUND(((E12/E50)*100),2)</f>
        <v>40.020000000000003</v>
      </c>
      <c r="T27" s="137" t="s">
        <v>18</v>
      </c>
      <c r="U27" s="136">
        <f>ROUND(((G12/G50)*100),2)</f>
        <v>38.03</v>
      </c>
      <c r="V27" s="137" t="s">
        <v>18</v>
      </c>
      <c r="W27" s="136">
        <f>ROUND(((I12/I50)*100),2)</f>
        <v>39.15</v>
      </c>
      <c r="X27" s="137" t="s">
        <v>18</v>
      </c>
      <c r="Y27" s="136">
        <f>ROUND(((K12/K50)*100),2)</f>
        <v>44.03</v>
      </c>
      <c r="Z27" s="137" t="s">
        <v>18</v>
      </c>
      <c r="AA27" s="136">
        <f>ROUND(AVERAGE(Q27:Y27),2)</f>
        <v>40.119999999999997</v>
      </c>
      <c r="AB27" s="137" t="s">
        <v>18</v>
      </c>
    </row>
    <row r="28" spans="1:28">
      <c r="A28" s="124" t="s">
        <v>37</v>
      </c>
      <c r="B28" s="124" t="s">
        <v>37</v>
      </c>
      <c r="C28" s="213">
        <v>44163000</v>
      </c>
      <c r="E28" s="213">
        <v>31929000</v>
      </c>
      <c r="G28" s="213">
        <v>18808000</v>
      </c>
      <c r="I28" s="130">
        <v>6800000</v>
      </c>
      <c r="K28" s="130">
        <v>2500000</v>
      </c>
      <c r="M28" s="130">
        <v>2800000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0"/>
      <c r="M29" s="131"/>
      <c r="O29" s="124" t="s">
        <v>35</v>
      </c>
      <c r="Q29" s="138">
        <f>ROUND(((C16/C50)*100),2)</f>
        <v>60.65</v>
      </c>
      <c r="R29" s="137"/>
      <c r="S29" s="138">
        <f>ROUND(((E16/E50)*100),2)</f>
        <v>59.98</v>
      </c>
      <c r="T29" s="137"/>
      <c r="U29" s="138">
        <f>ROUND(((G16/G50)*100),2)</f>
        <v>61.97</v>
      </c>
      <c r="V29" s="137"/>
      <c r="W29" s="138">
        <f>ROUND(((I16/I50)*100),2)</f>
        <v>60.85</v>
      </c>
      <c r="X29" s="137"/>
      <c r="Y29" s="138">
        <f>ROUND(((K16/K50)*100),2)</f>
        <v>55.97</v>
      </c>
      <c r="Z29" s="137"/>
      <c r="AA29" s="138">
        <f>ROUND(AVERAGE(Q29:Y29),2)</f>
        <v>59.88</v>
      </c>
      <c r="AB29" s="137"/>
    </row>
    <row r="30" spans="1:28">
      <c r="A30" s="124" t="s">
        <v>42</v>
      </c>
      <c r="B30" s="124" t="s">
        <v>62</v>
      </c>
      <c r="C30" s="213">
        <v>83554000</v>
      </c>
      <c r="E30" s="213">
        <v>84474000</v>
      </c>
      <c r="G30" s="213">
        <v>103153000</v>
      </c>
      <c r="I30" s="130">
        <v>106646000</v>
      </c>
      <c r="K30" s="130">
        <v>120182000</v>
      </c>
      <c r="M30" s="130">
        <v>115948000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0"/>
      <c r="M31" s="131"/>
    </row>
    <row r="32" spans="1:28">
      <c r="A32" s="124" t="s">
        <v>43</v>
      </c>
      <c r="B32" s="124" t="s">
        <v>63</v>
      </c>
      <c r="C32" s="213">
        <v>665563000</v>
      </c>
      <c r="E32" s="213">
        <v>601443000</v>
      </c>
      <c r="G32" s="213">
        <v>511406000</v>
      </c>
      <c r="I32" s="130">
        <v>603064000</v>
      </c>
      <c r="K32" s="130">
        <v>396421000</v>
      </c>
      <c r="M32" s="130">
        <v>350104000</v>
      </c>
      <c r="O32" s="124" t="s">
        <v>38</v>
      </c>
    </row>
    <row r="33" spans="1:28">
      <c r="A33" s="140"/>
      <c r="B33" s="140"/>
      <c r="C33" s="141"/>
      <c r="D33" s="140"/>
      <c r="E33" s="141"/>
      <c r="F33" s="140"/>
      <c r="G33" s="141"/>
      <c r="H33" s="140"/>
      <c r="I33" s="141"/>
      <c r="J33" s="140"/>
      <c r="K33" s="141"/>
      <c r="L33" s="140"/>
      <c r="M33" s="142"/>
      <c r="O33" s="124" t="s">
        <v>39</v>
      </c>
      <c r="Q33" s="136">
        <f>ROUND((((C12+C19)/C56)*100),2)</f>
        <v>39.35</v>
      </c>
      <c r="R33" s="137" t="s">
        <v>18</v>
      </c>
      <c r="S33" s="136">
        <f>ROUND((((E12+E19)/E56)*100),2)</f>
        <v>40.020000000000003</v>
      </c>
      <c r="T33" s="137" t="s">
        <v>18</v>
      </c>
      <c r="U33" s="136">
        <f>ROUND((((G12+G19)/G56)*100),2)</f>
        <v>40.99</v>
      </c>
      <c r="V33" s="137" t="s">
        <v>18</v>
      </c>
      <c r="W33" s="136">
        <f>ROUND((((I12+I19)/I56)*100),2)</f>
        <v>43.31</v>
      </c>
      <c r="X33" s="137" t="s">
        <v>18</v>
      </c>
      <c r="Y33" s="136">
        <f>ROUND((((K12+K19)/K56)*100),2)</f>
        <v>47.41</v>
      </c>
      <c r="Z33" s="137" t="s">
        <v>18</v>
      </c>
      <c r="AA33" s="136">
        <f>ROUND(AVERAGE(Q33:Y33),2)</f>
        <v>42.22</v>
      </c>
      <c r="AB33" s="137" t="s">
        <v>18</v>
      </c>
    </row>
    <row r="34" spans="1:28">
      <c r="A34" s="124" t="s">
        <v>46</v>
      </c>
      <c r="B34" s="124" t="s">
        <v>70</v>
      </c>
      <c r="C34" s="213">
        <f>C32</f>
        <v>665563000</v>
      </c>
      <c r="E34" s="213">
        <f>E32</f>
        <v>601443000</v>
      </c>
      <c r="G34" s="213">
        <f>G32</f>
        <v>511406000</v>
      </c>
      <c r="I34" s="130">
        <f>I32</f>
        <v>603064000</v>
      </c>
      <c r="K34" s="130">
        <v>396421000</v>
      </c>
      <c r="M34" s="130">
        <v>350104000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K35" s="130"/>
      <c r="O35" s="124" t="s">
        <v>35</v>
      </c>
      <c r="Q35" s="138">
        <f>ROUND((((C16)/C56)*100),2)</f>
        <v>60.65</v>
      </c>
      <c r="R35" s="137"/>
      <c r="S35" s="138">
        <f>ROUND((((E16)/E56)*100),2)</f>
        <v>59.98</v>
      </c>
      <c r="T35" s="137"/>
      <c r="U35" s="138">
        <f>ROUND((((G16)/G56)*100),2)</f>
        <v>59.01</v>
      </c>
      <c r="V35" s="137"/>
      <c r="W35" s="138">
        <f>ROUND((((I16)/I56)*100),2)</f>
        <v>56.69</v>
      </c>
      <c r="X35" s="137"/>
      <c r="Y35" s="138">
        <f>ROUND((((K16)/K56)*100),2)</f>
        <v>52.59</v>
      </c>
      <c r="Z35" s="137"/>
      <c r="AA35" s="138">
        <f>ROUND(AVERAGE(Q35:Y35),2)</f>
        <v>57.78</v>
      </c>
      <c r="AB35" s="137"/>
    </row>
    <row r="36" spans="1:28">
      <c r="A36" s="124" t="s">
        <v>45</v>
      </c>
      <c r="B36" s="124" t="s">
        <v>68</v>
      </c>
      <c r="C36" s="130">
        <v>0</v>
      </c>
      <c r="E36" s="130">
        <v>0</v>
      </c>
      <c r="G36" s="130">
        <v>0</v>
      </c>
      <c r="I36" s="130">
        <v>0</v>
      </c>
      <c r="K36" s="130">
        <v>0</v>
      </c>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c r="K37" s="130"/>
    </row>
    <row r="38" spans="1:28">
      <c r="A38" s="124" t="s">
        <v>47</v>
      </c>
      <c r="B38" s="124" t="s">
        <v>64</v>
      </c>
      <c r="C38" s="130">
        <v>323904000</v>
      </c>
      <c r="E38" s="130">
        <v>282444000</v>
      </c>
      <c r="G38" s="130">
        <v>245717000</v>
      </c>
      <c r="I38" s="130">
        <v>214906000</v>
      </c>
      <c r="K38" s="130">
        <v>191931000</v>
      </c>
      <c r="M38" s="130">
        <v>175126000</v>
      </c>
    </row>
    <row r="39" spans="1:28">
      <c r="C39" s="130"/>
      <c r="E39" s="130"/>
      <c r="G39" s="130"/>
      <c r="I39" s="130"/>
      <c r="K39" s="130"/>
      <c r="M39" s="131"/>
    </row>
    <row r="40" spans="1:28">
      <c r="A40" s="124" t="s">
        <v>55</v>
      </c>
      <c r="B40" s="124" t="s">
        <v>69</v>
      </c>
      <c r="C40" s="130">
        <f>C32</f>
        <v>665563000</v>
      </c>
      <c r="E40" s="130">
        <f>E34</f>
        <v>601443000</v>
      </c>
      <c r="G40" s="130">
        <f>G34</f>
        <v>511406000</v>
      </c>
      <c r="I40" s="130">
        <f>I34</f>
        <v>603064000</v>
      </c>
      <c r="K40" s="130">
        <v>396421000</v>
      </c>
      <c r="M40" s="130">
        <v>350104000</v>
      </c>
      <c r="O40" s="132" t="s">
        <v>40</v>
      </c>
      <c r="P40" s="132"/>
    </row>
    <row r="41" spans="1:28">
      <c r="A41" s="124" t="s">
        <v>72</v>
      </c>
      <c r="B41" s="124" t="s">
        <v>71</v>
      </c>
      <c r="C41" s="130">
        <f>-1084251000+2003659000+76652</f>
        <v>919484652</v>
      </c>
      <c r="E41" s="130">
        <v>1037999000</v>
      </c>
      <c r="G41" s="130">
        <v>968769000</v>
      </c>
      <c r="I41" s="130">
        <v>1124662000</v>
      </c>
      <c r="K41" s="130">
        <v>867090000</v>
      </c>
      <c r="M41" s="130">
        <v>794990000</v>
      </c>
      <c r="O41" s="132"/>
      <c r="P41" s="132"/>
    </row>
    <row r="42" spans="1:28">
      <c r="A42" s="124" t="s">
        <v>1460</v>
      </c>
      <c r="B42" s="124" t="s">
        <v>1461</v>
      </c>
      <c r="C42" s="130">
        <f>(-113665-66166-84705+136809+104242-166268-109349)*1000</f>
        <v>-299102000</v>
      </c>
      <c r="E42" s="130">
        <f>(7167+18188-35878-31935+7359-129543+30966)*1000</f>
        <v>-133676000</v>
      </c>
      <c r="G42" s="130">
        <f>(18724+35594-26590-58403+9908-103895+47976)*1000</f>
        <v>-76686000</v>
      </c>
      <c r="I42" s="130">
        <f>(-29208+18921+60424-10049-11857+74707+31923)*1000</f>
        <v>134861000</v>
      </c>
      <c r="K42" s="130">
        <v>-73177000</v>
      </c>
      <c r="M42" s="130">
        <v>-63212000</v>
      </c>
      <c r="O42" s="132" t="s">
        <v>24</v>
      </c>
    </row>
    <row r="43" spans="1:28">
      <c r="A43" s="124" t="s">
        <v>1462</v>
      </c>
      <c r="B43" s="124" t="s">
        <v>1463</v>
      </c>
      <c r="C43" s="130">
        <v>477977000</v>
      </c>
      <c r="E43" s="130">
        <v>429828000</v>
      </c>
      <c r="G43" s="130">
        <v>391456000</v>
      </c>
      <c r="I43" s="130">
        <v>361083000</v>
      </c>
      <c r="K43" s="130">
        <v>319448000</v>
      </c>
      <c r="M43" s="130">
        <v>293096000</v>
      </c>
      <c r="O43" s="124" t="s">
        <v>25</v>
      </c>
      <c r="Q43" s="136">
        <f>ROUND(C21/C52,4)*100</f>
        <v>5.41</v>
      </c>
      <c r="R43" s="137" t="s">
        <v>18</v>
      </c>
      <c r="S43" s="136">
        <f>ROUND(E21/E52,4)*100</f>
        <v>4.8599999999999994</v>
      </c>
      <c r="T43" s="137" t="s">
        <v>18</v>
      </c>
      <c r="U43" s="136">
        <f>ROUND(G21/G52,4)*100</f>
        <v>4.2700000000000005</v>
      </c>
      <c r="V43" s="137" t="s">
        <v>18</v>
      </c>
      <c r="W43" s="136">
        <f>ROUND(I21/I52,4)*100</f>
        <v>6.2799999999999994</v>
      </c>
      <c r="X43" s="137" t="s">
        <v>18</v>
      </c>
      <c r="Y43" s="136">
        <f>ROUND(K21/K52,4)*100</f>
        <v>4.5699999999999994</v>
      </c>
      <c r="Z43" s="137" t="s">
        <v>18</v>
      </c>
      <c r="AA43" s="136">
        <f>ROUND(AVERAGE(Q43:Y43),2)</f>
        <v>5.08</v>
      </c>
      <c r="AB43" s="137" t="s">
        <v>18</v>
      </c>
    </row>
    <row r="44" spans="1:28">
      <c r="A44" s="124" t="s">
        <v>1464</v>
      </c>
      <c r="B44" s="124" t="s">
        <v>1465</v>
      </c>
      <c r="C44" s="130">
        <v>153736000</v>
      </c>
      <c r="E44" s="130">
        <v>145353000</v>
      </c>
      <c r="G44" s="130">
        <v>138903000</v>
      </c>
      <c r="I44" s="130">
        <v>8080000</v>
      </c>
      <c r="K44" s="130">
        <v>221383000</v>
      </c>
      <c r="M44" s="130">
        <v>200373000</v>
      </c>
      <c r="O44" s="124" t="s">
        <v>27</v>
      </c>
      <c r="Q44" s="136">
        <f>(ROUND((C52/(AVERAGE(C48,E48))*100),2))</f>
        <v>166.67</v>
      </c>
      <c r="S44" s="136">
        <f>(ROUND((E52/(AVERAGE(E48,G48))*100),2))</f>
        <v>196.87</v>
      </c>
      <c r="U44" s="136">
        <f>(ROUND((G52/(AVERAGE(G48,I48))*100),2))</f>
        <v>224.03</v>
      </c>
      <c r="W44" s="136">
        <f>(ROUND((I52/(AVERAGE(I48,K48))*100),2))</f>
        <v>217.06</v>
      </c>
      <c r="Y44" s="136">
        <f>(ROUND((K52/(AVERAGE(K48,M48))*100),2))</f>
        <v>225.01</v>
      </c>
      <c r="AA44" s="136">
        <f>ROUND(AVERAGE(Q44:Y44),2)</f>
        <v>205.93</v>
      </c>
    </row>
    <row r="45" spans="1:28">
      <c r="C45" s="130"/>
      <c r="E45" s="130"/>
      <c r="G45" s="130"/>
      <c r="I45" s="130"/>
      <c r="O45" s="124" t="s">
        <v>28</v>
      </c>
      <c r="Q45" s="136">
        <f>ROUND(((+C26/C52)*100),2)</f>
        <v>2.64</v>
      </c>
      <c r="S45" s="136">
        <f>ROUND(((+E26/E52)*100),2)</f>
        <v>2.29</v>
      </c>
      <c r="U45" s="136">
        <f>ROUND(((+G26/G52)*100),2)</f>
        <v>2.06</v>
      </c>
      <c r="W45" s="136">
        <f>ROUND(((+I26/I52)*100),2)</f>
        <v>2.25</v>
      </c>
      <c r="Y45" s="136">
        <f>ROUND(((+K26/K52)*100),2)</f>
        <v>2.2799999999999998</v>
      </c>
      <c r="AA45" s="136">
        <f>ROUND(AVERAGE(Q45:Y45),2)</f>
        <v>2.2999999999999998</v>
      </c>
    </row>
    <row r="46" spans="1:28">
      <c r="A46" s="124" t="s">
        <v>59</v>
      </c>
      <c r="C46" s="130"/>
      <c r="E46" s="130"/>
      <c r="G46" s="130"/>
      <c r="I46" s="130"/>
      <c r="K46" s="131"/>
      <c r="L46" s="131"/>
      <c r="M46" s="131"/>
      <c r="O46" s="124" t="s">
        <v>29</v>
      </c>
      <c r="P46" s="132"/>
      <c r="Q46" s="136">
        <f>ROUND(((+C38/C34)*100),2)</f>
        <v>48.67</v>
      </c>
      <c r="S46" s="136">
        <f>ROUND(((+E38/E34)*100),2)</f>
        <v>46.96</v>
      </c>
      <c r="U46" s="136">
        <f>ROUND(((+G38/G34)*100),2)</f>
        <v>48.05</v>
      </c>
      <c r="W46" s="136">
        <f>ROUND(((+I38/I34)*100),2)</f>
        <v>35.64</v>
      </c>
      <c r="Y46" s="136">
        <f>ROUND(((+K38/K34)*100),2)</f>
        <v>48.42</v>
      </c>
      <c r="AA46" s="136">
        <f>ROUND(AVERAGE(Q46:Y46),2)</f>
        <v>45.55</v>
      </c>
    </row>
    <row r="47" spans="1:28">
      <c r="C47" s="130"/>
      <c r="E47" s="130"/>
      <c r="G47" s="130"/>
      <c r="I47" s="130"/>
      <c r="K47" s="131"/>
      <c r="L47" s="131"/>
      <c r="M47" s="131"/>
      <c r="Q47" s="136"/>
      <c r="S47" s="136"/>
      <c r="U47" s="136"/>
      <c r="W47" s="136"/>
      <c r="Y47" s="136"/>
      <c r="AA47" s="136"/>
    </row>
    <row r="48" spans="1:28">
      <c r="A48" s="124" t="s">
        <v>7</v>
      </c>
      <c r="B48" s="124" t="s">
        <v>50</v>
      </c>
      <c r="C48" s="130">
        <f>C16/C15</f>
        <v>59.710796623289305</v>
      </c>
      <c r="E48" s="130">
        <f>E16/E15</f>
        <v>53.948755711249632</v>
      </c>
      <c r="G48" s="130">
        <f>G16/G15</f>
        <v>48.183968474661555</v>
      </c>
      <c r="I48" s="130">
        <f>I16/I15</f>
        <v>42.866838513829009</v>
      </c>
      <c r="K48" s="130">
        <f>K16/K15</f>
        <v>36.743597833813745</v>
      </c>
      <c r="L48" s="131"/>
      <c r="M48" s="130">
        <f>M16/M15</f>
        <v>33.320892334266262</v>
      </c>
      <c r="O48" s="132" t="s">
        <v>41</v>
      </c>
      <c r="P48" s="132"/>
      <c r="Q48" s="136">
        <f>ROUND(((C34/AVERAGE(C16,E16))*100),2)</f>
        <v>9.06</v>
      </c>
      <c r="R48" s="124" t="s">
        <v>18</v>
      </c>
      <c r="S48" s="136">
        <f>ROUND(((E34/AVERAGE(E16,G16))*100),2)</f>
        <v>9.59</v>
      </c>
      <c r="T48" s="124" t="s">
        <v>18</v>
      </c>
      <c r="U48" s="136">
        <f>ROUND(((G34/AVERAGE(G16,I16))*100),2)</f>
        <v>9.7200000000000006</v>
      </c>
      <c r="V48" s="124" t="s">
        <v>18</v>
      </c>
      <c r="W48" s="136">
        <f>ROUND(((I34/AVERAGE(I16,K16))*100),2)</f>
        <v>13.91</v>
      </c>
      <c r="X48" s="124" t="s">
        <v>18</v>
      </c>
      <c r="Y48" s="136">
        <f>ROUND(((K34/AVERAGE(K16,M16))*100),2)</f>
        <v>10.77</v>
      </c>
      <c r="Z48" s="124" t="s">
        <v>18</v>
      </c>
      <c r="AA48" s="136">
        <f>ROUND(AVERAGE(Q48:Y48),2)</f>
        <v>10.61</v>
      </c>
      <c r="AB48" s="124" t="s">
        <v>18</v>
      </c>
    </row>
    <row r="49" spans="1:28">
      <c r="C49" s="130"/>
      <c r="E49" s="130"/>
      <c r="G49" s="130"/>
      <c r="I49" s="130"/>
      <c r="K49" s="130"/>
      <c r="L49" s="131"/>
      <c r="M49" s="130"/>
      <c r="Q49" s="136"/>
      <c r="S49" s="136"/>
      <c r="U49" s="136"/>
      <c r="W49" s="136"/>
      <c r="Y49" s="136"/>
      <c r="AA49" s="137"/>
    </row>
    <row r="50" spans="1:28">
      <c r="A50" s="124" t="s">
        <v>13</v>
      </c>
      <c r="B50" s="124" t="s">
        <v>50</v>
      </c>
      <c r="C50" s="130">
        <f>SUM(C12:C13,C16:C17)</f>
        <v>13037546000</v>
      </c>
      <c r="E50" s="130">
        <f>SUM(E12:E13,E16:E17)</f>
        <v>11323147000</v>
      </c>
      <c r="G50" s="130">
        <f>SUM(G12:G13,G16:G17)</f>
        <v>9279675000</v>
      </c>
      <c r="I50" s="130">
        <f>SUM(I12:I13,I16:I17)</f>
        <v>7838616000</v>
      </c>
      <c r="K50" s="130">
        <f>SUM(K12:K13,K16:K17)</f>
        <v>6965711000</v>
      </c>
      <c r="L50" s="131"/>
      <c r="M50" s="130">
        <f>SUM(M12:M13,M16:M17)</f>
        <v>5901838000</v>
      </c>
      <c r="O50" s="132" t="s">
        <v>142</v>
      </c>
      <c r="Q50" s="136">
        <f>ROUND((C54/C62),2)</f>
        <v>3.72</v>
      </c>
      <c r="R50" s="137" t="s">
        <v>44</v>
      </c>
      <c r="S50" s="136">
        <f>ROUND((E54/E62),2)</f>
        <v>3.59</v>
      </c>
      <c r="T50" s="137" t="s">
        <v>44</v>
      </c>
      <c r="U50" s="136">
        <f>ROUND((G54/G62),2)</f>
        <v>3.49</v>
      </c>
      <c r="V50" s="137" t="s">
        <v>44</v>
      </c>
      <c r="W50" s="136">
        <f>ROUND((I54/I62),2)</f>
        <v>3.38</v>
      </c>
      <c r="X50" s="137" t="s">
        <v>44</v>
      </c>
      <c r="Y50" s="136">
        <f>ROUND((K54/K62),2)</f>
        <v>3.32</v>
      </c>
      <c r="Z50" s="137" t="s">
        <v>44</v>
      </c>
      <c r="AA50" s="136">
        <f>ROUND(AVERAGE(Q50:Y50),2)</f>
        <v>3.5</v>
      </c>
      <c r="AB50" s="124" t="s">
        <v>44</v>
      </c>
    </row>
    <row r="51" spans="1:28">
      <c r="C51" s="130"/>
      <c r="E51" s="130"/>
      <c r="G51" s="130"/>
      <c r="I51" s="130"/>
      <c r="K51" s="130"/>
      <c r="L51" s="131"/>
      <c r="M51" s="130"/>
      <c r="O51" s="132"/>
      <c r="Q51" s="136"/>
      <c r="S51" s="136"/>
      <c r="U51" s="136"/>
      <c r="W51" s="136"/>
      <c r="Y51" s="136"/>
      <c r="AA51" s="136"/>
    </row>
    <row r="52" spans="1:28">
      <c r="A52" s="124" t="s">
        <v>23</v>
      </c>
      <c r="B52" s="124" t="s">
        <v>50</v>
      </c>
      <c r="C52" s="130">
        <f>AVERAGE(C22:C23)</f>
        <v>94.72</v>
      </c>
      <c r="E52" s="130">
        <f>AVERAGE(E22:E23)</f>
        <v>100.535</v>
      </c>
      <c r="G52" s="130">
        <f>AVERAGE(G22:G23)</f>
        <v>101.99000000000001</v>
      </c>
      <c r="I52" s="130">
        <f>AVERAGE(I22:I23)</f>
        <v>86.4</v>
      </c>
      <c r="K52" s="130">
        <f>AVERAGE(K22:K23)</f>
        <v>78.824999999999989</v>
      </c>
      <c r="L52" s="131"/>
      <c r="M52" s="130">
        <f>AVERAGE(M22:M23)</f>
        <v>69.569999999999993</v>
      </c>
      <c r="O52" s="132" t="s">
        <v>57</v>
      </c>
      <c r="Q52" s="136">
        <f>ROUND(((C60/C54)*100),2)</f>
        <v>11.23</v>
      </c>
      <c r="R52" s="137" t="s">
        <v>18</v>
      </c>
      <c r="S52" s="136">
        <f>ROUND(((E60/E54)*100),2)</f>
        <v>19.25</v>
      </c>
      <c r="T52" s="137" t="s">
        <v>18</v>
      </c>
      <c r="U52" s="136">
        <f>ROUND(((G60/G54)*100),2)</f>
        <v>21.86</v>
      </c>
      <c r="V52" s="137" t="s">
        <v>18</v>
      </c>
      <c r="W52" s="136">
        <f>ROUND(((I60/I54)*100),2)</f>
        <v>34.369999999999997</v>
      </c>
      <c r="X52" s="137" t="s">
        <v>18</v>
      </c>
      <c r="Y52" s="136">
        <f>ROUND(((K60/K54)*100),2)</f>
        <v>22.52</v>
      </c>
      <c r="Z52" s="137" t="s">
        <v>18</v>
      </c>
      <c r="AA52" s="136">
        <f>ROUND(AVERAGE(Q52:Y52),2)</f>
        <v>21.85</v>
      </c>
      <c r="AB52" s="124" t="s">
        <v>18</v>
      </c>
    </row>
    <row r="53" spans="1:28">
      <c r="C53" s="130"/>
      <c r="E53" s="130"/>
      <c r="G53" s="130"/>
      <c r="I53" s="130"/>
      <c r="K53" s="130"/>
      <c r="L53" s="131"/>
      <c r="M53" s="130"/>
      <c r="O53" s="143"/>
      <c r="Q53" s="136"/>
      <c r="S53" s="136"/>
      <c r="U53" s="136"/>
      <c r="W53" s="136"/>
      <c r="Y53" s="136"/>
    </row>
    <row r="54" spans="1:28">
      <c r="A54" s="124" t="s">
        <v>53</v>
      </c>
      <c r="C54" s="214">
        <f>+C19+C12</f>
        <v>5130657000</v>
      </c>
      <c r="E54" s="214">
        <f>+E19+E12</f>
        <v>4531944000</v>
      </c>
      <c r="G54" s="214">
        <f>+G19+G12</f>
        <v>3994367000</v>
      </c>
      <c r="I54" s="214">
        <f>+I19+I12</f>
        <v>3644445000</v>
      </c>
      <c r="K54" s="214">
        <f>+K19+K12</f>
        <v>3514790000</v>
      </c>
      <c r="L54" s="215"/>
      <c r="M54" s="214">
        <f>+M19+M12</f>
        <v>3268590000</v>
      </c>
      <c r="O54" s="143" t="s">
        <v>56</v>
      </c>
      <c r="Q54" s="136">
        <f>Q33</f>
        <v>39.35</v>
      </c>
      <c r="R54" s="137" t="s">
        <v>18</v>
      </c>
      <c r="S54" s="136">
        <f>S33</f>
        <v>40.020000000000003</v>
      </c>
      <c r="T54" s="137" t="s">
        <v>18</v>
      </c>
      <c r="U54" s="136">
        <f>U33</f>
        <v>40.99</v>
      </c>
      <c r="V54" s="137" t="s">
        <v>18</v>
      </c>
      <c r="W54" s="136">
        <f>W33</f>
        <v>43.31</v>
      </c>
      <c r="X54" s="137" t="s">
        <v>18</v>
      </c>
      <c r="Y54" s="136">
        <f>Y33</f>
        <v>47.41</v>
      </c>
      <c r="Z54" s="137" t="s">
        <v>18</v>
      </c>
      <c r="AA54" s="136">
        <f>ROUND(AVERAGE(Q54:Y54),2)</f>
        <v>42.22</v>
      </c>
      <c r="AB54" s="137" t="s">
        <v>18</v>
      </c>
    </row>
    <row r="55" spans="1:28">
      <c r="C55" s="130"/>
      <c r="E55" s="130"/>
      <c r="G55" s="130"/>
      <c r="I55" s="130"/>
      <c r="K55" s="130"/>
      <c r="L55" s="131"/>
      <c r="M55" s="130"/>
    </row>
    <row r="56" spans="1:28">
      <c r="A56" s="124" t="s">
        <v>31</v>
      </c>
      <c r="B56" s="124" t="s">
        <v>50</v>
      </c>
      <c r="C56" s="130">
        <f>SUM(C50,C19)</f>
        <v>13037546000</v>
      </c>
      <c r="E56" s="130">
        <f>SUM(E50,E19)</f>
        <v>11323147000</v>
      </c>
      <c r="G56" s="130">
        <f>SUM(G50,G19)</f>
        <v>9744590000</v>
      </c>
      <c r="I56" s="130">
        <f>SUM(I50,I19)</f>
        <v>8414396000</v>
      </c>
      <c r="K56" s="130">
        <f>SUM(K50,K19)</f>
        <v>7413456000</v>
      </c>
      <c r="L56" s="131"/>
      <c r="M56" s="130">
        <f>SUM(M50,M19)</f>
        <v>6731649000</v>
      </c>
    </row>
    <row r="57" spans="1:28">
      <c r="C57" s="130"/>
      <c r="E57" s="130"/>
      <c r="G57" s="130"/>
      <c r="I57" s="130"/>
      <c r="K57" s="130"/>
      <c r="L57" s="131"/>
      <c r="M57" s="130"/>
    </row>
    <row r="58" spans="1:28">
      <c r="A58" s="124" t="s">
        <v>51</v>
      </c>
      <c r="B58" s="124" t="s">
        <v>50</v>
      </c>
      <c r="C58" s="130">
        <f>SUM(C13,C17)</f>
        <v>0</v>
      </c>
      <c r="E58" s="130">
        <f>SUM(E13,E17)</f>
        <v>0</v>
      </c>
      <c r="G58" s="130">
        <f>SUM(G13,G17)</f>
        <v>0</v>
      </c>
      <c r="I58" s="130">
        <f>SUM(I13,I17)</f>
        <v>0</v>
      </c>
      <c r="K58" s="130">
        <f>SUM(K13,K17)</f>
        <v>0</v>
      </c>
      <c r="L58" s="131"/>
      <c r="M58" s="130">
        <f>SUM(M13,M17)</f>
        <v>0</v>
      </c>
    </row>
    <row r="59" spans="1:28">
      <c r="C59" s="130"/>
      <c r="E59" s="130"/>
      <c r="G59" s="130"/>
      <c r="I59" s="130"/>
      <c r="K59" s="130"/>
      <c r="L59" s="131"/>
      <c r="M59" s="130"/>
    </row>
    <row r="60" spans="1:28">
      <c r="A60" s="126" t="s">
        <v>1466</v>
      </c>
      <c r="B60" s="124" t="s">
        <v>50</v>
      </c>
      <c r="C60" s="130">
        <f>ROUND(C41+C42-C28,3)</f>
        <v>576219652</v>
      </c>
      <c r="E60" s="130">
        <f>ROUND(E41+E42-E28,3)</f>
        <v>872394000</v>
      </c>
      <c r="G60" s="130">
        <f>ROUND(G41+G42-G28,3)</f>
        <v>873275000</v>
      </c>
      <c r="I60" s="130">
        <f>ROUND(I41+I42-I28,3)</f>
        <v>1252723000</v>
      </c>
      <c r="K60" s="130">
        <f>ROUND(K41+K42-K28,3)</f>
        <v>791413000</v>
      </c>
      <c r="L60" s="131"/>
      <c r="M60" s="130">
        <f>ROUND(M41+M42-M28,3)</f>
        <v>728978000</v>
      </c>
    </row>
    <row r="61" spans="1:28">
      <c r="A61" s="126"/>
      <c r="C61" s="130"/>
      <c r="E61" s="130"/>
      <c r="G61" s="130"/>
      <c r="I61" s="130"/>
      <c r="K61" s="130"/>
      <c r="L61" s="131"/>
      <c r="M61" s="130"/>
    </row>
    <row r="62" spans="1:28">
      <c r="A62" s="124" t="s">
        <v>1467</v>
      </c>
      <c r="B62" s="124" t="s">
        <v>50</v>
      </c>
      <c r="C62" s="130">
        <f>C40+C44+C43+C30</f>
        <v>1380830000</v>
      </c>
      <c r="E62" s="130">
        <f>E40+E44+E43+E30</f>
        <v>1261098000</v>
      </c>
      <c r="G62" s="130">
        <f>G40+G44+G43+G30</f>
        <v>1144918000</v>
      </c>
      <c r="I62" s="130">
        <f>I40+I44+I43+I30</f>
        <v>1078873000</v>
      </c>
      <c r="K62" s="130">
        <f>K40+K44+K43+K30</f>
        <v>1057434000</v>
      </c>
      <c r="M62" s="130">
        <f>M40+M44+M43+M30</f>
        <v>959521000</v>
      </c>
    </row>
    <row r="63" spans="1:28">
      <c r="E63" s="131"/>
      <c r="F63" s="131"/>
      <c r="G63" s="131"/>
      <c r="H63" s="131"/>
      <c r="I63" s="131"/>
      <c r="J63" s="131"/>
      <c r="K63" s="131"/>
      <c r="L63" s="131"/>
      <c r="M63" s="131"/>
    </row>
    <row r="64" spans="1:28">
      <c r="E64" s="131"/>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row>
    <row r="132" spans="5:13">
      <c r="E132" s="131"/>
      <c r="F132" s="131"/>
      <c r="G132" s="131"/>
      <c r="H132" s="131"/>
      <c r="I132" s="131"/>
      <c r="J132" s="131"/>
      <c r="K132" s="131"/>
      <c r="L132" s="131"/>
    </row>
    <row r="133" spans="5:13">
      <c r="E133" s="131"/>
      <c r="F133" s="131"/>
      <c r="G133" s="131"/>
      <c r="H133" s="131"/>
      <c r="I133" s="131"/>
      <c r="J133" s="131"/>
      <c r="K133" s="131"/>
      <c r="L133" s="131"/>
    </row>
    <row r="134" spans="5:13">
      <c r="E134" s="131"/>
      <c r="F134" s="131"/>
      <c r="G134" s="131"/>
      <c r="H134" s="131"/>
      <c r="I134" s="131"/>
      <c r="J134" s="131"/>
      <c r="K134" s="131"/>
      <c r="L134" s="131"/>
    </row>
    <row r="135" spans="5:13">
      <c r="E135" s="131"/>
      <c r="F135" s="131"/>
      <c r="G135" s="131"/>
      <c r="H135" s="131"/>
      <c r="I135" s="131"/>
      <c r="J135" s="131"/>
      <c r="K135" s="131"/>
      <c r="L135" s="131"/>
    </row>
    <row r="136" spans="5:13">
      <c r="E136" s="131"/>
      <c r="F136" s="131"/>
      <c r="G136" s="131"/>
      <c r="H136" s="131"/>
      <c r="I136" s="131"/>
      <c r="J136" s="131"/>
      <c r="K136" s="131"/>
      <c r="L136" s="131"/>
    </row>
    <row r="137" spans="5:13">
      <c r="E137" s="131"/>
      <c r="F137" s="131"/>
      <c r="G137" s="131"/>
      <c r="H137" s="131"/>
      <c r="I137" s="131"/>
      <c r="J137" s="131"/>
      <c r="K137" s="131"/>
      <c r="L137" s="131"/>
    </row>
    <row r="138" spans="5:13">
      <c r="E138" s="131"/>
      <c r="F138" s="131"/>
      <c r="G138" s="131"/>
      <c r="H138" s="131"/>
      <c r="I138" s="131"/>
      <c r="J138" s="131"/>
      <c r="K138" s="131"/>
      <c r="L138" s="131"/>
    </row>
    <row r="139" spans="5:13">
      <c r="E139" s="131"/>
      <c r="F139" s="131"/>
      <c r="G139" s="131"/>
      <c r="H139" s="131"/>
      <c r="I139" s="131"/>
      <c r="J139" s="131"/>
      <c r="K139" s="131"/>
      <c r="L139" s="131"/>
    </row>
    <row r="140" spans="5:13">
      <c r="E140" s="131"/>
      <c r="F140" s="131"/>
      <c r="G140" s="131"/>
      <c r="H140" s="131"/>
      <c r="I140" s="131"/>
      <c r="J140" s="131"/>
      <c r="K140" s="131"/>
      <c r="L140" s="131"/>
    </row>
    <row r="141" spans="5:13">
      <c r="E141" s="131"/>
      <c r="F141" s="131"/>
      <c r="G141" s="131"/>
      <c r="H141" s="131"/>
      <c r="I141" s="131"/>
      <c r="J141" s="131"/>
      <c r="K141" s="131"/>
      <c r="L141" s="131"/>
    </row>
    <row r="142" spans="5:13">
      <c r="E142" s="131"/>
      <c r="F142" s="131"/>
      <c r="G142" s="131"/>
      <c r="H142" s="131"/>
      <c r="I142" s="131"/>
      <c r="J142" s="131"/>
      <c r="K142" s="131"/>
      <c r="L142" s="131"/>
    </row>
    <row r="143" spans="5:13">
      <c r="E143" s="131"/>
      <c r="F143" s="131"/>
      <c r="G143" s="131"/>
      <c r="H143" s="131"/>
      <c r="I143" s="131"/>
      <c r="J143" s="131"/>
      <c r="K143" s="131"/>
      <c r="L143" s="131"/>
    </row>
    <row r="144" spans="5:13">
      <c r="E144" s="131"/>
      <c r="F144" s="131"/>
      <c r="G144" s="131"/>
      <c r="H144" s="131"/>
      <c r="I144" s="131"/>
      <c r="J144" s="131"/>
      <c r="K144" s="131"/>
      <c r="L144" s="131"/>
    </row>
    <row r="145" spans="5:12">
      <c r="E145" s="131"/>
      <c r="F145" s="131"/>
      <c r="G145" s="131"/>
      <c r="H145" s="131"/>
      <c r="I145" s="131"/>
      <c r="J145" s="131"/>
      <c r="K145" s="131"/>
      <c r="L145" s="131"/>
    </row>
    <row r="146" spans="5:12">
      <c r="E146" s="131"/>
      <c r="F146" s="131"/>
      <c r="G146" s="131"/>
      <c r="H146" s="131"/>
      <c r="I146" s="131"/>
      <c r="J146" s="131"/>
      <c r="K146" s="131"/>
      <c r="L146" s="131"/>
    </row>
    <row r="147" spans="5:12">
      <c r="E147" s="131"/>
      <c r="F147" s="131"/>
      <c r="G147" s="131"/>
      <c r="H147" s="131"/>
      <c r="I147" s="131"/>
      <c r="J147" s="131"/>
      <c r="K147" s="131"/>
      <c r="L147" s="131"/>
    </row>
    <row r="148" spans="5:12">
      <c r="E148" s="131"/>
      <c r="F148" s="131"/>
      <c r="G148" s="131"/>
      <c r="H148" s="131"/>
      <c r="I148" s="131"/>
      <c r="J148" s="131"/>
      <c r="K148" s="131"/>
      <c r="L148" s="131"/>
    </row>
    <row r="149" spans="5:12">
      <c r="E149" s="131"/>
      <c r="F149" s="131"/>
      <c r="G149" s="131"/>
      <c r="H149" s="131"/>
      <c r="I149" s="131"/>
      <c r="J149" s="131"/>
      <c r="K149" s="131"/>
      <c r="L149" s="131"/>
    </row>
    <row r="150" spans="5:12">
      <c r="E150" s="131"/>
      <c r="F150" s="131"/>
      <c r="G150" s="131"/>
      <c r="H150" s="131"/>
      <c r="I150" s="131"/>
      <c r="J150" s="131"/>
      <c r="K150" s="131"/>
      <c r="L150" s="131"/>
    </row>
    <row r="151" spans="5:12">
      <c r="E151" s="131"/>
      <c r="F151" s="131"/>
      <c r="G151" s="131"/>
      <c r="H151" s="131"/>
      <c r="I151" s="131"/>
      <c r="J151" s="131"/>
      <c r="K151" s="131"/>
      <c r="L151" s="131"/>
    </row>
    <row r="152" spans="5:12">
      <c r="E152" s="131"/>
      <c r="F152" s="131"/>
      <c r="G152" s="131"/>
      <c r="H152" s="131"/>
      <c r="I152" s="131"/>
      <c r="J152" s="131"/>
      <c r="K152" s="131"/>
      <c r="L152" s="131"/>
    </row>
    <row r="153" spans="5:12">
      <c r="E153" s="131"/>
      <c r="F153" s="131"/>
      <c r="G153" s="131"/>
      <c r="H153" s="131"/>
      <c r="I153" s="131"/>
      <c r="J153" s="131"/>
      <c r="K153" s="131"/>
      <c r="L153" s="131"/>
    </row>
    <row r="154" spans="5:12">
      <c r="E154" s="131"/>
      <c r="F154" s="131"/>
      <c r="G154" s="131"/>
      <c r="H154" s="131"/>
      <c r="I154" s="131"/>
      <c r="J154" s="131"/>
      <c r="K154" s="131"/>
      <c r="L154" s="131"/>
    </row>
  </sheetData>
  <mergeCells count="3">
    <mergeCell ref="AA24:AB24"/>
    <mergeCell ref="AA25:AB25"/>
    <mergeCell ref="E8:I8"/>
  </mergeCells>
  <printOptions horizontalCentered="1"/>
  <pageMargins left="0.75" right="0.75" top="1" bottom="1" header="0.5" footer="0.5"/>
  <pageSetup scale="10"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M154"/>
  <sheetViews>
    <sheetView topLeftCell="M30" zoomScale="64" workbookViewId="0">
      <selection activeCell="X46" sqref="X46"/>
    </sheetView>
  </sheetViews>
  <sheetFormatPr defaultColWidth="9" defaultRowHeight="12.75"/>
  <cols>
    <col min="1" max="1" width="35.5703125" style="124" bestFit="1" customWidth="1"/>
    <col min="2" max="2" width="15.28515625" style="124" bestFit="1" customWidth="1"/>
    <col min="3" max="3" width="18.7109375" style="124" customWidth="1"/>
    <col min="4" max="4" width="2.28515625" style="124" customWidth="1"/>
    <col min="5" max="5" width="18.7109375" style="124" customWidth="1"/>
    <col min="6" max="6" width="2" style="124" customWidth="1"/>
    <col min="7" max="7" width="18.7109375" style="124" customWidth="1"/>
    <col min="8" max="8" width="1.85546875" style="124" customWidth="1"/>
    <col min="9" max="9" width="18.7109375" style="124" customWidth="1"/>
    <col min="10" max="10" width="1.85546875" style="124" customWidth="1"/>
    <col min="11" max="11" width="18.7109375" style="124" customWidth="1"/>
    <col min="12" max="12" width="2.28515625" style="124" customWidth="1"/>
    <col min="13" max="13" width="18.7109375" style="124" customWidth="1"/>
    <col min="14" max="14" width="9" style="124"/>
    <col min="15" max="15" width="53.85546875" style="124" bestFit="1" customWidth="1"/>
    <col min="16" max="16" width="6.7109375" style="124" customWidth="1"/>
    <col min="17" max="17" width="11.7109375" style="124" customWidth="1"/>
    <col min="18" max="18" width="2.7109375" style="124" bestFit="1" customWidth="1"/>
    <col min="19" max="19" width="11.7109375" style="124" customWidth="1"/>
    <col min="20" max="20" width="2.7109375" style="124" customWidth="1"/>
    <col min="21" max="21" width="12" style="124" customWidth="1"/>
    <col min="22" max="22" width="2.7109375" style="124" customWidth="1"/>
    <col min="23" max="23" width="12" style="124" customWidth="1"/>
    <col min="24" max="24" width="2.7109375" style="124" customWidth="1"/>
    <col min="25" max="25" width="12" style="124" customWidth="1"/>
    <col min="26" max="26" width="2.7109375" style="124" customWidth="1"/>
    <col min="27" max="27" width="7" style="124" customWidth="1"/>
    <col min="28" max="28" width="2.7109375" style="124" customWidth="1"/>
    <col min="29" max="29" width="9" style="124"/>
    <col min="30" max="30" width="4.28515625" style="124" customWidth="1"/>
    <col min="31" max="31" width="3.7109375" style="124" customWidth="1"/>
    <col min="32" max="32" width="22.28515625" style="124" customWidth="1"/>
    <col min="33" max="220" width="9" style="124"/>
    <col min="221" max="221" width="24.5703125" style="124" bestFit="1" customWidth="1"/>
    <col min="222" max="16384" width="9" style="124"/>
  </cols>
  <sheetData>
    <row r="1" spans="1:27" ht="16.149999999999999" customHeight="1">
      <c r="A1" s="505"/>
    </row>
    <row r="2" spans="1:27" ht="16.149999999999999" customHeight="1">
      <c r="A2" s="505"/>
    </row>
    <row r="3" spans="1:27" ht="16.149999999999999" customHeight="1">
      <c r="A3" s="505"/>
    </row>
    <row r="4" spans="1:27" ht="16.149999999999999" customHeight="1" thickBot="1">
      <c r="A4" s="505"/>
    </row>
    <row r="5" spans="1:27" ht="15">
      <c r="A5" s="506" t="s">
        <v>2255</v>
      </c>
    </row>
    <row r="6" spans="1:27" ht="15" thickBot="1">
      <c r="A6" s="507" t="s">
        <v>214</v>
      </c>
      <c r="E6" s="127" t="s">
        <v>4354</v>
      </c>
      <c r="F6" s="127"/>
      <c r="G6" s="128"/>
      <c r="H6" s="128"/>
      <c r="I6" s="128"/>
      <c r="J6" s="128"/>
      <c r="K6" s="128"/>
      <c r="L6" s="259"/>
      <c r="M6" s="259"/>
      <c r="O6" s="129" t="str">
        <f>E6</f>
        <v>NiSource Inc.</v>
      </c>
      <c r="P6" s="128"/>
      <c r="Q6" s="128"/>
      <c r="R6" s="127"/>
      <c r="S6" s="128"/>
      <c r="T6" s="128"/>
      <c r="U6" s="128"/>
      <c r="V6" s="128"/>
      <c r="W6" s="128"/>
      <c r="X6" s="128"/>
      <c r="Y6" s="128"/>
      <c r="Z6" s="128"/>
      <c r="AA6" s="128"/>
    </row>
    <row r="7" spans="1:27" ht="14.25">
      <c r="E7" s="128" t="s">
        <v>0</v>
      </c>
      <c r="F7" s="128"/>
      <c r="G7" s="128"/>
      <c r="H7" s="128"/>
      <c r="I7" s="128"/>
      <c r="J7" s="128"/>
      <c r="K7" s="128"/>
      <c r="L7" s="259"/>
      <c r="M7" s="259"/>
      <c r="O7" s="128" t="str">
        <f>E7</f>
        <v>CAPITALIZATION AND FINANCIAL STATISTICS  (1)</v>
      </c>
      <c r="P7" s="128"/>
      <c r="Q7" s="128"/>
      <c r="R7" s="128"/>
      <c r="S7" s="128"/>
      <c r="T7" s="128"/>
      <c r="U7" s="128"/>
      <c r="V7" s="128"/>
      <c r="W7" s="128"/>
      <c r="X7" s="128"/>
      <c r="Y7" s="128"/>
      <c r="Z7" s="128"/>
      <c r="AA7" s="128"/>
    </row>
    <row r="8" spans="1:27" ht="14.25">
      <c r="E8" s="127" t="s">
        <v>4355</v>
      </c>
      <c r="F8" s="127"/>
      <c r="G8" s="128"/>
      <c r="H8" s="128"/>
      <c r="I8" s="128"/>
      <c r="J8" s="128"/>
      <c r="K8" s="128"/>
      <c r="L8" s="259"/>
      <c r="M8" s="259"/>
      <c r="O8" s="127" t="s">
        <v>4356</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4357</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9183400000+58100000</f>
        <v>9241500000</v>
      </c>
      <c r="E12" s="130">
        <f>9219800000+23300000</f>
        <v>9243100000</v>
      </c>
      <c r="F12" s="252"/>
      <c r="G12" s="130">
        <f>7856200000+13400000</f>
        <v>7869600000</v>
      </c>
      <c r="H12" s="252"/>
      <c r="I12" s="130">
        <v>7155400000</v>
      </c>
      <c r="J12" s="252"/>
      <c r="K12" s="130">
        <v>7796500000</v>
      </c>
      <c r="L12" s="252"/>
      <c r="M12" s="130">
        <v>6421300000</v>
      </c>
      <c r="Q12" s="326">
        <f>C10</f>
        <v>2021</v>
      </c>
      <c r="R12" s="326"/>
      <c r="S12" s="326">
        <f>E10</f>
        <v>2020</v>
      </c>
      <c r="T12" s="326"/>
      <c r="U12" s="326">
        <f>G10</f>
        <v>2019</v>
      </c>
      <c r="V12" s="326"/>
      <c r="W12" s="326">
        <f>I10</f>
        <v>2018</v>
      </c>
      <c r="X12" s="326"/>
      <c r="Y12" s="326">
        <f>K10</f>
        <v>2017</v>
      </c>
      <c r="Z12" s="326"/>
    </row>
    <row r="13" spans="1:27">
      <c r="A13" s="124" t="s">
        <v>3</v>
      </c>
      <c r="B13" s="124" t="s">
        <v>66</v>
      </c>
      <c r="C13" s="130">
        <v>1546500000</v>
      </c>
      <c r="E13" s="130">
        <v>880000000</v>
      </c>
      <c r="G13" s="130">
        <v>880000000</v>
      </c>
      <c r="I13" s="130">
        <v>880000000</v>
      </c>
      <c r="K13" s="130">
        <v>0</v>
      </c>
      <c r="M13" s="130">
        <v>0</v>
      </c>
      <c r="Q13" s="128" t="s">
        <v>4</v>
      </c>
      <c r="R13" s="128"/>
      <c r="S13" s="128"/>
      <c r="T13" s="128"/>
      <c r="U13" s="128"/>
      <c r="V13" s="128"/>
      <c r="W13" s="128"/>
      <c r="X13" s="128"/>
      <c r="Y13" s="128"/>
      <c r="Z13" s="128" t="s">
        <v>5</v>
      </c>
      <c r="AA13" s="128" t="s">
        <v>5</v>
      </c>
    </row>
    <row r="14" spans="1:27">
      <c r="C14" s="130"/>
      <c r="E14" s="130"/>
      <c r="G14" s="130"/>
      <c r="K14" s="130"/>
      <c r="O14" s="132" t="s">
        <v>6</v>
      </c>
      <c r="P14" s="132"/>
    </row>
    <row r="15" spans="1:27">
      <c r="A15" s="124" t="s">
        <v>8</v>
      </c>
      <c r="B15" s="124" t="s">
        <v>58</v>
      </c>
      <c r="C15" s="130">
        <v>405303023</v>
      </c>
      <c r="E15" s="130">
        <v>391760051</v>
      </c>
      <c r="G15" s="130">
        <v>382135680</v>
      </c>
      <c r="I15" s="130">
        <v>372363656</v>
      </c>
      <c r="K15" s="130">
        <v>337015806</v>
      </c>
      <c r="M15" s="130">
        <v>323159672</v>
      </c>
    </row>
    <row r="16" spans="1:27">
      <c r="A16" s="124" t="s">
        <v>10</v>
      </c>
      <c r="B16" s="124" t="s">
        <v>60</v>
      </c>
      <c r="C16" s="130">
        <f>6947300000-C13</f>
        <v>5400800000</v>
      </c>
      <c r="E16" s="130">
        <f>5752200000-E13</f>
        <v>4872200000</v>
      </c>
      <c r="F16" s="252"/>
      <c r="G16" s="130">
        <f>5986700000-G13</f>
        <v>5106700000</v>
      </c>
      <c r="H16" s="252"/>
      <c r="I16" s="130">
        <f>5750900000-I13</f>
        <v>4870900000</v>
      </c>
      <c r="J16" s="252"/>
      <c r="K16" s="130">
        <v>4320100000</v>
      </c>
      <c r="L16" s="252"/>
      <c r="M16" s="130">
        <v>4071200000</v>
      </c>
      <c r="O16" s="132" t="s">
        <v>9</v>
      </c>
      <c r="P16" s="132"/>
    </row>
    <row r="17" spans="1:28">
      <c r="A17" s="124" t="s">
        <v>49</v>
      </c>
      <c r="B17" s="124" t="s">
        <v>58</v>
      </c>
      <c r="C17" s="130">
        <v>0</v>
      </c>
      <c r="E17" s="130">
        <v>0</v>
      </c>
      <c r="F17" s="252"/>
      <c r="G17" s="130">
        <v>0</v>
      </c>
      <c r="H17" s="252"/>
      <c r="I17" s="261">
        <v>0</v>
      </c>
      <c r="J17" s="252"/>
      <c r="K17" s="130">
        <v>0</v>
      </c>
      <c r="L17" s="252"/>
      <c r="M17" s="261">
        <v>0</v>
      </c>
      <c r="O17" s="124" t="s">
        <v>11</v>
      </c>
      <c r="Q17" s="133">
        <f>C50/1000000</f>
        <v>16188.8</v>
      </c>
      <c r="R17" s="133"/>
      <c r="S17" s="133">
        <f>E50/1000000</f>
        <v>14995.3</v>
      </c>
      <c r="T17" s="133"/>
      <c r="U17" s="133">
        <f>G50/1000000</f>
        <v>13856.3</v>
      </c>
      <c r="V17" s="133"/>
      <c r="W17" s="133">
        <f>I50/1000000</f>
        <v>12906.3</v>
      </c>
      <c r="X17" s="133"/>
      <c r="Y17" s="133">
        <f>K50/1000000</f>
        <v>12116.6</v>
      </c>
    </row>
    <row r="18" spans="1:28">
      <c r="C18" s="130"/>
      <c r="E18" s="130"/>
      <c r="F18" s="252"/>
      <c r="G18" s="130"/>
      <c r="H18" s="252"/>
      <c r="I18" s="252"/>
      <c r="J18" s="252"/>
      <c r="K18" s="130"/>
      <c r="L18" s="252"/>
      <c r="M18" s="252"/>
      <c r="O18" s="124" t="s">
        <v>12</v>
      </c>
      <c r="Q18" s="134">
        <f>C19/1000000</f>
        <v>560</v>
      </c>
      <c r="R18" s="133"/>
      <c r="S18" s="134">
        <f>E19/1000000</f>
        <v>503</v>
      </c>
      <c r="T18" s="133"/>
      <c r="U18" s="134">
        <f>G19/1000000</f>
        <v>1773.2</v>
      </c>
      <c r="V18" s="133"/>
      <c r="W18" s="134">
        <f>I19/1000000</f>
        <v>1977.2</v>
      </c>
      <c r="X18" s="133"/>
      <c r="Y18" s="134">
        <f>K19/1000000</f>
        <v>1205.7</v>
      </c>
    </row>
    <row r="19" spans="1:28">
      <c r="A19" s="124" t="s">
        <v>15</v>
      </c>
      <c r="B19" s="124" t="s">
        <v>67</v>
      </c>
      <c r="C19" s="130">
        <v>560000000</v>
      </c>
      <c r="E19" s="130">
        <v>503000000</v>
      </c>
      <c r="F19" s="252"/>
      <c r="G19" s="130">
        <v>1773200000</v>
      </c>
      <c r="H19" s="252"/>
      <c r="I19" s="130">
        <v>1977200000</v>
      </c>
      <c r="J19" s="252"/>
      <c r="K19" s="130">
        <v>1205700000</v>
      </c>
      <c r="L19" s="252"/>
      <c r="M19" s="130">
        <v>1488000000</v>
      </c>
      <c r="O19" s="124" t="s">
        <v>14</v>
      </c>
      <c r="Q19" s="135">
        <f>SUM(Q17:Q18)</f>
        <v>16748.8</v>
      </c>
      <c r="R19" s="133"/>
      <c r="S19" s="135">
        <f>SUM(S17:S18)</f>
        <v>15498.3</v>
      </c>
      <c r="T19" s="133"/>
      <c r="U19" s="135">
        <f>SUM(U17:U18)</f>
        <v>15629.5</v>
      </c>
      <c r="V19" s="133"/>
      <c r="W19" s="135">
        <f>SUM(W17:W18)</f>
        <v>14883.5</v>
      </c>
      <c r="X19" s="133"/>
      <c r="Y19" s="135">
        <f>SUM(Y17:Y18)</f>
        <v>13322.300000000001</v>
      </c>
    </row>
    <row r="20" spans="1:28">
      <c r="C20" s="130"/>
      <c r="E20" s="130"/>
      <c r="F20" s="252"/>
      <c r="G20" s="130"/>
      <c r="H20" s="252"/>
      <c r="I20" s="260"/>
      <c r="J20" s="252"/>
      <c r="K20" s="130"/>
      <c r="L20" s="252"/>
      <c r="M20" s="260"/>
    </row>
    <row r="21" spans="1:28">
      <c r="A21" s="124" t="s">
        <v>17</v>
      </c>
      <c r="B21" s="124" t="s">
        <v>61</v>
      </c>
      <c r="C21" s="130">
        <v>1.27</v>
      </c>
      <c r="E21" s="130">
        <v>-0.19</v>
      </c>
      <c r="F21" s="252"/>
      <c r="G21" s="130">
        <v>0.87</v>
      </c>
      <c r="H21" s="252"/>
      <c r="I21" s="130">
        <v>-0.18</v>
      </c>
      <c r="J21" s="252"/>
      <c r="K21" s="130">
        <v>0.39</v>
      </c>
      <c r="L21" s="252"/>
      <c r="M21" s="130">
        <v>1.01</v>
      </c>
      <c r="O21" s="132" t="s">
        <v>16</v>
      </c>
      <c r="P21" s="132"/>
    </row>
    <row r="22" spans="1:28">
      <c r="A22" s="124" t="s">
        <v>19</v>
      </c>
      <c r="B22" s="124" t="s">
        <v>1375</v>
      </c>
      <c r="C22" s="124">
        <v>27.7</v>
      </c>
      <c r="E22" s="130">
        <v>30.21</v>
      </c>
      <c r="G22" s="130">
        <v>30.56</v>
      </c>
      <c r="I22" s="261">
        <v>28.08</v>
      </c>
      <c r="K22" s="130">
        <v>27.58</v>
      </c>
      <c r="M22" s="261">
        <v>26.77</v>
      </c>
      <c r="O22" s="124" t="s">
        <v>54</v>
      </c>
      <c r="Q22" s="136">
        <f>(ROUND((C30/(AVERAGE(C54,E54))*100),2))</f>
        <v>3.49</v>
      </c>
      <c r="R22" s="137" t="s">
        <v>18</v>
      </c>
      <c r="S22" s="136">
        <f>(ROUND((E30/(AVERAGE(E54,G54))*100),2))</f>
        <v>3.82</v>
      </c>
      <c r="T22" s="137" t="s">
        <v>18</v>
      </c>
      <c r="U22" s="136">
        <f>(ROUND((G30/(AVERAGE(G54,I54))*100),2))</f>
        <v>4.04</v>
      </c>
      <c r="V22" s="137" t="s">
        <v>18</v>
      </c>
      <c r="W22" s="136">
        <f>(ROUND((I30/(AVERAGE(I54,K54))*100),2))</f>
        <v>3.9</v>
      </c>
      <c r="X22" s="137" t="s">
        <v>18</v>
      </c>
      <c r="Y22" s="136">
        <f>(ROUND((K30/(AVERAGE(K54,M54))*100),2))</f>
        <v>4.18</v>
      </c>
      <c r="Z22" s="137" t="s">
        <v>18</v>
      </c>
      <c r="AA22" s="255"/>
    </row>
    <row r="23" spans="1:28">
      <c r="A23" s="124" t="s">
        <v>21</v>
      </c>
      <c r="B23" s="124" t="s">
        <v>1375</v>
      </c>
      <c r="C23" s="124">
        <v>21.26</v>
      </c>
      <c r="E23" s="130">
        <v>20.86</v>
      </c>
      <c r="G23" s="130">
        <v>25.07</v>
      </c>
      <c r="I23" s="261">
        <v>22.51</v>
      </c>
      <c r="K23" s="130">
        <v>21.84</v>
      </c>
      <c r="M23" s="261">
        <v>19.46</v>
      </c>
      <c r="O23" s="124" t="s">
        <v>20</v>
      </c>
      <c r="Q23" s="508">
        <f>(ROUND((C36/(AVERAGE(C58,E58))*100),2))</f>
        <v>4.54</v>
      </c>
      <c r="R23" s="137"/>
      <c r="S23" s="508">
        <f>(ROUND((E36/(AVERAGE(E58,G58))*100),2))</f>
        <v>6.26</v>
      </c>
      <c r="T23" s="137"/>
      <c r="U23" s="136"/>
      <c r="V23" s="137"/>
      <c r="W23" s="136"/>
      <c r="X23" s="137"/>
      <c r="Y23" s="136"/>
      <c r="Z23" s="137"/>
    </row>
    <row r="24" spans="1:28">
      <c r="C24" s="130"/>
      <c r="E24" s="130"/>
      <c r="G24" s="130"/>
      <c r="I24" s="252"/>
      <c r="K24" s="130"/>
      <c r="M24" s="252"/>
      <c r="AA24" s="1057" t="s">
        <v>52</v>
      </c>
      <c r="AB24" s="1057"/>
    </row>
    <row r="25" spans="1:28">
      <c r="C25" s="130"/>
      <c r="E25" s="130"/>
      <c r="G25" s="130"/>
      <c r="I25" s="260"/>
      <c r="K25" s="130"/>
      <c r="M25" s="260"/>
      <c r="O25" s="132" t="s">
        <v>30</v>
      </c>
      <c r="P25" s="132"/>
      <c r="AA25" s="1057" t="s">
        <v>22</v>
      </c>
      <c r="AB25" s="1057"/>
    </row>
    <row r="26" spans="1:28">
      <c r="A26" s="124" t="s">
        <v>26</v>
      </c>
      <c r="B26" s="124" t="s">
        <v>1375</v>
      </c>
      <c r="C26" s="130">
        <v>0.88</v>
      </c>
      <c r="E26" s="130">
        <v>0.84</v>
      </c>
      <c r="G26" s="130">
        <v>0.8</v>
      </c>
      <c r="I26" s="261">
        <v>0.78</v>
      </c>
      <c r="K26" s="130">
        <v>0.7</v>
      </c>
      <c r="M26" s="261">
        <v>0.64</v>
      </c>
      <c r="O26" s="124" t="s">
        <v>32</v>
      </c>
    </row>
    <row r="27" spans="1:28">
      <c r="C27" s="130"/>
      <c r="E27" s="130"/>
      <c r="F27" s="252"/>
      <c r="G27" s="130"/>
      <c r="H27" s="252"/>
      <c r="I27" s="260"/>
      <c r="J27" s="252"/>
      <c r="K27" s="130"/>
      <c r="L27" s="252"/>
      <c r="M27" s="260"/>
      <c r="O27" s="124" t="s">
        <v>33</v>
      </c>
      <c r="Q27" s="136">
        <f>ROUND(((C12/C50)*100),2)</f>
        <v>57.09</v>
      </c>
      <c r="R27" s="137" t="s">
        <v>18</v>
      </c>
      <c r="S27" s="136">
        <f>ROUND(((E12/E50)*100),2)</f>
        <v>61.64</v>
      </c>
      <c r="T27" s="137" t="s">
        <v>18</v>
      </c>
      <c r="U27" s="136">
        <f>ROUND(((G12/G50)*100),2)</f>
        <v>56.79</v>
      </c>
      <c r="V27" s="137" t="s">
        <v>18</v>
      </c>
      <c r="W27" s="136">
        <f>ROUND(((I12/I50)*100),2)</f>
        <v>55.44</v>
      </c>
      <c r="X27" s="137" t="s">
        <v>18</v>
      </c>
      <c r="Y27" s="136">
        <f>ROUND(((K12/K50)*100),2)</f>
        <v>64.349999999999994</v>
      </c>
      <c r="Z27" s="137" t="s">
        <v>18</v>
      </c>
      <c r="AA27" s="136">
        <f>ROUND(AVERAGE(Q27:Y27),2)</f>
        <v>59.06</v>
      </c>
      <c r="AB27" s="137" t="s">
        <v>18</v>
      </c>
    </row>
    <row r="28" spans="1:28">
      <c r="A28" s="124" t="s">
        <v>37</v>
      </c>
      <c r="B28" s="124" t="s">
        <v>37</v>
      </c>
      <c r="C28" s="130">
        <f>4600000+13100000</f>
        <v>17700000</v>
      </c>
      <c r="E28" s="130">
        <f>9900000+7000000</f>
        <v>16900000</v>
      </c>
      <c r="F28" s="252"/>
      <c r="G28" s="130">
        <f>8000000+7500000</f>
        <v>15500000</v>
      </c>
      <c r="H28" s="252"/>
      <c r="I28" s="261">
        <f>14200000+3800000</f>
        <v>18000000</v>
      </c>
      <c r="J28" s="252"/>
      <c r="K28" s="130">
        <v>18800000</v>
      </c>
      <c r="L28" s="252"/>
      <c r="M28" s="261">
        <v>17200000</v>
      </c>
      <c r="O28" s="124" t="s">
        <v>34</v>
      </c>
      <c r="Q28" s="136">
        <f>ROUND(((SUM(C13,C17)/C50)*100),2)</f>
        <v>9.5500000000000007</v>
      </c>
      <c r="R28" s="137"/>
      <c r="S28" s="136">
        <f>ROUND(((SUM(E13,E17)/E50)*100),2)</f>
        <v>5.87</v>
      </c>
      <c r="T28" s="137"/>
      <c r="U28" s="136">
        <f>ROUND(((SUM(G13,G17)/G50)*100),2)</f>
        <v>6.35</v>
      </c>
      <c r="V28" s="137"/>
      <c r="W28" s="136">
        <f>ROUND(((SUM(I13,I17)/I50)*100),2)</f>
        <v>6.82</v>
      </c>
      <c r="X28" s="137"/>
      <c r="Y28" s="136">
        <f>ROUND(((SUM(K13,K17)/K50)*100),2)</f>
        <v>0</v>
      </c>
      <c r="Z28" s="137"/>
      <c r="AA28" s="136">
        <f>ROUND(AVERAGE(Q28:Y28),2)</f>
        <v>5.72</v>
      </c>
      <c r="AB28" s="137"/>
    </row>
    <row r="29" spans="1:28">
      <c r="C29" s="130"/>
      <c r="E29" s="130"/>
      <c r="F29" s="252"/>
      <c r="G29" s="130"/>
      <c r="H29" s="252"/>
      <c r="I29" s="260"/>
      <c r="J29" s="252"/>
      <c r="K29" s="130"/>
      <c r="L29" s="252"/>
      <c r="M29" s="260"/>
      <c r="O29" s="124" t="s">
        <v>35</v>
      </c>
      <c r="Q29" s="138">
        <f>ROUND(((C16/C50)*100),2)</f>
        <v>33.36</v>
      </c>
      <c r="R29" s="137"/>
      <c r="S29" s="138">
        <f>ROUND(((E16/E50)*100),2)</f>
        <v>32.49</v>
      </c>
      <c r="T29" s="137"/>
      <c r="U29" s="138">
        <f>ROUND(((G16/G50)*100),2)</f>
        <v>36.85</v>
      </c>
      <c r="V29" s="137"/>
      <c r="W29" s="138">
        <f>ROUND(((I16/I50)*100),2)</f>
        <v>37.74</v>
      </c>
      <c r="X29" s="137"/>
      <c r="Y29" s="138">
        <f>ROUND(((K16/K50)*100),2)</f>
        <v>35.65</v>
      </c>
      <c r="Z29" s="137"/>
      <c r="AA29" s="138">
        <f>ROUND(AVERAGE(Q29:Y29),2)</f>
        <v>35.22</v>
      </c>
      <c r="AB29" s="137"/>
    </row>
    <row r="30" spans="1:28">
      <c r="A30" s="124" t="s">
        <v>42</v>
      </c>
      <c r="B30" s="124" t="s">
        <v>62</v>
      </c>
      <c r="C30" s="130">
        <v>341100000</v>
      </c>
      <c r="E30" s="130">
        <v>370700000</v>
      </c>
      <c r="F30" s="252"/>
      <c r="G30" s="130">
        <v>378900000</v>
      </c>
      <c r="H30" s="252"/>
      <c r="I30" s="130">
        <v>353300000</v>
      </c>
      <c r="J30" s="252"/>
      <c r="K30" s="130">
        <v>353200000</v>
      </c>
      <c r="L30" s="252"/>
      <c r="M30" s="130">
        <v>349500000</v>
      </c>
      <c r="O30" s="124" t="s">
        <v>36</v>
      </c>
      <c r="Q30" s="139">
        <f>SUM(Q27:Q29)</f>
        <v>100</v>
      </c>
      <c r="R30" s="137" t="s">
        <v>18</v>
      </c>
      <c r="S30" s="139">
        <f>SUM(S27:S29)</f>
        <v>100</v>
      </c>
      <c r="T30" s="137" t="s">
        <v>18</v>
      </c>
      <c r="U30" s="139">
        <f>SUM(U27:U29)</f>
        <v>99.990000000000009</v>
      </c>
      <c r="V30" s="137" t="s">
        <v>18</v>
      </c>
      <c r="W30" s="139">
        <f>SUM(W27:W29)</f>
        <v>100</v>
      </c>
      <c r="X30" s="137" t="s">
        <v>18</v>
      </c>
      <c r="Y30" s="139">
        <f>SUM(Y27:Y29)</f>
        <v>100</v>
      </c>
      <c r="Z30" s="137" t="s">
        <v>18</v>
      </c>
      <c r="AA30" s="139">
        <f>SUM(AA27:AA29)</f>
        <v>100</v>
      </c>
      <c r="AB30" s="137" t="s">
        <v>18</v>
      </c>
    </row>
    <row r="31" spans="1:28">
      <c r="C31" s="130"/>
      <c r="E31" s="130"/>
      <c r="F31" s="252"/>
      <c r="G31" s="130"/>
      <c r="H31" s="252"/>
      <c r="I31" s="260"/>
      <c r="J31" s="252"/>
      <c r="K31" s="130"/>
      <c r="L31" s="252"/>
      <c r="M31" s="260"/>
    </row>
    <row r="32" spans="1:28">
      <c r="A32" s="124" t="s">
        <v>43</v>
      </c>
      <c r="B32" s="124" t="s">
        <v>63</v>
      </c>
      <c r="C32" s="130">
        <v>584900000</v>
      </c>
      <c r="E32" s="130">
        <v>-17600000</v>
      </c>
      <c r="F32" s="252"/>
      <c r="G32" s="130">
        <v>383100000</v>
      </c>
      <c r="H32" s="252"/>
      <c r="I32" s="130">
        <v>-50600000</v>
      </c>
      <c r="J32" s="252"/>
      <c r="K32" s="130">
        <v>128500000</v>
      </c>
      <c r="L32" s="252"/>
      <c r="M32" s="130">
        <v>331500000</v>
      </c>
      <c r="O32" s="124" t="s">
        <v>38</v>
      </c>
    </row>
    <row r="33" spans="1:28">
      <c r="A33" s="140"/>
      <c r="B33" s="140"/>
      <c r="C33" s="141"/>
      <c r="D33" s="140"/>
      <c r="E33" s="141"/>
      <c r="F33" s="263"/>
      <c r="G33" s="141"/>
      <c r="H33" s="263"/>
      <c r="I33" s="262"/>
      <c r="J33" s="263"/>
      <c r="K33" s="141"/>
      <c r="L33" s="263"/>
      <c r="M33" s="262"/>
      <c r="O33" s="124" t="s">
        <v>39</v>
      </c>
      <c r="Q33" s="136">
        <f>ROUND((((C12+C19)/C56)*100),2)</f>
        <v>58.52</v>
      </c>
      <c r="R33" s="137" t="s">
        <v>18</v>
      </c>
      <c r="S33" s="136">
        <f>ROUND((((E12+E19)/E56)*100),2)</f>
        <v>62.88</v>
      </c>
      <c r="T33" s="137" t="s">
        <v>18</v>
      </c>
      <c r="U33" s="136">
        <f>ROUND((((G12+G19)/G56)*100),2)</f>
        <v>61.7</v>
      </c>
      <c r="V33" s="137" t="s">
        <v>18</v>
      </c>
      <c r="W33" s="136">
        <f>ROUND((((I12+I19)/I56)*100),2)</f>
        <v>61.36</v>
      </c>
      <c r="X33" s="137" t="s">
        <v>18</v>
      </c>
      <c r="Y33" s="136">
        <f>ROUND((((K12+K19)/K56)*100),2)</f>
        <v>67.569999999999993</v>
      </c>
      <c r="Z33" s="137" t="s">
        <v>18</v>
      </c>
      <c r="AA33" s="136">
        <f>ROUND(AVERAGE(Q33:Y33),2)</f>
        <v>62.41</v>
      </c>
      <c r="AB33" s="137" t="s">
        <v>18</v>
      </c>
    </row>
    <row r="34" spans="1:28">
      <c r="A34" s="124" t="s">
        <v>46</v>
      </c>
      <c r="B34" s="124" t="s">
        <v>70</v>
      </c>
      <c r="C34" s="130">
        <v>529800000</v>
      </c>
      <c r="E34" s="130">
        <v>-72700000</v>
      </c>
      <c r="F34" s="252"/>
      <c r="G34" s="130">
        <v>328000000</v>
      </c>
      <c r="H34" s="252"/>
      <c r="I34" s="261">
        <v>-65600000</v>
      </c>
      <c r="J34" s="252"/>
      <c r="K34" s="130">
        <v>128500000</v>
      </c>
      <c r="L34" s="252"/>
      <c r="M34" s="261">
        <v>331500000</v>
      </c>
      <c r="O34" s="124" t="s">
        <v>34</v>
      </c>
      <c r="Q34" s="136">
        <f>ROUND((((SUM(C13,C17))/C56)*100),2)</f>
        <v>9.23</v>
      </c>
      <c r="R34" s="137"/>
      <c r="S34" s="136">
        <f>ROUND((((SUM(E13,E17))/E56)*100),2)</f>
        <v>5.68</v>
      </c>
      <c r="T34" s="137"/>
      <c r="U34" s="136">
        <f>ROUND((((SUM(G13,G17))/G56)*100),2)</f>
        <v>5.63</v>
      </c>
      <c r="V34" s="137"/>
      <c r="W34" s="136">
        <f>ROUND((((SUM(I13,I17))/I56)*100),2)</f>
        <v>5.91</v>
      </c>
      <c r="X34" s="137"/>
      <c r="Y34" s="136">
        <f>ROUND((((SUM(K13,K17))/K56)*100),2)</f>
        <v>0</v>
      </c>
      <c r="Z34" s="137"/>
      <c r="AA34" s="136">
        <f>ROUND(AVERAGE(Q34:Y34),2)</f>
        <v>5.29</v>
      </c>
      <c r="AB34" s="137"/>
    </row>
    <row r="35" spans="1:28">
      <c r="C35" s="130"/>
      <c r="E35" s="130"/>
      <c r="F35" s="252"/>
      <c r="G35" s="130"/>
      <c r="H35" s="252"/>
      <c r="I35" s="252"/>
      <c r="J35" s="252"/>
      <c r="K35" s="130"/>
      <c r="L35" s="252"/>
      <c r="M35" s="252"/>
      <c r="O35" s="124" t="s">
        <v>35</v>
      </c>
      <c r="Q35" s="138">
        <f>ROUND((((C16)/C56)*100),2)</f>
        <v>32.25</v>
      </c>
      <c r="R35" s="137"/>
      <c r="S35" s="138">
        <f>ROUND((((E16)/E56)*100),2)</f>
        <v>31.44</v>
      </c>
      <c r="T35" s="137"/>
      <c r="U35" s="138">
        <f>ROUND((((G16)/G56)*100),2)</f>
        <v>32.67</v>
      </c>
      <c r="V35" s="137"/>
      <c r="W35" s="138">
        <f>ROUND((((I16)/I56)*100),2)</f>
        <v>32.729999999999997</v>
      </c>
      <c r="X35" s="137"/>
      <c r="Y35" s="138">
        <f>ROUND((((K16)/K56)*100),2)</f>
        <v>32.43</v>
      </c>
      <c r="Z35" s="137"/>
      <c r="AA35" s="138">
        <f>ROUND(AVERAGE(Q35:Y35),2)</f>
        <v>32.299999999999997</v>
      </c>
      <c r="AB35" s="137"/>
    </row>
    <row r="36" spans="1:28">
      <c r="A36" s="124" t="s">
        <v>45</v>
      </c>
      <c r="B36" s="124" t="s">
        <v>68</v>
      </c>
      <c r="C36" s="130">
        <v>55100000</v>
      </c>
      <c r="E36" s="130">
        <v>55100000</v>
      </c>
      <c r="F36" s="252"/>
      <c r="G36" s="130">
        <v>56100000</v>
      </c>
      <c r="H36" s="252"/>
      <c r="I36" s="261">
        <v>11600000</v>
      </c>
      <c r="J36" s="252"/>
      <c r="K36" s="130">
        <v>0</v>
      </c>
      <c r="L36" s="252"/>
      <c r="M36" s="261">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F37" s="252"/>
      <c r="G37" s="130"/>
      <c r="H37" s="252"/>
      <c r="I37" s="252"/>
      <c r="J37" s="252"/>
      <c r="K37" s="130"/>
      <c r="L37" s="252"/>
      <c r="M37" s="252"/>
    </row>
    <row r="38" spans="1:28">
      <c r="A38" s="124" t="s">
        <v>47</v>
      </c>
      <c r="B38" s="124" t="s">
        <v>64</v>
      </c>
      <c r="C38" s="130">
        <v>345200000</v>
      </c>
      <c r="E38" s="130">
        <v>321600000</v>
      </c>
      <c r="F38" s="252"/>
      <c r="G38" s="130">
        <v>298500000</v>
      </c>
      <c r="H38" s="252"/>
      <c r="I38" s="130">
        <v>273300000</v>
      </c>
      <c r="J38" s="252"/>
      <c r="K38" s="130">
        <v>229100000</v>
      </c>
      <c r="L38" s="252"/>
      <c r="M38" s="130">
        <v>205500000</v>
      </c>
    </row>
    <row r="39" spans="1:28">
      <c r="C39" s="130"/>
      <c r="E39" s="130"/>
      <c r="F39" s="252"/>
      <c r="G39" s="130"/>
      <c r="H39" s="252"/>
      <c r="I39" s="260"/>
      <c r="J39" s="252"/>
      <c r="K39" s="130"/>
      <c r="L39" s="252"/>
      <c r="M39" s="260"/>
    </row>
    <row r="40" spans="1:28">
      <c r="A40" s="124" t="s">
        <v>55</v>
      </c>
      <c r="B40" s="124" t="s">
        <v>69</v>
      </c>
      <c r="C40" s="130">
        <f>C32</f>
        <v>584900000</v>
      </c>
      <c r="E40" s="130">
        <v>-14200000</v>
      </c>
      <c r="F40" s="252"/>
      <c r="G40" s="130">
        <f>G32</f>
        <v>383100000</v>
      </c>
      <c r="H40" s="252"/>
      <c r="I40" s="261">
        <f>I32</f>
        <v>-50600000</v>
      </c>
      <c r="J40" s="252"/>
      <c r="K40" s="130">
        <v>128500000</v>
      </c>
      <c r="L40" s="252"/>
      <c r="M40" s="261">
        <v>331500000</v>
      </c>
      <c r="O40" s="132" t="s">
        <v>40</v>
      </c>
      <c r="P40" s="132"/>
    </row>
    <row r="41" spans="1:28">
      <c r="A41" s="124" t="s">
        <v>72</v>
      </c>
      <c r="B41" s="124" t="s">
        <v>71</v>
      </c>
      <c r="C41" s="130">
        <v>1217900000</v>
      </c>
      <c r="E41" s="130">
        <v>1104000000</v>
      </c>
      <c r="F41" s="252"/>
      <c r="G41" s="130">
        <v>1583300000</v>
      </c>
      <c r="H41" s="252"/>
      <c r="I41" s="130">
        <v>540100000</v>
      </c>
      <c r="J41" s="252"/>
      <c r="K41" s="130">
        <v>742100000</v>
      </c>
      <c r="L41" s="252"/>
      <c r="M41" s="130">
        <v>803300000</v>
      </c>
      <c r="O41" s="132"/>
      <c r="P41" s="132"/>
    </row>
    <row r="42" spans="1:28">
      <c r="A42" s="124" t="s">
        <v>1460</v>
      </c>
      <c r="B42" s="124" t="s">
        <v>1461</v>
      </c>
      <c r="C42" s="130">
        <f>(-40.3-112.9+54.9-114.2+43-36.6+76.8-96.4-4.7-30)*1000000</f>
        <v>-260399999.99999997</v>
      </c>
      <c r="E42" s="130">
        <f>(-3.9-1.5-29.7+10+28.4+5.3+-6.9+-218.8-5.9+70.8-103.6-15+21.7)*1000000</f>
        <v>-249100000.00000009</v>
      </c>
      <c r="F42" s="252"/>
      <c r="G42" s="130">
        <f>(187.8-2-299.9+16.9+7.3+8.8+55.5+105.3-33.6-85.6-21.2-76.1+61.6)*1000000</f>
        <v>-75199999.999999955</v>
      </c>
      <c r="H42" s="252"/>
      <c r="I42" s="130">
        <f>(-186.2+41.4+268.4-25.4+20.2-21.7-21.5+43.5-14.5-53.2+58.2+3.8-2.8)*1000000</f>
        <v>110199999.99999999</v>
      </c>
      <c r="J42" s="252"/>
      <c r="K42" s="130">
        <v>-56500000</v>
      </c>
      <c r="L42" s="252"/>
      <c r="M42" s="130">
        <v>-58700000</v>
      </c>
      <c r="O42" s="132" t="s">
        <v>24</v>
      </c>
    </row>
    <row r="43" spans="1:28">
      <c r="A43" s="124" t="s">
        <v>1462</v>
      </c>
      <c r="B43" s="124" t="s">
        <v>1463</v>
      </c>
      <c r="C43" s="130">
        <v>748400000</v>
      </c>
      <c r="E43" s="130">
        <v>725900000</v>
      </c>
      <c r="F43" s="252"/>
      <c r="G43" s="130">
        <v>717400000</v>
      </c>
      <c r="H43" s="252"/>
      <c r="I43" s="130">
        <v>599600000</v>
      </c>
      <c r="J43" s="252"/>
      <c r="K43" s="130">
        <v>570300000</v>
      </c>
      <c r="L43" s="252"/>
      <c r="M43" s="130">
        <v>547100000</v>
      </c>
      <c r="O43" s="124" t="s">
        <v>25</v>
      </c>
      <c r="Q43" s="136">
        <f>ROUND(C21/C52,4)*100</f>
        <v>5.19</v>
      </c>
      <c r="R43" s="137" t="s">
        <v>18</v>
      </c>
      <c r="S43" s="136">
        <f>ROUND(E21/E52,4)*100</f>
        <v>-0.74</v>
      </c>
      <c r="T43" s="137" t="s">
        <v>18</v>
      </c>
      <c r="U43" s="136">
        <f>ROUND(G21/G52,4)*100</f>
        <v>3.1300000000000003</v>
      </c>
      <c r="V43" s="137" t="s">
        <v>18</v>
      </c>
      <c r="W43" s="136">
        <f>ROUND(I21/I52,4)*100</f>
        <v>-0.71000000000000008</v>
      </c>
      <c r="X43" s="137" t="s">
        <v>18</v>
      </c>
      <c r="Y43" s="136">
        <f>ROUND(K21/K52,4)*100</f>
        <v>1.58</v>
      </c>
      <c r="Z43" s="137" t="s">
        <v>18</v>
      </c>
      <c r="AA43" s="136">
        <f>ROUND(AVERAGE(Q43:Y43),2)</f>
        <v>1.69</v>
      </c>
      <c r="AB43" s="137" t="s">
        <v>18</v>
      </c>
    </row>
    <row r="44" spans="1:28">
      <c r="A44" s="124" t="s">
        <v>1464</v>
      </c>
      <c r="B44" s="124" t="s">
        <v>1465</v>
      </c>
      <c r="C44" s="130">
        <v>117800000</v>
      </c>
      <c r="E44" s="130">
        <v>-17100000</v>
      </c>
      <c r="F44" s="252"/>
      <c r="G44" s="130">
        <v>123500000</v>
      </c>
      <c r="H44" s="252"/>
      <c r="I44" s="261">
        <v>180000000</v>
      </c>
      <c r="J44" s="252"/>
      <c r="K44" s="130">
        <v>314500000</v>
      </c>
      <c r="L44" s="252"/>
      <c r="M44" s="261">
        <v>182100000</v>
      </c>
      <c r="O44" s="124" t="s">
        <v>27</v>
      </c>
      <c r="Q44" s="136">
        <f>(ROUND((C52/(AVERAGE(C48,E48))*100),2))</f>
        <v>190.05</v>
      </c>
      <c r="S44" s="136">
        <f>(ROUND((E52/(AVERAGE(E48,G48))*100),2))</f>
        <v>197.94</v>
      </c>
      <c r="U44" s="136">
        <f>(ROUND((G52/(AVERAGE(G48,I48))*100),2))</f>
        <v>210.36</v>
      </c>
      <c r="W44" s="136">
        <f>(ROUND((I52/(AVERAGE(I48,K48))*100),2))</f>
        <v>195.33</v>
      </c>
      <c r="Y44" s="136">
        <f>(ROUND((K52/(AVERAGE(K48,M48))*100),2))</f>
        <v>194.44</v>
      </c>
      <c r="AA44" s="136">
        <f>ROUND(AVERAGE(Q44:Y44),2)</f>
        <v>197.62</v>
      </c>
    </row>
    <row r="45" spans="1:28">
      <c r="C45" s="130"/>
      <c r="E45" s="130"/>
      <c r="G45" s="130"/>
      <c r="I45" s="130"/>
      <c r="K45" s="130"/>
      <c r="O45" s="124" t="s">
        <v>28</v>
      </c>
      <c r="Q45" s="136">
        <f>ROUND(((+C26/C52)*100),2)</f>
        <v>3.59</v>
      </c>
      <c r="S45" s="136">
        <f>ROUND(((+E26/E52)*100),2)</f>
        <v>3.29</v>
      </c>
      <c r="U45" s="136">
        <f>ROUND(((+G26/G52)*100),2)</f>
        <v>2.88</v>
      </c>
      <c r="W45" s="136">
        <f>ROUND(((+I26/I52)*100),2)</f>
        <v>3.08</v>
      </c>
      <c r="Y45" s="136">
        <f>ROUND(((+K26/K52)*100),2)</f>
        <v>2.83</v>
      </c>
      <c r="AA45" s="136">
        <f>ROUND(AVERAGE(Q45:Y45),2)</f>
        <v>3.13</v>
      </c>
    </row>
    <row r="46" spans="1:28">
      <c r="A46" s="124" t="s">
        <v>59</v>
      </c>
      <c r="C46" s="130"/>
      <c r="E46" s="130"/>
      <c r="G46" s="130"/>
      <c r="I46" s="130"/>
      <c r="K46" s="130"/>
      <c r="M46" s="131"/>
      <c r="O46" s="124" t="s">
        <v>29</v>
      </c>
      <c r="P46" s="132"/>
      <c r="Q46" s="136">
        <f>ROUND(((+C38/C34)*100),2)</f>
        <v>65.16</v>
      </c>
      <c r="S46" s="136" t="s">
        <v>4057</v>
      </c>
      <c r="U46" s="136">
        <f>ROUND(((+G38/G34)*100),2)</f>
        <v>91.01</v>
      </c>
      <c r="W46" s="136" t="s">
        <v>4057</v>
      </c>
      <c r="Y46" s="136">
        <f>ROUND(((+K38/K34)*100),2)</f>
        <v>178.29</v>
      </c>
      <c r="AA46" s="136">
        <f>ROUND(AVERAGE(Q46:Y46),2)</f>
        <v>111.49</v>
      </c>
    </row>
    <row r="47" spans="1:28">
      <c r="C47" s="130"/>
      <c r="E47" s="130"/>
      <c r="G47" s="130"/>
      <c r="I47" s="130"/>
      <c r="K47" s="130"/>
      <c r="M47" s="131"/>
      <c r="Q47" s="136"/>
      <c r="S47" s="136"/>
      <c r="U47" s="136"/>
      <c r="W47" s="136"/>
      <c r="Y47" s="136"/>
      <c r="AA47" s="136"/>
    </row>
    <row r="48" spans="1:28">
      <c r="A48" s="124" t="s">
        <v>7</v>
      </c>
      <c r="B48" s="124" t="s">
        <v>50</v>
      </c>
      <c r="C48" s="130">
        <f>C16/C15</f>
        <v>13.325338557862175</v>
      </c>
      <c r="E48" s="130">
        <f>E16/E15</f>
        <v>12.436694317256968</v>
      </c>
      <c r="G48" s="130">
        <f>G16/G15</f>
        <v>13.363578088285292</v>
      </c>
      <c r="I48" s="130">
        <f>I16/I15</f>
        <v>13.08102958361758</v>
      </c>
      <c r="K48" s="130">
        <f>K16/K15</f>
        <v>12.818686610799494</v>
      </c>
      <c r="M48" s="130">
        <f>M16/M15</f>
        <v>12.598106610282734</v>
      </c>
      <c r="O48" s="132" t="s">
        <v>41</v>
      </c>
      <c r="P48" s="132"/>
      <c r="Q48" s="136">
        <f>ROUND(((C34/AVERAGE(C16,E16))*100),2)</f>
        <v>10.31</v>
      </c>
      <c r="R48" s="124" t="s">
        <v>18</v>
      </c>
      <c r="S48" s="136">
        <f>ROUND(((E34/AVERAGE(E16,G16))*100),2)</f>
        <v>-1.46</v>
      </c>
      <c r="T48" s="124" t="s">
        <v>18</v>
      </c>
      <c r="U48" s="136">
        <f>ROUND(((G34/AVERAGE(G16,I16))*100),2)</f>
        <v>6.57</v>
      </c>
      <c r="V48" s="124" t="s">
        <v>18</v>
      </c>
      <c r="W48" s="136">
        <f>ROUND(((I34/AVERAGE(I16,K16))*100),2)</f>
        <v>-1.43</v>
      </c>
      <c r="X48" s="124" t="s">
        <v>18</v>
      </c>
      <c r="Y48" s="136">
        <f>ROUND(((K34/AVERAGE(K16,M16))*100),2)</f>
        <v>3.06</v>
      </c>
      <c r="Z48" s="124" t="s">
        <v>18</v>
      </c>
      <c r="AA48" s="136">
        <f>ROUND(AVERAGE(Q48:Y48),2)</f>
        <v>3.41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16188800000</v>
      </c>
      <c r="E50" s="130">
        <f>SUM(E12:E13,E16:E17)</f>
        <v>14995300000</v>
      </c>
      <c r="G50" s="130">
        <f>SUM(G12:G13,G16:G17)</f>
        <v>13856300000</v>
      </c>
      <c r="I50" s="130">
        <f>SUM(I12:I13,I16:I17)</f>
        <v>12906300000</v>
      </c>
      <c r="K50" s="130">
        <f>SUM(K12:K13,K16:K17)</f>
        <v>12116600000</v>
      </c>
      <c r="M50" s="130">
        <f>SUM(M12:M13,M16:M17)</f>
        <v>10492500000</v>
      </c>
      <c r="O50" s="132" t="s">
        <v>142</v>
      </c>
      <c r="Q50" s="136">
        <f>ROUND((C54/C62),2)</f>
        <v>5.47</v>
      </c>
      <c r="R50" s="137" t="s">
        <v>44</v>
      </c>
      <c r="S50" s="136">
        <f>ROUND((E54/E62),2)</f>
        <v>9.15</v>
      </c>
      <c r="T50" s="137" t="s">
        <v>44</v>
      </c>
      <c r="U50" s="136">
        <f>ROUND((G54/G62),2)</f>
        <v>6.02</v>
      </c>
      <c r="V50" s="137" t="s">
        <v>44</v>
      </c>
      <c r="W50" s="136">
        <f>ROUND((I54/I62),2)</f>
        <v>8.44</v>
      </c>
      <c r="X50" s="137" t="s">
        <v>44</v>
      </c>
      <c r="Y50" s="136">
        <f>ROUND((K54/K62),2)</f>
        <v>6.59</v>
      </c>
      <c r="Z50" s="137" t="s">
        <v>44</v>
      </c>
      <c r="AA50" s="136">
        <f>ROUND(AVERAGE(Q50:Y50),2)</f>
        <v>7.13</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24.48</v>
      </c>
      <c r="E52" s="130">
        <f>AVERAGE(E22:E23)</f>
        <v>25.535</v>
      </c>
      <c r="G52" s="130">
        <f>AVERAGE(G22:G23)</f>
        <v>27.814999999999998</v>
      </c>
      <c r="I52" s="130">
        <f>AVERAGE(I22:I23)</f>
        <v>25.295000000000002</v>
      </c>
      <c r="K52" s="130">
        <f>AVERAGE(K22:K23)</f>
        <v>24.71</v>
      </c>
      <c r="M52" s="130">
        <f>AVERAGE(M22:M23)</f>
        <v>23.115000000000002</v>
      </c>
      <c r="O52" s="132" t="s">
        <v>57</v>
      </c>
      <c r="Q52" s="136">
        <f>ROUND(((C60/C54)*100),2)</f>
        <v>9.59</v>
      </c>
      <c r="R52" s="137" t="s">
        <v>18</v>
      </c>
      <c r="S52" s="136">
        <f>ROUND(((E60/E54)*100),2)</f>
        <v>8.6</v>
      </c>
      <c r="T52" s="137" t="s">
        <v>18</v>
      </c>
      <c r="U52" s="136">
        <f>ROUND(((G60/G54)*100),2)</f>
        <v>15.48</v>
      </c>
      <c r="V52" s="137" t="s">
        <v>18</v>
      </c>
      <c r="W52" s="136">
        <f>ROUND(((I60/I54)*100),2)</f>
        <v>6.92</v>
      </c>
      <c r="X52" s="137" t="s">
        <v>18</v>
      </c>
      <c r="Y52" s="136">
        <f>ROUND(((K60/K54)*100),2)</f>
        <v>7.41</v>
      </c>
      <c r="Z52" s="137" t="s">
        <v>18</v>
      </c>
      <c r="AA52" s="136">
        <f>ROUND(AVERAGE(Q52:Y52),2)</f>
        <v>9.6</v>
      </c>
      <c r="AB52" s="124" t="s">
        <v>18</v>
      </c>
    </row>
    <row r="53" spans="1:28">
      <c r="C53" s="130"/>
      <c r="E53" s="130"/>
      <c r="G53" s="130"/>
      <c r="I53" s="130"/>
      <c r="K53" s="130"/>
      <c r="M53" s="130"/>
      <c r="O53" s="143"/>
      <c r="Q53" s="136"/>
      <c r="S53" s="136"/>
      <c r="U53" s="136"/>
      <c r="W53" s="136"/>
      <c r="Y53" s="136"/>
    </row>
    <row r="54" spans="1:28">
      <c r="A54" s="124" t="s">
        <v>53</v>
      </c>
      <c r="C54" s="214">
        <f>+C19+C12</f>
        <v>9801500000</v>
      </c>
      <c r="E54" s="214">
        <f>+E19+E12</f>
        <v>9746100000</v>
      </c>
      <c r="G54" s="214">
        <f>+G19+G12</f>
        <v>9642800000</v>
      </c>
      <c r="I54" s="214">
        <f>+I19+I12</f>
        <v>9132600000</v>
      </c>
      <c r="K54" s="214">
        <f>+K19+K12</f>
        <v>9002200000</v>
      </c>
      <c r="M54" s="214">
        <f>+M19+M12</f>
        <v>7909300000</v>
      </c>
      <c r="O54" s="143" t="s">
        <v>56</v>
      </c>
      <c r="Q54" s="136">
        <f>Q33</f>
        <v>58.52</v>
      </c>
      <c r="R54" s="137" t="s">
        <v>18</v>
      </c>
      <c r="S54" s="136">
        <f>S33</f>
        <v>62.88</v>
      </c>
      <c r="T54" s="137" t="s">
        <v>18</v>
      </c>
      <c r="U54" s="136">
        <f>U33</f>
        <v>61.7</v>
      </c>
      <c r="V54" s="137" t="s">
        <v>18</v>
      </c>
      <c r="W54" s="136">
        <f>W33</f>
        <v>61.36</v>
      </c>
      <c r="X54" s="137" t="s">
        <v>18</v>
      </c>
      <c r="Y54" s="136">
        <f>Y33</f>
        <v>67.569999999999993</v>
      </c>
      <c r="Z54" s="137" t="s">
        <v>18</v>
      </c>
      <c r="AA54" s="136">
        <f>ROUND(AVERAGE(Q54:Y54),2)</f>
        <v>62.41</v>
      </c>
      <c r="AB54" s="137" t="s">
        <v>18</v>
      </c>
    </row>
    <row r="55" spans="1:28">
      <c r="C55" s="130"/>
      <c r="E55" s="130"/>
      <c r="G55" s="130"/>
      <c r="I55" s="130"/>
      <c r="K55" s="130"/>
      <c r="M55" s="130"/>
    </row>
    <row r="56" spans="1:28">
      <c r="A56" s="124" t="s">
        <v>31</v>
      </c>
      <c r="B56" s="124" t="s">
        <v>50</v>
      </c>
      <c r="C56" s="130">
        <f>SUM(C50,C19)</f>
        <v>16748800000</v>
      </c>
      <c r="E56" s="130">
        <f>SUM(E50,E19)</f>
        <v>15498300000</v>
      </c>
      <c r="G56" s="130">
        <f>SUM(G50,G19)</f>
        <v>15629500000</v>
      </c>
      <c r="I56" s="130">
        <f>SUM(I50,I19)</f>
        <v>14883500000</v>
      </c>
      <c r="K56" s="130">
        <f>SUM(K50,K19)</f>
        <v>13322300000</v>
      </c>
      <c r="M56" s="130">
        <f>SUM(M50,M19)</f>
        <v>11980500000</v>
      </c>
    </row>
    <row r="57" spans="1:28">
      <c r="C57" s="130"/>
      <c r="E57" s="130"/>
      <c r="G57" s="130"/>
      <c r="I57" s="130"/>
      <c r="K57" s="130"/>
      <c r="M57" s="130"/>
    </row>
    <row r="58" spans="1:28">
      <c r="A58" s="124" t="s">
        <v>51</v>
      </c>
      <c r="B58" s="124" t="s">
        <v>50</v>
      </c>
      <c r="C58" s="130">
        <f>SUM(C13,C17)</f>
        <v>1546500000</v>
      </c>
      <c r="E58" s="130">
        <f>SUM(E13,E17)</f>
        <v>880000000</v>
      </c>
      <c r="G58" s="130">
        <f>SUM(G13,G17)</f>
        <v>880000000</v>
      </c>
      <c r="I58" s="130">
        <f>SUM(I13,I17)</f>
        <v>880000000</v>
      </c>
      <c r="K58" s="130">
        <f>SUM(K13,K17)</f>
        <v>0</v>
      </c>
      <c r="M58" s="130">
        <f>SUM(M13,M17)</f>
        <v>0</v>
      </c>
    </row>
    <row r="59" spans="1:28">
      <c r="C59" s="130"/>
      <c r="E59" s="130"/>
      <c r="G59" s="130"/>
      <c r="I59" s="130"/>
      <c r="K59" s="130"/>
      <c r="M59" s="130"/>
    </row>
    <row r="60" spans="1:28" ht="25.5">
      <c r="A60" s="126" t="s">
        <v>1466</v>
      </c>
      <c r="B60" s="124" t="s">
        <v>50</v>
      </c>
      <c r="C60" s="130">
        <f>ROUND(C41+C42-C28,3)</f>
        <v>939800000</v>
      </c>
      <c r="E60" s="130">
        <f>ROUND(E41+E42-E28,3)</f>
        <v>838000000</v>
      </c>
      <c r="G60" s="130">
        <f>ROUND(G41+G42-G28,3)</f>
        <v>1492600000</v>
      </c>
      <c r="I60" s="130">
        <f>ROUND(I41+I42-I28,3)</f>
        <v>632300000</v>
      </c>
      <c r="K60" s="130">
        <f>ROUND(K41+K42-K28,3)</f>
        <v>666800000</v>
      </c>
      <c r="M60" s="130">
        <f>ROUND(M41+M42-M28,3)</f>
        <v>727400000</v>
      </c>
    </row>
    <row r="61" spans="1:28">
      <c r="A61" s="126"/>
      <c r="C61" s="130"/>
      <c r="E61" s="130"/>
      <c r="G61" s="130"/>
      <c r="I61" s="130"/>
      <c r="K61" s="130"/>
      <c r="M61" s="130"/>
    </row>
    <row r="62" spans="1:28">
      <c r="A62" s="124" t="s">
        <v>1467</v>
      </c>
      <c r="B62" s="124" t="s">
        <v>50</v>
      </c>
      <c r="C62" s="130">
        <f>C40+C44+C43+C30</f>
        <v>1792200000</v>
      </c>
      <c r="E62" s="130">
        <f>E40+E44+E43+E30</f>
        <v>1065300000</v>
      </c>
      <c r="G62" s="130">
        <f>G40+G44+G43+G30</f>
        <v>1602900000</v>
      </c>
      <c r="I62" s="130">
        <f>I40+I44+I43+I30</f>
        <v>1082300000</v>
      </c>
      <c r="K62" s="130">
        <f>K40+K44+K43+K30</f>
        <v>1366500000</v>
      </c>
      <c r="M62" s="130">
        <f>M40+M44+M43+M30</f>
        <v>1410200000</v>
      </c>
    </row>
    <row r="63" spans="1:28">
      <c r="E63" s="131"/>
      <c r="F63" s="131"/>
      <c r="G63" s="131"/>
      <c r="H63" s="131"/>
      <c r="I63" s="131"/>
      <c r="J63" s="131"/>
      <c r="K63" s="131"/>
      <c r="L63" s="131"/>
      <c r="M63" s="131"/>
    </row>
    <row r="64" spans="1:28">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M154"/>
  <sheetViews>
    <sheetView topLeftCell="O39" zoomScaleNormal="100" workbookViewId="0">
      <selection activeCell="E9" sqref="E9"/>
    </sheetView>
  </sheetViews>
  <sheetFormatPr defaultColWidth="9" defaultRowHeight="12.75"/>
  <cols>
    <col min="1" max="1" width="36.28515625" style="124" customWidth="1"/>
    <col min="2" max="2" width="15.28515625" style="124" bestFit="1" customWidth="1"/>
    <col min="3" max="3" width="18.7109375" style="124" customWidth="1"/>
    <col min="4" max="4" width="1.85546875" style="124" customWidth="1"/>
    <col min="5" max="5" width="18.7109375" style="124" customWidth="1"/>
    <col min="6" max="6" width="2" style="124" customWidth="1"/>
    <col min="7" max="7" width="18.7109375" style="124" customWidth="1"/>
    <col min="8" max="8" width="1.85546875" style="124" customWidth="1"/>
    <col min="9" max="9" width="18.7109375" style="124" customWidth="1"/>
    <col min="10" max="10" width="1.85546875" style="124" customWidth="1"/>
    <col min="11" max="11" width="18.7109375" style="124" customWidth="1"/>
    <col min="12" max="12" width="2" style="124" customWidth="1"/>
    <col min="13" max="13" width="18.7109375" style="124" customWidth="1"/>
    <col min="14" max="14" width="9" style="124"/>
    <col min="15" max="15" width="53.28515625" style="124" bestFit="1" customWidth="1"/>
    <col min="16" max="16" width="6.7109375" style="124" customWidth="1"/>
    <col min="17" max="17" width="10.7109375" style="124" bestFit="1" customWidth="1"/>
    <col min="18" max="18" width="2.7109375" style="124" bestFit="1" customWidth="1"/>
    <col min="19" max="19" width="10.7109375" style="124" bestFit="1" customWidth="1"/>
    <col min="20" max="20" width="2.7109375" style="124" customWidth="1"/>
    <col min="21" max="21" width="10.7109375" style="124" bestFit="1" customWidth="1"/>
    <col min="22" max="22" width="2.7109375" style="124" customWidth="1"/>
    <col min="23" max="23" width="10.7109375" style="124" bestFit="1" customWidth="1"/>
    <col min="24" max="24" width="2.7109375" style="124" customWidth="1"/>
    <col min="25" max="25" width="10.7109375" style="124" bestFit="1" customWidth="1"/>
    <col min="26" max="26" width="2.7109375" style="124" customWidth="1"/>
    <col min="27" max="27" width="10.5703125" style="124" customWidth="1"/>
    <col min="28" max="28" width="2.7109375" style="124" customWidth="1"/>
    <col min="29" max="29" width="9" style="124"/>
    <col min="30" max="30" width="4.28515625" style="124" customWidth="1"/>
    <col min="31" max="31" width="3.7109375" style="124" customWidth="1"/>
    <col min="32" max="32" width="22.28515625" style="124" customWidth="1"/>
    <col min="33" max="16384" width="9" style="124"/>
  </cols>
  <sheetData>
    <row r="1" spans="1:27" ht="16.149999999999999" customHeight="1">
      <c r="A1" s="329"/>
    </row>
    <row r="2" spans="1:27" ht="16.149999999999999" customHeight="1">
      <c r="A2" s="329"/>
    </row>
    <row r="3" spans="1:27" ht="16.149999999999999" customHeight="1">
      <c r="A3" s="329"/>
    </row>
    <row r="4" spans="1:27" ht="16.149999999999999" customHeight="1" thickBot="1">
      <c r="A4" s="329"/>
    </row>
    <row r="5" spans="1:27" ht="15">
      <c r="A5" s="328" t="s">
        <v>2255</v>
      </c>
    </row>
    <row r="6" spans="1:27" ht="15" thickBot="1">
      <c r="A6" s="327" t="s">
        <v>3051</v>
      </c>
      <c r="E6" s="127" t="s">
        <v>3064</v>
      </c>
      <c r="F6" s="127"/>
      <c r="G6" s="128"/>
      <c r="H6" s="128"/>
      <c r="I6" s="128"/>
      <c r="J6" s="128"/>
      <c r="K6" s="128"/>
      <c r="L6" s="259"/>
      <c r="O6" s="129" t="str">
        <f>E6</f>
        <v>New Jersey Resources</v>
      </c>
      <c r="P6" s="128"/>
      <c r="Q6" s="128"/>
      <c r="R6" s="127"/>
      <c r="S6" s="128"/>
      <c r="T6" s="128"/>
      <c r="U6" s="128"/>
      <c r="V6" s="128"/>
      <c r="W6" s="128"/>
      <c r="X6" s="128"/>
      <c r="Y6" s="128"/>
      <c r="Z6" s="128"/>
      <c r="AA6" s="128"/>
    </row>
    <row r="7" spans="1:27" ht="14.25">
      <c r="E7" s="128" t="s">
        <v>0</v>
      </c>
      <c r="F7" s="128"/>
      <c r="G7" s="128"/>
      <c r="H7" s="128"/>
      <c r="I7" s="128"/>
      <c r="J7" s="128"/>
      <c r="K7" s="128"/>
      <c r="L7" s="259"/>
      <c r="O7" s="128" t="str">
        <f>E7</f>
        <v>CAPITALIZATION AND FINANCIAL STATISTICS  (1)</v>
      </c>
      <c r="P7" s="128"/>
      <c r="Q7" s="128"/>
      <c r="R7" s="128"/>
      <c r="S7" s="128"/>
      <c r="T7" s="128"/>
      <c r="U7" s="128"/>
      <c r="V7" s="128"/>
      <c r="W7" s="128"/>
      <c r="X7" s="128"/>
      <c r="Y7" s="128"/>
      <c r="Z7" s="128"/>
      <c r="AA7" s="128"/>
    </row>
    <row r="8" spans="1:27">
      <c r="E8" s="127" t="s">
        <v>4355</v>
      </c>
      <c r="F8" s="127"/>
      <c r="G8" s="128"/>
      <c r="H8" s="128"/>
      <c r="I8" s="128"/>
      <c r="J8" s="128"/>
      <c r="K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4382</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213">
        <f>2162164000+72840000</f>
        <v>2235004000</v>
      </c>
      <c r="E12" s="213">
        <f>2259466000+27236000</f>
        <v>2286702000</v>
      </c>
      <c r="G12" s="130">
        <f>1537177000+21419000</f>
        <v>1558596000</v>
      </c>
      <c r="I12" s="130">
        <f>1180619000+123545000</f>
        <v>1304164000</v>
      </c>
      <c r="K12" s="130">
        <v>1162455000</v>
      </c>
      <c r="L12" s="131"/>
      <c r="M12" s="130">
        <v>1125002000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213">
        <v>95709662</v>
      </c>
      <c r="E15" s="213">
        <v>95949183</v>
      </c>
      <c r="G15" s="130">
        <f>89998788-660734</f>
        <v>89338054</v>
      </c>
      <c r="I15" s="130">
        <f>88292956-2185013</f>
        <v>86107943</v>
      </c>
      <c r="K15" s="130">
        <v>86555507</v>
      </c>
      <c r="L15" s="131"/>
      <c r="M15" s="130">
        <v>86086355</v>
      </c>
    </row>
    <row r="16" spans="1:27">
      <c r="A16" s="124" t="s">
        <v>10</v>
      </c>
      <c r="B16" s="124" t="s">
        <v>60</v>
      </c>
      <c r="C16" s="213">
        <v>1630862000</v>
      </c>
      <c r="E16" s="213">
        <v>1844692000</v>
      </c>
      <c r="G16" s="130">
        <v>1551717000</v>
      </c>
      <c r="I16" s="130">
        <v>1418978000</v>
      </c>
      <c r="K16" s="130">
        <v>1236643000</v>
      </c>
      <c r="L16" s="131"/>
      <c r="M16" s="130">
        <v>1166591000</v>
      </c>
      <c r="O16" s="132" t="s">
        <v>9</v>
      </c>
      <c r="P16" s="132"/>
    </row>
    <row r="17" spans="1:28">
      <c r="A17" s="124" t="s">
        <v>49</v>
      </c>
      <c r="B17" s="124" t="s">
        <v>58</v>
      </c>
      <c r="C17" s="130">
        <v>0</v>
      </c>
      <c r="E17" s="130">
        <v>0</v>
      </c>
      <c r="G17" s="130">
        <v>0</v>
      </c>
      <c r="I17" s="130">
        <v>0</v>
      </c>
      <c r="K17" s="130">
        <v>0</v>
      </c>
      <c r="L17" s="131"/>
      <c r="M17" s="130">
        <v>0</v>
      </c>
      <c r="O17" s="124" t="s">
        <v>11</v>
      </c>
      <c r="Q17" s="133">
        <f>C50/1000000</f>
        <v>3865.866</v>
      </c>
      <c r="R17" s="133"/>
      <c r="S17" s="133">
        <f>E50/1000000</f>
        <v>4131.3940000000002</v>
      </c>
      <c r="T17" s="133"/>
      <c r="U17" s="133">
        <f>G50/1000000</f>
        <v>3110.3130000000001</v>
      </c>
      <c r="V17" s="133"/>
      <c r="W17" s="133">
        <f>I50/1000000</f>
        <v>2723.1419999999998</v>
      </c>
      <c r="X17" s="133"/>
      <c r="Y17" s="133">
        <f>K50/1000000</f>
        <v>2399.098</v>
      </c>
    </row>
    <row r="18" spans="1:28">
      <c r="C18" s="130"/>
      <c r="E18" s="130"/>
      <c r="G18" s="130"/>
      <c r="I18" s="130"/>
      <c r="O18" s="124" t="s">
        <v>12</v>
      </c>
      <c r="Q18" s="134">
        <f>C19/1000000</f>
        <v>377.3</v>
      </c>
      <c r="R18" s="133"/>
      <c r="S18" s="134">
        <f>E19/1000000</f>
        <v>125.35</v>
      </c>
      <c r="T18" s="133"/>
      <c r="U18" s="134">
        <f>G19/1000000</f>
        <v>25.45</v>
      </c>
      <c r="V18" s="133"/>
      <c r="W18" s="134">
        <f>I19/1000000</f>
        <v>151.94999999999999</v>
      </c>
      <c r="X18" s="133"/>
      <c r="Y18" s="134">
        <f>K19/1000000</f>
        <v>266</v>
      </c>
    </row>
    <row r="19" spans="1:28">
      <c r="A19" s="124" t="s">
        <v>15</v>
      </c>
      <c r="B19" s="124" t="s">
        <v>67</v>
      </c>
      <c r="C19" s="213">
        <v>377300000</v>
      </c>
      <c r="E19" s="213">
        <v>125350000</v>
      </c>
      <c r="G19" s="130">
        <v>25450000</v>
      </c>
      <c r="I19" s="130">
        <v>151950000</v>
      </c>
      <c r="K19" s="130">
        <v>266000000</v>
      </c>
      <c r="L19" s="131"/>
      <c r="M19" s="130">
        <v>121700000</v>
      </c>
      <c r="O19" s="124" t="s">
        <v>14</v>
      </c>
      <c r="Q19" s="135">
        <f>SUM(Q17:Q18)</f>
        <v>4243.1660000000002</v>
      </c>
      <c r="R19" s="133"/>
      <c r="S19" s="135">
        <f>SUM(S17:S18)</f>
        <v>4256.7440000000006</v>
      </c>
      <c r="T19" s="133"/>
      <c r="U19" s="135">
        <f>SUM(U17:U18)</f>
        <v>3135.7629999999999</v>
      </c>
      <c r="V19" s="133"/>
      <c r="W19" s="135">
        <f>SUM(W17:W18)</f>
        <v>2875.0919999999996</v>
      </c>
      <c r="X19" s="133"/>
      <c r="Y19" s="135">
        <f>SUM(Y17:Y18)</f>
        <v>2665.098</v>
      </c>
    </row>
    <row r="20" spans="1:28">
      <c r="C20" s="130"/>
      <c r="E20" s="130"/>
      <c r="G20" s="130"/>
      <c r="I20" s="130"/>
      <c r="K20" s="131"/>
      <c r="L20" s="131"/>
      <c r="M20" s="131"/>
    </row>
    <row r="21" spans="1:28">
      <c r="A21" s="124" t="s">
        <v>17</v>
      </c>
      <c r="B21" s="124" t="s">
        <v>61</v>
      </c>
      <c r="C21" s="130">
        <v>1.22</v>
      </c>
      <c r="E21" s="130">
        <v>2.04</v>
      </c>
      <c r="G21" s="130">
        <v>1.89</v>
      </c>
      <c r="I21" s="130">
        <v>2.64</v>
      </c>
      <c r="K21" s="130">
        <v>1.52</v>
      </c>
      <c r="L21" s="131"/>
      <c r="M21" s="130">
        <v>1.52</v>
      </c>
      <c r="O21" s="132" t="s">
        <v>16</v>
      </c>
      <c r="P21" s="132"/>
    </row>
    <row r="22" spans="1:28">
      <c r="A22" s="124" t="s">
        <v>19</v>
      </c>
      <c r="B22" s="124" t="s">
        <v>1375</v>
      </c>
      <c r="C22" s="124">
        <v>44.15</v>
      </c>
      <c r="E22" s="130">
        <v>45.46</v>
      </c>
      <c r="G22" s="130">
        <v>51.13</v>
      </c>
      <c r="I22" s="130">
        <v>47.55</v>
      </c>
      <c r="K22" s="130">
        <v>44.25</v>
      </c>
      <c r="L22" s="131"/>
      <c r="M22" s="130">
        <v>38.71</v>
      </c>
      <c r="O22" s="124" t="s">
        <v>54</v>
      </c>
      <c r="Q22" s="136">
        <f>(ROUND((C30/(AVERAGE(C54,E54))*100),2))</f>
        <v>3.13</v>
      </c>
      <c r="R22" s="137" t="s">
        <v>18</v>
      </c>
      <c r="S22" s="136">
        <f>(ROUND((E30/(AVERAGE(E54,G54))*100),2))</f>
        <v>3.38</v>
      </c>
      <c r="T22" s="137" t="s">
        <v>18</v>
      </c>
      <c r="U22" s="136">
        <f>(ROUND((G30/(AVERAGE(G54,I54))*100),2))</f>
        <v>3.1</v>
      </c>
      <c r="V22" s="137" t="s">
        <v>18</v>
      </c>
      <c r="W22" s="136">
        <f>(ROUND((I30/(AVERAGE(I54,K54))*100),2))</f>
        <v>3.21</v>
      </c>
      <c r="X22" s="137" t="s">
        <v>18</v>
      </c>
      <c r="Y22" s="136">
        <f>(ROUND((K30/(AVERAGE(K54,M54))*100),2))</f>
        <v>3.36</v>
      </c>
      <c r="Z22" s="137" t="s">
        <v>18</v>
      </c>
      <c r="AA22" s="255"/>
    </row>
    <row r="23" spans="1:28">
      <c r="A23" s="124" t="s">
        <v>21</v>
      </c>
      <c r="B23" s="124" t="s">
        <v>1375</v>
      </c>
      <c r="C23" s="124">
        <v>33.67</v>
      </c>
      <c r="E23" s="130">
        <v>24.61</v>
      </c>
      <c r="G23" s="130">
        <v>43.82</v>
      </c>
      <c r="I23" s="130">
        <v>36.25</v>
      </c>
      <c r="K23" s="130">
        <v>31.07</v>
      </c>
      <c r="L23" s="131"/>
      <c r="M23" s="130">
        <v>28.14</v>
      </c>
      <c r="O23" s="124" t="s">
        <v>20</v>
      </c>
      <c r="Q23" s="136"/>
      <c r="R23" s="137"/>
      <c r="S23" s="136"/>
      <c r="T23" s="137"/>
      <c r="U23" s="136"/>
      <c r="V23" s="137"/>
      <c r="W23" s="136"/>
      <c r="X23" s="137"/>
      <c r="Y23" s="136"/>
      <c r="Z23" s="137"/>
    </row>
    <row r="24" spans="1:28">
      <c r="C24" s="130"/>
      <c r="E24" s="130"/>
      <c r="G24" s="130"/>
      <c r="I24" s="130"/>
      <c r="AA24" s="1057" t="s">
        <v>52</v>
      </c>
      <c r="AB24" s="1057"/>
    </row>
    <row r="25" spans="1:28">
      <c r="C25" s="130"/>
      <c r="E25" s="130"/>
      <c r="G25" s="130"/>
      <c r="I25" s="130"/>
      <c r="K25" s="131"/>
      <c r="L25" s="131"/>
      <c r="M25" s="131"/>
      <c r="O25" s="132" t="s">
        <v>30</v>
      </c>
      <c r="P25" s="132"/>
      <c r="AA25" s="1057" t="s">
        <v>22</v>
      </c>
      <c r="AB25" s="1057"/>
    </row>
    <row r="26" spans="1:28">
      <c r="A26" s="124" t="s">
        <v>26</v>
      </c>
      <c r="B26" s="124" t="s">
        <v>1375</v>
      </c>
      <c r="C26" s="130">
        <v>1.36</v>
      </c>
      <c r="E26" s="130">
        <v>1.27</v>
      </c>
      <c r="G26" s="130">
        <v>1.19</v>
      </c>
      <c r="I26" s="130">
        <v>1.1100000000000001</v>
      </c>
      <c r="K26" s="130">
        <v>1.0375000000000001</v>
      </c>
      <c r="L26" s="131"/>
      <c r="M26" s="130">
        <v>0.97499999999999998</v>
      </c>
      <c r="O26" s="124" t="s">
        <v>32</v>
      </c>
    </row>
    <row r="27" spans="1:28">
      <c r="C27" s="130"/>
      <c r="E27" s="130"/>
      <c r="G27" s="130"/>
      <c r="I27" s="130"/>
      <c r="K27" s="131"/>
      <c r="L27" s="131"/>
      <c r="M27" s="131"/>
      <c r="O27" s="124" t="s">
        <v>33</v>
      </c>
      <c r="Q27" s="136">
        <f>ROUND(((C12/C50)*100),2)</f>
        <v>57.81</v>
      </c>
      <c r="R27" s="137" t="s">
        <v>18</v>
      </c>
      <c r="S27" s="136">
        <f>ROUND(((E12/E50)*100),2)</f>
        <v>55.35</v>
      </c>
      <c r="T27" s="137" t="s">
        <v>18</v>
      </c>
      <c r="U27" s="136">
        <f>ROUND(((G12/G50)*100),2)</f>
        <v>50.11</v>
      </c>
      <c r="V27" s="137" t="s">
        <v>18</v>
      </c>
      <c r="W27" s="136">
        <f>ROUND(((I12/I50)*100),2)</f>
        <v>47.89</v>
      </c>
      <c r="X27" s="137" t="s">
        <v>18</v>
      </c>
      <c r="Y27" s="136">
        <f>ROUND(((K12/K50)*100),2)</f>
        <v>48.45</v>
      </c>
      <c r="Z27" s="137" t="s">
        <v>18</v>
      </c>
      <c r="AA27" s="136">
        <f>ROUND(AVERAGE(Q27:Y27),2)</f>
        <v>51.92</v>
      </c>
      <c r="AB27" s="137" t="s">
        <v>18</v>
      </c>
    </row>
    <row r="28" spans="1:28">
      <c r="A28" s="124" t="s">
        <v>37</v>
      </c>
      <c r="B28" s="124" t="s">
        <v>37</v>
      </c>
      <c r="C28" s="130">
        <v>22253000</v>
      </c>
      <c r="E28" s="130">
        <v>19733000</v>
      </c>
      <c r="G28" s="130">
        <v>10202000</v>
      </c>
      <c r="I28" s="130">
        <v>7510000</v>
      </c>
      <c r="K28" s="130">
        <v>5178000</v>
      </c>
      <c r="L28" s="131"/>
      <c r="M28" s="130">
        <v>9384000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1"/>
      <c r="L29" s="131"/>
      <c r="M29" s="131"/>
      <c r="O29" s="124" t="s">
        <v>35</v>
      </c>
      <c r="Q29" s="138">
        <f>ROUND(((C16/C50)*100),2)</f>
        <v>42.19</v>
      </c>
      <c r="R29" s="137"/>
      <c r="S29" s="138">
        <f>ROUND(((E16/E50)*100),2)</f>
        <v>44.65</v>
      </c>
      <c r="T29" s="137"/>
      <c r="U29" s="138">
        <f>ROUND(((G16/G50)*100),2)</f>
        <v>49.89</v>
      </c>
      <c r="V29" s="137"/>
      <c r="W29" s="138">
        <f>ROUND(((I16/I50)*100),2)</f>
        <v>52.11</v>
      </c>
      <c r="X29" s="137"/>
      <c r="Y29" s="138">
        <f>ROUND(((K16/K50)*100),2)</f>
        <v>51.55</v>
      </c>
      <c r="Z29" s="137"/>
      <c r="AA29" s="138">
        <f>ROUND(AVERAGE(Q29:Y29),2)</f>
        <v>48.08</v>
      </c>
      <c r="AB29" s="137"/>
    </row>
    <row r="30" spans="1:28">
      <c r="A30" s="124" t="s">
        <v>42</v>
      </c>
      <c r="B30" s="124" t="s">
        <v>62</v>
      </c>
      <c r="C30" s="130">
        <v>78559000</v>
      </c>
      <c r="E30" s="130">
        <v>67597000</v>
      </c>
      <c r="G30" s="130">
        <v>47082000</v>
      </c>
      <c r="I30" s="130">
        <v>46286000</v>
      </c>
      <c r="K30" s="130">
        <v>44886000</v>
      </c>
      <c r="L30" s="131"/>
      <c r="M30" s="130">
        <v>31044000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193919000</v>
      </c>
      <c r="E32" s="130">
        <v>193919000</v>
      </c>
      <c r="G32" s="130">
        <v>169505000</v>
      </c>
      <c r="I32" s="130">
        <v>233436000</v>
      </c>
      <c r="K32" s="130">
        <v>132065000</v>
      </c>
      <c r="L32" s="131"/>
      <c r="M32" s="130">
        <v>131672000</v>
      </c>
      <c r="O32" s="124" t="s">
        <v>38</v>
      </c>
    </row>
    <row r="33" spans="1:28">
      <c r="A33" s="140"/>
      <c r="B33" s="140"/>
      <c r="C33" s="141"/>
      <c r="D33" s="140"/>
      <c r="E33" s="141"/>
      <c r="F33" s="140"/>
      <c r="G33" s="141"/>
      <c r="H33" s="140"/>
      <c r="I33" s="141"/>
      <c r="J33" s="140"/>
      <c r="K33" s="142"/>
      <c r="L33" s="142"/>
      <c r="M33" s="142"/>
      <c r="O33" s="124" t="s">
        <v>39</v>
      </c>
      <c r="Q33" s="136">
        <f>ROUND((((C12+C19)/C56)*100),2)</f>
        <v>61.56</v>
      </c>
      <c r="R33" s="137" t="s">
        <v>18</v>
      </c>
      <c r="S33" s="136">
        <f>ROUND((((E12+E19)/E56)*100),2)</f>
        <v>56.66</v>
      </c>
      <c r="T33" s="137" t="s">
        <v>18</v>
      </c>
      <c r="U33" s="136">
        <f>ROUND((((G12+G19)/G56)*100),2)</f>
        <v>50.52</v>
      </c>
      <c r="V33" s="137" t="s">
        <v>18</v>
      </c>
      <c r="W33" s="136">
        <f>ROUND((((I12+I19)/I56)*100),2)</f>
        <v>50.65</v>
      </c>
      <c r="X33" s="137" t="s">
        <v>18</v>
      </c>
      <c r="Y33" s="136">
        <f>ROUND((((K12+K19)/K56)*100),2)</f>
        <v>53.6</v>
      </c>
      <c r="Z33" s="137" t="s">
        <v>18</v>
      </c>
      <c r="AA33" s="136">
        <f>ROUND(AVERAGE(Q33:Y33),2)</f>
        <v>54.6</v>
      </c>
      <c r="AB33" s="137" t="s">
        <v>18</v>
      </c>
    </row>
    <row r="34" spans="1:28">
      <c r="A34" s="124" t="s">
        <v>46</v>
      </c>
      <c r="B34" s="124" t="s">
        <v>70</v>
      </c>
      <c r="C34" s="130">
        <v>193919000</v>
      </c>
      <c r="E34" s="130">
        <v>193919000</v>
      </c>
      <c r="G34" s="130">
        <v>169505000</v>
      </c>
      <c r="I34" s="130">
        <f>I32</f>
        <v>233436000</v>
      </c>
      <c r="K34" s="130">
        <v>132065000</v>
      </c>
      <c r="L34" s="131"/>
      <c r="M34" s="130">
        <v>131672000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124" t="s">
        <v>35</v>
      </c>
      <c r="Q35" s="138">
        <f>ROUND((((C16)/C56)*100),2)</f>
        <v>38.44</v>
      </c>
      <c r="R35" s="137"/>
      <c r="S35" s="138">
        <f>ROUND((((E16)/E56)*100),2)</f>
        <v>43.34</v>
      </c>
      <c r="T35" s="137"/>
      <c r="U35" s="138">
        <f>ROUND((((G16)/G56)*100),2)</f>
        <v>49.48</v>
      </c>
      <c r="V35" s="137"/>
      <c r="W35" s="138">
        <f>ROUND((((I16)/I56)*100),2)</f>
        <v>49.35</v>
      </c>
      <c r="X35" s="137"/>
      <c r="Y35" s="138">
        <f>ROUND((((K16)/K56)*100),2)</f>
        <v>46.4</v>
      </c>
      <c r="Z35" s="137"/>
      <c r="AA35" s="138">
        <f>ROUND(AVERAGE(Q35:Y35),2)</f>
        <v>45.4</v>
      </c>
      <c r="AB35" s="137"/>
    </row>
    <row r="36" spans="1:28">
      <c r="A36" s="124" t="s">
        <v>45</v>
      </c>
      <c r="B36" s="124" t="s">
        <v>68</v>
      </c>
      <c r="C36" s="130">
        <v>0</v>
      </c>
      <c r="E36" s="130">
        <v>0</v>
      </c>
      <c r="G36" s="130">
        <v>0</v>
      </c>
      <c r="I36" s="130">
        <v>0</v>
      </c>
      <c r="K36" s="130">
        <v>0</v>
      </c>
      <c r="L36" s="131"/>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v>116960000</v>
      </c>
      <c r="E38" s="130">
        <v>117804000</v>
      </c>
      <c r="G38" s="130">
        <v>104059000</v>
      </c>
      <c r="I38" s="130">
        <v>95835000</v>
      </c>
      <c r="K38" s="130">
        <v>87988000</v>
      </c>
      <c r="L38" s="131"/>
      <c r="M38" s="130">
        <v>82445000</v>
      </c>
    </row>
    <row r="39" spans="1:28">
      <c r="C39" s="130"/>
      <c r="E39" s="130"/>
      <c r="G39" s="130"/>
      <c r="I39" s="130"/>
      <c r="K39" s="131"/>
      <c r="L39" s="131"/>
      <c r="M39" s="131"/>
    </row>
    <row r="40" spans="1:28">
      <c r="A40" s="124" t="s">
        <v>55</v>
      </c>
      <c r="B40" s="124" t="s">
        <v>69</v>
      </c>
      <c r="C40" s="130">
        <f>C32</f>
        <v>193919000</v>
      </c>
      <c r="E40" s="130">
        <v>193919000</v>
      </c>
      <c r="G40" s="130">
        <v>169505000</v>
      </c>
      <c r="I40" s="130">
        <f>I32</f>
        <v>233436000</v>
      </c>
      <c r="K40" s="130">
        <v>132065000</v>
      </c>
      <c r="L40" s="131"/>
      <c r="M40" s="130">
        <v>131672000</v>
      </c>
      <c r="O40" s="132" t="s">
        <v>40</v>
      </c>
      <c r="P40" s="132"/>
    </row>
    <row r="41" spans="1:28">
      <c r="A41" s="124" t="s">
        <v>72</v>
      </c>
      <c r="B41" s="124" t="s">
        <v>71</v>
      </c>
      <c r="C41" s="130">
        <v>390954000</v>
      </c>
      <c r="E41" s="130">
        <v>213481000</v>
      </c>
      <c r="G41" s="130">
        <v>189350000</v>
      </c>
      <c r="I41" s="130">
        <v>398286000</v>
      </c>
      <c r="K41" s="130">
        <v>248046000</v>
      </c>
      <c r="L41" s="131"/>
      <c r="M41" s="130">
        <v>142630000</v>
      </c>
      <c r="O41" s="132"/>
      <c r="P41" s="132"/>
    </row>
    <row r="42" spans="1:28">
      <c r="A42" s="124" t="s">
        <v>1460</v>
      </c>
      <c r="B42" s="124" t="s">
        <v>1461</v>
      </c>
      <c r="C42" s="130">
        <v>10254000</v>
      </c>
      <c r="E42" s="130">
        <v>-8096000</v>
      </c>
      <c r="G42" s="130">
        <v>-27759000</v>
      </c>
      <c r="I42" s="130">
        <v>97004000</v>
      </c>
      <c r="K42" s="130">
        <v>17081000</v>
      </c>
      <c r="L42" s="131"/>
      <c r="M42" s="130">
        <v>-123325000</v>
      </c>
      <c r="O42" s="132" t="s">
        <v>24</v>
      </c>
    </row>
    <row r="43" spans="1:28">
      <c r="A43" s="124" t="s">
        <v>1462</v>
      </c>
      <c r="B43" s="124" t="s">
        <v>1463</v>
      </c>
      <c r="C43" s="130">
        <v>111387000</v>
      </c>
      <c r="E43" s="130">
        <v>119894000</v>
      </c>
      <c r="G43" s="130">
        <v>91730000</v>
      </c>
      <c r="I43" s="130">
        <v>85701000</v>
      </c>
      <c r="K43" s="130">
        <v>81841000</v>
      </c>
      <c r="L43" s="131"/>
      <c r="M43" s="130">
        <v>72748000</v>
      </c>
      <c r="O43" s="124" t="s">
        <v>25</v>
      </c>
      <c r="Q43" s="136">
        <f>ROUND(C21/C52,4)*100</f>
        <v>3.1399999999999997</v>
      </c>
      <c r="R43" s="137" t="s">
        <v>18</v>
      </c>
      <c r="S43" s="136">
        <f>ROUND(E21/E52,4)*100</f>
        <v>5.82</v>
      </c>
      <c r="T43" s="137" t="s">
        <v>18</v>
      </c>
      <c r="U43" s="136">
        <f>ROUND(G21/G52,4)*100</f>
        <v>3.9800000000000004</v>
      </c>
      <c r="V43" s="137" t="s">
        <v>18</v>
      </c>
      <c r="W43" s="136">
        <f>ROUND(I21/I52,4)*100</f>
        <v>6.3</v>
      </c>
      <c r="X43" s="137" t="s">
        <v>18</v>
      </c>
      <c r="Y43" s="136">
        <f>ROUND(K21/K52,4)*100</f>
        <v>4.04</v>
      </c>
      <c r="Z43" s="137" t="s">
        <v>18</v>
      </c>
      <c r="AA43" s="136">
        <f>ROUND(AVERAGE(Q43:Y43),2)</f>
        <v>4.66</v>
      </c>
      <c r="AB43" s="137" t="s">
        <v>18</v>
      </c>
    </row>
    <row r="44" spans="1:28">
      <c r="A44" s="124" t="s">
        <v>1464</v>
      </c>
      <c r="B44" s="124" t="s">
        <v>1465</v>
      </c>
      <c r="C44" s="130">
        <v>33286000</v>
      </c>
      <c r="E44" s="130">
        <v>-6944000</v>
      </c>
      <c r="G44" s="130">
        <v>-37751000</v>
      </c>
      <c r="I44" s="130">
        <v>-53785000</v>
      </c>
      <c r="K44" s="130">
        <v>18343000</v>
      </c>
      <c r="M44" s="130">
        <v>23530000</v>
      </c>
      <c r="O44" s="124" t="s">
        <v>27</v>
      </c>
      <c r="Q44" s="136">
        <f>(ROUND((C52/(AVERAGE(C48,E48))*100),2))</f>
        <v>214.58</v>
      </c>
      <c r="S44" s="136">
        <f>(ROUND((E52/(AVERAGE(E48,G48))*100),2))</f>
        <v>191.48</v>
      </c>
      <c r="U44" s="136">
        <f>(ROUND((G52/(AVERAGE(G48,I48))*100),2))</f>
        <v>280.52</v>
      </c>
      <c r="W44" s="136">
        <f>(ROUND((I52/(AVERAGE(I48,K48))*100),2))</f>
        <v>272.38</v>
      </c>
      <c r="Y44" s="136">
        <f>(ROUND((K52/(AVERAGE(K48,M48))*100),2))</f>
        <v>270.56</v>
      </c>
      <c r="AA44" s="136">
        <f>ROUND(AVERAGE(Q44:Y44),2)</f>
        <v>245.9</v>
      </c>
    </row>
    <row r="45" spans="1:28">
      <c r="C45" s="130"/>
      <c r="E45" s="130"/>
      <c r="G45" s="130"/>
      <c r="I45" s="130"/>
      <c r="O45" s="124" t="s">
        <v>28</v>
      </c>
      <c r="Q45" s="136">
        <f>ROUND(((+C26/C52)*100),2)</f>
        <v>3.5</v>
      </c>
      <c r="S45" s="136">
        <f>ROUND(((+E26/E52)*100),2)</f>
        <v>3.62</v>
      </c>
      <c r="U45" s="136">
        <f>ROUND(((+G26/G52)*100),2)</f>
        <v>2.5099999999999998</v>
      </c>
      <c r="W45" s="136">
        <f>ROUND(((+I26/I52)*100),2)</f>
        <v>2.65</v>
      </c>
      <c r="Y45" s="136">
        <f>ROUND(((+K26/K52)*100),2)</f>
        <v>2.75</v>
      </c>
      <c r="AA45" s="136">
        <f>ROUND(AVERAGE(Q45:Y45),2)</f>
        <v>3.01</v>
      </c>
    </row>
    <row r="46" spans="1:28">
      <c r="A46" s="124" t="s">
        <v>59</v>
      </c>
      <c r="C46" s="130"/>
      <c r="E46" s="130"/>
      <c r="G46" s="130"/>
      <c r="I46" s="130"/>
      <c r="K46" s="131"/>
      <c r="L46" s="131"/>
      <c r="M46" s="131"/>
      <c r="O46" s="124" t="s">
        <v>29</v>
      </c>
      <c r="P46" s="132"/>
      <c r="Q46" s="136">
        <f>ROUND(((+C38/C34)*100),2)</f>
        <v>60.31</v>
      </c>
      <c r="S46" s="136">
        <f>ROUND(((+E38/E34)*100),2)</f>
        <v>60.75</v>
      </c>
      <c r="U46" s="136">
        <f>ROUND(((+G38/G34)*100),2)</f>
        <v>61.39</v>
      </c>
      <c r="W46" s="136">
        <f>ROUND(((+I38/I34)*100),2)</f>
        <v>41.05</v>
      </c>
      <c r="Y46" s="136">
        <f>ROUND(((+K38/K34)*100),2)</f>
        <v>66.62</v>
      </c>
      <c r="AA46" s="136">
        <f>ROUND(AVERAGE(Q46:Y46),2)</f>
        <v>58.02</v>
      </c>
    </row>
    <row r="47" spans="1:28">
      <c r="C47" s="130"/>
      <c r="E47" s="130"/>
      <c r="G47" s="130"/>
      <c r="I47" s="130"/>
      <c r="K47" s="131"/>
      <c r="L47" s="131"/>
      <c r="M47" s="131"/>
      <c r="Q47" s="136"/>
      <c r="S47" s="136"/>
      <c r="U47" s="136"/>
      <c r="W47" s="136"/>
      <c r="Y47" s="136"/>
      <c r="AA47" s="136"/>
    </row>
    <row r="48" spans="1:28">
      <c r="A48" s="124" t="s">
        <v>7</v>
      </c>
      <c r="B48" s="124" t="s">
        <v>50</v>
      </c>
      <c r="C48" s="130">
        <f>C16/C15</f>
        <v>17.039679860116944</v>
      </c>
      <c r="E48" s="130">
        <f>E16/E15</f>
        <v>19.22571868068955</v>
      </c>
      <c r="G48" s="130">
        <f>G16/G15</f>
        <v>17.369048580350764</v>
      </c>
      <c r="I48" s="130">
        <f>I16/I15</f>
        <v>16.479060474130709</v>
      </c>
      <c r="K48" s="130">
        <f>K16/K15</f>
        <v>14.287282725985303</v>
      </c>
      <c r="M48" s="130">
        <f>M16/M15</f>
        <v>13.551404284685999</v>
      </c>
      <c r="O48" s="132" t="s">
        <v>41</v>
      </c>
      <c r="P48" s="132"/>
      <c r="Q48" s="136">
        <f>ROUND(((C34/AVERAGE(C16,E16))*100),2)</f>
        <v>11.16</v>
      </c>
      <c r="R48" s="124" t="s">
        <v>18</v>
      </c>
      <c r="S48" s="136">
        <f>ROUND(((E34/AVERAGE(E16,G16))*100),2)</f>
        <v>11.42</v>
      </c>
      <c r="T48" s="124" t="s">
        <v>18</v>
      </c>
      <c r="U48" s="136">
        <f>ROUND(((G34/AVERAGE(G16,I16))*100),2)</f>
        <v>11.41</v>
      </c>
      <c r="V48" s="124" t="s">
        <v>18</v>
      </c>
      <c r="W48" s="136">
        <f>ROUND(((I34/AVERAGE(I16,K16))*100),2)</f>
        <v>17.579999999999998</v>
      </c>
      <c r="X48" s="124" t="s">
        <v>18</v>
      </c>
      <c r="Y48" s="136">
        <f>ROUND(((K34/AVERAGE(K16,M16))*100),2)</f>
        <v>10.99</v>
      </c>
      <c r="Z48" s="124" t="s">
        <v>18</v>
      </c>
      <c r="AA48" s="136">
        <f>ROUND(AVERAGE(Q48:Y48),2)</f>
        <v>12.51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3865866000</v>
      </c>
      <c r="E50" s="130">
        <f>SUM(E12:E13,E16:E17)</f>
        <v>4131394000</v>
      </c>
      <c r="G50" s="130">
        <f>SUM(G12:G13,G16:G17)</f>
        <v>3110313000</v>
      </c>
      <c r="I50" s="130">
        <f>SUM(I12:I13,I16:I17)</f>
        <v>2723142000</v>
      </c>
      <c r="K50" s="130">
        <f>SUM(K12:K13,K16:K17)</f>
        <v>2399098000</v>
      </c>
      <c r="M50" s="130">
        <f>SUM(M12:M13,M16:M17)</f>
        <v>2291593000</v>
      </c>
      <c r="O50" s="132" t="s">
        <v>142</v>
      </c>
      <c r="Q50" s="136">
        <f>ROUND((C54/C62),2)</f>
        <v>6.26</v>
      </c>
      <c r="R50" s="137" t="s">
        <v>44</v>
      </c>
      <c r="S50" s="136">
        <f>ROUND((E54/E62),2)</f>
        <v>6.44</v>
      </c>
      <c r="T50" s="137" t="s">
        <v>44</v>
      </c>
      <c r="U50" s="136">
        <f>ROUND((G54/G62),2)</f>
        <v>5.85</v>
      </c>
      <c r="V50" s="137" t="s">
        <v>44</v>
      </c>
      <c r="W50" s="136">
        <f>ROUND((I54/I62),2)</f>
        <v>4.67</v>
      </c>
      <c r="X50" s="137" t="s">
        <v>44</v>
      </c>
      <c r="Y50" s="136">
        <f>ROUND((K54/K62),2)</f>
        <v>5.15</v>
      </c>
      <c r="Z50" s="137" t="s">
        <v>44</v>
      </c>
      <c r="AA50" s="136">
        <f>ROUND(AVERAGE(Q50:Y50),2)</f>
        <v>5.67</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38.909999999999997</v>
      </c>
      <c r="E52" s="130">
        <f>AVERAGE(E22:E23)</f>
        <v>35.034999999999997</v>
      </c>
      <c r="G52" s="130">
        <f>AVERAGE(G22:G23)</f>
        <v>47.475000000000001</v>
      </c>
      <c r="I52" s="130">
        <f>AVERAGE(I22:I23)</f>
        <v>41.9</v>
      </c>
      <c r="K52" s="130">
        <f>AVERAGE(K22:K23)</f>
        <v>37.659999999999997</v>
      </c>
      <c r="M52" s="130">
        <f>AVERAGE(M22:M23)</f>
        <v>33.424999999999997</v>
      </c>
      <c r="O52" s="132" t="s">
        <v>57</v>
      </c>
      <c r="Q52" s="136">
        <f>ROUND(((C60/C54)*100),2)</f>
        <v>14.51</v>
      </c>
      <c r="R52" s="137" t="s">
        <v>18</v>
      </c>
      <c r="S52" s="136">
        <f>ROUND(((E60/E54)*100),2)</f>
        <v>7.7</v>
      </c>
      <c r="T52" s="137" t="s">
        <v>18</v>
      </c>
      <c r="U52" s="136">
        <f>ROUND(((G60/G54)*100),2)</f>
        <v>9.56</v>
      </c>
      <c r="V52" s="137" t="s">
        <v>18</v>
      </c>
      <c r="W52" s="136">
        <f>ROUND(((I60/I54)*100),2)</f>
        <v>33.5</v>
      </c>
      <c r="X52" s="137" t="s">
        <v>18</v>
      </c>
      <c r="Y52" s="136">
        <f>ROUND(((K60/K54)*100),2)</f>
        <v>18.2</v>
      </c>
      <c r="Z52" s="137" t="s">
        <v>18</v>
      </c>
      <c r="AA52" s="136">
        <f>ROUND(AVERAGE(Q52:Y52),2)</f>
        <v>16.690000000000001</v>
      </c>
      <c r="AB52" s="124" t="s">
        <v>18</v>
      </c>
    </row>
    <row r="53" spans="1:28">
      <c r="C53" s="130"/>
      <c r="E53" s="130"/>
      <c r="G53" s="130"/>
      <c r="I53" s="130"/>
      <c r="K53" s="130"/>
      <c r="M53" s="130"/>
      <c r="O53" s="143"/>
      <c r="Q53" s="136"/>
      <c r="S53" s="136"/>
      <c r="U53" s="136"/>
      <c r="W53" s="136"/>
      <c r="Y53" s="136"/>
    </row>
    <row r="54" spans="1:28">
      <c r="A54" s="124" t="s">
        <v>53</v>
      </c>
      <c r="C54" s="214">
        <f>+C19+C12</f>
        <v>2612304000</v>
      </c>
      <c r="E54" s="214">
        <f>+E19+E12</f>
        <v>2412052000</v>
      </c>
      <c r="G54" s="214">
        <f>+G19+G12</f>
        <v>1584046000</v>
      </c>
      <c r="I54" s="214">
        <f>+I19+I12</f>
        <v>1456114000</v>
      </c>
      <c r="K54" s="214">
        <f>+K19+K12</f>
        <v>1428455000</v>
      </c>
      <c r="M54" s="214">
        <f>+M19+M12</f>
        <v>1246702000</v>
      </c>
      <c r="O54" s="143" t="s">
        <v>56</v>
      </c>
      <c r="Q54" s="136">
        <f>Q33</f>
        <v>61.56</v>
      </c>
      <c r="R54" s="137" t="s">
        <v>18</v>
      </c>
      <c r="S54" s="136">
        <f>S33</f>
        <v>56.66</v>
      </c>
      <c r="T54" s="137" t="s">
        <v>18</v>
      </c>
      <c r="U54" s="136">
        <f>U33</f>
        <v>50.52</v>
      </c>
      <c r="V54" s="137" t="s">
        <v>18</v>
      </c>
      <c r="W54" s="136">
        <f>W33</f>
        <v>50.65</v>
      </c>
      <c r="X54" s="137" t="s">
        <v>18</v>
      </c>
      <c r="Y54" s="136">
        <f>Y33</f>
        <v>53.6</v>
      </c>
      <c r="Z54" s="137" t="s">
        <v>18</v>
      </c>
      <c r="AA54" s="136">
        <f>ROUND(AVERAGE(Q54:Y54),2)</f>
        <v>54.6</v>
      </c>
      <c r="AB54" s="137" t="s">
        <v>18</v>
      </c>
    </row>
    <row r="55" spans="1:28">
      <c r="C55" s="130"/>
      <c r="E55" s="130"/>
      <c r="G55" s="130"/>
      <c r="I55" s="130"/>
      <c r="K55" s="130"/>
      <c r="M55" s="130"/>
    </row>
    <row r="56" spans="1:28">
      <c r="A56" s="124" t="s">
        <v>31</v>
      </c>
      <c r="B56" s="124" t="s">
        <v>50</v>
      </c>
      <c r="C56" s="130">
        <f>SUM(C50,C19)</f>
        <v>4243166000</v>
      </c>
      <c r="E56" s="130">
        <f>SUM(E50,E19)</f>
        <v>4256744000</v>
      </c>
      <c r="G56" s="130">
        <f>SUM(G50,G19)</f>
        <v>3135763000</v>
      </c>
      <c r="I56" s="130">
        <f>SUM(I50,I19)</f>
        <v>2875092000</v>
      </c>
      <c r="K56" s="130">
        <f>SUM(K50,K19)</f>
        <v>2665098000</v>
      </c>
      <c r="M56" s="130">
        <f>SUM(M50,M19)</f>
        <v>2413293000</v>
      </c>
    </row>
    <row r="57" spans="1:28">
      <c r="C57" s="130"/>
      <c r="E57" s="130"/>
      <c r="G57" s="130"/>
      <c r="I57" s="130"/>
      <c r="K57" s="130"/>
      <c r="M57" s="130"/>
    </row>
    <row r="58" spans="1:28">
      <c r="A58" s="124" t="s">
        <v>51</v>
      </c>
      <c r="B58" s="124" t="s">
        <v>50</v>
      </c>
      <c r="C58" s="130">
        <f>SUM(C13,C17)</f>
        <v>0</v>
      </c>
      <c r="E58" s="130">
        <f>SUM(E13,E17)</f>
        <v>0</v>
      </c>
      <c r="G58" s="130">
        <f>SUM(G13,G17)</f>
        <v>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378955000</v>
      </c>
      <c r="E60" s="130">
        <f>ROUND(E41+E42-E28,3)</f>
        <v>185652000</v>
      </c>
      <c r="G60" s="130">
        <f>ROUND(G41+G42-G28,3)</f>
        <v>151389000</v>
      </c>
      <c r="I60" s="130">
        <f>ROUND(I41+I42-I28,3)</f>
        <v>487780000</v>
      </c>
      <c r="K60" s="130">
        <f>ROUND(K41+K42-K28,3)</f>
        <v>259949000</v>
      </c>
      <c r="M60" s="130">
        <f>ROUND(M41+M42-M28,3)</f>
        <v>9921000</v>
      </c>
    </row>
    <row r="61" spans="1:28">
      <c r="A61" s="126"/>
      <c r="C61" s="130"/>
      <c r="E61" s="130"/>
      <c r="G61" s="130"/>
      <c r="I61" s="130"/>
      <c r="K61" s="130"/>
      <c r="M61" s="130"/>
    </row>
    <row r="62" spans="1:28">
      <c r="A62" s="124" t="s">
        <v>1467</v>
      </c>
      <c r="B62" s="124" t="s">
        <v>50</v>
      </c>
      <c r="C62" s="130">
        <f>C40+C44+C43+C30</f>
        <v>417151000</v>
      </c>
      <c r="E62" s="130">
        <f>E40+E44+E43+E30</f>
        <v>374466000</v>
      </c>
      <c r="G62" s="130">
        <f>G40+G44+G43+G30</f>
        <v>270566000</v>
      </c>
      <c r="I62" s="130">
        <f>I40+I44+I43+I30</f>
        <v>311638000</v>
      </c>
      <c r="K62" s="130">
        <f>K40+K44+K43+K30</f>
        <v>277135000</v>
      </c>
      <c r="M62" s="130">
        <f>M40+M44+M43+M30</f>
        <v>258994000</v>
      </c>
    </row>
    <row r="63" spans="1:28">
      <c r="E63" s="131"/>
      <c r="F63" s="131"/>
      <c r="G63" s="131"/>
      <c r="H63" s="131"/>
      <c r="I63" s="131"/>
      <c r="J63" s="131"/>
      <c r="K63" s="131"/>
      <c r="L63" s="131"/>
      <c r="M63" s="131"/>
    </row>
    <row r="64" spans="1:28">
      <c r="E64" s="131"/>
      <c r="F64" s="131"/>
      <c r="G64" s="131"/>
      <c r="H64" s="131"/>
      <c r="I64" s="131"/>
      <c r="J64" s="131"/>
      <c r="K64" s="131"/>
      <c r="L64" s="131"/>
      <c r="M64" s="131"/>
    </row>
    <row r="65" spans="5:13">
      <c r="I65" s="130"/>
      <c r="K65" s="130"/>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M134"/>
  <sheetViews>
    <sheetView workbookViewId="0">
      <selection activeCell="C13" sqref="C13"/>
    </sheetView>
  </sheetViews>
  <sheetFormatPr defaultColWidth="9" defaultRowHeight="12.75"/>
  <cols>
    <col min="1" max="1" width="36.28515625" style="124" customWidth="1"/>
    <col min="2" max="2" width="15.28515625" style="124" bestFit="1" customWidth="1"/>
    <col min="3" max="3" width="18.7109375" style="124" customWidth="1"/>
    <col min="4" max="4" width="2.7109375" style="124" customWidth="1"/>
    <col min="5" max="5" width="18.7109375" style="124" customWidth="1"/>
    <col min="6" max="6" width="2" style="124" customWidth="1"/>
    <col min="7" max="7" width="18.7109375" style="124" customWidth="1"/>
    <col min="8" max="8" width="1.85546875" style="124" customWidth="1"/>
    <col min="9" max="9" width="18.7109375" style="124" customWidth="1"/>
    <col min="10" max="10" width="1.85546875" style="124" customWidth="1"/>
    <col min="11" max="11" width="18.7109375" style="124" customWidth="1"/>
    <col min="12" max="12" width="2" style="124" customWidth="1"/>
    <col min="13" max="13" width="18.7109375" style="124" customWidth="1"/>
    <col min="14" max="14" width="9" style="124"/>
    <col min="15" max="15" width="53.28515625" style="124" bestFit="1" customWidth="1"/>
    <col min="16" max="16" width="6.7109375" style="124" customWidth="1"/>
    <col min="17" max="17" width="10.7109375" style="124" bestFit="1" customWidth="1"/>
    <col min="18" max="18" width="2.7109375" style="124" bestFit="1" customWidth="1"/>
    <col min="19" max="19" width="10.7109375" style="124" bestFit="1" customWidth="1"/>
    <col min="20" max="20" width="2.7109375" style="124" customWidth="1"/>
    <col min="21" max="21" width="10.7109375" style="124" bestFit="1" customWidth="1"/>
    <col min="22" max="22" width="2.7109375" style="124" customWidth="1"/>
    <col min="23" max="23" width="10.7109375" style="124" bestFit="1" customWidth="1"/>
    <col min="24" max="24" width="2.7109375" style="124" customWidth="1"/>
    <col min="25" max="25" width="10.7109375" style="124" bestFit="1" customWidth="1"/>
    <col min="26" max="26" width="2.7109375" style="124" customWidth="1"/>
    <col min="27" max="27" width="10.5703125" style="124" customWidth="1"/>
    <col min="28" max="28" width="2.7109375" style="124" customWidth="1"/>
    <col min="29" max="29" width="9" style="124"/>
    <col min="30" max="30" width="4.28515625" style="124" customWidth="1"/>
    <col min="31" max="31" width="3.7109375" style="124" customWidth="1"/>
    <col min="32" max="32" width="22.28515625" style="124" customWidth="1"/>
    <col min="33" max="16384" width="9" style="124"/>
  </cols>
  <sheetData>
    <row r="1" spans="1:27" ht="16.149999999999999" customHeight="1">
      <c r="A1" s="329"/>
    </row>
    <row r="2" spans="1:27" ht="16.149999999999999" customHeight="1">
      <c r="A2" s="329"/>
    </row>
    <row r="3" spans="1:27" ht="16.149999999999999" customHeight="1">
      <c r="A3" s="329"/>
    </row>
    <row r="4" spans="1:27" ht="16.149999999999999" customHeight="1" thickBot="1">
      <c r="A4" s="329"/>
      <c r="K4" s="130"/>
    </row>
    <row r="5" spans="1:27" ht="15">
      <c r="A5" s="328" t="s">
        <v>2255</v>
      </c>
    </row>
    <row r="6" spans="1:27" ht="15" thickBot="1">
      <c r="A6" s="327" t="s">
        <v>3052</v>
      </c>
      <c r="E6" s="127" t="s">
        <v>3065</v>
      </c>
      <c r="F6" s="127"/>
      <c r="G6" s="128"/>
      <c r="H6" s="128"/>
      <c r="I6" s="128"/>
      <c r="J6" s="128"/>
      <c r="K6" s="128"/>
      <c r="L6" s="259"/>
      <c r="O6" s="129" t="str">
        <f>E6</f>
        <v xml:space="preserve">Northwest Nat. Gas  </v>
      </c>
      <c r="P6" s="128"/>
      <c r="Q6" s="128"/>
      <c r="R6" s="127"/>
      <c r="S6" s="128"/>
      <c r="T6" s="128"/>
      <c r="U6" s="128"/>
      <c r="V6" s="128"/>
      <c r="W6" s="128"/>
      <c r="X6" s="128"/>
      <c r="Y6" s="128"/>
      <c r="Z6" s="128"/>
      <c r="AA6" s="128"/>
    </row>
    <row r="7" spans="1:27" ht="14.25">
      <c r="E7" s="128" t="s">
        <v>0</v>
      </c>
      <c r="F7" s="128"/>
      <c r="G7" s="128"/>
      <c r="H7" s="128"/>
      <c r="I7" s="128"/>
      <c r="J7" s="128"/>
      <c r="K7" s="128"/>
      <c r="L7" s="259"/>
      <c r="O7" s="128" t="str">
        <f>E7</f>
        <v>CAPITALIZATION AND FINANCIAL STATISTICS  (1)</v>
      </c>
      <c r="P7" s="128"/>
      <c r="Q7" s="128"/>
      <c r="R7" s="128"/>
      <c r="S7" s="128"/>
      <c r="T7" s="128"/>
      <c r="U7" s="128"/>
      <c r="V7" s="128"/>
      <c r="W7" s="128"/>
      <c r="X7" s="128"/>
      <c r="Y7" s="128"/>
      <c r="Z7" s="128"/>
      <c r="AA7" s="128"/>
    </row>
    <row r="8" spans="1:27">
      <c r="E8" s="127" t="s">
        <v>4355</v>
      </c>
      <c r="F8" s="127"/>
      <c r="G8" s="128"/>
      <c r="H8" s="128"/>
      <c r="I8" s="128"/>
      <c r="J8" s="128"/>
      <c r="K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4357</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1044587000+345000-27000000</f>
        <v>1017932000</v>
      </c>
      <c r="E12" s="130">
        <f>860081000+95344000</f>
        <v>955425000</v>
      </c>
      <c r="G12" s="130">
        <f>805955000+75109000</f>
        <v>881064000</v>
      </c>
      <c r="I12" s="130">
        <f>706247000+29989000</f>
        <v>736236000</v>
      </c>
      <c r="K12" s="130">
        <v>779887000</v>
      </c>
      <c r="L12" s="131"/>
      <c r="M12" s="130">
        <v>719323000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130">
        <v>31129000</v>
      </c>
      <c r="E15" s="130">
        <v>30589000</v>
      </c>
      <c r="G15" s="130">
        <v>30472000</v>
      </c>
      <c r="I15" s="130">
        <v>28880000</v>
      </c>
      <c r="K15" s="130">
        <v>28736000</v>
      </c>
      <c r="L15" s="131"/>
      <c r="M15" s="130">
        <v>28630000</v>
      </c>
    </row>
    <row r="16" spans="1:27">
      <c r="A16" s="124" t="s">
        <v>10</v>
      </c>
      <c r="B16" s="124" t="s">
        <v>60</v>
      </c>
      <c r="C16" s="130">
        <v>935146000</v>
      </c>
      <c r="E16" s="130">
        <v>888733000</v>
      </c>
      <c r="G16" s="130">
        <v>865999000</v>
      </c>
      <c r="I16" s="130">
        <v>762634000</v>
      </c>
      <c r="K16" s="130">
        <v>742776000</v>
      </c>
      <c r="L16" s="131"/>
      <c r="M16" s="130">
        <v>850497000</v>
      </c>
      <c r="O16" s="132" t="s">
        <v>9</v>
      </c>
      <c r="P16" s="132"/>
    </row>
    <row r="17" spans="1:28">
      <c r="A17" s="124" t="s">
        <v>49</v>
      </c>
      <c r="B17" s="124" t="s">
        <v>58</v>
      </c>
      <c r="C17" s="130">
        <v>0</v>
      </c>
      <c r="E17" s="130">
        <v>0</v>
      </c>
      <c r="G17" s="130">
        <v>0</v>
      </c>
      <c r="I17" s="130">
        <v>0</v>
      </c>
      <c r="K17" s="130">
        <v>0</v>
      </c>
      <c r="L17" s="131"/>
      <c r="M17" s="130">
        <v>0</v>
      </c>
      <c r="O17" s="124" t="s">
        <v>11</v>
      </c>
      <c r="Q17" s="133">
        <f>C50/1000000</f>
        <v>1953.078</v>
      </c>
      <c r="R17" s="133"/>
      <c r="S17" s="133">
        <f>E50/1000000</f>
        <v>1844.1579999999999</v>
      </c>
      <c r="T17" s="133"/>
      <c r="U17" s="133">
        <f>G50/1000000</f>
        <v>1747.0630000000001</v>
      </c>
      <c r="V17" s="133"/>
      <c r="W17" s="133">
        <f>I50/1000000</f>
        <v>1498.87</v>
      </c>
      <c r="X17" s="133"/>
      <c r="Y17" s="133">
        <f>K50/1000000</f>
        <v>1522.663</v>
      </c>
    </row>
    <row r="18" spans="1:28">
      <c r="C18" s="130"/>
      <c r="E18" s="130"/>
      <c r="G18" s="130"/>
      <c r="I18" s="130"/>
      <c r="O18" s="124" t="s">
        <v>12</v>
      </c>
      <c r="Q18" s="134">
        <f>C19/1000000</f>
        <v>389.5</v>
      </c>
      <c r="R18" s="133"/>
      <c r="S18" s="134">
        <f>E19/1000000</f>
        <v>304.52499999999998</v>
      </c>
      <c r="T18" s="133"/>
      <c r="U18" s="134">
        <f>G19/1000000</f>
        <v>149.1</v>
      </c>
      <c r="V18" s="133"/>
      <c r="W18" s="134">
        <f>I19/1000000</f>
        <v>217.62</v>
      </c>
      <c r="X18" s="133"/>
      <c r="Y18" s="134">
        <f>K19/1000000</f>
        <v>54.2</v>
      </c>
    </row>
    <row r="19" spans="1:28">
      <c r="A19" s="124" t="s">
        <v>15</v>
      </c>
      <c r="B19" s="124" t="s">
        <v>67</v>
      </c>
      <c r="C19" s="130">
        <v>389500000</v>
      </c>
      <c r="E19" s="130">
        <v>304525000</v>
      </c>
      <c r="G19" s="130">
        <v>149100000</v>
      </c>
      <c r="I19" s="130">
        <v>217620000</v>
      </c>
      <c r="K19" s="130">
        <v>54200000</v>
      </c>
      <c r="L19" s="131"/>
      <c r="M19" s="130">
        <v>53300000</v>
      </c>
      <c r="O19" s="124" t="s">
        <v>14</v>
      </c>
      <c r="Q19" s="135">
        <f>SUM(Q17:Q18)</f>
        <v>2342.578</v>
      </c>
      <c r="R19" s="133"/>
      <c r="S19" s="135">
        <f>SUM(S17:S18)</f>
        <v>2148.683</v>
      </c>
      <c r="T19" s="133"/>
      <c r="U19" s="135">
        <f>SUM(U17:U18)</f>
        <v>1896.163</v>
      </c>
      <c r="V19" s="133"/>
      <c r="W19" s="135">
        <f>SUM(W17:W18)</f>
        <v>1716.4899999999998</v>
      </c>
      <c r="X19" s="133"/>
      <c r="Y19" s="135">
        <f>SUM(Y17:Y18)</f>
        <v>1576.8630000000001</v>
      </c>
    </row>
    <row r="20" spans="1:28">
      <c r="C20" s="130"/>
      <c r="E20" s="130"/>
      <c r="G20" s="130"/>
      <c r="I20" s="130"/>
      <c r="K20" s="131"/>
      <c r="L20" s="131"/>
      <c r="M20" s="131"/>
    </row>
    <row r="21" spans="1:28">
      <c r="A21" s="124" t="s">
        <v>17</v>
      </c>
      <c r="B21" s="124" t="s">
        <v>61</v>
      </c>
      <c r="C21" s="130">
        <v>2.56</v>
      </c>
      <c r="E21" s="130">
        <v>2.5099999999999998</v>
      </c>
      <c r="G21" s="130">
        <v>2.0699999999999998</v>
      </c>
      <c r="I21" s="130">
        <v>2.2400000000000002</v>
      </c>
      <c r="K21" s="130">
        <v>-1.94</v>
      </c>
      <c r="L21" s="131"/>
      <c r="M21" s="130">
        <v>2.12</v>
      </c>
      <c r="O21" s="132" t="s">
        <v>16</v>
      </c>
      <c r="P21" s="132"/>
    </row>
    <row r="22" spans="1:28">
      <c r="A22" s="124" t="s">
        <v>19</v>
      </c>
      <c r="B22" s="124" t="s">
        <v>1375</v>
      </c>
      <c r="C22" s="124">
        <v>56.39</v>
      </c>
      <c r="E22" s="130">
        <v>76.900000000000006</v>
      </c>
      <c r="G22" s="130">
        <v>73.86</v>
      </c>
      <c r="I22" s="130">
        <v>70.709999999999994</v>
      </c>
      <c r="K22" s="130">
        <v>69.150000000000006</v>
      </c>
      <c r="L22" s="131"/>
      <c r="M22" s="130">
        <v>65.599999999999994</v>
      </c>
      <c r="O22" s="124" t="s">
        <v>54</v>
      </c>
      <c r="Q22" s="136">
        <f>(ROUND((C30/(AVERAGE(C54,E54))*100),2))</f>
        <v>3.34</v>
      </c>
      <c r="R22" s="137" t="s">
        <v>18</v>
      </c>
      <c r="S22" s="136">
        <f>(ROUND((E30/(AVERAGE(E54,G54))*100),2))</f>
        <v>3.76</v>
      </c>
      <c r="T22" s="137" t="s">
        <v>18</v>
      </c>
      <c r="U22" s="136">
        <f>(ROUND((G30/(AVERAGE(G54,I54))*100),2))</f>
        <v>4.3</v>
      </c>
      <c r="V22" s="137" t="s">
        <v>18</v>
      </c>
      <c r="W22" s="136">
        <f>(ROUND((I30/(AVERAGE(I54,K54))*100),2))</f>
        <v>4.1500000000000004</v>
      </c>
      <c r="X22" s="137" t="s">
        <v>18</v>
      </c>
      <c r="Y22" s="136">
        <f>(ROUND((K30/(AVERAGE(K54,M54))*100),2))</f>
        <v>4.79</v>
      </c>
      <c r="Z22" s="137" t="s">
        <v>18</v>
      </c>
      <c r="AA22" s="255"/>
    </row>
    <row r="23" spans="1:28">
      <c r="A23" s="124" t="s">
        <v>21</v>
      </c>
      <c r="B23" s="124" t="s">
        <v>1375</v>
      </c>
      <c r="C23" s="124">
        <v>42.44</v>
      </c>
      <c r="E23" s="130">
        <v>43.41</v>
      </c>
      <c r="G23" s="130">
        <v>57.46</v>
      </c>
      <c r="I23" s="130">
        <v>51.95</v>
      </c>
      <c r="K23" s="130">
        <v>56.85</v>
      </c>
      <c r="L23" s="131"/>
      <c r="M23" s="130">
        <v>49.44</v>
      </c>
      <c r="O23" s="124" t="s">
        <v>20</v>
      </c>
      <c r="Q23" s="136"/>
      <c r="R23" s="137"/>
      <c r="S23" s="136"/>
      <c r="T23" s="137"/>
      <c r="U23" s="136"/>
      <c r="V23" s="137"/>
      <c r="W23" s="136"/>
      <c r="X23" s="137"/>
      <c r="Y23" s="136"/>
      <c r="Z23" s="137"/>
    </row>
    <row r="24" spans="1:28">
      <c r="C24" s="130"/>
      <c r="E24" s="130"/>
      <c r="G24" s="130"/>
      <c r="I24" s="130"/>
      <c r="AA24" s="1057" t="s">
        <v>52</v>
      </c>
      <c r="AB24" s="1057"/>
    </row>
    <row r="25" spans="1:28">
      <c r="C25" s="130"/>
      <c r="E25" s="130"/>
      <c r="G25" s="130"/>
      <c r="I25" s="130"/>
      <c r="K25" s="131"/>
      <c r="L25" s="131"/>
      <c r="M25" s="131"/>
      <c r="O25" s="132" t="s">
        <v>30</v>
      </c>
      <c r="P25" s="132"/>
      <c r="AA25" s="1057" t="s">
        <v>22</v>
      </c>
      <c r="AB25" s="1057"/>
    </row>
    <row r="26" spans="1:28">
      <c r="A26" s="124" t="s">
        <v>26</v>
      </c>
      <c r="B26" s="124" t="s">
        <v>1375</v>
      </c>
      <c r="C26" s="130">
        <v>1.92</v>
      </c>
      <c r="E26" s="130">
        <v>1.91</v>
      </c>
      <c r="G26" s="130">
        <v>1.9</v>
      </c>
      <c r="I26" s="130">
        <v>1.89</v>
      </c>
      <c r="K26" s="130">
        <v>1.8824999999999998</v>
      </c>
      <c r="L26" s="131"/>
      <c r="M26" s="130">
        <v>1.8725000000000001</v>
      </c>
      <c r="O26" s="124" t="s">
        <v>32</v>
      </c>
    </row>
    <row r="27" spans="1:28">
      <c r="C27" s="130"/>
      <c r="E27" s="130"/>
      <c r="G27" s="130"/>
      <c r="I27" s="130"/>
      <c r="K27" s="131"/>
      <c r="L27" s="131"/>
      <c r="M27" s="131"/>
      <c r="O27" s="124" t="s">
        <v>33</v>
      </c>
      <c r="Q27" s="136">
        <f>ROUND(((C12/C50)*100),2)</f>
        <v>52.12</v>
      </c>
      <c r="R27" s="137" t="s">
        <v>18</v>
      </c>
      <c r="S27" s="136">
        <f>ROUND(((E12/E50)*100),2)</f>
        <v>51.81</v>
      </c>
      <c r="T27" s="137" t="s">
        <v>18</v>
      </c>
      <c r="U27" s="136">
        <f>ROUND(((G12/G50)*100),2)</f>
        <v>50.43</v>
      </c>
      <c r="V27" s="137" t="s">
        <v>18</v>
      </c>
      <c r="W27" s="136">
        <f>ROUND(((I12/I50)*100),2)</f>
        <v>49.12</v>
      </c>
      <c r="X27" s="137" t="s">
        <v>18</v>
      </c>
      <c r="Y27" s="136">
        <f>ROUND(((K12/K50)*100),2)</f>
        <v>51.22</v>
      </c>
      <c r="Z27" s="137" t="s">
        <v>18</v>
      </c>
      <c r="AA27" s="136">
        <f>ROUND(AVERAGE(Q27:Y27),2)</f>
        <v>50.94</v>
      </c>
      <c r="AB27" s="137" t="s">
        <v>18</v>
      </c>
    </row>
    <row r="28" spans="1:28">
      <c r="A28" s="124" t="s">
        <v>37</v>
      </c>
      <c r="B28" s="124" t="s">
        <v>37</v>
      </c>
      <c r="C28" s="130">
        <v>0</v>
      </c>
      <c r="E28" s="130">
        <v>0</v>
      </c>
      <c r="G28" s="130">
        <f>700000</f>
        <v>700000</v>
      </c>
      <c r="I28" s="130">
        <f>4100000</f>
        <v>4100000</v>
      </c>
      <c r="K28" s="130">
        <v>5298000</v>
      </c>
      <c r="L28" s="131"/>
      <c r="M28" s="130">
        <v>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1"/>
      <c r="L29" s="131"/>
      <c r="M29" s="131"/>
      <c r="O29" s="124" t="s">
        <v>35</v>
      </c>
      <c r="Q29" s="138">
        <f>ROUND(((C16/C50)*100),2)</f>
        <v>47.88</v>
      </c>
      <c r="R29" s="137"/>
      <c r="S29" s="138">
        <f>ROUND(((E16/E50)*100),2)</f>
        <v>48.19</v>
      </c>
      <c r="T29" s="137"/>
      <c r="U29" s="138">
        <f>ROUND(((G16/G50)*100),2)</f>
        <v>49.57</v>
      </c>
      <c r="V29" s="137"/>
      <c r="W29" s="138">
        <f>ROUND(((I16/I50)*100),2)</f>
        <v>50.88</v>
      </c>
      <c r="X29" s="137"/>
      <c r="Y29" s="138">
        <f>ROUND(((K16/K50)*100),2)</f>
        <v>48.78</v>
      </c>
      <c r="Z29" s="137"/>
      <c r="AA29" s="138">
        <f>ROUND(AVERAGE(Q29:Y29),2)</f>
        <v>49.06</v>
      </c>
      <c r="AB29" s="137"/>
    </row>
    <row r="30" spans="1:28">
      <c r="A30" s="124" t="s">
        <v>42</v>
      </c>
      <c r="B30" s="124" t="s">
        <v>62</v>
      </c>
      <c r="C30" s="130">
        <v>44486000</v>
      </c>
      <c r="E30" s="130">
        <v>43052000</v>
      </c>
      <c r="G30" s="130">
        <v>42685000</v>
      </c>
      <c r="I30" s="130">
        <v>37059000</v>
      </c>
      <c r="K30" s="130">
        <v>38501000</v>
      </c>
      <c r="L30" s="131"/>
      <c r="M30" s="130">
        <v>39128000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78666000</v>
      </c>
      <c r="E32" s="130">
        <v>76781000</v>
      </c>
      <c r="G32" s="130">
        <v>61735000</v>
      </c>
      <c r="I32" s="130">
        <v>64569000</v>
      </c>
      <c r="K32" s="130">
        <v>-55623000</v>
      </c>
      <c r="L32" s="131"/>
      <c r="M32" s="130">
        <v>58895000</v>
      </c>
      <c r="O32" s="124" t="s">
        <v>38</v>
      </c>
    </row>
    <row r="33" spans="1:28">
      <c r="A33" s="140"/>
      <c r="B33" s="140"/>
      <c r="C33" s="141"/>
      <c r="D33" s="140"/>
      <c r="E33" s="141"/>
      <c r="F33" s="140"/>
      <c r="G33" s="141"/>
      <c r="H33" s="140"/>
      <c r="I33" s="141"/>
      <c r="J33" s="140"/>
      <c r="K33" s="142"/>
      <c r="L33" s="142"/>
      <c r="M33" s="142"/>
      <c r="O33" s="124" t="s">
        <v>39</v>
      </c>
      <c r="Q33" s="136">
        <f>ROUND((((C12+C19)/C56)*100),2)</f>
        <v>60.08</v>
      </c>
      <c r="R33" s="137" t="s">
        <v>18</v>
      </c>
      <c r="S33" s="136">
        <f>ROUND((((E12+E19)/E56)*100),2)</f>
        <v>58.64</v>
      </c>
      <c r="T33" s="137" t="s">
        <v>18</v>
      </c>
      <c r="U33" s="136">
        <f>ROUND((((G12+G19)/G56)*100),2)</f>
        <v>54.33</v>
      </c>
      <c r="V33" s="137" t="s">
        <v>18</v>
      </c>
      <c r="W33" s="136">
        <f>ROUND((((I12+I19)/I56)*100),2)</f>
        <v>55.57</v>
      </c>
      <c r="X33" s="137" t="s">
        <v>18</v>
      </c>
      <c r="Y33" s="136">
        <f>ROUND((((K12+K19)/K56)*100),2)</f>
        <v>52.9</v>
      </c>
      <c r="Z33" s="137" t="s">
        <v>18</v>
      </c>
      <c r="AA33" s="136">
        <f>ROUND(AVERAGE(Q33:Y33),2)</f>
        <v>56.3</v>
      </c>
      <c r="AB33" s="137" t="s">
        <v>18</v>
      </c>
    </row>
    <row r="34" spans="1:28">
      <c r="A34" s="124" t="s">
        <v>46</v>
      </c>
      <c r="B34" s="124" t="s">
        <v>70</v>
      </c>
      <c r="C34" s="130">
        <f>C32</f>
        <v>78666000</v>
      </c>
      <c r="E34" s="130">
        <f>E32</f>
        <v>76781000</v>
      </c>
      <c r="G34" s="130">
        <f>G32</f>
        <v>61735000</v>
      </c>
      <c r="I34" s="130">
        <f>I32</f>
        <v>64569000</v>
      </c>
      <c r="K34" s="130">
        <v>-55623000</v>
      </c>
      <c r="L34" s="131"/>
      <c r="M34" s="130">
        <v>58895000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124" t="s">
        <v>35</v>
      </c>
      <c r="Q35" s="138">
        <f>ROUND((((C16)/C56)*100),2)</f>
        <v>39.92</v>
      </c>
      <c r="R35" s="137"/>
      <c r="S35" s="138">
        <f>ROUND((((E16)/E56)*100),2)</f>
        <v>41.36</v>
      </c>
      <c r="T35" s="137"/>
      <c r="U35" s="138">
        <f>ROUND((((G16)/G56)*100),2)</f>
        <v>45.67</v>
      </c>
      <c r="V35" s="137"/>
      <c r="W35" s="138">
        <f>ROUND((((I16)/I56)*100),2)</f>
        <v>44.43</v>
      </c>
      <c r="X35" s="137"/>
      <c r="Y35" s="138">
        <f>ROUND((((K16)/K56)*100),2)</f>
        <v>47.1</v>
      </c>
      <c r="Z35" s="137"/>
      <c r="AA35" s="138">
        <f>ROUND(AVERAGE(Q35:Y35),2)</f>
        <v>43.7</v>
      </c>
      <c r="AB35" s="137"/>
    </row>
    <row r="36" spans="1:28">
      <c r="A36" s="124" t="s">
        <v>45</v>
      </c>
      <c r="B36" s="124" t="s">
        <v>68</v>
      </c>
      <c r="C36" s="130">
        <v>0</v>
      </c>
      <c r="E36" s="130">
        <v>0</v>
      </c>
      <c r="G36" s="130">
        <v>0</v>
      </c>
      <c r="I36" s="130">
        <v>0</v>
      </c>
      <c r="K36" s="130">
        <v>0</v>
      </c>
      <c r="L36" s="131"/>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v>59410000</v>
      </c>
      <c r="E38" s="130">
        <v>58708000</v>
      </c>
      <c r="G38" s="130">
        <v>56833000</v>
      </c>
      <c r="I38" s="130">
        <v>54736000</v>
      </c>
      <c r="K38" s="130">
        <v>53957000</v>
      </c>
      <c r="L38" s="131"/>
      <c r="M38" s="130">
        <v>51508000</v>
      </c>
    </row>
    <row r="39" spans="1:28">
      <c r="C39" s="130"/>
      <c r="E39" s="130"/>
      <c r="G39" s="130"/>
      <c r="I39" s="130"/>
      <c r="K39" s="131"/>
      <c r="L39" s="131"/>
      <c r="M39" s="131"/>
    </row>
    <row r="40" spans="1:28">
      <c r="A40" s="124" t="s">
        <v>55</v>
      </c>
      <c r="B40" s="124" t="s">
        <v>69</v>
      </c>
      <c r="C40" s="130">
        <f>C34</f>
        <v>78666000</v>
      </c>
      <c r="E40" s="130">
        <f>E34</f>
        <v>76781000</v>
      </c>
      <c r="G40" s="130">
        <f>G34</f>
        <v>61735000</v>
      </c>
      <c r="I40" s="130">
        <f>I34</f>
        <v>64569000</v>
      </c>
      <c r="K40" s="130">
        <v>-55623000</v>
      </c>
      <c r="L40" s="131"/>
      <c r="M40" s="130">
        <v>58895000</v>
      </c>
      <c r="O40" s="132" t="s">
        <v>40</v>
      </c>
      <c r="P40" s="132"/>
    </row>
    <row r="41" spans="1:28">
      <c r="A41" s="124" t="s">
        <v>72</v>
      </c>
      <c r="B41" s="124" t="s">
        <v>71</v>
      </c>
      <c r="C41" s="130">
        <v>160353000</v>
      </c>
      <c r="E41" s="130">
        <v>143020000</v>
      </c>
      <c r="G41" s="130">
        <v>185298000</v>
      </c>
      <c r="I41" s="130">
        <v>168771000</v>
      </c>
      <c r="K41" s="130">
        <v>206704000</v>
      </c>
      <c r="L41" s="131"/>
      <c r="M41" s="130">
        <v>222147000</v>
      </c>
      <c r="O41" s="132"/>
      <c r="P41" s="132"/>
    </row>
    <row r="42" spans="1:28">
      <c r="A42" s="124" t="s">
        <v>1460</v>
      </c>
      <c r="B42" s="124" t="s">
        <v>1461</v>
      </c>
      <c r="C42" s="130">
        <f>(-44128-14571+3292+12118)*1000</f>
        <v>-43289000</v>
      </c>
      <c r="E42" s="130">
        <f>(-16799+1262-10710-15910+17590)*1000</f>
        <v>-24567000</v>
      </c>
      <c r="G42" s="130">
        <f>(5844-5969+4528-16485+145-23471)*1000</f>
        <v>-35408000</v>
      </c>
      <c r="I42" s="130">
        <f>(181+3207-16904+16792+526-14395+552)*1000</f>
        <v>-10041000</v>
      </c>
      <c r="K42" s="130">
        <v>30696000</v>
      </c>
      <c r="L42" s="131"/>
      <c r="M42" s="130">
        <v>33237000</v>
      </c>
      <c r="O42" s="132" t="s">
        <v>24</v>
      </c>
    </row>
    <row r="43" spans="1:28">
      <c r="A43" s="124" t="s">
        <v>1462</v>
      </c>
      <c r="B43" s="124" t="s">
        <v>1463</v>
      </c>
      <c r="C43" s="130">
        <v>113534000</v>
      </c>
      <c r="E43" s="130">
        <v>103683000</v>
      </c>
      <c r="G43" s="130">
        <v>91496000</v>
      </c>
      <c r="I43" s="130">
        <v>85156000</v>
      </c>
      <c r="K43" s="130">
        <v>85578000</v>
      </c>
      <c r="L43" s="131"/>
      <c r="M43" s="130">
        <v>82289000</v>
      </c>
      <c r="O43" s="124" t="s">
        <v>25</v>
      </c>
      <c r="Q43" s="136">
        <f>ROUND(C21/C52,4)*100</f>
        <v>5.18</v>
      </c>
      <c r="R43" s="137" t="s">
        <v>18</v>
      </c>
      <c r="S43" s="136">
        <f>ROUND(E21/E52,4)*100</f>
        <v>4.17</v>
      </c>
      <c r="T43" s="137" t="s">
        <v>18</v>
      </c>
      <c r="U43" s="136">
        <f>ROUND(G21/G52,4)*100</f>
        <v>3.15</v>
      </c>
      <c r="V43" s="137" t="s">
        <v>18</v>
      </c>
      <c r="W43" s="136">
        <f>ROUND(I21/I52,4)*100</f>
        <v>3.65</v>
      </c>
      <c r="X43" s="137" t="s">
        <v>18</v>
      </c>
      <c r="Y43" s="136">
        <f>ROUND(K21/K52,4)*100</f>
        <v>-3.08</v>
      </c>
      <c r="Z43" s="137" t="s">
        <v>18</v>
      </c>
      <c r="AA43" s="136">
        <f>ROUND(AVERAGE(Q43:Y43),2)</f>
        <v>2.61</v>
      </c>
      <c r="AB43" s="137" t="s">
        <v>18</v>
      </c>
    </row>
    <row r="44" spans="1:28">
      <c r="A44" s="124" t="s">
        <v>1464</v>
      </c>
      <c r="B44" s="124" t="s">
        <v>1465</v>
      </c>
      <c r="C44" s="130">
        <v>27406000</v>
      </c>
      <c r="E44" s="130">
        <v>21082000</v>
      </c>
      <c r="G44" s="130">
        <v>12642000</v>
      </c>
      <c r="I44" s="130">
        <v>24191000</v>
      </c>
      <c r="K44" s="130">
        <v>-30757000</v>
      </c>
      <c r="M44" s="130">
        <v>40714000</v>
      </c>
      <c r="O44" s="124" t="s">
        <v>27</v>
      </c>
      <c r="Q44" s="136">
        <f>(ROUND((C52/(AVERAGE(C48,E48))*100),2))</f>
        <v>167.24</v>
      </c>
      <c r="S44" s="136">
        <f>(ROUND((E52/(AVERAGE(E48,G48))*100),2))</f>
        <v>209.33</v>
      </c>
      <c r="U44" s="136">
        <f>(ROUND((G52/(AVERAGE(G48,I48))*100),2))</f>
        <v>239.52</v>
      </c>
      <c r="W44" s="136">
        <f>(ROUND((I52/(AVERAGE(I48,K48))*100),2))</f>
        <v>234.73</v>
      </c>
      <c r="Y44" s="136">
        <f>(ROUND((K52/(AVERAGE(K48,M48))*100),2))</f>
        <v>226.8</v>
      </c>
      <c r="AA44" s="136">
        <f>ROUND(AVERAGE(Q44:Y44),2)</f>
        <v>215.52</v>
      </c>
    </row>
    <row r="45" spans="1:28">
      <c r="C45" s="130"/>
      <c r="E45" s="130"/>
      <c r="G45" s="130"/>
      <c r="I45" s="130"/>
      <c r="O45" s="124" t="s">
        <v>28</v>
      </c>
      <c r="Q45" s="136">
        <f>ROUND(((+C26/C52)*100),2)</f>
        <v>3.89</v>
      </c>
      <c r="S45" s="136">
        <f>ROUND(((+E26/E52)*100),2)</f>
        <v>3.18</v>
      </c>
      <c r="U45" s="136">
        <f>ROUND(((+G26/G52)*100),2)</f>
        <v>2.89</v>
      </c>
      <c r="W45" s="136">
        <f>ROUND(((+I26/I52)*100),2)</f>
        <v>3.08</v>
      </c>
      <c r="Y45" s="136">
        <f>ROUND(((+K26/K52)*100),2)</f>
        <v>2.99</v>
      </c>
      <c r="AA45" s="136">
        <f>ROUND(AVERAGE(Q45:Y45),2)</f>
        <v>3.21</v>
      </c>
    </row>
    <row r="46" spans="1:28">
      <c r="A46" s="124" t="s">
        <v>59</v>
      </c>
      <c r="C46" s="130"/>
      <c r="E46" s="130"/>
      <c r="G46" s="130"/>
      <c r="I46" s="130"/>
      <c r="K46" s="131"/>
      <c r="L46" s="131"/>
      <c r="M46" s="131"/>
      <c r="O46" s="124" t="s">
        <v>29</v>
      </c>
      <c r="P46" s="132"/>
      <c r="Q46" s="136">
        <f>ROUND(((+C38/C34)*100),2)</f>
        <v>75.52</v>
      </c>
      <c r="S46" s="136">
        <f>ROUND(((+E38/E34)*100),2)</f>
        <v>76.459999999999994</v>
      </c>
      <c r="U46" s="136">
        <f>ROUND(((+G38/G34)*100),2)</f>
        <v>92.06</v>
      </c>
      <c r="W46" s="136">
        <f>ROUND(((+I38/I34)*100),2)</f>
        <v>84.77</v>
      </c>
      <c r="Y46" s="136">
        <f>ROUND(((+K38/K34)*100),2)</f>
        <v>-97</v>
      </c>
      <c r="AA46" s="136">
        <f>ROUND(AVERAGE(Q46:Y46),2)</f>
        <v>46.36</v>
      </c>
    </row>
    <row r="47" spans="1:28">
      <c r="C47" s="130"/>
      <c r="E47" s="130"/>
      <c r="G47" s="130"/>
      <c r="I47" s="130"/>
      <c r="K47" s="131"/>
      <c r="L47" s="131"/>
      <c r="M47" s="131"/>
      <c r="Q47" s="136"/>
      <c r="S47" s="136"/>
      <c r="U47" s="136"/>
      <c r="W47" s="136"/>
      <c r="Y47" s="136"/>
      <c r="AA47" s="136"/>
    </row>
    <row r="48" spans="1:28">
      <c r="A48" s="124" t="s">
        <v>7</v>
      </c>
      <c r="B48" s="124" t="s">
        <v>50</v>
      </c>
      <c r="C48" s="130">
        <f>C16/C15</f>
        <v>30.040990716052555</v>
      </c>
      <c r="E48" s="130">
        <f>E16/E15</f>
        <v>29.05400634214914</v>
      </c>
      <c r="G48" s="130">
        <f>G16/G15</f>
        <v>28.41949986873195</v>
      </c>
      <c r="I48" s="130">
        <f>I16/I15</f>
        <v>26.406994459833793</v>
      </c>
      <c r="K48" s="130">
        <f>K16/K15</f>
        <v>25.848273942093542</v>
      </c>
      <c r="M48" s="130">
        <f>M16/M15</f>
        <v>29.706496681802307</v>
      </c>
      <c r="O48" s="132" t="s">
        <v>41</v>
      </c>
      <c r="P48" s="132"/>
      <c r="Q48" s="136">
        <f>ROUND(((C34/AVERAGE(C16,E16))*100),2)</f>
        <v>8.6300000000000008</v>
      </c>
      <c r="R48" s="124" t="s">
        <v>18</v>
      </c>
      <c r="S48" s="136">
        <f>ROUND(((E34/AVERAGE(E16,G16))*100),2)</f>
        <v>8.75</v>
      </c>
      <c r="T48" s="124" t="s">
        <v>18</v>
      </c>
      <c r="U48" s="136">
        <f>ROUND(((G34/AVERAGE(G16,I16))*100),2)</f>
        <v>7.58</v>
      </c>
      <c r="V48" s="124" t="s">
        <v>18</v>
      </c>
      <c r="W48" s="136">
        <f>ROUND(((I34/AVERAGE(I16,K16))*100),2)</f>
        <v>8.58</v>
      </c>
      <c r="X48" s="124" t="s">
        <v>18</v>
      </c>
      <c r="Y48" s="136">
        <f>ROUND(((K34/AVERAGE(K16,M16))*100),2)</f>
        <v>-6.98</v>
      </c>
      <c r="Z48" s="124" t="s">
        <v>18</v>
      </c>
      <c r="AA48" s="136">
        <f>ROUND(AVERAGE(Q48:Y48),2)</f>
        <v>5.31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1953078000</v>
      </c>
      <c r="E50" s="130">
        <f>SUM(E12:E13,E16:E17)</f>
        <v>1844158000</v>
      </c>
      <c r="G50" s="130">
        <f>SUM(G12:G13,G16:G17)</f>
        <v>1747063000</v>
      </c>
      <c r="I50" s="130">
        <f>SUM(I12:I13,I16:I17)</f>
        <v>1498870000</v>
      </c>
      <c r="K50" s="130">
        <f>SUM(K12:K13,K16:K17)</f>
        <v>1522663000</v>
      </c>
      <c r="M50" s="130">
        <f>SUM(M12:M13,M16:M17)</f>
        <v>1569820000</v>
      </c>
      <c r="O50" s="132" t="s">
        <v>142</v>
      </c>
      <c r="Q50" s="136">
        <f>ROUND((C54/C62),2)</f>
        <v>5.33</v>
      </c>
      <c r="R50" s="137" t="s">
        <v>44</v>
      </c>
      <c r="S50" s="136">
        <f>ROUND((E54/E62),2)</f>
        <v>5.15</v>
      </c>
      <c r="T50" s="137" t="s">
        <v>44</v>
      </c>
      <c r="U50" s="136">
        <f>ROUND((G54/G62),2)</f>
        <v>4.9400000000000004</v>
      </c>
      <c r="V50" s="137" t="s">
        <v>44</v>
      </c>
      <c r="W50" s="136">
        <f>ROUND((I54/I62),2)</f>
        <v>4.5199999999999996</v>
      </c>
      <c r="X50" s="137" t="s">
        <v>44</v>
      </c>
      <c r="Y50" s="136">
        <f>ROUND((K54/K62),2)</f>
        <v>22.12</v>
      </c>
      <c r="Z50" s="137" t="s">
        <v>44</v>
      </c>
      <c r="AA50" s="136">
        <f>ROUND(AVERAGE(Q50:Y50),2)</f>
        <v>8.41</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49.414999999999999</v>
      </c>
      <c r="E52" s="130">
        <f>AVERAGE(E22:E23)</f>
        <v>60.155000000000001</v>
      </c>
      <c r="G52" s="130">
        <f>AVERAGE(G22:G23)</f>
        <v>65.66</v>
      </c>
      <c r="I52" s="130">
        <f>AVERAGE(I22:I23)</f>
        <v>61.33</v>
      </c>
      <c r="K52" s="130">
        <f>AVERAGE(K22:K23)</f>
        <v>63</v>
      </c>
      <c r="M52" s="130">
        <f>AVERAGE(M22:M23)</f>
        <v>57.519999999999996</v>
      </c>
      <c r="O52" s="132" t="s">
        <v>57</v>
      </c>
      <c r="Q52" s="136">
        <f>ROUND(((C60/C54)*100),2)</f>
        <v>8.32</v>
      </c>
      <c r="R52" s="137" t="s">
        <v>18</v>
      </c>
      <c r="S52" s="136">
        <f>ROUND(((E60/E54)*100),2)</f>
        <v>9.4</v>
      </c>
      <c r="T52" s="137" t="s">
        <v>18</v>
      </c>
      <c r="U52" s="136">
        <f>ROUND(((G60/G54)*100),2)</f>
        <v>14.48</v>
      </c>
      <c r="V52" s="137" t="s">
        <v>18</v>
      </c>
      <c r="W52" s="136">
        <f>ROUND(((I60/I54)*100),2)</f>
        <v>16.21</v>
      </c>
      <c r="X52" s="137" t="s">
        <v>18</v>
      </c>
      <c r="Y52" s="136">
        <f>ROUND(((K60/K54)*100),2)</f>
        <v>27.83</v>
      </c>
      <c r="Z52" s="137" t="s">
        <v>18</v>
      </c>
      <c r="AA52" s="136">
        <f>ROUND(AVERAGE(Q52:Y52),2)</f>
        <v>15.25</v>
      </c>
      <c r="AB52" s="124" t="s">
        <v>18</v>
      </c>
    </row>
    <row r="53" spans="1:28">
      <c r="C53" s="130"/>
      <c r="E53" s="130"/>
      <c r="G53" s="130"/>
      <c r="I53" s="130"/>
      <c r="K53" s="130"/>
      <c r="M53" s="130"/>
      <c r="O53" s="143"/>
      <c r="Q53" s="136"/>
      <c r="S53" s="136"/>
      <c r="U53" s="136"/>
      <c r="W53" s="136"/>
      <c r="Y53" s="136"/>
    </row>
    <row r="54" spans="1:28">
      <c r="A54" s="124" t="s">
        <v>53</v>
      </c>
      <c r="C54" s="214">
        <f>+C19+C12</f>
        <v>1407432000</v>
      </c>
      <c r="E54" s="214">
        <f>+E19+E12</f>
        <v>1259950000</v>
      </c>
      <c r="G54" s="214">
        <f>+G19+G12</f>
        <v>1030164000</v>
      </c>
      <c r="I54" s="214">
        <f>+I19+I12</f>
        <v>953856000</v>
      </c>
      <c r="K54" s="214">
        <f>+K19+K12</f>
        <v>834087000</v>
      </c>
      <c r="M54" s="214">
        <f>+M19+M12</f>
        <v>772623000</v>
      </c>
      <c r="O54" s="143" t="s">
        <v>56</v>
      </c>
      <c r="Q54" s="136">
        <f>Q33</f>
        <v>60.08</v>
      </c>
      <c r="R54" s="137" t="s">
        <v>18</v>
      </c>
      <c r="S54" s="136">
        <f>S33</f>
        <v>58.64</v>
      </c>
      <c r="T54" s="137" t="s">
        <v>18</v>
      </c>
      <c r="U54" s="136">
        <f>U33</f>
        <v>54.33</v>
      </c>
      <c r="V54" s="137" t="s">
        <v>18</v>
      </c>
      <c r="W54" s="136">
        <f>W33</f>
        <v>55.57</v>
      </c>
      <c r="X54" s="137" t="s">
        <v>18</v>
      </c>
      <c r="Y54" s="136">
        <f>Y33</f>
        <v>52.9</v>
      </c>
      <c r="Z54" s="137" t="s">
        <v>18</v>
      </c>
      <c r="AA54" s="136">
        <f>ROUND(AVERAGE(Q54:Y54),2)</f>
        <v>56.3</v>
      </c>
      <c r="AB54" s="137" t="s">
        <v>18</v>
      </c>
    </row>
    <row r="55" spans="1:28">
      <c r="C55" s="130"/>
      <c r="E55" s="130"/>
      <c r="G55" s="130"/>
      <c r="I55" s="130"/>
      <c r="K55" s="130"/>
      <c r="M55" s="130"/>
    </row>
    <row r="56" spans="1:28">
      <c r="A56" s="124" t="s">
        <v>31</v>
      </c>
      <c r="B56" s="124" t="s">
        <v>50</v>
      </c>
      <c r="C56" s="130">
        <f>SUM(C50,C19)</f>
        <v>2342578000</v>
      </c>
      <c r="E56" s="130">
        <f>SUM(E50,E19)</f>
        <v>2148683000</v>
      </c>
      <c r="G56" s="130">
        <f>SUM(G50,G19)</f>
        <v>1896163000</v>
      </c>
      <c r="I56" s="130">
        <f>SUM(I50,I19)</f>
        <v>1716490000</v>
      </c>
      <c r="K56" s="130">
        <f>SUM(K50,K19)</f>
        <v>1576863000</v>
      </c>
      <c r="M56" s="130">
        <f>SUM(M50,M19)</f>
        <v>1623120000</v>
      </c>
    </row>
    <row r="57" spans="1:28">
      <c r="C57" s="130"/>
      <c r="E57" s="130"/>
      <c r="G57" s="130"/>
      <c r="I57" s="130"/>
      <c r="K57" s="130"/>
      <c r="M57" s="130"/>
    </row>
    <row r="58" spans="1:28">
      <c r="A58" s="124" t="s">
        <v>51</v>
      </c>
      <c r="B58" s="124" t="s">
        <v>50</v>
      </c>
      <c r="C58" s="130">
        <f>SUM(C13,C17)</f>
        <v>0</v>
      </c>
      <c r="E58" s="130">
        <f>SUM(E13,E17)</f>
        <v>0</v>
      </c>
      <c r="G58" s="130">
        <f>SUM(G13,G17)</f>
        <v>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117064000</v>
      </c>
      <c r="E60" s="130">
        <f>ROUND(E41+E42-E28,3)</f>
        <v>118453000</v>
      </c>
      <c r="G60" s="130">
        <f>ROUND(G41+G42-G28,3)</f>
        <v>149190000</v>
      </c>
      <c r="I60" s="130">
        <f>ROUND(I41+I42-I28,3)</f>
        <v>154630000</v>
      </c>
      <c r="K60" s="130">
        <f>ROUND(K41+K42-K28,3)</f>
        <v>232102000</v>
      </c>
      <c r="M60" s="130">
        <f>ROUND(M41+M42-M28,3)</f>
        <v>255384000</v>
      </c>
    </row>
    <row r="61" spans="1:28">
      <c r="A61" s="126"/>
      <c r="C61" s="130"/>
      <c r="E61" s="130"/>
      <c r="G61" s="130"/>
      <c r="I61" s="130"/>
      <c r="K61" s="130"/>
      <c r="M61" s="130"/>
    </row>
    <row r="62" spans="1:28">
      <c r="A62" s="124" t="s">
        <v>1467</v>
      </c>
      <c r="B62" s="124" t="s">
        <v>50</v>
      </c>
      <c r="C62" s="130">
        <f>C40+C44+C43+C30</f>
        <v>264092000</v>
      </c>
      <c r="E62" s="130">
        <f>E40+E44+E43+E30</f>
        <v>244598000</v>
      </c>
      <c r="G62" s="130">
        <f>G40+G44+G43+G30</f>
        <v>208558000</v>
      </c>
      <c r="I62" s="130">
        <f>I40+I44+I43+I30</f>
        <v>210975000</v>
      </c>
      <c r="K62" s="130">
        <f>K40+K44+K43+K30</f>
        <v>37699000</v>
      </c>
      <c r="M62" s="130">
        <f>M40+M44+M43+M30</f>
        <v>221026000</v>
      </c>
    </row>
    <row r="63" spans="1:28">
      <c r="E63" s="131"/>
      <c r="F63" s="131"/>
      <c r="G63" s="131"/>
      <c r="H63" s="131"/>
      <c r="I63" s="131"/>
      <c r="J63" s="131"/>
      <c r="K63" s="131"/>
      <c r="L63" s="131"/>
      <c r="M63" s="131"/>
    </row>
    <row r="64" spans="1:28">
      <c r="E64" s="131"/>
      <c r="F64" s="131"/>
      <c r="G64" s="131"/>
      <c r="H64" s="131"/>
      <c r="I64" s="131"/>
      <c r="J64" s="131"/>
      <c r="K64" s="131"/>
      <c r="L64" s="131"/>
      <c r="M64" s="131"/>
    </row>
    <row r="74" spans="5:13">
      <c r="E74" s="131"/>
      <c r="F74" s="131"/>
      <c r="G74" s="131"/>
      <c r="H74" s="131"/>
      <c r="I74" s="131"/>
      <c r="J74" s="131"/>
      <c r="K74" s="131"/>
      <c r="L74" s="131"/>
      <c r="M74" s="131"/>
    </row>
    <row r="75" spans="5:13">
      <c r="E75" s="131"/>
      <c r="F75" s="131"/>
      <c r="G75" s="131"/>
      <c r="H75" s="131"/>
      <c r="I75" s="131"/>
      <c r="J75" s="131"/>
      <c r="K75" s="131"/>
      <c r="L75" s="131"/>
      <c r="M75" s="131"/>
    </row>
    <row r="76" spans="5:13">
      <c r="E76" s="131"/>
      <c r="F76" s="131"/>
      <c r="G76" s="131"/>
      <c r="H76" s="131"/>
      <c r="I76" s="131"/>
      <c r="J76" s="131"/>
      <c r="K76" s="131"/>
      <c r="L76" s="131"/>
      <c r="M76" s="131"/>
    </row>
    <row r="77" spans="5:13">
      <c r="E77" s="131"/>
      <c r="F77" s="131"/>
      <c r="G77" s="131"/>
      <c r="H77" s="131"/>
      <c r="I77" s="131"/>
      <c r="J77" s="131"/>
      <c r="K77" s="131"/>
      <c r="L77" s="131"/>
      <c r="M77" s="131"/>
    </row>
    <row r="78" spans="5:13">
      <c r="E78" s="131"/>
      <c r="F78" s="131"/>
      <c r="G78" s="131"/>
      <c r="H78" s="131"/>
      <c r="I78" s="131"/>
      <c r="J78" s="131"/>
      <c r="K78" s="131"/>
      <c r="L78" s="131"/>
      <c r="M78" s="131"/>
    </row>
    <row r="79" spans="5:13">
      <c r="E79" s="131"/>
      <c r="F79" s="131"/>
      <c r="G79" s="131"/>
      <c r="H79" s="131"/>
      <c r="I79" s="131"/>
      <c r="J79" s="131"/>
      <c r="K79" s="131"/>
      <c r="L79" s="131"/>
      <c r="M79" s="131"/>
    </row>
    <row r="80" spans="5:13">
      <c r="E80" s="131"/>
      <c r="F80" s="131"/>
      <c r="G80" s="131"/>
      <c r="H80" s="131"/>
      <c r="I80" s="131"/>
      <c r="J80" s="131"/>
      <c r="K80" s="131"/>
      <c r="L80" s="131"/>
      <c r="M80" s="131"/>
    </row>
    <row r="81" spans="5:221">
      <c r="E81" s="131"/>
      <c r="F81" s="131"/>
      <c r="G81" s="131"/>
      <c r="H81" s="131"/>
      <c r="I81" s="131"/>
      <c r="J81" s="131"/>
      <c r="K81" s="131"/>
      <c r="L81" s="131"/>
      <c r="M81" s="131"/>
      <c r="HI81" s="144"/>
      <c r="HJ81" s="144"/>
      <c r="HM81" s="124" t="s">
        <v>48</v>
      </c>
    </row>
    <row r="82" spans="5:221">
      <c r="F82" s="131"/>
      <c r="H82" s="131"/>
      <c r="J82" s="131"/>
      <c r="L82" s="131"/>
    </row>
    <row r="83" spans="5:221">
      <c r="F83" s="131"/>
      <c r="H83" s="131"/>
      <c r="J83" s="131"/>
      <c r="L83" s="131"/>
    </row>
    <row r="84" spans="5:221">
      <c r="F84" s="131"/>
      <c r="H84" s="131"/>
      <c r="J84" s="131"/>
      <c r="L84" s="131"/>
    </row>
    <row r="85" spans="5:221">
      <c r="F85" s="131"/>
      <c r="H85" s="131"/>
      <c r="J85" s="131"/>
      <c r="L85" s="131"/>
    </row>
    <row r="86" spans="5:221">
      <c r="F86" s="131"/>
      <c r="H86" s="131"/>
      <c r="J86" s="131"/>
      <c r="L86" s="131"/>
    </row>
    <row r="87" spans="5:221">
      <c r="F87" s="131"/>
      <c r="H87" s="131"/>
      <c r="J87" s="131"/>
      <c r="L87" s="131"/>
    </row>
    <row r="88" spans="5:221">
      <c r="F88" s="131"/>
      <c r="H88" s="131"/>
      <c r="J88" s="131"/>
      <c r="L88" s="131"/>
    </row>
    <row r="89" spans="5:221">
      <c r="F89" s="131"/>
      <c r="H89" s="131"/>
      <c r="J89" s="131"/>
      <c r="L89" s="131"/>
    </row>
    <row r="90" spans="5:221">
      <c r="F90" s="131"/>
      <c r="H90" s="131"/>
      <c r="J90" s="131"/>
      <c r="L90" s="131"/>
    </row>
    <row r="91" spans="5:221">
      <c r="F91" s="131"/>
      <c r="H91" s="131"/>
      <c r="J91" s="131"/>
      <c r="L91" s="131"/>
    </row>
    <row r="92" spans="5:221">
      <c r="F92" s="131"/>
      <c r="H92" s="131"/>
      <c r="J92" s="131"/>
      <c r="L92" s="131"/>
    </row>
    <row r="93" spans="5:221">
      <c r="F93" s="131"/>
      <c r="H93" s="131"/>
      <c r="J93" s="131"/>
      <c r="L93" s="131"/>
    </row>
    <row r="94" spans="5:221">
      <c r="F94" s="131"/>
      <c r="H94" s="131"/>
      <c r="J94" s="131"/>
      <c r="L94" s="131"/>
    </row>
    <row r="95" spans="5:221">
      <c r="F95" s="131"/>
      <c r="H95" s="131"/>
      <c r="J95" s="131"/>
      <c r="L95" s="131"/>
    </row>
    <row r="96" spans="5:221">
      <c r="F96" s="131"/>
      <c r="H96" s="131"/>
      <c r="J96" s="131"/>
      <c r="L96" s="131"/>
    </row>
    <row r="97" spans="5:13">
      <c r="F97" s="131"/>
      <c r="H97" s="131"/>
      <c r="J97" s="131"/>
      <c r="L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HM154"/>
  <sheetViews>
    <sheetView zoomScale="77" workbookViewId="0">
      <selection activeCell="C9" sqref="C9"/>
    </sheetView>
  </sheetViews>
  <sheetFormatPr defaultColWidth="9" defaultRowHeight="12.75"/>
  <cols>
    <col min="1" max="1" width="36.28515625" style="252" customWidth="1"/>
    <col min="2" max="2" width="15.28515625" style="252" bestFit="1" customWidth="1"/>
    <col min="3" max="3" width="18.7109375" style="252" customWidth="1"/>
    <col min="4" max="4" width="3" style="252" customWidth="1"/>
    <col min="5" max="5" width="18.7109375" style="252" customWidth="1"/>
    <col min="6" max="6" width="2" style="252" customWidth="1"/>
    <col min="7" max="7" width="18.7109375" style="252" customWidth="1"/>
    <col min="8" max="8" width="1.85546875" style="252" customWidth="1"/>
    <col min="9" max="9" width="18.7109375" style="252" customWidth="1"/>
    <col min="10" max="10" width="1.85546875" style="252" customWidth="1"/>
    <col min="11" max="11" width="18.7109375" style="252" customWidth="1"/>
    <col min="12" max="12" width="2" style="252" customWidth="1"/>
    <col min="13" max="13" width="18.7109375" style="252" customWidth="1"/>
    <col min="14" max="14" width="9" style="252" customWidth="1"/>
    <col min="15" max="15" width="53.28515625" style="252" bestFit="1" customWidth="1"/>
    <col min="16" max="16" width="6.7109375" style="252" customWidth="1"/>
    <col min="17" max="17" width="10.7109375" style="252" bestFit="1" customWidth="1"/>
    <col min="18" max="18" width="2.7109375" style="252" bestFit="1" customWidth="1"/>
    <col min="19" max="19" width="10.7109375" style="252" bestFit="1" customWidth="1"/>
    <col min="20" max="20" width="2.7109375" style="252" customWidth="1"/>
    <col min="21" max="21" width="10.7109375" style="252" bestFit="1" customWidth="1"/>
    <col min="22" max="22" width="2.7109375" style="252" customWidth="1"/>
    <col min="23" max="23" width="10.7109375" style="252" bestFit="1" customWidth="1"/>
    <col min="24" max="24" width="2.7109375" style="252" customWidth="1"/>
    <col min="25" max="25" width="10.7109375" style="252" bestFit="1" customWidth="1"/>
    <col min="26" max="26" width="2.7109375" style="252" customWidth="1"/>
    <col min="27" max="27" width="10.5703125" style="252" customWidth="1"/>
    <col min="28" max="28" width="2.7109375" style="252" customWidth="1"/>
    <col min="29" max="29" width="9" style="252"/>
    <col min="30" max="30" width="4.28515625" style="252" customWidth="1"/>
    <col min="31" max="31" width="3.7109375" style="252" customWidth="1"/>
    <col min="32" max="32" width="22.28515625" style="252" customWidth="1"/>
    <col min="33" max="16384" width="9" style="252"/>
  </cols>
  <sheetData>
    <row r="1" spans="1:28" ht="16.149999999999999" customHeight="1">
      <c r="A1" s="329"/>
    </row>
    <row r="2" spans="1:28" ht="16.149999999999999" customHeight="1">
      <c r="A2" s="329"/>
    </row>
    <row r="3" spans="1:28" ht="16.149999999999999" customHeight="1">
      <c r="A3" s="329"/>
    </row>
    <row r="4" spans="1:28" ht="16.149999999999999" customHeight="1" thickBot="1">
      <c r="A4" s="329"/>
    </row>
    <row r="5" spans="1:28" ht="15">
      <c r="A5" s="328" t="s">
        <v>2255</v>
      </c>
      <c r="C5" s="271"/>
    </row>
    <row r="6" spans="1:28" ht="13.5" thickBot="1">
      <c r="A6" s="327" t="s">
        <v>3053</v>
      </c>
      <c r="E6" s="269" t="s">
        <v>3062</v>
      </c>
      <c r="F6" s="269"/>
      <c r="G6" s="268"/>
      <c r="H6" s="268"/>
      <c r="I6" s="268"/>
      <c r="J6" s="268"/>
      <c r="K6" s="268"/>
      <c r="O6" s="270" t="str">
        <f>E6</f>
        <v>ONE Gas, Inc.</v>
      </c>
      <c r="P6" s="268"/>
      <c r="Q6" s="268"/>
      <c r="R6" s="269"/>
      <c r="S6" s="268"/>
      <c r="T6" s="268"/>
      <c r="U6" s="268"/>
      <c r="V6" s="268"/>
      <c r="W6" s="268"/>
      <c r="X6" s="268"/>
      <c r="Y6" s="268"/>
      <c r="Z6" s="268"/>
      <c r="AA6" s="268"/>
    </row>
    <row r="7" spans="1:28">
      <c r="E7" s="268" t="s">
        <v>0</v>
      </c>
      <c r="F7" s="268"/>
      <c r="G7" s="268"/>
      <c r="H7" s="268"/>
      <c r="I7" s="268"/>
      <c r="J7" s="268"/>
      <c r="K7" s="268"/>
      <c r="O7" s="268" t="str">
        <f>E7</f>
        <v>CAPITALIZATION AND FINANCIAL STATISTICS  (1)</v>
      </c>
      <c r="P7" s="268"/>
      <c r="Q7" s="268"/>
      <c r="R7" s="268"/>
      <c r="S7" s="268"/>
      <c r="T7" s="268"/>
      <c r="U7" s="268"/>
      <c r="V7" s="268"/>
      <c r="W7" s="268"/>
      <c r="X7" s="268"/>
      <c r="Y7" s="268"/>
      <c r="Z7" s="268"/>
      <c r="AA7" s="268"/>
    </row>
    <row r="8" spans="1:28">
      <c r="B8" s="124"/>
      <c r="C8" s="124"/>
      <c r="D8" s="124"/>
      <c r="E8" s="127" t="s">
        <v>4355</v>
      </c>
      <c r="F8" s="127"/>
      <c r="G8" s="128"/>
      <c r="H8" s="128"/>
      <c r="I8" s="128"/>
      <c r="J8" s="128"/>
      <c r="K8" s="128"/>
      <c r="O8" s="269" t="str">
        <f>E8</f>
        <v>2016 - 2021, Inclusive</v>
      </c>
      <c r="P8" s="268"/>
      <c r="Q8" s="268"/>
      <c r="R8" s="269"/>
      <c r="S8" s="268"/>
      <c r="T8" s="268"/>
      <c r="U8" s="268"/>
      <c r="V8" s="268"/>
      <c r="W8" s="268"/>
      <c r="X8" s="268"/>
      <c r="Y8" s="268"/>
      <c r="Z8" s="268"/>
      <c r="AA8" s="268"/>
    </row>
    <row r="9" spans="1:28">
      <c r="B9" s="124"/>
      <c r="C9" s="124"/>
      <c r="D9" s="124"/>
      <c r="E9" s="124"/>
      <c r="F9" s="124"/>
      <c r="G9" s="124"/>
      <c r="H9" s="124"/>
      <c r="I9" s="124"/>
      <c r="J9" s="124"/>
      <c r="K9" s="124"/>
      <c r="O9" s="268"/>
      <c r="P9" s="268"/>
      <c r="Q9" s="269"/>
      <c r="R9" s="269"/>
      <c r="S9" s="268"/>
      <c r="T9" s="268"/>
      <c r="U9" s="268"/>
      <c r="V9" s="268"/>
      <c r="W9" s="268"/>
      <c r="X9" s="268"/>
      <c r="Y9" s="268"/>
      <c r="Z9" s="268"/>
      <c r="AA9" s="268"/>
    </row>
    <row r="10" spans="1:28">
      <c r="B10" s="124" t="s">
        <v>4357</v>
      </c>
      <c r="C10" s="326">
        <v>2021</v>
      </c>
      <c r="D10" s="124"/>
      <c r="E10" s="326">
        <v>2020</v>
      </c>
      <c r="F10" s="124"/>
      <c r="G10" s="326">
        <v>2019</v>
      </c>
      <c r="H10" s="124"/>
      <c r="I10" s="326">
        <v>2018</v>
      </c>
      <c r="J10" s="124"/>
      <c r="K10" s="326">
        <v>2017</v>
      </c>
      <c r="L10" s="124"/>
      <c r="M10" s="326">
        <v>2016</v>
      </c>
      <c r="Q10" s="269"/>
      <c r="R10" s="269"/>
      <c r="S10" s="268"/>
      <c r="T10" s="268"/>
      <c r="U10" s="268"/>
      <c r="V10" s="268"/>
      <c r="W10" s="268"/>
      <c r="X10" s="268"/>
      <c r="Y10" s="268"/>
    </row>
    <row r="11" spans="1:28">
      <c r="A11" s="252" t="s">
        <v>1</v>
      </c>
    </row>
    <row r="12" spans="1:28">
      <c r="A12" s="252" t="s">
        <v>2</v>
      </c>
      <c r="B12" s="252" t="s">
        <v>65</v>
      </c>
      <c r="C12" s="130">
        <f>3683378000-2000000000</f>
        <v>1683378000</v>
      </c>
      <c r="E12" s="130">
        <v>1601300000</v>
      </c>
      <c r="G12" s="130">
        <v>1286064000</v>
      </c>
      <c r="I12" s="130">
        <v>1285483000</v>
      </c>
      <c r="K12" s="130">
        <v>1193257000</v>
      </c>
      <c r="L12" s="260"/>
      <c r="M12" s="130">
        <v>1192453000</v>
      </c>
      <c r="Q12" s="326">
        <f>C10</f>
        <v>2021</v>
      </c>
      <c r="R12" s="326"/>
      <c r="S12" s="326">
        <f>E10</f>
        <v>2020</v>
      </c>
      <c r="T12" s="326"/>
      <c r="U12" s="326">
        <f>G10</f>
        <v>2019</v>
      </c>
      <c r="V12" s="326"/>
      <c r="W12" s="326">
        <f>I10</f>
        <v>2018</v>
      </c>
      <c r="X12" s="326"/>
      <c r="Y12" s="326">
        <f>K10</f>
        <v>2017</v>
      </c>
      <c r="Z12" s="326"/>
      <c r="AA12" s="124"/>
      <c r="AB12" s="124"/>
    </row>
    <row r="13" spans="1:28">
      <c r="A13" s="252" t="s">
        <v>3</v>
      </c>
      <c r="B13" s="252" t="s">
        <v>66</v>
      </c>
      <c r="C13" s="130">
        <v>0</v>
      </c>
      <c r="E13" s="130">
        <v>0</v>
      </c>
      <c r="G13" s="130">
        <v>0</v>
      </c>
      <c r="I13" s="130">
        <v>0</v>
      </c>
      <c r="K13" s="261">
        <v>0</v>
      </c>
      <c r="L13" s="260"/>
      <c r="M13" s="261">
        <v>0</v>
      </c>
      <c r="Q13" s="128" t="s">
        <v>4</v>
      </c>
      <c r="R13" s="128"/>
      <c r="S13" s="128"/>
      <c r="T13" s="128"/>
      <c r="U13" s="128"/>
      <c r="V13" s="128"/>
      <c r="W13" s="128"/>
      <c r="X13" s="128"/>
      <c r="Y13" s="128"/>
      <c r="Z13" s="128" t="s">
        <v>5</v>
      </c>
      <c r="AA13" s="128" t="s">
        <v>5</v>
      </c>
      <c r="AB13" s="124"/>
    </row>
    <row r="14" spans="1:28">
      <c r="C14" s="130"/>
      <c r="E14" s="130"/>
      <c r="G14" s="130"/>
      <c r="I14" s="130"/>
      <c r="O14" s="267" t="s">
        <v>6</v>
      </c>
      <c r="P14" s="267"/>
      <c r="Q14" s="124"/>
      <c r="R14" s="124"/>
      <c r="S14" s="124"/>
      <c r="T14" s="124"/>
      <c r="U14" s="124"/>
      <c r="V14" s="124"/>
      <c r="W14" s="124"/>
      <c r="X14" s="124"/>
      <c r="Y14" s="124"/>
      <c r="Z14" s="124"/>
      <c r="AA14" s="124"/>
      <c r="AB14" s="124"/>
    </row>
    <row r="15" spans="1:28">
      <c r="A15" s="252" t="s">
        <v>8</v>
      </c>
      <c r="B15" s="252" t="s">
        <v>58</v>
      </c>
      <c r="C15" s="130">
        <v>53633210</v>
      </c>
      <c r="E15" s="130">
        <v>53166733</v>
      </c>
      <c r="G15" s="130">
        <f>52771749</f>
        <v>52771749</v>
      </c>
      <c r="I15" s="130">
        <f>52564902</f>
        <v>52564902</v>
      </c>
      <c r="K15" s="261">
        <v>52312516</v>
      </c>
      <c r="L15" s="260"/>
      <c r="M15" s="261">
        <v>52598005</v>
      </c>
      <c r="Q15" s="124"/>
      <c r="R15" s="124"/>
      <c r="S15" s="124"/>
      <c r="T15" s="124"/>
      <c r="U15" s="124"/>
      <c r="V15" s="124"/>
      <c r="W15" s="124"/>
      <c r="X15" s="124"/>
      <c r="Y15" s="124"/>
      <c r="Z15" s="124"/>
      <c r="AA15" s="124"/>
      <c r="AB15" s="124"/>
    </row>
    <row r="16" spans="1:28">
      <c r="A16" s="252" t="s">
        <v>10</v>
      </c>
      <c r="B16" s="252" t="s">
        <v>60</v>
      </c>
      <c r="C16" s="130">
        <v>2349532000</v>
      </c>
      <c r="E16" s="130">
        <v>2233311000</v>
      </c>
      <c r="G16" s="130">
        <v>2129390000</v>
      </c>
      <c r="I16" s="130">
        <v>2042656000</v>
      </c>
      <c r="K16" s="130">
        <v>1960209000</v>
      </c>
      <c r="L16" s="260"/>
      <c r="M16" s="130">
        <v>1888280000</v>
      </c>
      <c r="O16" s="267" t="s">
        <v>9</v>
      </c>
      <c r="P16" s="267"/>
      <c r="Q16" s="124"/>
      <c r="R16" s="124"/>
      <c r="S16" s="124"/>
      <c r="T16" s="124"/>
      <c r="U16" s="124"/>
      <c r="V16" s="124"/>
      <c r="W16" s="124"/>
      <c r="X16" s="124"/>
      <c r="Y16" s="124"/>
      <c r="Z16" s="124"/>
      <c r="AA16" s="124"/>
      <c r="AB16" s="124"/>
    </row>
    <row r="17" spans="1:28">
      <c r="A17" s="252" t="s">
        <v>49</v>
      </c>
      <c r="B17" s="252" t="s">
        <v>58</v>
      </c>
      <c r="C17" s="130">
        <v>0</v>
      </c>
      <c r="E17" s="130">
        <v>0</v>
      </c>
      <c r="G17" s="130">
        <v>0</v>
      </c>
      <c r="I17" s="130">
        <v>0</v>
      </c>
      <c r="K17" s="261">
        <v>0</v>
      </c>
      <c r="L17" s="260"/>
      <c r="M17" s="261">
        <v>0</v>
      </c>
      <c r="O17" s="252" t="s">
        <v>11</v>
      </c>
      <c r="Q17" s="133">
        <f>C50/1000000</f>
        <v>4032.91</v>
      </c>
      <c r="R17" s="133"/>
      <c r="S17" s="133">
        <f>E50/1000000</f>
        <v>3834.6109999999999</v>
      </c>
      <c r="T17" s="133"/>
      <c r="U17" s="133">
        <f>G50/1000000</f>
        <v>3415.4540000000002</v>
      </c>
      <c r="V17" s="133"/>
      <c r="W17" s="133">
        <f>I50/1000000</f>
        <v>3328.1390000000001</v>
      </c>
      <c r="X17" s="133"/>
      <c r="Y17" s="133">
        <f>K50/1000000</f>
        <v>3153.4659999999999</v>
      </c>
      <c r="Z17" s="124"/>
      <c r="AA17" s="124"/>
      <c r="AB17" s="124"/>
    </row>
    <row r="18" spans="1:28">
      <c r="C18" s="130"/>
      <c r="E18" s="130"/>
      <c r="G18" s="130"/>
      <c r="I18" s="130"/>
      <c r="O18" s="252" t="s">
        <v>12</v>
      </c>
      <c r="Q18" s="134">
        <f>C19/1000000</f>
        <v>494</v>
      </c>
      <c r="R18" s="133"/>
      <c r="S18" s="134">
        <f>E19/1000000</f>
        <v>418.22500000000002</v>
      </c>
      <c r="T18" s="133"/>
      <c r="U18" s="134">
        <f>G19/1000000</f>
        <v>516.5</v>
      </c>
      <c r="V18" s="133"/>
      <c r="W18" s="134">
        <f>I19/1000000</f>
        <v>299.5</v>
      </c>
      <c r="X18" s="133"/>
      <c r="Y18" s="134">
        <f>K19/1000000</f>
        <v>357.21499999999997</v>
      </c>
      <c r="Z18" s="124"/>
      <c r="AA18" s="124"/>
      <c r="AB18" s="124"/>
    </row>
    <row r="19" spans="1:28">
      <c r="A19" s="252" t="s">
        <v>15</v>
      </c>
      <c r="B19" s="252" t="s">
        <v>67</v>
      </c>
      <c r="C19" s="130">
        <v>494000000</v>
      </c>
      <c r="E19" s="130">
        <v>418225000</v>
      </c>
      <c r="G19" s="130">
        <v>516500000</v>
      </c>
      <c r="I19" s="130">
        <v>299500000</v>
      </c>
      <c r="K19" s="130">
        <v>357215000</v>
      </c>
      <c r="L19" s="260"/>
      <c r="M19" s="130">
        <v>145000000</v>
      </c>
      <c r="O19" s="252" t="s">
        <v>14</v>
      </c>
      <c r="Q19" s="135">
        <f>SUM(Q17:Q18)</f>
        <v>4526.91</v>
      </c>
      <c r="R19" s="133"/>
      <c r="S19" s="135">
        <f>SUM(S17:S18)</f>
        <v>4252.8360000000002</v>
      </c>
      <c r="T19" s="133"/>
      <c r="U19" s="135">
        <f>SUM(U17:U18)</f>
        <v>3931.9540000000002</v>
      </c>
      <c r="V19" s="133"/>
      <c r="W19" s="135">
        <f>SUM(W17:W18)</f>
        <v>3627.6390000000001</v>
      </c>
      <c r="X19" s="133"/>
      <c r="Y19" s="135">
        <f>SUM(Y17:Y18)</f>
        <v>3510.681</v>
      </c>
      <c r="Z19" s="124"/>
      <c r="AA19" s="124"/>
      <c r="AB19" s="124"/>
    </row>
    <row r="20" spans="1:28">
      <c r="C20" s="130"/>
      <c r="E20" s="130"/>
      <c r="G20" s="130"/>
      <c r="I20" s="130"/>
      <c r="K20" s="260"/>
      <c r="L20" s="260"/>
      <c r="M20" s="260"/>
      <c r="Q20" s="124"/>
      <c r="R20" s="124"/>
      <c r="S20" s="124"/>
      <c r="T20" s="124"/>
      <c r="U20" s="124"/>
      <c r="V20" s="124"/>
      <c r="W20" s="124"/>
      <c r="X20" s="124"/>
      <c r="Y20" s="124"/>
      <c r="Z20" s="124"/>
      <c r="AA20" s="124"/>
      <c r="AB20" s="124"/>
    </row>
    <row r="21" spans="1:28">
      <c r="A21" s="252" t="s">
        <v>17</v>
      </c>
      <c r="B21" s="252" t="s">
        <v>61</v>
      </c>
      <c r="C21" s="130">
        <v>3.85</v>
      </c>
      <c r="E21" s="130">
        <v>3.68</v>
      </c>
      <c r="G21" s="130">
        <v>3.51</v>
      </c>
      <c r="I21" s="130">
        <v>3.25</v>
      </c>
      <c r="K21" s="130">
        <v>3.08</v>
      </c>
      <c r="L21" s="260"/>
      <c r="M21" s="130">
        <v>2.65</v>
      </c>
      <c r="O21" s="267" t="s">
        <v>16</v>
      </c>
      <c r="P21" s="267"/>
      <c r="Q21" s="124"/>
      <c r="R21" s="124"/>
      <c r="S21" s="124"/>
      <c r="T21" s="124"/>
      <c r="U21" s="124"/>
      <c r="V21" s="124"/>
      <c r="W21" s="124"/>
      <c r="X21" s="124"/>
      <c r="Y21" s="124"/>
      <c r="Z21" s="124"/>
      <c r="AA21" s="124"/>
      <c r="AB21" s="124"/>
    </row>
    <row r="22" spans="1:28">
      <c r="A22" s="252" t="s">
        <v>19</v>
      </c>
      <c r="B22" s="124" t="s">
        <v>1375</v>
      </c>
      <c r="C22" s="252">
        <v>81.37</v>
      </c>
      <c r="D22" s="124"/>
      <c r="E22" s="130">
        <v>96.69</v>
      </c>
      <c r="F22" s="124"/>
      <c r="G22" s="130">
        <v>96.27</v>
      </c>
      <c r="H22" s="124"/>
      <c r="I22" s="130">
        <v>87.03</v>
      </c>
      <c r="J22" s="124"/>
      <c r="K22" s="261">
        <v>79.25</v>
      </c>
      <c r="L22" s="260"/>
      <c r="M22" s="261">
        <v>66.59</v>
      </c>
      <c r="O22" s="252" t="s">
        <v>54</v>
      </c>
      <c r="Q22" s="136">
        <f>(ROUND((C30/(AVERAGE(C54,E54))*100),2))</f>
        <v>2.87</v>
      </c>
      <c r="R22" s="137" t="s">
        <v>18</v>
      </c>
      <c r="S22" s="136">
        <f>(ROUND((E30/(AVERAGE(E54,G54))*100),2))</f>
        <v>3.27</v>
      </c>
      <c r="T22" s="137" t="s">
        <v>18</v>
      </c>
      <c r="U22" s="136">
        <f>(ROUND((G30/(AVERAGE(G54,I54))*100),2))</f>
        <v>3.7</v>
      </c>
      <c r="V22" s="137" t="s">
        <v>18</v>
      </c>
      <c r="W22" s="136">
        <f>(ROUND((I30/(AVERAGE(I54,K54))*100),2))</f>
        <v>3.27</v>
      </c>
      <c r="X22" s="137" t="s">
        <v>18</v>
      </c>
      <c r="Y22" s="136">
        <f>(ROUND((K30/(AVERAGE(K54,M54))*100),2))</f>
        <v>3.19</v>
      </c>
      <c r="Z22" s="137" t="s">
        <v>18</v>
      </c>
      <c r="AA22" s="255"/>
      <c r="AB22" s="124"/>
    </row>
    <row r="23" spans="1:28">
      <c r="A23" s="252" t="s">
        <v>21</v>
      </c>
      <c r="B23" s="124" t="s">
        <v>1375</v>
      </c>
      <c r="C23" s="252">
        <v>63.3</v>
      </c>
      <c r="D23" s="124"/>
      <c r="E23" s="130">
        <v>66.55</v>
      </c>
      <c r="F23" s="124"/>
      <c r="G23" s="130">
        <v>76.13</v>
      </c>
      <c r="H23" s="124"/>
      <c r="I23" s="130">
        <v>62.75</v>
      </c>
      <c r="J23" s="124"/>
      <c r="K23" s="261">
        <v>62.3</v>
      </c>
      <c r="L23" s="260"/>
      <c r="M23" s="261">
        <v>48.4</v>
      </c>
      <c r="O23" s="252" t="s">
        <v>20</v>
      </c>
      <c r="Q23" s="136"/>
      <c r="R23" s="137"/>
      <c r="S23" s="136"/>
      <c r="T23" s="137"/>
      <c r="U23" s="136"/>
      <c r="V23" s="137"/>
      <c r="W23" s="136"/>
      <c r="X23" s="137"/>
      <c r="Y23" s="136"/>
      <c r="Z23" s="137"/>
      <c r="AA23" s="124"/>
      <c r="AB23" s="124"/>
    </row>
    <row r="24" spans="1:28">
      <c r="B24" s="124"/>
      <c r="C24" s="130"/>
      <c r="D24" s="124"/>
      <c r="E24" s="130"/>
      <c r="F24" s="124"/>
      <c r="G24" s="130"/>
      <c r="H24" s="124"/>
      <c r="I24" s="130"/>
      <c r="J24" s="124"/>
      <c r="Q24" s="124"/>
      <c r="R24" s="124"/>
      <c r="S24" s="124"/>
      <c r="T24" s="124"/>
      <c r="U24" s="124"/>
      <c r="V24" s="124"/>
      <c r="W24" s="124"/>
      <c r="X24" s="124"/>
      <c r="Y24" s="124"/>
      <c r="Z24" s="124"/>
      <c r="AA24" s="1057" t="s">
        <v>52</v>
      </c>
      <c r="AB24" s="1057"/>
    </row>
    <row r="25" spans="1:28">
      <c r="B25" s="124"/>
      <c r="C25" s="130"/>
      <c r="D25" s="124"/>
      <c r="E25" s="130"/>
      <c r="F25" s="124"/>
      <c r="G25" s="130"/>
      <c r="H25" s="124"/>
      <c r="I25" s="130"/>
      <c r="J25" s="124"/>
      <c r="K25" s="260"/>
      <c r="L25" s="260"/>
      <c r="M25" s="260"/>
      <c r="O25" s="267" t="s">
        <v>30</v>
      </c>
      <c r="P25" s="267"/>
      <c r="Q25" s="124"/>
      <c r="R25" s="124"/>
      <c r="S25" s="124"/>
      <c r="T25" s="124"/>
      <c r="U25" s="124"/>
      <c r="V25" s="124"/>
      <c r="W25" s="124"/>
      <c r="X25" s="124"/>
      <c r="Y25" s="124"/>
      <c r="Z25" s="124"/>
      <c r="AA25" s="1057" t="s">
        <v>22</v>
      </c>
      <c r="AB25" s="1057"/>
    </row>
    <row r="26" spans="1:28">
      <c r="A26" s="252" t="s">
        <v>26</v>
      </c>
      <c r="B26" s="124" t="s">
        <v>1375</v>
      </c>
      <c r="C26" s="130">
        <v>2.3199999999999998</v>
      </c>
      <c r="D26" s="124"/>
      <c r="E26" s="130">
        <v>2.16</v>
      </c>
      <c r="F26" s="124"/>
      <c r="G26" s="130">
        <v>2</v>
      </c>
      <c r="H26" s="124"/>
      <c r="I26" s="130">
        <v>1.84</v>
      </c>
      <c r="J26" s="124"/>
      <c r="K26" s="261">
        <v>1.68</v>
      </c>
      <c r="L26" s="260"/>
      <c r="M26" s="261">
        <v>1.4</v>
      </c>
      <c r="O26" s="252" t="s">
        <v>32</v>
      </c>
      <c r="Q26" s="124"/>
      <c r="R26" s="124"/>
      <c r="S26" s="124"/>
      <c r="T26" s="124"/>
      <c r="U26" s="124"/>
      <c r="V26" s="124"/>
      <c r="W26" s="124"/>
      <c r="X26" s="124"/>
      <c r="Y26" s="124"/>
      <c r="Z26" s="124"/>
      <c r="AA26" s="124"/>
      <c r="AB26" s="124"/>
    </row>
    <row r="27" spans="1:28">
      <c r="C27" s="130"/>
      <c r="E27" s="130"/>
      <c r="G27" s="130"/>
      <c r="I27" s="130"/>
      <c r="K27" s="260"/>
      <c r="L27" s="260"/>
      <c r="M27" s="260"/>
      <c r="O27" s="252" t="s">
        <v>33</v>
      </c>
      <c r="Q27" s="136">
        <f>ROUND(((C12/C50)*100),2)</f>
        <v>41.74</v>
      </c>
      <c r="R27" s="137" t="s">
        <v>18</v>
      </c>
      <c r="S27" s="136">
        <f>ROUND(((E12/E50)*100),2)</f>
        <v>41.76</v>
      </c>
      <c r="T27" s="137" t="s">
        <v>18</v>
      </c>
      <c r="U27" s="136">
        <f>ROUND(((G12/G50)*100),2)</f>
        <v>37.65</v>
      </c>
      <c r="V27" s="137" t="s">
        <v>18</v>
      </c>
      <c r="W27" s="136">
        <f>ROUND(((I12/I50)*100),2)</f>
        <v>38.619999999999997</v>
      </c>
      <c r="X27" s="137" t="s">
        <v>18</v>
      </c>
      <c r="Y27" s="136">
        <f>ROUND(((K12/K50)*100),2)</f>
        <v>37.840000000000003</v>
      </c>
      <c r="Z27" s="137" t="s">
        <v>18</v>
      </c>
      <c r="AA27" s="136">
        <f>ROUND(AVERAGE(Q27:Y27),2)</f>
        <v>39.520000000000003</v>
      </c>
      <c r="AB27" s="137" t="s">
        <v>18</v>
      </c>
    </row>
    <row r="28" spans="1:28">
      <c r="A28" s="252" t="s">
        <v>37</v>
      </c>
      <c r="B28" s="252" t="s">
        <v>37</v>
      </c>
      <c r="C28" s="130">
        <v>4200000</v>
      </c>
      <c r="E28" s="130">
        <v>4200000</v>
      </c>
      <c r="G28" s="130">
        <v>4600000</v>
      </c>
      <c r="I28" s="130">
        <v>3400000</v>
      </c>
      <c r="K28" s="261">
        <v>3000000</v>
      </c>
      <c r="L28" s="260"/>
      <c r="M28" s="261">
        <v>3600000</v>
      </c>
      <c r="O28" s="252"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260"/>
      <c r="L29" s="260"/>
      <c r="M29" s="260"/>
      <c r="O29" s="252" t="s">
        <v>35</v>
      </c>
      <c r="Q29" s="138">
        <f>ROUND(((C16/C50)*100),2)</f>
        <v>58.26</v>
      </c>
      <c r="R29" s="137"/>
      <c r="S29" s="138">
        <f>ROUND(((E16/E50)*100),2)</f>
        <v>58.24</v>
      </c>
      <c r="T29" s="137"/>
      <c r="U29" s="138">
        <f>ROUND(((G16/G50)*100),2)</f>
        <v>62.35</v>
      </c>
      <c r="V29" s="137"/>
      <c r="W29" s="138">
        <f>ROUND(((I16/I50)*100),2)</f>
        <v>61.38</v>
      </c>
      <c r="X29" s="137"/>
      <c r="Y29" s="138">
        <f>ROUND(((K16/K50)*100),2)</f>
        <v>62.16</v>
      </c>
      <c r="Z29" s="137"/>
      <c r="AA29" s="138">
        <f>ROUND(AVERAGE(Q29:Y29),2)</f>
        <v>60.48</v>
      </c>
      <c r="AB29" s="137"/>
    </row>
    <row r="30" spans="1:28">
      <c r="A30" s="252" t="s">
        <v>42</v>
      </c>
      <c r="B30" s="252" t="s">
        <v>62</v>
      </c>
      <c r="C30" s="130">
        <v>60301000</v>
      </c>
      <c r="E30" s="130">
        <v>62505000</v>
      </c>
      <c r="G30" s="130">
        <v>62681000</v>
      </c>
      <c r="I30" s="130">
        <v>51305000</v>
      </c>
      <c r="K30" s="130">
        <v>46065000</v>
      </c>
      <c r="L30" s="260"/>
      <c r="M30" s="130">
        <v>43739000</v>
      </c>
      <c r="O30" s="252"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260"/>
      <c r="L31" s="260"/>
      <c r="M31" s="260"/>
      <c r="Q31" s="124"/>
      <c r="R31" s="124"/>
      <c r="S31" s="124"/>
      <c r="T31" s="124"/>
      <c r="U31" s="124"/>
      <c r="V31" s="124"/>
      <c r="W31" s="124"/>
      <c r="X31" s="124"/>
      <c r="Y31" s="124"/>
      <c r="Z31" s="124"/>
      <c r="AA31" s="124"/>
      <c r="AB31" s="124"/>
    </row>
    <row r="32" spans="1:28">
      <c r="A32" s="252" t="s">
        <v>43</v>
      </c>
      <c r="B32" s="252" t="s">
        <v>63</v>
      </c>
      <c r="C32" s="130">
        <v>206434000</v>
      </c>
      <c r="E32" s="130">
        <v>196412000</v>
      </c>
      <c r="G32" s="130">
        <v>186749000</v>
      </c>
      <c r="I32" s="130">
        <v>172234000</v>
      </c>
      <c r="K32" s="130">
        <v>162995000</v>
      </c>
      <c r="L32" s="260"/>
      <c r="M32" s="130">
        <v>140095000</v>
      </c>
      <c r="O32" s="252" t="s">
        <v>38</v>
      </c>
      <c r="Q32" s="124"/>
      <c r="R32" s="124"/>
      <c r="S32" s="124"/>
      <c r="T32" s="124"/>
      <c r="U32" s="124"/>
      <c r="V32" s="124"/>
      <c r="W32" s="124"/>
      <c r="X32" s="124"/>
      <c r="Y32" s="124"/>
      <c r="Z32" s="124"/>
      <c r="AA32" s="124"/>
      <c r="AB32" s="124"/>
    </row>
    <row r="33" spans="1:28">
      <c r="A33" s="263"/>
      <c r="B33" s="263"/>
      <c r="C33" s="141"/>
      <c r="D33" s="263"/>
      <c r="E33" s="141"/>
      <c r="F33" s="263"/>
      <c r="G33" s="141"/>
      <c r="H33" s="263"/>
      <c r="I33" s="141"/>
      <c r="J33" s="263"/>
      <c r="K33" s="262"/>
      <c r="L33" s="262"/>
      <c r="M33" s="262"/>
      <c r="O33" s="252" t="s">
        <v>39</v>
      </c>
      <c r="Q33" s="136">
        <f>ROUND((((C12+C19)/C56)*100),2)</f>
        <v>48.1</v>
      </c>
      <c r="R33" s="137" t="s">
        <v>18</v>
      </c>
      <c r="S33" s="136">
        <f>ROUND((((E12+E19)/E56)*100),2)</f>
        <v>47.49</v>
      </c>
      <c r="T33" s="137" t="s">
        <v>18</v>
      </c>
      <c r="U33" s="136">
        <f>ROUND((((G12+G19)/G56)*100),2)</f>
        <v>45.84</v>
      </c>
      <c r="V33" s="137" t="s">
        <v>18</v>
      </c>
      <c r="W33" s="136">
        <f>ROUND((((I12+I19)/I56)*100),2)</f>
        <v>43.69</v>
      </c>
      <c r="X33" s="137" t="s">
        <v>18</v>
      </c>
      <c r="Y33" s="136">
        <f>ROUND((((K12+K19)/K56)*100),2)</f>
        <v>44.16</v>
      </c>
      <c r="Z33" s="137" t="s">
        <v>18</v>
      </c>
      <c r="AA33" s="136">
        <f>ROUND(AVERAGE(Q33:Y33),2)</f>
        <v>45.86</v>
      </c>
      <c r="AB33" s="137" t="s">
        <v>18</v>
      </c>
    </row>
    <row r="34" spans="1:28">
      <c r="A34" s="252" t="s">
        <v>46</v>
      </c>
      <c r="B34" s="252" t="s">
        <v>70</v>
      </c>
      <c r="C34" s="213">
        <f>C32</f>
        <v>206434000</v>
      </c>
      <c r="E34" s="213">
        <f>E32</f>
        <v>196412000</v>
      </c>
      <c r="G34" s="130">
        <f>G32</f>
        <v>186749000</v>
      </c>
      <c r="I34" s="130">
        <f>I32</f>
        <v>172234000</v>
      </c>
      <c r="K34" s="261">
        <v>162995000</v>
      </c>
      <c r="L34" s="260"/>
      <c r="M34" s="261">
        <v>140095000</v>
      </c>
      <c r="O34" s="252"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252" t="s">
        <v>35</v>
      </c>
      <c r="Q35" s="138">
        <f>ROUND((((C16)/C56)*100),2)</f>
        <v>51.9</v>
      </c>
      <c r="R35" s="137"/>
      <c r="S35" s="138">
        <f>ROUND((((E16)/E56)*100),2)</f>
        <v>52.51</v>
      </c>
      <c r="T35" s="137"/>
      <c r="U35" s="138">
        <f>ROUND((((G16)/G56)*100),2)</f>
        <v>54.16</v>
      </c>
      <c r="V35" s="137"/>
      <c r="W35" s="138">
        <f>ROUND((((I16)/I56)*100),2)</f>
        <v>56.31</v>
      </c>
      <c r="X35" s="137"/>
      <c r="Y35" s="138">
        <f>ROUND((((K16)/K56)*100),2)</f>
        <v>55.84</v>
      </c>
      <c r="Z35" s="137"/>
      <c r="AA35" s="138">
        <f>ROUND(AVERAGE(Q35:Y35),2)</f>
        <v>54.14</v>
      </c>
      <c r="AB35" s="137"/>
    </row>
    <row r="36" spans="1:28">
      <c r="A36" s="252" t="s">
        <v>45</v>
      </c>
      <c r="B36" s="252" t="s">
        <v>68</v>
      </c>
      <c r="C36" s="213">
        <v>0</v>
      </c>
      <c r="E36" s="213">
        <v>0</v>
      </c>
      <c r="G36" s="130">
        <v>0</v>
      </c>
      <c r="I36" s="130">
        <v>0</v>
      </c>
      <c r="K36" s="261">
        <v>0</v>
      </c>
      <c r="L36" s="260"/>
      <c r="M36" s="261">
        <v>0</v>
      </c>
      <c r="O36" s="252"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c r="Q37" s="124"/>
      <c r="R37" s="124"/>
      <c r="S37" s="124"/>
      <c r="T37" s="124"/>
      <c r="U37" s="124"/>
      <c r="V37" s="124"/>
      <c r="W37" s="124"/>
      <c r="X37" s="124"/>
      <c r="Y37" s="124"/>
      <c r="Z37" s="124"/>
      <c r="AA37" s="124"/>
      <c r="AB37" s="124"/>
    </row>
    <row r="38" spans="1:28">
      <c r="A38" s="252" t="s">
        <v>47</v>
      </c>
      <c r="B38" s="252" t="s">
        <v>64</v>
      </c>
      <c r="C38" s="213">
        <v>123912000</v>
      </c>
      <c r="E38" s="213">
        <v>114372000</v>
      </c>
      <c r="G38" s="130">
        <v>105424000</v>
      </c>
      <c r="I38" s="130">
        <v>96594000</v>
      </c>
      <c r="K38" s="130">
        <v>87951000</v>
      </c>
      <c r="L38" s="260"/>
      <c r="M38" s="130">
        <v>73209000</v>
      </c>
      <c r="Q38" s="124"/>
      <c r="R38" s="124"/>
      <c r="S38" s="124"/>
      <c r="T38" s="124"/>
      <c r="U38" s="124"/>
      <c r="V38" s="124"/>
      <c r="W38" s="124"/>
      <c r="X38" s="124"/>
      <c r="Y38" s="124"/>
      <c r="Z38" s="124"/>
      <c r="AA38" s="124"/>
      <c r="AB38" s="124"/>
    </row>
    <row r="39" spans="1:28">
      <c r="C39" s="130"/>
      <c r="E39" s="130"/>
      <c r="G39" s="130"/>
      <c r="I39" s="130"/>
      <c r="K39" s="260"/>
      <c r="L39" s="260"/>
      <c r="M39" s="260"/>
      <c r="Q39" s="124"/>
      <c r="R39" s="124"/>
      <c r="S39" s="124"/>
      <c r="T39" s="124"/>
      <c r="U39" s="124"/>
      <c r="V39" s="124"/>
      <c r="W39" s="124"/>
      <c r="X39" s="124"/>
      <c r="Y39" s="124"/>
      <c r="Z39" s="124"/>
      <c r="AA39" s="124"/>
      <c r="AB39" s="124"/>
    </row>
    <row r="40" spans="1:28">
      <c r="A40" s="252" t="s">
        <v>55</v>
      </c>
      <c r="B40" s="252" t="s">
        <v>69</v>
      </c>
      <c r="C40" s="130">
        <f>C32</f>
        <v>206434000</v>
      </c>
      <c r="E40" s="130">
        <f>E32</f>
        <v>196412000</v>
      </c>
      <c r="G40" s="130">
        <f>G32</f>
        <v>186749000</v>
      </c>
      <c r="I40" s="130">
        <f>I32</f>
        <v>172234000</v>
      </c>
      <c r="K40" s="261">
        <v>162995000</v>
      </c>
      <c r="L40" s="260"/>
      <c r="M40" s="261">
        <v>140095000</v>
      </c>
      <c r="O40" s="267" t="s">
        <v>40</v>
      </c>
      <c r="P40" s="267"/>
      <c r="Q40" s="124"/>
      <c r="R40" s="124"/>
      <c r="S40" s="124"/>
      <c r="T40" s="124"/>
      <c r="U40" s="124"/>
      <c r="V40" s="124"/>
      <c r="W40" s="124"/>
      <c r="X40" s="124"/>
      <c r="Y40" s="124"/>
      <c r="Z40" s="124"/>
      <c r="AA40" s="124"/>
      <c r="AB40" s="124"/>
    </row>
    <row r="41" spans="1:28">
      <c r="A41" s="252" t="s">
        <v>72</v>
      </c>
      <c r="B41" s="252" t="s">
        <v>71</v>
      </c>
      <c r="C41" s="130">
        <f>-1535657000+1562574000+367210000</f>
        <v>394127000</v>
      </c>
      <c r="E41" s="130">
        <v>364500000</v>
      </c>
      <c r="G41" s="130">
        <v>310345000</v>
      </c>
      <c r="I41" s="130">
        <v>467694000</v>
      </c>
      <c r="K41" s="130">
        <v>253800000</v>
      </c>
      <c r="L41" s="260"/>
      <c r="M41" s="130">
        <v>281567000</v>
      </c>
      <c r="O41" s="267"/>
      <c r="P41" s="267"/>
      <c r="Q41" s="124"/>
      <c r="R41" s="124"/>
      <c r="S41" s="124"/>
      <c r="T41" s="124"/>
      <c r="U41" s="124"/>
      <c r="V41" s="124"/>
      <c r="W41" s="124"/>
      <c r="X41" s="124"/>
      <c r="Y41" s="124"/>
      <c r="Z41" s="124"/>
      <c r="AA41" s="124"/>
      <c r="AB41" s="124"/>
    </row>
    <row r="42" spans="1:28">
      <c r="A42" s="252" t="s">
        <v>1460</v>
      </c>
      <c r="B42" s="252" t="s">
        <v>1461</v>
      </c>
      <c r="C42" s="130">
        <f>(-57902-2126-85700-49029+107207+3235-5574+18461-11190)*1000</f>
        <v>-82618000</v>
      </c>
      <c r="E42" s="130">
        <f>(-58423+2966+10313-40833+28376+15844+10041-38773+23648-3109-12877-7704)*1000</f>
        <v>-70531000</v>
      </c>
      <c r="G42" s="130">
        <f>(26415-11399+3036-47784-59293+316-3196+28203-35401+10689)*1000</f>
        <v>-88414000</v>
      </c>
      <c r="I42" s="130">
        <f>(-5159-4661+22859-52855+36885+148+6316+236+372+109437-50100+1953)*1000</f>
        <v>65431000</v>
      </c>
      <c r="K42" s="130">
        <v>-18108000</v>
      </c>
      <c r="L42" s="260"/>
      <c r="M42" s="130">
        <v>-30653000</v>
      </c>
      <c r="O42" s="267" t="s">
        <v>24</v>
      </c>
      <c r="Q42" s="124"/>
      <c r="R42" s="124"/>
      <c r="S42" s="124"/>
      <c r="T42" s="124"/>
      <c r="U42" s="124"/>
      <c r="V42" s="124"/>
      <c r="W42" s="124"/>
      <c r="X42" s="124"/>
      <c r="Y42" s="124"/>
      <c r="Z42" s="124"/>
      <c r="AA42" s="124"/>
      <c r="AB42" s="124"/>
    </row>
    <row r="43" spans="1:28">
      <c r="A43" s="252" t="s">
        <v>1462</v>
      </c>
      <c r="B43" s="252" t="s">
        <v>1463</v>
      </c>
      <c r="C43" s="130">
        <v>207233000</v>
      </c>
      <c r="E43" s="130">
        <v>194881000</v>
      </c>
      <c r="G43" s="130">
        <v>180395000</v>
      </c>
      <c r="I43" s="130">
        <v>160086000</v>
      </c>
      <c r="K43" s="130">
        <v>151889000</v>
      </c>
      <c r="L43" s="260"/>
      <c r="M43" s="130">
        <v>143829000</v>
      </c>
      <c r="O43" s="252" t="s">
        <v>25</v>
      </c>
      <c r="Q43" s="136">
        <f>ROUND(C21/C52,4)*100</f>
        <v>5.3199999999999994</v>
      </c>
      <c r="R43" s="137" t="s">
        <v>18</v>
      </c>
      <c r="S43" s="136">
        <f>ROUND(E21/E52,4)*100</f>
        <v>4.51</v>
      </c>
      <c r="T43" s="137" t="s">
        <v>18</v>
      </c>
      <c r="U43" s="136">
        <f>ROUND(G21/G52,4)*100</f>
        <v>4.07</v>
      </c>
      <c r="V43" s="137" t="s">
        <v>18</v>
      </c>
      <c r="W43" s="136">
        <f>ROUND(I21/I52,4)*100</f>
        <v>4.34</v>
      </c>
      <c r="X43" s="137" t="s">
        <v>18</v>
      </c>
      <c r="Y43" s="136">
        <f>ROUND(K21/K52,4)*100</f>
        <v>4.3499999999999996</v>
      </c>
      <c r="Z43" s="137" t="s">
        <v>18</v>
      </c>
      <c r="AA43" s="136">
        <f>ROUND(AVERAGE(Q43:Y43),2)</f>
        <v>4.5199999999999996</v>
      </c>
      <c r="AB43" s="137" t="s">
        <v>18</v>
      </c>
    </row>
    <row r="44" spans="1:28">
      <c r="A44" s="252" t="s">
        <v>1464</v>
      </c>
      <c r="B44" s="252" t="s">
        <v>1465</v>
      </c>
      <c r="C44" s="130">
        <v>40316000</v>
      </c>
      <c r="E44" s="130">
        <v>41579000</v>
      </c>
      <c r="G44" s="130">
        <v>42852000</v>
      </c>
      <c r="I44" s="130">
        <v>53531000</v>
      </c>
      <c r="K44" s="130">
        <v>93143000</v>
      </c>
      <c r="M44" s="261">
        <v>85243000</v>
      </c>
      <c r="O44" s="252" t="s">
        <v>27</v>
      </c>
      <c r="Q44" s="136">
        <f>(ROUND((C52/(AVERAGE(C48,E48))*100),2))</f>
        <v>168.59</v>
      </c>
      <c r="R44" s="124"/>
      <c r="S44" s="136">
        <f>(ROUND((E52/(AVERAGE(E48,G48))*100),2))</f>
        <v>198.21</v>
      </c>
      <c r="T44" s="124"/>
      <c r="U44" s="136">
        <f>(ROUND((G52/(AVERAGE(G48,I48))*100),2))</f>
        <v>217.65</v>
      </c>
      <c r="V44" s="124"/>
      <c r="W44" s="136">
        <f>(ROUND((I52/(AVERAGE(I48,K48))*100),2))</f>
        <v>196.22</v>
      </c>
      <c r="X44" s="124"/>
      <c r="Y44" s="136">
        <f>(ROUND((K52/(AVERAGE(K48,M48))*100),2))</f>
        <v>192.92</v>
      </c>
      <c r="Z44" s="124"/>
      <c r="AA44" s="136">
        <f>ROUND(AVERAGE(Q44:Y44),2)</f>
        <v>194.72</v>
      </c>
      <c r="AB44" s="124"/>
    </row>
    <row r="45" spans="1:28">
      <c r="C45" s="261"/>
      <c r="E45" s="261"/>
      <c r="G45" s="261"/>
      <c r="I45" s="261"/>
      <c r="O45" s="252" t="s">
        <v>28</v>
      </c>
      <c r="Q45" s="136">
        <f>ROUND(((+C26/C52)*100),2)</f>
        <v>3.21</v>
      </c>
      <c r="R45" s="124"/>
      <c r="S45" s="136">
        <f>ROUND(((+E26/E52)*100),2)</f>
        <v>2.65</v>
      </c>
      <c r="T45" s="124"/>
      <c r="U45" s="136">
        <f>ROUND(((+G26/G52)*100),2)</f>
        <v>2.3199999999999998</v>
      </c>
      <c r="V45" s="124"/>
      <c r="W45" s="136">
        <f>ROUND(((+I26/I52)*100),2)</f>
        <v>2.46</v>
      </c>
      <c r="X45" s="124"/>
      <c r="Y45" s="136">
        <f>ROUND(((+K26/K52)*100),2)</f>
        <v>2.37</v>
      </c>
      <c r="Z45" s="124"/>
      <c r="AA45" s="136">
        <f>ROUND(AVERAGE(Q45:Y45),2)</f>
        <v>2.6</v>
      </c>
      <c r="AB45" s="124"/>
    </row>
    <row r="46" spans="1:28">
      <c r="A46" s="252" t="s">
        <v>59</v>
      </c>
      <c r="C46" s="261"/>
      <c r="E46" s="261"/>
      <c r="G46" s="261"/>
      <c r="I46" s="261"/>
      <c r="K46" s="260"/>
      <c r="L46" s="260"/>
      <c r="M46" s="260"/>
      <c r="O46" s="252" t="s">
        <v>29</v>
      </c>
      <c r="P46" s="267"/>
      <c r="Q46" s="136">
        <f>ROUND(((+C38/C34)*100),2)</f>
        <v>60.02</v>
      </c>
      <c r="R46" s="124"/>
      <c r="S46" s="136">
        <f>ROUND(((+E38/E34)*100),2)</f>
        <v>58.23</v>
      </c>
      <c r="T46" s="124"/>
      <c r="U46" s="136">
        <f>ROUND(((+G38/G34)*100),2)</f>
        <v>56.45</v>
      </c>
      <c r="V46" s="124"/>
      <c r="W46" s="136">
        <f>ROUND(((+I38/I34)*100),2)</f>
        <v>56.08</v>
      </c>
      <c r="X46" s="124"/>
      <c r="Y46" s="136">
        <f>ROUND(((+K38/K34)*100),2)</f>
        <v>53.96</v>
      </c>
      <c r="Z46" s="124"/>
      <c r="AA46" s="136">
        <f>ROUND(AVERAGE(Q46:Y46),2)</f>
        <v>56.95</v>
      </c>
      <c r="AB46" s="124"/>
    </row>
    <row r="47" spans="1:28">
      <c r="C47" s="261"/>
      <c r="E47" s="261"/>
      <c r="G47" s="261"/>
      <c r="I47" s="261"/>
      <c r="K47" s="260"/>
      <c r="L47" s="260"/>
      <c r="M47" s="260"/>
      <c r="Q47" s="136"/>
      <c r="R47" s="124"/>
      <c r="S47" s="136"/>
      <c r="T47" s="124"/>
      <c r="U47" s="136"/>
      <c r="V47" s="124"/>
      <c r="W47" s="136"/>
      <c r="X47" s="124"/>
      <c r="Y47" s="136"/>
      <c r="Z47" s="124"/>
      <c r="AA47" s="136"/>
      <c r="AB47" s="124"/>
    </row>
    <row r="48" spans="1:28">
      <c r="A48" s="252" t="s">
        <v>7</v>
      </c>
      <c r="B48" s="252" t="s">
        <v>50</v>
      </c>
      <c r="C48" s="130">
        <f>C16/C15</f>
        <v>43.807409625491367</v>
      </c>
      <c r="E48" s="130">
        <f>E16/E15</f>
        <v>42.005797121293874</v>
      </c>
      <c r="F48" s="124"/>
      <c r="G48" s="130">
        <f>G16/G15</f>
        <v>40.350946109442006</v>
      </c>
      <c r="H48" s="124"/>
      <c r="I48" s="130">
        <f>I16/I15</f>
        <v>38.859693869494897</v>
      </c>
      <c r="J48" s="124"/>
      <c r="K48" s="130">
        <f>K16/K15</f>
        <v>37.471128324242713</v>
      </c>
      <c r="L48" s="124"/>
      <c r="M48" s="130">
        <f>M16/M15</f>
        <v>35.900220930432624</v>
      </c>
      <c r="O48" s="267" t="s">
        <v>41</v>
      </c>
      <c r="P48" s="267"/>
      <c r="Q48" s="136">
        <f>ROUND(((C34/AVERAGE(C16,E16))*100),2)</f>
        <v>9.01</v>
      </c>
      <c r="R48" s="124" t="s">
        <v>18</v>
      </c>
      <c r="S48" s="136">
        <f>ROUND(((E34/AVERAGE(E16,G16))*100),2)</f>
        <v>9</v>
      </c>
      <c r="T48" s="124" t="s">
        <v>18</v>
      </c>
      <c r="U48" s="136">
        <f>ROUND(((G34/AVERAGE(G16,I16))*100),2)</f>
        <v>8.9499999999999993</v>
      </c>
      <c r="V48" s="124" t="s">
        <v>18</v>
      </c>
      <c r="W48" s="136">
        <f>ROUND(((I34/AVERAGE(I16,K16))*100),2)</f>
        <v>8.61</v>
      </c>
      <c r="X48" s="124" t="s">
        <v>18</v>
      </c>
      <c r="Y48" s="136">
        <f>ROUND(((K34/AVERAGE(K16,M16))*100),2)</f>
        <v>8.4700000000000006</v>
      </c>
      <c r="Z48" s="124" t="s">
        <v>18</v>
      </c>
      <c r="AA48" s="136">
        <f>ROUND(AVERAGE(Q48:Y48),2)</f>
        <v>8.81</v>
      </c>
      <c r="AB48" s="124" t="s">
        <v>18</v>
      </c>
    </row>
    <row r="49" spans="1:28">
      <c r="C49" s="130"/>
      <c r="E49" s="130"/>
      <c r="F49" s="124"/>
      <c r="G49" s="130"/>
      <c r="H49" s="124"/>
      <c r="I49" s="130"/>
      <c r="J49" s="124"/>
      <c r="K49" s="130"/>
      <c r="L49" s="124"/>
      <c r="M49" s="130"/>
      <c r="Q49" s="136"/>
      <c r="R49" s="124"/>
      <c r="S49" s="136"/>
      <c r="T49" s="124"/>
      <c r="U49" s="136"/>
      <c r="V49" s="124"/>
      <c r="W49" s="136"/>
      <c r="X49" s="124"/>
      <c r="Y49" s="136"/>
      <c r="Z49" s="124"/>
      <c r="AA49" s="137"/>
      <c r="AB49" s="124"/>
    </row>
    <row r="50" spans="1:28">
      <c r="A50" s="252" t="s">
        <v>13</v>
      </c>
      <c r="B50" s="252" t="s">
        <v>50</v>
      </c>
      <c r="C50" s="130">
        <f>SUM(C12:C13,C16:C17)</f>
        <v>4032910000</v>
      </c>
      <c r="E50" s="130">
        <f>SUM(E12:E13,E16:E17)</f>
        <v>3834611000</v>
      </c>
      <c r="F50" s="124"/>
      <c r="G50" s="130">
        <f>SUM(G12:G13,G16:G17)</f>
        <v>3415454000</v>
      </c>
      <c r="H50" s="124"/>
      <c r="I50" s="130">
        <f>SUM(I12:I13,I16:I17)</f>
        <v>3328139000</v>
      </c>
      <c r="J50" s="124"/>
      <c r="K50" s="130">
        <f>SUM(K12:K13,K16:K17)</f>
        <v>3153466000</v>
      </c>
      <c r="L50" s="124"/>
      <c r="M50" s="130">
        <f>SUM(M12:M13,M16:M17)</f>
        <v>3080733000</v>
      </c>
      <c r="O50" s="267" t="s">
        <v>142</v>
      </c>
      <c r="Q50" s="136">
        <f>ROUND((C54/C62),2)</f>
        <v>4.2300000000000004</v>
      </c>
      <c r="R50" s="137" t="s">
        <v>44</v>
      </c>
      <c r="S50" s="136">
        <f>ROUND((E54/E62),2)</f>
        <v>4.08</v>
      </c>
      <c r="T50" s="137" t="s">
        <v>44</v>
      </c>
      <c r="U50" s="136">
        <f>ROUND((G54/G62),2)</f>
        <v>3.81</v>
      </c>
      <c r="V50" s="137" t="s">
        <v>44</v>
      </c>
      <c r="W50" s="136">
        <f>ROUND((I54/I62),2)</f>
        <v>3.63</v>
      </c>
      <c r="X50" s="137" t="s">
        <v>44</v>
      </c>
      <c r="Y50" s="136">
        <f>ROUND((K54/K62),2)</f>
        <v>3.41</v>
      </c>
      <c r="Z50" s="137" t="s">
        <v>44</v>
      </c>
      <c r="AA50" s="136">
        <f>ROUND(AVERAGE(Q50:Y50),2)</f>
        <v>3.83</v>
      </c>
      <c r="AB50" s="124" t="s">
        <v>44</v>
      </c>
    </row>
    <row r="51" spans="1:28">
      <c r="C51" s="130"/>
      <c r="E51" s="130"/>
      <c r="F51" s="124"/>
      <c r="G51" s="130"/>
      <c r="H51" s="124"/>
      <c r="I51" s="130"/>
      <c r="J51" s="124"/>
      <c r="K51" s="130"/>
      <c r="L51" s="124"/>
      <c r="M51" s="130"/>
      <c r="O51" s="267"/>
      <c r="Q51" s="136"/>
      <c r="R51" s="124"/>
      <c r="S51" s="136"/>
      <c r="T51" s="124"/>
      <c r="U51" s="136"/>
      <c r="V51" s="124"/>
      <c r="W51" s="136"/>
      <c r="X51" s="124"/>
      <c r="Y51" s="136"/>
      <c r="Z51" s="124"/>
      <c r="AA51" s="136"/>
      <c r="AB51" s="124"/>
    </row>
    <row r="52" spans="1:28">
      <c r="A52" s="252" t="s">
        <v>23</v>
      </c>
      <c r="B52" s="252" t="s">
        <v>50</v>
      </c>
      <c r="C52" s="130">
        <f>AVERAGE(C22:C23)</f>
        <v>72.335000000000008</v>
      </c>
      <c r="E52" s="130">
        <f>AVERAGE(E22:E23)</f>
        <v>81.62</v>
      </c>
      <c r="F52" s="124"/>
      <c r="G52" s="130">
        <f>AVERAGE(G22:G23)</f>
        <v>86.199999999999989</v>
      </c>
      <c r="H52" s="124"/>
      <c r="I52" s="130">
        <f>AVERAGE(I22:I23)</f>
        <v>74.89</v>
      </c>
      <c r="J52" s="124"/>
      <c r="K52" s="130">
        <f>AVERAGE(K22:K23)</f>
        <v>70.775000000000006</v>
      </c>
      <c r="L52" s="124"/>
      <c r="M52" s="130">
        <f>AVERAGE(M22:M23)</f>
        <v>57.495000000000005</v>
      </c>
      <c r="O52" s="267" t="s">
        <v>57</v>
      </c>
      <c r="Q52" s="136">
        <f>ROUND(((C60/C54)*100),2)</f>
        <v>14.11</v>
      </c>
      <c r="R52" s="137" t="s">
        <v>18</v>
      </c>
      <c r="S52" s="136">
        <f>ROUND(((E60/E54)*100),2)</f>
        <v>14.35</v>
      </c>
      <c r="T52" s="137" t="s">
        <v>18</v>
      </c>
      <c r="U52" s="136">
        <f>ROUND(((G60/G54)*100),2)</f>
        <v>12.06</v>
      </c>
      <c r="V52" s="137" t="s">
        <v>18</v>
      </c>
      <c r="W52" s="136">
        <f>ROUND(((I60/I54)*100),2)</f>
        <v>33.42</v>
      </c>
      <c r="X52" s="137" t="s">
        <v>18</v>
      </c>
      <c r="Y52" s="136">
        <f>ROUND(((K60/K54)*100),2)</f>
        <v>15.01</v>
      </c>
      <c r="Z52" s="137" t="s">
        <v>18</v>
      </c>
      <c r="AA52" s="136">
        <f>ROUND(AVERAGE(Q52:Y52),2)</f>
        <v>17.79</v>
      </c>
      <c r="AB52" s="124" t="s">
        <v>18</v>
      </c>
    </row>
    <row r="53" spans="1:28">
      <c r="C53" s="130"/>
      <c r="E53" s="130"/>
      <c r="F53" s="124"/>
      <c r="G53" s="130"/>
      <c r="H53" s="124"/>
      <c r="I53" s="130"/>
      <c r="J53" s="124"/>
      <c r="K53" s="130"/>
      <c r="L53" s="124"/>
      <c r="M53" s="130"/>
      <c r="O53" s="266"/>
      <c r="Q53" s="136"/>
      <c r="R53" s="124"/>
      <c r="S53" s="136"/>
      <c r="T53" s="124"/>
      <c r="U53" s="136"/>
      <c r="V53" s="124"/>
      <c r="W53" s="136"/>
      <c r="X53" s="124"/>
      <c r="Y53" s="136"/>
      <c r="Z53" s="124"/>
      <c r="AA53" s="124"/>
      <c r="AB53" s="124"/>
    </row>
    <row r="54" spans="1:28">
      <c r="A54" s="252" t="s">
        <v>53</v>
      </c>
      <c r="C54" s="214">
        <f>+C19+C12</f>
        <v>2177378000</v>
      </c>
      <c r="E54" s="214">
        <f>+E19+E12</f>
        <v>2019525000</v>
      </c>
      <c r="F54" s="124"/>
      <c r="G54" s="214">
        <f>+G19+G12</f>
        <v>1802564000</v>
      </c>
      <c r="H54" s="124"/>
      <c r="I54" s="214">
        <f>+I19+I12</f>
        <v>1584983000</v>
      </c>
      <c r="J54" s="124"/>
      <c r="K54" s="214">
        <f>+K19+K12</f>
        <v>1550472000</v>
      </c>
      <c r="L54" s="124"/>
      <c r="M54" s="214">
        <f>+M19+M12</f>
        <v>1337453000</v>
      </c>
      <c r="O54" s="266" t="s">
        <v>56</v>
      </c>
      <c r="Q54" s="136">
        <f>Q33</f>
        <v>48.1</v>
      </c>
      <c r="R54" s="137" t="s">
        <v>18</v>
      </c>
      <c r="S54" s="136">
        <f>S33</f>
        <v>47.49</v>
      </c>
      <c r="T54" s="137" t="s">
        <v>18</v>
      </c>
      <c r="U54" s="136">
        <f>U33</f>
        <v>45.84</v>
      </c>
      <c r="V54" s="137" t="s">
        <v>18</v>
      </c>
      <c r="W54" s="136">
        <f>W33</f>
        <v>43.69</v>
      </c>
      <c r="X54" s="137" t="s">
        <v>18</v>
      </c>
      <c r="Y54" s="136">
        <f>Y33</f>
        <v>44.16</v>
      </c>
      <c r="Z54" s="137" t="s">
        <v>18</v>
      </c>
      <c r="AA54" s="136">
        <f>ROUND(AVERAGE(Q54:Y54),2)</f>
        <v>45.86</v>
      </c>
      <c r="AB54" s="137" t="s">
        <v>18</v>
      </c>
    </row>
    <row r="55" spans="1:28">
      <c r="C55" s="130"/>
      <c r="E55" s="130"/>
      <c r="F55" s="124"/>
      <c r="G55" s="130"/>
      <c r="H55" s="124"/>
      <c r="I55" s="130"/>
      <c r="J55" s="124"/>
      <c r="K55" s="130"/>
      <c r="L55" s="124"/>
      <c r="M55" s="130"/>
      <c r="Q55" s="124"/>
      <c r="R55" s="124"/>
      <c r="S55" s="124"/>
      <c r="T55" s="124"/>
      <c r="U55" s="124"/>
      <c r="V55" s="124"/>
      <c r="W55" s="124"/>
      <c r="X55" s="124"/>
      <c r="Y55" s="124"/>
      <c r="Z55" s="124"/>
      <c r="AA55" s="124"/>
      <c r="AB55" s="124"/>
    </row>
    <row r="56" spans="1:28">
      <c r="A56" s="252" t="s">
        <v>31</v>
      </c>
      <c r="B56" s="252" t="s">
        <v>50</v>
      </c>
      <c r="C56" s="130">
        <f>SUM(C50,C19)</f>
        <v>4526910000</v>
      </c>
      <c r="E56" s="130">
        <f>SUM(E50,E19)</f>
        <v>4252836000</v>
      </c>
      <c r="F56" s="124"/>
      <c r="G56" s="130">
        <f>SUM(G50,G19)</f>
        <v>3931954000</v>
      </c>
      <c r="H56" s="124"/>
      <c r="I56" s="130">
        <f>SUM(I50,I19)</f>
        <v>3627639000</v>
      </c>
      <c r="J56" s="124"/>
      <c r="K56" s="130">
        <f>SUM(K50,K19)</f>
        <v>3510681000</v>
      </c>
      <c r="L56" s="124"/>
      <c r="M56" s="130">
        <f>SUM(M50,M19)</f>
        <v>3225733000</v>
      </c>
    </row>
    <row r="57" spans="1:28">
      <c r="C57" s="130"/>
      <c r="E57" s="130"/>
      <c r="F57" s="124"/>
      <c r="G57" s="130"/>
      <c r="H57" s="124"/>
      <c r="I57" s="130"/>
      <c r="J57" s="124"/>
      <c r="K57" s="130"/>
      <c r="L57" s="124"/>
      <c r="M57" s="130"/>
    </row>
    <row r="58" spans="1:28">
      <c r="A58" s="252" t="s">
        <v>51</v>
      </c>
      <c r="B58" s="252" t="s">
        <v>50</v>
      </c>
      <c r="C58" s="130">
        <f>SUM(C13,C17)</f>
        <v>0</v>
      </c>
      <c r="E58" s="130">
        <f>SUM(E13,E17)</f>
        <v>0</v>
      </c>
      <c r="F58" s="124"/>
      <c r="G58" s="130">
        <f>SUM(G13,G17)</f>
        <v>0</v>
      </c>
      <c r="H58" s="124"/>
      <c r="I58" s="130">
        <f>SUM(I13,I17)</f>
        <v>0</v>
      </c>
      <c r="J58" s="124"/>
      <c r="K58" s="130">
        <f>SUM(K13,K17)</f>
        <v>0</v>
      </c>
      <c r="L58" s="124"/>
      <c r="M58" s="130">
        <f>SUM(M13,M17)</f>
        <v>0</v>
      </c>
    </row>
    <row r="59" spans="1:28">
      <c r="C59" s="130"/>
      <c r="E59" s="130"/>
      <c r="F59" s="124"/>
      <c r="G59" s="130"/>
      <c r="H59" s="124"/>
      <c r="I59" s="130"/>
      <c r="J59" s="124"/>
      <c r="K59" s="130"/>
      <c r="L59" s="124"/>
      <c r="M59" s="130"/>
    </row>
    <row r="60" spans="1:28">
      <c r="A60" s="265" t="s">
        <v>1466</v>
      </c>
      <c r="B60" s="252" t="s">
        <v>50</v>
      </c>
      <c r="C60" s="130">
        <f>ROUND(C41+C42-C28,3)</f>
        <v>307309000</v>
      </c>
      <c r="E60" s="130">
        <f>ROUND(E41+E42-E28,3)</f>
        <v>289769000</v>
      </c>
      <c r="F60" s="124"/>
      <c r="G60" s="130">
        <f>ROUND(G41+G42-G28,3)</f>
        <v>217331000</v>
      </c>
      <c r="H60" s="124"/>
      <c r="I60" s="130">
        <f>ROUND(I41+I42-I28,3)</f>
        <v>529725000</v>
      </c>
      <c r="J60" s="124"/>
      <c r="K60" s="130">
        <f>ROUND(K41+K42-K28,3)</f>
        <v>232692000</v>
      </c>
      <c r="L60" s="124"/>
      <c r="M60" s="130">
        <f>ROUND(M41+M42-M28,3)</f>
        <v>247314000</v>
      </c>
    </row>
    <row r="61" spans="1:28">
      <c r="A61" s="265"/>
      <c r="C61" s="130"/>
      <c r="E61" s="130"/>
      <c r="F61" s="124"/>
      <c r="G61" s="130"/>
      <c r="H61" s="124"/>
      <c r="I61" s="130"/>
      <c r="J61" s="124"/>
      <c r="K61" s="130"/>
      <c r="L61" s="124"/>
      <c r="M61" s="130"/>
    </row>
    <row r="62" spans="1:28">
      <c r="A62" s="252" t="s">
        <v>1467</v>
      </c>
      <c r="B62" s="252" t="s">
        <v>50</v>
      </c>
      <c r="C62" s="130">
        <f>C40+C44+C43+C30</f>
        <v>514284000</v>
      </c>
      <c r="E62" s="130">
        <f>E40+E44+E43+E30</f>
        <v>495377000</v>
      </c>
      <c r="F62" s="124"/>
      <c r="G62" s="130">
        <f>G40+G44+G43+G30</f>
        <v>472677000</v>
      </c>
      <c r="H62" s="124"/>
      <c r="I62" s="130">
        <f>I40+I44+I43+I30</f>
        <v>437156000</v>
      </c>
      <c r="J62" s="124"/>
      <c r="K62" s="130">
        <f>K40+K44+K43+K30</f>
        <v>454092000</v>
      </c>
      <c r="L62" s="124"/>
      <c r="M62" s="130">
        <f>M40+M44+M43+M30</f>
        <v>412906000</v>
      </c>
    </row>
    <row r="63" spans="1:28">
      <c r="E63" s="260"/>
      <c r="F63" s="260"/>
      <c r="G63" s="260"/>
      <c r="H63" s="260"/>
      <c r="I63" s="260"/>
      <c r="J63" s="260"/>
      <c r="K63" s="260"/>
    </row>
    <row r="64" spans="1:28">
      <c r="E64" s="260"/>
      <c r="F64" s="260"/>
      <c r="G64" s="260"/>
      <c r="H64" s="260"/>
      <c r="I64" s="260"/>
      <c r="J64" s="260"/>
      <c r="K64" s="260"/>
    </row>
    <row r="71" spans="5:11">
      <c r="E71" s="260"/>
      <c r="F71" s="260"/>
      <c r="G71" s="260"/>
      <c r="H71" s="260"/>
      <c r="I71" s="260"/>
      <c r="J71" s="260"/>
      <c r="K71" s="260"/>
    </row>
    <row r="81" spans="5:221">
      <c r="HI81" s="264"/>
      <c r="HJ81" s="264"/>
      <c r="HM81" s="252" t="s">
        <v>48</v>
      </c>
    </row>
    <row r="94" spans="5:221">
      <c r="E94" s="260"/>
      <c r="F94" s="260"/>
      <c r="G94" s="260"/>
      <c r="H94" s="260"/>
      <c r="I94" s="260"/>
      <c r="J94" s="260"/>
      <c r="K94" s="260"/>
    </row>
    <row r="95" spans="5:221">
      <c r="E95" s="260"/>
      <c r="F95" s="260"/>
      <c r="G95" s="260"/>
      <c r="H95" s="260"/>
      <c r="I95" s="260"/>
      <c r="J95" s="260"/>
      <c r="K95" s="260"/>
    </row>
    <row r="96" spans="5:221">
      <c r="E96" s="260"/>
      <c r="F96" s="260"/>
      <c r="G96" s="260"/>
      <c r="H96" s="260"/>
      <c r="I96" s="260"/>
      <c r="J96" s="260"/>
      <c r="K96" s="260"/>
    </row>
    <row r="97" spans="5:11">
      <c r="E97" s="260"/>
      <c r="F97" s="260"/>
      <c r="G97" s="260"/>
      <c r="H97" s="260"/>
      <c r="I97" s="260"/>
      <c r="J97" s="260"/>
      <c r="K97" s="260"/>
    </row>
    <row r="98" spans="5:11">
      <c r="E98" s="260"/>
      <c r="F98" s="260"/>
      <c r="G98" s="260"/>
      <c r="H98" s="260"/>
      <c r="I98" s="260"/>
      <c r="J98" s="260"/>
      <c r="K98" s="260"/>
    </row>
    <row r="99" spans="5:11">
      <c r="E99" s="260"/>
      <c r="F99" s="260"/>
      <c r="G99" s="260"/>
      <c r="H99" s="260"/>
      <c r="I99" s="260"/>
      <c r="J99" s="260"/>
      <c r="K99" s="260"/>
    </row>
    <row r="100" spans="5:11">
      <c r="E100" s="260"/>
      <c r="F100" s="260"/>
      <c r="G100" s="260"/>
      <c r="H100" s="260"/>
      <c r="I100" s="260"/>
      <c r="J100" s="260"/>
      <c r="K100" s="260"/>
    </row>
    <row r="101" spans="5:11">
      <c r="E101" s="260"/>
      <c r="F101" s="260"/>
      <c r="G101" s="260"/>
      <c r="H101" s="260"/>
      <c r="I101" s="260"/>
      <c r="J101" s="260"/>
      <c r="K101" s="260"/>
    </row>
    <row r="102" spans="5:11">
      <c r="E102" s="260"/>
      <c r="F102" s="260"/>
      <c r="G102" s="260"/>
      <c r="H102" s="260"/>
      <c r="I102" s="260"/>
      <c r="J102" s="260"/>
      <c r="K102" s="260"/>
    </row>
    <row r="103" spans="5:11">
      <c r="E103" s="260"/>
      <c r="F103" s="260"/>
      <c r="G103" s="260"/>
      <c r="H103" s="260"/>
      <c r="I103" s="260"/>
      <c r="J103" s="260"/>
      <c r="K103" s="260"/>
    </row>
    <row r="104" spans="5:11">
      <c r="E104" s="260"/>
      <c r="F104" s="260"/>
      <c r="G104" s="260"/>
      <c r="H104" s="260"/>
      <c r="I104" s="260"/>
      <c r="J104" s="260"/>
      <c r="K104" s="260"/>
    </row>
    <row r="105" spans="5:11">
      <c r="E105" s="260"/>
      <c r="F105" s="260"/>
      <c r="G105" s="260"/>
      <c r="H105" s="260"/>
      <c r="I105" s="260"/>
      <c r="J105" s="260"/>
      <c r="K105" s="260"/>
    </row>
    <row r="106" spans="5:11">
      <c r="E106" s="260"/>
      <c r="F106" s="260"/>
      <c r="G106" s="260"/>
      <c r="H106" s="260"/>
      <c r="I106" s="260"/>
      <c r="J106" s="260"/>
      <c r="K106" s="260"/>
    </row>
    <row r="107" spans="5:11">
      <c r="E107" s="260"/>
      <c r="F107" s="260"/>
      <c r="G107" s="260"/>
      <c r="H107" s="260"/>
      <c r="I107" s="260"/>
      <c r="J107" s="260"/>
      <c r="K107" s="260"/>
    </row>
    <row r="108" spans="5:11">
      <c r="E108" s="260"/>
      <c r="F108" s="260"/>
      <c r="G108" s="260"/>
      <c r="H108" s="260"/>
      <c r="I108" s="260"/>
      <c r="J108" s="260"/>
      <c r="K108" s="260"/>
    </row>
    <row r="109" spans="5:11">
      <c r="E109" s="260"/>
      <c r="F109" s="260"/>
      <c r="G109" s="260"/>
      <c r="H109" s="260"/>
      <c r="I109" s="260"/>
      <c r="J109" s="260"/>
      <c r="K109" s="260"/>
    </row>
    <row r="110" spans="5:11">
      <c r="E110" s="260"/>
      <c r="F110" s="260"/>
      <c r="G110" s="260"/>
      <c r="H110" s="260"/>
      <c r="I110" s="260"/>
      <c r="J110" s="260"/>
      <c r="K110" s="260"/>
    </row>
    <row r="111" spans="5:11">
      <c r="E111" s="260"/>
      <c r="F111" s="260"/>
      <c r="G111" s="260"/>
      <c r="H111" s="260"/>
      <c r="I111" s="260"/>
      <c r="J111" s="260"/>
      <c r="K111" s="260"/>
    </row>
    <row r="112" spans="5:11">
      <c r="E112" s="260"/>
      <c r="F112" s="260"/>
      <c r="G112" s="260"/>
      <c r="H112" s="260"/>
      <c r="I112" s="260"/>
      <c r="J112" s="260"/>
      <c r="K112" s="260"/>
    </row>
    <row r="113" spans="5:11">
      <c r="E113" s="260"/>
      <c r="F113" s="260"/>
      <c r="G113" s="260"/>
      <c r="H113" s="260"/>
      <c r="I113" s="260"/>
      <c r="J113" s="260"/>
      <c r="K113" s="260"/>
    </row>
    <row r="114" spans="5:11">
      <c r="E114" s="260"/>
      <c r="F114" s="260"/>
      <c r="G114" s="260"/>
      <c r="H114" s="260"/>
      <c r="I114" s="260"/>
      <c r="J114" s="260"/>
      <c r="K114" s="260"/>
    </row>
    <row r="115" spans="5:11">
      <c r="E115" s="260"/>
      <c r="F115" s="260"/>
      <c r="G115" s="260"/>
      <c r="H115" s="260"/>
      <c r="I115" s="260"/>
      <c r="J115" s="260"/>
      <c r="K115" s="260"/>
    </row>
    <row r="116" spans="5:11">
      <c r="E116" s="260"/>
      <c r="F116" s="260"/>
      <c r="G116" s="260"/>
      <c r="H116" s="260"/>
      <c r="I116" s="260"/>
      <c r="J116" s="260"/>
      <c r="K116" s="260"/>
    </row>
    <row r="117" spans="5:11">
      <c r="E117" s="260"/>
      <c r="F117" s="260"/>
      <c r="G117" s="260"/>
      <c r="H117" s="260"/>
      <c r="I117" s="260"/>
      <c r="J117" s="260"/>
      <c r="K117" s="260"/>
    </row>
    <row r="118" spans="5:11">
      <c r="E118" s="260"/>
      <c r="F118" s="260"/>
      <c r="G118" s="260"/>
      <c r="H118" s="260"/>
      <c r="I118" s="260"/>
      <c r="J118" s="260"/>
      <c r="K118" s="260"/>
    </row>
    <row r="119" spans="5:11">
      <c r="E119" s="260"/>
      <c r="F119" s="260"/>
      <c r="G119" s="260"/>
      <c r="H119" s="260"/>
      <c r="I119" s="260"/>
      <c r="J119" s="260"/>
      <c r="K119" s="260"/>
    </row>
    <row r="120" spans="5:11">
      <c r="E120" s="260"/>
      <c r="F120" s="260"/>
      <c r="G120" s="260"/>
      <c r="H120" s="260"/>
      <c r="I120" s="260"/>
      <c r="J120" s="260"/>
      <c r="K120" s="260"/>
    </row>
    <row r="121" spans="5:11">
      <c r="E121" s="260"/>
      <c r="F121" s="260"/>
      <c r="G121" s="260"/>
      <c r="H121" s="260"/>
      <c r="I121" s="260"/>
      <c r="J121" s="260"/>
      <c r="K121" s="260"/>
    </row>
    <row r="122" spans="5:11">
      <c r="E122" s="260"/>
      <c r="F122" s="260"/>
      <c r="G122" s="260"/>
      <c r="H122" s="260"/>
      <c r="I122" s="260"/>
      <c r="J122" s="260"/>
      <c r="K122" s="260"/>
    </row>
    <row r="123" spans="5:11">
      <c r="E123" s="260"/>
      <c r="F123" s="260"/>
      <c r="G123" s="260"/>
      <c r="H123" s="260"/>
      <c r="I123" s="260"/>
      <c r="J123" s="260"/>
      <c r="K123" s="260"/>
    </row>
    <row r="124" spans="5:11">
      <c r="E124" s="260"/>
      <c r="F124" s="260"/>
      <c r="G124" s="260"/>
      <c r="H124" s="260"/>
      <c r="I124" s="260"/>
      <c r="J124" s="260"/>
      <c r="K124" s="260"/>
    </row>
    <row r="125" spans="5:11">
      <c r="E125" s="260"/>
      <c r="F125" s="260"/>
      <c r="G125" s="260"/>
      <c r="H125" s="260"/>
      <c r="I125" s="260"/>
      <c r="J125" s="260"/>
      <c r="K125" s="260"/>
    </row>
    <row r="126" spans="5:11">
      <c r="E126" s="260"/>
      <c r="F126" s="260"/>
      <c r="G126" s="260"/>
      <c r="H126" s="260"/>
      <c r="I126" s="260"/>
      <c r="J126" s="260"/>
      <c r="K126" s="260"/>
    </row>
    <row r="127" spans="5:11">
      <c r="E127" s="260"/>
      <c r="F127" s="260"/>
      <c r="G127" s="260"/>
      <c r="H127" s="260"/>
      <c r="I127" s="260"/>
      <c r="J127" s="260"/>
      <c r="K127" s="260"/>
    </row>
    <row r="128" spans="5:11">
      <c r="E128" s="260"/>
      <c r="F128" s="260"/>
      <c r="G128" s="260"/>
      <c r="H128" s="260"/>
      <c r="I128" s="260"/>
      <c r="J128" s="260"/>
      <c r="K128" s="260"/>
    </row>
    <row r="129" spans="5:11">
      <c r="E129" s="260"/>
      <c r="F129" s="260"/>
      <c r="G129" s="260"/>
      <c r="H129" s="260"/>
      <c r="I129" s="260"/>
      <c r="J129" s="260"/>
      <c r="K129" s="260"/>
    </row>
    <row r="130" spans="5:11">
      <c r="E130" s="260"/>
      <c r="F130" s="260"/>
      <c r="G130" s="260"/>
      <c r="H130" s="260"/>
      <c r="I130" s="260"/>
      <c r="J130" s="260"/>
      <c r="K130" s="260"/>
    </row>
    <row r="131" spans="5:11">
      <c r="E131" s="260"/>
      <c r="F131" s="260"/>
      <c r="G131" s="260"/>
      <c r="H131" s="260"/>
      <c r="I131" s="260"/>
      <c r="J131" s="260"/>
      <c r="K131" s="260"/>
    </row>
    <row r="132" spans="5:11">
      <c r="E132" s="260"/>
      <c r="F132" s="260"/>
      <c r="G132" s="260"/>
      <c r="H132" s="260"/>
      <c r="I132" s="260"/>
      <c r="J132" s="260"/>
      <c r="K132" s="260"/>
    </row>
    <row r="133" spans="5:11">
      <c r="E133" s="260"/>
      <c r="F133" s="260"/>
      <c r="G133" s="260"/>
      <c r="H133" s="260"/>
      <c r="I133" s="260"/>
      <c r="J133" s="260"/>
      <c r="K133" s="260"/>
    </row>
    <row r="134" spans="5:11">
      <c r="E134" s="260"/>
      <c r="F134" s="260"/>
      <c r="G134" s="260"/>
      <c r="H134" s="260"/>
      <c r="I134" s="260"/>
      <c r="J134" s="260"/>
      <c r="K134" s="260"/>
    </row>
    <row r="135" spans="5:11">
      <c r="E135" s="260"/>
      <c r="F135" s="260"/>
      <c r="G135" s="260"/>
      <c r="H135" s="260"/>
      <c r="I135" s="260"/>
      <c r="J135" s="260"/>
      <c r="K135" s="260"/>
    </row>
    <row r="136" spans="5:11">
      <c r="E136" s="260"/>
      <c r="F136" s="260"/>
      <c r="G136" s="260"/>
      <c r="H136" s="260"/>
      <c r="I136" s="260"/>
      <c r="J136" s="260"/>
      <c r="K136" s="260"/>
    </row>
    <row r="137" spans="5:11">
      <c r="E137" s="260"/>
      <c r="F137" s="260"/>
      <c r="G137" s="260"/>
      <c r="H137" s="260"/>
      <c r="I137" s="260"/>
      <c r="J137" s="260"/>
      <c r="K137" s="260"/>
    </row>
    <row r="138" spans="5:11">
      <c r="E138" s="260"/>
      <c r="F138" s="260"/>
      <c r="G138" s="260"/>
      <c r="H138" s="260"/>
      <c r="I138" s="260"/>
      <c r="J138" s="260"/>
      <c r="K138" s="260"/>
    </row>
    <row r="139" spans="5:11">
      <c r="E139" s="260"/>
      <c r="F139" s="260"/>
      <c r="G139" s="260"/>
      <c r="H139" s="260"/>
      <c r="I139" s="260"/>
      <c r="J139" s="260"/>
      <c r="K139" s="260"/>
    </row>
    <row r="140" spans="5:11">
      <c r="E140" s="260"/>
      <c r="F140" s="260"/>
      <c r="G140" s="260"/>
      <c r="H140" s="260"/>
      <c r="I140" s="260"/>
      <c r="J140" s="260"/>
      <c r="K140" s="260"/>
    </row>
    <row r="141" spans="5:11">
      <c r="E141" s="260"/>
      <c r="F141" s="260"/>
      <c r="G141" s="260"/>
      <c r="H141" s="260"/>
      <c r="I141" s="260"/>
      <c r="J141" s="260"/>
      <c r="K141" s="260"/>
    </row>
    <row r="142" spans="5:11">
      <c r="E142" s="260"/>
      <c r="F142" s="260"/>
      <c r="G142" s="260"/>
      <c r="H142" s="260"/>
      <c r="I142" s="260"/>
      <c r="J142" s="260"/>
      <c r="K142" s="260"/>
    </row>
    <row r="143" spans="5:11">
      <c r="E143" s="260"/>
      <c r="F143" s="260"/>
      <c r="G143" s="260"/>
      <c r="H143" s="260"/>
      <c r="I143" s="260"/>
      <c r="J143" s="260"/>
      <c r="K143" s="260"/>
    </row>
    <row r="144" spans="5:11">
      <c r="E144" s="260"/>
      <c r="F144" s="260"/>
      <c r="G144" s="260"/>
      <c r="H144" s="260"/>
      <c r="I144" s="260"/>
      <c r="J144" s="260"/>
      <c r="K144" s="260"/>
    </row>
    <row r="145" spans="5:11">
      <c r="E145" s="260"/>
      <c r="F145" s="260"/>
      <c r="G145" s="260"/>
      <c r="H145" s="260"/>
      <c r="I145" s="260"/>
      <c r="J145" s="260"/>
      <c r="K145" s="260"/>
    </row>
    <row r="146" spans="5:11">
      <c r="E146" s="260"/>
      <c r="F146" s="260"/>
      <c r="G146" s="260"/>
      <c r="H146" s="260"/>
      <c r="I146" s="260"/>
      <c r="J146" s="260"/>
      <c r="K146" s="260"/>
    </row>
    <row r="147" spans="5:11">
      <c r="E147" s="260"/>
      <c r="F147" s="260"/>
      <c r="G147" s="260"/>
      <c r="H147" s="260"/>
      <c r="I147" s="260"/>
      <c r="J147" s="260"/>
      <c r="K147" s="260"/>
    </row>
    <row r="148" spans="5:11">
      <c r="E148" s="260"/>
      <c r="F148" s="260"/>
      <c r="G148" s="260"/>
      <c r="H148" s="260"/>
      <c r="I148" s="260"/>
      <c r="J148" s="260"/>
      <c r="K148" s="260"/>
    </row>
    <row r="149" spans="5:11">
      <c r="E149" s="260"/>
      <c r="F149" s="260"/>
      <c r="G149" s="260"/>
      <c r="H149" s="260"/>
      <c r="I149" s="260"/>
      <c r="J149" s="260"/>
      <c r="K149" s="260"/>
    </row>
    <row r="150" spans="5:11">
      <c r="E150" s="260"/>
      <c r="F150" s="260"/>
      <c r="G150" s="260"/>
      <c r="H150" s="260"/>
      <c r="I150" s="260"/>
      <c r="J150" s="260"/>
      <c r="K150" s="260"/>
    </row>
    <row r="151" spans="5:11">
      <c r="E151" s="260"/>
      <c r="F151" s="260"/>
      <c r="G151" s="260"/>
      <c r="H151" s="260"/>
      <c r="I151" s="260"/>
      <c r="J151" s="260"/>
      <c r="K151" s="260"/>
    </row>
    <row r="152" spans="5:11">
      <c r="E152" s="260"/>
      <c r="F152" s="260"/>
      <c r="G152" s="260"/>
      <c r="H152" s="260"/>
      <c r="I152" s="260"/>
      <c r="J152" s="260"/>
      <c r="K152" s="260"/>
    </row>
    <row r="153" spans="5:11">
      <c r="E153" s="260"/>
      <c r="F153" s="260"/>
      <c r="G153" s="260"/>
      <c r="H153" s="260"/>
      <c r="I153" s="260"/>
      <c r="J153" s="260"/>
      <c r="K153" s="260"/>
    </row>
    <row r="154" spans="5:11">
      <c r="E154" s="260"/>
      <c r="F154" s="260"/>
      <c r="G154" s="260"/>
      <c r="H154" s="260"/>
      <c r="I154" s="260"/>
      <c r="J154" s="260"/>
      <c r="K154" s="260"/>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M154"/>
  <sheetViews>
    <sheetView topLeftCell="A19" zoomScale="65" workbookViewId="0">
      <selection activeCell="C41" sqref="C41"/>
    </sheetView>
  </sheetViews>
  <sheetFormatPr defaultColWidth="9" defaultRowHeight="12.75"/>
  <cols>
    <col min="1" max="1" width="36.28515625" style="124" customWidth="1"/>
    <col min="2" max="2" width="15.28515625" style="124" bestFit="1" customWidth="1"/>
    <col min="3" max="3" width="18.7109375" style="124" customWidth="1"/>
    <col min="4" max="4" width="2.5703125" style="124" customWidth="1"/>
    <col min="5" max="5" width="18.7109375" style="124" customWidth="1"/>
    <col min="6" max="6" width="2" style="124" customWidth="1"/>
    <col min="7" max="7" width="18.7109375" style="124" customWidth="1"/>
    <col min="8" max="8" width="1.85546875" style="124" customWidth="1"/>
    <col min="9" max="9" width="18.7109375" style="124" customWidth="1"/>
    <col min="10" max="10" width="1.85546875" style="124" customWidth="1"/>
    <col min="11" max="11" width="18.7109375" style="124" customWidth="1"/>
    <col min="12" max="12" width="2.28515625" style="124" customWidth="1"/>
    <col min="13" max="13" width="18.7109375" style="124" customWidth="1"/>
    <col min="14" max="14" width="9" style="124"/>
    <col min="15" max="15" width="53.28515625" style="124" bestFit="1" customWidth="1"/>
    <col min="16" max="16" width="6.7109375" style="124" customWidth="1"/>
    <col min="17" max="17" width="10.7109375" style="124" bestFit="1" customWidth="1"/>
    <col min="18" max="18" width="2.7109375" style="124" bestFit="1" customWidth="1"/>
    <col min="19" max="19" width="10.7109375" style="124" bestFit="1" customWidth="1"/>
    <col min="20" max="20" width="2.7109375" style="124" customWidth="1"/>
    <col min="21" max="21" width="10.28515625" style="124" bestFit="1" customWidth="1"/>
    <col min="22" max="22" width="2.7109375" style="124" customWidth="1"/>
    <col min="23" max="23" width="10.7109375" style="124" bestFit="1" customWidth="1"/>
    <col min="24" max="24" width="2.7109375" style="124" customWidth="1"/>
    <col min="25" max="25" width="10.7109375" style="124" bestFit="1" customWidth="1"/>
    <col min="26" max="26" width="2.7109375" style="124" customWidth="1"/>
    <col min="27" max="27" width="10.5703125" style="124" customWidth="1"/>
    <col min="28" max="28" width="2.7109375" style="124" customWidth="1"/>
    <col min="29" max="29" width="9" style="124"/>
    <col min="30" max="30" width="4.28515625" style="124" customWidth="1"/>
    <col min="31" max="31" width="3.7109375" style="124" customWidth="1"/>
    <col min="32" max="32" width="22.28515625" style="124" customWidth="1"/>
    <col min="33" max="16384" width="9" style="124"/>
  </cols>
  <sheetData>
    <row r="1" spans="1:27" ht="16.149999999999999" customHeight="1">
      <c r="A1" s="333"/>
    </row>
    <row r="2" spans="1:27" ht="16.149999999999999" customHeight="1">
      <c r="A2" s="333"/>
    </row>
    <row r="3" spans="1:27" ht="16.149999999999999" customHeight="1">
      <c r="A3" s="333"/>
    </row>
    <row r="4" spans="1:27" ht="16.149999999999999" customHeight="1" thickBot="1">
      <c r="A4" s="333"/>
    </row>
    <row r="5" spans="1:27" ht="15">
      <c r="A5" s="332" t="s">
        <v>2255</v>
      </c>
    </row>
    <row r="6" spans="1:27" ht="15" thickBot="1">
      <c r="A6" s="331" t="s">
        <v>3055</v>
      </c>
      <c r="E6" s="127" t="s">
        <v>3066</v>
      </c>
      <c r="F6" s="127"/>
      <c r="G6" s="128"/>
      <c r="H6" s="128"/>
      <c r="I6" s="128"/>
      <c r="J6" s="128"/>
      <c r="K6" s="128"/>
      <c r="L6" s="259"/>
      <c r="M6" s="259"/>
      <c r="O6" s="129" t="str">
        <f>E6</f>
        <v>Spire Inc.</v>
      </c>
      <c r="P6" s="128"/>
      <c r="Q6" s="128"/>
      <c r="R6" s="127"/>
      <c r="S6" s="128"/>
      <c r="T6" s="128"/>
      <c r="U6" s="128"/>
      <c r="V6" s="128"/>
      <c r="W6" s="128"/>
      <c r="X6" s="128"/>
      <c r="Y6" s="128"/>
      <c r="Z6" s="128"/>
      <c r="AA6" s="128"/>
    </row>
    <row r="7" spans="1:27" ht="14.25">
      <c r="E7" s="128" t="s">
        <v>0</v>
      </c>
      <c r="F7" s="128"/>
      <c r="G7" s="128"/>
      <c r="H7" s="128"/>
      <c r="I7" s="128"/>
      <c r="J7" s="128"/>
      <c r="K7" s="128"/>
      <c r="L7" s="259"/>
      <c r="M7" s="259"/>
      <c r="O7" s="128" t="str">
        <f>E7</f>
        <v>CAPITALIZATION AND FINANCIAL STATISTICS  (1)</v>
      </c>
      <c r="P7" s="128"/>
      <c r="Q7" s="128"/>
      <c r="R7" s="128"/>
      <c r="S7" s="128"/>
      <c r="T7" s="128"/>
      <c r="U7" s="128"/>
      <c r="V7" s="128"/>
      <c r="W7" s="128"/>
      <c r="X7" s="128"/>
      <c r="Y7" s="128"/>
      <c r="Z7" s="128"/>
      <c r="AA7" s="128"/>
    </row>
    <row r="8" spans="1:27" ht="14.25">
      <c r="E8" s="127" t="s">
        <v>4355</v>
      </c>
      <c r="F8" s="127"/>
      <c r="G8" s="128"/>
      <c r="H8" s="128"/>
      <c r="I8" s="128"/>
      <c r="J8" s="128"/>
      <c r="K8" s="128"/>
      <c r="L8" s="259"/>
      <c r="M8" s="259"/>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4381</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2939100000+55800000</f>
        <v>2994900000</v>
      </c>
      <c r="E12" s="130">
        <f>2423700000+60400000</f>
        <v>2484100000</v>
      </c>
      <c r="G12" s="130">
        <f>2082600000+40000000</f>
        <v>2122600000</v>
      </c>
      <c r="I12" s="130">
        <f>1900100000+17500000</f>
        <v>1917600000</v>
      </c>
      <c r="K12" s="130">
        <v>2095000000</v>
      </c>
      <c r="L12" s="131"/>
      <c r="M12" s="130">
        <v>2083700000</v>
      </c>
      <c r="Q12" s="326">
        <f>C10</f>
        <v>2021</v>
      </c>
      <c r="R12" s="326"/>
      <c r="S12" s="326">
        <f>E10</f>
        <v>2020</v>
      </c>
      <c r="T12" s="326"/>
      <c r="U12" s="326">
        <f>G10</f>
        <v>2019</v>
      </c>
      <c r="V12" s="326"/>
      <c r="W12" s="326">
        <f>I10</f>
        <v>2018</v>
      </c>
      <c r="X12" s="326"/>
      <c r="Y12" s="326">
        <f>K10</f>
        <v>2017</v>
      </c>
      <c r="Z12" s="326"/>
    </row>
    <row r="13" spans="1:27">
      <c r="A13" s="124" t="s">
        <v>3</v>
      </c>
      <c r="B13" s="124" t="s">
        <v>66</v>
      </c>
      <c r="C13" s="130">
        <v>242000000</v>
      </c>
      <c r="E13" s="130">
        <v>242000000</v>
      </c>
      <c r="G13" s="130">
        <v>242000000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272">
        <v>51684883</v>
      </c>
      <c r="E15" s="272">
        <v>51611789</v>
      </c>
      <c r="G15" s="130">
        <v>50973515</v>
      </c>
      <c r="I15" s="130">
        <v>50671903</v>
      </c>
      <c r="K15" s="130">
        <v>48263243</v>
      </c>
      <c r="L15" s="131"/>
      <c r="M15" s="130">
        <v>45650642</v>
      </c>
    </row>
    <row r="16" spans="1:27">
      <c r="A16" s="124" t="s">
        <v>10</v>
      </c>
      <c r="B16" s="124" t="s">
        <v>60</v>
      </c>
      <c r="C16" s="130">
        <f>2658200000-C13</f>
        <v>2416200000</v>
      </c>
      <c r="E16" s="130">
        <f>2522300000-E13</f>
        <v>2280300000</v>
      </c>
      <c r="G16" s="130">
        <f>2543000000-G13</f>
        <v>2301000000</v>
      </c>
      <c r="I16" s="130">
        <v>2255400000</v>
      </c>
      <c r="K16" s="130">
        <v>1991300000</v>
      </c>
      <c r="L16" s="131"/>
      <c r="M16" s="130">
        <v>1768200000</v>
      </c>
      <c r="O16" s="132" t="s">
        <v>9</v>
      </c>
      <c r="P16" s="132"/>
    </row>
    <row r="17" spans="1:28">
      <c r="A17" s="124" t="s">
        <v>49</v>
      </c>
      <c r="B17" s="124" t="s">
        <v>58</v>
      </c>
      <c r="C17" s="130">
        <v>0</v>
      </c>
      <c r="E17" s="130">
        <v>0</v>
      </c>
      <c r="G17" s="130">
        <v>0</v>
      </c>
      <c r="I17" s="130">
        <v>0</v>
      </c>
      <c r="K17" s="130">
        <v>0</v>
      </c>
      <c r="L17" s="131"/>
      <c r="M17" s="130">
        <v>0</v>
      </c>
      <c r="O17" s="124" t="s">
        <v>11</v>
      </c>
      <c r="Q17" s="133">
        <f>C50/1000000</f>
        <v>5653.1</v>
      </c>
      <c r="R17" s="133"/>
      <c r="S17" s="133">
        <f>E50/1000000</f>
        <v>5006.3999999999996</v>
      </c>
      <c r="T17" s="133"/>
      <c r="U17" s="133">
        <f>G50/1000000</f>
        <v>4665.6000000000004</v>
      </c>
      <c r="V17" s="133"/>
      <c r="W17" s="133">
        <f>I50/1000000</f>
        <v>4173</v>
      </c>
      <c r="X17" s="133"/>
      <c r="Y17" s="133">
        <f>K50/1000000</f>
        <v>4086.3</v>
      </c>
    </row>
    <row r="18" spans="1:28">
      <c r="C18" s="130"/>
      <c r="E18" s="130"/>
      <c r="G18" s="130"/>
      <c r="I18" s="130"/>
      <c r="O18" s="124" t="s">
        <v>12</v>
      </c>
      <c r="Q18" s="134">
        <f>C19/1000000</f>
        <v>672</v>
      </c>
      <c r="R18" s="133"/>
      <c r="S18" s="134">
        <f>E19/1000000</f>
        <v>648</v>
      </c>
      <c r="T18" s="133"/>
      <c r="U18" s="134">
        <f>G19/1000000</f>
        <v>743.2</v>
      </c>
      <c r="V18" s="133"/>
      <c r="W18" s="134">
        <f>I19/1000000</f>
        <v>553.6</v>
      </c>
      <c r="X18" s="133"/>
      <c r="Y18" s="134">
        <f>K19/1000000</f>
        <v>477.3</v>
      </c>
    </row>
    <row r="19" spans="1:28">
      <c r="A19" s="124" t="s">
        <v>15</v>
      </c>
      <c r="B19" s="124" t="s">
        <v>67</v>
      </c>
      <c r="C19" s="130">
        <v>672000000</v>
      </c>
      <c r="E19" s="130">
        <v>648000000</v>
      </c>
      <c r="G19" s="130">
        <v>743200000</v>
      </c>
      <c r="I19" s="130">
        <v>553600000</v>
      </c>
      <c r="K19" s="130">
        <v>477300000</v>
      </c>
      <c r="L19" s="131"/>
      <c r="M19" s="130">
        <v>398700000</v>
      </c>
      <c r="O19" s="124" t="s">
        <v>14</v>
      </c>
      <c r="Q19" s="135">
        <f>SUM(Q17:Q18)</f>
        <v>6325.1</v>
      </c>
      <c r="R19" s="133"/>
      <c r="S19" s="135">
        <f>SUM(S17:S18)</f>
        <v>5654.4</v>
      </c>
      <c r="T19" s="133"/>
      <c r="U19" s="135">
        <f>SUM(U17:U18)</f>
        <v>5408.8</v>
      </c>
      <c r="V19" s="133"/>
      <c r="W19" s="135">
        <f>SUM(W17:W18)</f>
        <v>4726.6000000000004</v>
      </c>
      <c r="X19" s="133"/>
      <c r="Y19" s="135">
        <f>SUM(Y17:Y18)</f>
        <v>4563.6000000000004</v>
      </c>
    </row>
    <row r="20" spans="1:28">
      <c r="C20" s="130"/>
      <c r="E20" s="130"/>
      <c r="G20" s="130"/>
      <c r="I20" s="130"/>
      <c r="K20" s="131"/>
      <c r="L20" s="131"/>
      <c r="M20" s="131"/>
    </row>
    <row r="21" spans="1:28">
      <c r="A21" s="124" t="s">
        <v>17</v>
      </c>
      <c r="B21" s="124" t="s">
        <v>61</v>
      </c>
      <c r="C21" s="130">
        <v>4.96</v>
      </c>
      <c r="E21" s="130">
        <v>1.44</v>
      </c>
      <c r="G21" s="130">
        <v>3.52</v>
      </c>
      <c r="I21" s="130">
        <v>4.33</v>
      </c>
      <c r="K21" s="130">
        <v>3.43</v>
      </c>
      <c r="L21" s="131"/>
      <c r="M21" s="130">
        <v>3.24</v>
      </c>
      <c r="O21" s="132" t="s">
        <v>16</v>
      </c>
      <c r="P21" s="132"/>
    </row>
    <row r="22" spans="1:28">
      <c r="A22" s="124" t="s">
        <v>19</v>
      </c>
      <c r="B22" s="124" t="s">
        <v>1375</v>
      </c>
      <c r="C22" s="124">
        <v>77.48</v>
      </c>
      <c r="E22" s="130">
        <v>87.6</v>
      </c>
      <c r="G22" s="130">
        <v>87.24</v>
      </c>
      <c r="I22" s="130">
        <v>82.25</v>
      </c>
      <c r="K22" s="130">
        <v>77.400000000000006</v>
      </c>
      <c r="L22" s="131"/>
      <c r="M22" s="130">
        <v>70.84</v>
      </c>
      <c r="O22" s="124" t="s">
        <v>54</v>
      </c>
      <c r="Q22" s="136">
        <f>(ROUND((C30/(AVERAGE(C54,E54))*100),2))</f>
        <v>3.14</v>
      </c>
      <c r="R22" s="137" t="s">
        <v>18</v>
      </c>
      <c r="S22" s="136">
        <f>(ROUND((E30/(AVERAGE(E54,G54))*100),2))</f>
        <v>3.52</v>
      </c>
      <c r="T22" s="137" t="s">
        <v>18</v>
      </c>
      <c r="U22" s="136">
        <f>(ROUND((G30/(AVERAGE(G54,I54))*100),2))</f>
        <v>3.91</v>
      </c>
      <c r="V22" s="137" t="s">
        <v>18</v>
      </c>
      <c r="W22" s="136">
        <f>(ROUND((I30/(AVERAGE(I54,K54))*100),2))</f>
        <v>3.9</v>
      </c>
      <c r="X22" s="137" t="s">
        <v>18</v>
      </c>
      <c r="Y22" s="136">
        <f>(ROUND((K30/(AVERAGE(K54,M54))*100),2))</f>
        <v>3.53</v>
      </c>
      <c r="Z22" s="137" t="s">
        <v>18</v>
      </c>
      <c r="AA22" s="255"/>
    </row>
    <row r="23" spans="1:28">
      <c r="A23" s="124" t="s">
        <v>21</v>
      </c>
      <c r="B23" s="124" t="s">
        <v>1375</v>
      </c>
      <c r="C23" s="124">
        <v>59.64</v>
      </c>
      <c r="E23" s="130">
        <v>51.52</v>
      </c>
      <c r="G23" s="130">
        <v>71.150000000000006</v>
      </c>
      <c r="I23" s="130">
        <v>61.3</v>
      </c>
      <c r="K23" s="130">
        <v>59.97</v>
      </c>
      <c r="L23" s="131"/>
      <c r="M23" s="130">
        <v>54.58</v>
      </c>
      <c r="O23" s="124" t="s">
        <v>20</v>
      </c>
      <c r="Q23" s="330">
        <f>(ROUND((C36/(AVERAGE(C58,E58))*100),2))</f>
        <v>6.12</v>
      </c>
      <c r="R23" s="137"/>
      <c r="S23" s="330">
        <f>(ROUND((E36/(AVERAGE(E58,G58))*100),2))</f>
        <v>6.12</v>
      </c>
      <c r="T23" s="137"/>
      <c r="U23" s="330"/>
      <c r="V23" s="137"/>
      <c r="W23" s="330"/>
      <c r="X23" s="137"/>
      <c r="Y23" s="330"/>
      <c r="Z23" s="137"/>
    </row>
    <row r="24" spans="1:28">
      <c r="C24" s="130"/>
      <c r="E24" s="130"/>
      <c r="G24" s="130"/>
      <c r="I24" s="130"/>
      <c r="AA24" s="1057" t="s">
        <v>52</v>
      </c>
      <c r="AB24" s="1057"/>
    </row>
    <row r="25" spans="1:28">
      <c r="C25" s="130"/>
      <c r="E25" s="130"/>
      <c r="G25" s="130"/>
      <c r="I25" s="130"/>
      <c r="K25" s="131"/>
      <c r="L25" s="131"/>
      <c r="M25" s="131"/>
      <c r="O25" s="132" t="s">
        <v>30</v>
      </c>
      <c r="P25" s="132"/>
      <c r="AA25" s="1057" t="s">
        <v>22</v>
      </c>
      <c r="AB25" s="1057"/>
    </row>
    <row r="26" spans="1:28">
      <c r="A26" s="124" t="s">
        <v>26</v>
      </c>
      <c r="B26" s="124" t="s">
        <v>1375</v>
      </c>
      <c r="C26" s="130">
        <v>2.6</v>
      </c>
      <c r="E26" s="130">
        <v>2.4900000000000002</v>
      </c>
      <c r="G26" s="130">
        <v>2.37</v>
      </c>
      <c r="I26" s="130">
        <v>2.25</v>
      </c>
      <c r="K26" s="130">
        <v>2.1</v>
      </c>
      <c r="L26" s="131"/>
      <c r="M26" s="130">
        <v>1.96</v>
      </c>
      <c r="O26" s="124" t="s">
        <v>32</v>
      </c>
    </row>
    <row r="27" spans="1:28">
      <c r="C27" s="130"/>
      <c r="E27" s="130"/>
      <c r="G27" s="130"/>
      <c r="I27" s="130"/>
      <c r="K27" s="131"/>
      <c r="L27" s="131"/>
      <c r="M27" s="131"/>
      <c r="O27" s="124" t="s">
        <v>33</v>
      </c>
      <c r="Q27" s="136">
        <f>ROUND(((C12/C50)*100),2)</f>
        <v>52.98</v>
      </c>
      <c r="R27" s="137" t="s">
        <v>18</v>
      </c>
      <c r="S27" s="136">
        <f>ROUND(((E12/E50)*100),2)</f>
        <v>49.62</v>
      </c>
      <c r="T27" s="137" t="s">
        <v>18</v>
      </c>
      <c r="U27" s="136">
        <f>ROUND(((G12/G50)*100),2)</f>
        <v>45.49</v>
      </c>
      <c r="V27" s="137" t="s">
        <v>18</v>
      </c>
      <c r="W27" s="136">
        <f>ROUND(((I12/I50)*100),2)</f>
        <v>45.95</v>
      </c>
      <c r="X27" s="137" t="s">
        <v>18</v>
      </c>
      <c r="Y27" s="136">
        <f>ROUND(((K12/K50)*100),2)</f>
        <v>51.27</v>
      </c>
      <c r="Z27" s="137" t="s">
        <v>18</v>
      </c>
      <c r="AA27" s="136">
        <f>ROUND(AVERAGE(Q27:Y27),2)</f>
        <v>49.06</v>
      </c>
      <c r="AB27" s="137" t="s">
        <v>18</v>
      </c>
    </row>
    <row r="28" spans="1:28">
      <c r="A28" s="124" t="s">
        <v>37</v>
      </c>
      <c r="B28" s="124" t="s">
        <v>37</v>
      </c>
      <c r="C28" s="130">
        <v>0</v>
      </c>
      <c r="E28" s="130">
        <v>0</v>
      </c>
      <c r="G28" s="130">
        <v>0</v>
      </c>
      <c r="I28" s="130">
        <v>0</v>
      </c>
      <c r="K28" s="130">
        <v>0</v>
      </c>
      <c r="L28" s="131"/>
      <c r="M28" s="130">
        <v>0</v>
      </c>
      <c r="O28" s="124" t="s">
        <v>34</v>
      </c>
      <c r="Q28" s="136">
        <f>ROUND(((SUM(C13,C17)/C50)*100),2)</f>
        <v>4.28</v>
      </c>
      <c r="R28" s="137"/>
      <c r="S28" s="136">
        <f>ROUND(((SUM(E13,E17)/E50)*100),2)</f>
        <v>4.83</v>
      </c>
      <c r="T28" s="137"/>
      <c r="U28" s="136">
        <f>ROUND(((SUM(G13,G17)/G50)*100),2)</f>
        <v>5.19</v>
      </c>
      <c r="V28" s="137"/>
      <c r="W28" s="136">
        <f>ROUND(((SUM(I13,I17)/I50)*100),2)</f>
        <v>0</v>
      </c>
      <c r="X28" s="137"/>
      <c r="Y28" s="136">
        <f>ROUND(((SUM(K13,K17)/K50)*100),2)</f>
        <v>0</v>
      </c>
      <c r="Z28" s="137"/>
      <c r="AA28" s="136">
        <f>ROUND(AVERAGE(Q28:Y28),2)</f>
        <v>2.86</v>
      </c>
      <c r="AB28" s="137"/>
    </row>
    <row r="29" spans="1:28">
      <c r="C29" s="130"/>
      <c r="E29" s="130"/>
      <c r="G29" s="130"/>
      <c r="I29" s="130"/>
      <c r="K29" s="131"/>
      <c r="L29" s="131"/>
      <c r="M29" s="131"/>
      <c r="O29" s="124" t="s">
        <v>35</v>
      </c>
      <c r="Q29" s="138">
        <f>ROUND(((C16/C50)*100),2)</f>
        <v>42.74</v>
      </c>
      <c r="R29" s="137"/>
      <c r="S29" s="138">
        <f>ROUND(((E16/E50)*100),2)</f>
        <v>45.55</v>
      </c>
      <c r="T29" s="137"/>
      <c r="U29" s="138">
        <f>ROUND(((G16/G50)*100),2)</f>
        <v>49.32</v>
      </c>
      <c r="V29" s="137"/>
      <c r="W29" s="138">
        <f>ROUND(((I16/I50)*100),2)</f>
        <v>54.05</v>
      </c>
      <c r="X29" s="137"/>
      <c r="Y29" s="138">
        <f>ROUND(((K16/K50)*100),2)</f>
        <v>48.73</v>
      </c>
      <c r="Z29" s="137"/>
      <c r="AA29" s="138">
        <f>ROUND(AVERAGE(Q29:Y29),2)</f>
        <v>48.08</v>
      </c>
      <c r="AB29" s="137"/>
    </row>
    <row r="30" spans="1:28">
      <c r="A30" s="124" t="s">
        <v>42</v>
      </c>
      <c r="B30" s="124" t="s">
        <v>62</v>
      </c>
      <c r="C30" s="130">
        <v>106600000</v>
      </c>
      <c r="E30" s="130">
        <v>105500000</v>
      </c>
      <c r="G30" s="130">
        <v>104400000</v>
      </c>
      <c r="I30" s="130">
        <v>98400000</v>
      </c>
      <c r="K30" s="130">
        <v>89100000</v>
      </c>
      <c r="L30" s="131"/>
      <c r="M30" s="130">
        <v>77200000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271700000</v>
      </c>
      <c r="E32" s="130">
        <v>88600000</v>
      </c>
      <c r="G32" s="130">
        <v>184600000</v>
      </c>
      <c r="I32" s="130">
        <v>214200000</v>
      </c>
      <c r="K32" s="130">
        <v>161600000</v>
      </c>
      <c r="L32" s="131"/>
      <c r="M32" s="130">
        <v>144200000</v>
      </c>
      <c r="O32" s="124" t="s">
        <v>38</v>
      </c>
    </row>
    <row r="33" spans="1:28">
      <c r="A33" s="140"/>
      <c r="B33" s="140"/>
      <c r="C33" s="141"/>
      <c r="D33" s="140"/>
      <c r="E33" s="141"/>
      <c r="F33" s="140"/>
      <c r="G33" s="141"/>
      <c r="H33" s="140"/>
      <c r="I33" s="141"/>
      <c r="J33" s="140"/>
      <c r="K33" s="142"/>
      <c r="L33" s="142"/>
      <c r="M33" s="142"/>
      <c r="O33" s="124" t="s">
        <v>39</v>
      </c>
      <c r="Q33" s="136">
        <f>ROUND((((C12+C19)/C56)*100),2)</f>
        <v>57.97</v>
      </c>
      <c r="R33" s="137" t="s">
        <v>18</v>
      </c>
      <c r="S33" s="136">
        <f>ROUND((((E12+E19)/E56)*100),2)</f>
        <v>55.39</v>
      </c>
      <c r="T33" s="137" t="s">
        <v>18</v>
      </c>
      <c r="U33" s="136">
        <f>ROUND((((G12+G19)/G56)*100),2)</f>
        <v>52.98</v>
      </c>
      <c r="V33" s="137" t="s">
        <v>18</v>
      </c>
      <c r="W33" s="136">
        <f>ROUND((((I12+I19)/I56)*100),2)</f>
        <v>52.28</v>
      </c>
      <c r="X33" s="137" t="s">
        <v>18</v>
      </c>
      <c r="Y33" s="136">
        <f>ROUND((((K12+K19)/K56)*100),2)</f>
        <v>56.37</v>
      </c>
      <c r="Z33" s="137" t="s">
        <v>18</v>
      </c>
      <c r="AA33" s="136">
        <f>ROUND(AVERAGE(Q33:Y33),2)</f>
        <v>55</v>
      </c>
      <c r="AB33" s="137" t="s">
        <v>18</v>
      </c>
    </row>
    <row r="34" spans="1:28">
      <c r="A34" s="124" t="s">
        <v>46</v>
      </c>
      <c r="B34" s="124" t="s">
        <v>70</v>
      </c>
      <c r="C34" s="130">
        <v>256500000</v>
      </c>
      <c r="E34" s="130">
        <v>73700000</v>
      </c>
      <c r="G34" s="130">
        <v>178900000</v>
      </c>
      <c r="I34" s="130">
        <v>213700000</v>
      </c>
      <c r="K34" s="130">
        <v>161600000</v>
      </c>
      <c r="L34" s="131"/>
      <c r="M34" s="130">
        <v>144200000</v>
      </c>
      <c r="O34" s="124" t="s">
        <v>34</v>
      </c>
      <c r="Q34" s="136">
        <f>ROUND((((SUM(C13,C17))/C56)*100),2)</f>
        <v>3.83</v>
      </c>
      <c r="R34" s="137"/>
      <c r="S34" s="136">
        <f>ROUND((((SUM(E13,E17))/E56)*100),2)</f>
        <v>4.28</v>
      </c>
      <c r="T34" s="137"/>
      <c r="U34" s="136">
        <f>ROUND((((SUM(G13,G17))/G56)*100),2)</f>
        <v>4.47</v>
      </c>
      <c r="V34" s="137"/>
      <c r="W34" s="136">
        <f>ROUND((((SUM(I13,I17))/I56)*100),2)</f>
        <v>0</v>
      </c>
      <c r="X34" s="137"/>
      <c r="Y34" s="136">
        <f>ROUND((((SUM(K13,K17))/K56)*100),2)</f>
        <v>0</v>
      </c>
      <c r="Z34" s="137"/>
      <c r="AA34" s="136">
        <f>ROUND(AVERAGE(Q34:Y34),2)</f>
        <v>2.52</v>
      </c>
      <c r="AB34" s="137"/>
    </row>
    <row r="35" spans="1:28">
      <c r="C35" s="130"/>
      <c r="E35" s="130"/>
      <c r="G35" s="130"/>
      <c r="I35" s="130"/>
      <c r="O35" s="124" t="s">
        <v>35</v>
      </c>
      <c r="Q35" s="138">
        <f>ROUND((((C16)/C56)*100),2)</f>
        <v>38.200000000000003</v>
      </c>
      <c r="R35" s="137"/>
      <c r="S35" s="138">
        <f>ROUND((((E16)/E56)*100),2)</f>
        <v>40.33</v>
      </c>
      <c r="T35" s="137"/>
      <c r="U35" s="138">
        <f>ROUND((((G16)/G56)*100),2)</f>
        <v>42.54</v>
      </c>
      <c r="V35" s="137"/>
      <c r="W35" s="138">
        <f>ROUND((((I16)/I56)*100),2)</f>
        <v>47.72</v>
      </c>
      <c r="X35" s="137"/>
      <c r="Y35" s="138">
        <f>ROUND((((K16)/K56)*100),2)</f>
        <v>43.63</v>
      </c>
      <c r="Z35" s="137"/>
      <c r="AA35" s="138">
        <f>ROUND(AVERAGE(Q35:Y35),2)</f>
        <v>42.48</v>
      </c>
      <c r="AB35" s="137"/>
    </row>
    <row r="36" spans="1:28">
      <c r="A36" s="124" t="s">
        <v>45</v>
      </c>
      <c r="B36" s="124" t="s">
        <v>68</v>
      </c>
      <c r="C36" s="130">
        <v>14800000</v>
      </c>
      <c r="E36" s="130">
        <v>14800000</v>
      </c>
      <c r="G36" s="130">
        <v>3400000</v>
      </c>
      <c r="I36" s="130">
        <v>0</v>
      </c>
      <c r="K36" s="130">
        <v>0</v>
      </c>
      <c r="L36" s="131"/>
      <c r="M36" s="130">
        <v>0</v>
      </c>
      <c r="O36" s="124" t="s">
        <v>36</v>
      </c>
      <c r="Q36" s="139">
        <f>SUM(Q33:Q35)</f>
        <v>100</v>
      </c>
      <c r="R36" s="137" t="s">
        <v>18</v>
      </c>
      <c r="S36" s="139">
        <f>SUM(S33:S35)</f>
        <v>100</v>
      </c>
      <c r="T36" s="137" t="s">
        <v>18</v>
      </c>
      <c r="U36" s="139">
        <f>SUM(U33:U35)</f>
        <v>99.99</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f>133200000</f>
        <v>133200000</v>
      </c>
      <c r="E38" s="130">
        <f>128000000</f>
        <v>128000000</v>
      </c>
      <c r="G38" s="130">
        <v>119000000</v>
      </c>
      <c r="I38" s="130">
        <v>112100000</v>
      </c>
      <c r="K38" s="130">
        <v>96200000</v>
      </c>
      <c r="L38" s="131"/>
      <c r="M38" s="130">
        <v>85200000</v>
      </c>
    </row>
    <row r="39" spans="1:28">
      <c r="C39" s="130"/>
      <c r="E39" s="130"/>
      <c r="G39" s="130"/>
      <c r="I39" s="130"/>
      <c r="K39" s="131"/>
      <c r="L39" s="131"/>
      <c r="M39" s="131"/>
    </row>
    <row r="40" spans="1:28">
      <c r="A40" s="124" t="s">
        <v>55</v>
      </c>
      <c r="B40" s="124" t="s">
        <v>69</v>
      </c>
      <c r="C40" s="130">
        <f>C32</f>
        <v>271700000</v>
      </c>
      <c r="E40" s="130">
        <f>E32</f>
        <v>88600000</v>
      </c>
      <c r="G40" s="130">
        <f>G32</f>
        <v>184600000</v>
      </c>
      <c r="I40" s="130">
        <f>I32</f>
        <v>214200000</v>
      </c>
      <c r="K40" s="130">
        <v>161600000</v>
      </c>
      <c r="L40" s="131"/>
      <c r="M40" s="130">
        <v>144200000</v>
      </c>
      <c r="O40" s="132" t="s">
        <v>40</v>
      </c>
      <c r="P40" s="132"/>
    </row>
    <row r="41" spans="1:28">
      <c r="A41" s="124" t="s">
        <v>72</v>
      </c>
      <c r="B41" s="124" t="s">
        <v>71</v>
      </c>
      <c r="C41" s="130">
        <f>249800000+(195.8*1000000)</f>
        <v>445600000</v>
      </c>
      <c r="E41" s="130">
        <v>469900000</v>
      </c>
      <c r="G41" s="130">
        <v>450900000</v>
      </c>
      <c r="I41" s="130">
        <v>456600000</v>
      </c>
      <c r="K41" s="130">
        <v>288300000</v>
      </c>
      <c r="L41" s="131"/>
      <c r="M41" s="130">
        <v>328300000</v>
      </c>
      <c r="O41" s="132"/>
      <c r="P41" s="132"/>
    </row>
    <row r="42" spans="1:28">
      <c r="A42" s="124" t="s">
        <v>1460</v>
      </c>
      <c r="B42" s="124" t="s">
        <v>1461</v>
      </c>
      <c r="C42" s="130">
        <f>((-343+195.8)-111+76.6+177.7-12.4+8.9+17.3)*1000000</f>
        <v>9899999.9999999963</v>
      </c>
      <c r="E42" s="130">
        <f>(36.2+2.6+0.6+-43.1+7+2.9+8.2)*1000000</f>
        <v>14400000.000000004</v>
      </c>
      <c r="G42" s="130">
        <f>(2.7+13.6+12.4-6.4+3.5-4)*1000000</f>
        <v>21800000.000000004</v>
      </c>
      <c r="I42" s="130">
        <f>(-32.7+15.5+109+12.6-12.8+6.4-39.5)*1000000</f>
        <v>58500000</v>
      </c>
      <c r="K42" s="130">
        <v>-104400000</v>
      </c>
      <c r="L42" s="131"/>
      <c r="M42" s="130">
        <v>-27100000</v>
      </c>
      <c r="O42" s="132" t="s">
        <v>24</v>
      </c>
    </row>
    <row r="43" spans="1:28">
      <c r="A43" s="124" t="s">
        <v>1462</v>
      </c>
      <c r="B43" s="124" t="s">
        <v>1463</v>
      </c>
      <c r="C43" s="130">
        <v>213100000</v>
      </c>
      <c r="E43" s="130">
        <v>197300000</v>
      </c>
      <c r="G43" s="130">
        <v>181700000</v>
      </c>
      <c r="I43" s="130">
        <v>168400000</v>
      </c>
      <c r="K43" s="130">
        <v>154100000</v>
      </c>
      <c r="L43" s="131"/>
      <c r="M43" s="130">
        <v>137500000</v>
      </c>
      <c r="O43" s="124" t="s">
        <v>25</v>
      </c>
      <c r="Q43" s="136">
        <f>ROUND(C21/C52,4)*100</f>
        <v>7.23</v>
      </c>
      <c r="R43" s="137" t="s">
        <v>18</v>
      </c>
      <c r="S43" s="136">
        <f>ROUND(E21/E52,4)*100</f>
        <v>2.0699999999999998</v>
      </c>
      <c r="T43" s="137" t="s">
        <v>18</v>
      </c>
      <c r="U43" s="136">
        <f>ROUND(G21/G52,4)*100</f>
        <v>4.4400000000000004</v>
      </c>
      <c r="V43" s="137" t="s">
        <v>18</v>
      </c>
      <c r="W43" s="136">
        <f>ROUND(I21/I52,4)*100</f>
        <v>6.03</v>
      </c>
      <c r="X43" s="137" t="s">
        <v>18</v>
      </c>
      <c r="Y43" s="136">
        <f>ROUND(K21/K52,4)*100</f>
        <v>4.99</v>
      </c>
      <c r="Z43" s="137" t="s">
        <v>18</v>
      </c>
      <c r="AA43" s="136">
        <f>ROUND(AVERAGE(Q43:Y43),2)</f>
        <v>4.95</v>
      </c>
      <c r="AB43" s="137" t="s">
        <v>18</v>
      </c>
    </row>
    <row r="44" spans="1:28">
      <c r="A44" s="124" t="s">
        <v>1464</v>
      </c>
      <c r="B44" s="124" t="s">
        <v>1465</v>
      </c>
      <c r="C44" s="130">
        <v>68500000</v>
      </c>
      <c r="E44" s="130">
        <v>12400000</v>
      </c>
      <c r="G44" s="130">
        <v>34500000</v>
      </c>
      <c r="I44" s="130">
        <v>-26500000</v>
      </c>
      <c r="K44" s="130">
        <v>77600000</v>
      </c>
      <c r="M44" s="130">
        <v>69500000</v>
      </c>
      <c r="O44" s="124" t="s">
        <v>27</v>
      </c>
      <c r="Q44" s="136">
        <f>(ROUND((C52/(AVERAGE(C48,E48))*100),2))</f>
        <v>150.80000000000001</v>
      </c>
      <c r="S44" s="136">
        <f>(ROUND((E52/(AVERAGE(E48,G48))*100),2))</f>
        <v>155.75</v>
      </c>
      <c r="U44" s="136">
        <f>(ROUND((G52/(AVERAGE(G48,I48))*100),2))</f>
        <v>176.67</v>
      </c>
      <c r="W44" s="136">
        <f>(ROUND((I52/(AVERAGE(I48,K48))*100),2))</f>
        <v>167.37</v>
      </c>
      <c r="Y44" s="136">
        <f>(ROUND((K52/(AVERAGE(K48,M48))*100),2))</f>
        <v>171.73</v>
      </c>
      <c r="AA44" s="136">
        <f>ROUND(AVERAGE(Q44:Y44),2)</f>
        <v>164.46</v>
      </c>
    </row>
    <row r="45" spans="1:28">
      <c r="C45" s="130"/>
      <c r="E45" s="130"/>
      <c r="G45" s="130"/>
      <c r="I45" s="130"/>
      <c r="O45" s="124" t="s">
        <v>28</v>
      </c>
      <c r="Q45" s="136">
        <f>ROUND(((+C26/C52)*100),2)</f>
        <v>3.79</v>
      </c>
      <c r="S45" s="136">
        <f>ROUND(((+E26/E52)*100),2)</f>
        <v>3.58</v>
      </c>
      <c r="U45" s="136">
        <f>ROUND(((+G26/G52)*100),2)</f>
        <v>2.99</v>
      </c>
      <c r="W45" s="136">
        <f>ROUND(((+I26/I52)*100),2)</f>
        <v>3.13</v>
      </c>
      <c r="Y45" s="136">
        <f>ROUND(((+K26/K52)*100),2)</f>
        <v>3.06</v>
      </c>
      <c r="AA45" s="136">
        <f>ROUND(AVERAGE(Q45:Y45),2)</f>
        <v>3.31</v>
      </c>
    </row>
    <row r="46" spans="1:28">
      <c r="A46" s="124" t="s">
        <v>59</v>
      </c>
      <c r="C46" s="130"/>
      <c r="E46" s="130"/>
      <c r="G46" s="130"/>
      <c r="I46" s="130"/>
      <c r="K46" s="131"/>
      <c r="L46" s="131"/>
      <c r="M46" s="131"/>
      <c r="O46" s="124" t="s">
        <v>29</v>
      </c>
      <c r="P46" s="132"/>
      <c r="Q46" s="136">
        <f>ROUND(((+C38/C34)*100),2)</f>
        <v>51.93</v>
      </c>
      <c r="S46" s="136">
        <f>ROUND(((+E38/E34)*100),2)</f>
        <v>173.68</v>
      </c>
      <c r="U46" s="136">
        <f>ROUND(((+G38/G34)*100),2)</f>
        <v>66.52</v>
      </c>
      <c r="W46" s="136">
        <f>ROUND(((+I38/I34)*100),2)</f>
        <v>52.46</v>
      </c>
      <c r="Y46" s="136">
        <f>ROUND(((+K38/K34)*100),2)</f>
        <v>59.53</v>
      </c>
      <c r="AA46" s="136">
        <f>ROUND(AVERAGE(Q46:Y46),2)</f>
        <v>80.819999999999993</v>
      </c>
    </row>
    <row r="47" spans="1:28">
      <c r="C47" s="130"/>
      <c r="E47" s="130"/>
      <c r="G47" s="130"/>
      <c r="I47" s="130"/>
      <c r="K47" s="131"/>
      <c r="L47" s="131"/>
      <c r="M47" s="131"/>
      <c r="Q47" s="136"/>
      <c r="S47" s="136"/>
      <c r="U47" s="136"/>
      <c r="W47" s="136"/>
      <c r="Y47" s="136"/>
      <c r="AA47" s="136"/>
    </row>
    <row r="48" spans="1:28">
      <c r="A48" s="124" t="s">
        <v>7</v>
      </c>
      <c r="B48" s="124" t="s">
        <v>50</v>
      </c>
      <c r="C48" s="130">
        <f>C16/C15</f>
        <v>46.748678912555533</v>
      </c>
      <c r="E48" s="130">
        <f>E16/E15</f>
        <v>44.181766301493639</v>
      </c>
      <c r="G48" s="130">
        <f>G16/G15</f>
        <v>45.141089446156499</v>
      </c>
      <c r="I48" s="130">
        <f>I16/I15</f>
        <v>44.5098736473347</v>
      </c>
      <c r="K48" s="130">
        <f>K16/K15</f>
        <v>41.259142076300179</v>
      </c>
      <c r="M48" s="130">
        <f>M16/M15</f>
        <v>38.733299741983913</v>
      </c>
      <c r="O48" s="132" t="s">
        <v>41</v>
      </c>
      <c r="P48" s="132"/>
      <c r="Q48" s="136">
        <f>ROUND(((C34/AVERAGE(C16,E16))*100),2)</f>
        <v>10.92</v>
      </c>
      <c r="R48" s="124" t="s">
        <v>18</v>
      </c>
      <c r="S48" s="136">
        <f>ROUND(((E34/AVERAGE(E16,G16))*100),2)</f>
        <v>3.22</v>
      </c>
      <c r="T48" s="124" t="s">
        <v>18</v>
      </c>
      <c r="U48" s="136">
        <f>ROUND(((G34/AVERAGE(G16,I16))*100),2)</f>
        <v>7.85</v>
      </c>
      <c r="V48" s="124" t="s">
        <v>18</v>
      </c>
      <c r="W48" s="136">
        <f>ROUND(((I34/AVERAGE(I16,K16))*100),2)</f>
        <v>10.06</v>
      </c>
      <c r="X48" s="124" t="s">
        <v>18</v>
      </c>
      <c r="Y48" s="136">
        <f>ROUND(((K34/AVERAGE(K16,M16))*100),2)</f>
        <v>8.6</v>
      </c>
      <c r="Z48" s="124" t="s">
        <v>18</v>
      </c>
      <c r="AA48" s="136">
        <f>ROUND(AVERAGE(Q48:Y48),2)</f>
        <v>8.1300000000000008</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5653100000</v>
      </c>
      <c r="E50" s="130">
        <f>SUM(E12:E13,E16:E17)</f>
        <v>5006400000</v>
      </c>
      <c r="G50" s="130">
        <f>SUM(G12:G13,G16:G17)</f>
        <v>4665600000</v>
      </c>
      <c r="I50" s="130">
        <f>SUM(I12:I13,I16:I17)</f>
        <v>4173000000</v>
      </c>
      <c r="K50" s="130">
        <f>SUM(K12:K13,K16:K17)</f>
        <v>4086300000</v>
      </c>
      <c r="M50" s="130">
        <f>SUM(M12:M13,M16:M17)</f>
        <v>3851900000</v>
      </c>
      <c r="O50" s="132" t="s">
        <v>142</v>
      </c>
      <c r="Q50" s="136">
        <f>ROUND((C54/C62),2)</f>
        <v>5.56</v>
      </c>
      <c r="R50" s="137" t="s">
        <v>44</v>
      </c>
      <c r="S50" s="136">
        <f>ROUND((E54/E62),2)</f>
        <v>7.76</v>
      </c>
      <c r="T50" s="137" t="s">
        <v>44</v>
      </c>
      <c r="U50" s="136">
        <f>ROUND((G54/G62),2)</f>
        <v>5.67</v>
      </c>
      <c r="V50" s="137" t="s">
        <v>44</v>
      </c>
      <c r="W50" s="136">
        <f>ROUND((I54/I62),2)</f>
        <v>5.44</v>
      </c>
      <c r="X50" s="137" t="s">
        <v>44</v>
      </c>
      <c r="Y50" s="136">
        <f>ROUND((K54/K62),2)</f>
        <v>5.33</v>
      </c>
      <c r="Z50" s="137" t="s">
        <v>44</v>
      </c>
      <c r="AA50" s="136">
        <f>ROUND(AVERAGE(Q50:Y50),2)</f>
        <v>5.95</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68.56</v>
      </c>
      <c r="E52" s="130">
        <f>AVERAGE(E22:E23)</f>
        <v>69.56</v>
      </c>
      <c r="G52" s="130">
        <f>AVERAGE(G22:G23)</f>
        <v>79.194999999999993</v>
      </c>
      <c r="I52" s="130">
        <f>AVERAGE(I22:I23)</f>
        <v>71.775000000000006</v>
      </c>
      <c r="K52" s="130">
        <f>AVERAGE(K22:K23)</f>
        <v>68.685000000000002</v>
      </c>
      <c r="M52" s="130">
        <f>AVERAGE(M22:M23)</f>
        <v>62.71</v>
      </c>
      <c r="O52" s="132" t="s">
        <v>57</v>
      </c>
      <c r="Q52" s="136">
        <f>ROUND(((C60/C54)*100),2)</f>
        <v>12.42</v>
      </c>
      <c r="R52" s="137" t="s">
        <v>18</v>
      </c>
      <c r="S52" s="136">
        <f>ROUND(((E60/E54)*100),2)</f>
        <v>15.46</v>
      </c>
      <c r="T52" s="137" t="s">
        <v>18</v>
      </c>
      <c r="U52" s="136">
        <f>ROUND(((G60/G54)*100),2)</f>
        <v>16.489999999999998</v>
      </c>
      <c r="V52" s="137" t="s">
        <v>18</v>
      </c>
      <c r="W52" s="136">
        <f>ROUND(((I60/I54)*100),2)</f>
        <v>20.84</v>
      </c>
      <c r="X52" s="137" t="s">
        <v>18</v>
      </c>
      <c r="Y52" s="136">
        <f>ROUND(((K60/K54)*100),2)</f>
        <v>7.15</v>
      </c>
      <c r="Z52" s="137" t="s">
        <v>18</v>
      </c>
      <c r="AA52" s="136">
        <f>ROUND(AVERAGE(Q52:Y52),2)</f>
        <v>14.47</v>
      </c>
      <c r="AB52" s="124" t="s">
        <v>18</v>
      </c>
    </row>
    <row r="53" spans="1:28">
      <c r="C53" s="130"/>
      <c r="E53" s="130"/>
      <c r="G53" s="130"/>
      <c r="I53" s="130"/>
      <c r="K53" s="130"/>
      <c r="M53" s="130"/>
      <c r="O53" s="143"/>
      <c r="Q53" s="136"/>
      <c r="S53" s="136"/>
      <c r="U53" s="136"/>
      <c r="W53" s="136"/>
      <c r="Y53" s="136"/>
    </row>
    <row r="54" spans="1:28">
      <c r="A54" s="124" t="s">
        <v>53</v>
      </c>
      <c r="C54" s="214">
        <f>+C19+C12</f>
        <v>3666900000</v>
      </c>
      <c r="E54" s="214">
        <f>+E19+E12</f>
        <v>3132100000</v>
      </c>
      <c r="G54" s="214">
        <f>+G19+G12</f>
        <v>2865800000</v>
      </c>
      <c r="I54" s="214">
        <f>+I19+I12</f>
        <v>2471200000</v>
      </c>
      <c r="K54" s="214">
        <f>+K19+K12</f>
        <v>2572300000</v>
      </c>
      <c r="M54" s="214">
        <f>+M19+M12</f>
        <v>2482400000</v>
      </c>
      <c r="O54" s="143" t="s">
        <v>56</v>
      </c>
      <c r="Q54" s="136">
        <f>Q33</f>
        <v>57.97</v>
      </c>
      <c r="R54" s="137" t="s">
        <v>18</v>
      </c>
      <c r="S54" s="136">
        <f>S33</f>
        <v>55.39</v>
      </c>
      <c r="T54" s="137" t="s">
        <v>18</v>
      </c>
      <c r="U54" s="136">
        <f>U33</f>
        <v>52.98</v>
      </c>
      <c r="V54" s="137" t="s">
        <v>18</v>
      </c>
      <c r="W54" s="136">
        <f>W33</f>
        <v>52.28</v>
      </c>
      <c r="X54" s="137" t="s">
        <v>18</v>
      </c>
      <c r="Y54" s="136">
        <f>Y33</f>
        <v>56.37</v>
      </c>
      <c r="Z54" s="137" t="s">
        <v>18</v>
      </c>
      <c r="AA54" s="136">
        <f>ROUND(AVERAGE(Q54:Y54),2)</f>
        <v>55</v>
      </c>
      <c r="AB54" s="137" t="s">
        <v>18</v>
      </c>
    </row>
    <row r="55" spans="1:28">
      <c r="C55" s="130"/>
      <c r="E55" s="130"/>
      <c r="G55" s="130"/>
      <c r="I55" s="130"/>
      <c r="K55" s="130"/>
      <c r="M55" s="130"/>
    </row>
    <row r="56" spans="1:28">
      <c r="A56" s="124" t="s">
        <v>31</v>
      </c>
      <c r="B56" s="124" t="s">
        <v>50</v>
      </c>
      <c r="C56" s="130">
        <f>SUM(C50,C19)</f>
        <v>6325100000</v>
      </c>
      <c r="E56" s="130">
        <f>SUM(E50,E19)</f>
        <v>5654400000</v>
      </c>
      <c r="G56" s="130">
        <f>SUM(G50,G19)</f>
        <v>5408800000</v>
      </c>
      <c r="I56" s="130">
        <f>SUM(I50,I19)</f>
        <v>4726600000</v>
      </c>
      <c r="K56" s="130">
        <f>SUM(K50,K19)</f>
        <v>4563600000</v>
      </c>
      <c r="M56" s="130">
        <f>SUM(M50,M19)</f>
        <v>4250600000</v>
      </c>
    </row>
    <row r="57" spans="1:28">
      <c r="C57" s="130"/>
      <c r="E57" s="130"/>
      <c r="G57" s="130"/>
      <c r="I57" s="130"/>
      <c r="K57" s="130"/>
      <c r="M57" s="130"/>
    </row>
    <row r="58" spans="1:28">
      <c r="A58" s="124" t="s">
        <v>51</v>
      </c>
      <c r="B58" s="124" t="s">
        <v>50</v>
      </c>
      <c r="C58" s="130">
        <f>SUM(C13,C17)</f>
        <v>242000000</v>
      </c>
      <c r="E58" s="130">
        <f>SUM(E13,E17)</f>
        <v>242000000</v>
      </c>
      <c r="G58" s="130">
        <f>SUM(G13,G17)</f>
        <v>242000000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455500000</v>
      </c>
      <c r="E60" s="130">
        <f>ROUND(E41+E42-E28,3)</f>
        <v>484300000</v>
      </c>
      <c r="G60" s="130">
        <f>ROUND(G41+G42-G28,3)</f>
        <v>472700000</v>
      </c>
      <c r="I60" s="130">
        <f>ROUND(I41+I42-I28,3)</f>
        <v>515100000</v>
      </c>
      <c r="K60" s="130">
        <f>ROUND(K41+K42-K28,3)</f>
        <v>183900000</v>
      </c>
      <c r="M60" s="130">
        <f>ROUND(M41+M42-M28,3)</f>
        <v>301200000</v>
      </c>
    </row>
    <row r="61" spans="1:28">
      <c r="A61" s="126"/>
      <c r="C61" s="130"/>
      <c r="E61" s="130"/>
      <c r="G61" s="130"/>
      <c r="I61" s="130"/>
      <c r="K61" s="130"/>
      <c r="M61" s="130"/>
    </row>
    <row r="62" spans="1:28">
      <c r="A62" s="124" t="s">
        <v>1467</v>
      </c>
      <c r="B62" s="124" t="s">
        <v>50</v>
      </c>
      <c r="C62" s="130">
        <f>C40+C44+C43+C30</f>
        <v>659900000</v>
      </c>
      <c r="E62" s="130">
        <f>E40+E44+E43+E30</f>
        <v>403800000</v>
      </c>
      <c r="G62" s="130">
        <f>G40+G44+G43+G30</f>
        <v>505200000</v>
      </c>
      <c r="I62" s="130">
        <f>I40+I44+I43+I30</f>
        <v>454500000</v>
      </c>
      <c r="K62" s="130">
        <f>K40+K44+K43+K30</f>
        <v>482400000</v>
      </c>
      <c r="M62" s="130">
        <f>M40+M44+M43+M30</f>
        <v>428400000</v>
      </c>
    </row>
    <row r="63" spans="1:28">
      <c r="E63" s="131"/>
      <c r="F63" s="131"/>
      <c r="G63" s="131"/>
      <c r="H63" s="131"/>
      <c r="I63" s="131"/>
      <c r="J63" s="131"/>
      <c r="K63" s="131"/>
      <c r="L63" s="131"/>
      <c r="M63" s="131"/>
    </row>
    <row r="64" spans="1:28">
      <c r="E64" s="131"/>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54"/>
  <sheetViews>
    <sheetView view="pageBreakPreview" zoomScale="70" zoomScaleNormal="70" zoomScaleSheetLayoutView="70" workbookViewId="0"/>
  </sheetViews>
  <sheetFormatPr defaultColWidth="9" defaultRowHeight="20.25"/>
  <cols>
    <col min="1" max="1" width="9" style="196"/>
    <col min="2" max="2" width="48" style="765" customWidth="1"/>
    <col min="3" max="3" width="2.7109375" style="765" customWidth="1"/>
    <col min="4" max="4" width="12.7109375" style="765" bestFit="1" customWidth="1"/>
    <col min="5" max="5" width="3.85546875" style="765" customWidth="1"/>
    <col min="6" max="6" width="13.42578125" style="765" bestFit="1" customWidth="1"/>
    <col min="7" max="7" width="3.85546875" style="765" customWidth="1"/>
    <col min="8" max="8" width="12.7109375" style="784" customWidth="1"/>
    <col min="9" max="9" width="3.85546875" style="765" customWidth="1"/>
    <col min="10" max="10" width="12.7109375" style="784" bestFit="1" customWidth="1"/>
    <col min="11" max="11" width="3.85546875" style="765" customWidth="1"/>
    <col min="12" max="12" width="12.7109375" style="784" bestFit="1" customWidth="1"/>
    <col min="13" max="13" width="3.85546875" style="765" customWidth="1"/>
    <col min="14" max="14" width="13.140625" style="765" bestFit="1" customWidth="1"/>
    <col min="15" max="15" width="3.85546875" style="765" customWidth="1"/>
    <col min="16" max="16" width="9" style="196"/>
    <col min="17" max="17" width="10.28515625" style="196" customWidth="1"/>
    <col min="18" max="20" width="9" style="196" customWidth="1"/>
    <col min="21" max="16384" width="9" style="196"/>
  </cols>
  <sheetData>
    <row r="1" spans="1:19">
      <c r="B1" s="764" t="s">
        <v>4102</v>
      </c>
      <c r="C1" s="764"/>
      <c r="D1" s="764"/>
      <c r="E1" s="764"/>
      <c r="F1" s="764"/>
      <c r="G1" s="764"/>
      <c r="H1" s="783"/>
      <c r="I1" s="764"/>
      <c r="J1" s="783"/>
      <c r="K1" s="764"/>
      <c r="L1" s="783"/>
      <c r="M1" s="764"/>
      <c r="N1" s="764"/>
      <c r="O1" s="764"/>
    </row>
    <row r="2" spans="1:19">
      <c r="B2" s="764" t="str">
        <f>Input!I30</f>
        <v>Proxy Group of Six Natural Gas Companies</v>
      </c>
      <c r="C2" s="764"/>
      <c r="D2" s="764"/>
      <c r="E2" s="764"/>
      <c r="F2" s="764"/>
      <c r="G2" s="764"/>
      <c r="H2" s="783"/>
      <c r="I2" s="764"/>
      <c r="J2" s="783"/>
      <c r="K2" s="764"/>
      <c r="L2" s="783"/>
      <c r="M2" s="764"/>
      <c r="N2" s="764"/>
      <c r="O2" s="764"/>
    </row>
    <row r="3" spans="1:19">
      <c r="B3" s="764" t="str">
        <f>'2.1 GasProxy CapStr Summary'!C3</f>
        <v>2017 - 2021, Inclusive</v>
      </c>
      <c r="C3" s="764"/>
      <c r="D3" s="764"/>
      <c r="E3" s="764"/>
      <c r="F3" s="764"/>
      <c r="G3" s="764"/>
      <c r="H3" s="783"/>
      <c r="I3" s="764"/>
      <c r="J3" s="783"/>
      <c r="K3" s="764"/>
      <c r="L3" s="783"/>
      <c r="M3" s="764"/>
      <c r="N3" s="764"/>
      <c r="O3" s="764"/>
    </row>
    <row r="4" spans="1:19">
      <c r="B4" s="764"/>
      <c r="C4" s="764"/>
      <c r="D4" s="764"/>
      <c r="E4" s="764"/>
      <c r="F4" s="764"/>
      <c r="G4" s="764"/>
      <c r="H4" s="783"/>
      <c r="I4" s="764"/>
      <c r="J4" s="783"/>
      <c r="K4" s="764"/>
      <c r="L4" s="783"/>
      <c r="M4" s="764"/>
      <c r="N4" s="764"/>
      <c r="O4" s="764"/>
    </row>
    <row r="5" spans="1:19">
      <c r="B5" s="764"/>
      <c r="C5" s="764"/>
      <c r="D5" s="764"/>
      <c r="E5" s="764"/>
      <c r="F5" s="764"/>
      <c r="G5" s="764"/>
      <c r="H5" s="783"/>
      <c r="I5" s="764"/>
      <c r="J5" s="783"/>
      <c r="K5" s="764"/>
      <c r="L5" s="783"/>
      <c r="M5" s="764"/>
      <c r="N5" s="766" t="s">
        <v>4421</v>
      </c>
      <c r="O5" s="764"/>
    </row>
    <row r="6" spans="1:19">
      <c r="D6" s="766">
        <v>2021</v>
      </c>
      <c r="E6" s="772"/>
      <c r="F6" s="766">
        <f>D6-1</f>
        <v>2020</v>
      </c>
      <c r="G6" s="772"/>
      <c r="H6" s="766">
        <f>F6-1</f>
        <v>2019</v>
      </c>
      <c r="I6" s="766"/>
      <c r="J6" s="766">
        <f>H6-1</f>
        <v>2018</v>
      </c>
      <c r="K6" s="766"/>
      <c r="L6" s="766">
        <f>J6-1</f>
        <v>2017</v>
      </c>
      <c r="N6" s="766" t="s">
        <v>80</v>
      </c>
    </row>
    <row r="8" spans="1:19">
      <c r="A8" s="196" t="str">
        <f>Input!A2</f>
        <v>ATO</v>
      </c>
      <c r="B8" s="767" t="str">
        <f>VLOOKUP($A8,'Proxy Data Lookup'!$A$2:$B$8,2,FALSE)</f>
        <v>Atmos Energy Corporation</v>
      </c>
    </row>
    <row r="9" spans="1:19">
      <c r="B9" s="765" t="s">
        <v>4601</v>
      </c>
      <c r="D9" s="784">
        <f>ROUND(('3. ATO'!C$12/'3. ATO'!C$50)*100,2)</f>
        <v>39.35</v>
      </c>
      <c r="E9" s="785" t="s">
        <v>18</v>
      </c>
      <c r="F9" s="784">
        <f>ROUND(('3. ATO'!E$12/'3. ATO'!E$50)*100,2)</f>
        <v>40.020000000000003</v>
      </c>
      <c r="G9" s="785" t="s">
        <v>18</v>
      </c>
      <c r="H9" s="784">
        <f>ROUND(('3. ATO'!G$12/'3. ATO'!G$50)*100,2)</f>
        <v>38.03</v>
      </c>
      <c r="I9" s="785" t="s">
        <v>18</v>
      </c>
      <c r="J9" s="784">
        <f>ROUND(('3. ATO'!I$12/'3. ATO'!I$50)*100,2)</f>
        <v>39.15</v>
      </c>
      <c r="K9" s="785" t="s">
        <v>18</v>
      </c>
      <c r="L9" s="784">
        <f>ROUND(('3. ATO'!K$12/'3. ATO'!K$50)*100,2)</f>
        <v>44.03</v>
      </c>
      <c r="M9" s="785" t="s">
        <v>18</v>
      </c>
      <c r="N9" s="784">
        <f>ROUND(AVERAGE(D9,F9,H9,J9,L9),2)</f>
        <v>40.119999999999997</v>
      </c>
      <c r="O9" s="786" t="s">
        <v>18</v>
      </c>
      <c r="Q9" s="381"/>
      <c r="R9" s="196" t="s">
        <v>4444</v>
      </c>
      <c r="S9" s="343">
        <f>MIN(D11,D17,D29,D35,D23,D41)</f>
        <v>33.36</v>
      </c>
    </row>
    <row r="10" spans="1:19">
      <c r="B10" s="765" t="s">
        <v>4103</v>
      </c>
      <c r="D10" s="784">
        <f>ROUND(('3. ATO'!C$13/'3. ATO'!C$50)*100,2)</f>
        <v>0</v>
      </c>
      <c r="E10" s="787"/>
      <c r="F10" s="784">
        <f>ROUND(('3. ATO'!E$13/'3. ATO'!E$50)*100,2)</f>
        <v>0</v>
      </c>
      <c r="G10" s="787"/>
      <c r="H10" s="784">
        <f>ROUND(('3. ATO'!G$13/'3. ATO'!G$50)*100,2)</f>
        <v>0</v>
      </c>
      <c r="I10" s="787"/>
      <c r="J10" s="784">
        <f>ROUND(('3. ATO'!I$13/'3. ATO'!I$50)*100,2)</f>
        <v>0</v>
      </c>
      <c r="K10" s="787"/>
      <c r="L10" s="784">
        <f>ROUND(('3. ATO'!K$13/'3. ATO'!K$50)*100,2)</f>
        <v>0</v>
      </c>
      <c r="M10" s="787"/>
      <c r="N10" s="784">
        <f>ROUND(AVERAGE(D10,F10,H10,J10,L10),2)</f>
        <v>0</v>
      </c>
      <c r="Q10" s="381"/>
      <c r="R10" s="196" t="s">
        <v>4119</v>
      </c>
      <c r="S10" s="343">
        <f>MAX(D11,D17,D29,D35,D23,D41)</f>
        <v>60.65</v>
      </c>
    </row>
    <row r="11" spans="1:19">
      <c r="B11" s="765" t="s">
        <v>10</v>
      </c>
      <c r="D11" s="788">
        <f>ROUND(('3. ATO'!C$16/'3. ATO'!C$50)*100,2)</f>
        <v>60.65</v>
      </c>
      <c r="E11" s="787"/>
      <c r="F11" s="788">
        <f>ROUND(('3. ATO'!E$16/'3. ATO'!E$50)*100,2)</f>
        <v>59.98</v>
      </c>
      <c r="G11" s="787"/>
      <c r="H11" s="788">
        <f>ROUND(('3. ATO'!G$16/'3. ATO'!G$50)*100,2)</f>
        <v>61.97</v>
      </c>
      <c r="I11" s="787"/>
      <c r="J11" s="788">
        <f>ROUND(('3. ATO'!I$16/'3. ATO'!I$50)*100,2)</f>
        <v>60.85</v>
      </c>
      <c r="K11" s="787"/>
      <c r="L11" s="788">
        <f>ROUND(('3. ATO'!K$16/'3. ATO'!K$50)*100,2)</f>
        <v>55.97</v>
      </c>
      <c r="M11" s="787"/>
      <c r="N11" s="784">
        <f>ROUND(AVERAGE(D11,F11,H11,J11,L11),2)</f>
        <v>59.88</v>
      </c>
      <c r="Q11" s="381"/>
      <c r="S11" s="343"/>
    </row>
    <row r="12" spans="1:19" ht="21" thickBot="1">
      <c r="B12" s="765" t="s">
        <v>4104</v>
      </c>
      <c r="D12" s="789">
        <f>SUM(D9:D11)</f>
        <v>100</v>
      </c>
      <c r="E12" s="790" t="s">
        <v>18</v>
      </c>
      <c r="F12" s="789">
        <f>SUM(F9:F11)</f>
        <v>100</v>
      </c>
      <c r="G12" s="790" t="s">
        <v>18</v>
      </c>
      <c r="H12" s="789">
        <f>SUM(H9:H11)</f>
        <v>100</v>
      </c>
      <c r="I12" s="790" t="s">
        <v>18</v>
      </c>
      <c r="J12" s="789">
        <f>SUM(J9:J11)</f>
        <v>100</v>
      </c>
      <c r="K12" s="790" t="s">
        <v>18</v>
      </c>
      <c r="L12" s="789">
        <f>SUM(L9:L11)</f>
        <v>100</v>
      </c>
      <c r="M12" s="790" t="s">
        <v>18</v>
      </c>
      <c r="N12" s="791">
        <f>SUM(N9:N11)</f>
        <v>100</v>
      </c>
      <c r="O12" s="786" t="s">
        <v>18</v>
      </c>
      <c r="Q12" s="381"/>
      <c r="S12" s="343"/>
    </row>
    <row r="13" spans="1:19" ht="21" thickTop="1">
      <c r="D13" s="770"/>
      <c r="E13" s="790"/>
      <c r="F13" s="770"/>
      <c r="G13" s="790"/>
      <c r="H13" s="770"/>
      <c r="I13" s="790"/>
      <c r="J13" s="770"/>
      <c r="K13" s="790"/>
      <c r="L13" s="770"/>
      <c r="M13" s="790"/>
      <c r="N13" s="784"/>
      <c r="O13" s="786"/>
      <c r="Q13" s="381"/>
    </row>
    <row r="14" spans="1:19">
      <c r="A14" s="196" t="str">
        <f>Input!A3</f>
        <v>NJR</v>
      </c>
      <c r="B14" s="767" t="str">
        <f>VLOOKUP($A14,'Proxy Data Lookup'!$A$2:$B$8,2,FALSE)</f>
        <v>New Jersey Resources Corporation</v>
      </c>
      <c r="D14" s="770"/>
      <c r="F14" s="770"/>
      <c r="H14" s="770"/>
      <c r="J14" s="770"/>
      <c r="L14" s="770"/>
      <c r="N14" s="784"/>
    </row>
    <row r="15" spans="1:19">
      <c r="B15" s="765" t="s">
        <v>4056</v>
      </c>
      <c r="D15" s="784">
        <f>ROUND(('3. NJR'!C$12/'3. NJR'!C$50)*100,2)</f>
        <v>57.81</v>
      </c>
      <c r="E15" s="785" t="s">
        <v>18</v>
      </c>
      <c r="F15" s="784">
        <f>ROUND(('3. NJR'!E$12/'3. NJR'!E$50)*100,2)</f>
        <v>55.35</v>
      </c>
      <c r="G15" s="785" t="s">
        <v>18</v>
      </c>
      <c r="H15" s="784">
        <f>ROUND(('3. NJR'!G$12/'3. NJR'!G$50)*100,2)</f>
        <v>50.11</v>
      </c>
      <c r="I15" s="785" t="s">
        <v>18</v>
      </c>
      <c r="J15" s="784">
        <f>ROUND(('3. NJR'!I$12/'3. NJR'!I$50)*100,2)</f>
        <v>47.89</v>
      </c>
      <c r="K15" s="785" t="s">
        <v>18</v>
      </c>
      <c r="L15" s="784">
        <f>ROUND(('3. NJR'!K$12/'3. NJR'!K$50)*100,2)</f>
        <v>48.45</v>
      </c>
      <c r="M15" s="785" t="s">
        <v>18</v>
      </c>
      <c r="N15" s="784">
        <f>ROUND(AVERAGE(D15,F15,H15,J15,L15),2)</f>
        <v>51.92</v>
      </c>
      <c r="O15" s="786" t="s">
        <v>18</v>
      </c>
    </row>
    <row r="16" spans="1:19">
      <c r="B16" s="765" t="s">
        <v>4103</v>
      </c>
      <c r="D16" s="784">
        <f>ROUND(('3. NJR'!C$13/'3. NJR'!C$50)*100,2)</f>
        <v>0</v>
      </c>
      <c r="E16" s="787"/>
      <c r="F16" s="784">
        <f>ROUND(('3. NJR'!E$13/'3. NJR'!E$50)*100,2)</f>
        <v>0</v>
      </c>
      <c r="G16" s="787"/>
      <c r="H16" s="784">
        <f>ROUND(('3. NJR'!G$13/'3. NJR'!G$50)*100,2)</f>
        <v>0</v>
      </c>
      <c r="I16" s="787"/>
      <c r="J16" s="784">
        <f>ROUND(('3. NJR'!I$13/'3. NJR'!I$50)*100,2)</f>
        <v>0</v>
      </c>
      <c r="K16" s="787"/>
      <c r="L16" s="784">
        <f>ROUND(('3. NJR'!K$13/'3. NJR'!K$50)*100,2)</f>
        <v>0</v>
      </c>
      <c r="M16" s="787"/>
      <c r="N16" s="784">
        <f>ROUND(AVERAGE(D16,F16,H16,J16,L16),2)</f>
        <v>0</v>
      </c>
    </row>
    <row r="17" spans="1:15">
      <c r="B17" s="765" t="s">
        <v>10</v>
      </c>
      <c r="D17" s="788">
        <f>ROUND(('3. NJR'!C$16/'3. NJR'!C$50)*100,2)</f>
        <v>42.19</v>
      </c>
      <c r="E17" s="787"/>
      <c r="F17" s="788">
        <f>ROUND(('3. NJR'!E$16/'3. NJR'!E$50)*100,2)</f>
        <v>44.65</v>
      </c>
      <c r="G17" s="787"/>
      <c r="H17" s="788">
        <f>ROUND(('3. NJR'!G$16/'3. NJR'!G$50)*100,2)</f>
        <v>49.89</v>
      </c>
      <c r="I17" s="787"/>
      <c r="J17" s="788">
        <f>ROUND(('3. NJR'!I$16/'3. NJR'!I$50)*100,2)</f>
        <v>52.11</v>
      </c>
      <c r="K17" s="787"/>
      <c r="L17" s="788">
        <f>ROUND(('3. NJR'!K$16/'3. NJR'!K$50)*100,2)</f>
        <v>51.55</v>
      </c>
      <c r="M17" s="787"/>
      <c r="N17" s="784">
        <f>ROUND(AVERAGE(D17,F17,H17,J17,L17),2)</f>
        <v>48.08</v>
      </c>
    </row>
    <row r="18" spans="1:15" ht="21" thickBot="1">
      <c r="B18" s="765" t="s">
        <v>4104</v>
      </c>
      <c r="D18" s="789">
        <f>SUM(D15:D17)</f>
        <v>100</v>
      </c>
      <c r="E18" s="790" t="s">
        <v>18</v>
      </c>
      <c r="F18" s="789">
        <f>SUM(F15:F17)</f>
        <v>100</v>
      </c>
      <c r="G18" s="790" t="s">
        <v>18</v>
      </c>
      <c r="H18" s="789">
        <f>SUM(H15:H17)</f>
        <v>100</v>
      </c>
      <c r="I18" s="790" t="s">
        <v>18</v>
      </c>
      <c r="J18" s="789">
        <f>SUM(J15:J17)</f>
        <v>100</v>
      </c>
      <c r="K18" s="790" t="s">
        <v>18</v>
      </c>
      <c r="L18" s="789">
        <f>SUM(L15:L17)</f>
        <v>100</v>
      </c>
      <c r="M18" s="790" t="s">
        <v>18</v>
      </c>
      <c r="N18" s="791">
        <f>SUM(N15:N17)</f>
        <v>100</v>
      </c>
      <c r="O18" s="786" t="s">
        <v>18</v>
      </c>
    </row>
    <row r="19" spans="1:15" ht="21" thickTop="1">
      <c r="D19" s="770"/>
      <c r="E19" s="790"/>
      <c r="F19" s="770"/>
      <c r="G19" s="790"/>
      <c r="H19" s="770"/>
      <c r="I19" s="790"/>
      <c r="J19" s="770"/>
      <c r="K19" s="790"/>
      <c r="L19" s="770"/>
      <c r="M19" s="790"/>
      <c r="N19" s="784"/>
      <c r="O19" s="786"/>
    </row>
    <row r="20" spans="1:15">
      <c r="A20" s="196" t="s">
        <v>214</v>
      </c>
      <c r="B20" s="767" t="str">
        <f>VLOOKUP($A20,'Proxy Data Lookup'!$A$2:$B$8,2,FALSE)</f>
        <v>NiSource Inc.</v>
      </c>
    </row>
    <row r="21" spans="1:15">
      <c r="B21" s="765" t="s">
        <v>4056</v>
      </c>
      <c r="D21" s="784">
        <f>ROUND(('3. NI'!C$12/'3. NI'!C$50)*100,2)</f>
        <v>57.09</v>
      </c>
      <c r="E21" s="785" t="s">
        <v>18</v>
      </c>
      <c r="F21" s="784">
        <f>ROUND(('3. NI'!E$12/'3. NI'!E$50)*100,2)</f>
        <v>61.64</v>
      </c>
      <c r="G21" s="785" t="s">
        <v>18</v>
      </c>
      <c r="H21" s="784">
        <f>ROUND(('3. NI'!G$12/'3. NI'!G$50)*100,4)</f>
        <v>56.794400000000003</v>
      </c>
      <c r="I21" s="785" t="s">
        <v>18</v>
      </c>
      <c r="J21" s="784">
        <f>ROUND(('3. NI'!I$12/'3. NI'!I$50)*100,2)</f>
        <v>55.44</v>
      </c>
      <c r="K21" s="785" t="s">
        <v>18</v>
      </c>
      <c r="L21" s="784">
        <f>ROUND(('3. NI'!K$12/'3. NI'!K$50)*100,2)</f>
        <v>64.349999999999994</v>
      </c>
      <c r="M21" s="785" t="s">
        <v>18</v>
      </c>
      <c r="N21" s="784">
        <f>ROUND(AVERAGE(D21,F21,H21,J21,L21),2)</f>
        <v>59.06</v>
      </c>
      <c r="O21" s="786" t="s">
        <v>18</v>
      </c>
    </row>
    <row r="22" spans="1:15">
      <c r="B22" s="765" t="s">
        <v>4103</v>
      </c>
      <c r="D22" s="784">
        <f>ROUND(('3. NI'!C$13/'3. NI'!C$50)*100,2)</f>
        <v>9.5500000000000007</v>
      </c>
      <c r="E22" s="787"/>
      <c r="F22" s="784">
        <f>ROUND(('3. NI'!E$13/'3. NI'!E$50)*100,2)</f>
        <v>5.87</v>
      </c>
      <c r="G22" s="787"/>
      <c r="H22" s="784">
        <f>ROUND(('3. NI'!G$13/'3. NI'!G$50)*100,4)</f>
        <v>6.3509000000000002</v>
      </c>
      <c r="I22" s="787"/>
      <c r="J22" s="784">
        <f>ROUND(('3. NI'!I$13/'3. NI'!I$50)*100,2)</f>
        <v>6.82</v>
      </c>
      <c r="K22" s="787"/>
      <c r="L22" s="784">
        <f>ROUND(('3. NI'!K$13/'3. NI'!K$50)*100,2)</f>
        <v>0</v>
      </c>
      <c r="M22" s="787"/>
      <c r="N22" s="784">
        <f>ROUND(AVERAGE(D22,F22,H22,J22,L22),2)</f>
        <v>5.72</v>
      </c>
    </row>
    <row r="23" spans="1:15">
      <c r="B23" s="765" t="s">
        <v>10</v>
      </c>
      <c r="D23" s="788">
        <f>ROUND(('3. NI'!C$16/'3. NI'!C$50)*100,2)</f>
        <v>33.36</v>
      </c>
      <c r="E23" s="787"/>
      <c r="F23" s="788">
        <f>ROUND(('3. NI'!E$16/'3. NI'!E$50)*100,2)</f>
        <v>32.49</v>
      </c>
      <c r="G23" s="787"/>
      <c r="H23" s="788">
        <f>ROUND(('3. NI'!G$16/'3. NI'!G$50)*100,4)</f>
        <v>36.854700000000001</v>
      </c>
      <c r="I23" s="787"/>
      <c r="J23" s="788">
        <f>ROUND(('3. NI'!I$16/'3. NI'!I$50)*100,2)</f>
        <v>37.74</v>
      </c>
      <c r="K23" s="787"/>
      <c r="L23" s="788">
        <f>ROUND(('3. NI'!K$16/'3. NI'!K$50)*100,2)</f>
        <v>35.65</v>
      </c>
      <c r="M23" s="787"/>
      <c r="N23" s="784">
        <f>ROUND(AVERAGE(D23,F23,H23,J23,L23),2)</f>
        <v>35.22</v>
      </c>
    </row>
    <row r="24" spans="1:15" ht="21" thickBot="1">
      <c r="B24" s="765" t="s">
        <v>4104</v>
      </c>
      <c r="D24" s="789">
        <f>SUM(D21:D23)</f>
        <v>100</v>
      </c>
      <c r="E24" s="790" t="s">
        <v>18</v>
      </c>
      <c r="F24" s="789">
        <f>SUM(F21:F23)</f>
        <v>100</v>
      </c>
      <c r="G24" s="790" t="s">
        <v>18</v>
      </c>
      <c r="H24" s="789">
        <f>SUM(H21:H23)</f>
        <v>100</v>
      </c>
      <c r="I24" s="790" t="s">
        <v>18</v>
      </c>
      <c r="J24" s="789">
        <f>SUM(J21:J23)</f>
        <v>100</v>
      </c>
      <c r="K24" s="790" t="s">
        <v>18</v>
      </c>
      <c r="L24" s="789">
        <f>SUM(L21:L23)</f>
        <v>100</v>
      </c>
      <c r="M24" s="790" t="s">
        <v>18</v>
      </c>
      <c r="N24" s="791">
        <f>SUM(N21:N23)</f>
        <v>100</v>
      </c>
      <c r="O24" s="786" t="s">
        <v>18</v>
      </c>
    </row>
    <row r="25" spans="1:15" ht="21" thickTop="1">
      <c r="D25" s="770"/>
      <c r="E25" s="790"/>
      <c r="F25" s="770"/>
      <c r="G25" s="790"/>
      <c r="H25" s="770"/>
      <c r="I25" s="790"/>
      <c r="J25" s="770"/>
      <c r="K25" s="790"/>
      <c r="L25" s="770"/>
      <c r="M25" s="790"/>
      <c r="N25" s="784"/>
      <c r="O25" s="786"/>
    </row>
    <row r="26" spans="1:15">
      <c r="A26" s="196" t="s">
        <v>3052</v>
      </c>
      <c r="B26" s="767" t="str">
        <f>VLOOKUP($A26,'Proxy Data Lookup'!$A$2:$B$8,2,FALSE)</f>
        <v>Northwest Natural Holding Company</v>
      </c>
      <c r="D26" s="770"/>
      <c r="F26" s="770"/>
      <c r="H26" s="770"/>
      <c r="J26" s="770"/>
      <c r="L26" s="770"/>
      <c r="N26" s="784"/>
    </row>
    <row r="27" spans="1:15">
      <c r="B27" s="765" t="s">
        <v>4601</v>
      </c>
      <c r="D27" s="784">
        <f>ROUND(('3. NWN'!C$12/'3. NWN'!C$50)*100,2)</f>
        <v>52.12</v>
      </c>
      <c r="E27" s="785" t="s">
        <v>18</v>
      </c>
      <c r="F27" s="784">
        <f>ROUND(('3. NWN'!E$12/'3. NWN'!E$50)*100,2)</f>
        <v>51.81</v>
      </c>
      <c r="G27" s="785" t="s">
        <v>18</v>
      </c>
      <c r="H27" s="784">
        <f>ROUND(('3. NWN'!G$12/'3. NWN'!G$50)*100,2)</f>
        <v>50.43</v>
      </c>
      <c r="I27" s="785" t="s">
        <v>18</v>
      </c>
      <c r="J27" s="784">
        <f>ROUND(('3. NWN'!I$12/'3. NWN'!I$50)*100,2)</f>
        <v>49.12</v>
      </c>
      <c r="K27" s="785" t="s">
        <v>18</v>
      </c>
      <c r="L27" s="784">
        <f>ROUND(('3. NWN'!K$12/'3. NWN'!K$50)*100,2)</f>
        <v>51.22</v>
      </c>
      <c r="M27" s="785" t="s">
        <v>18</v>
      </c>
      <c r="N27" s="784">
        <f>ROUND(AVERAGE(D27,F27,H27,J27,L27),2)</f>
        <v>50.94</v>
      </c>
      <c r="O27" s="786" t="s">
        <v>18</v>
      </c>
    </row>
    <row r="28" spans="1:15">
      <c r="B28" s="765" t="s">
        <v>4103</v>
      </c>
      <c r="D28" s="784">
        <f>ROUND(('3. NWN'!C$13/'3. NWN'!C$50)*100,2)</f>
        <v>0</v>
      </c>
      <c r="E28" s="787"/>
      <c r="F28" s="784">
        <f>ROUND(('3. NWN'!E$13/'3. NWN'!E$50)*100,2)</f>
        <v>0</v>
      </c>
      <c r="G28" s="787"/>
      <c r="H28" s="784">
        <f>ROUND(('3. NWN'!G$13/'3. NWN'!G$50)*100,2)</f>
        <v>0</v>
      </c>
      <c r="I28" s="787"/>
      <c r="J28" s="784">
        <f>ROUND(('3. NWN'!I$13/'3. NWN'!I$50)*100,2)</f>
        <v>0</v>
      </c>
      <c r="K28" s="787"/>
      <c r="L28" s="784">
        <f>ROUND(('3. NWN'!K$13/'3. NWN'!K$50)*100,2)</f>
        <v>0</v>
      </c>
      <c r="M28" s="787"/>
      <c r="N28" s="784">
        <f>ROUND(AVERAGE(D28,F28,H28,J28,L28),2)</f>
        <v>0</v>
      </c>
    </row>
    <row r="29" spans="1:15">
      <c r="B29" s="765" t="s">
        <v>10</v>
      </c>
      <c r="D29" s="788">
        <f>ROUND(('3. NWN'!C$16/'3. NWN'!C$50)*100,2)</f>
        <v>47.88</v>
      </c>
      <c r="E29" s="787"/>
      <c r="F29" s="788">
        <f>ROUND(('3. NWN'!E$16/'3. NWN'!E$50)*100,2)</f>
        <v>48.19</v>
      </c>
      <c r="G29" s="787"/>
      <c r="H29" s="788">
        <f>ROUND(('3. NWN'!G$16/'3. NWN'!G$50)*100,2)</f>
        <v>49.57</v>
      </c>
      <c r="I29" s="787"/>
      <c r="J29" s="788">
        <f>ROUND(('3. NWN'!I$16/'3. NWN'!I$50)*100,2)</f>
        <v>50.88</v>
      </c>
      <c r="K29" s="787"/>
      <c r="L29" s="788">
        <f>ROUND(('3. NWN'!K$16/'3. NWN'!K$50)*100,2)</f>
        <v>48.78</v>
      </c>
      <c r="M29" s="787"/>
      <c r="N29" s="784">
        <f>ROUND(AVERAGE(D29,F29,H29,J29,L29),2)</f>
        <v>49.06</v>
      </c>
    </row>
    <row r="30" spans="1:15" ht="21" thickBot="1">
      <c r="B30" s="765" t="s">
        <v>4104</v>
      </c>
      <c r="D30" s="789">
        <f>SUM(D27:D29)</f>
        <v>100</v>
      </c>
      <c r="E30" s="790" t="s">
        <v>18</v>
      </c>
      <c r="F30" s="789">
        <f>SUM(F27:F29)</f>
        <v>100</v>
      </c>
      <c r="G30" s="790" t="s">
        <v>18</v>
      </c>
      <c r="H30" s="789">
        <f>SUM(H27:H29)</f>
        <v>100</v>
      </c>
      <c r="I30" s="790" t="s">
        <v>18</v>
      </c>
      <c r="J30" s="789">
        <f>SUM(J27:J29)</f>
        <v>100</v>
      </c>
      <c r="K30" s="790" t="s">
        <v>18</v>
      </c>
      <c r="L30" s="789">
        <f>SUM(L27:L29)</f>
        <v>100</v>
      </c>
      <c r="M30" s="790" t="s">
        <v>18</v>
      </c>
      <c r="N30" s="791">
        <f>SUM(N27:N29)</f>
        <v>100</v>
      </c>
      <c r="O30" s="786" t="s">
        <v>18</v>
      </c>
    </row>
    <row r="31" spans="1:15" ht="21" thickTop="1">
      <c r="D31" s="770"/>
      <c r="E31" s="790"/>
      <c r="F31" s="770"/>
      <c r="G31" s="790"/>
      <c r="H31" s="770"/>
      <c r="I31" s="790"/>
      <c r="J31" s="770"/>
      <c r="K31" s="790"/>
      <c r="L31" s="770"/>
      <c r="M31" s="790"/>
      <c r="N31" s="784"/>
      <c r="O31" s="786"/>
    </row>
    <row r="32" spans="1:15">
      <c r="A32" s="196" t="s">
        <v>3053</v>
      </c>
      <c r="B32" s="767" t="str">
        <f>VLOOKUP($A32,'Proxy Data Lookup'!$A$2:$B$8,2,FALSE)</f>
        <v>ONE Gas, Inc.</v>
      </c>
      <c r="D32" s="770"/>
      <c r="F32" s="770"/>
      <c r="H32" s="770"/>
      <c r="J32" s="770"/>
      <c r="L32" s="770"/>
      <c r="N32" s="784"/>
    </row>
    <row r="33" spans="1:15">
      <c r="B33" s="765" t="s">
        <v>4601</v>
      </c>
      <c r="D33" s="784">
        <f>ROUND(('3. OGS'!C$12/'3. OGS'!C$50)*100,2)</f>
        <v>41.74</v>
      </c>
      <c r="E33" s="785" t="s">
        <v>18</v>
      </c>
      <c r="F33" s="784">
        <f>ROUND(('3. OGS'!E$12/'3. OGS'!E$50)*100,2)</f>
        <v>41.76</v>
      </c>
      <c r="G33" s="785" t="s">
        <v>18</v>
      </c>
      <c r="H33" s="784">
        <f>ROUND(('3. OGS'!G$12/'3. OGS'!G$50)*100,2)</f>
        <v>37.65</v>
      </c>
      <c r="I33" s="785" t="s">
        <v>18</v>
      </c>
      <c r="J33" s="784">
        <f>ROUND(('3. OGS'!I$12/'3. OGS'!I$50)*100,2)</f>
        <v>38.619999999999997</v>
      </c>
      <c r="K33" s="785" t="s">
        <v>18</v>
      </c>
      <c r="L33" s="784">
        <f>ROUND(('3. OGS'!K$12/'3. OGS'!K$50)*100,2)</f>
        <v>37.840000000000003</v>
      </c>
      <c r="M33" s="785" t="s">
        <v>18</v>
      </c>
      <c r="N33" s="784">
        <f>ROUND(AVERAGE(D33,F33,H33,J33,L33),2)</f>
        <v>39.520000000000003</v>
      </c>
      <c r="O33" s="786" t="s">
        <v>18</v>
      </c>
    </row>
    <row r="34" spans="1:15">
      <c r="B34" s="765" t="s">
        <v>4103</v>
      </c>
      <c r="D34" s="784">
        <f>ROUND(('3. OGS'!C$13/'3. OGS'!C$50)*100,2)</f>
        <v>0</v>
      </c>
      <c r="E34" s="787"/>
      <c r="F34" s="784">
        <f>ROUND(('3. OGS'!E$13/'3. OGS'!E$50)*100,2)</f>
        <v>0</v>
      </c>
      <c r="G34" s="787"/>
      <c r="H34" s="784">
        <f>ROUND(('3. OGS'!G$13/'3. OGS'!G$50)*100,2)</f>
        <v>0</v>
      </c>
      <c r="I34" s="787"/>
      <c r="J34" s="784">
        <f>ROUND(('3. OGS'!I$13/'3. OGS'!I$50)*100,2)</f>
        <v>0</v>
      </c>
      <c r="K34" s="787"/>
      <c r="L34" s="784">
        <f>ROUND(('3. OGS'!K$13/'3. OGS'!K$50)*100,2)</f>
        <v>0</v>
      </c>
      <c r="M34" s="787"/>
      <c r="N34" s="784">
        <f>ROUND(AVERAGE(D34,F34,H34,J34,L34),2)</f>
        <v>0</v>
      </c>
    </row>
    <row r="35" spans="1:15">
      <c r="B35" s="765" t="s">
        <v>10</v>
      </c>
      <c r="D35" s="788">
        <f>ROUND(('3. OGS'!C$16/'3. OGS'!C$50)*100,2)</f>
        <v>58.26</v>
      </c>
      <c r="E35" s="787"/>
      <c r="F35" s="788">
        <f>ROUND(('3. OGS'!E$16/'3. OGS'!E$50)*100,2)</f>
        <v>58.24</v>
      </c>
      <c r="G35" s="787"/>
      <c r="H35" s="788">
        <f>ROUND(('3. OGS'!G$16/'3. OGS'!G$50)*100,2)</f>
        <v>62.35</v>
      </c>
      <c r="I35" s="787"/>
      <c r="J35" s="788">
        <f>ROUND(('3. OGS'!I$16/'3. OGS'!I$50)*100,2)</f>
        <v>61.38</v>
      </c>
      <c r="K35" s="787"/>
      <c r="L35" s="788">
        <f>ROUND(('3. OGS'!K$16/'3. OGS'!K$50)*100,2)</f>
        <v>62.16</v>
      </c>
      <c r="M35" s="787"/>
      <c r="N35" s="784">
        <f>ROUND(AVERAGE(D35,F35,H35,J35,L35),2)</f>
        <v>60.48</v>
      </c>
    </row>
    <row r="36" spans="1:15" ht="21" thickBot="1">
      <c r="B36" s="765" t="s">
        <v>4104</v>
      </c>
      <c r="D36" s="789">
        <f>SUM(D33:D35)</f>
        <v>100</v>
      </c>
      <c r="E36" s="790" t="s">
        <v>18</v>
      </c>
      <c r="F36" s="789">
        <f>SUM(F33:F35)</f>
        <v>100</v>
      </c>
      <c r="G36" s="790" t="s">
        <v>18</v>
      </c>
      <c r="H36" s="789">
        <f>SUM(H33:H35)</f>
        <v>100</v>
      </c>
      <c r="I36" s="790" t="s">
        <v>18</v>
      </c>
      <c r="J36" s="789">
        <f>SUM(J33:J35)</f>
        <v>100</v>
      </c>
      <c r="K36" s="790" t="s">
        <v>18</v>
      </c>
      <c r="L36" s="789">
        <f>SUM(L33:L35)</f>
        <v>100</v>
      </c>
      <c r="M36" s="790" t="s">
        <v>18</v>
      </c>
      <c r="N36" s="791">
        <f>SUM(N33:N35)</f>
        <v>100</v>
      </c>
      <c r="O36" s="786" t="s">
        <v>18</v>
      </c>
    </row>
    <row r="37" spans="1:15" ht="21" thickTop="1">
      <c r="D37" s="770"/>
      <c r="E37" s="790"/>
      <c r="F37" s="770"/>
      <c r="G37" s="790"/>
      <c r="H37" s="770"/>
      <c r="I37" s="790"/>
      <c r="J37" s="770"/>
      <c r="K37" s="790"/>
      <c r="L37" s="770"/>
      <c r="M37" s="790"/>
      <c r="N37" s="784"/>
      <c r="O37" s="786"/>
    </row>
    <row r="38" spans="1:15">
      <c r="A38" s="196" t="str">
        <f>Input!A7</f>
        <v>SR</v>
      </c>
      <c r="B38" s="767" t="str">
        <f>VLOOKUP($A38,'Proxy Data Lookup'!$A$2:$B$8,2,FALSE)</f>
        <v>Spire Inc.</v>
      </c>
      <c r="D38" s="770"/>
      <c r="E38" s="790"/>
      <c r="F38" s="770"/>
      <c r="G38" s="790"/>
      <c r="H38" s="770"/>
      <c r="I38" s="790"/>
      <c r="J38" s="770"/>
      <c r="K38" s="790"/>
      <c r="L38" s="770"/>
      <c r="M38" s="790"/>
      <c r="N38" s="784"/>
      <c r="O38" s="786"/>
    </row>
    <row r="39" spans="1:15">
      <c r="B39" s="765" t="s">
        <v>4056</v>
      </c>
      <c r="D39" s="784">
        <f>ROUND(('3. SR'!C$12/'3. SR'!C$50)*100,2)</f>
        <v>52.98</v>
      </c>
      <c r="E39" s="785" t="s">
        <v>18</v>
      </c>
      <c r="F39" s="784">
        <f>ROUND(('3. SR'!E$12/'3. SR'!E$50)*100,2)</f>
        <v>49.62</v>
      </c>
      <c r="G39" s="785" t="s">
        <v>18</v>
      </c>
      <c r="H39" s="784">
        <f>ROUND(('3. SR'!G$12/'3. SR'!G$50)*100,2)</f>
        <v>45.49</v>
      </c>
      <c r="I39" s="785" t="s">
        <v>18</v>
      </c>
      <c r="J39" s="784">
        <f>ROUND(('3. SR'!I$12/'3. SR'!I$50)*100,2)</f>
        <v>45.95</v>
      </c>
      <c r="K39" s="785" t="s">
        <v>18</v>
      </c>
      <c r="L39" s="784">
        <f>ROUND(('3. SR'!K$12/'3. SR'!K$50)*100,2)</f>
        <v>51.27</v>
      </c>
      <c r="M39" s="785" t="s">
        <v>18</v>
      </c>
      <c r="N39" s="784">
        <f>ROUND(AVERAGE(D39,F39,H39,J39,L39),2)</f>
        <v>49.06</v>
      </c>
      <c r="O39" s="786" t="s">
        <v>18</v>
      </c>
    </row>
    <row r="40" spans="1:15">
      <c r="B40" s="765" t="s">
        <v>4103</v>
      </c>
      <c r="D40" s="784">
        <f>ROUND(('3. SR'!C$13/'3. SR'!C$50)*100,2)</f>
        <v>4.28</v>
      </c>
      <c r="E40" s="787"/>
      <c r="F40" s="784">
        <f>ROUND(('3. SR'!E$13/'3. SR'!E$50)*100,2)</f>
        <v>4.83</v>
      </c>
      <c r="G40" s="787"/>
      <c r="H40" s="784">
        <f>ROUND(('3. SR'!G$13/'3. SR'!G$50)*100,2)</f>
        <v>5.19</v>
      </c>
      <c r="I40" s="787"/>
      <c r="J40" s="784">
        <f>ROUND(('3. SR'!I$13/'3. SR'!I$50)*100,2)</f>
        <v>0</v>
      </c>
      <c r="K40" s="787"/>
      <c r="L40" s="784">
        <f>ROUND(('3. SR'!K$13/'3. SR'!K$50)*100,2)</f>
        <v>0</v>
      </c>
      <c r="M40" s="787"/>
      <c r="N40" s="784">
        <f>ROUND(AVERAGE(D40,F40,H40,J40,L40),2)</f>
        <v>2.86</v>
      </c>
    </row>
    <row r="41" spans="1:15">
      <c r="B41" s="765" t="s">
        <v>10</v>
      </c>
      <c r="D41" s="788">
        <f>ROUND(('3. SR'!C$16/'3. SR'!C$50)*100,2)</f>
        <v>42.74</v>
      </c>
      <c r="E41" s="787"/>
      <c r="F41" s="788">
        <f>ROUND(('3. SR'!E$16/'3. SR'!E$50)*100,2)</f>
        <v>45.55</v>
      </c>
      <c r="G41" s="787"/>
      <c r="H41" s="788">
        <f>ROUND(('3. SR'!G$16/'3. SR'!G$50)*100,2)</f>
        <v>49.32</v>
      </c>
      <c r="I41" s="787"/>
      <c r="J41" s="788">
        <f>ROUND(('3. SR'!I$16/'3. SR'!I$50)*100,2)</f>
        <v>54.05</v>
      </c>
      <c r="K41" s="787"/>
      <c r="L41" s="788">
        <f>ROUND(('3. SR'!K$16/'3. SR'!K$50)*100,2)</f>
        <v>48.73</v>
      </c>
      <c r="M41" s="787"/>
      <c r="N41" s="784">
        <f>ROUND(AVERAGE(D41,F41,H41,J41,L41),2)</f>
        <v>48.08</v>
      </c>
    </row>
    <row r="42" spans="1:15" ht="21" thickBot="1">
      <c r="B42" s="765" t="s">
        <v>4104</v>
      </c>
      <c r="D42" s="789">
        <f>SUM(D39:D41)</f>
        <v>100</v>
      </c>
      <c r="E42" s="790" t="s">
        <v>18</v>
      </c>
      <c r="F42" s="789">
        <f>SUM(F39:F41)</f>
        <v>100</v>
      </c>
      <c r="G42" s="790" t="s">
        <v>18</v>
      </c>
      <c r="H42" s="789">
        <f>SUM(H39:H41)</f>
        <v>100</v>
      </c>
      <c r="I42" s="790" t="s">
        <v>18</v>
      </c>
      <c r="J42" s="789">
        <f>SUM(J39:J41)</f>
        <v>100</v>
      </c>
      <c r="K42" s="790" t="s">
        <v>18</v>
      </c>
      <c r="L42" s="789">
        <f>SUM(L39:L41)</f>
        <v>100</v>
      </c>
      <c r="M42" s="790" t="s">
        <v>18</v>
      </c>
      <c r="N42" s="791">
        <f>SUM(N39:N41)</f>
        <v>100</v>
      </c>
      <c r="O42" s="786" t="s">
        <v>18</v>
      </c>
    </row>
    <row r="43" spans="1:15" ht="21" thickTop="1">
      <c r="D43" s="792"/>
      <c r="E43" s="790"/>
      <c r="F43" s="792"/>
      <c r="G43" s="790"/>
      <c r="H43" s="792"/>
      <c r="I43" s="790"/>
      <c r="J43" s="792"/>
      <c r="K43" s="790"/>
      <c r="L43" s="792"/>
      <c r="M43" s="790"/>
      <c r="N43" s="784"/>
      <c r="O43" s="786"/>
    </row>
    <row r="44" spans="1:15" ht="42.75" customHeight="1">
      <c r="B44" s="793" t="str">
        <f>B2</f>
        <v>Proxy Group of Six Natural Gas Companies</v>
      </c>
      <c r="D44" s="770"/>
      <c r="E44" s="770"/>
      <c r="F44" s="770"/>
      <c r="G44" s="770"/>
      <c r="H44" s="770"/>
      <c r="I44" s="770"/>
      <c r="J44" s="770"/>
      <c r="K44" s="770"/>
      <c r="L44" s="770"/>
      <c r="M44" s="770"/>
      <c r="N44" s="770"/>
    </row>
    <row r="45" spans="1:15">
      <c r="B45" s="765" t="s">
        <v>4056</v>
      </c>
      <c r="D45" s="770">
        <f>AVERAGE(D39,D33,D27,D21,D15,D9)</f>
        <v>50.181666666666672</v>
      </c>
      <c r="E45" s="790" t="s">
        <v>18</v>
      </c>
      <c r="F45" s="770">
        <f>AVERAGE(F39,F33,F27,F21,F15,F9)</f>
        <v>50.033333333333331</v>
      </c>
      <c r="G45" s="790" t="s">
        <v>18</v>
      </c>
      <c r="H45" s="770">
        <f>AVERAGE(H39,H33,H27,H21,H15,H9)</f>
        <v>46.417400000000008</v>
      </c>
      <c r="I45" s="790" t="s">
        <v>18</v>
      </c>
      <c r="J45" s="770">
        <f>AVERAGE(J39,J33,J27,J21,J15,J9)</f>
        <v>46.028333333333329</v>
      </c>
      <c r="K45" s="790" t="s">
        <v>18</v>
      </c>
      <c r="L45" s="770">
        <f>AVERAGE(L39,L33,L27,L21,L15,L9)</f>
        <v>49.526666666666664</v>
      </c>
      <c r="M45" s="790" t="s">
        <v>18</v>
      </c>
      <c r="N45" s="770">
        <f>AVERAGE(N39,N33,N27,N21,N15,N9)</f>
        <v>48.436666666666667</v>
      </c>
      <c r="O45" s="786" t="s">
        <v>18</v>
      </c>
    </row>
    <row r="46" spans="1:15" ht="21" customHeight="1">
      <c r="B46" s="765" t="s">
        <v>4103</v>
      </c>
      <c r="D46" s="770">
        <f>AVERAGE(D40,D34,D28,D22,D16,D10)</f>
        <v>2.3050000000000002</v>
      </c>
      <c r="E46" s="774"/>
      <c r="F46" s="770">
        <f>AVERAGE(F40,F34,F28,F22,F16,F10)</f>
        <v>1.7833333333333332</v>
      </c>
      <c r="G46" s="774"/>
      <c r="H46" s="770">
        <f>AVERAGE(H40,H34,H28,H22,H16,H10)</f>
        <v>1.9234833333333334</v>
      </c>
      <c r="I46" s="774"/>
      <c r="J46" s="770">
        <f>AVERAGE(J40,J34,J28,J22,J16,J10)</f>
        <v>1.1366666666666667</v>
      </c>
      <c r="K46" s="774"/>
      <c r="L46" s="770">
        <f>AVERAGE(L40,L34,L28,L22,L16,L10)</f>
        <v>0</v>
      </c>
      <c r="M46" s="774"/>
      <c r="N46" s="770">
        <f>AVERAGE(N40,N34,N28,N22,N16,N10)</f>
        <v>1.43</v>
      </c>
    </row>
    <row r="47" spans="1:15" ht="20.25" customHeight="1">
      <c r="B47" s="765" t="s">
        <v>10</v>
      </c>
      <c r="D47" s="770">
        <f>AVERAGE(D41,D35,D29,D23,D17,D11)</f>
        <v>47.513333333333328</v>
      </c>
      <c r="E47" s="774"/>
      <c r="F47" s="770">
        <f>AVERAGE(F41,F35,F29,F23,F17,F11)</f>
        <v>48.183333333333337</v>
      </c>
      <c r="G47" s="774"/>
      <c r="H47" s="770">
        <f>AVERAGE(H41,H35,H29,H23,H17,H11)</f>
        <v>51.659116666666669</v>
      </c>
      <c r="I47" s="774"/>
      <c r="J47" s="770">
        <f>AVERAGE(J41,J35,J29,J23,J17,J11)</f>
        <v>52.835000000000008</v>
      </c>
      <c r="K47" s="774"/>
      <c r="L47" s="770">
        <f>AVERAGE(L41,L35,L29,L23,L17,L11)</f>
        <v>50.473333333333336</v>
      </c>
      <c r="M47" s="774"/>
      <c r="N47" s="770">
        <f>AVERAGE(N41,N35,N29,N23,N17,N11)</f>
        <v>50.133333333333333</v>
      </c>
    </row>
    <row r="48" spans="1:15" ht="23.25" customHeight="1" thickBot="1">
      <c r="B48" s="765" t="s">
        <v>4104</v>
      </c>
      <c r="D48" s="789">
        <f>ROUND(SUM(D45:D47),1)</f>
        <v>100</v>
      </c>
      <c r="E48" s="790" t="s">
        <v>18</v>
      </c>
      <c r="F48" s="789">
        <f>ROUND(SUM(F45:F47),1)</f>
        <v>100</v>
      </c>
      <c r="G48" s="790" t="s">
        <v>18</v>
      </c>
      <c r="H48" s="789">
        <f>ROUND(SUM(H45:H47),1)</f>
        <v>100</v>
      </c>
      <c r="I48" s="790" t="s">
        <v>18</v>
      </c>
      <c r="J48" s="789">
        <f>ROUND(SUM(J45:J47),1)</f>
        <v>100</v>
      </c>
      <c r="K48" s="790" t="s">
        <v>18</v>
      </c>
      <c r="L48" s="789">
        <f>ROUND(SUM(L45:L47),1)</f>
        <v>100</v>
      </c>
      <c r="M48" s="790" t="s">
        <v>18</v>
      </c>
      <c r="N48" s="789">
        <f>ROUND(SUM(N45:N47),1)</f>
        <v>100</v>
      </c>
      <c r="O48" s="786" t="s">
        <v>18</v>
      </c>
    </row>
    <row r="49" spans="2:15" ht="15" customHeight="1" thickTop="1">
      <c r="B49" s="772"/>
      <c r="C49" s="772"/>
      <c r="D49" s="772"/>
      <c r="E49" s="772"/>
      <c r="F49" s="772"/>
      <c r="G49" s="772"/>
      <c r="H49" s="772"/>
      <c r="I49" s="772"/>
      <c r="J49" s="772"/>
      <c r="K49" s="772"/>
      <c r="L49" s="772"/>
      <c r="M49" s="772"/>
      <c r="N49" s="772"/>
      <c r="O49" s="772"/>
    </row>
    <row r="50" spans="2:15">
      <c r="B50" s="765" t="s">
        <v>146</v>
      </c>
    </row>
    <row r="51" spans="2:15">
      <c r="B51" s="765" t="s">
        <v>4229</v>
      </c>
    </row>
    <row r="53" spans="2:15">
      <c r="B53" s="765" t="s">
        <v>94</v>
      </c>
    </row>
    <row r="54" spans="2:15">
      <c r="B54" s="765" t="s">
        <v>4602</v>
      </c>
    </row>
  </sheetData>
  <printOptions horizontalCentered="1"/>
  <pageMargins left="0.7" right="0.7" top="0.75" bottom="0.75" header="0.3" footer="0.3"/>
  <pageSetup scale="57" orientation="portrait" horizontalDpi="4294967294"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39"/>
  <sheetViews>
    <sheetView showOutlineSymbols="0" workbookViewId="0">
      <selection activeCell="D34" sqref="D34"/>
    </sheetView>
  </sheetViews>
  <sheetFormatPr defaultColWidth="9" defaultRowHeight="14.25"/>
  <cols>
    <col min="1" max="1" width="9" style="386"/>
    <col min="2" max="2" width="39.85546875" style="386" bestFit="1" customWidth="1"/>
    <col min="3" max="3" width="18.28515625" style="386" bestFit="1" customWidth="1"/>
    <col min="4" max="4" width="28.85546875" style="386" bestFit="1" customWidth="1"/>
    <col min="5" max="5" width="27" style="386" bestFit="1" customWidth="1"/>
    <col min="6" max="6" width="27" style="386" customWidth="1"/>
    <col min="7" max="7" width="26" style="386" bestFit="1" customWidth="1"/>
    <col min="8" max="8" width="2" style="386" bestFit="1" customWidth="1"/>
    <col min="9" max="9" width="9" style="386" bestFit="1" customWidth="1"/>
    <col min="10" max="10" width="2" style="386" customWidth="1"/>
    <col min="11" max="16384" width="9" style="386"/>
  </cols>
  <sheetData>
    <row r="1" spans="1:15">
      <c r="B1" s="387">
        <v>1</v>
      </c>
      <c r="C1" s="387">
        <f>B1+1</f>
        <v>2</v>
      </c>
      <c r="D1" s="387">
        <f t="shared" ref="D1:E1" si="0">C1+1</f>
        <v>3</v>
      </c>
      <c r="E1" s="387">
        <f t="shared" si="0"/>
        <v>4</v>
      </c>
      <c r="F1" s="387">
        <v>5</v>
      </c>
      <c r="G1" s="387">
        <v>6</v>
      </c>
      <c r="H1" s="387"/>
      <c r="I1" s="387">
        <f>G1+1</f>
        <v>7</v>
      </c>
      <c r="J1" s="387"/>
      <c r="K1" s="387">
        <f>I1+1</f>
        <v>8</v>
      </c>
      <c r="M1" s="386">
        <v>9</v>
      </c>
    </row>
    <row r="2" spans="1:15" ht="28.5">
      <c r="A2" s="388" t="s">
        <v>181</v>
      </c>
      <c r="B2" s="389" t="s">
        <v>4105</v>
      </c>
      <c r="C2" s="389" t="s">
        <v>4106</v>
      </c>
      <c r="D2" s="390" t="s">
        <v>4107</v>
      </c>
      <c r="E2" s="390" t="s">
        <v>4108</v>
      </c>
      <c r="F2" s="390" t="s">
        <v>4109</v>
      </c>
      <c r="G2" s="390" t="s">
        <v>4110</v>
      </c>
      <c r="H2" s="388"/>
      <c r="I2" s="388"/>
      <c r="J2" s="388"/>
      <c r="K2" s="388"/>
    </row>
    <row r="3" spans="1:15" ht="46.15" customHeight="1">
      <c r="A3" s="388"/>
      <c r="B3" s="391">
        <v>130509</v>
      </c>
      <c r="C3" s="391">
        <v>130992</v>
      </c>
      <c r="D3" s="391">
        <v>132384</v>
      </c>
      <c r="E3" s="391">
        <v>132383</v>
      </c>
      <c r="F3" s="391">
        <v>134229</v>
      </c>
      <c r="G3" s="391">
        <v>132351</v>
      </c>
      <c r="H3" s="388"/>
      <c r="I3" s="392" t="s">
        <v>4111</v>
      </c>
      <c r="J3" s="392"/>
      <c r="K3" s="392" t="s">
        <v>4112</v>
      </c>
      <c r="M3" s="393" t="s">
        <v>4113</v>
      </c>
      <c r="O3" s="386" t="s">
        <v>4114</v>
      </c>
    </row>
    <row r="4" spans="1:15">
      <c r="A4" s="388"/>
      <c r="B4" s="388"/>
      <c r="C4" s="388"/>
      <c r="D4" s="394" t="s">
        <v>4115</v>
      </c>
      <c r="E4" s="394" t="s">
        <v>4115</v>
      </c>
      <c r="F4" s="394" t="s">
        <v>4115</v>
      </c>
      <c r="G4" s="394" t="s">
        <v>4115</v>
      </c>
      <c r="H4" s="388"/>
      <c r="I4" s="394" t="s">
        <v>4115</v>
      </c>
      <c r="J4" s="394"/>
      <c r="K4" s="394" t="s">
        <v>4115</v>
      </c>
      <c r="M4" s="386" t="s">
        <v>4115</v>
      </c>
    </row>
    <row r="5" spans="1:15">
      <c r="A5" s="388"/>
      <c r="B5" s="388"/>
      <c r="C5" s="388"/>
      <c r="D5" s="394"/>
      <c r="E5" s="394"/>
      <c r="F5" s="394"/>
      <c r="G5" s="394"/>
      <c r="H5" s="388"/>
      <c r="I5" s="388"/>
      <c r="J5" s="388"/>
      <c r="K5" s="388"/>
    </row>
    <row r="6" spans="1:15">
      <c r="A6" s="388" t="s">
        <v>2333</v>
      </c>
      <c r="B6" s="388" t="s">
        <v>3928</v>
      </c>
      <c r="C6" s="388">
        <v>4057157</v>
      </c>
      <c r="D6" s="395">
        <v>6791203</v>
      </c>
      <c r="E6" s="395">
        <v>0</v>
      </c>
      <c r="F6" s="395">
        <v>4768731</v>
      </c>
      <c r="G6" s="395">
        <v>0</v>
      </c>
      <c r="H6" s="388"/>
      <c r="I6" s="396">
        <f>(D6-E6)/SUM(D6,-E6,G6,F6)</f>
        <v>0.58747766206969698</v>
      </c>
      <c r="J6" s="396"/>
      <c r="K6" s="396">
        <f>F6/SUM(D6,-E6,F6,G6)</f>
        <v>0.41252233793030307</v>
      </c>
      <c r="M6" s="396">
        <f>G6/SUM(D6,-E6,F6,G6)</f>
        <v>0</v>
      </c>
      <c r="O6" s="397">
        <f>SUM(I6:M6)</f>
        <v>1</v>
      </c>
    </row>
    <row r="7" spans="1:15">
      <c r="A7" s="398" t="s">
        <v>3051</v>
      </c>
      <c r="B7" s="399" t="s">
        <v>4116</v>
      </c>
      <c r="C7" s="394">
        <v>4061755</v>
      </c>
      <c r="D7" s="395">
        <v>1310923</v>
      </c>
      <c r="E7" s="395">
        <v>0</v>
      </c>
      <c r="F7" s="395">
        <v>1158405</v>
      </c>
      <c r="G7" s="395">
        <v>0</v>
      </c>
      <c r="H7" s="388"/>
      <c r="I7" s="396">
        <f t="shared" ref="I7:I16" si="1">(D7-E7)/SUM(D7,-E7,G7,F7)</f>
        <v>0.53088249110689223</v>
      </c>
      <c r="J7" s="396"/>
      <c r="K7" s="396">
        <f>F7/SUM(D7,-E7,F7,G7)</f>
        <v>0.46911750889310777</v>
      </c>
      <c r="M7" s="396">
        <f t="shared" ref="M7:M16" si="2">G7/SUM(D7,-E7,F7,G7)</f>
        <v>0</v>
      </c>
      <c r="O7" s="397">
        <f>SUM(I7:M7)</f>
        <v>1</v>
      </c>
    </row>
    <row r="8" spans="1:15">
      <c r="A8" s="398" t="s">
        <v>3052</v>
      </c>
      <c r="B8" s="399" t="s">
        <v>4040</v>
      </c>
      <c r="C8" s="394">
        <v>10344596</v>
      </c>
      <c r="D8" s="395">
        <v>835184</v>
      </c>
      <c r="E8" s="395">
        <v>0</v>
      </c>
      <c r="F8" s="395">
        <v>998833</v>
      </c>
      <c r="G8" s="395">
        <v>231525</v>
      </c>
      <c r="H8" s="388"/>
      <c r="I8" s="396">
        <f>(D8-E8)/SUM(D8,-E8,G8,F8)</f>
        <v>0.40434133026585756</v>
      </c>
      <c r="J8" s="396"/>
      <c r="K8" s="396">
        <f>F8/SUM(D8,-E8,F8,G8)</f>
        <v>0.48356944569512506</v>
      </c>
      <c r="M8" s="396">
        <f t="shared" si="2"/>
        <v>0.11208922403901736</v>
      </c>
      <c r="O8" s="397">
        <f>SUM(I8:M8)</f>
        <v>0.99999999999999989</v>
      </c>
    </row>
    <row r="9" spans="1:15">
      <c r="A9" s="398" t="s">
        <v>3053</v>
      </c>
      <c r="B9" s="400" t="s">
        <v>3062</v>
      </c>
      <c r="C9" s="394">
        <v>4427129</v>
      </c>
      <c r="D9" s="395">
        <v>2233311</v>
      </c>
      <c r="E9" s="395">
        <v>0</v>
      </c>
      <c r="F9" s="395">
        <v>1620228</v>
      </c>
      <c r="G9" s="395">
        <v>418225</v>
      </c>
      <c r="H9" s="388"/>
      <c r="I9" s="396">
        <f t="shared" si="1"/>
        <v>0.52280767383216864</v>
      </c>
      <c r="J9" s="396"/>
      <c r="K9" s="396">
        <f>F9/SUM(D9,-E9,F9,G9)</f>
        <v>0.37928780709795767</v>
      </c>
      <c r="M9" s="396">
        <f t="shared" si="2"/>
        <v>9.7904519069873713E-2</v>
      </c>
      <c r="O9" s="397">
        <f>SUM(I9:M9)</f>
        <v>1</v>
      </c>
    </row>
    <row r="10" spans="1:15">
      <c r="A10" s="398" t="s">
        <v>3054</v>
      </c>
      <c r="B10" s="388" t="s">
        <v>3057</v>
      </c>
      <c r="C10" s="388">
        <v>6337719</v>
      </c>
      <c r="D10" s="395" t="s">
        <v>1447</v>
      </c>
      <c r="E10" s="395" t="s">
        <v>1447</v>
      </c>
      <c r="F10" s="395" t="s">
        <v>1447</v>
      </c>
      <c r="G10" s="395" t="s">
        <v>1447</v>
      </c>
      <c r="H10" s="388"/>
      <c r="I10" s="395" t="s">
        <v>1447</v>
      </c>
      <c r="J10" s="395"/>
      <c r="K10" s="395" t="s">
        <v>1447</v>
      </c>
      <c r="M10" s="395" t="s">
        <v>1447</v>
      </c>
      <c r="O10" s="395" t="s">
        <v>1447</v>
      </c>
    </row>
    <row r="11" spans="1:15">
      <c r="A11" s="398" t="s">
        <v>3054</v>
      </c>
      <c r="B11" s="399" t="s">
        <v>3058</v>
      </c>
      <c r="C11" s="394">
        <v>4063023</v>
      </c>
      <c r="D11" s="395">
        <v>1303726</v>
      </c>
      <c r="E11" s="395">
        <v>0</v>
      </c>
      <c r="F11" s="395">
        <v>1069089</v>
      </c>
      <c r="G11" s="395">
        <v>47500</v>
      </c>
      <c r="H11" s="388"/>
      <c r="I11" s="396">
        <f>(D11-E11)/SUM(D11,-E11,G11,F11)</f>
        <v>0.53865963727861865</v>
      </c>
      <c r="J11" s="396"/>
      <c r="K11" s="396">
        <f>F11/SUM(D11,-E11,F11,G11)</f>
        <v>0.44171481811251839</v>
      </c>
      <c r="M11" s="396">
        <f t="shared" si="2"/>
        <v>1.9625544608862896E-2</v>
      </c>
      <c r="O11" s="397">
        <f>SUM(I11:M11)</f>
        <v>1</v>
      </c>
    </row>
    <row r="12" spans="1:15">
      <c r="A12" s="398" t="s">
        <v>3055</v>
      </c>
      <c r="B12" s="399" t="s">
        <v>3063</v>
      </c>
      <c r="C12" s="394">
        <v>4114790</v>
      </c>
      <c r="D12" s="395" t="s">
        <v>1447</v>
      </c>
      <c r="E12" s="395" t="s">
        <v>1447</v>
      </c>
      <c r="F12" s="395" t="s">
        <v>1447</v>
      </c>
      <c r="G12" s="395" t="s">
        <v>1447</v>
      </c>
      <c r="H12" s="388"/>
      <c r="I12" s="395" t="s">
        <v>1447</v>
      </c>
      <c r="J12" s="395"/>
      <c r="K12" s="395" t="s">
        <v>1447</v>
      </c>
      <c r="M12" s="395" t="s">
        <v>1447</v>
      </c>
      <c r="O12" s="395" t="s">
        <v>1447</v>
      </c>
    </row>
    <row r="13" spans="1:15">
      <c r="A13" s="398" t="s">
        <v>3055</v>
      </c>
      <c r="B13" s="399" t="s">
        <v>3059</v>
      </c>
      <c r="C13" s="394">
        <v>4004296</v>
      </c>
      <c r="D13" s="395">
        <v>851700</v>
      </c>
      <c r="E13" s="395">
        <v>0</v>
      </c>
      <c r="F13" s="395">
        <v>478400</v>
      </c>
      <c r="G13" s="395">
        <v>121300</v>
      </c>
      <c r="H13" s="388"/>
      <c r="I13" s="396">
        <f t="shared" si="1"/>
        <v>0.58681273253410504</v>
      </c>
      <c r="J13" s="396"/>
      <c r="K13" s="396">
        <f>F13/SUM(D13,-E13,F13,G13)</f>
        <v>0.32961278765330027</v>
      </c>
      <c r="M13" s="396">
        <f t="shared" si="2"/>
        <v>8.3574479812594735E-2</v>
      </c>
      <c r="O13" s="397">
        <f>SUM(I13:M13)</f>
        <v>1</v>
      </c>
    </row>
    <row r="14" spans="1:15">
      <c r="A14" s="398" t="s">
        <v>3055</v>
      </c>
      <c r="B14" s="399" t="s">
        <v>4029</v>
      </c>
      <c r="C14" s="394">
        <v>4076603</v>
      </c>
      <c r="D14" s="395" t="s">
        <v>1447</v>
      </c>
      <c r="E14" s="395" t="s">
        <v>1447</v>
      </c>
      <c r="F14" s="395" t="s">
        <v>1447</v>
      </c>
      <c r="G14" s="395" t="s">
        <v>1447</v>
      </c>
      <c r="H14" s="388"/>
      <c r="I14" s="395" t="s">
        <v>1447</v>
      </c>
      <c r="J14" s="395"/>
      <c r="K14" s="395" t="s">
        <v>1447</v>
      </c>
      <c r="M14" s="395" t="s">
        <v>1447</v>
      </c>
      <c r="O14" s="395" t="s">
        <v>1447</v>
      </c>
    </row>
    <row r="15" spans="1:15">
      <c r="A15" s="398" t="s">
        <v>3055</v>
      </c>
      <c r="B15" s="399" t="s">
        <v>4039</v>
      </c>
      <c r="C15" s="394">
        <v>4064035</v>
      </c>
      <c r="D15" s="395" t="s">
        <v>1447</v>
      </c>
      <c r="E15" s="395" t="s">
        <v>1447</v>
      </c>
      <c r="F15" s="395" t="s">
        <v>1447</v>
      </c>
      <c r="G15" s="395" t="s">
        <v>1447</v>
      </c>
      <c r="H15" s="388"/>
      <c r="I15" s="395" t="s">
        <v>1447</v>
      </c>
      <c r="J15" s="395"/>
      <c r="K15" s="395" t="s">
        <v>1447</v>
      </c>
      <c r="M15" s="395" t="s">
        <v>1447</v>
      </c>
      <c r="O15" s="395" t="s">
        <v>1447</v>
      </c>
    </row>
    <row r="16" spans="1:15">
      <c r="A16" s="398" t="s">
        <v>3055</v>
      </c>
      <c r="B16" s="399" t="s">
        <v>3060</v>
      </c>
      <c r="C16" s="394">
        <v>4060957</v>
      </c>
      <c r="D16" s="395">
        <v>1435100</v>
      </c>
      <c r="E16" s="395">
        <v>0</v>
      </c>
      <c r="F16" s="395">
        <v>1093700</v>
      </c>
      <c r="G16" s="395">
        <v>301200</v>
      </c>
      <c r="H16" s="388"/>
      <c r="I16" s="396">
        <f t="shared" si="1"/>
        <v>0.50710247349823323</v>
      </c>
      <c r="J16" s="396"/>
      <c r="K16" s="396">
        <f>F16/SUM(D16,-E16,F16,G16)</f>
        <v>0.38646643109540635</v>
      </c>
      <c r="M16" s="396">
        <f t="shared" si="2"/>
        <v>0.10643109540636042</v>
      </c>
      <c r="O16" s="397">
        <f>SUM(I16:M16)</f>
        <v>1</v>
      </c>
    </row>
    <row r="17" spans="1:15">
      <c r="A17" s="398"/>
      <c r="B17" s="399"/>
      <c r="C17" s="394"/>
      <c r="D17" s="395"/>
      <c r="E17" s="395"/>
      <c r="F17" s="395"/>
      <c r="G17" s="395"/>
      <c r="H17" s="388"/>
      <c r="I17" s="395"/>
      <c r="J17" s="395"/>
      <c r="K17" s="395"/>
      <c r="M17" s="395"/>
      <c r="O17" s="395"/>
    </row>
    <row r="18" spans="1:15">
      <c r="B18" s="401"/>
      <c r="C18" s="402"/>
      <c r="D18" s="403"/>
      <c r="E18" s="403"/>
      <c r="F18" s="403"/>
      <c r="G18" s="403"/>
      <c r="I18" s="395"/>
      <c r="J18" s="395"/>
      <c r="K18" s="395"/>
      <c r="M18" s="395"/>
      <c r="O18" s="395"/>
    </row>
    <row r="19" spans="1:15">
      <c r="B19" s="401"/>
      <c r="C19" s="402"/>
      <c r="D19" s="403"/>
      <c r="E19" s="403"/>
      <c r="F19" s="403"/>
      <c r="G19" s="403"/>
      <c r="I19" s="396"/>
      <c r="J19" s="396"/>
      <c r="K19" s="396"/>
      <c r="M19" s="396"/>
      <c r="O19" s="397"/>
    </row>
    <row r="20" spans="1:15">
      <c r="B20" s="401"/>
      <c r="C20" s="402"/>
      <c r="D20" s="403"/>
      <c r="E20" s="403"/>
      <c r="F20" s="403"/>
      <c r="G20" s="403"/>
      <c r="I20" s="396"/>
      <c r="J20" s="396"/>
      <c r="K20" s="396"/>
      <c r="M20" s="396"/>
      <c r="O20" s="397"/>
    </row>
    <row r="21" spans="1:15">
      <c r="B21" s="401"/>
      <c r="C21" s="402"/>
      <c r="D21" s="403"/>
      <c r="E21" s="403"/>
      <c r="F21" s="403"/>
      <c r="G21" s="403"/>
      <c r="I21" s="396"/>
      <c r="J21" s="396"/>
    </row>
    <row r="22" spans="1:15">
      <c r="B22" s="401"/>
      <c r="C22" s="402"/>
      <c r="D22" s="403"/>
      <c r="E22" s="403"/>
      <c r="F22" s="403"/>
      <c r="G22" s="403"/>
      <c r="I22" s="396"/>
      <c r="J22" s="396"/>
    </row>
    <row r="23" spans="1:15">
      <c r="B23" s="401"/>
      <c r="C23" s="402"/>
      <c r="D23" s="403"/>
      <c r="E23" s="403"/>
      <c r="F23" s="403"/>
      <c r="G23" s="403"/>
      <c r="I23" s="396"/>
      <c r="J23" s="396"/>
    </row>
    <row r="24" spans="1:15">
      <c r="B24" s="401"/>
      <c r="C24" s="402"/>
      <c r="D24" s="403"/>
      <c r="E24" s="403"/>
      <c r="F24" s="403"/>
      <c r="G24" s="403"/>
      <c r="I24" s="396"/>
      <c r="J24" s="396"/>
    </row>
    <row r="25" spans="1:15">
      <c r="B25" s="401"/>
      <c r="C25" s="402"/>
      <c r="D25" s="403"/>
      <c r="E25" s="403"/>
      <c r="F25" s="403"/>
      <c r="G25" s="403"/>
      <c r="I25" s="396"/>
      <c r="J25" s="396"/>
    </row>
    <row r="26" spans="1:15">
      <c r="B26" s="401"/>
      <c r="C26" s="402"/>
      <c r="D26" s="403"/>
      <c r="E26" s="403"/>
      <c r="F26" s="403"/>
      <c r="G26" s="403"/>
      <c r="I26" s="396"/>
      <c r="J26" s="396"/>
    </row>
    <row r="27" spans="1:15">
      <c r="B27" s="401"/>
      <c r="C27" s="402"/>
      <c r="D27" s="403"/>
      <c r="E27" s="403"/>
      <c r="F27" s="403"/>
      <c r="G27" s="403"/>
      <c r="I27" s="396"/>
      <c r="J27" s="396"/>
    </row>
    <row r="28" spans="1:15">
      <c r="B28" s="401"/>
      <c r="C28" s="402"/>
      <c r="D28" s="403"/>
      <c r="E28" s="403"/>
      <c r="F28" s="403"/>
      <c r="G28" s="403"/>
      <c r="I28" s="396"/>
      <c r="J28" s="396"/>
    </row>
    <row r="29" spans="1:15">
      <c r="B29" s="401"/>
      <c r="C29" s="402"/>
      <c r="D29" s="403"/>
      <c r="E29" s="403"/>
      <c r="F29" s="403"/>
      <c r="G29" s="403"/>
      <c r="I29" s="396"/>
      <c r="J29" s="396"/>
    </row>
    <row r="30" spans="1:15">
      <c r="B30" s="401"/>
      <c r="C30" s="402"/>
      <c r="D30" s="403"/>
      <c r="E30" s="403"/>
      <c r="F30" s="403"/>
      <c r="G30" s="403"/>
      <c r="I30" s="396"/>
      <c r="J30" s="396"/>
    </row>
    <row r="31" spans="1:15">
      <c r="B31" s="401"/>
      <c r="C31" s="402"/>
      <c r="D31" s="403"/>
      <c r="E31" s="403"/>
      <c r="F31" s="403"/>
      <c r="G31" s="403"/>
      <c r="I31" s="396"/>
      <c r="J31" s="396"/>
    </row>
    <row r="32" spans="1:15">
      <c r="B32" s="401"/>
      <c r="C32" s="402"/>
      <c r="D32" s="403"/>
      <c r="E32" s="403"/>
      <c r="F32" s="403"/>
      <c r="G32" s="403"/>
      <c r="I32" s="396"/>
      <c r="J32" s="396"/>
    </row>
    <row r="33" spans="2:10">
      <c r="B33" s="401"/>
      <c r="C33" s="402"/>
      <c r="D33" s="403"/>
      <c r="E33" s="403"/>
      <c r="F33" s="403"/>
      <c r="G33" s="403"/>
      <c r="I33" s="396"/>
      <c r="J33" s="396"/>
    </row>
    <row r="36" spans="2:10">
      <c r="B36" s="404"/>
      <c r="C36" s="404"/>
      <c r="D36" s="404"/>
      <c r="E36" s="404"/>
      <c r="F36" s="404"/>
      <c r="G36" s="404"/>
    </row>
    <row r="37" spans="2:10">
      <c r="B37" s="402"/>
      <c r="C37" s="402"/>
      <c r="D37" s="402"/>
      <c r="E37" s="402"/>
      <c r="F37" s="402"/>
      <c r="G37" s="402"/>
    </row>
    <row r="38" spans="2:10">
      <c r="B38" s="405"/>
      <c r="C38" s="405"/>
      <c r="D38" s="405"/>
      <c r="E38" s="405"/>
      <c r="F38" s="405"/>
      <c r="G38" s="405"/>
    </row>
    <row r="39" spans="2:10">
      <c r="B39" s="405"/>
      <c r="C39" s="405"/>
      <c r="D39" s="405"/>
      <c r="E39" s="405"/>
      <c r="F39" s="405"/>
      <c r="G39" s="405"/>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OutlineSymbols="0" view="pageBreakPreview" zoomScale="74" zoomScaleNormal="100" zoomScaleSheetLayoutView="85" workbookViewId="0"/>
  </sheetViews>
  <sheetFormatPr defaultColWidth="9" defaultRowHeight="15.75"/>
  <cols>
    <col min="1" max="1" width="56.7109375" style="605" customWidth="1"/>
    <col min="2" max="2" width="2.7109375" style="605" customWidth="1"/>
    <col min="3" max="3" width="15.140625" style="606" customWidth="1"/>
    <col min="4" max="4" width="2.7109375" style="605" customWidth="1"/>
    <col min="5" max="5" width="13.7109375" style="606" customWidth="1"/>
    <col min="6" max="6" width="2.7109375" style="606" customWidth="1"/>
    <col min="7" max="7" width="15.7109375" style="606" customWidth="1"/>
    <col min="8" max="8" width="2.7109375" style="606" customWidth="1"/>
    <col min="9" max="9" width="13.42578125" style="606" bestFit="1" customWidth="1"/>
    <col min="10" max="10" width="9" style="605"/>
    <col min="11" max="11" width="22.42578125" style="605" bestFit="1" customWidth="1"/>
    <col min="12" max="12" width="15.5703125" style="605" bestFit="1" customWidth="1"/>
    <col min="13" max="13" width="18.140625" style="605" bestFit="1" customWidth="1"/>
    <col min="14" max="14" width="9" style="605"/>
    <col min="15" max="15" width="16.140625" style="605" bestFit="1" customWidth="1"/>
    <col min="16" max="16" width="9" style="605"/>
    <col min="17" max="17" width="16.140625" style="605" bestFit="1" customWidth="1"/>
    <col min="18" max="18" width="9" style="605"/>
    <col min="19" max="19" width="16.140625" style="605" bestFit="1" customWidth="1"/>
    <col min="20" max="16384" width="9" style="605"/>
  </cols>
  <sheetData>
    <row r="1" spans="1:17" ht="20.25">
      <c r="A1" s="794" t="str">
        <f>Input!G28</f>
        <v>Peoples Gas System</v>
      </c>
      <c r="B1" s="794"/>
      <c r="C1" s="794"/>
      <c r="D1" s="794"/>
      <c r="E1" s="794"/>
      <c r="F1" s="794"/>
      <c r="G1" s="794"/>
      <c r="H1" s="794"/>
      <c r="I1" s="794"/>
    </row>
    <row r="2" spans="1:17" ht="20.25">
      <c r="A2" s="999" t="s">
        <v>4117</v>
      </c>
      <c r="B2" s="999"/>
      <c r="C2" s="999"/>
      <c r="D2" s="999"/>
      <c r="E2" s="999"/>
      <c r="F2" s="999"/>
      <c r="G2" s="999"/>
      <c r="H2" s="999"/>
      <c r="I2" s="999"/>
    </row>
    <row r="3" spans="1:17" ht="20.25">
      <c r="A3" s="1000" t="str">
        <f>Input!I30</f>
        <v>Proxy Group of Six Natural Gas Companies</v>
      </c>
      <c r="B3" s="1000"/>
      <c r="C3" s="1000"/>
      <c r="D3" s="1000"/>
      <c r="E3" s="1000"/>
      <c r="F3" s="1000"/>
      <c r="G3" s="1000"/>
      <c r="H3" s="1000"/>
      <c r="I3" s="1000"/>
    </row>
    <row r="4" spans="1:17" ht="20.25">
      <c r="A4" s="796"/>
      <c r="B4" s="796"/>
      <c r="C4" s="795"/>
      <c r="D4" s="796"/>
      <c r="E4" s="795"/>
      <c r="F4" s="795"/>
      <c r="G4" s="795"/>
      <c r="H4" s="795"/>
      <c r="I4" s="795"/>
    </row>
    <row r="5" spans="1:17" ht="20.25">
      <c r="A5" s="796"/>
      <c r="B5" s="796"/>
      <c r="C5" s="795"/>
      <c r="D5" s="796"/>
      <c r="E5" s="999">
        <v>2021</v>
      </c>
      <c r="F5" s="999"/>
      <c r="G5" s="999"/>
      <c r="H5" s="999"/>
      <c r="I5" s="999"/>
    </row>
    <row r="6" spans="1:17" ht="60.75">
      <c r="A6" s="797" t="s">
        <v>155</v>
      </c>
      <c r="B6" s="796"/>
      <c r="C6" s="798" t="s">
        <v>4118</v>
      </c>
      <c r="D6" s="796"/>
      <c r="E6" s="798" t="s">
        <v>10</v>
      </c>
      <c r="F6" s="799"/>
      <c r="G6" s="798" t="s">
        <v>4056</v>
      </c>
      <c r="H6" s="799"/>
      <c r="I6" s="798" t="s">
        <v>31</v>
      </c>
    </row>
    <row r="7" spans="1:17" ht="20.25">
      <c r="A7" s="800" t="s">
        <v>3928</v>
      </c>
      <c r="B7" s="796"/>
      <c r="C7" s="801" t="s">
        <v>2333</v>
      </c>
      <c r="D7" s="796"/>
      <c r="E7" s="802">
        <f>INDEX('GASOpCo Cap Str WP'!I$5:I$21,MATCH('2.3 OpCo Proxy Cap Str'!$A7,'GASOpCo Cap Str WP'!$B$5:$B$21,0))</f>
        <v>0.51111181211041079</v>
      </c>
      <c r="F7" s="802"/>
      <c r="G7" s="802">
        <f>INDEX('GASOpCo Cap Str WP'!K$5:K$21,MATCH('2.3 OpCo Proxy Cap Str'!$A7,'GASOpCo Cap Str WP'!$B$5:$B$21,0))</f>
        <v>0.48888818788958927</v>
      </c>
      <c r="H7" s="802"/>
      <c r="I7" s="803">
        <f t="shared" ref="I7:I13" si="0">IFERROR(E7+G7,"NA")</f>
        <v>1</v>
      </c>
      <c r="K7" s="609">
        <f>MAX(E7:E13)</f>
        <v>0.58482054003847939</v>
      </c>
      <c r="L7" s="605" t="s">
        <v>4119</v>
      </c>
      <c r="M7" s="406"/>
      <c r="N7" s="406"/>
      <c r="O7" s="406"/>
      <c r="P7" s="406"/>
      <c r="Q7" s="406"/>
    </row>
    <row r="8" spans="1:17" ht="20.25">
      <c r="A8" s="800" t="s">
        <v>4116</v>
      </c>
      <c r="B8" s="796"/>
      <c r="C8" s="801" t="s">
        <v>3051</v>
      </c>
      <c r="D8" s="796"/>
      <c r="E8" s="802">
        <f>INDEX('GASOpCo Cap Str WP'!I$5:I$21,MATCH('2.3 OpCo Proxy Cap Str'!$A8,'GASOpCo Cap Str WP'!$B$5:$B$21,0))</f>
        <v>0.56229007754642479</v>
      </c>
      <c r="F8" s="802"/>
      <c r="G8" s="802">
        <f>INDEX('GASOpCo Cap Str WP'!K$5:K$21,MATCH('2.3 OpCo Proxy Cap Str'!$A8,'GASOpCo Cap Str WP'!$B$5:$B$21,0))</f>
        <v>0.43770992245357521</v>
      </c>
      <c r="H8" s="802"/>
      <c r="I8" s="803">
        <f t="shared" si="0"/>
        <v>1</v>
      </c>
      <c r="K8" s="609">
        <f>MIN(E7:E13)</f>
        <v>0.38744807367794937</v>
      </c>
      <c r="L8" s="605" t="s">
        <v>4120</v>
      </c>
      <c r="M8" s="406"/>
      <c r="N8" s="406"/>
      <c r="O8" s="406"/>
      <c r="P8" s="406"/>
      <c r="Q8" s="406"/>
    </row>
    <row r="9" spans="1:17" ht="20.25">
      <c r="A9" s="800" t="s">
        <v>4250</v>
      </c>
      <c r="B9" s="796"/>
      <c r="C9" s="801" t="s">
        <v>214</v>
      </c>
      <c r="D9" s="796"/>
      <c r="E9" s="802">
        <f>INDEX('GASOpCo Cap Str WP'!I$5:I$21,MATCH('2.3 OpCo Proxy Cap Str'!$A9,'GASOpCo Cap Str WP'!$B$5:$B$21,0))</f>
        <v>0.50007371600112838</v>
      </c>
      <c r="F9" s="802"/>
      <c r="G9" s="802">
        <f>INDEX('GASOpCo Cap Str WP'!K$5:K$21,MATCH('2.3 OpCo Proxy Cap Str'!$A9,'GASOpCo Cap Str WP'!$B$5:$B$21,0))</f>
        <v>0.49992628399887151</v>
      </c>
      <c r="H9" s="802"/>
      <c r="I9" s="803">
        <f t="shared" si="0"/>
        <v>0.99999999999999989</v>
      </c>
      <c r="M9" s="406"/>
      <c r="N9" s="406"/>
      <c r="O9" s="406"/>
      <c r="P9" s="406"/>
      <c r="Q9" s="406"/>
    </row>
    <row r="10" spans="1:17" ht="20.25">
      <c r="A10" s="800" t="s">
        <v>4040</v>
      </c>
      <c r="B10" s="796"/>
      <c r="C10" s="801" t="s">
        <v>3052</v>
      </c>
      <c r="D10" s="796"/>
      <c r="E10" s="802">
        <f>INDEX('GASOpCo Cap Str WP'!I$5:I$21,MATCH('2.3 OpCo Proxy Cap Str'!$A10,'GASOpCo Cap Str WP'!$B$5:$B$21,0))</f>
        <v>0.47814382940685751</v>
      </c>
      <c r="F10" s="802"/>
      <c r="G10" s="802">
        <f>INDEX('GASOpCo Cap Str WP'!K$5:K$21,MATCH('2.3 OpCo Proxy Cap Str'!$A10,'GASOpCo Cap Str WP'!$B$5:$B$21,0))</f>
        <v>0.52185617059314249</v>
      </c>
      <c r="H10" s="802"/>
      <c r="I10" s="803">
        <f t="shared" si="0"/>
        <v>1</v>
      </c>
      <c r="K10" s="609"/>
      <c r="M10" s="406"/>
      <c r="N10" s="406"/>
      <c r="O10" s="406"/>
      <c r="P10" s="406"/>
      <c r="Q10" s="406"/>
    </row>
    <row r="11" spans="1:17" ht="20.25">
      <c r="A11" s="800" t="s">
        <v>3062</v>
      </c>
      <c r="B11" s="796"/>
      <c r="C11" s="801" t="s">
        <v>3053</v>
      </c>
      <c r="D11" s="796"/>
      <c r="E11" s="802">
        <f>INDEX('GASOpCo Cap Str WP'!I$5:I$21,MATCH('2.3 OpCo Proxy Cap Str'!$A11,'GASOpCo Cap Str WP'!$B$5:$B$21,0))</f>
        <v>0.38744807367794937</v>
      </c>
      <c r="F11" s="802"/>
      <c r="G11" s="802">
        <f>INDEX('GASOpCo Cap Str WP'!K$5:K$21,MATCH('2.3 OpCo Proxy Cap Str'!$A11,'GASOpCo Cap Str WP'!$B$5:$B$21,0))</f>
        <v>0.61255192632205058</v>
      </c>
      <c r="H11" s="802"/>
      <c r="I11" s="803">
        <f t="shared" si="0"/>
        <v>1</v>
      </c>
      <c r="K11" s="609"/>
      <c r="M11" s="406"/>
      <c r="N11" s="406"/>
      <c r="O11" s="406"/>
      <c r="P11" s="406"/>
      <c r="Q11" s="406"/>
    </row>
    <row r="12" spans="1:17" ht="20.25">
      <c r="A12" s="800" t="s">
        <v>3059</v>
      </c>
      <c r="B12" s="796"/>
      <c r="C12" s="801" t="s">
        <v>3055</v>
      </c>
      <c r="D12" s="796"/>
      <c r="E12" s="802">
        <f>INDEX('GASOpCo Cap Str WP'!I$5:I$21,MATCH('2.3 OpCo Proxy Cap Str'!$A12,'GASOpCo Cap Str WP'!$B$5:$B$21,0))</f>
        <v>0.58482054003847939</v>
      </c>
      <c r="F12" s="802"/>
      <c r="G12" s="802">
        <f>INDEX('GASOpCo Cap Str WP'!K$5:K$21,MATCH('2.3 OpCo Proxy Cap Str'!$A12,'GASOpCo Cap Str WP'!$B$5:$B$21,0))</f>
        <v>0.41517945996152061</v>
      </c>
      <c r="H12" s="802"/>
      <c r="I12" s="803">
        <f t="shared" si="0"/>
        <v>1</v>
      </c>
      <c r="M12" s="406"/>
      <c r="N12" s="406"/>
      <c r="O12" s="406"/>
      <c r="P12" s="406"/>
      <c r="Q12" s="406"/>
    </row>
    <row r="13" spans="1:17" ht="20.25">
      <c r="A13" s="800" t="s">
        <v>3060</v>
      </c>
      <c r="B13" s="796"/>
      <c r="C13" s="801" t="s">
        <v>3055</v>
      </c>
      <c r="D13" s="796"/>
      <c r="E13" s="802">
        <f>INDEX('GASOpCo Cap Str WP'!I$5:I$21,MATCH('2.3 OpCo Proxy Cap Str'!$A13,'GASOpCo Cap Str WP'!$B$5:$B$21,0))</f>
        <v>0.54082122292295032</v>
      </c>
      <c r="F13" s="802"/>
      <c r="G13" s="802">
        <f>INDEX('GASOpCo Cap Str WP'!K$5:K$21,MATCH('2.3 OpCo Proxy Cap Str'!$A13,'GASOpCo Cap Str WP'!$B$5:$B$21,0))</f>
        <v>0.45917877707704963</v>
      </c>
      <c r="H13" s="802"/>
      <c r="I13" s="803">
        <f t="shared" si="0"/>
        <v>1</v>
      </c>
      <c r="M13" s="406"/>
      <c r="N13" s="406"/>
      <c r="O13" s="406"/>
      <c r="P13" s="406"/>
      <c r="Q13" s="406"/>
    </row>
    <row r="14" spans="1:17" ht="20.25">
      <c r="A14" s="800"/>
      <c r="B14" s="800"/>
      <c r="C14" s="795"/>
      <c r="D14" s="796"/>
      <c r="E14" s="802"/>
      <c r="F14" s="802"/>
      <c r="G14" s="802"/>
      <c r="H14" s="802"/>
      <c r="I14" s="803"/>
      <c r="M14" s="406"/>
      <c r="N14" s="406"/>
      <c r="O14" s="406"/>
      <c r="P14" s="406"/>
      <c r="Q14" s="406"/>
    </row>
    <row r="15" spans="1:17" ht="21" thickBot="1">
      <c r="A15" s="800"/>
      <c r="B15" s="800"/>
      <c r="C15" s="804" t="s">
        <v>4391</v>
      </c>
      <c r="D15" s="796"/>
      <c r="E15" s="805">
        <f>MAX(E7:E13)</f>
        <v>0.58482054003847939</v>
      </c>
      <c r="F15" s="803"/>
      <c r="G15" s="805">
        <f>MAX(G7:G13)</f>
        <v>0.61255192632205058</v>
      </c>
      <c r="H15" s="803"/>
      <c r="I15" s="803"/>
    </row>
    <row r="16" spans="1:17" ht="21" thickTop="1">
      <c r="A16" s="800"/>
      <c r="B16" s="800"/>
      <c r="C16" s="796"/>
      <c r="D16" s="796"/>
      <c r="E16" s="803"/>
      <c r="F16" s="803"/>
      <c r="G16" s="803"/>
      <c r="H16" s="803"/>
      <c r="I16" s="803"/>
    </row>
    <row r="17" spans="1:19" ht="21" thickBot="1">
      <c r="A17" s="800"/>
      <c r="B17" s="800"/>
      <c r="C17" s="804" t="s">
        <v>4392</v>
      </c>
      <c r="D17" s="796"/>
      <c r="E17" s="805">
        <f>MIN(E7:E13)</f>
        <v>0.38744807367794937</v>
      </c>
      <c r="F17" s="803"/>
      <c r="G17" s="805">
        <f>MIN(G7:G13)</f>
        <v>0.41517945996152061</v>
      </c>
      <c r="H17" s="803"/>
      <c r="I17" s="803"/>
    </row>
    <row r="18" spans="1:19" ht="21" thickTop="1">
      <c r="A18" s="796" t="s">
        <v>4228</v>
      </c>
      <c r="B18" s="800"/>
      <c r="C18" s="804"/>
      <c r="D18" s="796"/>
      <c r="E18" s="803"/>
      <c r="F18" s="803"/>
      <c r="G18" s="803"/>
      <c r="H18" s="803"/>
      <c r="I18" s="803"/>
    </row>
    <row r="19" spans="1:19" ht="20.25">
      <c r="A19" s="796" t="s">
        <v>4383</v>
      </c>
      <c r="B19" s="796"/>
      <c r="C19" s="795"/>
      <c r="D19" s="796"/>
      <c r="E19" s="795"/>
      <c r="F19" s="795"/>
      <c r="G19" s="795"/>
      <c r="H19" s="795"/>
      <c r="I19" s="795"/>
    </row>
    <row r="20" spans="1:19">
      <c r="E20" s="608"/>
      <c r="G20" s="608"/>
      <c r="I20" s="608"/>
    </row>
    <row r="21" spans="1:19">
      <c r="F21" s="628"/>
    </row>
    <row r="25" spans="1:19">
      <c r="K25" s="744"/>
      <c r="M25" s="744"/>
      <c r="O25" s="744"/>
      <c r="Q25" s="744"/>
      <c r="S25" s="744"/>
    </row>
    <row r="26" spans="1:19">
      <c r="K26" s="745"/>
      <c r="M26" s="745"/>
      <c r="O26" s="745"/>
      <c r="Q26" s="745"/>
      <c r="S26" s="745"/>
    </row>
    <row r="27" spans="1:19">
      <c r="K27" s="745"/>
      <c r="M27" s="745"/>
      <c r="O27" s="745"/>
      <c r="Q27" s="745"/>
      <c r="S27" s="745"/>
    </row>
    <row r="28" spans="1:19">
      <c r="K28" s="746"/>
      <c r="M28" s="746"/>
      <c r="O28" s="746"/>
      <c r="Q28" s="746"/>
      <c r="S28" s="746"/>
    </row>
    <row r="29" spans="1:19">
      <c r="M29" s="406"/>
      <c r="N29" s="406"/>
      <c r="O29" s="406"/>
      <c r="P29" s="406"/>
      <c r="Q29" s="406"/>
    </row>
  </sheetData>
  <mergeCells count="3">
    <mergeCell ref="A2:I2"/>
    <mergeCell ref="A3:I3"/>
    <mergeCell ref="E5:I5"/>
  </mergeCells>
  <printOptions horizontalCentered="1"/>
  <pageMargins left="0.7" right="0.7" top="0.75" bottom="0.75" header="0.3" footer="0.3"/>
  <pageSetup scale="7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32"/>
  <sheetViews>
    <sheetView view="pageBreakPreview" zoomScale="72" zoomScaleNormal="80" zoomScaleSheetLayoutView="85" workbookViewId="0">
      <selection activeCell="K14" sqref="K14"/>
    </sheetView>
  </sheetViews>
  <sheetFormatPr defaultColWidth="9" defaultRowHeight="15.75"/>
  <cols>
    <col min="1" max="1" width="9" style="3"/>
    <col min="2" max="2" width="39.5703125" style="3" customWidth="1"/>
    <col min="3" max="3" width="2.7109375" style="3" customWidth="1"/>
    <col min="4" max="4" width="8.5703125" style="3" customWidth="1"/>
    <col min="5" max="5" width="3.85546875" style="3" customWidth="1"/>
    <col min="6" max="6" width="2.7109375" style="3" customWidth="1"/>
    <col min="7" max="7" width="11.5703125" style="3" bestFit="1" customWidth="1"/>
    <col min="8" max="8" width="3.85546875" style="3" customWidth="1"/>
    <col min="9" max="9" width="2.7109375" style="3" customWidth="1"/>
    <col min="10" max="10" width="11.5703125" style="3" customWidth="1"/>
    <col min="11" max="11" width="3.85546875" style="3" customWidth="1"/>
    <col min="12" max="12" width="2.7109375" style="3" customWidth="1"/>
    <col min="13" max="13" width="11.85546875" style="3" customWidth="1"/>
    <col min="14" max="14" width="3.85546875" style="3" customWidth="1"/>
    <col min="15" max="15" width="2.7109375" style="3" customWidth="1"/>
    <col min="16" max="16" width="11.7109375" style="3" customWidth="1"/>
    <col min="17" max="17" width="3.85546875" style="3" customWidth="1"/>
    <col min="18" max="18" width="2.7109375" style="3" customWidth="1"/>
    <col min="19" max="19" width="12" style="3" customWidth="1"/>
    <col min="20" max="20" width="3.85546875" style="3" customWidth="1"/>
    <col min="21" max="21" width="2.7109375" style="3" customWidth="1"/>
    <col min="22" max="22" width="10.28515625" style="3" bestFit="1" customWidth="1"/>
    <col min="23" max="23" width="3.85546875" style="3" customWidth="1"/>
    <col min="24" max="24" width="2.7109375" style="3" customWidth="1"/>
    <col min="25" max="16384" width="9" style="3"/>
  </cols>
  <sheetData>
    <row r="1" spans="1:28">
      <c r="B1" s="1" t="str">
        <f>Input!G28</f>
        <v>Peoples Gas System</v>
      </c>
      <c r="C1" s="2"/>
      <c r="D1" s="2"/>
      <c r="E1" s="2"/>
      <c r="F1" s="2"/>
      <c r="G1" s="2"/>
      <c r="H1" s="2"/>
      <c r="I1" s="2"/>
      <c r="J1" s="2"/>
      <c r="K1" s="2"/>
      <c r="L1" s="2"/>
      <c r="M1" s="2"/>
      <c r="N1" s="2"/>
      <c r="O1" s="2"/>
      <c r="P1" s="2"/>
      <c r="Q1" s="2"/>
      <c r="R1" s="2"/>
      <c r="S1" s="2"/>
      <c r="T1" s="2"/>
      <c r="U1" s="2"/>
      <c r="V1" s="2"/>
      <c r="W1" s="2"/>
    </row>
    <row r="2" spans="1:28">
      <c r="B2" s="2" t="s">
        <v>2934</v>
      </c>
      <c r="C2" s="2"/>
      <c r="D2" s="2"/>
      <c r="E2" s="2"/>
      <c r="F2" s="2"/>
      <c r="G2" s="2"/>
      <c r="H2" s="2"/>
      <c r="I2" s="2"/>
      <c r="J2" s="2"/>
      <c r="K2" s="2"/>
      <c r="L2" s="2"/>
      <c r="M2" s="2"/>
      <c r="N2" s="2"/>
      <c r="O2" s="2"/>
      <c r="P2" s="2"/>
      <c r="Q2" s="2"/>
      <c r="R2" s="2"/>
      <c r="S2" s="2"/>
      <c r="T2" s="2"/>
      <c r="U2" s="2"/>
      <c r="V2" s="2"/>
      <c r="W2" s="2"/>
    </row>
    <row r="3" spans="1:28">
      <c r="B3" s="1" t="str">
        <f>Input!I29</f>
        <v>Utility Proxy Group</v>
      </c>
      <c r="C3" s="1"/>
      <c r="D3" s="1"/>
      <c r="E3" s="1"/>
      <c r="F3" s="1"/>
      <c r="G3" s="1"/>
      <c r="H3" s="1"/>
      <c r="I3" s="1"/>
      <c r="J3" s="1"/>
      <c r="K3" s="1"/>
      <c r="L3" s="1"/>
      <c r="M3" s="1"/>
      <c r="N3" s="1"/>
      <c r="O3" s="1"/>
      <c r="P3" s="1"/>
      <c r="Q3" s="1"/>
      <c r="R3" s="1"/>
      <c r="S3" s="1"/>
      <c r="T3" s="1"/>
      <c r="U3" s="1"/>
      <c r="V3" s="1"/>
      <c r="W3" s="1"/>
    </row>
    <row r="5" spans="1:28">
      <c r="D5" s="246" t="s">
        <v>1337</v>
      </c>
      <c r="E5" s="2"/>
      <c r="G5" s="246" t="s">
        <v>1336</v>
      </c>
      <c r="H5" s="2"/>
      <c r="J5" s="246" t="s">
        <v>1335</v>
      </c>
      <c r="K5" s="2"/>
      <c r="M5" s="76" t="s">
        <v>1341</v>
      </c>
      <c r="N5" s="76"/>
      <c r="P5" s="76" t="s">
        <v>1342</v>
      </c>
      <c r="Q5" s="76"/>
      <c r="S5" s="1002" t="s">
        <v>1345</v>
      </c>
      <c r="T5" s="1002"/>
      <c r="V5" s="1002" t="s">
        <v>1346</v>
      </c>
      <c r="W5" s="1002"/>
      <c r="X5" s="246"/>
      <c r="Y5" s="2"/>
    </row>
    <row r="7" spans="1:28" ht="94.5" customHeight="1">
      <c r="B7" s="438" t="str">
        <f>'4.2 Ind. PRPM Results'!B8</f>
        <v>Proxy Group of Six Natural Gas Companies</v>
      </c>
      <c r="D7" s="464" t="s">
        <v>159</v>
      </c>
      <c r="E7" s="442"/>
      <c r="G7" s="464" t="s">
        <v>160</v>
      </c>
      <c r="H7" s="442"/>
      <c r="J7" s="464" t="s">
        <v>161</v>
      </c>
      <c r="K7" s="442"/>
      <c r="M7" s="464" t="s">
        <v>162</v>
      </c>
      <c r="N7" s="442"/>
      <c r="P7" s="464" t="s">
        <v>163</v>
      </c>
      <c r="Q7" s="442"/>
      <c r="S7" s="464" t="s">
        <v>164</v>
      </c>
      <c r="T7" s="442"/>
      <c r="V7" s="464" t="s">
        <v>165</v>
      </c>
      <c r="W7" s="442"/>
    </row>
    <row r="8" spans="1:28">
      <c r="Y8" s="123"/>
      <c r="Z8" s="123"/>
      <c r="AA8" s="123"/>
      <c r="AB8" s="123"/>
    </row>
    <row r="9" spans="1:28">
      <c r="A9" s="3" t="str">
        <f>'4.2 Ind. PRPM Results'!A10</f>
        <v>ATO</v>
      </c>
      <c r="B9" s="340" t="str">
        <f>'Proxy Data Lookup'!B3</f>
        <v>Atmos Energy Corporation</v>
      </c>
      <c r="D9" s="51">
        <f>HLOOKUP(A9,'Proxy Prices'!$B$4:$M$71,68,FALSE)*100</f>
        <v>2.69</v>
      </c>
      <c r="E9" s="51" t="s">
        <v>18</v>
      </c>
      <c r="F9" s="51"/>
      <c r="G9" s="7">
        <f>'Proxy Data Lookup'!E3*100</f>
        <v>7.5</v>
      </c>
      <c r="H9" s="51" t="s">
        <v>18</v>
      </c>
      <c r="I9" s="51"/>
      <c r="J9" s="247">
        <f>'Proxy Data Lookup'!C3*100</f>
        <v>7.5</v>
      </c>
      <c r="K9" s="51" t="s">
        <v>18</v>
      </c>
      <c r="L9" s="51"/>
      <c r="M9" s="247">
        <f>'Proxy Data Lookup'!D3*100</f>
        <v>8.16</v>
      </c>
      <c r="N9" s="51" t="s">
        <v>18</v>
      </c>
      <c r="O9" s="51"/>
      <c r="P9" s="51">
        <f>IFERROR(ROUND(AVERAGE(G9,J9,M9),2),"NA")</f>
        <v>7.72</v>
      </c>
      <c r="Q9" s="51" t="s">
        <v>18</v>
      </c>
      <c r="R9" s="51"/>
      <c r="S9" s="70">
        <f>IFERROR(D9*(1+(0.5*(P9/100))),"NA")</f>
        <v>2.7938339999999999</v>
      </c>
      <c r="T9" s="51" t="s">
        <v>18</v>
      </c>
      <c r="U9" s="51"/>
      <c r="V9" s="51">
        <f>IFERROR(S9 + P9,"NA")</f>
        <v>10.513833999999999</v>
      </c>
      <c r="W9" s="3" t="s">
        <v>18</v>
      </c>
      <c r="Y9" s="115"/>
      <c r="Z9" s="470">
        <f>AVERAGE(V9:V14)</f>
        <v>10.118696083333333</v>
      </c>
      <c r="AA9" s="115"/>
      <c r="AB9" s="115"/>
    </row>
    <row r="10" spans="1:28">
      <c r="A10" s="3" t="str">
        <f>'4.2 Ind. PRPM Results'!A11</f>
        <v>NJR</v>
      </c>
      <c r="B10" s="340" t="str">
        <f>'Proxy Data Lookup'!B4</f>
        <v>New Jersey Resources Corporation</v>
      </c>
      <c r="D10" s="51">
        <f>HLOOKUP(A10,'Proxy Prices'!$B$4:$M$71,68,FALSE)*100</f>
        <v>3.4000000000000004</v>
      </c>
      <c r="E10" s="51"/>
      <c r="F10" s="51"/>
      <c r="G10" s="7">
        <f>'Proxy Data Lookup'!E4*100</f>
        <v>5</v>
      </c>
      <c r="H10" s="51"/>
      <c r="I10" s="51"/>
      <c r="J10" s="247">
        <f>'Proxy Data Lookup'!C4*100</f>
        <v>6</v>
      </c>
      <c r="K10" s="51"/>
      <c r="L10" s="51"/>
      <c r="M10" s="247">
        <f>'Proxy Data Lookup'!D4*100</f>
        <v>6</v>
      </c>
      <c r="N10" s="51"/>
      <c r="O10" s="51"/>
      <c r="P10" s="51">
        <f t="shared" ref="P10:P13" si="0">IFERROR(ROUND(AVERAGE(G10,J10,M10),2),"NA")</f>
        <v>5.67</v>
      </c>
      <c r="Q10" s="51"/>
      <c r="R10" s="51"/>
      <c r="S10" s="70">
        <f t="shared" ref="S10:S14" si="1">IFERROR(D10*(1+(0.5*(P10/100))),"NA")</f>
        <v>3.4963900000000008</v>
      </c>
      <c r="T10" s="51"/>
      <c r="U10" s="51"/>
      <c r="V10" s="51">
        <f>IFERROR(S10 + P10,"NA")</f>
        <v>9.1663899999999998</v>
      </c>
      <c r="W10" s="51"/>
      <c r="Y10" s="115"/>
      <c r="Z10" s="475">
        <f>2*(_xlfn.STDEV.P(V9:V14))</f>
        <v>2.2161373834840368</v>
      </c>
      <c r="AA10" s="224"/>
      <c r="AB10" s="224"/>
    </row>
    <row r="11" spans="1:28">
      <c r="A11" s="3" t="str">
        <f>'4.2 Ind. PRPM Results'!A12</f>
        <v>NI</v>
      </c>
      <c r="B11" s="340" t="str">
        <f>'Proxy Data Lookup'!B5</f>
        <v>NiSource Inc.</v>
      </c>
      <c r="D11" s="51">
        <f>HLOOKUP(A11,'Proxy Prices'!$B$4:$M$71,68,FALSE)*100</f>
        <v>3.58</v>
      </c>
      <c r="E11" s="51"/>
      <c r="F11" s="51"/>
      <c r="G11" s="7">
        <f>'Proxy Data Lookup'!E5*100</f>
        <v>9.5</v>
      </c>
      <c r="H11" s="51"/>
      <c r="I11" s="51"/>
      <c r="J11" s="247">
        <f>'Proxy Data Lookup'!C5*100</f>
        <v>6.8000000000000007</v>
      </c>
      <c r="K11" s="51"/>
      <c r="L11" s="51"/>
      <c r="M11" s="247">
        <f>'Proxy Data Lookup'!D5*100</f>
        <v>6.35</v>
      </c>
      <c r="N11" s="51"/>
      <c r="O11" s="51"/>
      <c r="P11" s="51">
        <f t="shared" si="0"/>
        <v>7.55</v>
      </c>
      <c r="Q11" s="51"/>
      <c r="R11" s="51"/>
      <c r="S11" s="70">
        <f t="shared" si="1"/>
        <v>3.7151449999999997</v>
      </c>
      <c r="T11" s="51"/>
      <c r="U11" s="51"/>
      <c r="V11" s="51">
        <f t="shared" ref="V11:V14" si="2">IFERROR(S11 + P11,"NA")</f>
        <v>11.265145</v>
      </c>
      <c r="W11" s="51"/>
      <c r="Y11" s="115"/>
      <c r="Z11" s="470">
        <f>Z9+Z10</f>
        <v>12.33483346681737</v>
      </c>
      <c r="AA11" s="224"/>
      <c r="AB11" s="224"/>
    </row>
    <row r="12" spans="1:28">
      <c r="A12" s="3" t="str">
        <f>'4.2 Ind. PRPM Results'!A13</f>
        <v>NWN</v>
      </c>
      <c r="B12" s="340" t="str">
        <f>'Proxy Data Lookup'!B6</f>
        <v>Northwest Natural Holding Company</v>
      </c>
      <c r="D12" s="51">
        <f>HLOOKUP(A12,'Proxy Prices'!$B$4:$M$71,68,FALSE)*100</f>
        <v>4.1300000000000008</v>
      </c>
      <c r="E12" s="51"/>
      <c r="F12" s="51"/>
      <c r="G12" s="7">
        <f>'Proxy Data Lookup'!E6*100</f>
        <v>6.5</v>
      </c>
      <c r="H12" s="51"/>
      <c r="I12" s="51"/>
      <c r="J12" s="247">
        <f>'Proxy Data Lookup'!C6*100</f>
        <v>4.3</v>
      </c>
      <c r="K12" s="51"/>
      <c r="L12" s="51"/>
      <c r="M12" s="247">
        <f>'Proxy Data Lookup'!D6*100</f>
        <v>4.3</v>
      </c>
      <c r="N12" s="51"/>
      <c r="O12" s="51"/>
      <c r="P12" s="51">
        <f t="shared" si="0"/>
        <v>5.03</v>
      </c>
      <c r="Q12" s="51"/>
      <c r="R12" s="51"/>
      <c r="S12" s="70">
        <f t="shared" si="1"/>
        <v>4.2338695000000008</v>
      </c>
      <c r="T12" s="51"/>
      <c r="U12" s="51"/>
      <c r="V12" s="51">
        <f t="shared" si="2"/>
        <v>9.263869500000002</v>
      </c>
      <c r="W12" s="51"/>
      <c r="Y12" s="465"/>
      <c r="Z12" s="470">
        <f>Z9-Z10</f>
        <v>7.9025586998492958</v>
      </c>
      <c r="AA12" s="224"/>
      <c r="AB12" s="224"/>
    </row>
    <row r="13" spans="1:28">
      <c r="A13" s="3" t="str">
        <f>'4.2 Ind. PRPM Results'!A14</f>
        <v>OGS</v>
      </c>
      <c r="B13" s="340" t="str">
        <f>'Proxy Data Lookup'!B7</f>
        <v>ONE Gas, Inc.</v>
      </c>
      <c r="D13" s="51">
        <f>HLOOKUP(A13,'Proxy Prices'!$B$4:$M$71,68,FALSE)*100</f>
        <v>3.2099999999999995</v>
      </c>
      <c r="E13" s="51"/>
      <c r="F13" s="51"/>
      <c r="G13" s="7">
        <f>'Proxy Data Lookup'!E7*100</f>
        <v>6.5</v>
      </c>
      <c r="H13" s="51"/>
      <c r="I13" s="51"/>
      <c r="J13" s="247">
        <f>'Proxy Data Lookup'!C7*100</f>
        <v>5</v>
      </c>
      <c r="K13" s="51"/>
      <c r="L13" s="51"/>
      <c r="M13" s="247">
        <f>'Proxy Data Lookup'!D7*100</f>
        <v>5</v>
      </c>
      <c r="N13" s="51"/>
      <c r="O13" s="51"/>
      <c r="P13" s="51">
        <f t="shared" si="0"/>
        <v>5.5</v>
      </c>
      <c r="Q13" s="51"/>
      <c r="R13" s="51"/>
      <c r="S13" s="70">
        <f t="shared" si="1"/>
        <v>3.2982749999999998</v>
      </c>
      <c r="T13" s="51"/>
      <c r="U13" s="51"/>
      <c r="V13" s="51">
        <f t="shared" si="2"/>
        <v>8.7982750000000003</v>
      </c>
      <c r="W13" s="51"/>
      <c r="Y13" s="465"/>
      <c r="Z13" s="115"/>
      <c r="AA13" s="224"/>
      <c r="AB13" s="224"/>
    </row>
    <row r="14" spans="1:28">
      <c r="A14" s="3" t="str">
        <f>'4.2 Ind. PRPM Results'!A15</f>
        <v>SR</v>
      </c>
      <c r="B14" s="340" t="str">
        <f>'Proxy Data Lookup'!B8</f>
        <v>Spire Inc.</v>
      </c>
      <c r="D14" s="51">
        <f>HLOOKUP(A14,'Proxy Prices'!$B$4:$M$71,68,FALSE)*100</f>
        <v>4.22</v>
      </c>
      <c r="E14" s="51"/>
      <c r="F14" s="51"/>
      <c r="G14" s="7">
        <f>'Proxy Data Lookup'!E8*100</f>
        <v>9</v>
      </c>
      <c r="H14" s="51"/>
      <c r="I14" s="51"/>
      <c r="J14" s="247">
        <f>'Proxy Data Lookup'!C8*100</f>
        <v>5</v>
      </c>
      <c r="K14" s="51"/>
      <c r="L14" s="51"/>
      <c r="M14" s="247">
        <f>'Proxy Data Lookup'!D8*100</f>
        <v>8</v>
      </c>
      <c r="N14" s="51"/>
      <c r="O14" s="51"/>
      <c r="P14" s="51">
        <f>IFERROR(ROUND(AVERAGE(G14,J14,M14),2),"NA")</f>
        <v>7.33</v>
      </c>
      <c r="Q14" s="51"/>
      <c r="R14" s="51"/>
      <c r="S14" s="70">
        <f t="shared" si="1"/>
        <v>4.374663</v>
      </c>
      <c r="T14" s="51"/>
      <c r="U14" s="51"/>
      <c r="V14" s="51">
        <f t="shared" si="2"/>
        <v>11.704663</v>
      </c>
      <c r="W14" s="51"/>
      <c r="Y14" s="465"/>
      <c r="Z14" s="115"/>
      <c r="AA14" s="224"/>
      <c r="AB14" s="224"/>
    </row>
    <row r="15" spans="1:28">
      <c r="D15" s="51"/>
      <c r="E15" s="51"/>
      <c r="F15" s="51"/>
      <c r="G15" s="51"/>
      <c r="H15" s="51"/>
      <c r="I15" s="51"/>
      <c r="J15" s="247"/>
      <c r="K15" s="51"/>
      <c r="L15" s="51"/>
      <c r="M15" s="247"/>
      <c r="N15" s="51"/>
      <c r="O15" s="51"/>
      <c r="P15" s="51"/>
      <c r="Q15" s="51"/>
      <c r="R15" s="51"/>
      <c r="T15" s="51"/>
      <c r="U15" s="51"/>
      <c r="V15" s="466"/>
      <c r="AA15" s="224"/>
      <c r="AB15" s="224"/>
    </row>
    <row r="16" spans="1:28" ht="16.5" thickBot="1">
      <c r="D16" s="51"/>
      <c r="E16" s="51"/>
      <c r="F16" s="51"/>
      <c r="G16" s="51"/>
      <c r="H16" s="51"/>
      <c r="I16" s="51"/>
      <c r="J16" s="51"/>
      <c r="K16" s="51"/>
      <c r="L16" s="51"/>
      <c r="M16" s="51"/>
      <c r="N16" s="51"/>
      <c r="O16" s="51"/>
      <c r="P16" s="51"/>
      <c r="Q16" s="51"/>
      <c r="R16" s="51"/>
      <c r="S16" s="10" t="s">
        <v>80</v>
      </c>
      <c r="T16" s="51"/>
      <c r="U16" s="51"/>
      <c r="V16" s="71">
        <f>AVERAGE(V9:V14)</f>
        <v>10.118696083333333</v>
      </c>
      <c r="W16" s="3" t="s">
        <v>18</v>
      </c>
      <c r="AA16" s="224"/>
      <c r="AB16" s="224"/>
    </row>
    <row r="17" spans="4:28" ht="16.5" thickTop="1">
      <c r="D17" s="51"/>
      <c r="E17" s="51"/>
      <c r="F17" s="51"/>
      <c r="G17" s="51"/>
      <c r="H17" s="51"/>
      <c r="I17" s="51"/>
      <c r="J17" s="51"/>
      <c r="K17" s="51"/>
      <c r="L17" s="51"/>
      <c r="M17" s="51"/>
      <c r="N17" s="51"/>
      <c r="O17" s="51"/>
      <c r="P17" s="51"/>
      <c r="Q17" s="51"/>
      <c r="R17" s="51"/>
      <c r="T17" s="51"/>
      <c r="U17" s="51"/>
      <c r="V17" s="51"/>
      <c r="AA17" s="224"/>
      <c r="AB17" s="224"/>
    </row>
    <row r="18" spans="4:28" ht="16.5" thickBot="1">
      <c r="E18" s="51"/>
      <c r="F18" s="51"/>
      <c r="G18" s="51"/>
      <c r="H18" s="51"/>
      <c r="I18" s="51"/>
      <c r="J18" s="51"/>
      <c r="K18" s="51"/>
      <c r="L18" s="51"/>
      <c r="M18" s="51"/>
      <c r="N18" s="51"/>
      <c r="O18" s="51"/>
      <c r="P18" s="51"/>
      <c r="Q18" s="51"/>
      <c r="R18" s="51"/>
      <c r="S18" s="10" t="s">
        <v>183</v>
      </c>
      <c r="T18" s="51"/>
      <c r="U18" s="51"/>
      <c r="V18" s="71">
        <f>MEDIAN(V9:V14)</f>
        <v>9.8888517500000006</v>
      </c>
      <c r="W18" s="3" t="s">
        <v>18</v>
      </c>
    </row>
    <row r="19" spans="4:28" ht="16.5" thickTop="1"/>
    <row r="20" spans="4:28" ht="16.5" thickBot="1">
      <c r="S20" s="10" t="s">
        <v>1376</v>
      </c>
      <c r="V20" s="71">
        <f>ROUND(AVERAGE(V16:V18),2)</f>
        <v>10</v>
      </c>
      <c r="W20" s="3" t="s">
        <v>18</v>
      </c>
    </row>
    <row r="21" spans="4:28" ht="16.5" thickTop="1">
      <c r="S21" s="10"/>
      <c r="V21" s="51"/>
    </row>
    <row r="22" spans="4:28">
      <c r="D22" s="10" t="s">
        <v>94</v>
      </c>
      <c r="S22" s="10"/>
      <c r="V22" s="51"/>
    </row>
    <row r="23" spans="4:28" ht="32.25" customHeight="1">
      <c r="E23" s="231" t="s">
        <v>95</v>
      </c>
      <c r="F23" s="1001" t="str">
        <f>CONCATENATE("Indicated dividend at ",TEXT(Input!E2,"mm/dd/yyyy")," divided by the average closing price of the last 60 trading days ending ",TEXT(Input!E2,"mm/dd/yyyy")," for each company.")</f>
        <v>Indicated dividend at 12/30/2022 divided by the average closing price of the last 60 trading days ending 12/30/2022 for each company.</v>
      </c>
      <c r="G23" s="1001"/>
      <c r="H23" s="1001"/>
      <c r="I23" s="1001"/>
      <c r="J23" s="1001"/>
      <c r="K23" s="1001"/>
      <c r="L23" s="1001"/>
      <c r="M23" s="1001"/>
      <c r="N23" s="1001"/>
      <c r="O23" s="1001"/>
      <c r="P23" s="1001"/>
      <c r="Q23" s="1001"/>
      <c r="R23" s="1001"/>
      <c r="S23" s="1001"/>
      <c r="T23" s="1001"/>
      <c r="U23" s="1001"/>
      <c r="V23" s="1001"/>
      <c r="W23" s="1001"/>
    </row>
    <row r="24" spans="4:28" ht="18" customHeight="1">
      <c r="E24" s="231" t="s">
        <v>96</v>
      </c>
      <c r="F24" s="495" t="s">
        <v>4513</v>
      </c>
      <c r="G24" s="494"/>
    </row>
    <row r="25" spans="4:28">
      <c r="E25" s="72" t="s">
        <v>97</v>
      </c>
      <c r="F25" s="495" t="s">
        <v>4217</v>
      </c>
    </row>
    <row r="26" spans="4:28" ht="52.5" customHeight="1">
      <c r="E26" s="231" t="s">
        <v>98</v>
      </c>
      <c r="F26" s="1001" t="str">
        <f>CONCATENATE("This reflects a growth rate component equal to one-half the conclusion of growth rate (from column 5) x column 1 to reflect the periodic payment of dividends (Gordon Model) as opposed to the continuous payment.  Thus, for ",B9,", ",TEXT(D9,"#0.00"),"% x (1+( 1/2 x ",TEXT(P9,"#0.00"),"%) ) = ",TEXT(S9,"#0.00"),"%.")</f>
        <v>This reflects a growth rate component equal to one-half the conclusion of growth rate (from column 5) x column 1 to reflect the periodic payment of dividends (Gordon Model) as opposed to the continuous payment.  Thus, for Atmos Energy Corporation, 2.69% x (1+( 1/2 x 7.72%) ) = 2.79%.</v>
      </c>
      <c r="G26" s="1001"/>
      <c r="H26" s="1001"/>
      <c r="I26" s="1001"/>
      <c r="J26" s="1001"/>
      <c r="K26" s="1001"/>
      <c r="L26" s="1001"/>
      <c r="M26" s="1001"/>
      <c r="N26" s="1001"/>
      <c r="O26" s="1001"/>
      <c r="P26" s="1001"/>
      <c r="Q26" s="1001"/>
      <c r="R26" s="1001"/>
      <c r="S26" s="1001"/>
      <c r="T26" s="1001"/>
      <c r="U26" s="1001"/>
      <c r="V26" s="1001"/>
      <c r="W26" s="1001"/>
    </row>
    <row r="27" spans="4:28" ht="15" customHeight="1">
      <c r="E27" s="72" t="s">
        <v>110</v>
      </c>
      <c r="F27" s="495" t="s">
        <v>4232</v>
      </c>
    </row>
    <row r="28" spans="4:28">
      <c r="F28" s="304"/>
      <c r="G28" s="304"/>
      <c r="H28" s="304"/>
      <c r="I28" s="304"/>
      <c r="J28" s="304"/>
      <c r="K28" s="304"/>
      <c r="L28" s="304"/>
      <c r="M28" s="304"/>
      <c r="N28" s="304"/>
      <c r="O28" s="304"/>
      <c r="P28" s="304"/>
      <c r="Q28" s="304"/>
      <c r="R28" s="304"/>
      <c r="S28" s="304"/>
    </row>
    <row r="29" spans="4:28">
      <c r="D29" s="10" t="s">
        <v>146</v>
      </c>
      <c r="E29" s="3" t="s">
        <v>4231</v>
      </c>
    </row>
    <row r="30" spans="4:28">
      <c r="E30" s="3" t="str">
        <f>CONCATENATE("www.zacks.com, Downloaded on ",TEXT(Input!E2,"mm/dd/yyyy"))&amp;"."</f>
        <v>www.zacks.com, Downloaded on 12/30/2022.</v>
      </c>
    </row>
    <row r="31" spans="4:28">
      <c r="E31" s="3" t="str">
        <f>CONCATENATE("www.yahoo.com, Downloaded on ",TEXT(Input!E2,"mm/dd/yyyy"))&amp;"."</f>
        <v>www.yahoo.com, Downloaded on 12/30/2022.</v>
      </c>
    </row>
    <row r="32" spans="4:28">
      <c r="W32" s="304"/>
    </row>
  </sheetData>
  <mergeCells count="4">
    <mergeCell ref="F26:W26"/>
    <mergeCell ref="S5:T5"/>
    <mergeCell ref="V5:W5"/>
    <mergeCell ref="F23:W23"/>
  </mergeCells>
  <printOptions horizontalCentered="1"/>
  <pageMargins left="0.7" right="0.7" top="0.75" bottom="0.75" header="0.3" footer="0.3"/>
  <pageSetup scale="53" orientation="portrait" horizontalDpi="4294967294"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9469E761E20748A773F85B33816D32" ma:contentTypeVersion="2" ma:contentTypeDescription="Create a new document." ma:contentTypeScope="" ma:versionID="e5268eab065339c051eaf8aaeff5f44b">
  <xsd:schema xmlns:xsd="http://www.w3.org/2001/XMLSchema" xmlns:xs="http://www.w3.org/2001/XMLSchema" xmlns:p="http://schemas.microsoft.com/office/2006/metadata/properties" xmlns:ns2="9bbac886-2f20-4c15-ac8f-bd6773befed2" targetNamespace="http://schemas.microsoft.com/office/2006/metadata/properties" ma:root="true" ma:fieldsID="8de529939eb037e419d1462f88b80023" ns2:_="">
    <xsd:import namespace="9bbac886-2f20-4c15-ac8f-bd6773befed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bac886-2f20-4c15-ac8f-bd6773befe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65140C-FCA8-4838-A5E3-2171925C912F}">
  <ds:schemaRefs>
    <ds:schemaRef ds:uri="http://schemas.microsoft.com/sharepoint/v3/contenttype/forms"/>
  </ds:schemaRefs>
</ds:datastoreItem>
</file>

<file path=customXml/itemProps2.xml><?xml version="1.0" encoding="utf-8"?>
<ds:datastoreItem xmlns:ds="http://schemas.openxmlformats.org/officeDocument/2006/customXml" ds:itemID="{951AE7D3-5A00-42EE-81DF-83B83DA6E42C}">
  <ds:schemaRefs>
    <ds:schemaRef ds:uri="http://purl.org/dc/terms/"/>
    <ds:schemaRef ds:uri="9bbac886-2f20-4c15-ac8f-bd6773befed2"/>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0199C51F-61F9-4441-AD9E-12C9FE4DBD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bac886-2f20-4c15-ac8f-bd6773bef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35</vt:i4>
      </vt:variant>
    </vt:vector>
  </HeadingPairs>
  <TitlesOfParts>
    <vt:vector size="89" baseType="lpstr">
      <vt:lpstr>1.1 Recommended Cap Structure</vt:lpstr>
      <vt:lpstr>1.2 Summary of CE Models</vt:lpstr>
      <vt:lpstr>2.4 OpCo Proxy Cap Str</vt:lpstr>
      <vt:lpstr>2.1 GasProxy CapStr Summary</vt:lpstr>
      <vt:lpstr>2.2 GasProxy CapStr</vt:lpstr>
      <vt:lpstr>11.3-4 WP</vt:lpstr>
      <vt:lpstr>2.3 OpCo Proxy Cap Str</vt:lpstr>
      <vt:lpstr>3.1 DCF Summary</vt:lpstr>
      <vt:lpstr>4.1 RP Summary</vt:lpstr>
      <vt:lpstr>4.2 Ind. PRPM Results</vt:lpstr>
      <vt:lpstr>4.3 Risk Premium Summary</vt:lpstr>
      <vt:lpstr>4.4 Moody's Bond Yields</vt:lpstr>
      <vt:lpstr>4.5 Bond Ratings</vt:lpstr>
      <vt:lpstr>4.6 Moody's_S&amp;P numbericl</vt:lpstr>
      <vt:lpstr>4.7 ERP Determination</vt:lpstr>
      <vt:lpstr>4.8-4.9 Beta Adjusted ERP</vt:lpstr>
      <vt:lpstr>4.12 S&amp;P RPM Study Returns</vt:lpstr>
      <vt:lpstr>4.13 Past Rate Cases Gas</vt:lpstr>
      <vt:lpstr>5.1 CAPM</vt:lpstr>
      <vt:lpstr>5.2 CAPM Notes</vt:lpstr>
      <vt:lpstr>6.1 Comp Earnings Criteria</vt:lpstr>
      <vt:lpstr>6.2 Proxy Group Equivalent</vt:lpstr>
      <vt:lpstr>7.1 CEM Summary</vt:lpstr>
      <vt:lpstr>7.2 CEM DCF</vt:lpstr>
      <vt:lpstr>7.3 CEM RPM Summary</vt:lpstr>
      <vt:lpstr>7.4 CEM RPM Bond Ratings</vt:lpstr>
      <vt:lpstr>7.5 CEM Beta Adjusted RP</vt:lpstr>
      <vt:lpstr>7.6 CEM CAPM Backup</vt:lpstr>
      <vt:lpstr>8.1 Equity Contributions</vt:lpstr>
      <vt:lpstr>9.1 Risk Adjustment</vt:lpstr>
      <vt:lpstr>9.2 Market Cap</vt:lpstr>
      <vt:lpstr>10.1 CAPEX to Net Plant</vt:lpstr>
      <vt:lpstr>Input</vt:lpstr>
      <vt:lpstr>Market Data</vt:lpstr>
      <vt:lpstr>Proxy Data Lookup</vt:lpstr>
      <vt:lpstr>Proxy Price Data</vt:lpstr>
      <vt:lpstr>Proxy Prices</vt:lpstr>
      <vt:lpstr>CEM Data Lookup</vt:lpstr>
      <vt:lpstr>CEM Price Data</vt:lpstr>
      <vt:lpstr>CEM PricesDivs</vt:lpstr>
      <vt:lpstr>MRP WP1</vt:lpstr>
      <vt:lpstr>MRP WP2</vt:lpstr>
      <vt:lpstr>MRP WP3</vt:lpstr>
      <vt:lpstr>ERP WP1</vt:lpstr>
      <vt:lpstr>ERP WP 2</vt:lpstr>
      <vt:lpstr>MRP ERP WP</vt:lpstr>
      <vt:lpstr>GASOpCo Cap Str WP</vt:lpstr>
      <vt:lpstr>PRPM WP1</vt:lpstr>
      <vt:lpstr>3. ATO</vt:lpstr>
      <vt:lpstr>3. NI</vt:lpstr>
      <vt:lpstr>3. NJR</vt:lpstr>
      <vt:lpstr>3. NWN</vt:lpstr>
      <vt:lpstr>3. OGS</vt:lpstr>
      <vt:lpstr>3. SR</vt:lpstr>
      <vt:lpstr>'1.1 Recommended Cap Structure'!Print_Area</vt:lpstr>
      <vt:lpstr>'1.2 Summary of CE Models'!Print_Area</vt:lpstr>
      <vt:lpstr>'10.1 CAPEX to Net Plant'!Print_Area</vt:lpstr>
      <vt:lpstr>'2.1 GasProxy CapStr Summary'!Print_Area</vt:lpstr>
      <vt:lpstr>'2.2 GasProxy CapStr'!Print_Area</vt:lpstr>
      <vt:lpstr>'2.3 OpCo Proxy Cap Str'!Print_Area</vt:lpstr>
      <vt:lpstr>'2.4 OpCo Proxy Cap Str'!Print_Area</vt:lpstr>
      <vt:lpstr>'3.1 DCF Summary'!Print_Area</vt:lpstr>
      <vt:lpstr>'4.1 RP Summary'!Print_Area</vt:lpstr>
      <vt:lpstr>'4.12 S&amp;P RPM Study Returns'!Print_Area</vt:lpstr>
      <vt:lpstr>'4.13 Past Rate Cases Gas'!Print_Area</vt:lpstr>
      <vt:lpstr>'4.2 Ind. PRPM Results'!Print_Area</vt:lpstr>
      <vt:lpstr>'4.3 Risk Premium Summary'!Print_Area</vt:lpstr>
      <vt:lpstr>'4.5 Bond Ratings'!Print_Area</vt:lpstr>
      <vt:lpstr>'4.6 Moody''s_S&amp;P numbericl'!Print_Area</vt:lpstr>
      <vt:lpstr>'4.7 ERP Determination'!Print_Area</vt:lpstr>
      <vt:lpstr>'4.8-4.9 Beta Adjusted ERP'!Print_Area</vt:lpstr>
      <vt:lpstr>'5.1 CAPM'!Print_Area</vt:lpstr>
      <vt:lpstr>'5.2 CAPM Notes'!Print_Area</vt:lpstr>
      <vt:lpstr>'6.1 Comp Earnings Criteria'!Print_Area</vt:lpstr>
      <vt:lpstr>'6.2 Proxy Group Equivalent'!Print_Area</vt:lpstr>
      <vt:lpstr>'7.1 CEM Summary'!Print_Area</vt:lpstr>
      <vt:lpstr>'7.2 CEM DCF'!Print_Area</vt:lpstr>
      <vt:lpstr>'7.3 CEM RPM Summary'!Print_Area</vt:lpstr>
      <vt:lpstr>'7.4 CEM RPM Bond Ratings'!Print_Area</vt:lpstr>
      <vt:lpstr>'7.5 CEM Beta Adjusted RP'!Print_Area</vt:lpstr>
      <vt:lpstr>'7.6 CEM CAPM Backup'!Print_Area</vt:lpstr>
      <vt:lpstr>'8.1 Equity Contributions'!Print_Area</vt:lpstr>
      <vt:lpstr>'9.1 Risk Adjustment'!Print_Area</vt:lpstr>
      <vt:lpstr>'9.2 Market Cap'!Print_Area</vt:lpstr>
      <vt:lpstr>'4.8-4.9 Beta Adjusted ERP'!Print_Titles</vt:lpstr>
      <vt:lpstr>'6.2 Proxy Group Equivalent'!Print_Titles</vt:lpstr>
      <vt:lpstr>'7.2 CEM DCF'!Print_Titles</vt:lpstr>
      <vt:lpstr>'7.4 CEM RPM Bond Ratings'!Print_Titles</vt:lpstr>
      <vt:lpstr>'7.6 CEM CAPM Backup'!Print_Titles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2023-03-22T14:13:17Z</dcterms:created>
  <dcterms:modified xsi:type="dcterms:W3CDTF">2023-08-25T13:16:05Z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3f872e-d8d7-43ac-9961-0f2ad31e50e5_Enabled">
    <vt:lpwstr>true</vt:lpwstr>
  </property>
  <property fmtid="{D5CDD505-2E9C-101B-9397-08002B2CF9AE}" pid="3" name="MSIP_Label_a83f872e-d8d7-43ac-9961-0f2ad31e50e5_SetDate">
    <vt:lpwstr>2023-03-22T14:13:20Z</vt:lpwstr>
  </property>
  <property fmtid="{D5CDD505-2E9C-101B-9397-08002B2CF9AE}" pid="4" name="MSIP_Label_a83f872e-d8d7-43ac-9961-0f2ad31e50e5_Method">
    <vt:lpwstr>Standard</vt:lpwstr>
  </property>
  <property fmtid="{D5CDD505-2E9C-101B-9397-08002B2CF9AE}" pid="5" name="MSIP_Label_a83f872e-d8d7-43ac-9961-0f2ad31e50e5_Name">
    <vt:lpwstr>a83f872e-d8d7-43ac-9961-0f2ad31e50e5</vt:lpwstr>
  </property>
  <property fmtid="{D5CDD505-2E9C-101B-9397-08002B2CF9AE}" pid="6" name="MSIP_Label_a83f872e-d8d7-43ac-9961-0f2ad31e50e5_SiteId">
    <vt:lpwstr>fa8c194a-f8e2-43c5-bc39-b637579e39e0</vt:lpwstr>
  </property>
  <property fmtid="{D5CDD505-2E9C-101B-9397-08002B2CF9AE}" pid="7" name="MSIP_Label_a83f872e-d8d7-43ac-9961-0f2ad31e50e5_ActionId">
    <vt:lpwstr>55ee0389-887c-4c98-a929-b25c7227a447</vt:lpwstr>
  </property>
  <property fmtid="{D5CDD505-2E9C-101B-9397-08002B2CF9AE}" pid="8" name="MSIP_Label_a83f872e-d8d7-43ac-9961-0f2ad31e50e5_ContentBits">
    <vt:lpwstr>0</vt:lpwstr>
  </property>
  <property fmtid="{D5CDD505-2E9C-101B-9397-08002B2CF9AE}" pid="9" name="cap" linkTarget="prop_cap">
    <vt:lpwstr>#REF!</vt:lpwstr>
  </property>
  <property fmtid="{D5CDD505-2E9C-101B-9397-08002B2CF9AE}" pid="10" name="sum_blk1_chg" linkTarget="prop_sum_blk1_chg">
    <vt:lpwstr>#REF!</vt:lpwstr>
  </property>
  <property fmtid="{D5CDD505-2E9C-101B-9397-08002B2CF9AE}" pid="11" name="sum_cust_chg" linkTarget="prop_sum_cust_chg">
    <vt:lpwstr>#REF!</vt:lpwstr>
  </property>
  <property fmtid="{D5CDD505-2E9C-101B-9397-08002B2CF9AE}" pid="12" name="win_blk1_chg" linkTarget="prop_win_blk1_chg">
    <vt:lpwstr>#REF!</vt:lpwstr>
  </property>
  <property fmtid="{D5CDD505-2E9C-101B-9397-08002B2CF9AE}" pid="13" name="win_cust_chg" linkTarget="prop_win_cust_chg">
    <vt:lpwstr>#REF!</vt:lpwstr>
  </property>
  <property fmtid="{D5CDD505-2E9C-101B-9397-08002B2CF9AE}" pid="14" name="win_xs_chg" linkTarget="prop_win_xs_chg">
    <vt:lpwstr>#REF!</vt:lpwstr>
  </property>
  <property fmtid="{D5CDD505-2E9C-101B-9397-08002B2CF9AE}" pid="15" name="ContentTypeId">
    <vt:lpwstr>0x0101001B9469E761E20748A773F85B33816D32</vt:lpwstr>
  </property>
  <property fmtid="{D5CDD505-2E9C-101B-9397-08002B2CF9AE}" pid="16" name="{A44787D4-0540-4523-9961-78E4036D8C6D}">
    <vt:lpwstr>{E4457BE0-FE27-443B-999A-602349199768}</vt:lpwstr>
  </property>
</Properties>
</file>